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4.xml" ContentType="application/vnd.openxmlformats-officedocument.drawing+xml"/>
  <Override PartName="/xl/ctrlProps/ctrlProp27.xml" ContentType="application/vnd.ms-excel.controlpropertie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5.xml" ContentType="application/vnd.openxmlformats-officedocument.drawing+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omments4.xml" ContentType="application/vnd.openxmlformats-officedocument.spreadsheetml.comments+xml"/>
  <Override PartName="/xl/drawings/drawing6.xml" ContentType="application/vnd.openxmlformats-officedocument.drawing+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7.xml" ContentType="application/vnd.openxmlformats-officedocument.drawing+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omments5.xml" ContentType="application/vnd.openxmlformats-officedocument.spreadsheetml.comments+xml"/>
  <Override PartName="/xl/drawings/drawing8.xml" ContentType="application/vnd.openxmlformats-officedocument.drawing+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omments6.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trlProps/ctrlProp55.xml" ContentType="application/vnd.ms-excel.controlproperties+xml"/>
  <Override PartName="/xl/ctrlProps/ctrlProp56.xml" ContentType="application/vnd.ms-excel.controlproperties+xml"/>
  <Override PartName="/xl/comments10.xml" ContentType="application/vnd.openxmlformats-officedocument.spreadsheetml.comments+xml"/>
  <Override PartName="/xl/charts/chart23.xml" ContentType="application/vnd.openxmlformats-officedocument.drawingml.chart+xml"/>
  <Override PartName="/xl/comments11.xml" ContentType="application/vnd.openxmlformats-officedocument.spreadsheetml.comments+xml"/>
  <Override PartName="/xl/drawings/drawing10.xml" ContentType="application/vnd.openxmlformats-officedocument.drawing+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showInkAnnotation="0" codeName="ThisWorkbook"/>
  <mc:AlternateContent xmlns:mc="http://schemas.openxmlformats.org/markup-compatibility/2006">
    <mc:Choice Requires="x15">
      <x15ac:absPath xmlns:x15ac="http://schemas.microsoft.com/office/spreadsheetml/2010/11/ac" url="C:\Users\jibon\Coding\macroSim\"/>
    </mc:Choice>
  </mc:AlternateContent>
  <xr:revisionPtr revIDLastSave="0" documentId="13_ncr:1_{9597AF3D-3F08-48A4-8CDD-CE145F612B4A}" xr6:coauthVersionLast="47" xr6:coauthVersionMax="47" xr10:uidLastSave="{00000000-0000-0000-0000-000000000000}"/>
  <bookViews>
    <workbookView xWindow="6975" yWindow="-15330" windowWidth="19350" windowHeight="9900" tabRatio="762" xr2:uid="{00000000-000D-0000-FFFF-FFFF00000000}"/>
  </bookViews>
  <sheets>
    <sheet name="main page" sheetId="6" r:id="rId1"/>
    <sheet name="public finance" sheetId="11" r:id="rId2"/>
    <sheet name="controls" sheetId="23" r:id="rId3"/>
    <sheet name="normal case" sheetId="1" r:id="rId4"/>
    <sheet name="exchange rates" sheetId="30" r:id="rId5"/>
    <sheet name="external balance" sheetId="31" r:id="rId6"/>
    <sheet name="gráficos PC, MR, IS" sheetId="32" r:id="rId7"/>
    <sheet name="inflation, income and inter-2" sheetId="40" r:id="rId8"/>
    <sheet name="inflation, income and interest" sheetId="14" r:id="rId9"/>
    <sheet name="hystere" sheetId="25" r:id="rId10"/>
    <sheet name="delay in perception" sheetId="10" r:id="rId11"/>
    <sheet name="figures on public finance" sheetId="22" r:id="rId12"/>
    <sheet name="numerical results" sheetId="13" r:id="rId13"/>
    <sheet name="input own m.p." sheetId="27" r:id="rId14"/>
    <sheet name="choose m.p." sheetId="26" r:id="rId15"/>
    <sheet name="choose m.p. (endogenous policy)" sheetId="37" r:id="rId16"/>
    <sheet name="beta estimation(inputs)" sheetId="38" r:id="rId17"/>
    <sheet name="loss level and beta es(outputs)" sheetId="39" r:id="rId18"/>
    <sheet name="loss level(inputs)" sheetId="34" r:id="rId19"/>
    <sheet name="compare results" sheetId="28" r:id="rId20"/>
    <sheet name="Hoja1" sheetId="24" r:id="rId21"/>
  </sheets>
  <definedNames>
    <definedName name="_xlnm._FilterDatabase" localSheetId="16" hidden="1">'beta estimation(inputs)'!$C$50:$E$69</definedName>
    <definedName name="_xlnm._FilterDatabase" localSheetId="11" hidden="1">'figures on public finance'!$A$16:$E$16</definedName>
    <definedName name="bullets_random_shocks_gdp">IF(controls!$B$4=1,2)</definedName>
    <definedName name="bullets_random_shocks_growth">IF(controls!$B$4=1,'normal case'!$AW$3:$AW$22,'normal case'!$BB$3:$BB$22)</definedName>
    <definedName name="bullets_random_shocks_inflation">IF(controls!$B$4=1,'normal case'!$BA$3:$BA$22,'normal case'!$BB$3:$BB$22)</definedName>
    <definedName name="bullets_random_shocks_nominalir">IF(controls!$B$4=1,'normal case'!$AZ$3:$AZ$22,'normal case'!$BB$3:$BB$22)</definedName>
    <definedName name="bullets_random_shocks_realir">IF(controls!$B$4=1,'normal case'!$AY$3:$AY$22,'normal case'!$BB$3:$BB$22)</definedName>
    <definedName name="_xlnm.Criteria" localSheetId="16">'beta estimation(inputs)'!$C$47:$E$48</definedName>
    <definedName name="currentaccount">OFFSET('numerical results'!$P$3,controls!$B$61,0,controls!$C$62,1)</definedName>
    <definedName name="currentaccountxaxis">OFFSET('numerical results'!$A$3,controls!$B$61,0,controls!$C$62,1)</definedName>
    <definedName name="delay_GDP" localSheetId="7">IF('inflation, income and inter-2'!$A$31=1,'delay in perception'!$E$4:$E$23,'delay in perception'!$V$4:$V$23)</definedName>
    <definedName name="delay_GDP">IF('inflation, income and interest'!$A$38=1,'delay in perception'!$E$4:$E$23,'delay in perception'!$V$4:$V$23)</definedName>
    <definedName name="delay_growth" localSheetId="7">IF('inflation, income and inter-2'!$A$31=1,'delay in perception'!$D$4:$D$23,'delay in perception'!$V$4:$V$23)</definedName>
    <definedName name="delay_growth">IF('inflation, income and interest'!$A$38=1,'delay in perception'!$D$4:$D$23,'delay in perception'!$V$4:$V$23)</definedName>
    <definedName name="delay_inflation" localSheetId="7">IF('inflation, income and inter-2'!$A$31=1,'delay in perception'!$K$4:$K$23,'delay in perception'!$V$4:$V$23)</definedName>
    <definedName name="delay_inflation">IF('inflation, income and interest'!$A$38=1,'delay in perception'!$K$4:$K$23,'delay in perception'!$V$4:$V$23)</definedName>
    <definedName name="delay_nominal_rate" localSheetId="7">IF('inflation, income and inter-2'!$A$31=1,'delay in perception'!$M$4:$M$23,'delay in perception'!$V$4:$V$23)</definedName>
    <definedName name="delay_nominal_rate">IF('inflation, income and interest'!$A$38=1,'delay in perception'!$M$4:$M$23,'delay in perception'!$V$4:$V$23)</definedName>
    <definedName name="delay_real_rate" localSheetId="7">IF('inflation, income and inter-2'!$A$31=1,'delay in perception'!$L$4:$L$23,'delay in perception'!$V$4:$V$23)</definedName>
    <definedName name="delay_real_rate">IF('inflation, income and interest'!$A$38=1,'delay in perception'!$L$4:$L$23,'delay in perception'!$V$4:$V$23)</definedName>
    <definedName name="_xlnm.Extract" localSheetId="16">'beta estimation(inputs)'!$F$50:$H$50</definedName>
    <definedName name="GDP" localSheetId="14">OFFSET('choose m.p.'!$D$3,0,0,periodo_final,1)</definedName>
    <definedName name="GDP" localSheetId="15">OFFSET('choose m.p. (endogenous policy)'!$D$3,0,0,[0]!periodo_final,1)</definedName>
    <definedName name="GDP" localSheetId="4">OFFSET('choose m.p.'!$D$3,0,0,periodo_final+1,1)</definedName>
    <definedName name="GDP" localSheetId="9">OFFSET(hystere!$E$4,0,0,periodo_final,1)</definedName>
    <definedName name="GDP">OFFSET('choose m.p.'!$D$3,0,0,periodo_final+1,1)</definedName>
    <definedName name="gdpestlin">IF('beta estimation(inputs)'!$G$50="",0,OFFSET('beta estimation(inputs)'!$G$50,1,0,COUNT('beta estimation(inputs)'!$G$51:$G$78),1))</definedName>
    <definedName name="growth" localSheetId="14">OFFSET('choose m.p.'!$C$3,0,0,periodo_final,1)</definedName>
    <definedName name="growth" localSheetId="15">OFFSET('choose m.p. (endogenous policy)'!$C$3,0,0,[0]!periodo_final,1)</definedName>
    <definedName name="growth" localSheetId="4">OFFSET('choose m.p.'!$C$3,0,0,periodo_final+1,1)</definedName>
    <definedName name="growth" localSheetId="9">OFFSET(hystere!$C$4,0,0,periodo_final,1)</definedName>
    <definedName name="growth">OFFSET('choose m.p.'!$C$3,0,0,periodo_final+1,1)</definedName>
    <definedName name="hysteresis_GDP" localSheetId="7">IF(controls!$B$8=FALSE,hystere!$AH$4:$AH$23,IF(controls!$B$33=1,hystere!$AH$4:$AH$23,IF('inflation, income and inter-2'!$B$31=2,hystere!$AH$4:$AH$23,hystere!$E$4:$E$23)))</definedName>
    <definedName name="hysteresis_GDP">IF(controls!$B$33=1,hystere!$AH$4:$AH$23,IF('inflation, income and interest'!$B$38=2,hystere!$AH$4:$AH$23,hystere!$E$4:$E$23))</definedName>
    <definedName name="hysteresis_growth" localSheetId="7">IF(controls!$B$8=FALSE,hystere!$AH$4:$AH$23,IF(controls!$B$33=1,hystere!$AH$4:$AH$23,IF('inflation, income and inter-2'!$B$31=2,hystere!$AH$4:$AH$23,hystere!$C$4:$C$23)))</definedName>
    <definedName name="hysteresis_growth">IF(controls!$B$33=1,hystere!$AH$4:$AH$23,IF('inflation, income and interest'!$B$38=2,hystere!$AH$4:$AH$23,hystere!$C$4:$C$23))</definedName>
    <definedName name="hysteresis_inflation" localSheetId="7">IF(controls!$B$8=FALSE,hystere!$AH$4:$AH$23,IF(controls!$B$33=1,hystere!$AH$4:$AH$23,IF('inflation, income and inter-2'!$B$31=2,hystere!$AH$4:$AH$23,hystere!$M$4:$M$23)))</definedName>
    <definedName name="hysteresis_inflation">IF(controls!$B$33=1,hystere!$AH$4:$AH$23,IF('inflation, income and interest'!$B$38=2,hystere!$AH$4:$AH$23,hystere!$M$4:$M$23))</definedName>
    <definedName name="hysteresis_nominal_rate" localSheetId="7">IF(controls!$B$8=FALSE,hystere!$AH$4:$AH$23,IF(controls!$B$33=1,hystere!$AH$4:$AH$23,IF('inflation, income and inter-2'!$B$31=2,hystere!$AH$4:$AH$23,hystere!$O$4:$O$23)))</definedName>
    <definedName name="hysteresis_nominal_rate">IF(controls!$B$8=FALSE,hystere!$AH$4:$AH$23,IF(controls!$B$33=1,hystere!$AH$4:$AH$23,IF('inflation, income and interest'!$B$38=2,hystere!$AH$4:$AH$23,hystere!$O$4:$O$23)))</definedName>
    <definedName name="hysteresis_real_rate" localSheetId="7">IF(controls!$B$8=FALSE,hystere!$AH$4:$AH$23,IF(controls!$B$33=1,hystere!$AH$4:$AH$23,IF('inflation, income and inter-2'!$B$31=2,hystere!$AH$4:$AH$23,hystere!$N$4:$N$23)))</definedName>
    <definedName name="hysteresis_real_rate">IF(controls!$B$8=FALSE,hystere!$AH$4:$AH$23,IF(controls!$B$33=1,hystere!$AH$4:$AH$23,IF('inflation, income and interest'!$B$38=2,hystere!$AH$4:$AH$23,hystere!$N$4:$N$23)))</definedName>
    <definedName name="inflacion" localSheetId="14">OFFSET('choose m.p.'!$G$3,0,0,periodo_final,1)</definedName>
    <definedName name="inflacion" localSheetId="15">OFFSET('choose m.p. (endogenous policy)'!$G$3,0,0,[0]!periodo_final,1)</definedName>
    <definedName name="inflacion" localSheetId="4">OFFSET('choose m.p.'!$G$3,0,0,periodo_final+1,1)</definedName>
    <definedName name="inflacion" localSheetId="9">OFFSET(hystere!$M$4,0,0,periodo_final,1)</definedName>
    <definedName name="inflacion">OFFSET('choose m.p.'!$G$3,0,0,periodo_final+1,1)</definedName>
    <definedName name="inflacionestlin">IF('beta estimation(inputs)'!$G$50="",0,OFFSET('beta estimation(inputs)'!$H$50,1,0,COUNT('beta estimation(inputs)'!$H$51:$H$74),1))</definedName>
    <definedName name="juanito">hystere!$O$1</definedName>
    <definedName name="niip">OFFSET('numerical results'!$Q$3,controls!$B$63,0,controls!$C$64,1)</definedName>
    <definedName name="niipxaxis">OFFSET('numerical results'!$A$3,controls!$B$63,0,controls!$C$64,1)</definedName>
    <definedName name="nominal_interest_rate" localSheetId="14">OFFSET('choose m.p.'!$I$3,0,0,periodo_final,1)</definedName>
    <definedName name="nominal_interest_rate" localSheetId="15">OFFSET('choose m.p. (endogenous policy)'!$I$3,0,0,[0]!periodo_final,1)</definedName>
    <definedName name="nominal_interest_rate" localSheetId="4">OFFSET('choose m.p.'!$I$3,0,0,periodo_final_2,1)</definedName>
    <definedName name="nominal_interest_rate" localSheetId="9">OFFSET(hystere!$O$4,0,0,periodo_final,1)</definedName>
    <definedName name="nominal_interest_rate">OFFSET('choose m.p.'!$I$3,0,0,periodo_final_2,1)</definedName>
    <definedName name="ole">hystere!$O$1</definedName>
    <definedName name="pepito">hystere!$L$1</definedName>
    <definedName name="periodo_final">controls!$B$38</definedName>
    <definedName name="periodo_final_2">controls!$C$37</definedName>
    <definedName name="primarybudget">OFFSET('numerical results'!$H$3,controls!$B$50,0,controls!$C$51,1)</definedName>
    <definedName name="primarybudgetxaxis">OFFSET('numerical results'!$A$3,controls!$B$50,0,controls!$C$51,1)</definedName>
    <definedName name="_xlnm.Print_Area" localSheetId="19">'compare results'!$B$1:$N$39</definedName>
    <definedName name="_xlnm.Print_Area" localSheetId="13">'input own m.p.'!$O$8:$V$44</definedName>
    <definedName name="publicdebt">OFFSET('numerical results'!$J$3,controls!$B$54,0,controls!$C$55,1)</definedName>
    <definedName name="publicdebtxaxis">OFFSET('numerical results'!$A$3,controls!$B$54,0,controls!$C$55,1)</definedName>
    <definedName name="real_interest_rate" localSheetId="14">OFFSET('choose m.p.'!$H$3,0,0,periodo_final,1)</definedName>
    <definedName name="real_interest_rate" localSheetId="15">OFFSET('choose m.p. (endogenous policy)'!$H$3,0,0,[0]!periodo_final,1)</definedName>
    <definedName name="real_interest_rate" localSheetId="4">OFFSET('choose m.p.'!$H$3,0,0,periodo_final_2,1)</definedName>
    <definedName name="real_interest_rate" localSheetId="9">OFFSET(hystere!$N$4,0,0,periodo_final,1)</definedName>
    <definedName name="real_interest_rate">OFFSET('choose m.p.'!$H$3,0,0,periodo_final_2,1)</definedName>
    <definedName name="totalbudget">OFFSET('numerical results'!$I$3,controls!$B$52,0,controls!$C$53,1)</definedName>
    <definedName name="totalbudgetxaxis">OFFSET('numerical results'!$A$3,controls!$B$52,0,controls!$C$53,1)</definedName>
    <definedName name="tradebalance">OFFSET('numerical results'!$O$3,controls!$B$59,0,controls!$C$60,1)</definedName>
    <definedName name="tradebalancexaxis">OFFSET('numerical results'!$A$3,controls!$B$59,0,controls!$C$60,1)</definedName>
    <definedName name="TrueFalseRange">hystere!$N$1:$O$1</definedName>
    <definedName name="TrueFalseRange2">'delay in perception'!$L$1:$M$1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X20" i="6" l="1"/>
  <c r="X19" i="6"/>
  <c r="D16" i="40"/>
  <c r="A16" i="40"/>
  <c r="A23" i="14"/>
  <c r="D23" i="14"/>
  <c r="U26" i="6" l="1"/>
  <c r="U24" i="6" l="1"/>
  <c r="L1" i="10" l="1"/>
  <c r="N1" i="25"/>
  <c r="L40" i="6" l="1"/>
  <c r="C1" i="10" l="1"/>
  <c r="M1" i="10"/>
  <c r="B1" i="10"/>
  <c r="F21" i="40" l="1"/>
  <c r="D14" i="40"/>
  <c r="D13" i="40"/>
  <c r="D12" i="40"/>
  <c r="D11" i="40"/>
  <c r="C39" i="23" l="1"/>
  <c r="AI7" i="1" l="1"/>
  <c r="C64" i="23" l="1"/>
  <c r="C62" i="23"/>
  <c r="C60" i="23"/>
  <c r="T5" i="26"/>
  <c r="A2" i="6" l="1"/>
  <c r="A9" i="40" s="1"/>
  <c r="F20" i="27"/>
  <c r="Y12" i="27" l="1"/>
  <c r="N21" i="27" l="1"/>
  <c r="L21" i="27"/>
  <c r="K21" i="27"/>
  <c r="C55" i="23"/>
  <c r="C53" i="23"/>
  <c r="C51" i="23"/>
  <c r="K14" i="27" l="1"/>
  <c r="B43" i="23" l="1"/>
  <c r="R40" i="27"/>
  <c r="W4" i="37" l="1"/>
  <c r="W3" i="37"/>
  <c r="T3" i="37"/>
  <c r="T5" i="37" s="1"/>
  <c r="C19" i="39"/>
  <c r="I50" i="38" a="1"/>
  <c r="I50" i="38" s="1"/>
  <c r="I53" i="38" l="1"/>
  <c r="I51" i="38"/>
  <c r="I54" i="38"/>
  <c r="I52" i="38"/>
  <c r="E6" i="39" s="1"/>
  <c r="F25" i="26"/>
  <c r="C18" i="39" l="1"/>
  <c r="E75" i="38"/>
  <c r="E76" i="38"/>
  <c r="E77" i="38"/>
  <c r="E78" i="38"/>
  <c r="E79" i="38"/>
  <c r="E80" i="38"/>
  <c r="E81" i="38"/>
  <c r="E82" i="38"/>
  <c r="E83" i="38"/>
  <c r="E84" i="38"/>
  <c r="E85" i="38"/>
  <c r="E86" i="38"/>
  <c r="E87" i="38"/>
  <c r="E88" i="38"/>
  <c r="E89" i="38"/>
  <c r="E90" i="38"/>
  <c r="E91" i="38"/>
  <c r="E92" i="38"/>
  <c r="E74" i="38"/>
  <c r="C48" i="38"/>
  <c r="E93" i="38" l="1"/>
  <c r="B31" i="39" s="1"/>
  <c r="D18" i="39" l="1"/>
  <c r="W121" i="25"/>
  <c r="X121" i="25"/>
  <c r="W124" i="25"/>
  <c r="X124" i="25"/>
  <c r="W127" i="25"/>
  <c r="X127" i="25"/>
  <c r="W130" i="25"/>
  <c r="X130" i="25"/>
  <c r="W136" i="25"/>
  <c r="X136" i="25"/>
  <c r="W139" i="25"/>
  <c r="X139" i="25"/>
  <c r="W142" i="25"/>
  <c r="X142" i="25"/>
  <c r="W145" i="25"/>
  <c r="X145" i="25"/>
  <c r="W151" i="25"/>
  <c r="X151" i="25"/>
  <c r="W154" i="25"/>
  <c r="X154" i="25"/>
  <c r="W157" i="25"/>
  <c r="X157" i="25"/>
  <c r="W160" i="25"/>
  <c r="X160" i="25"/>
  <c r="W166" i="25"/>
  <c r="X166" i="25"/>
  <c r="W169" i="25"/>
  <c r="X169" i="25"/>
  <c r="W172" i="25"/>
  <c r="X172" i="25"/>
  <c r="W175" i="25"/>
  <c r="X175" i="25"/>
  <c r="W181" i="25"/>
  <c r="X181" i="25"/>
  <c r="W184" i="25"/>
  <c r="X184" i="25"/>
  <c r="W187" i="25"/>
  <c r="X187" i="25"/>
  <c r="W190" i="25"/>
  <c r="X190" i="25"/>
  <c r="W196" i="25"/>
  <c r="X196" i="25"/>
  <c r="W199" i="25"/>
  <c r="X199" i="25"/>
  <c r="W202" i="25"/>
  <c r="X202" i="25"/>
  <c r="W205" i="25"/>
  <c r="X205" i="25"/>
  <c r="W211" i="25"/>
  <c r="X211" i="25"/>
  <c r="W214" i="25"/>
  <c r="X214" i="25"/>
  <c r="W217" i="25"/>
  <c r="X217" i="25"/>
  <c r="W220" i="25"/>
  <c r="X220" i="25"/>
  <c r="W226" i="25"/>
  <c r="X226" i="25"/>
  <c r="W229" i="25"/>
  <c r="X229" i="25"/>
  <c r="W232" i="25"/>
  <c r="X232" i="25"/>
  <c r="W235" i="25"/>
  <c r="X235" i="25"/>
  <c r="W241" i="25"/>
  <c r="X241" i="25"/>
  <c r="W244" i="25"/>
  <c r="X244" i="25"/>
  <c r="W247" i="25"/>
  <c r="X247" i="25"/>
  <c r="W250" i="25"/>
  <c r="X250" i="25"/>
  <c r="W256" i="25"/>
  <c r="X256" i="25"/>
  <c r="W259" i="25"/>
  <c r="X259" i="25"/>
  <c r="W262" i="25"/>
  <c r="X262" i="25"/>
  <c r="W265" i="25"/>
  <c r="X265" i="25"/>
  <c r="W271" i="25"/>
  <c r="X271" i="25"/>
  <c r="W274" i="25"/>
  <c r="X274" i="25"/>
  <c r="W277" i="25"/>
  <c r="X277" i="25"/>
  <c r="W280" i="25"/>
  <c r="X280" i="25"/>
  <c r="W286" i="25"/>
  <c r="X286" i="25"/>
  <c r="W289" i="25"/>
  <c r="X289" i="25"/>
  <c r="W292" i="25"/>
  <c r="X292" i="25"/>
  <c r="W295" i="25"/>
  <c r="X295" i="25"/>
  <c r="W301" i="25"/>
  <c r="X301" i="25"/>
  <c r="W304" i="25"/>
  <c r="X304" i="25"/>
  <c r="W307" i="25"/>
  <c r="X307" i="25"/>
  <c r="W310" i="25"/>
  <c r="X310" i="25"/>
  <c r="W316" i="25"/>
  <c r="X316" i="25"/>
  <c r="W319" i="25"/>
  <c r="X319" i="25"/>
  <c r="W322" i="25"/>
  <c r="X322" i="25"/>
  <c r="W325" i="25"/>
  <c r="X325" i="25"/>
  <c r="W331" i="25"/>
  <c r="X331" i="25"/>
  <c r="W334" i="25"/>
  <c r="X334" i="25"/>
  <c r="W337" i="25"/>
  <c r="X337" i="25"/>
  <c r="W340" i="25"/>
  <c r="X340" i="25"/>
  <c r="W346" i="25"/>
  <c r="X346" i="25"/>
  <c r="W349" i="25"/>
  <c r="X349" i="25"/>
  <c r="W352" i="25"/>
  <c r="X352" i="25"/>
  <c r="W355" i="25"/>
  <c r="X355" i="25"/>
  <c r="W361" i="25"/>
  <c r="X361" i="25"/>
  <c r="W364" i="25"/>
  <c r="X364" i="25"/>
  <c r="W367" i="25"/>
  <c r="X367" i="25"/>
  <c r="W370" i="25"/>
  <c r="X370" i="25"/>
  <c r="W376" i="25"/>
  <c r="X376" i="25"/>
  <c r="W379" i="25"/>
  <c r="X379" i="25"/>
  <c r="W382" i="25"/>
  <c r="X382" i="25"/>
  <c r="W385" i="25"/>
  <c r="X385" i="25"/>
  <c r="W391" i="25"/>
  <c r="X391" i="25"/>
  <c r="W394" i="25"/>
  <c r="X394" i="25"/>
  <c r="W397" i="25"/>
  <c r="X397" i="25"/>
  <c r="W400" i="25"/>
  <c r="X400" i="25"/>
  <c r="W406" i="25"/>
  <c r="X406" i="25"/>
  <c r="W409" i="25"/>
  <c r="X409" i="25"/>
  <c r="W412" i="25"/>
  <c r="X412" i="25"/>
  <c r="W415" i="25"/>
  <c r="X415" i="25"/>
  <c r="W421" i="25"/>
  <c r="X421" i="25"/>
  <c r="W424" i="25"/>
  <c r="X424" i="25"/>
  <c r="W427" i="25"/>
  <c r="X427" i="25"/>
  <c r="W430" i="25"/>
  <c r="X430" i="25"/>
  <c r="W436" i="25"/>
  <c r="X436" i="25"/>
  <c r="W439" i="25"/>
  <c r="X439" i="25"/>
  <c r="W442" i="25"/>
  <c r="X442" i="25"/>
  <c r="W445" i="25"/>
  <c r="X445" i="25"/>
  <c r="W451" i="25"/>
  <c r="X451" i="25"/>
  <c r="W454" i="25"/>
  <c r="X454" i="25"/>
  <c r="W457" i="25"/>
  <c r="X457" i="25"/>
  <c r="W460" i="25"/>
  <c r="X460" i="25"/>
  <c r="W466" i="25"/>
  <c r="X466" i="25"/>
  <c r="W469" i="25"/>
  <c r="X469" i="25"/>
  <c r="W472" i="25"/>
  <c r="X472" i="25"/>
  <c r="W475" i="25"/>
  <c r="X475" i="25"/>
  <c r="W481" i="25"/>
  <c r="X481" i="25"/>
  <c r="W484" i="25"/>
  <c r="X484" i="25"/>
  <c r="W487" i="25"/>
  <c r="X487" i="25"/>
  <c r="W490" i="25"/>
  <c r="X490" i="25"/>
  <c r="W496" i="25"/>
  <c r="X496" i="25"/>
  <c r="W499" i="25"/>
  <c r="X499" i="25"/>
  <c r="W502" i="25"/>
  <c r="X502" i="25"/>
  <c r="W31" i="25"/>
  <c r="X31" i="25"/>
  <c r="W34" i="25"/>
  <c r="X34" i="25"/>
  <c r="W37" i="25"/>
  <c r="X37" i="25"/>
  <c r="W40" i="25"/>
  <c r="X40" i="25"/>
  <c r="W46" i="25"/>
  <c r="X46" i="25"/>
  <c r="W49" i="25"/>
  <c r="X49" i="25"/>
  <c r="W52" i="25"/>
  <c r="X52" i="25"/>
  <c r="W55" i="25"/>
  <c r="X55" i="25"/>
  <c r="W61" i="25"/>
  <c r="X61" i="25"/>
  <c r="W64" i="25"/>
  <c r="X64" i="25"/>
  <c r="W67" i="25"/>
  <c r="X67" i="25"/>
  <c r="W70" i="25"/>
  <c r="X70" i="25"/>
  <c r="W76" i="25"/>
  <c r="X76" i="25"/>
  <c r="W79" i="25"/>
  <c r="X79" i="25"/>
  <c r="W82" i="25"/>
  <c r="X82" i="25"/>
  <c r="W85" i="25"/>
  <c r="X85" i="25"/>
  <c r="W91" i="25"/>
  <c r="X91" i="25"/>
  <c r="W94" i="25"/>
  <c r="X94" i="25"/>
  <c r="W97" i="25"/>
  <c r="X97" i="25"/>
  <c r="W100" i="25"/>
  <c r="X100" i="25"/>
  <c r="W106" i="25"/>
  <c r="X106" i="25"/>
  <c r="W109" i="25"/>
  <c r="X109" i="25"/>
  <c r="W112" i="25"/>
  <c r="X112" i="25"/>
  <c r="W115" i="25"/>
  <c r="X115" i="25"/>
  <c r="W5" i="25"/>
  <c r="X5" i="25"/>
  <c r="W10" i="25"/>
  <c r="X10" i="25"/>
  <c r="W16" i="25"/>
  <c r="X16" i="25"/>
  <c r="W19" i="25"/>
  <c r="X19" i="25"/>
  <c r="W22" i="25"/>
  <c r="X22" i="25"/>
  <c r="W25" i="25"/>
  <c r="X25" i="25"/>
  <c r="X4" i="25"/>
  <c r="W4" i="25"/>
  <c r="G122" i="23"/>
  <c r="G123" i="23"/>
  <c r="G124" i="23"/>
  <c r="G125" i="23"/>
  <c r="G126" i="23"/>
  <c r="G127" i="23"/>
  <c r="G128" i="23"/>
  <c r="G129" i="23"/>
  <c r="G130" i="23"/>
  <c r="G131" i="23"/>
  <c r="G132" i="23"/>
  <c r="G133" i="23"/>
  <c r="G134" i="23"/>
  <c r="G135" i="23"/>
  <c r="G136" i="23"/>
  <c r="G137" i="23"/>
  <c r="G138" i="23"/>
  <c r="G139" i="23"/>
  <c r="G140" i="23"/>
  <c r="G141" i="23"/>
  <c r="G142" i="23"/>
  <c r="G143" i="23"/>
  <c r="G144" i="23"/>
  <c r="G145" i="23"/>
  <c r="G146" i="23"/>
  <c r="G147" i="23"/>
  <c r="G148" i="23"/>
  <c r="G149" i="23"/>
  <c r="G150" i="23"/>
  <c r="G151" i="23"/>
  <c r="G152" i="23"/>
  <c r="G153" i="23"/>
  <c r="G154" i="23"/>
  <c r="G155" i="23"/>
  <c r="G156" i="23"/>
  <c r="G157" i="23"/>
  <c r="G158" i="23"/>
  <c r="G159" i="23"/>
  <c r="G160" i="23"/>
  <c r="G161" i="23"/>
  <c r="G162" i="23"/>
  <c r="G163" i="23"/>
  <c r="G164" i="23"/>
  <c r="G165" i="23"/>
  <c r="G166" i="23"/>
  <c r="G167" i="23"/>
  <c r="G168" i="23"/>
  <c r="G169" i="23"/>
  <c r="G170" i="23"/>
  <c r="G171" i="23"/>
  <c r="G172" i="23"/>
  <c r="G173" i="23"/>
  <c r="G174" i="23"/>
  <c r="G175" i="23"/>
  <c r="G176" i="23"/>
  <c r="G177" i="23"/>
  <c r="G178" i="23"/>
  <c r="G179" i="23"/>
  <c r="G180" i="23"/>
  <c r="G181" i="23"/>
  <c r="G182" i="23"/>
  <c r="G183" i="23"/>
  <c r="G184" i="23"/>
  <c r="G185" i="23"/>
  <c r="G186" i="23"/>
  <c r="G187" i="23"/>
  <c r="G188" i="23"/>
  <c r="G189" i="23"/>
  <c r="G190" i="23"/>
  <c r="G191" i="23"/>
  <c r="G192" i="23"/>
  <c r="G193" i="23"/>
  <c r="G194" i="23"/>
  <c r="G195" i="23"/>
  <c r="G196" i="23"/>
  <c r="G197" i="23"/>
  <c r="G198" i="23"/>
  <c r="G199" i="23"/>
  <c r="G200" i="23"/>
  <c r="G201" i="23"/>
  <c r="G202" i="23"/>
  <c r="G203" i="23"/>
  <c r="G204" i="23"/>
  <c r="G205" i="23"/>
  <c r="G206" i="23"/>
  <c r="G207" i="23"/>
  <c r="G208" i="23"/>
  <c r="G209" i="23"/>
  <c r="G210" i="23"/>
  <c r="G211" i="23"/>
  <c r="G212" i="23"/>
  <c r="G213" i="23"/>
  <c r="G214" i="23"/>
  <c r="G215" i="23"/>
  <c r="G216" i="23"/>
  <c r="G217" i="23"/>
  <c r="G218" i="23"/>
  <c r="G219" i="23"/>
  <c r="G220" i="23"/>
  <c r="G221" i="23"/>
  <c r="G222" i="23"/>
  <c r="G223" i="23"/>
  <c r="G224" i="23"/>
  <c r="G225" i="23"/>
  <c r="G226" i="23"/>
  <c r="G227" i="23"/>
  <c r="G228" i="23"/>
  <c r="G229" i="23"/>
  <c r="G230" i="23"/>
  <c r="G231" i="23"/>
  <c r="G232" i="23"/>
  <c r="G233" i="23"/>
  <c r="G234" i="23"/>
  <c r="G235" i="23"/>
  <c r="G236" i="23"/>
  <c r="G237" i="23"/>
  <c r="G238" i="23"/>
  <c r="G239" i="23"/>
  <c r="G240" i="23"/>
  <c r="G241" i="23"/>
  <c r="G242" i="23"/>
  <c r="G243" i="23"/>
  <c r="G244" i="23"/>
  <c r="G245" i="23"/>
  <c r="G246" i="23"/>
  <c r="G247" i="23"/>
  <c r="G248" i="23"/>
  <c r="G249" i="23"/>
  <c r="G250" i="23"/>
  <c r="G251" i="23"/>
  <c r="G252" i="23"/>
  <c r="G253" i="23"/>
  <c r="G254" i="23"/>
  <c r="G255" i="23"/>
  <c r="G256" i="23"/>
  <c r="G257" i="23"/>
  <c r="G258" i="23"/>
  <c r="G259" i="23"/>
  <c r="G260" i="23"/>
  <c r="G261" i="23"/>
  <c r="G262" i="23"/>
  <c r="G263" i="23"/>
  <c r="G264" i="23"/>
  <c r="G265" i="23"/>
  <c r="G266" i="23"/>
  <c r="G267" i="23"/>
  <c r="G268" i="23"/>
  <c r="G269" i="23"/>
  <c r="G270" i="23"/>
  <c r="G271" i="23"/>
  <c r="G272" i="23"/>
  <c r="G273" i="23"/>
  <c r="G274" i="23"/>
  <c r="G275" i="23"/>
  <c r="G276" i="23"/>
  <c r="G277" i="23"/>
  <c r="G278" i="23"/>
  <c r="G279" i="23"/>
  <c r="G280" i="23"/>
  <c r="G281" i="23"/>
  <c r="G282" i="23"/>
  <c r="G283" i="23"/>
  <c r="G284" i="23"/>
  <c r="G285" i="23"/>
  <c r="G286" i="23"/>
  <c r="G287" i="23"/>
  <c r="G288" i="23"/>
  <c r="G289" i="23"/>
  <c r="G290" i="23"/>
  <c r="G291" i="23"/>
  <c r="G292" i="23"/>
  <c r="G293" i="23"/>
  <c r="G294" i="23"/>
  <c r="G295" i="23"/>
  <c r="G296" i="23"/>
  <c r="G297" i="23"/>
  <c r="G298" i="23"/>
  <c r="G299" i="23"/>
  <c r="G300" i="23"/>
  <c r="G301" i="23"/>
  <c r="G302" i="23"/>
  <c r="G303" i="23"/>
  <c r="G304" i="23"/>
  <c r="G305" i="23"/>
  <c r="G306" i="23"/>
  <c r="G307" i="23"/>
  <c r="G308" i="23"/>
  <c r="G309" i="23"/>
  <c r="G310" i="23"/>
  <c r="G311" i="23"/>
  <c r="G312" i="23"/>
  <c r="G313" i="23"/>
  <c r="G314" i="23"/>
  <c r="G315" i="23"/>
  <c r="G316" i="23"/>
  <c r="G317" i="23"/>
  <c r="G318" i="23"/>
  <c r="G319" i="23"/>
  <c r="G320" i="23"/>
  <c r="G321" i="23"/>
  <c r="G322" i="23"/>
  <c r="G323" i="23"/>
  <c r="G324" i="23"/>
  <c r="G325" i="23"/>
  <c r="G326" i="23"/>
  <c r="G327" i="23"/>
  <c r="G328" i="23"/>
  <c r="G329" i="23"/>
  <c r="G330" i="23"/>
  <c r="G331" i="23"/>
  <c r="G332" i="23"/>
  <c r="G333" i="23"/>
  <c r="G334" i="23"/>
  <c r="G335" i="23"/>
  <c r="G336" i="23"/>
  <c r="G337" i="23"/>
  <c r="G338" i="23"/>
  <c r="G339" i="23"/>
  <c r="G340" i="23"/>
  <c r="G341" i="23"/>
  <c r="G342" i="23"/>
  <c r="G343" i="23"/>
  <c r="G344" i="23"/>
  <c r="G345" i="23"/>
  <c r="G346" i="23"/>
  <c r="G347" i="23"/>
  <c r="G348" i="23"/>
  <c r="G349" i="23"/>
  <c r="G350" i="23"/>
  <c r="G351" i="23"/>
  <c r="G352" i="23"/>
  <c r="G353" i="23"/>
  <c r="G354" i="23"/>
  <c r="G355" i="23"/>
  <c r="G356" i="23"/>
  <c r="G357" i="23"/>
  <c r="G358" i="23"/>
  <c r="G359" i="23"/>
  <c r="G360" i="23"/>
  <c r="G361" i="23"/>
  <c r="G362" i="23"/>
  <c r="G363" i="23"/>
  <c r="G364" i="23"/>
  <c r="G365" i="23"/>
  <c r="G366" i="23"/>
  <c r="G367" i="23"/>
  <c r="G368" i="23"/>
  <c r="G369" i="23"/>
  <c r="G370" i="23"/>
  <c r="G371" i="23"/>
  <c r="G372" i="23"/>
  <c r="G373" i="23"/>
  <c r="G374" i="23"/>
  <c r="G375" i="23"/>
  <c r="G376" i="23"/>
  <c r="G377" i="23"/>
  <c r="G378" i="23"/>
  <c r="G379" i="23"/>
  <c r="G380" i="23"/>
  <c r="G381" i="23"/>
  <c r="G382" i="23"/>
  <c r="G383" i="23"/>
  <c r="G384" i="23"/>
  <c r="G385" i="23"/>
  <c r="G386" i="23"/>
  <c r="G387" i="23"/>
  <c r="G388" i="23"/>
  <c r="G389" i="23"/>
  <c r="G390" i="23"/>
  <c r="G391" i="23"/>
  <c r="G392" i="23"/>
  <c r="G393" i="23"/>
  <c r="G394" i="23"/>
  <c r="G395" i="23"/>
  <c r="G396" i="23"/>
  <c r="G397" i="23"/>
  <c r="G398" i="23"/>
  <c r="G399" i="23"/>
  <c r="G400" i="23"/>
  <c r="G401" i="23"/>
  <c r="G402" i="23"/>
  <c r="G403" i="23"/>
  <c r="G404" i="23"/>
  <c r="G405" i="23"/>
  <c r="G406" i="23"/>
  <c r="G407" i="23"/>
  <c r="G408" i="23"/>
  <c r="G409" i="23"/>
  <c r="G410" i="23"/>
  <c r="G411" i="23"/>
  <c r="G412" i="23"/>
  <c r="G413" i="23"/>
  <c r="G414" i="23"/>
  <c r="G415" i="23"/>
  <c r="G416" i="23"/>
  <c r="G417" i="23"/>
  <c r="G418" i="23"/>
  <c r="G419" i="23"/>
  <c r="G420" i="23"/>
  <c r="G421" i="23"/>
  <c r="G422" i="23"/>
  <c r="G423" i="23"/>
  <c r="G424" i="23"/>
  <c r="G425" i="23"/>
  <c r="G426" i="23"/>
  <c r="G427" i="23"/>
  <c r="G428" i="23"/>
  <c r="G429" i="23"/>
  <c r="G430" i="23"/>
  <c r="G431" i="23"/>
  <c r="G432" i="23"/>
  <c r="G433" i="23"/>
  <c r="G434" i="23"/>
  <c r="G435" i="23"/>
  <c r="G436" i="23"/>
  <c r="G437" i="23"/>
  <c r="G438" i="23"/>
  <c r="G439" i="23"/>
  <c r="G440" i="23"/>
  <c r="G441" i="23"/>
  <c r="G442" i="23"/>
  <c r="G443" i="23"/>
  <c r="G444" i="23"/>
  <c r="G445" i="23"/>
  <c r="G446" i="23"/>
  <c r="G447" i="23"/>
  <c r="G448" i="23"/>
  <c r="G449" i="23"/>
  <c r="G450" i="23"/>
  <c r="G451" i="23"/>
  <c r="G452" i="23"/>
  <c r="G453" i="23"/>
  <c r="G454" i="23"/>
  <c r="G455" i="23"/>
  <c r="G456" i="23"/>
  <c r="G457" i="23"/>
  <c r="G458" i="23"/>
  <c r="G459" i="23"/>
  <c r="G460" i="23"/>
  <c r="G461" i="23"/>
  <c r="G462" i="23"/>
  <c r="G463" i="23"/>
  <c r="G464" i="23"/>
  <c r="G465" i="23"/>
  <c r="G466" i="23"/>
  <c r="G467" i="23"/>
  <c r="G468" i="23"/>
  <c r="G469" i="23"/>
  <c r="G470" i="23"/>
  <c r="G471" i="23"/>
  <c r="G472" i="23"/>
  <c r="G473" i="23"/>
  <c r="G474" i="23"/>
  <c r="G475" i="23"/>
  <c r="G476" i="23"/>
  <c r="G477" i="23"/>
  <c r="G478" i="23"/>
  <c r="G479" i="23"/>
  <c r="G480" i="23"/>
  <c r="G481" i="23"/>
  <c r="G482" i="23"/>
  <c r="G483" i="23"/>
  <c r="G484" i="23"/>
  <c r="G485" i="23"/>
  <c r="G486" i="23"/>
  <c r="G487" i="23"/>
  <c r="G488" i="23"/>
  <c r="G489" i="23"/>
  <c r="G490" i="23"/>
  <c r="G491" i="23"/>
  <c r="G492" i="23"/>
  <c r="G493" i="23"/>
  <c r="G494" i="23"/>
  <c r="G495" i="23"/>
  <c r="G496" i="23"/>
  <c r="G497" i="23"/>
  <c r="G498" i="23"/>
  <c r="G499" i="23"/>
  <c r="G500" i="23"/>
  <c r="G501" i="23"/>
  <c r="G502" i="23"/>
  <c r="G503" i="23"/>
  <c r="G504" i="23"/>
  <c r="G505" i="23"/>
  <c r="G506" i="23"/>
  <c r="G507" i="23"/>
  <c r="G508" i="23"/>
  <c r="G509" i="23"/>
  <c r="G510" i="23"/>
  <c r="G511" i="23"/>
  <c r="H511" i="23" s="1"/>
  <c r="G512" i="23"/>
  <c r="H512" i="23" s="1"/>
  <c r="G513" i="23"/>
  <c r="H513" i="23" s="1"/>
  <c r="G514" i="23"/>
  <c r="H514" i="23" s="1"/>
  <c r="G515" i="23"/>
  <c r="H515" i="23" s="1"/>
  <c r="G516" i="23"/>
  <c r="H516" i="23" s="1"/>
  <c r="G517" i="23"/>
  <c r="H517" i="23" s="1"/>
  <c r="G518" i="23"/>
  <c r="H518" i="23" s="1"/>
  <c r="G519" i="23"/>
  <c r="H519" i="23" s="1"/>
  <c r="G520" i="23"/>
  <c r="H520" i="23" s="1"/>
  <c r="G521" i="23"/>
  <c r="H521" i="23" s="1"/>
  <c r="G522" i="23"/>
  <c r="H522" i="23" s="1"/>
  <c r="G523" i="23"/>
  <c r="H523" i="23" s="1"/>
  <c r="G524" i="23"/>
  <c r="H524" i="23" s="1"/>
  <c r="G525" i="23"/>
  <c r="H525" i="23" s="1"/>
  <c r="G526" i="23"/>
  <c r="H526" i="23" s="1"/>
  <c r="G527" i="23"/>
  <c r="H527" i="23" s="1"/>
  <c r="G528" i="23"/>
  <c r="H528" i="23" s="1"/>
  <c r="G529" i="23"/>
  <c r="H529" i="23" s="1"/>
  <c r="G530" i="23"/>
  <c r="H530" i="23" s="1"/>
  <c r="G531" i="23"/>
  <c r="H531" i="23" s="1"/>
  <c r="G532" i="23"/>
  <c r="H532" i="23" s="1"/>
  <c r="G533" i="23"/>
  <c r="H533" i="23" s="1"/>
  <c r="G534" i="23"/>
  <c r="H534" i="23" s="1"/>
  <c r="G535" i="23"/>
  <c r="H535" i="23" s="1"/>
  <c r="G536" i="23"/>
  <c r="H536" i="23" s="1"/>
  <c r="G537" i="23"/>
  <c r="H537" i="23" s="1"/>
  <c r="G538" i="23"/>
  <c r="H538" i="23" s="1"/>
  <c r="G539" i="23"/>
  <c r="H539" i="23" s="1"/>
  <c r="G540" i="23"/>
  <c r="H540" i="23" s="1"/>
  <c r="G541" i="23"/>
  <c r="I541" i="23" s="1"/>
  <c r="G542" i="23"/>
  <c r="I542" i="23" s="1"/>
  <c r="G543" i="23"/>
  <c r="I543" i="23" s="1"/>
  <c r="G544" i="23"/>
  <c r="I544" i="23" s="1"/>
  <c r="G545" i="23"/>
  <c r="I545" i="23" s="1"/>
  <c r="G546" i="23"/>
  <c r="I546" i="23" s="1"/>
  <c r="G547" i="23"/>
  <c r="I547" i="23" s="1"/>
  <c r="G548" i="23"/>
  <c r="I548" i="23" s="1"/>
  <c r="G549" i="23"/>
  <c r="I549" i="23" s="1"/>
  <c r="G550" i="23"/>
  <c r="I550" i="23" s="1"/>
  <c r="G551" i="23"/>
  <c r="I551" i="23" s="1"/>
  <c r="G552" i="23"/>
  <c r="I552" i="23" s="1"/>
  <c r="G553" i="23"/>
  <c r="I553" i="23" s="1"/>
  <c r="G554" i="23"/>
  <c r="I554" i="23" s="1"/>
  <c r="G555" i="23"/>
  <c r="I555" i="23" s="1"/>
  <c r="G556" i="23"/>
  <c r="I556" i="23" s="1"/>
  <c r="G557" i="23"/>
  <c r="I557" i="23" s="1"/>
  <c r="G558" i="23"/>
  <c r="I558" i="23" s="1"/>
  <c r="G559" i="23"/>
  <c r="I559" i="23" s="1"/>
  <c r="G560" i="23"/>
  <c r="I560" i="23" s="1"/>
  <c r="G561" i="23"/>
  <c r="I561" i="23" s="1"/>
  <c r="G562" i="23"/>
  <c r="I562" i="23" s="1"/>
  <c r="G563" i="23"/>
  <c r="I563" i="23" s="1"/>
  <c r="G564" i="23"/>
  <c r="I564" i="23" s="1"/>
  <c r="G565" i="23"/>
  <c r="I565" i="23" s="1"/>
  <c r="G566" i="23"/>
  <c r="I566" i="23" s="1"/>
  <c r="G567" i="23"/>
  <c r="I567" i="23" s="1"/>
  <c r="G568" i="23"/>
  <c r="I568" i="23" s="1"/>
  <c r="G569" i="23"/>
  <c r="I569" i="23" s="1"/>
  <c r="G570" i="23"/>
  <c r="I570" i="23" s="1"/>
  <c r="G571" i="23"/>
  <c r="I571" i="23" s="1"/>
  <c r="G572" i="23"/>
  <c r="I572" i="23" s="1"/>
  <c r="G573" i="23"/>
  <c r="I573" i="23" s="1"/>
  <c r="G574" i="23"/>
  <c r="I574" i="23" s="1"/>
  <c r="G575" i="23"/>
  <c r="I575" i="23" s="1"/>
  <c r="G576" i="23"/>
  <c r="I576" i="23" s="1"/>
  <c r="G577" i="23"/>
  <c r="I577" i="23" s="1"/>
  <c r="G578" i="23"/>
  <c r="I578" i="23" s="1"/>
  <c r="G579" i="23"/>
  <c r="I579" i="23" s="1"/>
  <c r="G580" i="23"/>
  <c r="I580" i="23" s="1"/>
  <c r="G581" i="23"/>
  <c r="I581" i="23" s="1"/>
  <c r="G582" i="23"/>
  <c r="I582" i="23" s="1"/>
  <c r="G583" i="23"/>
  <c r="I583" i="23" s="1"/>
  <c r="G584" i="23"/>
  <c r="I584" i="23" s="1"/>
  <c r="G585" i="23"/>
  <c r="I585" i="23" s="1"/>
  <c r="G586" i="23"/>
  <c r="I586" i="23" s="1"/>
  <c r="G587" i="23"/>
  <c r="I587" i="23" s="1"/>
  <c r="G588" i="23"/>
  <c r="I588" i="23" s="1"/>
  <c r="G589" i="23"/>
  <c r="I589" i="23" s="1"/>
  <c r="G590" i="23"/>
  <c r="I590" i="23" s="1"/>
  <c r="G591" i="23"/>
  <c r="I591" i="23" s="1"/>
  <c r="G592" i="23"/>
  <c r="I592" i="23" s="1"/>
  <c r="G593" i="23"/>
  <c r="I593" i="23" s="1"/>
  <c r="G594" i="23"/>
  <c r="I594" i="23" s="1"/>
  <c r="G595" i="23"/>
  <c r="I595" i="23" s="1"/>
  <c r="G596" i="23"/>
  <c r="I596" i="23" s="1"/>
  <c r="G597" i="23"/>
  <c r="I597" i="23" s="1"/>
  <c r="G598" i="23"/>
  <c r="I598" i="23" s="1"/>
  <c r="G599" i="23"/>
  <c r="I599" i="23" s="1"/>
  <c r="G600" i="23"/>
  <c r="I600" i="23" s="1"/>
  <c r="G601" i="23"/>
  <c r="I601" i="23" s="1"/>
  <c r="G602" i="23"/>
  <c r="I602" i="23" s="1"/>
  <c r="G603" i="23"/>
  <c r="I603" i="23" s="1"/>
  <c r="G604" i="23"/>
  <c r="I604" i="23" s="1"/>
  <c r="G605" i="23"/>
  <c r="I605" i="23" s="1"/>
  <c r="G606" i="23"/>
  <c r="I606" i="23" s="1"/>
  <c r="G607" i="23"/>
  <c r="I607" i="23" s="1"/>
  <c r="G608" i="23"/>
  <c r="I608" i="23" s="1"/>
  <c r="G609" i="23"/>
  <c r="I609" i="23" s="1"/>
  <c r="G610" i="23"/>
  <c r="I610" i="23" s="1"/>
  <c r="G611" i="23"/>
  <c r="I611" i="23" s="1"/>
  <c r="G612" i="23"/>
  <c r="I612" i="23" s="1"/>
  <c r="G613" i="23"/>
  <c r="I613" i="23" s="1"/>
  <c r="G614" i="23"/>
  <c r="I614" i="23" s="1"/>
  <c r="G615" i="23"/>
  <c r="I615" i="23" s="1"/>
  <c r="G616" i="23"/>
  <c r="I616" i="23" s="1"/>
  <c r="G617" i="23"/>
  <c r="I617" i="23" s="1"/>
  <c r="G618" i="23"/>
  <c r="I618" i="23" s="1"/>
  <c r="G619" i="23"/>
  <c r="I619" i="23" s="1"/>
  <c r="G620" i="23"/>
  <c r="I620" i="23" s="1"/>
  <c r="G621" i="23"/>
  <c r="I621" i="23" s="1"/>
  <c r="G622" i="23"/>
  <c r="I622" i="23" s="1"/>
  <c r="G623" i="23"/>
  <c r="I623" i="23" s="1"/>
  <c r="G624" i="23"/>
  <c r="I624" i="23" s="1"/>
  <c r="G625" i="23"/>
  <c r="I625" i="23" s="1"/>
  <c r="G626" i="23"/>
  <c r="I626" i="23" s="1"/>
  <c r="G627" i="23"/>
  <c r="I627" i="23" s="1"/>
  <c r="G628" i="23"/>
  <c r="I628" i="23" s="1"/>
  <c r="G629" i="23"/>
  <c r="I629" i="23" s="1"/>
  <c r="G630" i="23"/>
  <c r="I630" i="23" s="1"/>
  <c r="G631" i="23"/>
  <c r="I631" i="23" s="1"/>
  <c r="G632" i="23"/>
  <c r="I632" i="23" s="1"/>
  <c r="G633" i="23"/>
  <c r="I633" i="23" s="1"/>
  <c r="G634" i="23"/>
  <c r="I634" i="23" s="1"/>
  <c r="G635" i="23"/>
  <c r="I635" i="23" s="1"/>
  <c r="G636" i="23"/>
  <c r="I636" i="23" s="1"/>
  <c r="G637" i="23"/>
  <c r="I637" i="23" s="1"/>
  <c r="G638" i="23"/>
  <c r="I638" i="23" s="1"/>
  <c r="G639" i="23"/>
  <c r="I639" i="23" s="1"/>
  <c r="G640" i="23"/>
  <c r="I640" i="23" s="1"/>
  <c r="G641" i="23"/>
  <c r="I641" i="23" s="1"/>
  <c r="G642" i="23"/>
  <c r="I642" i="23" s="1"/>
  <c r="G643" i="23"/>
  <c r="I643" i="23" s="1"/>
  <c r="G644" i="23"/>
  <c r="I644" i="23" s="1"/>
  <c r="G645" i="23"/>
  <c r="I645" i="23" s="1"/>
  <c r="G121" i="23"/>
  <c r="G120" i="23"/>
  <c r="G119" i="23"/>
  <c r="G118" i="23"/>
  <c r="G117" i="23"/>
  <c r="G116" i="23"/>
  <c r="G115" i="23"/>
  <c r="G114" i="23"/>
  <c r="G113" i="23"/>
  <c r="G112" i="23"/>
  <c r="G111" i="23"/>
  <c r="G110" i="23"/>
  <c r="G109" i="23"/>
  <c r="G108" i="23"/>
  <c r="G107" i="23"/>
  <c r="G106" i="23"/>
  <c r="G105" i="23"/>
  <c r="G104" i="23"/>
  <c r="G103" i="23"/>
  <c r="G102" i="23"/>
  <c r="G101" i="23"/>
  <c r="G100" i="23"/>
  <c r="G99" i="23"/>
  <c r="G98" i="23"/>
  <c r="G97" i="23"/>
  <c r="G96" i="23"/>
  <c r="G95" i="23"/>
  <c r="G94" i="23"/>
  <c r="G93" i="23"/>
  <c r="G92" i="23"/>
  <c r="G91" i="23"/>
  <c r="G90" i="23"/>
  <c r="G89" i="23"/>
  <c r="G88" i="23"/>
  <c r="G87" i="23"/>
  <c r="G86" i="23"/>
  <c r="G85" i="23"/>
  <c r="G84" i="23"/>
  <c r="G83" i="23"/>
  <c r="G82" i="23"/>
  <c r="G81" i="23"/>
  <c r="G80" i="23"/>
  <c r="G79" i="23"/>
  <c r="G78" i="23"/>
  <c r="G77" i="23"/>
  <c r="G76" i="23"/>
  <c r="G75" i="23"/>
  <c r="G74" i="23"/>
  <c r="G73" i="23"/>
  <c r="G72" i="23"/>
  <c r="G71" i="23"/>
  <c r="G70" i="23"/>
  <c r="G69" i="23"/>
  <c r="G68" i="23"/>
  <c r="G67" i="23"/>
  <c r="G66" i="23"/>
  <c r="G65" i="23"/>
  <c r="G64" i="23"/>
  <c r="G63" i="23"/>
  <c r="G62" i="23"/>
  <c r="G61" i="23"/>
  <c r="G60" i="23"/>
  <c r="G59" i="23"/>
  <c r="G58" i="23"/>
  <c r="G57" i="23"/>
  <c r="G56" i="23"/>
  <c r="G55" i="23"/>
  <c r="G54" i="23"/>
  <c r="G53" i="23"/>
  <c r="G52" i="23"/>
  <c r="G51" i="23"/>
  <c r="G50" i="23"/>
  <c r="G49" i="23"/>
  <c r="G48" i="23"/>
  <c r="G47" i="23"/>
  <c r="G46" i="23"/>
  <c r="G45" i="23"/>
  <c r="G44" i="23"/>
  <c r="G43" i="23"/>
  <c r="G42" i="23"/>
  <c r="G41" i="23"/>
  <c r="G40" i="23"/>
  <c r="G39" i="23"/>
  <c r="G38" i="23"/>
  <c r="G37" i="23"/>
  <c r="G36" i="23"/>
  <c r="G35" i="23"/>
  <c r="G34" i="23"/>
  <c r="G33" i="23"/>
  <c r="G32" i="23"/>
  <c r="G31" i="23"/>
  <c r="G30" i="23"/>
  <c r="G29" i="23"/>
  <c r="G28" i="23"/>
  <c r="G27" i="23"/>
  <c r="G26" i="23"/>
  <c r="G25" i="23"/>
  <c r="G24" i="23"/>
  <c r="G23" i="23"/>
  <c r="G22" i="23"/>
  <c r="G21" i="23"/>
  <c r="G20" i="23"/>
  <c r="G19" i="23"/>
  <c r="G18" i="23"/>
  <c r="G17" i="23"/>
  <c r="G16" i="23"/>
  <c r="G15" i="23"/>
  <c r="G14" i="23"/>
  <c r="G13" i="23"/>
  <c r="G12" i="23"/>
  <c r="G11" i="23"/>
  <c r="G10" i="23"/>
  <c r="G9" i="23"/>
  <c r="G8" i="23"/>
  <c r="G7" i="23"/>
  <c r="G6" i="23"/>
  <c r="G5" i="23"/>
  <c r="G4" i="23"/>
  <c r="L19" i="37"/>
  <c r="M19" i="37"/>
  <c r="L20" i="37"/>
  <c r="M20" i="37"/>
  <c r="L21" i="37"/>
  <c r="M21" i="37"/>
  <c r="L22" i="37"/>
  <c r="M22" i="37"/>
  <c r="L23" i="37"/>
  <c r="M23" i="37"/>
  <c r="L4" i="37"/>
  <c r="M4" i="37"/>
  <c r="L5" i="37"/>
  <c r="M5" i="37"/>
  <c r="L6" i="37"/>
  <c r="M6" i="37"/>
  <c r="L7" i="37"/>
  <c r="M7" i="37"/>
  <c r="L8" i="37"/>
  <c r="M8" i="37"/>
  <c r="L9" i="37"/>
  <c r="M9" i="37"/>
  <c r="L10" i="37"/>
  <c r="M10" i="37"/>
  <c r="L11" i="37"/>
  <c r="M11" i="37"/>
  <c r="L12" i="37"/>
  <c r="M12" i="37"/>
  <c r="L13" i="37"/>
  <c r="M13" i="37"/>
  <c r="L14" i="37"/>
  <c r="M14" i="37"/>
  <c r="L15" i="37"/>
  <c r="M15" i="37"/>
  <c r="L16" i="37"/>
  <c r="M16" i="37"/>
  <c r="L17" i="37"/>
  <c r="M17" i="37"/>
  <c r="L18" i="37"/>
  <c r="M18" i="37"/>
  <c r="M3" i="37"/>
  <c r="L3" i="37"/>
  <c r="F18" i="37"/>
  <c r="F19" i="37"/>
  <c r="F20" i="37"/>
  <c r="F21" i="37"/>
  <c r="F22" i="37"/>
  <c r="F23" i="37"/>
  <c r="F4" i="37"/>
  <c r="F5" i="37"/>
  <c r="F6" i="37"/>
  <c r="F7" i="37"/>
  <c r="F8" i="37"/>
  <c r="F9" i="37"/>
  <c r="F10" i="37"/>
  <c r="F11" i="37"/>
  <c r="F12" i="37"/>
  <c r="F13" i="37"/>
  <c r="F14" i="37"/>
  <c r="F15" i="37"/>
  <c r="F16" i="37"/>
  <c r="F17" i="37"/>
  <c r="F3" i="37"/>
  <c r="T8" i="37"/>
  <c r="I8" i="23" l="1"/>
  <c r="H8" i="23"/>
  <c r="I12" i="23"/>
  <c r="X14" i="25" s="1"/>
  <c r="H12" i="23"/>
  <c r="W14" i="25" s="1"/>
  <c r="I14" i="23"/>
  <c r="H14" i="23"/>
  <c r="I18" i="23"/>
  <c r="X20" i="25" s="1"/>
  <c r="H18" i="23"/>
  <c r="W20" i="25" s="1"/>
  <c r="I20" i="23"/>
  <c r="H20" i="23"/>
  <c r="I24" i="23"/>
  <c r="X26" i="25" s="1"/>
  <c r="H24" i="23"/>
  <c r="W26" i="25" s="1"/>
  <c r="I26" i="23"/>
  <c r="H26" i="23"/>
  <c r="I28" i="23"/>
  <c r="H28" i="23"/>
  <c r="V29" i="1" s="1"/>
  <c r="I32" i="23"/>
  <c r="H32" i="23"/>
  <c r="I34" i="23"/>
  <c r="H34" i="23"/>
  <c r="V35" i="1" s="1"/>
  <c r="I38" i="23"/>
  <c r="H38" i="23"/>
  <c r="I40" i="23"/>
  <c r="H40" i="23"/>
  <c r="I44" i="23"/>
  <c r="H44" i="23"/>
  <c r="I46" i="23"/>
  <c r="H46" i="23"/>
  <c r="V47" i="1" s="1"/>
  <c r="I50" i="23"/>
  <c r="H50" i="23"/>
  <c r="X58" i="25"/>
  <c r="I54" i="23"/>
  <c r="X56" i="25" s="1"/>
  <c r="H54" i="23"/>
  <c r="W56" i="25" s="1"/>
  <c r="I56" i="23"/>
  <c r="H56" i="23"/>
  <c r="I60" i="23"/>
  <c r="X62" i="25" s="1"/>
  <c r="H60" i="23"/>
  <c r="W62" i="25" s="1"/>
  <c r="I62" i="23"/>
  <c r="H62" i="23"/>
  <c r="I66" i="23"/>
  <c r="X68" i="25" s="1"/>
  <c r="H66" i="23"/>
  <c r="I68" i="23"/>
  <c r="H68" i="23"/>
  <c r="I70" i="23"/>
  <c r="H70" i="23"/>
  <c r="I74" i="23"/>
  <c r="H74" i="23"/>
  <c r="I76" i="23"/>
  <c r="H76" i="23"/>
  <c r="V77" i="1" s="1"/>
  <c r="I80" i="23"/>
  <c r="H80" i="23"/>
  <c r="I82" i="23"/>
  <c r="H82" i="23"/>
  <c r="X88" i="25"/>
  <c r="I84" i="23"/>
  <c r="X86" i="25" s="1"/>
  <c r="H84" i="23"/>
  <c r="W86" i="25" s="1"/>
  <c r="I88" i="23"/>
  <c r="H88" i="23"/>
  <c r="I90" i="23"/>
  <c r="X92" i="25" s="1"/>
  <c r="H90" i="23"/>
  <c r="W92" i="25" s="1"/>
  <c r="I92" i="23"/>
  <c r="H92" i="23"/>
  <c r="I94" i="23"/>
  <c r="H94" i="23"/>
  <c r="V95" i="1" s="1"/>
  <c r="I98" i="23"/>
  <c r="H98" i="23"/>
  <c r="I100" i="23"/>
  <c r="H100" i="23"/>
  <c r="I102" i="23"/>
  <c r="X104" i="25" s="1"/>
  <c r="H102" i="23"/>
  <c r="W104" i="25" s="1"/>
  <c r="I104" i="23"/>
  <c r="H104" i="23"/>
  <c r="I106" i="23"/>
  <c r="H106" i="23"/>
  <c r="V107" i="1" s="1"/>
  <c r="I108" i="23"/>
  <c r="X110" i="25" s="1"/>
  <c r="H108" i="23"/>
  <c r="W110" i="25" s="1"/>
  <c r="I112" i="23"/>
  <c r="H112" i="23"/>
  <c r="I6" i="23"/>
  <c r="H6" i="23"/>
  <c r="I10" i="23"/>
  <c r="H10" i="23"/>
  <c r="V11" i="1" s="1"/>
  <c r="I16" i="23"/>
  <c r="H16" i="23"/>
  <c r="V17" i="1" s="1"/>
  <c r="I22" i="23"/>
  <c r="H22" i="23"/>
  <c r="V23" i="1" s="1"/>
  <c r="I30" i="23"/>
  <c r="X32" i="25" s="1"/>
  <c r="H30" i="23"/>
  <c r="W32" i="25" s="1"/>
  <c r="I36" i="23"/>
  <c r="X38" i="25" s="1"/>
  <c r="H36" i="23"/>
  <c r="I42" i="23"/>
  <c r="X44" i="25" s="1"/>
  <c r="H42" i="23"/>
  <c r="W44" i="25" s="1"/>
  <c r="I48" i="23"/>
  <c r="X50" i="25" s="1"/>
  <c r="H48" i="23"/>
  <c r="W50" i="25" s="1"/>
  <c r="I52" i="23"/>
  <c r="H52" i="23"/>
  <c r="I58" i="23"/>
  <c r="H58" i="23"/>
  <c r="I64" i="23"/>
  <c r="H64" i="23"/>
  <c r="V65" i="1" s="1"/>
  <c r="I72" i="23"/>
  <c r="X74" i="25" s="1"/>
  <c r="H72" i="23"/>
  <c r="W74" i="25" s="1"/>
  <c r="I78" i="23"/>
  <c r="X80" i="25" s="1"/>
  <c r="H78" i="23"/>
  <c r="W80" i="25" s="1"/>
  <c r="I86" i="23"/>
  <c r="H86" i="23"/>
  <c r="I96" i="23"/>
  <c r="X98" i="25" s="1"/>
  <c r="H96" i="23"/>
  <c r="I110" i="23"/>
  <c r="H110" i="23"/>
  <c r="I116" i="23"/>
  <c r="H116" i="23"/>
  <c r="I120" i="23"/>
  <c r="X122" i="25" s="1"/>
  <c r="H120" i="23"/>
  <c r="W122" i="25" s="1"/>
  <c r="I5" i="23"/>
  <c r="H5" i="23"/>
  <c r="I7" i="23"/>
  <c r="W8" i="1" s="1"/>
  <c r="H7" i="23"/>
  <c r="V8" i="1" s="1"/>
  <c r="I9" i="23"/>
  <c r="X11" i="25" s="1"/>
  <c r="H9" i="23"/>
  <c r="W11" i="25" s="1"/>
  <c r="I11" i="23"/>
  <c r="H11" i="23"/>
  <c r="I13" i="23"/>
  <c r="H13" i="23"/>
  <c r="V14" i="1" s="1"/>
  <c r="I15" i="23"/>
  <c r="X17" i="25" s="1"/>
  <c r="H15" i="23"/>
  <c r="W17" i="25" s="1"/>
  <c r="I17" i="23"/>
  <c r="H17" i="23"/>
  <c r="I19" i="23"/>
  <c r="H19" i="23"/>
  <c r="V20" i="1" s="1"/>
  <c r="I21" i="23"/>
  <c r="X23" i="25" s="1"/>
  <c r="H21" i="23"/>
  <c r="I23" i="23"/>
  <c r="H23" i="23"/>
  <c r="I25" i="23"/>
  <c r="H25" i="23"/>
  <c r="V26" i="1" s="1"/>
  <c r="I27" i="23"/>
  <c r="X29" i="25" s="1"/>
  <c r="H27" i="23"/>
  <c r="W29" i="25" s="1"/>
  <c r="I29" i="23"/>
  <c r="H29" i="23"/>
  <c r="I31" i="23"/>
  <c r="H31" i="23"/>
  <c r="V32" i="1" s="1"/>
  <c r="I33" i="23"/>
  <c r="X35" i="25" s="1"/>
  <c r="H33" i="23"/>
  <c r="W35" i="25" s="1"/>
  <c r="I35" i="23"/>
  <c r="H35" i="23"/>
  <c r="I37" i="23"/>
  <c r="H37" i="23"/>
  <c r="X43" i="25"/>
  <c r="I39" i="23"/>
  <c r="X41" i="25" s="1"/>
  <c r="H39" i="23"/>
  <c r="W41" i="25" s="1"/>
  <c r="I41" i="23"/>
  <c r="H41" i="23"/>
  <c r="I43" i="23"/>
  <c r="H43" i="23"/>
  <c r="I45" i="23"/>
  <c r="X47" i="25" s="1"/>
  <c r="H45" i="23"/>
  <c r="W47" i="25" s="1"/>
  <c r="I47" i="23"/>
  <c r="H47" i="23"/>
  <c r="I49" i="23"/>
  <c r="W50" i="1" s="1"/>
  <c r="X51" i="25" s="1"/>
  <c r="H49" i="23"/>
  <c r="V50" i="1" s="1"/>
  <c r="I51" i="23"/>
  <c r="H51" i="23"/>
  <c r="I53" i="23"/>
  <c r="H53" i="23"/>
  <c r="I55" i="23"/>
  <c r="H55" i="23"/>
  <c r="I57" i="23"/>
  <c r="X59" i="25" s="1"/>
  <c r="H57" i="23"/>
  <c r="W59" i="25" s="1"/>
  <c r="I59" i="23"/>
  <c r="H59" i="23"/>
  <c r="I61" i="23"/>
  <c r="H61" i="23"/>
  <c r="V62" i="1" s="1"/>
  <c r="I63" i="23"/>
  <c r="X65" i="25" s="1"/>
  <c r="H63" i="23"/>
  <c r="W65" i="25" s="1"/>
  <c r="I65" i="23"/>
  <c r="H65" i="23"/>
  <c r="I67" i="23"/>
  <c r="H67" i="23"/>
  <c r="X73" i="25"/>
  <c r="I69" i="23"/>
  <c r="X71" i="25" s="1"/>
  <c r="H69" i="23"/>
  <c r="W71" i="25" s="1"/>
  <c r="I71" i="23"/>
  <c r="H71" i="23"/>
  <c r="I73" i="23"/>
  <c r="H73" i="23"/>
  <c r="I75" i="23"/>
  <c r="X77" i="25" s="1"/>
  <c r="H75" i="23"/>
  <c r="W77" i="25" s="1"/>
  <c r="I77" i="23"/>
  <c r="H77" i="23"/>
  <c r="I79" i="23"/>
  <c r="H79" i="23"/>
  <c r="V80" i="1" s="1"/>
  <c r="I81" i="23"/>
  <c r="X83" i="25" s="1"/>
  <c r="H81" i="23"/>
  <c r="I83" i="23"/>
  <c r="H83" i="23"/>
  <c r="I85" i="23"/>
  <c r="H85" i="23"/>
  <c r="I87" i="23"/>
  <c r="X89" i="25" s="1"/>
  <c r="H87" i="23"/>
  <c r="W89" i="25" s="1"/>
  <c r="I89" i="23"/>
  <c r="H89" i="23"/>
  <c r="I91" i="23"/>
  <c r="H91" i="23"/>
  <c r="V92" i="1" s="1"/>
  <c r="I93" i="23"/>
  <c r="X95" i="25" s="1"/>
  <c r="H93" i="23"/>
  <c r="W95" i="25" s="1"/>
  <c r="I95" i="23"/>
  <c r="H95" i="23"/>
  <c r="I97" i="23"/>
  <c r="H97" i="23"/>
  <c r="X103" i="25"/>
  <c r="I99" i="23"/>
  <c r="X101" i="25" s="1"/>
  <c r="H99" i="23"/>
  <c r="W101" i="25" s="1"/>
  <c r="I101" i="23"/>
  <c r="H101" i="23"/>
  <c r="I103" i="23"/>
  <c r="H103" i="23"/>
  <c r="I105" i="23"/>
  <c r="X107" i="25" s="1"/>
  <c r="H105" i="23"/>
  <c r="W107" i="25" s="1"/>
  <c r="I107" i="23"/>
  <c r="H107" i="23"/>
  <c r="I109" i="23"/>
  <c r="H109" i="23"/>
  <c r="V110" i="1" s="1"/>
  <c r="I111" i="23"/>
  <c r="X113" i="25" s="1"/>
  <c r="H111" i="23"/>
  <c r="I113" i="23"/>
  <c r="H113" i="23"/>
  <c r="I115" i="23"/>
  <c r="H115" i="23"/>
  <c r="I117" i="23"/>
  <c r="X119" i="25" s="1"/>
  <c r="H117" i="23"/>
  <c r="W119" i="25" s="1"/>
  <c r="I119" i="23"/>
  <c r="H119" i="23"/>
  <c r="I121" i="23"/>
  <c r="H121" i="23"/>
  <c r="I510" i="23"/>
  <c r="H510" i="23"/>
  <c r="I508" i="23"/>
  <c r="H508" i="23"/>
  <c r="I506" i="23"/>
  <c r="H506" i="23"/>
  <c r="I504" i="23"/>
  <c r="H504" i="23"/>
  <c r="I502" i="23"/>
  <c r="H502" i="23"/>
  <c r="I500" i="23"/>
  <c r="H500" i="23"/>
  <c r="I498" i="23"/>
  <c r="X500" i="25" s="1"/>
  <c r="H498" i="23"/>
  <c r="W500" i="25" s="1"/>
  <c r="I496" i="23"/>
  <c r="W497" i="1" s="1"/>
  <c r="H496" i="23"/>
  <c r="I494" i="23"/>
  <c r="H494" i="23"/>
  <c r="I492" i="23"/>
  <c r="X494" i="25" s="1"/>
  <c r="H492" i="23"/>
  <c r="W494" i="25" s="1"/>
  <c r="I490" i="23"/>
  <c r="W491" i="1" s="1"/>
  <c r="X492" i="25" s="1"/>
  <c r="H490" i="23"/>
  <c r="I488" i="23"/>
  <c r="H488" i="23"/>
  <c r="I486" i="23"/>
  <c r="H486" i="23"/>
  <c r="W488" i="25" s="1"/>
  <c r="I484" i="23"/>
  <c r="W485" i="1" s="1"/>
  <c r="H484" i="23"/>
  <c r="I482" i="23"/>
  <c r="H482" i="23"/>
  <c r="I480" i="23"/>
  <c r="X482" i="25" s="1"/>
  <c r="H480" i="23"/>
  <c r="W482" i="25" s="1"/>
  <c r="I478" i="23"/>
  <c r="H478" i="23"/>
  <c r="I476" i="23"/>
  <c r="H476" i="23"/>
  <c r="W478" i="25"/>
  <c r="I474" i="23"/>
  <c r="X476" i="25" s="1"/>
  <c r="H474" i="23"/>
  <c r="W476" i="25" s="1"/>
  <c r="I472" i="23"/>
  <c r="H472" i="23"/>
  <c r="I470" i="23"/>
  <c r="H470" i="23"/>
  <c r="I468" i="23"/>
  <c r="X470" i="25" s="1"/>
  <c r="H468" i="23"/>
  <c r="W470" i="25" s="1"/>
  <c r="I466" i="23"/>
  <c r="H466" i="23"/>
  <c r="I464" i="23"/>
  <c r="H464" i="23"/>
  <c r="I462" i="23"/>
  <c r="X464" i="25" s="1"/>
  <c r="H462" i="23"/>
  <c r="W464" i="25" s="1"/>
  <c r="I460" i="23"/>
  <c r="H460" i="23"/>
  <c r="I458" i="23"/>
  <c r="H458" i="23"/>
  <c r="I456" i="23"/>
  <c r="H456" i="23"/>
  <c r="W458" i="25" s="1"/>
  <c r="I454" i="23"/>
  <c r="W455" i="1" s="1"/>
  <c r="H454" i="23"/>
  <c r="I452" i="23"/>
  <c r="H452" i="23"/>
  <c r="I450" i="23"/>
  <c r="X452" i="25" s="1"/>
  <c r="H450" i="23"/>
  <c r="W452" i="25" s="1"/>
  <c r="I448" i="23"/>
  <c r="H448" i="23"/>
  <c r="I446" i="23"/>
  <c r="H446" i="23"/>
  <c r="I444" i="23"/>
  <c r="X446" i="25" s="1"/>
  <c r="H444" i="23"/>
  <c r="W446" i="25" s="1"/>
  <c r="I442" i="23"/>
  <c r="H442" i="23"/>
  <c r="I440" i="23"/>
  <c r="H440" i="23"/>
  <c r="I438" i="23"/>
  <c r="X440" i="25" s="1"/>
  <c r="H438" i="23"/>
  <c r="W440" i="25" s="1"/>
  <c r="I436" i="23"/>
  <c r="W437" i="1" s="1"/>
  <c r="H436" i="23"/>
  <c r="I434" i="23"/>
  <c r="H434" i="23"/>
  <c r="I432" i="23"/>
  <c r="X434" i="25" s="1"/>
  <c r="H432" i="23"/>
  <c r="W434" i="25" s="1"/>
  <c r="I430" i="23"/>
  <c r="H430" i="23"/>
  <c r="I428" i="23"/>
  <c r="H428" i="23"/>
  <c r="I426" i="23"/>
  <c r="H426" i="23"/>
  <c r="I424" i="23"/>
  <c r="W425" i="1" s="1"/>
  <c r="H424" i="23"/>
  <c r="V425" i="1" s="1"/>
  <c r="I422" i="23"/>
  <c r="H422" i="23"/>
  <c r="I420" i="23"/>
  <c r="X422" i="25" s="1"/>
  <c r="H420" i="23"/>
  <c r="W422" i="25" s="1"/>
  <c r="I418" i="23"/>
  <c r="H418" i="23"/>
  <c r="I416" i="23"/>
  <c r="H416" i="23"/>
  <c r="W418" i="25"/>
  <c r="I414" i="23"/>
  <c r="X416" i="25" s="1"/>
  <c r="H414" i="23"/>
  <c r="W416" i="25" s="1"/>
  <c r="I412" i="23"/>
  <c r="H412" i="23"/>
  <c r="I410" i="23"/>
  <c r="H410" i="23"/>
  <c r="I408" i="23"/>
  <c r="X410" i="25" s="1"/>
  <c r="H408" i="23"/>
  <c r="W410" i="25" s="1"/>
  <c r="I406" i="23"/>
  <c r="W407" i="1" s="1"/>
  <c r="H406" i="23"/>
  <c r="I404" i="23"/>
  <c r="H404" i="23"/>
  <c r="I402" i="23"/>
  <c r="X404" i="25" s="1"/>
  <c r="H402" i="23"/>
  <c r="W404" i="25" s="1"/>
  <c r="I400" i="23"/>
  <c r="H400" i="23"/>
  <c r="I398" i="23"/>
  <c r="H398" i="23"/>
  <c r="I396" i="23"/>
  <c r="H396" i="23"/>
  <c r="W398" i="25" s="1"/>
  <c r="I394" i="23"/>
  <c r="W395" i="1" s="1"/>
  <c r="H394" i="23"/>
  <c r="I392" i="23"/>
  <c r="H392" i="23"/>
  <c r="I390" i="23"/>
  <c r="X392" i="25" s="1"/>
  <c r="H390" i="23"/>
  <c r="W392" i="25" s="1"/>
  <c r="I388" i="23"/>
  <c r="H388" i="23"/>
  <c r="I386" i="23"/>
  <c r="H386" i="23"/>
  <c r="I384" i="23"/>
  <c r="X386" i="25" s="1"/>
  <c r="H384" i="23"/>
  <c r="W386" i="25" s="1"/>
  <c r="I382" i="23"/>
  <c r="H382" i="23"/>
  <c r="I380" i="23"/>
  <c r="H380" i="23"/>
  <c r="I378" i="23"/>
  <c r="X380" i="25" s="1"/>
  <c r="H378" i="23"/>
  <c r="W380" i="25" s="1"/>
  <c r="I376" i="23"/>
  <c r="W377" i="1" s="1"/>
  <c r="H376" i="23"/>
  <c r="I374" i="23"/>
  <c r="H374" i="23"/>
  <c r="I372" i="23"/>
  <c r="X374" i="25" s="1"/>
  <c r="H372" i="23"/>
  <c r="W374" i="25" s="1"/>
  <c r="I370" i="23"/>
  <c r="H370" i="23"/>
  <c r="I368" i="23"/>
  <c r="H368" i="23"/>
  <c r="I366" i="23"/>
  <c r="H366" i="23"/>
  <c r="I364" i="23"/>
  <c r="W365" i="1" s="1"/>
  <c r="H364" i="23"/>
  <c r="V365" i="1" s="1"/>
  <c r="I362" i="23"/>
  <c r="H362" i="23"/>
  <c r="I360" i="23"/>
  <c r="X362" i="25" s="1"/>
  <c r="H360" i="23"/>
  <c r="W362" i="25" s="1"/>
  <c r="I358" i="23"/>
  <c r="H358" i="23"/>
  <c r="I356" i="23"/>
  <c r="H356" i="23"/>
  <c r="W358" i="25"/>
  <c r="I354" i="23"/>
  <c r="X356" i="25" s="1"/>
  <c r="H354" i="23"/>
  <c r="W356" i="25" s="1"/>
  <c r="I352" i="23"/>
  <c r="H352" i="23"/>
  <c r="I350" i="23"/>
  <c r="H350" i="23"/>
  <c r="I348" i="23"/>
  <c r="X350" i="25" s="1"/>
  <c r="H348" i="23"/>
  <c r="W350" i="25" s="1"/>
  <c r="I346" i="23"/>
  <c r="H346" i="23"/>
  <c r="I344" i="23"/>
  <c r="H344" i="23"/>
  <c r="I342" i="23"/>
  <c r="X344" i="25" s="1"/>
  <c r="H342" i="23"/>
  <c r="W344" i="25" s="1"/>
  <c r="I340" i="23"/>
  <c r="H340" i="23"/>
  <c r="I338" i="23"/>
  <c r="H338" i="23"/>
  <c r="I336" i="23"/>
  <c r="H336" i="23"/>
  <c r="W338" i="25" s="1"/>
  <c r="I334" i="23"/>
  <c r="W335" i="1" s="1"/>
  <c r="H334" i="23"/>
  <c r="I332" i="23"/>
  <c r="H332" i="23"/>
  <c r="I330" i="23"/>
  <c r="X332" i="25" s="1"/>
  <c r="H330" i="23"/>
  <c r="W332" i="25" s="1"/>
  <c r="I328" i="23"/>
  <c r="H328" i="23"/>
  <c r="I326" i="23"/>
  <c r="H326" i="23"/>
  <c r="W328" i="25"/>
  <c r="I324" i="23"/>
  <c r="X326" i="25" s="1"/>
  <c r="H324" i="23"/>
  <c r="W326" i="25" s="1"/>
  <c r="I322" i="23"/>
  <c r="H322" i="23"/>
  <c r="I320" i="23"/>
  <c r="H320" i="23"/>
  <c r="I318" i="23"/>
  <c r="X320" i="25" s="1"/>
  <c r="H318" i="23"/>
  <c r="W320" i="25" s="1"/>
  <c r="I316" i="23"/>
  <c r="W317" i="1" s="1"/>
  <c r="H316" i="23"/>
  <c r="I314" i="23"/>
  <c r="H314" i="23"/>
  <c r="I312" i="23"/>
  <c r="X314" i="25" s="1"/>
  <c r="H312" i="23"/>
  <c r="W314" i="25" s="1"/>
  <c r="I310" i="23"/>
  <c r="H310" i="23"/>
  <c r="I308" i="23"/>
  <c r="H308" i="23"/>
  <c r="I306" i="23"/>
  <c r="H306" i="23"/>
  <c r="W308" i="25" s="1"/>
  <c r="I304" i="23"/>
  <c r="W305" i="1" s="1"/>
  <c r="H304" i="23"/>
  <c r="I302" i="23"/>
  <c r="H302" i="23"/>
  <c r="I300" i="23"/>
  <c r="X302" i="25" s="1"/>
  <c r="H300" i="23"/>
  <c r="W302" i="25" s="1"/>
  <c r="I298" i="23"/>
  <c r="H298" i="23"/>
  <c r="I296" i="23"/>
  <c r="H296" i="23"/>
  <c r="W298" i="25"/>
  <c r="I294" i="23"/>
  <c r="X296" i="25" s="1"/>
  <c r="H294" i="23"/>
  <c r="W296" i="25" s="1"/>
  <c r="I292" i="23"/>
  <c r="H292" i="23"/>
  <c r="I290" i="23"/>
  <c r="H290" i="23"/>
  <c r="I288" i="23"/>
  <c r="X290" i="25" s="1"/>
  <c r="H288" i="23"/>
  <c r="W290" i="25" s="1"/>
  <c r="I286" i="23"/>
  <c r="H286" i="23"/>
  <c r="I284" i="23"/>
  <c r="H284" i="23"/>
  <c r="I282" i="23"/>
  <c r="X284" i="25" s="1"/>
  <c r="H282" i="23"/>
  <c r="W284" i="25" s="1"/>
  <c r="I280" i="23"/>
  <c r="H280" i="23"/>
  <c r="I278" i="23"/>
  <c r="H278" i="23"/>
  <c r="I276" i="23"/>
  <c r="H276" i="23"/>
  <c r="W278" i="25" s="1"/>
  <c r="I274" i="23"/>
  <c r="W275" i="1" s="1"/>
  <c r="H274" i="23"/>
  <c r="I272" i="23"/>
  <c r="H272" i="23"/>
  <c r="I270" i="23"/>
  <c r="X272" i="25" s="1"/>
  <c r="H270" i="23"/>
  <c r="W272" i="25" s="1"/>
  <c r="I268" i="23"/>
  <c r="H268" i="23"/>
  <c r="I266" i="23"/>
  <c r="H266" i="23"/>
  <c r="W268" i="25"/>
  <c r="I264" i="23"/>
  <c r="X266" i="25" s="1"/>
  <c r="H264" i="23"/>
  <c r="W266" i="25" s="1"/>
  <c r="I262" i="23"/>
  <c r="H262" i="23"/>
  <c r="H260" i="23"/>
  <c r="I260" i="23"/>
  <c r="H258" i="23"/>
  <c r="W260" i="25" s="1"/>
  <c r="I258" i="23"/>
  <c r="X260" i="25" s="1"/>
  <c r="H256" i="23"/>
  <c r="I256" i="23"/>
  <c r="W257" i="1" s="1"/>
  <c r="H254" i="23"/>
  <c r="I254" i="23"/>
  <c r="H252" i="23"/>
  <c r="W254" i="25" s="1"/>
  <c r="I252" i="23"/>
  <c r="X254" i="25" s="1"/>
  <c r="H250" i="23"/>
  <c r="I250" i="23"/>
  <c r="I248" i="23"/>
  <c r="H248" i="23"/>
  <c r="I246" i="23"/>
  <c r="H246" i="23"/>
  <c r="W248" i="25" s="1"/>
  <c r="I244" i="23"/>
  <c r="W245" i="1" s="1"/>
  <c r="H244" i="23"/>
  <c r="I242" i="23"/>
  <c r="H242" i="23"/>
  <c r="I240" i="23"/>
  <c r="X242" i="25" s="1"/>
  <c r="H240" i="23"/>
  <c r="W242" i="25" s="1"/>
  <c r="I238" i="23"/>
  <c r="H238" i="23"/>
  <c r="I236" i="23"/>
  <c r="H236" i="23"/>
  <c r="W238" i="25"/>
  <c r="I234" i="23"/>
  <c r="X236" i="25" s="1"/>
  <c r="H234" i="23"/>
  <c r="W236" i="25" s="1"/>
  <c r="I232" i="23"/>
  <c r="H232" i="23"/>
  <c r="I230" i="23"/>
  <c r="H230" i="23"/>
  <c r="I228" i="23"/>
  <c r="X230" i="25" s="1"/>
  <c r="H228" i="23"/>
  <c r="W230" i="25" s="1"/>
  <c r="I226" i="23"/>
  <c r="H226" i="23"/>
  <c r="I224" i="23"/>
  <c r="H224" i="23"/>
  <c r="I222" i="23"/>
  <c r="X224" i="25" s="1"/>
  <c r="H222" i="23"/>
  <c r="W224" i="25" s="1"/>
  <c r="I220" i="23"/>
  <c r="H220" i="23"/>
  <c r="I218" i="23"/>
  <c r="H218" i="23"/>
  <c r="I216" i="23"/>
  <c r="H216" i="23"/>
  <c r="W218" i="25" s="1"/>
  <c r="I214" i="23"/>
  <c r="W215" i="1" s="1"/>
  <c r="H214" i="23"/>
  <c r="I212" i="23"/>
  <c r="H212" i="23"/>
  <c r="I210" i="23"/>
  <c r="X212" i="25" s="1"/>
  <c r="H210" i="23"/>
  <c r="W212" i="25" s="1"/>
  <c r="I208" i="23"/>
  <c r="H208" i="23"/>
  <c r="I206" i="23"/>
  <c r="H206" i="23"/>
  <c r="W208" i="25"/>
  <c r="I204" i="23"/>
  <c r="X206" i="25" s="1"/>
  <c r="H204" i="23"/>
  <c r="W206" i="25" s="1"/>
  <c r="I202" i="23"/>
  <c r="H202" i="23"/>
  <c r="I200" i="23"/>
  <c r="H200" i="23"/>
  <c r="I198" i="23"/>
  <c r="X200" i="25" s="1"/>
  <c r="H198" i="23"/>
  <c r="W200" i="25" s="1"/>
  <c r="I196" i="23"/>
  <c r="W197" i="1" s="1"/>
  <c r="H196" i="23"/>
  <c r="I194" i="23"/>
  <c r="H194" i="23"/>
  <c r="I192" i="23"/>
  <c r="X194" i="25" s="1"/>
  <c r="H192" i="23"/>
  <c r="W194" i="25" s="1"/>
  <c r="I190" i="23"/>
  <c r="H190" i="23"/>
  <c r="I188" i="23"/>
  <c r="H188" i="23"/>
  <c r="I186" i="23"/>
  <c r="H186" i="23"/>
  <c r="W188" i="25" s="1"/>
  <c r="I184" i="23"/>
  <c r="W185" i="1" s="1"/>
  <c r="H184" i="23"/>
  <c r="I182" i="23"/>
  <c r="H182" i="23"/>
  <c r="I180" i="23"/>
  <c r="X182" i="25" s="1"/>
  <c r="H180" i="23"/>
  <c r="W182" i="25" s="1"/>
  <c r="I178" i="23"/>
  <c r="H178" i="23"/>
  <c r="I176" i="23"/>
  <c r="H176" i="23"/>
  <c r="W178" i="25"/>
  <c r="I174" i="23"/>
  <c r="X176" i="25" s="1"/>
  <c r="H174" i="23"/>
  <c r="W176" i="25" s="1"/>
  <c r="I172" i="23"/>
  <c r="H172" i="23"/>
  <c r="I170" i="23"/>
  <c r="H170" i="23"/>
  <c r="I168" i="23"/>
  <c r="X170" i="25" s="1"/>
  <c r="H168" i="23"/>
  <c r="W170" i="25" s="1"/>
  <c r="I166" i="23"/>
  <c r="W167" i="1" s="1"/>
  <c r="H166" i="23"/>
  <c r="I164" i="23"/>
  <c r="H164" i="23"/>
  <c r="I162" i="23"/>
  <c r="X164" i="25" s="1"/>
  <c r="H162" i="23"/>
  <c r="W164" i="25" s="1"/>
  <c r="I160" i="23"/>
  <c r="H160" i="23"/>
  <c r="I158" i="23"/>
  <c r="H158" i="23"/>
  <c r="I156" i="23"/>
  <c r="H156" i="23"/>
  <c r="W158" i="25" s="1"/>
  <c r="I154" i="23"/>
  <c r="W155" i="1" s="1"/>
  <c r="H154" i="23"/>
  <c r="I152" i="23"/>
  <c r="H152" i="23"/>
  <c r="I150" i="23"/>
  <c r="X152" i="25" s="1"/>
  <c r="H150" i="23"/>
  <c r="W152" i="25" s="1"/>
  <c r="I148" i="23"/>
  <c r="H148" i="23"/>
  <c r="I146" i="23"/>
  <c r="H146" i="23"/>
  <c r="W148" i="25"/>
  <c r="I144" i="23"/>
  <c r="X146" i="25" s="1"/>
  <c r="H144" i="23"/>
  <c r="W146" i="25" s="1"/>
  <c r="I142" i="23"/>
  <c r="H142" i="23"/>
  <c r="I140" i="23"/>
  <c r="H140" i="23"/>
  <c r="I138" i="23"/>
  <c r="X140" i="25" s="1"/>
  <c r="H138" i="23"/>
  <c r="W140" i="25" s="1"/>
  <c r="I136" i="23"/>
  <c r="W137" i="1" s="1"/>
  <c r="H136" i="23"/>
  <c r="I134" i="23"/>
  <c r="H134" i="23"/>
  <c r="I132" i="23"/>
  <c r="X134" i="25" s="1"/>
  <c r="H132" i="23"/>
  <c r="W134" i="25" s="1"/>
  <c r="I130" i="23"/>
  <c r="H130" i="23"/>
  <c r="I128" i="23"/>
  <c r="H128" i="23"/>
  <c r="I126" i="23"/>
  <c r="H126" i="23"/>
  <c r="W128" i="25" s="1"/>
  <c r="I124" i="23"/>
  <c r="W125" i="1" s="1"/>
  <c r="H124" i="23"/>
  <c r="I122" i="23"/>
  <c r="H122" i="23"/>
  <c r="H645" i="23"/>
  <c r="H644" i="23"/>
  <c r="H643" i="23"/>
  <c r="H642" i="23"/>
  <c r="H641" i="23"/>
  <c r="H640" i="23"/>
  <c r="H639" i="23"/>
  <c r="H638" i="23"/>
  <c r="H637" i="23"/>
  <c r="H636" i="23"/>
  <c r="H635" i="23"/>
  <c r="H634" i="23"/>
  <c r="H633" i="23"/>
  <c r="H632" i="23"/>
  <c r="H631" i="23"/>
  <c r="H630" i="23"/>
  <c r="H629" i="23"/>
  <c r="H628" i="23"/>
  <c r="H627" i="23"/>
  <c r="H626" i="23"/>
  <c r="H625" i="23"/>
  <c r="H624" i="23"/>
  <c r="H623" i="23"/>
  <c r="H622" i="23"/>
  <c r="H621" i="23"/>
  <c r="H620" i="23"/>
  <c r="H619" i="23"/>
  <c r="H618" i="23"/>
  <c r="H617" i="23"/>
  <c r="H616" i="23"/>
  <c r="H615" i="23"/>
  <c r="H614" i="23"/>
  <c r="H613" i="23"/>
  <c r="H612" i="23"/>
  <c r="H611" i="23"/>
  <c r="H610" i="23"/>
  <c r="H609" i="23"/>
  <c r="H608" i="23"/>
  <c r="H607" i="23"/>
  <c r="H606" i="23"/>
  <c r="H605" i="23"/>
  <c r="H604" i="23"/>
  <c r="H603" i="23"/>
  <c r="H602" i="23"/>
  <c r="H601" i="23"/>
  <c r="H600" i="23"/>
  <c r="H599" i="23"/>
  <c r="H598" i="23"/>
  <c r="H597" i="23"/>
  <c r="H596" i="23"/>
  <c r="H595" i="23"/>
  <c r="H594" i="23"/>
  <c r="H593" i="23"/>
  <c r="H592" i="23"/>
  <c r="H591" i="23"/>
  <c r="H590" i="23"/>
  <c r="H589" i="23"/>
  <c r="H588" i="23"/>
  <c r="H587" i="23"/>
  <c r="H586" i="23"/>
  <c r="H585" i="23"/>
  <c r="H584" i="23"/>
  <c r="H583" i="23"/>
  <c r="H582" i="23"/>
  <c r="H581" i="23"/>
  <c r="H580" i="23"/>
  <c r="H579" i="23"/>
  <c r="H578" i="23"/>
  <c r="H577" i="23"/>
  <c r="H576" i="23"/>
  <c r="H575" i="23"/>
  <c r="H574" i="23"/>
  <c r="H573" i="23"/>
  <c r="H572" i="23"/>
  <c r="H571" i="23"/>
  <c r="H570" i="23"/>
  <c r="H569" i="23"/>
  <c r="H568" i="23"/>
  <c r="H567" i="23"/>
  <c r="H566" i="23"/>
  <c r="H565" i="23"/>
  <c r="H564" i="23"/>
  <c r="H563" i="23"/>
  <c r="H562" i="23"/>
  <c r="H561" i="23"/>
  <c r="H560" i="23"/>
  <c r="H559" i="23"/>
  <c r="H558" i="23"/>
  <c r="H557" i="23"/>
  <c r="H556" i="23"/>
  <c r="H555" i="23"/>
  <c r="H554" i="23"/>
  <c r="H553" i="23"/>
  <c r="H552" i="23"/>
  <c r="H551" i="23"/>
  <c r="H550" i="23"/>
  <c r="H549" i="23"/>
  <c r="H548" i="23"/>
  <c r="H547" i="23"/>
  <c r="H546" i="23"/>
  <c r="H545" i="23"/>
  <c r="H544" i="23"/>
  <c r="H543" i="23"/>
  <c r="H542" i="23"/>
  <c r="H541" i="23"/>
  <c r="I539" i="23"/>
  <c r="I537" i="23"/>
  <c r="I535" i="23"/>
  <c r="I533" i="23"/>
  <c r="I531" i="23"/>
  <c r="I529" i="23"/>
  <c r="I527" i="23"/>
  <c r="I525" i="23"/>
  <c r="I523" i="23"/>
  <c r="I521" i="23"/>
  <c r="I519" i="23"/>
  <c r="I517" i="23"/>
  <c r="I515" i="23"/>
  <c r="I513" i="23"/>
  <c r="I511" i="23"/>
  <c r="X118" i="25"/>
  <c r="I114" i="23"/>
  <c r="X116" i="25" s="1"/>
  <c r="H114" i="23"/>
  <c r="W116" i="25" s="1"/>
  <c r="I118" i="23"/>
  <c r="H118" i="23"/>
  <c r="I509" i="23"/>
  <c r="H509" i="23"/>
  <c r="I507" i="23"/>
  <c r="H507" i="23"/>
  <c r="I505" i="23"/>
  <c r="H505" i="23"/>
  <c r="I503" i="23"/>
  <c r="H503" i="23"/>
  <c r="I501" i="23"/>
  <c r="H501" i="23"/>
  <c r="W503" i="25" s="1"/>
  <c r="I499" i="23"/>
  <c r="W500" i="1" s="1"/>
  <c r="H499" i="23"/>
  <c r="I497" i="23"/>
  <c r="H497" i="23"/>
  <c r="I495" i="23"/>
  <c r="X497" i="25" s="1"/>
  <c r="H495" i="23"/>
  <c r="W497" i="25" s="1"/>
  <c r="I493" i="23"/>
  <c r="H493" i="23"/>
  <c r="I491" i="23"/>
  <c r="H491" i="23"/>
  <c r="W493" i="25"/>
  <c r="I489" i="23"/>
  <c r="X491" i="25" s="1"/>
  <c r="H489" i="23"/>
  <c r="W491" i="25" s="1"/>
  <c r="I487" i="23"/>
  <c r="H487" i="23"/>
  <c r="I485" i="23"/>
  <c r="H485" i="23"/>
  <c r="I483" i="23"/>
  <c r="X485" i="25" s="1"/>
  <c r="H483" i="23"/>
  <c r="W485" i="25" s="1"/>
  <c r="I481" i="23"/>
  <c r="H481" i="23"/>
  <c r="I479" i="23"/>
  <c r="H479" i="23"/>
  <c r="I477" i="23"/>
  <c r="X479" i="25" s="1"/>
  <c r="H477" i="23"/>
  <c r="W479" i="25" s="1"/>
  <c r="I475" i="23"/>
  <c r="H475" i="23"/>
  <c r="I473" i="23"/>
  <c r="H473" i="23"/>
  <c r="I471" i="23"/>
  <c r="H471" i="23"/>
  <c r="W473" i="25" s="1"/>
  <c r="I469" i="23"/>
  <c r="W470" i="1" s="1"/>
  <c r="H469" i="23"/>
  <c r="I467" i="23"/>
  <c r="H467" i="23"/>
  <c r="I465" i="23"/>
  <c r="X467" i="25" s="1"/>
  <c r="H465" i="23"/>
  <c r="W467" i="25" s="1"/>
  <c r="I463" i="23"/>
  <c r="H463" i="23"/>
  <c r="I461" i="23"/>
  <c r="H461" i="23"/>
  <c r="W463" i="25"/>
  <c r="I459" i="23"/>
  <c r="X461" i="25" s="1"/>
  <c r="H459" i="23"/>
  <c r="W461" i="25" s="1"/>
  <c r="I457" i="23"/>
  <c r="H457" i="23"/>
  <c r="I455" i="23"/>
  <c r="H455" i="23"/>
  <c r="I453" i="23"/>
  <c r="X455" i="25" s="1"/>
  <c r="H453" i="23"/>
  <c r="W455" i="25" s="1"/>
  <c r="I451" i="23"/>
  <c r="W452" i="1" s="1"/>
  <c r="H451" i="23"/>
  <c r="I449" i="23"/>
  <c r="H449" i="23"/>
  <c r="I447" i="23"/>
  <c r="X449" i="25" s="1"/>
  <c r="H447" i="23"/>
  <c r="W449" i="25" s="1"/>
  <c r="I445" i="23"/>
  <c r="H445" i="23"/>
  <c r="I443" i="23"/>
  <c r="H443" i="23"/>
  <c r="I441" i="23"/>
  <c r="H441" i="23"/>
  <c r="W443" i="25" s="1"/>
  <c r="I439" i="23"/>
  <c r="W440" i="1" s="1"/>
  <c r="H439" i="23"/>
  <c r="I437" i="23"/>
  <c r="H437" i="23"/>
  <c r="I435" i="23"/>
  <c r="X437" i="25" s="1"/>
  <c r="H435" i="23"/>
  <c r="W437" i="25" s="1"/>
  <c r="I433" i="23"/>
  <c r="H433" i="23"/>
  <c r="I431" i="23"/>
  <c r="H431" i="23"/>
  <c r="I429" i="23"/>
  <c r="X431" i="25" s="1"/>
  <c r="H429" i="23"/>
  <c r="W431" i="25" s="1"/>
  <c r="I427" i="23"/>
  <c r="H427" i="23"/>
  <c r="I425" i="23"/>
  <c r="H425" i="23"/>
  <c r="I423" i="23"/>
  <c r="X425" i="25" s="1"/>
  <c r="H423" i="23"/>
  <c r="W425" i="25" s="1"/>
  <c r="I421" i="23"/>
  <c r="H421" i="23"/>
  <c r="I419" i="23"/>
  <c r="H419" i="23"/>
  <c r="I417" i="23"/>
  <c r="X419" i="25" s="1"/>
  <c r="H417" i="23"/>
  <c r="W419" i="25" s="1"/>
  <c r="I415" i="23"/>
  <c r="H415" i="23"/>
  <c r="I413" i="23"/>
  <c r="H413" i="23"/>
  <c r="I411" i="23"/>
  <c r="H411" i="23"/>
  <c r="I409" i="23"/>
  <c r="W410" i="1" s="1"/>
  <c r="H409" i="23"/>
  <c r="V410" i="1" s="1"/>
  <c r="I407" i="23"/>
  <c r="H407" i="23"/>
  <c r="I405" i="23"/>
  <c r="X407" i="25" s="1"/>
  <c r="H405" i="23"/>
  <c r="W407" i="25" s="1"/>
  <c r="I403" i="23"/>
  <c r="H403" i="23"/>
  <c r="I401" i="23"/>
  <c r="H401" i="23"/>
  <c r="W403" i="25"/>
  <c r="I399" i="23"/>
  <c r="X401" i="25" s="1"/>
  <c r="H399" i="23"/>
  <c r="W401" i="25" s="1"/>
  <c r="I397" i="23"/>
  <c r="H397" i="23"/>
  <c r="I395" i="23"/>
  <c r="H395" i="23"/>
  <c r="I393" i="23"/>
  <c r="X395" i="25" s="1"/>
  <c r="H393" i="23"/>
  <c r="W395" i="25" s="1"/>
  <c r="I391" i="23"/>
  <c r="W392" i="1" s="1"/>
  <c r="H391" i="23"/>
  <c r="I389" i="23"/>
  <c r="H389" i="23"/>
  <c r="I387" i="23"/>
  <c r="X389" i="25" s="1"/>
  <c r="H387" i="23"/>
  <c r="W389" i="25" s="1"/>
  <c r="I385" i="23"/>
  <c r="H385" i="23"/>
  <c r="I383" i="23"/>
  <c r="H383" i="23"/>
  <c r="I381" i="23"/>
  <c r="H381" i="23"/>
  <c r="W383" i="25" s="1"/>
  <c r="I379" i="23"/>
  <c r="W380" i="1" s="1"/>
  <c r="H379" i="23"/>
  <c r="V380" i="1" s="1"/>
  <c r="W381" i="25" s="1"/>
  <c r="I377" i="23"/>
  <c r="H377" i="23"/>
  <c r="I375" i="23"/>
  <c r="X377" i="25" s="1"/>
  <c r="H375" i="23"/>
  <c r="W377" i="25" s="1"/>
  <c r="I373" i="23"/>
  <c r="H373" i="23"/>
  <c r="I371" i="23"/>
  <c r="H371" i="23"/>
  <c r="I369" i="23"/>
  <c r="X371" i="25" s="1"/>
  <c r="H369" i="23"/>
  <c r="W371" i="25" s="1"/>
  <c r="I367" i="23"/>
  <c r="H367" i="23"/>
  <c r="I365" i="23"/>
  <c r="H365" i="23"/>
  <c r="I363" i="23"/>
  <c r="X365" i="25" s="1"/>
  <c r="H363" i="23"/>
  <c r="W365" i="25" s="1"/>
  <c r="I361" i="23"/>
  <c r="W362" i="1" s="1"/>
  <c r="H361" i="23"/>
  <c r="I359" i="23"/>
  <c r="H359" i="23"/>
  <c r="I357" i="23"/>
  <c r="X359" i="25" s="1"/>
  <c r="H357" i="23"/>
  <c r="W359" i="25" s="1"/>
  <c r="I355" i="23"/>
  <c r="H355" i="23"/>
  <c r="I353" i="23"/>
  <c r="H353" i="23"/>
  <c r="I351" i="23"/>
  <c r="H351" i="23"/>
  <c r="W353" i="25" s="1"/>
  <c r="I349" i="23"/>
  <c r="W350" i="1" s="1"/>
  <c r="H349" i="23"/>
  <c r="I347" i="23"/>
  <c r="H347" i="23"/>
  <c r="I345" i="23"/>
  <c r="X347" i="25" s="1"/>
  <c r="H345" i="23"/>
  <c r="W347" i="25" s="1"/>
  <c r="I343" i="23"/>
  <c r="H343" i="23"/>
  <c r="I341" i="23"/>
  <c r="H341" i="23"/>
  <c r="W343" i="25"/>
  <c r="I339" i="23"/>
  <c r="X341" i="25" s="1"/>
  <c r="H339" i="23"/>
  <c r="W341" i="25" s="1"/>
  <c r="I337" i="23"/>
  <c r="H337" i="23"/>
  <c r="I335" i="23"/>
  <c r="H335" i="23"/>
  <c r="I333" i="23"/>
  <c r="X335" i="25" s="1"/>
  <c r="H333" i="23"/>
  <c r="W335" i="25" s="1"/>
  <c r="I331" i="23"/>
  <c r="W332" i="1" s="1"/>
  <c r="H331" i="23"/>
  <c r="I329" i="23"/>
  <c r="H329" i="23"/>
  <c r="I327" i="23"/>
  <c r="X329" i="25" s="1"/>
  <c r="H327" i="23"/>
  <c r="W329" i="25" s="1"/>
  <c r="I325" i="23"/>
  <c r="H325" i="23"/>
  <c r="I323" i="23"/>
  <c r="H323" i="23"/>
  <c r="I321" i="23"/>
  <c r="H321" i="23"/>
  <c r="W323" i="25" s="1"/>
  <c r="I319" i="23"/>
  <c r="W320" i="1" s="1"/>
  <c r="H319" i="23"/>
  <c r="I317" i="23"/>
  <c r="H317" i="23"/>
  <c r="I315" i="23"/>
  <c r="X317" i="25" s="1"/>
  <c r="H315" i="23"/>
  <c r="W317" i="25" s="1"/>
  <c r="I313" i="23"/>
  <c r="H313" i="23"/>
  <c r="I311" i="23"/>
  <c r="H311" i="23"/>
  <c r="W313" i="25"/>
  <c r="I309" i="23"/>
  <c r="X311" i="25" s="1"/>
  <c r="H309" i="23"/>
  <c r="W311" i="25" s="1"/>
  <c r="I307" i="23"/>
  <c r="H307" i="23"/>
  <c r="I305" i="23"/>
  <c r="H305" i="23"/>
  <c r="I303" i="23"/>
  <c r="X305" i="25" s="1"/>
  <c r="H303" i="23"/>
  <c r="W305" i="25" s="1"/>
  <c r="I301" i="23"/>
  <c r="W302" i="1" s="1"/>
  <c r="H301" i="23"/>
  <c r="I299" i="23"/>
  <c r="H299" i="23"/>
  <c r="I297" i="23"/>
  <c r="X299" i="25" s="1"/>
  <c r="H297" i="23"/>
  <c r="W299" i="25" s="1"/>
  <c r="I295" i="23"/>
  <c r="H295" i="23"/>
  <c r="I293" i="23"/>
  <c r="H293" i="23"/>
  <c r="I291" i="23"/>
  <c r="H291" i="23"/>
  <c r="W293" i="25" s="1"/>
  <c r="I289" i="23"/>
  <c r="W290" i="1" s="1"/>
  <c r="H289" i="23"/>
  <c r="I287" i="23"/>
  <c r="H287" i="23"/>
  <c r="I285" i="23"/>
  <c r="X287" i="25" s="1"/>
  <c r="H285" i="23"/>
  <c r="W287" i="25" s="1"/>
  <c r="I283" i="23"/>
  <c r="H283" i="23"/>
  <c r="I281" i="23"/>
  <c r="H281" i="23"/>
  <c r="W283" i="25"/>
  <c r="I279" i="23"/>
  <c r="X281" i="25" s="1"/>
  <c r="H279" i="23"/>
  <c r="W281" i="25" s="1"/>
  <c r="I277" i="23"/>
  <c r="H277" i="23"/>
  <c r="I275" i="23"/>
  <c r="H275" i="23"/>
  <c r="I273" i="23"/>
  <c r="X275" i="25" s="1"/>
  <c r="H273" i="23"/>
  <c r="W275" i="25" s="1"/>
  <c r="I271" i="23"/>
  <c r="W272" i="1" s="1"/>
  <c r="H271" i="23"/>
  <c r="I269" i="23"/>
  <c r="H269" i="23"/>
  <c r="I267" i="23"/>
  <c r="X269" i="25" s="1"/>
  <c r="H267" i="23"/>
  <c r="W269" i="25" s="1"/>
  <c r="I265" i="23"/>
  <c r="H265" i="23"/>
  <c r="I263" i="23"/>
  <c r="H263" i="23"/>
  <c r="I261" i="23"/>
  <c r="H261" i="23"/>
  <c r="W263" i="25" s="1"/>
  <c r="H259" i="23"/>
  <c r="I259" i="23"/>
  <c r="W260" i="1" s="1"/>
  <c r="H257" i="23"/>
  <c r="I257" i="23"/>
  <c r="H255" i="23"/>
  <c r="W257" i="25" s="1"/>
  <c r="I255" i="23"/>
  <c r="X257" i="25" s="1"/>
  <c r="H253" i="23"/>
  <c r="I253" i="23"/>
  <c r="H251" i="23"/>
  <c r="I251" i="23"/>
  <c r="W253" i="25"/>
  <c r="H249" i="23"/>
  <c r="W251" i="25" s="1"/>
  <c r="I249" i="23"/>
  <c r="X251" i="25" s="1"/>
  <c r="I247" i="23"/>
  <c r="H247" i="23"/>
  <c r="I245" i="23"/>
  <c r="H245" i="23"/>
  <c r="I243" i="23"/>
  <c r="X245" i="25" s="1"/>
  <c r="H243" i="23"/>
  <c r="W245" i="25" s="1"/>
  <c r="I241" i="23"/>
  <c r="H241" i="23"/>
  <c r="I239" i="23"/>
  <c r="H239" i="23"/>
  <c r="I237" i="23"/>
  <c r="X239" i="25" s="1"/>
  <c r="H237" i="23"/>
  <c r="W239" i="25" s="1"/>
  <c r="I235" i="23"/>
  <c r="H235" i="23"/>
  <c r="I233" i="23"/>
  <c r="H233" i="23"/>
  <c r="I231" i="23"/>
  <c r="H231" i="23"/>
  <c r="W233" i="25" s="1"/>
  <c r="I229" i="23"/>
  <c r="W230" i="1" s="1"/>
  <c r="H229" i="23"/>
  <c r="I227" i="23"/>
  <c r="H227" i="23"/>
  <c r="I225" i="23"/>
  <c r="X227" i="25" s="1"/>
  <c r="H225" i="23"/>
  <c r="W227" i="25" s="1"/>
  <c r="I223" i="23"/>
  <c r="H223" i="23"/>
  <c r="I221" i="23"/>
  <c r="H221" i="23"/>
  <c r="W223" i="25"/>
  <c r="I219" i="23"/>
  <c r="X221" i="25" s="1"/>
  <c r="H219" i="23"/>
  <c r="W221" i="25" s="1"/>
  <c r="I217" i="23"/>
  <c r="H217" i="23"/>
  <c r="I215" i="23"/>
  <c r="H215" i="23"/>
  <c r="I213" i="23"/>
  <c r="X215" i="25" s="1"/>
  <c r="H213" i="23"/>
  <c r="W215" i="25" s="1"/>
  <c r="I211" i="23"/>
  <c r="W212" i="1" s="1"/>
  <c r="H211" i="23"/>
  <c r="I209" i="23"/>
  <c r="H209" i="23"/>
  <c r="I207" i="23"/>
  <c r="X209" i="25" s="1"/>
  <c r="H207" i="23"/>
  <c r="W209" i="25" s="1"/>
  <c r="I205" i="23"/>
  <c r="H205" i="23"/>
  <c r="I203" i="23"/>
  <c r="H203" i="23"/>
  <c r="I201" i="23"/>
  <c r="H201" i="23"/>
  <c r="W203" i="25" s="1"/>
  <c r="I199" i="23"/>
  <c r="W200" i="1" s="1"/>
  <c r="H199" i="23"/>
  <c r="I197" i="23"/>
  <c r="H197" i="23"/>
  <c r="I195" i="23"/>
  <c r="X197" i="25" s="1"/>
  <c r="H195" i="23"/>
  <c r="W197" i="25" s="1"/>
  <c r="I193" i="23"/>
  <c r="H193" i="23"/>
  <c r="I191" i="23"/>
  <c r="H191" i="23"/>
  <c r="W193" i="25"/>
  <c r="I189" i="23"/>
  <c r="X191" i="25" s="1"/>
  <c r="H189" i="23"/>
  <c r="W191" i="25" s="1"/>
  <c r="I187" i="23"/>
  <c r="H187" i="23"/>
  <c r="I185" i="23"/>
  <c r="H185" i="23"/>
  <c r="I183" i="23"/>
  <c r="X185" i="25" s="1"/>
  <c r="H183" i="23"/>
  <c r="W185" i="25" s="1"/>
  <c r="I181" i="23"/>
  <c r="W182" i="1" s="1"/>
  <c r="H181" i="23"/>
  <c r="I179" i="23"/>
  <c r="H179" i="23"/>
  <c r="I177" i="23"/>
  <c r="X179" i="25" s="1"/>
  <c r="H177" i="23"/>
  <c r="W179" i="25" s="1"/>
  <c r="I175" i="23"/>
  <c r="H175" i="23"/>
  <c r="I173" i="23"/>
  <c r="H173" i="23"/>
  <c r="I171" i="23"/>
  <c r="H171" i="23"/>
  <c r="W173" i="25" s="1"/>
  <c r="I169" i="23"/>
  <c r="W170" i="1" s="1"/>
  <c r="H169" i="23"/>
  <c r="I167" i="23"/>
  <c r="H167" i="23"/>
  <c r="I165" i="23"/>
  <c r="X167" i="25" s="1"/>
  <c r="H165" i="23"/>
  <c r="W167" i="25" s="1"/>
  <c r="I163" i="23"/>
  <c r="H163" i="23"/>
  <c r="I161" i="23"/>
  <c r="H161" i="23"/>
  <c r="W163" i="25"/>
  <c r="I159" i="23"/>
  <c r="X161" i="25" s="1"/>
  <c r="H159" i="23"/>
  <c r="W161" i="25" s="1"/>
  <c r="I157" i="23"/>
  <c r="H157" i="23"/>
  <c r="I155" i="23"/>
  <c r="H155" i="23"/>
  <c r="I153" i="23"/>
  <c r="X155" i="25" s="1"/>
  <c r="H153" i="23"/>
  <c r="W155" i="25" s="1"/>
  <c r="I151" i="23"/>
  <c r="W152" i="1" s="1"/>
  <c r="H151" i="23"/>
  <c r="I149" i="23"/>
  <c r="H149" i="23"/>
  <c r="I147" i="23"/>
  <c r="X149" i="25" s="1"/>
  <c r="H147" i="23"/>
  <c r="W149" i="25" s="1"/>
  <c r="I145" i="23"/>
  <c r="H145" i="23"/>
  <c r="I143" i="23"/>
  <c r="H143" i="23"/>
  <c r="I141" i="23"/>
  <c r="H141" i="23"/>
  <c r="W143" i="25" s="1"/>
  <c r="I139" i="23"/>
  <c r="W140" i="1" s="1"/>
  <c r="H139" i="23"/>
  <c r="I137" i="23"/>
  <c r="H137" i="23"/>
  <c r="I135" i="23"/>
  <c r="X137" i="25" s="1"/>
  <c r="H135" i="23"/>
  <c r="W137" i="25" s="1"/>
  <c r="I133" i="23"/>
  <c r="H133" i="23"/>
  <c r="I131" i="23"/>
  <c r="H131" i="23"/>
  <c r="W133" i="25"/>
  <c r="I129" i="23"/>
  <c r="X131" i="25" s="1"/>
  <c r="H129" i="23"/>
  <c r="W131" i="25" s="1"/>
  <c r="I127" i="23"/>
  <c r="H127" i="23"/>
  <c r="I125" i="23"/>
  <c r="H125" i="23"/>
  <c r="I123" i="23"/>
  <c r="X125" i="25" s="1"/>
  <c r="H123" i="23"/>
  <c r="W125" i="25" s="1"/>
  <c r="I540" i="23"/>
  <c r="I538" i="23"/>
  <c r="I536" i="23"/>
  <c r="I534" i="23"/>
  <c r="I532" i="23"/>
  <c r="I530" i="23"/>
  <c r="I528" i="23"/>
  <c r="I526" i="23"/>
  <c r="I524" i="23"/>
  <c r="I522" i="23"/>
  <c r="I520" i="23"/>
  <c r="I518" i="23"/>
  <c r="I516" i="23"/>
  <c r="I514" i="23"/>
  <c r="I512" i="23"/>
  <c r="I4" i="23"/>
  <c r="W5" i="1" s="1"/>
  <c r="H4" i="23"/>
  <c r="V5" i="1" s="1"/>
  <c r="X53" i="25"/>
  <c r="X28" i="25"/>
  <c r="X13" i="25"/>
  <c r="X478" i="25"/>
  <c r="X238" i="25"/>
  <c r="X358" i="25"/>
  <c r="X298" i="25"/>
  <c r="X178" i="25"/>
  <c r="W448" i="25"/>
  <c r="X448" i="25"/>
  <c r="W373" i="25"/>
  <c r="X373" i="25"/>
  <c r="W433" i="25"/>
  <c r="X433" i="25"/>
  <c r="W388" i="25"/>
  <c r="X388" i="25"/>
  <c r="X493" i="25"/>
  <c r="X418" i="25"/>
  <c r="X328" i="25"/>
  <c r="X313" i="25"/>
  <c r="X268" i="25"/>
  <c r="X253" i="25"/>
  <c r="X208" i="25"/>
  <c r="X193" i="25"/>
  <c r="X148" i="25"/>
  <c r="X133" i="25"/>
  <c r="X463" i="25"/>
  <c r="X403" i="25"/>
  <c r="X343" i="25"/>
  <c r="X283" i="25"/>
  <c r="X223" i="25"/>
  <c r="X163" i="25"/>
  <c r="W118" i="25"/>
  <c r="W103" i="25"/>
  <c r="W88" i="25"/>
  <c r="W73" i="25"/>
  <c r="W58" i="25"/>
  <c r="W43" i="25"/>
  <c r="B3" i="37"/>
  <c r="B4" i="37" s="1"/>
  <c r="B5" i="37" s="1"/>
  <c r="B6" i="37" s="1"/>
  <c r="AA3" i="37"/>
  <c r="W8" i="37"/>
  <c r="T8" i="26"/>
  <c r="B7" i="37" l="1"/>
  <c r="B8" i="37" s="1"/>
  <c r="B9" i="37" s="1"/>
  <c r="B10" i="37" s="1"/>
  <c r="B11" i="37" s="1"/>
  <c r="B12" i="37" s="1"/>
  <c r="B13" i="37" s="1"/>
  <c r="B14" i="37" s="1"/>
  <c r="B15" i="37" s="1"/>
  <c r="B16" i="37" s="1"/>
  <c r="B17" i="37" s="1"/>
  <c r="B18" i="37" s="1"/>
  <c r="B19" i="37" s="1"/>
  <c r="B20" i="37" s="1"/>
  <c r="B21" i="37" s="1"/>
  <c r="B22" i="37" s="1"/>
  <c r="B23" i="37" s="1"/>
  <c r="W158" i="1"/>
  <c r="X159" i="25" s="1"/>
  <c r="V164" i="1"/>
  <c r="W165" i="25" s="1"/>
  <c r="V188" i="1"/>
  <c r="W189" i="25" s="1"/>
  <c r="W206" i="1"/>
  <c r="X207" i="25" s="1"/>
  <c r="W218" i="1"/>
  <c r="X219" i="25" s="1"/>
  <c r="V254" i="1"/>
  <c r="W255" i="25" s="1"/>
  <c r="V260" i="1"/>
  <c r="W261" i="25" s="1"/>
  <c r="W266" i="1"/>
  <c r="X267" i="25" s="1"/>
  <c r="W338" i="1"/>
  <c r="X339" i="25" s="1"/>
  <c r="V344" i="1"/>
  <c r="W345" i="25" s="1"/>
  <c r="V350" i="1"/>
  <c r="W351" i="25" s="1"/>
  <c r="V362" i="1"/>
  <c r="W363" i="25" s="1"/>
  <c r="V368" i="1"/>
  <c r="W369" i="25" s="1"/>
  <c r="V392" i="1"/>
  <c r="W393" i="25" s="1"/>
  <c r="W422" i="1"/>
  <c r="X423" i="25" s="1"/>
  <c r="W458" i="1"/>
  <c r="X459" i="25" s="1"/>
  <c r="V488" i="1"/>
  <c r="W489" i="25" s="1"/>
  <c r="V125" i="1"/>
  <c r="W126" i="25" s="1"/>
  <c r="W161" i="1"/>
  <c r="X162" i="25" s="1"/>
  <c r="V203" i="1"/>
  <c r="W204" i="25" s="1"/>
  <c r="W209" i="1"/>
  <c r="X210" i="25" s="1"/>
  <c r="V245" i="1"/>
  <c r="W246" i="25" s="1"/>
  <c r="V263" i="1"/>
  <c r="W264" i="25" s="1"/>
  <c r="W269" i="1"/>
  <c r="X270" i="25" s="1"/>
  <c r="W329" i="1"/>
  <c r="X330" i="25" s="1"/>
  <c r="W353" i="1"/>
  <c r="X354" i="25" s="1"/>
  <c r="V359" i="1"/>
  <c r="W360" i="25" s="1"/>
  <c r="V371" i="1"/>
  <c r="W372" i="25" s="1"/>
  <c r="V377" i="1"/>
  <c r="W378" i="25" s="1"/>
  <c r="V383" i="1"/>
  <c r="W384" i="25" s="1"/>
  <c r="V389" i="1"/>
  <c r="W390" i="25" s="1"/>
  <c r="V395" i="1"/>
  <c r="W396" i="25" s="1"/>
  <c r="V401" i="1"/>
  <c r="W402" i="25" s="1"/>
  <c r="V407" i="1"/>
  <c r="W408" i="25" s="1"/>
  <c r="V413" i="1"/>
  <c r="W414" i="25" s="1"/>
  <c r="W419" i="1"/>
  <c r="X420" i="25" s="1"/>
  <c r="W431" i="1"/>
  <c r="X432" i="25" s="1"/>
  <c r="W443" i="1"/>
  <c r="X444" i="25" s="1"/>
  <c r="W449" i="1"/>
  <c r="X450" i="25" s="1"/>
  <c r="W461" i="1"/>
  <c r="X462" i="25" s="1"/>
  <c r="W467" i="1"/>
  <c r="X468" i="25" s="1"/>
  <c r="W473" i="1"/>
  <c r="X474" i="25" s="1"/>
  <c r="V479" i="1"/>
  <c r="W480" i="25" s="1"/>
  <c r="V485" i="1"/>
  <c r="W486" i="25" s="1"/>
  <c r="V491" i="1"/>
  <c r="W492" i="25" s="1"/>
  <c r="V497" i="1"/>
  <c r="W498" i="25" s="1"/>
  <c r="V122" i="1"/>
  <c r="W123" i="25" s="1"/>
  <c r="V116" i="1"/>
  <c r="W117" i="25" s="1"/>
  <c r="V104" i="1"/>
  <c r="W105" i="25" s="1"/>
  <c r="W98" i="1"/>
  <c r="X99" i="25" s="1"/>
  <c r="W92" i="1"/>
  <c r="X93" i="25" s="1"/>
  <c r="W86" i="1"/>
  <c r="X87" i="25" s="1"/>
  <c r="W80" i="1"/>
  <c r="X81" i="25" s="1"/>
  <c r="W74" i="1"/>
  <c r="X75" i="25" s="1"/>
  <c r="V68" i="1"/>
  <c r="W69" i="25" s="1"/>
  <c r="V56" i="1"/>
  <c r="W57" i="25" s="1"/>
  <c r="V44" i="1"/>
  <c r="W45" i="25" s="1"/>
  <c r="W38" i="1"/>
  <c r="X39" i="25" s="1"/>
  <c r="W32" i="1"/>
  <c r="X33" i="25" s="1"/>
  <c r="W26" i="1"/>
  <c r="X27" i="25" s="1"/>
  <c r="W20" i="1"/>
  <c r="X21" i="25" s="1"/>
  <c r="W14" i="1"/>
  <c r="X15" i="25" s="1"/>
  <c r="W65" i="1"/>
  <c r="X66" i="25" s="1"/>
  <c r="W59" i="1"/>
  <c r="X60" i="25" s="1"/>
  <c r="W53" i="1"/>
  <c r="X54" i="25" s="1"/>
  <c r="W23" i="1"/>
  <c r="X24" i="25" s="1"/>
  <c r="W17" i="1"/>
  <c r="X18" i="25" s="1"/>
  <c r="W11" i="1"/>
  <c r="X12" i="25" s="1"/>
  <c r="W113" i="1"/>
  <c r="X114" i="25" s="1"/>
  <c r="W107" i="1"/>
  <c r="X108" i="25" s="1"/>
  <c r="W101" i="1"/>
  <c r="X102" i="25" s="1"/>
  <c r="W95" i="1"/>
  <c r="X96" i="25" s="1"/>
  <c r="W89" i="1"/>
  <c r="X90" i="25" s="1"/>
  <c r="V83" i="1"/>
  <c r="W84" i="25" s="1"/>
  <c r="V71" i="1"/>
  <c r="W72" i="25" s="1"/>
  <c r="W47" i="1"/>
  <c r="X48" i="25" s="1"/>
  <c r="W41" i="1"/>
  <c r="X42" i="25" s="1"/>
  <c r="W35" i="1"/>
  <c r="X36" i="25" s="1"/>
  <c r="W29" i="1"/>
  <c r="X30" i="25" s="1"/>
  <c r="V128" i="1"/>
  <c r="W129" i="25" s="1"/>
  <c r="W134" i="1"/>
  <c r="X135" i="25" s="1"/>
  <c r="W146" i="1"/>
  <c r="X147" i="25" s="1"/>
  <c r="V170" i="1"/>
  <c r="W171" i="25" s="1"/>
  <c r="V176" i="1"/>
  <c r="W177" i="25" s="1"/>
  <c r="V182" i="1"/>
  <c r="W183" i="25" s="1"/>
  <c r="W194" i="1"/>
  <c r="X195" i="25" s="1"/>
  <c r="V224" i="1"/>
  <c r="W225" i="25" s="1"/>
  <c r="V230" i="1"/>
  <c r="W231" i="25" s="1"/>
  <c r="V236" i="1"/>
  <c r="W237" i="25" s="1"/>
  <c r="V242" i="1"/>
  <c r="W243" i="25" s="1"/>
  <c r="V248" i="1"/>
  <c r="W249" i="25" s="1"/>
  <c r="W278" i="1"/>
  <c r="X279" i="25" s="1"/>
  <c r="V284" i="1"/>
  <c r="W285" i="25" s="1"/>
  <c r="V290" i="1"/>
  <c r="W291" i="25" s="1"/>
  <c r="V296" i="1"/>
  <c r="W297" i="25" s="1"/>
  <c r="V302" i="1"/>
  <c r="W303" i="25" s="1"/>
  <c r="V308" i="1"/>
  <c r="W309" i="25" s="1"/>
  <c r="W314" i="1"/>
  <c r="X315" i="25" s="1"/>
  <c r="W326" i="1"/>
  <c r="X327" i="25" s="1"/>
  <c r="V356" i="1"/>
  <c r="W357" i="25" s="1"/>
  <c r="V374" i="1"/>
  <c r="W375" i="25" s="1"/>
  <c r="V386" i="1"/>
  <c r="W387" i="25" s="1"/>
  <c r="V398" i="1"/>
  <c r="W399" i="25" s="1"/>
  <c r="W404" i="1"/>
  <c r="X405" i="25" s="1"/>
  <c r="W416" i="1"/>
  <c r="X417" i="25" s="1"/>
  <c r="W428" i="1"/>
  <c r="X429" i="25" s="1"/>
  <c r="W434" i="1"/>
  <c r="X435" i="25" s="1"/>
  <c r="W446" i="1"/>
  <c r="X447" i="25" s="1"/>
  <c r="V464" i="1"/>
  <c r="W465" i="25" s="1"/>
  <c r="V470" i="1"/>
  <c r="W471" i="25" s="1"/>
  <c r="V476" i="1"/>
  <c r="W477" i="25" s="1"/>
  <c r="V482" i="1"/>
  <c r="W483" i="25" s="1"/>
  <c r="W494" i="1"/>
  <c r="X495" i="25" s="1"/>
  <c r="W119" i="1"/>
  <c r="X120" i="25" s="1"/>
  <c r="V131" i="1"/>
  <c r="W132" i="25" s="1"/>
  <c r="V137" i="1"/>
  <c r="W138" i="25" s="1"/>
  <c r="V143" i="1"/>
  <c r="W144" i="25" s="1"/>
  <c r="W149" i="1"/>
  <c r="X150" i="25" s="1"/>
  <c r="W173" i="1"/>
  <c r="X174" i="25" s="1"/>
  <c r="V179" i="1"/>
  <c r="W180" i="25" s="1"/>
  <c r="V185" i="1"/>
  <c r="W186" i="25" s="1"/>
  <c r="V191" i="1"/>
  <c r="W192" i="25" s="1"/>
  <c r="V197" i="1"/>
  <c r="W198" i="25" s="1"/>
  <c r="W221" i="1"/>
  <c r="X222" i="25" s="1"/>
  <c r="W227" i="1"/>
  <c r="X228" i="25" s="1"/>
  <c r="W233" i="1"/>
  <c r="X234" i="25" s="1"/>
  <c r="V239" i="1"/>
  <c r="W240" i="25" s="1"/>
  <c r="W251" i="1"/>
  <c r="X252" i="25" s="1"/>
  <c r="W281" i="1"/>
  <c r="X282" i="25" s="1"/>
  <c r="W287" i="1"/>
  <c r="X288" i="25" s="1"/>
  <c r="W293" i="1"/>
  <c r="X294" i="25" s="1"/>
  <c r="V299" i="1"/>
  <c r="W300" i="25" s="1"/>
  <c r="V305" i="1"/>
  <c r="W306" i="25" s="1"/>
  <c r="V311" i="1"/>
  <c r="W312" i="25" s="1"/>
  <c r="V317" i="1"/>
  <c r="W318" i="25" s="1"/>
  <c r="V323" i="1"/>
  <c r="W324" i="25" s="1"/>
  <c r="W341" i="1"/>
  <c r="X342" i="25" s="1"/>
  <c r="W347" i="1"/>
  <c r="X348" i="25" s="1"/>
  <c r="W128" i="1"/>
  <c r="X129" i="25" s="1"/>
  <c r="V134" i="1"/>
  <c r="W135" i="25" s="1"/>
  <c r="V140" i="1"/>
  <c r="W141" i="25" s="1"/>
  <c r="V146" i="1"/>
  <c r="W147" i="25" s="1"/>
  <c r="V152" i="1"/>
  <c r="W153" i="25" s="1"/>
  <c r="V158" i="1"/>
  <c r="W159" i="25" s="1"/>
  <c r="W164" i="1"/>
  <c r="X165" i="25" s="1"/>
  <c r="W176" i="1"/>
  <c r="X177" i="25" s="1"/>
  <c r="W188" i="1"/>
  <c r="X189" i="25" s="1"/>
  <c r="V194" i="1"/>
  <c r="W195" i="25" s="1"/>
  <c r="V200" i="1"/>
  <c r="W201" i="25" s="1"/>
  <c r="V206" i="1"/>
  <c r="W207" i="25" s="1"/>
  <c r="V212" i="1"/>
  <c r="W213" i="25" s="1"/>
  <c r="V218" i="1"/>
  <c r="W219" i="25" s="1"/>
  <c r="W224" i="1"/>
  <c r="X225" i="25" s="1"/>
  <c r="W236" i="1"/>
  <c r="X237" i="25" s="1"/>
  <c r="W242" i="1"/>
  <c r="X243" i="25" s="1"/>
  <c r="W248" i="1"/>
  <c r="X249" i="25" s="1"/>
  <c r="W254" i="1"/>
  <c r="X255" i="25" s="1"/>
  <c r="V266" i="1"/>
  <c r="W267" i="25" s="1"/>
  <c r="V272" i="1"/>
  <c r="W273" i="25" s="1"/>
  <c r="V278" i="1"/>
  <c r="W279" i="25" s="1"/>
  <c r="W284" i="1"/>
  <c r="X285" i="25" s="1"/>
  <c r="W296" i="1"/>
  <c r="X297" i="25" s="1"/>
  <c r="W308" i="1"/>
  <c r="X309" i="25" s="1"/>
  <c r="V314" i="1"/>
  <c r="W315" i="25" s="1"/>
  <c r="V320" i="1"/>
  <c r="W321" i="25" s="1"/>
  <c r="V326" i="1"/>
  <c r="W327" i="25" s="1"/>
  <c r="V332" i="1"/>
  <c r="W333" i="25" s="1"/>
  <c r="V338" i="1"/>
  <c r="W339" i="25" s="1"/>
  <c r="W344" i="1"/>
  <c r="X345" i="25" s="1"/>
  <c r="W356" i="1"/>
  <c r="X357" i="25" s="1"/>
  <c r="W368" i="1"/>
  <c r="X369" i="25" s="1"/>
  <c r="W374" i="1"/>
  <c r="X375" i="25" s="1"/>
  <c r="W386" i="1"/>
  <c r="X387" i="25" s="1"/>
  <c r="W398" i="1"/>
  <c r="X399" i="25" s="1"/>
  <c r="V404" i="1"/>
  <c r="W405" i="25" s="1"/>
  <c r="V416" i="1"/>
  <c r="W417" i="25" s="1"/>
  <c r="V422" i="1"/>
  <c r="W423" i="25" s="1"/>
  <c r="V428" i="1"/>
  <c r="W429" i="25" s="1"/>
  <c r="V434" i="1"/>
  <c r="W435" i="25" s="1"/>
  <c r="V440" i="1"/>
  <c r="W441" i="25" s="1"/>
  <c r="V446" i="1"/>
  <c r="W447" i="25" s="1"/>
  <c r="V452" i="1"/>
  <c r="W453" i="25" s="1"/>
  <c r="V458" i="1"/>
  <c r="W459" i="25" s="1"/>
  <c r="W464" i="1"/>
  <c r="X465" i="25" s="1"/>
  <c r="W476" i="1"/>
  <c r="X477" i="25" s="1"/>
  <c r="W482" i="1"/>
  <c r="X483" i="25" s="1"/>
  <c r="W488" i="1"/>
  <c r="X489" i="25" s="1"/>
  <c r="V494" i="1"/>
  <c r="W495" i="25" s="1"/>
  <c r="V500" i="1"/>
  <c r="W501" i="25" s="1"/>
  <c r="V119" i="1"/>
  <c r="W120" i="25" s="1"/>
  <c r="W131" i="1"/>
  <c r="X132" i="25" s="1"/>
  <c r="W143" i="1"/>
  <c r="X144" i="25" s="1"/>
  <c r="V149" i="1"/>
  <c r="W150" i="25" s="1"/>
  <c r="V155" i="1"/>
  <c r="W156" i="25" s="1"/>
  <c r="V161" i="1"/>
  <c r="W162" i="25" s="1"/>
  <c r="V167" i="1"/>
  <c r="W168" i="25" s="1"/>
  <c r="V173" i="1"/>
  <c r="W174" i="25" s="1"/>
  <c r="W179" i="1"/>
  <c r="X180" i="25" s="1"/>
  <c r="W191" i="1"/>
  <c r="X192" i="25" s="1"/>
  <c r="W203" i="1"/>
  <c r="X204" i="25" s="1"/>
  <c r="V209" i="1"/>
  <c r="W210" i="25" s="1"/>
  <c r="V215" i="1"/>
  <c r="W216" i="25" s="1"/>
  <c r="V221" i="1"/>
  <c r="W222" i="25" s="1"/>
  <c r="V227" i="1"/>
  <c r="W228" i="25" s="1"/>
  <c r="V233" i="1"/>
  <c r="W234" i="25" s="1"/>
  <c r="W239" i="1"/>
  <c r="X240" i="25" s="1"/>
  <c r="V251" i="1"/>
  <c r="W252" i="25" s="1"/>
  <c r="V257" i="1"/>
  <c r="W258" i="25" s="1"/>
  <c r="W263" i="1"/>
  <c r="X264" i="25" s="1"/>
  <c r="V269" i="1"/>
  <c r="W270" i="25" s="1"/>
  <c r="V275" i="1"/>
  <c r="W276" i="25" s="1"/>
  <c r="V281" i="1"/>
  <c r="W282" i="25" s="1"/>
  <c r="V287" i="1"/>
  <c r="W288" i="25" s="1"/>
  <c r="V293" i="1"/>
  <c r="W294" i="25" s="1"/>
  <c r="W299" i="1"/>
  <c r="X300" i="25" s="1"/>
  <c r="W311" i="1"/>
  <c r="X312" i="25" s="1"/>
  <c r="W323" i="1"/>
  <c r="X324" i="25" s="1"/>
  <c r="V329" i="1"/>
  <c r="W330" i="25" s="1"/>
  <c r="V335" i="1"/>
  <c r="W336" i="25" s="1"/>
  <c r="V341" i="1"/>
  <c r="W342" i="25" s="1"/>
  <c r="V347" i="1"/>
  <c r="W348" i="25" s="1"/>
  <c r="V353" i="1"/>
  <c r="W354" i="25" s="1"/>
  <c r="W359" i="1"/>
  <c r="X360" i="25" s="1"/>
  <c r="W371" i="1"/>
  <c r="X372" i="25" s="1"/>
  <c r="W383" i="1"/>
  <c r="X384" i="25" s="1"/>
  <c r="W389" i="1"/>
  <c r="X390" i="25" s="1"/>
  <c r="W401" i="1"/>
  <c r="X402" i="25" s="1"/>
  <c r="W413" i="1"/>
  <c r="X414" i="25" s="1"/>
  <c r="V419" i="1"/>
  <c r="W420" i="25" s="1"/>
  <c r="V431" i="1"/>
  <c r="W432" i="25" s="1"/>
  <c r="V437" i="1"/>
  <c r="W438" i="25" s="1"/>
  <c r="V443" i="1"/>
  <c r="W444" i="25" s="1"/>
  <c r="V449" i="1"/>
  <c r="W450" i="25" s="1"/>
  <c r="V455" i="1"/>
  <c r="W456" i="25" s="1"/>
  <c r="V461" i="1"/>
  <c r="W462" i="25" s="1"/>
  <c r="V467" i="1"/>
  <c r="W468" i="25" s="1"/>
  <c r="V473" i="1"/>
  <c r="W474" i="25" s="1"/>
  <c r="W479" i="1"/>
  <c r="X480" i="25" s="1"/>
  <c r="W122" i="1"/>
  <c r="X123" i="25" s="1"/>
  <c r="W116" i="1"/>
  <c r="X117" i="25" s="1"/>
  <c r="W110" i="1"/>
  <c r="X111" i="25" s="1"/>
  <c r="W104" i="1"/>
  <c r="X105" i="25" s="1"/>
  <c r="V98" i="1"/>
  <c r="W99" i="25" s="1"/>
  <c r="V86" i="1"/>
  <c r="W87" i="25" s="1"/>
  <c r="V74" i="1"/>
  <c r="W75" i="25" s="1"/>
  <c r="W68" i="1"/>
  <c r="X69" i="25" s="1"/>
  <c r="W62" i="1"/>
  <c r="X63" i="25" s="1"/>
  <c r="W56" i="1"/>
  <c r="X57" i="25" s="1"/>
  <c r="W44" i="1"/>
  <c r="X45" i="25" s="1"/>
  <c r="V38" i="1"/>
  <c r="W39" i="25" s="1"/>
  <c r="V59" i="1"/>
  <c r="W60" i="25" s="1"/>
  <c r="V53" i="1"/>
  <c r="W54" i="25" s="1"/>
  <c r="V113" i="1"/>
  <c r="W114" i="25" s="1"/>
  <c r="V101" i="1"/>
  <c r="W102" i="25" s="1"/>
  <c r="V89" i="1"/>
  <c r="W90" i="25" s="1"/>
  <c r="W83" i="1"/>
  <c r="X84" i="25" s="1"/>
  <c r="W77" i="1"/>
  <c r="X78" i="25" s="1"/>
  <c r="W71" i="1"/>
  <c r="X72" i="25" s="1"/>
  <c r="V41" i="1"/>
  <c r="W42" i="25" s="1"/>
  <c r="W7" i="25"/>
  <c r="W8" i="25"/>
  <c r="W6" i="25"/>
  <c r="W108" i="25"/>
  <c r="W48" i="25"/>
  <c r="W78" i="25"/>
  <c r="W33" i="25"/>
  <c r="W93" i="25"/>
  <c r="W63" i="25"/>
  <c r="X363" i="25"/>
  <c r="X213" i="25"/>
  <c r="X333" i="25"/>
  <c r="X378" i="25"/>
  <c r="X138" i="25"/>
  <c r="X438" i="25"/>
  <c r="X498" i="25"/>
  <c r="W12" i="25"/>
  <c r="W24" i="25"/>
  <c r="W30" i="25"/>
  <c r="W68" i="25"/>
  <c r="W66" i="25"/>
  <c r="W98" i="25"/>
  <c r="W96" i="25"/>
  <c r="X203" i="25"/>
  <c r="X201" i="25"/>
  <c r="X323" i="25"/>
  <c r="X321" i="25"/>
  <c r="X443" i="25"/>
  <c r="X441" i="25"/>
  <c r="X173" i="25"/>
  <c r="X171" i="25"/>
  <c r="X233" i="25"/>
  <c r="X231" i="25"/>
  <c r="X293" i="25"/>
  <c r="X291" i="25"/>
  <c r="X353" i="25"/>
  <c r="X351" i="25"/>
  <c r="X458" i="25"/>
  <c r="X456" i="25"/>
  <c r="W368" i="25"/>
  <c r="W366" i="25"/>
  <c r="W15" i="25"/>
  <c r="W27" i="25"/>
  <c r="W53" i="25"/>
  <c r="W51" i="25"/>
  <c r="W83" i="25"/>
  <c r="W81" i="25"/>
  <c r="W113" i="25"/>
  <c r="W111" i="25"/>
  <c r="X143" i="25"/>
  <c r="X141" i="25"/>
  <c r="X263" i="25"/>
  <c r="X261" i="25"/>
  <c r="X383" i="25"/>
  <c r="X381" i="25"/>
  <c r="X503" i="25"/>
  <c r="X501" i="25"/>
  <c r="X128" i="25"/>
  <c r="X126" i="25"/>
  <c r="X188" i="25"/>
  <c r="X186" i="25"/>
  <c r="X248" i="25"/>
  <c r="X246" i="25"/>
  <c r="X308" i="25"/>
  <c r="X306" i="25"/>
  <c r="X488" i="25"/>
  <c r="X486" i="25"/>
  <c r="X428" i="25"/>
  <c r="X426" i="25"/>
  <c r="X368" i="25"/>
  <c r="X366" i="25"/>
  <c r="X413" i="25"/>
  <c r="X411" i="25"/>
  <c r="X338" i="25"/>
  <c r="X336" i="25"/>
  <c r="X158" i="25"/>
  <c r="X156" i="25"/>
  <c r="X398" i="25"/>
  <c r="X396" i="25"/>
  <c r="X153" i="25"/>
  <c r="X273" i="25"/>
  <c r="X183" i="25"/>
  <c r="X303" i="25"/>
  <c r="X168" i="25"/>
  <c r="X393" i="25"/>
  <c r="X408" i="25"/>
  <c r="X453" i="25"/>
  <c r="X258" i="25"/>
  <c r="X318" i="25"/>
  <c r="X198" i="25"/>
  <c r="W38" i="25"/>
  <c r="W36" i="25"/>
  <c r="X473" i="25"/>
  <c r="X471" i="25"/>
  <c r="W428" i="25"/>
  <c r="W426" i="25"/>
  <c r="W413" i="25"/>
  <c r="W411" i="25"/>
  <c r="X218" i="25"/>
  <c r="X216" i="25"/>
  <c r="X278" i="25"/>
  <c r="X276" i="25"/>
  <c r="W28" i="25"/>
  <c r="W13" i="25"/>
  <c r="W23" i="25"/>
  <c r="W21" i="25"/>
  <c r="W18" i="25"/>
  <c r="AL13" i="1"/>
  <c r="W9" i="25" l="1"/>
  <c r="X6" i="25"/>
  <c r="S41" i="6"/>
  <c r="K9" i="6"/>
  <c r="AL6" i="1"/>
  <c r="AI3" i="1" s="1"/>
  <c r="U6" i="10"/>
  <c r="U5" i="10"/>
  <c r="T5" i="10"/>
  <c r="B3" i="1"/>
  <c r="AL11" i="1"/>
  <c r="L3" i="1" s="1"/>
  <c r="Y3" i="1" s="1"/>
  <c r="K29" i="6"/>
  <c r="T6" i="10"/>
  <c r="AE4" i="1"/>
  <c r="AE5" i="1" s="1"/>
  <c r="AE6" i="1" s="1"/>
  <c r="AE7" i="1" s="1"/>
  <c r="AE8" i="1" s="1"/>
  <c r="AE9" i="1" s="1"/>
  <c r="AE10" i="1" s="1"/>
  <c r="AE11" i="1" s="1"/>
  <c r="AE12" i="1" s="1"/>
  <c r="AE13" i="1" s="1"/>
  <c r="AE14" i="1" s="1"/>
  <c r="AE15" i="1" s="1"/>
  <c r="AE16" i="1" s="1"/>
  <c r="AE17" i="1" s="1"/>
  <c r="AE18" i="1" s="1"/>
  <c r="AE19" i="1" s="1"/>
  <c r="AE20" i="1" s="1"/>
  <c r="AE21" i="1" s="1"/>
  <c r="AE22" i="1" s="1"/>
  <c r="AE23" i="1" s="1"/>
  <c r="AE24" i="1" s="1"/>
  <c r="AE25" i="1" s="1"/>
  <c r="AE26" i="1" s="1"/>
  <c r="AE27" i="1" s="1"/>
  <c r="AE28" i="1" s="1"/>
  <c r="AE29" i="1" s="1"/>
  <c r="AE30" i="1" s="1"/>
  <c r="AE31" i="1" s="1"/>
  <c r="AE32" i="1" s="1"/>
  <c r="AE33" i="1" s="1"/>
  <c r="AE34" i="1" s="1"/>
  <c r="AE35" i="1" s="1"/>
  <c r="AE36" i="1" s="1"/>
  <c r="AE37" i="1" s="1"/>
  <c r="AE38" i="1" s="1"/>
  <c r="AE39" i="1" s="1"/>
  <c r="AE40" i="1" s="1"/>
  <c r="AE41" i="1" s="1"/>
  <c r="AE42" i="1" s="1"/>
  <c r="AE43" i="1" s="1"/>
  <c r="AE44" i="1" s="1"/>
  <c r="AE45" i="1" s="1"/>
  <c r="AE46" i="1" s="1"/>
  <c r="AE47" i="1" s="1"/>
  <c r="AE48" i="1" s="1"/>
  <c r="AE49" i="1" s="1"/>
  <c r="AE50" i="1" s="1"/>
  <c r="AE51" i="1" s="1"/>
  <c r="AE52" i="1" s="1"/>
  <c r="AE53" i="1" s="1"/>
  <c r="AE54" i="1" s="1"/>
  <c r="AE55" i="1" s="1"/>
  <c r="AE56" i="1" s="1"/>
  <c r="AE57" i="1" s="1"/>
  <c r="AE58" i="1" s="1"/>
  <c r="AE59" i="1" s="1"/>
  <c r="AE60" i="1" s="1"/>
  <c r="AE61" i="1" s="1"/>
  <c r="AE62" i="1" s="1"/>
  <c r="AE63" i="1" s="1"/>
  <c r="AE64" i="1" s="1"/>
  <c r="AE65" i="1" s="1"/>
  <c r="AE66" i="1" s="1"/>
  <c r="AE67" i="1" s="1"/>
  <c r="AE68" i="1" s="1"/>
  <c r="AE69" i="1" s="1"/>
  <c r="AE70" i="1" s="1"/>
  <c r="AE71" i="1" s="1"/>
  <c r="AE72" i="1" s="1"/>
  <c r="AE73" i="1" s="1"/>
  <c r="AE74" i="1" s="1"/>
  <c r="AE75" i="1" s="1"/>
  <c r="AE76" i="1" s="1"/>
  <c r="AE77" i="1" s="1"/>
  <c r="AE78" i="1" s="1"/>
  <c r="AE79" i="1" s="1"/>
  <c r="AE80" i="1" s="1"/>
  <c r="AE81" i="1" s="1"/>
  <c r="AE82" i="1" s="1"/>
  <c r="AE83" i="1" s="1"/>
  <c r="AE84" i="1" s="1"/>
  <c r="AE85" i="1" s="1"/>
  <c r="AE86" i="1" s="1"/>
  <c r="AE87" i="1" s="1"/>
  <c r="AE88" i="1" s="1"/>
  <c r="AE89" i="1" s="1"/>
  <c r="AE90" i="1" s="1"/>
  <c r="AE91" i="1" s="1"/>
  <c r="AE92" i="1" s="1"/>
  <c r="AE93" i="1" s="1"/>
  <c r="AE94" i="1" s="1"/>
  <c r="AE95" i="1" s="1"/>
  <c r="AE96" i="1" s="1"/>
  <c r="AE97" i="1" s="1"/>
  <c r="AE98" i="1" s="1"/>
  <c r="AE99" i="1" s="1"/>
  <c r="AE100" i="1" s="1"/>
  <c r="AE101" i="1" s="1"/>
  <c r="AE102" i="1" s="1"/>
  <c r="AE103" i="1" s="1"/>
  <c r="AE104" i="1" s="1"/>
  <c r="AE105" i="1" s="1"/>
  <c r="AE106" i="1" s="1"/>
  <c r="AE107" i="1" s="1"/>
  <c r="AE108" i="1" s="1"/>
  <c r="AE109" i="1" s="1"/>
  <c r="AE110" i="1" s="1"/>
  <c r="AE111" i="1" s="1"/>
  <c r="AE112" i="1" s="1"/>
  <c r="AE113" i="1" s="1"/>
  <c r="AE114" i="1" s="1"/>
  <c r="AE115" i="1" s="1"/>
  <c r="AE116" i="1" s="1"/>
  <c r="AE117" i="1" s="1"/>
  <c r="AE118" i="1" s="1"/>
  <c r="AE119" i="1" s="1"/>
  <c r="AE120" i="1" s="1"/>
  <c r="AE121" i="1" s="1"/>
  <c r="AE122" i="1" s="1"/>
  <c r="AE123" i="1" s="1"/>
  <c r="AE124" i="1" s="1"/>
  <c r="AE125" i="1" s="1"/>
  <c r="AE126" i="1" s="1"/>
  <c r="AE127" i="1" s="1"/>
  <c r="AE128" i="1" s="1"/>
  <c r="AE129" i="1" s="1"/>
  <c r="AE130" i="1" s="1"/>
  <c r="AE131" i="1" s="1"/>
  <c r="AE132" i="1" s="1"/>
  <c r="AE133" i="1" s="1"/>
  <c r="AE134" i="1" s="1"/>
  <c r="AE135" i="1" s="1"/>
  <c r="AE136" i="1" s="1"/>
  <c r="AE137" i="1" s="1"/>
  <c r="AE138" i="1" s="1"/>
  <c r="AE139" i="1" s="1"/>
  <c r="AE140" i="1" s="1"/>
  <c r="AE141" i="1" s="1"/>
  <c r="AE142" i="1" s="1"/>
  <c r="AE143" i="1" s="1"/>
  <c r="AE144" i="1" s="1"/>
  <c r="AE145" i="1" s="1"/>
  <c r="AE146" i="1" s="1"/>
  <c r="AE147" i="1" s="1"/>
  <c r="AE148" i="1" s="1"/>
  <c r="AE149" i="1" s="1"/>
  <c r="AE150" i="1" s="1"/>
  <c r="AE151" i="1" s="1"/>
  <c r="AE152" i="1" s="1"/>
  <c r="AE153" i="1" s="1"/>
  <c r="AE154" i="1" s="1"/>
  <c r="AE155" i="1" s="1"/>
  <c r="AE156" i="1" s="1"/>
  <c r="AE157" i="1" s="1"/>
  <c r="AE158" i="1" s="1"/>
  <c r="AE159" i="1" s="1"/>
  <c r="AE160" i="1" s="1"/>
  <c r="AE161" i="1" s="1"/>
  <c r="AE162" i="1" s="1"/>
  <c r="AE163" i="1" s="1"/>
  <c r="AE164" i="1" s="1"/>
  <c r="AE165" i="1" s="1"/>
  <c r="AE166" i="1" s="1"/>
  <c r="AE167" i="1" s="1"/>
  <c r="AE168" i="1" s="1"/>
  <c r="AE169" i="1" s="1"/>
  <c r="AE170" i="1" s="1"/>
  <c r="AE171" i="1" s="1"/>
  <c r="AE172" i="1" s="1"/>
  <c r="AE173" i="1" s="1"/>
  <c r="AE174" i="1" s="1"/>
  <c r="AE175" i="1" s="1"/>
  <c r="AE176" i="1" s="1"/>
  <c r="AE177" i="1" s="1"/>
  <c r="AE178" i="1" s="1"/>
  <c r="AE179" i="1" s="1"/>
  <c r="AE180" i="1" s="1"/>
  <c r="AE181" i="1" s="1"/>
  <c r="AE182" i="1" s="1"/>
  <c r="AE183" i="1" s="1"/>
  <c r="AE184" i="1" s="1"/>
  <c r="AE185" i="1" s="1"/>
  <c r="AE186" i="1" s="1"/>
  <c r="AE187" i="1" s="1"/>
  <c r="AE188" i="1" s="1"/>
  <c r="AE189" i="1" s="1"/>
  <c r="AE190" i="1" s="1"/>
  <c r="AE191" i="1" s="1"/>
  <c r="AE192" i="1" s="1"/>
  <c r="AE193" i="1" s="1"/>
  <c r="AE194" i="1" s="1"/>
  <c r="AE195" i="1" s="1"/>
  <c r="AE196" i="1" s="1"/>
  <c r="AE197" i="1" s="1"/>
  <c r="AE198" i="1" s="1"/>
  <c r="AE199" i="1" s="1"/>
  <c r="AE200" i="1" s="1"/>
  <c r="AE201" i="1" s="1"/>
  <c r="AE202" i="1" s="1"/>
  <c r="AE203" i="1" s="1"/>
  <c r="AE204" i="1" s="1"/>
  <c r="AE205" i="1" s="1"/>
  <c r="AE206" i="1" s="1"/>
  <c r="AE207" i="1" s="1"/>
  <c r="AE208" i="1" s="1"/>
  <c r="AE209" i="1" s="1"/>
  <c r="AE210" i="1" s="1"/>
  <c r="AE211" i="1" s="1"/>
  <c r="AE212" i="1" s="1"/>
  <c r="AE213" i="1" s="1"/>
  <c r="AE214" i="1" s="1"/>
  <c r="AE215" i="1" s="1"/>
  <c r="AE216" i="1" s="1"/>
  <c r="AE217" i="1" s="1"/>
  <c r="AE218" i="1" s="1"/>
  <c r="AE219" i="1" s="1"/>
  <c r="AE220" i="1" s="1"/>
  <c r="AE221" i="1" s="1"/>
  <c r="AE222" i="1" s="1"/>
  <c r="AE223" i="1" s="1"/>
  <c r="AE224" i="1" s="1"/>
  <c r="AE225" i="1" s="1"/>
  <c r="AE226" i="1" s="1"/>
  <c r="AE227" i="1" s="1"/>
  <c r="AE228" i="1" s="1"/>
  <c r="AE229" i="1" s="1"/>
  <c r="AE230" i="1" s="1"/>
  <c r="AE231" i="1" s="1"/>
  <c r="AE232" i="1" s="1"/>
  <c r="AE233" i="1" s="1"/>
  <c r="AE234" i="1" s="1"/>
  <c r="AE235" i="1" s="1"/>
  <c r="AE236" i="1" s="1"/>
  <c r="AE237" i="1" s="1"/>
  <c r="AE238" i="1" s="1"/>
  <c r="AE239" i="1" s="1"/>
  <c r="AE240" i="1" s="1"/>
  <c r="AE241" i="1" s="1"/>
  <c r="AE242" i="1" s="1"/>
  <c r="AE243" i="1" s="1"/>
  <c r="AE244" i="1" s="1"/>
  <c r="AE245" i="1" s="1"/>
  <c r="AE246" i="1" s="1"/>
  <c r="AE247" i="1" s="1"/>
  <c r="AE248" i="1" s="1"/>
  <c r="AE249" i="1" s="1"/>
  <c r="AE250" i="1" s="1"/>
  <c r="AE251" i="1" s="1"/>
  <c r="AE252" i="1" s="1"/>
  <c r="AE253" i="1" s="1"/>
  <c r="AE254" i="1" s="1"/>
  <c r="AE255" i="1" s="1"/>
  <c r="AE256" i="1" s="1"/>
  <c r="AE257" i="1" s="1"/>
  <c r="AE258" i="1" s="1"/>
  <c r="AE259" i="1" s="1"/>
  <c r="AE260" i="1" s="1"/>
  <c r="AE261" i="1" s="1"/>
  <c r="AE262" i="1" s="1"/>
  <c r="AE263" i="1" s="1"/>
  <c r="AE264" i="1" s="1"/>
  <c r="AE265" i="1" s="1"/>
  <c r="AE266" i="1" s="1"/>
  <c r="AE267" i="1" s="1"/>
  <c r="AE268" i="1" s="1"/>
  <c r="AE269" i="1" s="1"/>
  <c r="AE270" i="1" s="1"/>
  <c r="AE271" i="1" s="1"/>
  <c r="AE272" i="1" s="1"/>
  <c r="AE273" i="1" s="1"/>
  <c r="AE274" i="1" s="1"/>
  <c r="AE275" i="1" s="1"/>
  <c r="AE276" i="1" s="1"/>
  <c r="AE277" i="1" s="1"/>
  <c r="AE278" i="1" s="1"/>
  <c r="AE279" i="1" s="1"/>
  <c r="AE280" i="1" s="1"/>
  <c r="AE281" i="1" s="1"/>
  <c r="AE282" i="1" s="1"/>
  <c r="AE283" i="1" s="1"/>
  <c r="AE284" i="1" s="1"/>
  <c r="AE285" i="1" s="1"/>
  <c r="AE286" i="1" s="1"/>
  <c r="AE287" i="1" s="1"/>
  <c r="AE288" i="1" s="1"/>
  <c r="AE289" i="1" s="1"/>
  <c r="AE290" i="1" s="1"/>
  <c r="AE291" i="1" s="1"/>
  <c r="AE292" i="1" s="1"/>
  <c r="AE293" i="1" s="1"/>
  <c r="AE294" i="1" s="1"/>
  <c r="AE295" i="1" s="1"/>
  <c r="AE296" i="1" s="1"/>
  <c r="AE297" i="1" s="1"/>
  <c r="AE298" i="1" s="1"/>
  <c r="AE299" i="1" s="1"/>
  <c r="AE300" i="1" s="1"/>
  <c r="AE301" i="1" s="1"/>
  <c r="AE302" i="1" s="1"/>
  <c r="AE303" i="1" s="1"/>
  <c r="AE304" i="1" s="1"/>
  <c r="AE305" i="1" s="1"/>
  <c r="AE306" i="1" s="1"/>
  <c r="AE307" i="1" s="1"/>
  <c r="AE308" i="1" s="1"/>
  <c r="AE309" i="1" s="1"/>
  <c r="AE310" i="1" s="1"/>
  <c r="AE311" i="1" s="1"/>
  <c r="AE312" i="1" s="1"/>
  <c r="AE313" i="1" s="1"/>
  <c r="AE314" i="1" s="1"/>
  <c r="AE315" i="1" s="1"/>
  <c r="AE316" i="1" s="1"/>
  <c r="AE317" i="1" s="1"/>
  <c r="AE318" i="1" s="1"/>
  <c r="AE319" i="1" s="1"/>
  <c r="AE320" i="1" s="1"/>
  <c r="AE321" i="1" s="1"/>
  <c r="AE322" i="1" s="1"/>
  <c r="AE323" i="1" s="1"/>
  <c r="AE324" i="1" s="1"/>
  <c r="AE325" i="1" s="1"/>
  <c r="AE326" i="1" s="1"/>
  <c r="AE327" i="1" s="1"/>
  <c r="AE328" i="1" s="1"/>
  <c r="AE329" i="1" s="1"/>
  <c r="AE330" i="1" s="1"/>
  <c r="AE331" i="1" s="1"/>
  <c r="AE332" i="1" s="1"/>
  <c r="AE333" i="1" s="1"/>
  <c r="AE334" i="1" s="1"/>
  <c r="AE335" i="1" s="1"/>
  <c r="AE336" i="1" s="1"/>
  <c r="AE337" i="1" s="1"/>
  <c r="AE338" i="1" s="1"/>
  <c r="AE339" i="1" s="1"/>
  <c r="AE340" i="1" s="1"/>
  <c r="AE341" i="1" s="1"/>
  <c r="AE342" i="1" s="1"/>
  <c r="AE343" i="1" s="1"/>
  <c r="AE344" i="1" s="1"/>
  <c r="AE345" i="1" s="1"/>
  <c r="AE346" i="1" s="1"/>
  <c r="AE347" i="1" s="1"/>
  <c r="AE348" i="1" s="1"/>
  <c r="AE349" i="1" s="1"/>
  <c r="AE350" i="1" s="1"/>
  <c r="AE351" i="1" s="1"/>
  <c r="AE352" i="1" s="1"/>
  <c r="AE353" i="1" s="1"/>
  <c r="AE354" i="1" s="1"/>
  <c r="AE355" i="1" s="1"/>
  <c r="AE356" i="1" s="1"/>
  <c r="AE357" i="1" s="1"/>
  <c r="AE358" i="1" s="1"/>
  <c r="AE359" i="1" s="1"/>
  <c r="AE360" i="1" s="1"/>
  <c r="AE361" i="1" s="1"/>
  <c r="AE362" i="1" s="1"/>
  <c r="AE363" i="1" s="1"/>
  <c r="AE364" i="1" s="1"/>
  <c r="AE365" i="1" s="1"/>
  <c r="AE366" i="1" s="1"/>
  <c r="AE367" i="1" s="1"/>
  <c r="AE368" i="1" s="1"/>
  <c r="AE369" i="1" s="1"/>
  <c r="AE370" i="1" s="1"/>
  <c r="AE371" i="1" s="1"/>
  <c r="AE372" i="1" s="1"/>
  <c r="AE373" i="1" s="1"/>
  <c r="AE374" i="1" s="1"/>
  <c r="AE375" i="1" s="1"/>
  <c r="AE376" i="1" s="1"/>
  <c r="AE377" i="1" s="1"/>
  <c r="AE378" i="1" s="1"/>
  <c r="AE379" i="1" s="1"/>
  <c r="AE380" i="1" s="1"/>
  <c r="AE381" i="1" s="1"/>
  <c r="AE382" i="1" s="1"/>
  <c r="AE383" i="1" s="1"/>
  <c r="AE384" i="1" s="1"/>
  <c r="AE385" i="1" s="1"/>
  <c r="AE386" i="1" s="1"/>
  <c r="AE387" i="1" s="1"/>
  <c r="AE388" i="1" s="1"/>
  <c r="AE389" i="1" s="1"/>
  <c r="AE390" i="1" s="1"/>
  <c r="AE391" i="1" s="1"/>
  <c r="AE392" i="1" s="1"/>
  <c r="AE393" i="1" s="1"/>
  <c r="AE394" i="1" s="1"/>
  <c r="AE395" i="1" s="1"/>
  <c r="AE396" i="1" s="1"/>
  <c r="AE397" i="1" s="1"/>
  <c r="AE398" i="1" s="1"/>
  <c r="AE399" i="1" s="1"/>
  <c r="AE400" i="1" s="1"/>
  <c r="AE401" i="1" s="1"/>
  <c r="AE402" i="1" s="1"/>
  <c r="AE403" i="1" s="1"/>
  <c r="AE404" i="1" s="1"/>
  <c r="AE405" i="1" s="1"/>
  <c r="AE406" i="1" s="1"/>
  <c r="AE407" i="1" s="1"/>
  <c r="AE408" i="1" s="1"/>
  <c r="AE409" i="1" s="1"/>
  <c r="AE410" i="1" s="1"/>
  <c r="AE411" i="1" s="1"/>
  <c r="AE412" i="1" s="1"/>
  <c r="AE413" i="1" s="1"/>
  <c r="AE414" i="1" s="1"/>
  <c r="AE415" i="1" s="1"/>
  <c r="AE416" i="1" s="1"/>
  <c r="AE417" i="1" s="1"/>
  <c r="AE418" i="1" s="1"/>
  <c r="AE419" i="1" s="1"/>
  <c r="AE420" i="1" s="1"/>
  <c r="AE421" i="1" s="1"/>
  <c r="AE422" i="1" s="1"/>
  <c r="AE423" i="1" s="1"/>
  <c r="AE424" i="1" s="1"/>
  <c r="AE425" i="1" s="1"/>
  <c r="AE426" i="1" s="1"/>
  <c r="AE427" i="1" s="1"/>
  <c r="AE428" i="1" s="1"/>
  <c r="AE429" i="1" s="1"/>
  <c r="AE430" i="1" s="1"/>
  <c r="AE431" i="1" s="1"/>
  <c r="AE432" i="1" s="1"/>
  <c r="AE433" i="1" s="1"/>
  <c r="AE434" i="1" s="1"/>
  <c r="AE435" i="1" s="1"/>
  <c r="AE436" i="1" s="1"/>
  <c r="AE437" i="1" s="1"/>
  <c r="AE438" i="1" s="1"/>
  <c r="AE439" i="1" s="1"/>
  <c r="AE440" i="1" s="1"/>
  <c r="AE441" i="1" s="1"/>
  <c r="AE442" i="1" s="1"/>
  <c r="AE443" i="1" s="1"/>
  <c r="AE444" i="1" s="1"/>
  <c r="AE445" i="1" s="1"/>
  <c r="AE446" i="1" s="1"/>
  <c r="AE447" i="1" s="1"/>
  <c r="AE448" i="1" s="1"/>
  <c r="AE449" i="1" s="1"/>
  <c r="AE450" i="1" s="1"/>
  <c r="AE451" i="1" s="1"/>
  <c r="AE452" i="1" s="1"/>
  <c r="AE453" i="1" s="1"/>
  <c r="AE454" i="1" s="1"/>
  <c r="AE455" i="1" s="1"/>
  <c r="AE456" i="1" s="1"/>
  <c r="AE457" i="1" s="1"/>
  <c r="AE458" i="1" s="1"/>
  <c r="AE459" i="1" s="1"/>
  <c r="AE460" i="1" s="1"/>
  <c r="AE461" i="1" s="1"/>
  <c r="AE462" i="1" s="1"/>
  <c r="AE463" i="1" s="1"/>
  <c r="AE464" i="1" s="1"/>
  <c r="AE465" i="1" s="1"/>
  <c r="AE466" i="1" s="1"/>
  <c r="AE467" i="1" s="1"/>
  <c r="AE468" i="1" s="1"/>
  <c r="AE469" i="1" s="1"/>
  <c r="AE470" i="1" s="1"/>
  <c r="AE471" i="1" s="1"/>
  <c r="AE472" i="1" s="1"/>
  <c r="AE473" i="1" s="1"/>
  <c r="AE474" i="1" s="1"/>
  <c r="AE475" i="1" s="1"/>
  <c r="AE476" i="1" s="1"/>
  <c r="AE477" i="1" s="1"/>
  <c r="AE478" i="1" s="1"/>
  <c r="AE479" i="1" s="1"/>
  <c r="AE480" i="1" s="1"/>
  <c r="AE481" i="1" s="1"/>
  <c r="AE482" i="1" s="1"/>
  <c r="AE483" i="1" s="1"/>
  <c r="AE484" i="1" s="1"/>
  <c r="AE485" i="1" s="1"/>
  <c r="AE486" i="1" s="1"/>
  <c r="AE487" i="1" s="1"/>
  <c r="AE488" i="1" s="1"/>
  <c r="AE489" i="1" s="1"/>
  <c r="AE490" i="1" s="1"/>
  <c r="AE491" i="1" s="1"/>
  <c r="AE492" i="1" s="1"/>
  <c r="AE493" i="1" s="1"/>
  <c r="AE494" i="1" s="1"/>
  <c r="AE495" i="1" s="1"/>
  <c r="AE496" i="1" s="1"/>
  <c r="AE497" i="1" s="1"/>
  <c r="AE498" i="1" s="1"/>
  <c r="AE499" i="1" s="1"/>
  <c r="AE500" i="1" s="1"/>
  <c r="AE501" i="1" s="1"/>
  <c r="AE502" i="1" s="1"/>
  <c r="T7" i="10"/>
  <c r="L4" i="11"/>
  <c r="T8" i="10"/>
  <c r="AL8" i="1"/>
  <c r="AL7" i="1"/>
  <c r="L5" i="11"/>
  <c r="T8" i="1"/>
  <c r="B30" i="23"/>
  <c r="T9" i="1"/>
  <c r="U10" i="10"/>
  <c r="C31" i="23"/>
  <c r="B31" i="23" s="1"/>
  <c r="L7" i="11"/>
  <c r="T10" i="1"/>
  <c r="U11" i="10"/>
  <c r="T11" i="1"/>
  <c r="U12" i="10"/>
  <c r="T12" i="1"/>
  <c r="U13" i="10"/>
  <c r="T13" i="1"/>
  <c r="U14" i="10"/>
  <c r="B9" i="23"/>
  <c r="AD9" i="25" s="1"/>
  <c r="T14" i="1"/>
  <c r="U15" i="10"/>
  <c r="T15" i="1"/>
  <c r="U16" i="10"/>
  <c r="T16" i="1"/>
  <c r="U17" i="10"/>
  <c r="T17" i="1"/>
  <c r="U18" i="10"/>
  <c r="T18" i="1"/>
  <c r="U19" i="10"/>
  <c r="T19" i="1"/>
  <c r="U20" i="10"/>
  <c r="T20" i="1"/>
  <c r="U21" i="10"/>
  <c r="T21" i="1"/>
  <c r="U22" i="10"/>
  <c r="T22" i="1"/>
  <c r="U23" i="10"/>
  <c r="T23" i="1"/>
  <c r="U24" i="10"/>
  <c r="T24" i="1"/>
  <c r="U25" i="10"/>
  <c r="T25" i="1"/>
  <c r="U26" i="10"/>
  <c r="T26" i="1"/>
  <c r="U27" i="10"/>
  <c r="T27" i="1"/>
  <c r="U28" i="10"/>
  <c r="T28" i="1"/>
  <c r="U29" i="10"/>
  <c r="T29" i="1"/>
  <c r="U30" i="10"/>
  <c r="T30" i="1"/>
  <c r="U31" i="10"/>
  <c r="T31" i="1"/>
  <c r="U32" i="10"/>
  <c r="T32" i="1"/>
  <c r="U33" i="10"/>
  <c r="T33" i="1"/>
  <c r="U34" i="10"/>
  <c r="T34" i="1"/>
  <c r="U35" i="10"/>
  <c r="T35" i="1"/>
  <c r="U36" i="10"/>
  <c r="T36" i="1"/>
  <c r="U37" i="10"/>
  <c r="T37" i="1"/>
  <c r="U38" i="10"/>
  <c r="T38" i="1"/>
  <c r="U39" i="10"/>
  <c r="T39" i="1"/>
  <c r="U40" i="10"/>
  <c r="T40" i="1"/>
  <c r="U41" i="10"/>
  <c r="T41" i="1"/>
  <c r="U42" i="10"/>
  <c r="T42" i="1"/>
  <c r="U43" i="10"/>
  <c r="T43" i="1"/>
  <c r="U44" i="10"/>
  <c r="T44" i="1"/>
  <c r="U45" i="10"/>
  <c r="T45" i="1"/>
  <c r="U46" i="10"/>
  <c r="T46" i="1"/>
  <c r="U47" i="10"/>
  <c r="T47" i="1"/>
  <c r="U48" i="10"/>
  <c r="T48" i="1"/>
  <c r="U49" i="10"/>
  <c r="T49" i="1"/>
  <c r="U50" i="10"/>
  <c r="T50" i="1"/>
  <c r="U51" i="10"/>
  <c r="T51" i="1"/>
  <c r="U52" i="10"/>
  <c r="T52" i="1"/>
  <c r="U53" i="10"/>
  <c r="T53" i="1"/>
  <c r="U54" i="10"/>
  <c r="T54" i="1"/>
  <c r="U55" i="10"/>
  <c r="T55" i="1"/>
  <c r="U56" i="10"/>
  <c r="T56" i="1"/>
  <c r="U57" i="10"/>
  <c r="T57" i="1"/>
  <c r="U58" i="10"/>
  <c r="T58" i="1"/>
  <c r="U59" i="10"/>
  <c r="T59" i="1"/>
  <c r="U60" i="10"/>
  <c r="T60" i="1"/>
  <c r="U61" i="10"/>
  <c r="T61" i="1"/>
  <c r="U62" i="10"/>
  <c r="T62" i="1"/>
  <c r="U63" i="10"/>
  <c r="T63" i="1"/>
  <c r="U64" i="10"/>
  <c r="T64" i="1"/>
  <c r="U65" i="10"/>
  <c r="T65" i="1"/>
  <c r="U66" i="10"/>
  <c r="T66" i="1"/>
  <c r="U67" i="10"/>
  <c r="T67" i="1"/>
  <c r="U68" i="10"/>
  <c r="T68" i="1"/>
  <c r="U69" i="10"/>
  <c r="T69" i="1"/>
  <c r="U70" i="10"/>
  <c r="T70" i="1"/>
  <c r="U71" i="10"/>
  <c r="T71" i="1"/>
  <c r="U72" i="10"/>
  <c r="T72" i="1"/>
  <c r="U73" i="10"/>
  <c r="T73" i="1"/>
  <c r="U74" i="10"/>
  <c r="T74" i="1"/>
  <c r="U75" i="10"/>
  <c r="T75" i="1"/>
  <c r="U76" i="10"/>
  <c r="T76" i="1"/>
  <c r="U77" i="10"/>
  <c r="T77" i="1"/>
  <c r="U78" i="10"/>
  <c r="T78" i="1"/>
  <c r="U79" i="10"/>
  <c r="T79" i="1"/>
  <c r="U80" i="10"/>
  <c r="T80" i="1"/>
  <c r="U81" i="10"/>
  <c r="T81" i="1"/>
  <c r="U82" i="10"/>
  <c r="T82" i="1"/>
  <c r="U83" i="10"/>
  <c r="T83" i="1"/>
  <c r="U84" i="10"/>
  <c r="T84" i="1"/>
  <c r="U85" i="10"/>
  <c r="T85" i="1"/>
  <c r="U86" i="10"/>
  <c r="T86" i="1"/>
  <c r="U87" i="10"/>
  <c r="T87" i="1"/>
  <c r="U88" i="10"/>
  <c r="L85" i="11"/>
  <c r="T88" i="1"/>
  <c r="U89" i="10"/>
  <c r="L86" i="11"/>
  <c r="T89" i="1"/>
  <c r="U90" i="10"/>
  <c r="T90" i="1"/>
  <c r="U91" i="10"/>
  <c r="T91" i="1"/>
  <c r="U92" i="10"/>
  <c r="T92" i="1"/>
  <c r="U93" i="10"/>
  <c r="T93" i="1"/>
  <c r="U94" i="10"/>
  <c r="T94" i="1"/>
  <c r="U95" i="10"/>
  <c r="T95" i="1"/>
  <c r="U96" i="10"/>
  <c r="T96" i="1"/>
  <c r="U97" i="10"/>
  <c r="T97" i="1"/>
  <c r="U98" i="10"/>
  <c r="T98" i="1"/>
  <c r="U99" i="10"/>
  <c r="T99" i="1"/>
  <c r="U100" i="10"/>
  <c r="T100" i="1"/>
  <c r="U101" i="10"/>
  <c r="T101" i="1"/>
  <c r="U102" i="10"/>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AG4" i="25"/>
  <c r="U18" i="25" s="1"/>
  <c r="M4" i="25"/>
  <c r="AG5" i="25"/>
  <c r="AG8" i="25" s="1"/>
  <c r="AF21" i="25"/>
  <c r="W8" i="26"/>
  <c r="J23" i="26"/>
  <c r="Y11" i="27"/>
  <c r="T4" i="10"/>
  <c r="B4" i="10" s="1"/>
  <c r="U4" i="10"/>
  <c r="K4" i="10"/>
  <c r="R4" i="13" s="1"/>
  <c r="R7" i="10"/>
  <c r="R9" i="10"/>
  <c r="R8" i="10"/>
  <c r="R10" i="10"/>
  <c r="R11" i="10"/>
  <c r="R12" i="10"/>
  <c r="R13" i="10"/>
  <c r="R14" i="10"/>
  <c r="R15" i="10"/>
  <c r="R16" i="10"/>
  <c r="R17" i="10"/>
  <c r="R18" i="10"/>
  <c r="R19" i="10"/>
  <c r="R20" i="10"/>
  <c r="R21" i="10"/>
  <c r="R22" i="10"/>
  <c r="R23" i="10"/>
  <c r="R24" i="10"/>
  <c r="R25" i="10"/>
  <c r="R26" i="10"/>
  <c r="R27" i="10"/>
  <c r="R28" i="10"/>
  <c r="R29" i="10"/>
  <c r="R30" i="10"/>
  <c r="R31" i="10"/>
  <c r="R32" i="10"/>
  <c r="R33" i="10"/>
  <c r="R34" i="10"/>
  <c r="R35" i="10"/>
  <c r="R36" i="10"/>
  <c r="R37" i="10"/>
  <c r="R38" i="10"/>
  <c r="R39" i="10"/>
  <c r="R40" i="10"/>
  <c r="R41" i="10"/>
  <c r="R42" i="10"/>
  <c r="R43" i="10"/>
  <c r="R44" i="10"/>
  <c r="R45" i="10"/>
  <c r="R46" i="10"/>
  <c r="R47" i="10"/>
  <c r="R48" i="10"/>
  <c r="R49" i="10"/>
  <c r="R50" i="10"/>
  <c r="R51" i="10"/>
  <c r="R52" i="10"/>
  <c r="R53" i="10"/>
  <c r="R54" i="10"/>
  <c r="R55" i="10"/>
  <c r="R56" i="10"/>
  <c r="R57" i="10"/>
  <c r="R58" i="10"/>
  <c r="R59" i="10"/>
  <c r="R60" i="10"/>
  <c r="R61" i="10"/>
  <c r="R62" i="10"/>
  <c r="R63" i="10"/>
  <c r="R64" i="10"/>
  <c r="R65" i="10"/>
  <c r="R66" i="10"/>
  <c r="R67" i="10"/>
  <c r="R68" i="10"/>
  <c r="R69" i="10"/>
  <c r="R70" i="10"/>
  <c r="R71" i="10"/>
  <c r="R72" i="10"/>
  <c r="R73" i="10"/>
  <c r="R74" i="10"/>
  <c r="R75" i="10"/>
  <c r="R76" i="10"/>
  <c r="R77" i="10"/>
  <c r="R78" i="10"/>
  <c r="R79" i="10"/>
  <c r="R80" i="10"/>
  <c r="R81" i="10"/>
  <c r="R82" i="10"/>
  <c r="R83" i="10"/>
  <c r="R84" i="10"/>
  <c r="R85" i="10"/>
  <c r="R86" i="10"/>
  <c r="R87" i="10"/>
  <c r="R88" i="10"/>
  <c r="R89" i="10"/>
  <c r="R90" i="10"/>
  <c r="R91" i="10"/>
  <c r="R92" i="10"/>
  <c r="R93" i="10"/>
  <c r="R94" i="10"/>
  <c r="R95" i="10"/>
  <c r="R96" i="10"/>
  <c r="R97" i="10"/>
  <c r="R98" i="10"/>
  <c r="R99" i="10"/>
  <c r="R100" i="10"/>
  <c r="R101" i="10"/>
  <c r="R102" i="10"/>
  <c r="T6" i="1"/>
  <c r="T7" i="1"/>
  <c r="AK20" i="1"/>
  <c r="K8" i="31"/>
  <c r="H3" i="31"/>
  <c r="Q4" i="13" s="1"/>
  <c r="A17" i="22"/>
  <c r="D19" i="22"/>
  <c r="D20" i="22"/>
  <c r="D21" i="22"/>
  <c r="D22" i="22"/>
  <c r="S43" i="6"/>
  <c r="D24" i="22"/>
  <c r="D25" i="22"/>
  <c r="D26" i="22"/>
  <c r="S42" i="6"/>
  <c r="D18" i="14"/>
  <c r="D19" i="14"/>
  <c r="D20" i="14"/>
  <c r="D21" i="14"/>
  <c r="F28" i="14"/>
  <c r="T42" i="6"/>
  <c r="T43" i="6"/>
  <c r="B2" i="23"/>
  <c r="B3" i="23"/>
  <c r="B41" i="23"/>
  <c r="B42" i="23"/>
  <c r="D18" i="30"/>
  <c r="D19" i="30"/>
  <c r="D20" i="30"/>
  <c r="D21" i="30"/>
  <c r="D22" i="30"/>
  <c r="AO3" i="1" l="1"/>
  <c r="AO4" i="1" s="1"/>
  <c r="M30" i="40"/>
  <c r="L36" i="6"/>
  <c r="F36" i="6"/>
  <c r="A23" i="22"/>
  <c r="A15" i="40"/>
  <c r="D15" i="40"/>
  <c r="Z4" i="25"/>
  <c r="Z4" i="13"/>
  <c r="Q26" i="6"/>
  <c r="F31" i="6"/>
  <c r="F24" i="6"/>
  <c r="I10" i="6"/>
  <c r="L21" i="25"/>
  <c r="L17" i="25"/>
  <c r="Q22" i="6"/>
  <c r="Q16" i="6"/>
  <c r="Q15" i="6"/>
  <c r="L31" i="6"/>
  <c r="Q4" i="6"/>
  <c r="K23" i="25"/>
  <c r="K22" i="25"/>
  <c r="K20" i="25"/>
  <c r="K18" i="25"/>
  <c r="X7" i="25"/>
  <c r="U7" i="10"/>
  <c r="A22" i="14"/>
  <c r="L23" i="25"/>
  <c r="L22" i="25"/>
  <c r="K21" i="25"/>
  <c r="L20" i="25"/>
  <c r="L18" i="25"/>
  <c r="K17" i="25"/>
  <c r="W5" i="37"/>
  <c r="K19" i="1"/>
  <c r="AL5" i="1"/>
  <c r="I6" i="1" s="1"/>
  <c r="I4" i="25"/>
  <c r="I4" i="10"/>
  <c r="H3" i="1"/>
  <c r="AD4" i="25"/>
  <c r="W5" i="26"/>
  <c r="K21" i="1"/>
  <c r="K17" i="1"/>
  <c r="K22" i="1"/>
  <c r="K20" i="1"/>
  <c r="K16" i="1"/>
  <c r="B4" i="25"/>
  <c r="B5" i="25" s="1"/>
  <c r="B6" i="25" s="1"/>
  <c r="B7" i="25" s="1"/>
  <c r="U8" i="25"/>
  <c r="U16" i="25"/>
  <c r="U20" i="25"/>
  <c r="U23" i="25"/>
  <c r="U24" i="25"/>
  <c r="U25" i="25"/>
  <c r="U26" i="25"/>
  <c r="U27" i="25"/>
  <c r="U28" i="25"/>
  <c r="U29" i="25"/>
  <c r="U30" i="25"/>
  <c r="U31" i="25"/>
  <c r="U32" i="25"/>
  <c r="U33" i="25"/>
  <c r="U34" i="25"/>
  <c r="U35" i="25"/>
  <c r="U36" i="25"/>
  <c r="U37" i="25"/>
  <c r="U38" i="25"/>
  <c r="U39" i="25"/>
  <c r="U40" i="25"/>
  <c r="U41" i="25"/>
  <c r="U42" i="25"/>
  <c r="U43" i="25"/>
  <c r="U44" i="25"/>
  <c r="U45" i="25"/>
  <c r="U46" i="25"/>
  <c r="U47" i="25"/>
  <c r="U48" i="25"/>
  <c r="U49" i="25"/>
  <c r="U50" i="25"/>
  <c r="U51" i="25"/>
  <c r="U52" i="25"/>
  <c r="U53" i="25"/>
  <c r="U54" i="25"/>
  <c r="U55" i="25"/>
  <c r="U56" i="25"/>
  <c r="U57" i="25"/>
  <c r="U58" i="25"/>
  <c r="U59" i="25"/>
  <c r="U60" i="25"/>
  <c r="U61" i="25"/>
  <c r="U62" i="25"/>
  <c r="U63" i="25"/>
  <c r="U64" i="25"/>
  <c r="U65" i="25"/>
  <c r="U66" i="25"/>
  <c r="U67" i="25"/>
  <c r="U68" i="25"/>
  <c r="U69" i="25"/>
  <c r="U70" i="25"/>
  <c r="U71" i="25"/>
  <c r="U72" i="25"/>
  <c r="U73" i="25"/>
  <c r="U74" i="25"/>
  <c r="U75" i="25"/>
  <c r="U76" i="25"/>
  <c r="U77" i="25"/>
  <c r="U78" i="25"/>
  <c r="U79" i="25"/>
  <c r="U80" i="25"/>
  <c r="U81" i="25"/>
  <c r="U82" i="25"/>
  <c r="U83" i="25"/>
  <c r="U84" i="25"/>
  <c r="U85" i="25"/>
  <c r="U86" i="25"/>
  <c r="U87" i="25"/>
  <c r="U88" i="25"/>
  <c r="U89" i="25"/>
  <c r="U90" i="25"/>
  <c r="U91" i="25"/>
  <c r="U92" i="25"/>
  <c r="U93" i="25"/>
  <c r="U94" i="25"/>
  <c r="U95" i="25"/>
  <c r="U96" i="25"/>
  <c r="U97" i="25"/>
  <c r="U98" i="25"/>
  <c r="U99" i="25"/>
  <c r="U100" i="25"/>
  <c r="U101" i="25"/>
  <c r="U102" i="25"/>
  <c r="U103" i="25"/>
  <c r="U104" i="25"/>
  <c r="U105" i="25"/>
  <c r="U106" i="25"/>
  <c r="U107" i="25"/>
  <c r="U108" i="25"/>
  <c r="U109" i="25"/>
  <c r="U110" i="25"/>
  <c r="U111" i="25"/>
  <c r="U112" i="25"/>
  <c r="U113" i="25"/>
  <c r="U114" i="25"/>
  <c r="U115" i="25"/>
  <c r="U116" i="25"/>
  <c r="U117" i="25"/>
  <c r="U118" i="25"/>
  <c r="U119" i="25"/>
  <c r="U120" i="25"/>
  <c r="U121" i="25"/>
  <c r="U122" i="25"/>
  <c r="U123" i="25"/>
  <c r="U124" i="25"/>
  <c r="U125" i="25"/>
  <c r="U126" i="25"/>
  <c r="U127" i="25"/>
  <c r="U128" i="25"/>
  <c r="U129" i="25"/>
  <c r="U130" i="25"/>
  <c r="U131" i="25"/>
  <c r="U132" i="25"/>
  <c r="U133" i="25"/>
  <c r="U134" i="25"/>
  <c r="U135" i="25"/>
  <c r="U136" i="25"/>
  <c r="U137" i="25"/>
  <c r="U138" i="25"/>
  <c r="U139" i="25"/>
  <c r="U140" i="25"/>
  <c r="U141" i="25"/>
  <c r="U142" i="25"/>
  <c r="U143" i="25"/>
  <c r="U144" i="25"/>
  <c r="U145" i="25"/>
  <c r="U146" i="25"/>
  <c r="U147" i="25"/>
  <c r="U148" i="25"/>
  <c r="U149" i="25"/>
  <c r="U150" i="25"/>
  <c r="U151" i="25"/>
  <c r="U152" i="25"/>
  <c r="U153" i="25"/>
  <c r="U154" i="25"/>
  <c r="U155" i="25"/>
  <c r="U156" i="25"/>
  <c r="U157" i="25"/>
  <c r="U158" i="25"/>
  <c r="U159" i="25"/>
  <c r="U160" i="25"/>
  <c r="U161" i="25"/>
  <c r="U162" i="25"/>
  <c r="U163" i="25"/>
  <c r="U164" i="25"/>
  <c r="U165" i="25"/>
  <c r="U166" i="25"/>
  <c r="U167" i="25"/>
  <c r="U168" i="25"/>
  <c r="U169" i="25"/>
  <c r="U170" i="25"/>
  <c r="U171" i="25"/>
  <c r="U172" i="25"/>
  <c r="U173" i="25"/>
  <c r="U174" i="25"/>
  <c r="U175" i="25"/>
  <c r="U176" i="25"/>
  <c r="U177" i="25"/>
  <c r="U178" i="25"/>
  <c r="U179" i="25"/>
  <c r="U180" i="25"/>
  <c r="U181" i="25"/>
  <c r="U182" i="25"/>
  <c r="U183" i="25"/>
  <c r="U184" i="25"/>
  <c r="U185" i="25"/>
  <c r="U186" i="25"/>
  <c r="U187" i="25"/>
  <c r="U188" i="25"/>
  <c r="U189" i="25"/>
  <c r="U190" i="25"/>
  <c r="U191" i="25"/>
  <c r="U192" i="25"/>
  <c r="U193" i="25"/>
  <c r="U194" i="25"/>
  <c r="U195" i="25"/>
  <c r="U196" i="25"/>
  <c r="U197" i="25"/>
  <c r="U198" i="25"/>
  <c r="U199" i="25"/>
  <c r="U200" i="25"/>
  <c r="U201" i="25"/>
  <c r="U202" i="25"/>
  <c r="U203" i="25"/>
  <c r="U204" i="25"/>
  <c r="U205" i="25"/>
  <c r="U206" i="25"/>
  <c r="U207" i="25"/>
  <c r="U208" i="25"/>
  <c r="U209" i="25"/>
  <c r="U210" i="25"/>
  <c r="U211" i="25"/>
  <c r="U212" i="25"/>
  <c r="U213" i="25"/>
  <c r="U214" i="25"/>
  <c r="U215" i="25"/>
  <c r="U216" i="25"/>
  <c r="U217" i="25"/>
  <c r="U218" i="25"/>
  <c r="U219" i="25"/>
  <c r="U220" i="25"/>
  <c r="U221" i="25"/>
  <c r="U222" i="25"/>
  <c r="U223" i="25"/>
  <c r="U224" i="25"/>
  <c r="U225" i="25"/>
  <c r="U226" i="25"/>
  <c r="U227" i="25"/>
  <c r="U228" i="25"/>
  <c r="U229" i="25"/>
  <c r="U230" i="25"/>
  <c r="U231" i="25"/>
  <c r="U232" i="25"/>
  <c r="U233" i="25"/>
  <c r="U234" i="25"/>
  <c r="U235" i="25"/>
  <c r="U236" i="25"/>
  <c r="U237" i="25"/>
  <c r="U238" i="25"/>
  <c r="U239" i="25"/>
  <c r="U240" i="25"/>
  <c r="U241" i="25"/>
  <c r="U242" i="25"/>
  <c r="U243" i="25"/>
  <c r="U244" i="25"/>
  <c r="U245" i="25"/>
  <c r="U246" i="25"/>
  <c r="U247" i="25"/>
  <c r="U248" i="25"/>
  <c r="U249" i="25"/>
  <c r="U250" i="25"/>
  <c r="U251" i="25"/>
  <c r="U252" i="25"/>
  <c r="U253" i="25"/>
  <c r="U254" i="25"/>
  <c r="U255" i="25"/>
  <c r="U256" i="25"/>
  <c r="U257" i="25"/>
  <c r="U258" i="25"/>
  <c r="U259" i="25"/>
  <c r="U260" i="25"/>
  <c r="U261" i="25"/>
  <c r="U262" i="25"/>
  <c r="U263" i="25"/>
  <c r="U264" i="25"/>
  <c r="U265" i="25"/>
  <c r="U266" i="25"/>
  <c r="U267" i="25"/>
  <c r="U268" i="25"/>
  <c r="U269" i="25"/>
  <c r="U270" i="25"/>
  <c r="U271" i="25"/>
  <c r="U272" i="25"/>
  <c r="U273" i="25"/>
  <c r="U274" i="25"/>
  <c r="U275" i="25"/>
  <c r="U503" i="25"/>
  <c r="U502" i="25"/>
  <c r="U501" i="25"/>
  <c r="U500" i="25"/>
  <c r="U499" i="25"/>
  <c r="U498" i="25"/>
  <c r="U497" i="25"/>
  <c r="U496" i="25"/>
  <c r="U495" i="25"/>
  <c r="U494" i="25"/>
  <c r="U493" i="25"/>
  <c r="U492" i="25"/>
  <c r="U491" i="25"/>
  <c r="U490" i="25"/>
  <c r="U489" i="25"/>
  <c r="U488" i="25"/>
  <c r="U487" i="25"/>
  <c r="U486" i="25"/>
  <c r="U485" i="25"/>
  <c r="U484" i="25"/>
  <c r="U483" i="25"/>
  <c r="U482" i="25"/>
  <c r="U481" i="25"/>
  <c r="U480" i="25"/>
  <c r="U479" i="25"/>
  <c r="U478" i="25"/>
  <c r="U477" i="25"/>
  <c r="U476" i="25"/>
  <c r="U475" i="25"/>
  <c r="U474" i="25"/>
  <c r="U473" i="25"/>
  <c r="U472" i="25"/>
  <c r="U471" i="25"/>
  <c r="U470" i="25"/>
  <c r="U469" i="25"/>
  <c r="U468" i="25"/>
  <c r="U467" i="25"/>
  <c r="U466" i="25"/>
  <c r="U465" i="25"/>
  <c r="U464" i="25"/>
  <c r="U463" i="25"/>
  <c r="U462" i="25"/>
  <c r="U461" i="25"/>
  <c r="U460" i="25"/>
  <c r="U459" i="25"/>
  <c r="U458" i="25"/>
  <c r="U457" i="25"/>
  <c r="U456" i="25"/>
  <c r="U455" i="25"/>
  <c r="U454" i="25"/>
  <c r="U453" i="25"/>
  <c r="U452" i="25"/>
  <c r="U451" i="25"/>
  <c r="U450" i="25"/>
  <c r="U449" i="25"/>
  <c r="U448" i="25"/>
  <c r="U447" i="25"/>
  <c r="U446" i="25"/>
  <c r="U445" i="25"/>
  <c r="U444" i="25"/>
  <c r="U443" i="25"/>
  <c r="U442" i="25"/>
  <c r="U441" i="25"/>
  <c r="U440" i="25"/>
  <c r="U439" i="25"/>
  <c r="U438" i="25"/>
  <c r="U437" i="25"/>
  <c r="U436" i="25"/>
  <c r="U435" i="25"/>
  <c r="U434" i="25"/>
  <c r="U433" i="25"/>
  <c r="U432" i="25"/>
  <c r="U431" i="25"/>
  <c r="U430" i="25"/>
  <c r="U429" i="25"/>
  <c r="U428" i="25"/>
  <c r="U427" i="25"/>
  <c r="U426" i="25"/>
  <c r="U425" i="25"/>
  <c r="U424" i="25"/>
  <c r="U423" i="25"/>
  <c r="U422" i="25"/>
  <c r="U421" i="25"/>
  <c r="U420" i="25"/>
  <c r="U419" i="25"/>
  <c r="U418" i="25"/>
  <c r="U417" i="25"/>
  <c r="U416" i="25"/>
  <c r="U415" i="25"/>
  <c r="U414" i="25"/>
  <c r="U413" i="25"/>
  <c r="U412" i="25"/>
  <c r="U411" i="25"/>
  <c r="U410" i="25"/>
  <c r="U409" i="25"/>
  <c r="U408" i="25"/>
  <c r="U407" i="25"/>
  <c r="U406" i="25"/>
  <c r="U405" i="25"/>
  <c r="U404" i="25"/>
  <c r="U403" i="25"/>
  <c r="U402" i="25"/>
  <c r="U401" i="25"/>
  <c r="U400" i="25"/>
  <c r="U399" i="25"/>
  <c r="U398" i="25"/>
  <c r="U397" i="25"/>
  <c r="U396" i="25"/>
  <c r="U395" i="25"/>
  <c r="U394" i="25"/>
  <c r="U393" i="25"/>
  <c r="U392" i="25"/>
  <c r="U391" i="25"/>
  <c r="U390" i="25"/>
  <c r="U389" i="25"/>
  <c r="U388" i="25"/>
  <c r="U387" i="25"/>
  <c r="U386" i="25"/>
  <c r="U385" i="25"/>
  <c r="U384" i="25"/>
  <c r="U383" i="25"/>
  <c r="U382" i="25"/>
  <c r="U381" i="25"/>
  <c r="U380" i="25"/>
  <c r="U379" i="25"/>
  <c r="U378" i="25"/>
  <c r="U377" i="25"/>
  <c r="U376" i="25"/>
  <c r="U375" i="25"/>
  <c r="U374" i="25"/>
  <c r="U373" i="25"/>
  <c r="U372" i="25"/>
  <c r="U371" i="25"/>
  <c r="U370" i="25"/>
  <c r="U369" i="25"/>
  <c r="U368" i="25"/>
  <c r="U367" i="25"/>
  <c r="U366" i="25"/>
  <c r="U365" i="25"/>
  <c r="U364" i="25"/>
  <c r="U363" i="25"/>
  <c r="U362" i="25"/>
  <c r="U361" i="25"/>
  <c r="U360" i="25"/>
  <c r="U359" i="25"/>
  <c r="U358" i="25"/>
  <c r="U357" i="25"/>
  <c r="U356" i="25"/>
  <c r="U355" i="25"/>
  <c r="U354" i="25"/>
  <c r="U353" i="25"/>
  <c r="U352" i="25"/>
  <c r="U351" i="25"/>
  <c r="U350" i="25"/>
  <c r="U349" i="25"/>
  <c r="U348" i="25"/>
  <c r="U347" i="25"/>
  <c r="U346" i="25"/>
  <c r="U345" i="25"/>
  <c r="U344" i="25"/>
  <c r="U343" i="25"/>
  <c r="U342" i="25"/>
  <c r="U341" i="25"/>
  <c r="U340" i="25"/>
  <c r="U339" i="25"/>
  <c r="U338" i="25"/>
  <c r="U337" i="25"/>
  <c r="U336" i="25"/>
  <c r="U335" i="25"/>
  <c r="U334" i="25"/>
  <c r="U333" i="25"/>
  <c r="U332" i="25"/>
  <c r="U331" i="25"/>
  <c r="U330" i="25"/>
  <c r="U329" i="25"/>
  <c r="U328" i="25"/>
  <c r="U327" i="25"/>
  <c r="U326" i="25"/>
  <c r="U325" i="25"/>
  <c r="U324" i="25"/>
  <c r="U323" i="25"/>
  <c r="U322" i="25"/>
  <c r="U321" i="25"/>
  <c r="U320" i="25"/>
  <c r="U319" i="25"/>
  <c r="U318" i="25"/>
  <c r="U317" i="25"/>
  <c r="U316" i="25"/>
  <c r="U315" i="25"/>
  <c r="U314" i="25"/>
  <c r="U313" i="25"/>
  <c r="U312" i="25"/>
  <c r="U311" i="25"/>
  <c r="U310" i="25"/>
  <c r="U309" i="25"/>
  <c r="U308" i="25"/>
  <c r="U307" i="25"/>
  <c r="U306" i="25"/>
  <c r="U305" i="25"/>
  <c r="U304" i="25"/>
  <c r="U303" i="25"/>
  <c r="U302" i="25"/>
  <c r="U301" i="25"/>
  <c r="U300" i="25"/>
  <c r="U299" i="25"/>
  <c r="U298" i="25"/>
  <c r="U297" i="25"/>
  <c r="U296" i="25"/>
  <c r="U295" i="25"/>
  <c r="U294" i="25"/>
  <c r="U293" i="25"/>
  <c r="U292" i="25"/>
  <c r="U291" i="25"/>
  <c r="U290" i="25"/>
  <c r="U289" i="25"/>
  <c r="U288" i="25"/>
  <c r="U287" i="25"/>
  <c r="U286" i="25"/>
  <c r="U285" i="25"/>
  <c r="U284" i="25"/>
  <c r="U283" i="25"/>
  <c r="U282" i="25"/>
  <c r="U281" i="25"/>
  <c r="U280" i="25"/>
  <c r="U279" i="25"/>
  <c r="U278" i="25"/>
  <c r="U277" i="25"/>
  <c r="U276" i="25"/>
  <c r="U22" i="25"/>
  <c r="U12" i="25"/>
  <c r="J22" i="1"/>
  <c r="J21" i="1"/>
  <c r="J20" i="1"/>
  <c r="J19" i="1"/>
  <c r="J17" i="1"/>
  <c r="J16" i="1"/>
  <c r="AO5" i="1"/>
  <c r="U21" i="25"/>
  <c r="U19" i="25"/>
  <c r="U17" i="25"/>
  <c r="U14" i="25"/>
  <c r="AA3" i="26"/>
  <c r="B3" i="26"/>
  <c r="B4" i="26" s="1"/>
  <c r="B5" i="26" s="1"/>
  <c r="B6" i="26" s="1"/>
  <c r="C4" i="10"/>
  <c r="C5" i="10" s="1"/>
  <c r="C6" i="10" s="1"/>
  <c r="C7" i="10" s="1"/>
  <c r="C8" i="10" s="1"/>
  <c r="E4" i="13"/>
  <c r="AI8" i="1"/>
  <c r="F3" i="11"/>
  <c r="M37" i="14"/>
  <c r="B4" i="1"/>
  <c r="AI10" i="1" s="1"/>
  <c r="Q8" i="6"/>
  <c r="V38" i="6"/>
  <c r="Q11" i="6"/>
  <c r="A16" i="14"/>
  <c r="Q24" i="6"/>
  <c r="A16" i="30"/>
  <c r="F29" i="6"/>
  <c r="D23" i="30"/>
  <c r="Q7" i="6"/>
  <c r="B5" i="10"/>
  <c r="B6" i="10" s="1"/>
  <c r="B7" i="10" s="1"/>
  <c r="B8" i="10" s="1"/>
  <c r="D22" i="14"/>
  <c r="Q10" i="6"/>
  <c r="V16" i="6"/>
  <c r="B31" i="6"/>
  <c r="L32" i="6"/>
  <c r="P36" i="6"/>
  <c r="V39" i="6"/>
  <c r="Q13" i="6"/>
  <c r="S35" i="6"/>
  <c r="D23" i="22"/>
  <c r="V22" i="6"/>
  <c r="A23" i="30"/>
  <c r="U15" i="25"/>
  <c r="U13" i="25"/>
  <c r="U11" i="25"/>
  <c r="U10" i="25"/>
  <c r="U9" i="25"/>
  <c r="AG9" i="25"/>
  <c r="U7" i="25"/>
  <c r="M37" i="22"/>
  <c r="F32" i="6"/>
  <c r="Q39" i="6"/>
  <c r="V10" i="6"/>
  <c r="Q38" i="6"/>
  <c r="Q19" i="6"/>
  <c r="V8" i="6"/>
  <c r="G4" i="10" l="1"/>
  <c r="E3" i="26"/>
  <c r="D3" i="26" s="1"/>
  <c r="G3" i="26" s="1"/>
  <c r="K18" i="27"/>
  <c r="E3" i="37"/>
  <c r="D3" i="37" s="1"/>
  <c r="O3" i="37" s="1"/>
  <c r="X8" i="25"/>
  <c r="U8" i="10"/>
  <c r="AI9" i="1"/>
  <c r="I5" i="1"/>
  <c r="I4" i="1" s="1"/>
  <c r="AG6" i="25"/>
  <c r="J7" i="25" s="1"/>
  <c r="J6" i="25" s="1"/>
  <c r="J5" i="25" s="1"/>
  <c r="N4" i="25" s="1"/>
  <c r="AD4" i="13" s="1"/>
  <c r="B5" i="1"/>
  <c r="F3" i="1"/>
  <c r="B7" i="26"/>
  <c r="B8" i="26" s="1"/>
  <c r="B9" i="26" s="1"/>
  <c r="B10" i="26" s="1"/>
  <c r="B11" i="26" s="1"/>
  <c r="B12" i="26" s="1"/>
  <c r="B13" i="26" s="1"/>
  <c r="B14" i="26" s="1"/>
  <c r="B15" i="26" s="1"/>
  <c r="B16" i="26" s="1"/>
  <c r="B17" i="26" s="1"/>
  <c r="B18" i="26" s="1"/>
  <c r="B19" i="26" s="1"/>
  <c r="B20" i="26" s="1"/>
  <c r="B21" i="26" s="1"/>
  <c r="B22" i="26" s="1"/>
  <c r="B23" i="26" s="1"/>
  <c r="J7" i="10"/>
  <c r="J6" i="10" s="1"/>
  <c r="J5" i="10" s="1"/>
  <c r="J4" i="10" s="1"/>
  <c r="G4" i="25"/>
  <c r="F4" i="25" s="1"/>
  <c r="E4" i="25" s="1"/>
  <c r="Y4" i="13" s="1"/>
  <c r="T9" i="10"/>
  <c r="B9" i="10" s="1"/>
  <c r="AA4" i="13" l="1"/>
  <c r="J3" i="37"/>
  <c r="I3" i="1"/>
  <c r="G3" i="1" s="1"/>
  <c r="E3" i="1" s="1"/>
  <c r="K7" i="31" s="1"/>
  <c r="X9" i="25"/>
  <c r="U9" i="10"/>
  <c r="B6" i="1"/>
  <c r="B7" i="1" s="1"/>
  <c r="B8" i="1" s="1"/>
  <c r="B9" i="1" s="1"/>
  <c r="E27" i="37"/>
  <c r="E4" i="37" s="1"/>
  <c r="J4" i="37" s="1"/>
  <c r="G3" i="37"/>
  <c r="E27" i="26"/>
  <c r="E4" i="26" s="1"/>
  <c r="J3" i="26" s="1"/>
  <c r="C9" i="10"/>
  <c r="I5" i="25"/>
  <c r="S4" i="25" s="1"/>
  <c r="D4" i="25"/>
  <c r="J23" i="27"/>
  <c r="T10" i="10"/>
  <c r="B10" i="10" s="1"/>
  <c r="H4" i="10"/>
  <c r="F4" i="10" s="1"/>
  <c r="E4" i="10" s="1"/>
  <c r="L4" i="10"/>
  <c r="X4" i="13" s="1"/>
  <c r="J4" i="25"/>
  <c r="H5" i="25"/>
  <c r="R4" i="25" l="1"/>
  <c r="Q4" i="25" s="1"/>
  <c r="P4" i="25" s="1"/>
  <c r="O4" i="25" s="1"/>
  <c r="AC4" i="13" s="1"/>
  <c r="T4" i="13"/>
  <c r="S4" i="13"/>
  <c r="U4" i="13"/>
  <c r="F4" i="34"/>
  <c r="E4" i="34" s="1"/>
  <c r="F24" i="27"/>
  <c r="F4" i="38"/>
  <c r="E4" i="38" s="1"/>
  <c r="G23" i="27"/>
  <c r="B35" i="23"/>
  <c r="K3" i="26"/>
  <c r="H5" i="10"/>
  <c r="I3" i="37"/>
  <c r="K4" i="38" s="1"/>
  <c r="I26" i="37"/>
  <c r="M3" i="1"/>
  <c r="D3" i="1"/>
  <c r="K3" i="37"/>
  <c r="G5" i="25"/>
  <c r="F5" i="25" s="1"/>
  <c r="E5" i="25" s="1"/>
  <c r="Y5" i="13" s="1"/>
  <c r="H3" i="26"/>
  <c r="I23" i="27"/>
  <c r="C10" i="10"/>
  <c r="T11" i="10"/>
  <c r="B11" i="10" s="1"/>
  <c r="B10" i="1"/>
  <c r="H4" i="25"/>
  <c r="Y4" i="25"/>
  <c r="I5" i="10"/>
  <c r="P4" i="10" s="1"/>
  <c r="O4" i="10" s="1"/>
  <c r="N4" i="10" s="1"/>
  <c r="M4" i="10" s="1"/>
  <c r="W4" i="13" s="1"/>
  <c r="AA5" i="13" l="1"/>
  <c r="L8" i="11"/>
  <c r="G4" i="13"/>
  <c r="G4" i="38"/>
  <c r="C4" i="38"/>
  <c r="AEA4" i="38" s="1"/>
  <c r="C26" i="38" s="1"/>
  <c r="D26" i="38" s="1"/>
  <c r="B4" i="38"/>
  <c r="C4" i="34"/>
  <c r="AEA4" i="34" s="1"/>
  <c r="C26" i="34" s="1"/>
  <c r="B4" i="34"/>
  <c r="K4" i="34"/>
  <c r="J4" i="34" s="1"/>
  <c r="J26" i="34" s="1"/>
  <c r="K26" i="34" s="1"/>
  <c r="H26" i="34"/>
  <c r="I26" i="34" s="1"/>
  <c r="AEB4" i="34"/>
  <c r="J4" i="38"/>
  <c r="J26" i="38" s="1"/>
  <c r="K26" i="38" s="1"/>
  <c r="L26" i="38" s="1"/>
  <c r="H4" i="38"/>
  <c r="H26" i="38"/>
  <c r="I26" i="38" s="1"/>
  <c r="AEB4" i="38"/>
  <c r="Y5" i="25"/>
  <c r="C4" i="13"/>
  <c r="G3" i="31"/>
  <c r="E3" i="31" s="1"/>
  <c r="A2" i="11"/>
  <c r="L4" i="13" s="1"/>
  <c r="B4" i="13"/>
  <c r="H4" i="1"/>
  <c r="AA3" i="1" s="1"/>
  <c r="X3" i="1"/>
  <c r="G2" i="11"/>
  <c r="H2" i="11" s="1"/>
  <c r="J4" i="13" s="1"/>
  <c r="H23" i="27"/>
  <c r="I6" i="25"/>
  <c r="S5" i="25" s="1"/>
  <c r="C5" i="25"/>
  <c r="AB5" i="13" s="1"/>
  <c r="D5" i="25"/>
  <c r="M5" i="25"/>
  <c r="Z5" i="13" s="1"/>
  <c r="D4" i="26"/>
  <c r="G4" i="26" s="1"/>
  <c r="G4" i="34"/>
  <c r="B11" i="1"/>
  <c r="T12" i="10"/>
  <c r="B12" i="10" s="1"/>
  <c r="C11" i="10"/>
  <c r="G5" i="10"/>
  <c r="F5" i="10" s="1"/>
  <c r="E5" i="10" s="1"/>
  <c r="R5" i="25" l="1"/>
  <c r="Q5" i="25" s="1"/>
  <c r="P5" i="25" s="1"/>
  <c r="O5" i="25" s="1"/>
  <c r="U5" i="13"/>
  <c r="T5" i="13"/>
  <c r="S5" i="13"/>
  <c r="K4" i="26"/>
  <c r="E26" i="38"/>
  <c r="F26" i="38" s="1"/>
  <c r="I6" i="10"/>
  <c r="P5" i="10" s="1"/>
  <c r="H4" i="34"/>
  <c r="D26" i="34"/>
  <c r="E26" i="34"/>
  <c r="F26" i="34" s="1"/>
  <c r="R3" i="1"/>
  <c r="Q3" i="1" s="1"/>
  <c r="C12" i="10"/>
  <c r="Z5" i="25"/>
  <c r="J24" i="27"/>
  <c r="E28" i="26"/>
  <c r="E5" i="26" s="1"/>
  <c r="J4" i="26" s="1"/>
  <c r="C4" i="26"/>
  <c r="T13" i="10"/>
  <c r="B13" i="10" s="1"/>
  <c r="B12" i="1"/>
  <c r="D5" i="10"/>
  <c r="V5" i="13" s="1"/>
  <c r="K5" i="10"/>
  <c r="R5" i="13" s="1"/>
  <c r="O5" i="10" l="1"/>
  <c r="N5" i="10" s="1"/>
  <c r="M5" i="10" s="1"/>
  <c r="L5" i="10" s="1"/>
  <c r="N5" i="25"/>
  <c r="AD5" i="13" s="1"/>
  <c r="AC5" i="13"/>
  <c r="F5" i="38"/>
  <c r="F5" i="34"/>
  <c r="E5" i="34" s="1"/>
  <c r="F25" i="27"/>
  <c r="G24" i="27"/>
  <c r="P3" i="1"/>
  <c r="O3" i="1" s="1"/>
  <c r="N3" i="1" s="1"/>
  <c r="H4" i="26"/>
  <c r="I24" i="27"/>
  <c r="B13" i="1"/>
  <c r="C13" i="10"/>
  <c r="T14" i="10"/>
  <c r="B14" i="10" s="1"/>
  <c r="C14" i="10" s="1"/>
  <c r="W5" i="13" l="1"/>
  <c r="X5" i="13"/>
  <c r="G5" i="38"/>
  <c r="C5" i="34"/>
  <c r="D5" i="34" s="1"/>
  <c r="B5" i="34"/>
  <c r="C5" i="38"/>
  <c r="D5" i="38" s="1"/>
  <c r="E5" i="38"/>
  <c r="B5" i="38"/>
  <c r="F4" i="13"/>
  <c r="AEB5" i="34"/>
  <c r="G6" i="25"/>
  <c r="F6" i="25" s="1"/>
  <c r="E6" i="25" s="1"/>
  <c r="Y6" i="13" s="1"/>
  <c r="H6" i="25"/>
  <c r="G5" i="34"/>
  <c r="D5" i="26"/>
  <c r="H24" i="27"/>
  <c r="T15" i="10"/>
  <c r="B15" i="10" s="1"/>
  <c r="C15" i="10" s="1"/>
  <c r="B14" i="1"/>
  <c r="AA6" i="13" l="1"/>
  <c r="AEA5" i="34"/>
  <c r="C27" i="34" s="1"/>
  <c r="D27" i="34" s="1"/>
  <c r="AEA5" i="38"/>
  <c r="C27" i="38" s="1"/>
  <c r="D27" i="38" s="1"/>
  <c r="AEB5" i="38"/>
  <c r="E27" i="38" s="1"/>
  <c r="F27" i="38" s="1"/>
  <c r="E27" i="34"/>
  <c r="F27" i="34" s="1"/>
  <c r="C6" i="25"/>
  <c r="AB6" i="13" s="1"/>
  <c r="M6" i="25"/>
  <c r="D6" i="25"/>
  <c r="I7" i="25"/>
  <c r="S6" i="25" s="1"/>
  <c r="Y6" i="25"/>
  <c r="G6" i="10"/>
  <c r="H6" i="10"/>
  <c r="G5" i="26"/>
  <c r="E29" i="26"/>
  <c r="E6" i="26" s="1"/>
  <c r="J5" i="26" s="1"/>
  <c r="C5" i="26"/>
  <c r="J25" i="27"/>
  <c r="B15" i="1"/>
  <c r="T16" i="10"/>
  <c r="B16" i="10" s="1"/>
  <c r="C16" i="10" s="1"/>
  <c r="Z6" i="13" l="1"/>
  <c r="R6" i="25"/>
  <c r="Q6" i="25" s="1"/>
  <c r="P6" i="25" s="1"/>
  <c r="O6" i="25" s="1"/>
  <c r="N6" i="25" s="1"/>
  <c r="K5" i="26"/>
  <c r="F6" i="10"/>
  <c r="E6" i="10" s="1"/>
  <c r="Z6" i="25"/>
  <c r="I25" i="27"/>
  <c r="H5" i="26"/>
  <c r="B16" i="1"/>
  <c r="T17" i="10"/>
  <c r="B17" i="10" s="1"/>
  <c r="C17" i="10" s="1"/>
  <c r="D6" i="10" l="1"/>
  <c r="V6" i="13" s="1"/>
  <c r="T6" i="13"/>
  <c r="U6" i="13"/>
  <c r="S6" i="13"/>
  <c r="H7" i="25"/>
  <c r="AC6" i="13"/>
  <c r="F6" i="38"/>
  <c r="G6" i="38" s="1"/>
  <c r="G25" i="27"/>
  <c r="F6" i="34"/>
  <c r="G6" i="34" s="1"/>
  <c r="F26" i="27"/>
  <c r="K6" i="10"/>
  <c r="I7" i="10"/>
  <c r="P6" i="10" s="1"/>
  <c r="H25" i="27"/>
  <c r="D6" i="26"/>
  <c r="T18" i="10"/>
  <c r="B18" i="10" s="1"/>
  <c r="C18" i="10" s="1"/>
  <c r="B17" i="1"/>
  <c r="R6" i="13" l="1"/>
  <c r="O6" i="10"/>
  <c r="N6" i="10" s="1"/>
  <c r="M6" i="10" s="1"/>
  <c r="L6" i="10" s="1"/>
  <c r="G7" i="25"/>
  <c r="F7" i="25" s="1"/>
  <c r="E7" i="25" s="1"/>
  <c r="Y7" i="13" s="1"/>
  <c r="AD6" i="13"/>
  <c r="B6" i="34"/>
  <c r="C6" i="34"/>
  <c r="D6" i="34" s="1"/>
  <c r="E6" i="34"/>
  <c r="B6" i="38"/>
  <c r="C6" i="38"/>
  <c r="D6" i="38" s="1"/>
  <c r="E6" i="38"/>
  <c r="E30" i="26"/>
  <c r="E7" i="26" s="1"/>
  <c r="J6" i="26" s="1"/>
  <c r="G6" i="26"/>
  <c r="C6" i="26"/>
  <c r="J26" i="27"/>
  <c r="B18" i="1"/>
  <c r="T19" i="10"/>
  <c r="B19" i="10" s="1"/>
  <c r="C19" i="10" s="1"/>
  <c r="H7" i="10" l="1"/>
  <c r="W6" i="13"/>
  <c r="AA7" i="13"/>
  <c r="C7" i="25"/>
  <c r="AB7" i="13" s="1"/>
  <c r="M7" i="25"/>
  <c r="B8" i="25"/>
  <c r="I8" i="25"/>
  <c r="Y7" i="25"/>
  <c r="D7" i="25"/>
  <c r="J8" i="25"/>
  <c r="L9" i="25" s="1"/>
  <c r="AEB6" i="34"/>
  <c r="E28" i="34" s="1"/>
  <c r="F28" i="34" s="1"/>
  <c r="AEA6" i="34"/>
  <c r="C28" i="34" s="1"/>
  <c r="D28" i="34" s="1"/>
  <c r="K6" i="26"/>
  <c r="AEA6" i="38"/>
  <c r="C28" i="38" s="1"/>
  <c r="D28" i="38" s="1"/>
  <c r="AEB6" i="38"/>
  <c r="E28" i="38" s="1"/>
  <c r="F28" i="38" s="1"/>
  <c r="I26" i="27"/>
  <c r="H6" i="26"/>
  <c r="B19" i="1"/>
  <c r="T20" i="10"/>
  <c r="B20" i="10" s="1"/>
  <c r="C20" i="10" s="1"/>
  <c r="G7" i="10" l="1"/>
  <c r="F7" i="10" s="1"/>
  <c r="E7" i="10" s="1"/>
  <c r="I8" i="10" s="1"/>
  <c r="X6" i="13"/>
  <c r="K9" i="25"/>
  <c r="S7" i="25"/>
  <c r="Z7" i="13"/>
  <c r="Z7" i="25"/>
  <c r="F7" i="38"/>
  <c r="F7" i="34"/>
  <c r="G7" i="34" s="1"/>
  <c r="F27" i="27"/>
  <c r="G26" i="27"/>
  <c r="F6" i="23"/>
  <c r="D7" i="26"/>
  <c r="H26" i="27"/>
  <c r="B20" i="1"/>
  <c r="T21" i="10"/>
  <c r="B21" i="10" s="1"/>
  <c r="C21" i="10" s="1"/>
  <c r="R7" i="25" l="1"/>
  <c r="Q7" i="25" s="1"/>
  <c r="P7" i="25" s="1"/>
  <c r="O7" i="25" s="1"/>
  <c r="D7" i="10"/>
  <c r="V7" i="13" s="1"/>
  <c r="J8" i="10"/>
  <c r="P7" i="10" s="1"/>
  <c r="K7" i="10"/>
  <c r="T7" i="13"/>
  <c r="S7" i="13"/>
  <c r="U7" i="13"/>
  <c r="B7" i="38"/>
  <c r="C7" i="38"/>
  <c r="D7" i="38" s="1"/>
  <c r="E7" i="38"/>
  <c r="B7" i="34"/>
  <c r="C7" i="34"/>
  <c r="D7" i="34" s="1"/>
  <c r="E7" i="34"/>
  <c r="G7" i="38"/>
  <c r="G7" i="26"/>
  <c r="J27" i="27"/>
  <c r="C7" i="26"/>
  <c r="E31" i="26"/>
  <c r="E8" i="26" s="1"/>
  <c r="J7" i="26" s="1"/>
  <c r="B21" i="1"/>
  <c r="T22" i="10"/>
  <c r="B22" i="10" s="1"/>
  <c r="C22" i="10" s="1"/>
  <c r="R7" i="13" l="1"/>
  <c r="O7" i="10"/>
  <c r="N7" i="10" s="1"/>
  <c r="M7" i="10" s="1"/>
  <c r="L7" i="10" s="1"/>
  <c r="N7" i="25"/>
  <c r="AD5" i="25" s="1"/>
  <c r="AC7" i="13"/>
  <c r="K7" i="26"/>
  <c r="AEA7" i="34"/>
  <c r="C29" i="34" s="1"/>
  <c r="D29" i="34" s="1"/>
  <c r="AEB7" i="34"/>
  <c r="E29" i="34" s="1"/>
  <c r="F29" i="34" s="1"/>
  <c r="AEA7" i="38"/>
  <c r="C29" i="38" s="1"/>
  <c r="D29" i="38" s="1"/>
  <c r="AEB7" i="38"/>
  <c r="E29" i="38" s="1"/>
  <c r="F29" i="38" s="1"/>
  <c r="H7" i="26"/>
  <c r="I27" i="27"/>
  <c r="B22" i="1"/>
  <c r="T23" i="10"/>
  <c r="B23" i="10" s="1"/>
  <c r="G8" i="10" l="1"/>
  <c r="G8" i="25"/>
  <c r="F8" i="25" s="1"/>
  <c r="E8" i="25" s="1"/>
  <c r="Y8" i="13" s="1"/>
  <c r="AD7" i="13"/>
  <c r="H8" i="25"/>
  <c r="W7" i="13"/>
  <c r="AD6" i="25"/>
  <c r="AD7" i="25"/>
  <c r="F8" i="38"/>
  <c r="G27" i="27"/>
  <c r="F8" i="34"/>
  <c r="G8" i="34" s="1"/>
  <c r="F28" i="27"/>
  <c r="H27" i="27"/>
  <c r="D8" i="26"/>
  <c r="T24" i="10"/>
  <c r="B24" i="10" s="1"/>
  <c r="C24" i="10" s="1"/>
  <c r="B23" i="1"/>
  <c r="C23" i="10"/>
  <c r="X7" i="13" l="1"/>
  <c r="H8" i="10"/>
  <c r="J9" i="10" s="1"/>
  <c r="Y8" i="25"/>
  <c r="AA8" i="13"/>
  <c r="I9" i="25"/>
  <c r="K10" i="25" s="1"/>
  <c r="C8" i="25"/>
  <c r="AB8" i="13" s="1"/>
  <c r="B9" i="25"/>
  <c r="D8" i="25"/>
  <c r="M8" i="25"/>
  <c r="Z8" i="25" s="1"/>
  <c r="J9" i="25"/>
  <c r="L10" i="25" s="1"/>
  <c r="C8" i="34"/>
  <c r="D8" i="34" s="1"/>
  <c r="B8" i="34"/>
  <c r="E8" i="34"/>
  <c r="B8" i="38"/>
  <c r="C8" i="38"/>
  <c r="D8" i="38" s="1"/>
  <c r="E8" i="38"/>
  <c r="G8" i="38"/>
  <c r="C8" i="26"/>
  <c r="G8" i="26"/>
  <c r="J28" i="27"/>
  <c r="E32" i="26"/>
  <c r="E9" i="26" s="1"/>
  <c r="J8" i="26" s="1"/>
  <c r="B24" i="1"/>
  <c r="T25" i="10"/>
  <c r="B25" i="10" s="1"/>
  <c r="C25" i="10" s="1"/>
  <c r="F8" i="10" l="1"/>
  <c r="E8" i="10" s="1"/>
  <c r="K8" i="10" s="1"/>
  <c r="S8" i="25"/>
  <c r="R8" i="25" s="1"/>
  <c r="Q8" i="25" s="1"/>
  <c r="P8" i="25" s="1"/>
  <c r="O8" i="25" s="1"/>
  <c r="Z8" i="13"/>
  <c r="AEA8" i="38"/>
  <c r="C30" i="38" s="1"/>
  <c r="D30" i="38" s="1"/>
  <c r="AEB8" i="38"/>
  <c r="E30" i="38" s="1"/>
  <c r="F30" i="38" s="1"/>
  <c r="K8" i="26"/>
  <c r="AEB8" i="34"/>
  <c r="E30" i="34" s="1"/>
  <c r="F30" i="34" s="1"/>
  <c r="AEA8" i="34"/>
  <c r="C30" i="34" s="1"/>
  <c r="D30" i="34" s="1"/>
  <c r="H8" i="26"/>
  <c r="I28" i="27"/>
  <c r="T26" i="10"/>
  <c r="B26" i="10" s="1"/>
  <c r="B25" i="1"/>
  <c r="R8" i="13" l="1"/>
  <c r="U8" i="13"/>
  <c r="T8" i="13"/>
  <c r="S8" i="13"/>
  <c r="D8" i="10"/>
  <c r="V8" i="13" s="1"/>
  <c r="N8" i="25"/>
  <c r="H9" i="25" s="1"/>
  <c r="AC8" i="13"/>
  <c r="F9" i="38"/>
  <c r="F9" i="34"/>
  <c r="G9" i="34" s="1"/>
  <c r="G28" i="27"/>
  <c r="F29" i="27"/>
  <c r="H28" i="27"/>
  <c r="D9" i="26"/>
  <c r="C26" i="10"/>
  <c r="B26" i="1"/>
  <c r="T27" i="10"/>
  <c r="B27" i="10" s="1"/>
  <c r="C27" i="10" s="1"/>
  <c r="G9" i="25" l="1"/>
  <c r="F9" i="25" s="1"/>
  <c r="E9" i="25" s="1"/>
  <c r="Y9" i="13" s="1"/>
  <c r="AD8" i="13"/>
  <c r="B9" i="38"/>
  <c r="C9" i="38"/>
  <c r="D9" i="38" s="1"/>
  <c r="E9" i="38"/>
  <c r="B9" i="34"/>
  <c r="C9" i="34"/>
  <c r="D9" i="34" s="1"/>
  <c r="E9" i="34"/>
  <c r="G9" i="38"/>
  <c r="J29" i="27"/>
  <c r="C9" i="26"/>
  <c r="G9" i="26"/>
  <c r="E33" i="26"/>
  <c r="E10" i="26" s="1"/>
  <c r="J9" i="26" s="1"/>
  <c r="T28" i="10"/>
  <c r="B28" i="10" s="1"/>
  <c r="C28" i="10" s="1"/>
  <c r="B27" i="1"/>
  <c r="Y9" i="25" l="1"/>
  <c r="M9" i="25"/>
  <c r="Z9" i="25" s="1"/>
  <c r="I10" i="25"/>
  <c r="K11" i="25" s="1"/>
  <c r="D9" i="25"/>
  <c r="C9" i="25"/>
  <c r="AB9" i="13" s="1"/>
  <c r="J10" i="25"/>
  <c r="L11" i="25" s="1"/>
  <c r="AA9" i="13"/>
  <c r="B10" i="25"/>
  <c r="AEA9" i="34"/>
  <c r="C31" i="34" s="1"/>
  <c r="D31" i="34" s="1"/>
  <c r="AEB9" i="34"/>
  <c r="E31" i="34" s="1"/>
  <c r="F31" i="34" s="1"/>
  <c r="K9" i="26"/>
  <c r="AEB9" i="38"/>
  <c r="E31" i="38" s="1"/>
  <c r="F31" i="38" s="1"/>
  <c r="AEA9" i="38"/>
  <c r="C31" i="38" s="1"/>
  <c r="D31" i="38" s="1"/>
  <c r="I29" i="27"/>
  <c r="H9" i="26"/>
  <c r="B28" i="1"/>
  <c r="T29" i="10"/>
  <c r="B29" i="10" s="1"/>
  <c r="C29" i="10" s="1"/>
  <c r="S9" i="25" l="1"/>
  <c r="R9" i="25" s="1"/>
  <c r="Q9" i="25" s="1"/>
  <c r="P9" i="25" s="1"/>
  <c r="O9" i="25" s="1"/>
  <c r="Z9" i="13"/>
  <c r="F10" i="38"/>
  <c r="G29" i="27"/>
  <c r="F10" i="34"/>
  <c r="G10" i="34" s="1"/>
  <c r="F30" i="27"/>
  <c r="H29" i="27"/>
  <c r="D10" i="26"/>
  <c r="T30" i="10"/>
  <c r="B30" i="10" s="1"/>
  <c r="C30" i="10" s="1"/>
  <c r="B29" i="1"/>
  <c r="N9" i="25" l="1"/>
  <c r="AD9" i="13" s="1"/>
  <c r="AC9" i="13"/>
  <c r="B10" i="34"/>
  <c r="C10" i="34"/>
  <c r="D10" i="34" s="1"/>
  <c r="E10" i="34"/>
  <c r="C10" i="38"/>
  <c r="D10" i="38" s="1"/>
  <c r="B10" i="38"/>
  <c r="E10" i="38"/>
  <c r="G10" i="38"/>
  <c r="G10" i="26"/>
  <c r="E34" i="26"/>
  <c r="E11" i="26" s="1"/>
  <c r="J30" i="27"/>
  <c r="C10" i="26"/>
  <c r="B30" i="1"/>
  <c r="T31" i="10"/>
  <c r="B31" i="10" s="1"/>
  <c r="C31" i="10" s="1"/>
  <c r="H10" i="25" l="1"/>
  <c r="G10" i="25"/>
  <c r="F10" i="25" s="1"/>
  <c r="E10" i="25" s="1"/>
  <c r="Y10" i="13" s="1"/>
  <c r="K10" i="26"/>
  <c r="AEA10" i="38"/>
  <c r="C32" i="38" s="1"/>
  <c r="D32" i="38" s="1"/>
  <c r="AEB10" i="38"/>
  <c r="E32" i="38" s="1"/>
  <c r="F32" i="38" s="1"/>
  <c r="AEA10" i="34"/>
  <c r="C32" i="34" s="1"/>
  <c r="D32" i="34" s="1"/>
  <c r="AEB10" i="34"/>
  <c r="E32" i="34" s="1"/>
  <c r="F32" i="34" s="1"/>
  <c r="J10" i="26"/>
  <c r="I30" i="27"/>
  <c r="T32" i="10"/>
  <c r="B32" i="10" s="1"/>
  <c r="B31" i="1"/>
  <c r="M10" i="25" l="1"/>
  <c r="Z10" i="25" s="1"/>
  <c r="Y10" i="25"/>
  <c r="AA10" i="13"/>
  <c r="J11" i="25"/>
  <c r="L12" i="25" s="1"/>
  <c r="I11" i="25"/>
  <c r="K12" i="25" s="1"/>
  <c r="B11" i="25"/>
  <c r="D10" i="25"/>
  <c r="C10" i="25"/>
  <c r="AB10" i="13" s="1"/>
  <c r="F11" i="38"/>
  <c r="F11" i="34"/>
  <c r="F31" i="27"/>
  <c r="G30" i="27"/>
  <c r="B36" i="23"/>
  <c r="C35" i="23"/>
  <c r="H10" i="26"/>
  <c r="C32" i="10"/>
  <c r="B32" i="1"/>
  <c r="T33" i="10"/>
  <c r="B33" i="10" s="1"/>
  <c r="S10" i="25" l="1"/>
  <c r="R10" i="25" s="1"/>
  <c r="Q10" i="25" s="1"/>
  <c r="P10" i="25" s="1"/>
  <c r="O10" i="25" s="1"/>
  <c r="Z10" i="13"/>
  <c r="G11" i="38"/>
  <c r="H30" i="27"/>
  <c r="G11" i="34"/>
  <c r="D11" i="26"/>
  <c r="E35" i="26" s="1"/>
  <c r="E12" i="26" s="1"/>
  <c r="C11" i="34"/>
  <c r="D11" i="34" s="1"/>
  <c r="B11" i="34"/>
  <c r="E11" i="34"/>
  <c r="B11" i="38"/>
  <c r="C11" i="38"/>
  <c r="D11" i="38" s="1"/>
  <c r="E11" i="38"/>
  <c r="T34" i="10"/>
  <c r="B34" i="10" s="1"/>
  <c r="C34" i="10" s="1"/>
  <c r="B33" i="1"/>
  <c r="C33" i="10"/>
  <c r="N10" i="25" l="1"/>
  <c r="G11" i="25" s="1"/>
  <c r="F11" i="25" s="1"/>
  <c r="E11" i="25" s="1"/>
  <c r="Y11" i="13" s="1"/>
  <c r="AC10" i="13"/>
  <c r="J31" i="27"/>
  <c r="C11" i="26"/>
  <c r="G11" i="26"/>
  <c r="K11" i="26" s="1"/>
  <c r="AEB11" i="38"/>
  <c r="E33" i="38" s="1"/>
  <c r="F33" i="38" s="1"/>
  <c r="AEA11" i="38"/>
  <c r="C33" i="38" s="1"/>
  <c r="D33" i="38" s="1"/>
  <c r="AEA11" i="34"/>
  <c r="C33" i="34" s="1"/>
  <c r="D33" i="34" s="1"/>
  <c r="AEB11" i="34"/>
  <c r="E33" i="34" s="1"/>
  <c r="F33" i="34" s="1"/>
  <c r="J11" i="26"/>
  <c r="B34" i="1"/>
  <c r="T35" i="10"/>
  <c r="B35" i="10" s="1"/>
  <c r="C35" i="10" s="1"/>
  <c r="H11" i="25" l="1"/>
  <c r="AD10" i="13"/>
  <c r="B12" i="25"/>
  <c r="AA11" i="13"/>
  <c r="Y11" i="25"/>
  <c r="D11" i="25"/>
  <c r="M11" i="25"/>
  <c r="J12" i="25"/>
  <c r="L13" i="25" s="1"/>
  <c r="C11" i="25"/>
  <c r="AB11" i="13" s="1"/>
  <c r="I12" i="25"/>
  <c r="I31" i="27"/>
  <c r="F12" i="38"/>
  <c r="G31" i="27"/>
  <c r="F12" i="34"/>
  <c r="F32" i="27"/>
  <c r="H11" i="26"/>
  <c r="T36" i="10"/>
  <c r="B36" i="10" s="1"/>
  <c r="C36" i="10" s="1"/>
  <c r="B35" i="1"/>
  <c r="G12" i="38" l="1"/>
  <c r="Z11" i="13"/>
  <c r="Z11" i="25"/>
  <c r="K13" i="25"/>
  <c r="S11" i="25"/>
  <c r="R11" i="25" s="1"/>
  <c r="G12" i="34"/>
  <c r="D12" i="26"/>
  <c r="G12" i="26" s="1"/>
  <c r="H31" i="27"/>
  <c r="B12" i="34"/>
  <c r="C12" i="34"/>
  <c r="D12" i="34" s="1"/>
  <c r="E12" i="34"/>
  <c r="C12" i="38"/>
  <c r="D12" i="38" s="1"/>
  <c r="B12" i="38"/>
  <c r="E12" i="38"/>
  <c r="B36" i="1"/>
  <c r="T37" i="10"/>
  <c r="B37" i="10" s="1"/>
  <c r="J32" i="27" l="1"/>
  <c r="Q11" i="25"/>
  <c r="P11" i="25" s="1"/>
  <c r="O11" i="25" s="1"/>
  <c r="N11" i="25" s="1"/>
  <c r="C12" i="26"/>
  <c r="E36" i="26"/>
  <c r="E13" i="26" s="1"/>
  <c r="J12" i="26" s="1"/>
  <c r="K12" i="26"/>
  <c r="AEB12" i="34"/>
  <c r="E34" i="34" s="1"/>
  <c r="F34" i="34" s="1"/>
  <c r="AEA12" i="34"/>
  <c r="C34" i="34" s="1"/>
  <c r="D34" i="34" s="1"/>
  <c r="AEB12" i="38"/>
  <c r="E34" i="38" s="1"/>
  <c r="F34" i="38" s="1"/>
  <c r="AEA12" i="38"/>
  <c r="C34" i="38" s="1"/>
  <c r="D34" i="38" s="1"/>
  <c r="I32" i="27"/>
  <c r="T38" i="10"/>
  <c r="B38" i="10" s="1"/>
  <c r="C38" i="10" s="1"/>
  <c r="B37" i="1"/>
  <c r="C37" i="10"/>
  <c r="AC11" i="13" l="1"/>
  <c r="AD11" i="13"/>
  <c r="H12" i="25"/>
  <c r="G12" i="25"/>
  <c r="F12" i="25" s="1"/>
  <c r="E12" i="25" s="1"/>
  <c r="Y12" i="13" s="1"/>
  <c r="F13" i="38"/>
  <c r="F13" i="34"/>
  <c r="G32" i="27"/>
  <c r="F33" i="27"/>
  <c r="H12" i="26"/>
  <c r="B38" i="1"/>
  <c r="T39" i="10"/>
  <c r="B39" i="10" s="1"/>
  <c r="C39" i="10" s="1"/>
  <c r="G13" i="38" l="1"/>
  <c r="B13" i="25"/>
  <c r="AA12" i="13"/>
  <c r="C12" i="25"/>
  <c r="AB12" i="13" s="1"/>
  <c r="M12" i="25"/>
  <c r="D12" i="25"/>
  <c r="Y12" i="25"/>
  <c r="I13" i="25"/>
  <c r="J13" i="25"/>
  <c r="L14" i="25" s="1"/>
  <c r="H32" i="27"/>
  <c r="D13" i="26"/>
  <c r="C13" i="26" s="1"/>
  <c r="G13" i="34"/>
  <c r="B13" i="34"/>
  <c r="C13" i="34"/>
  <c r="D13" i="34" s="1"/>
  <c r="E13" i="34"/>
  <c r="B13" i="38"/>
  <c r="C13" i="38"/>
  <c r="D13" i="38" s="1"/>
  <c r="E13" i="38"/>
  <c r="T40" i="10"/>
  <c r="B40" i="10" s="1"/>
  <c r="C40" i="10" s="1"/>
  <c r="B39" i="1"/>
  <c r="Z12" i="13" l="1"/>
  <c r="Z12" i="25"/>
  <c r="K14" i="25"/>
  <c r="S12" i="25"/>
  <c r="J33" i="27"/>
  <c r="G13" i="26"/>
  <c r="K13" i="26" s="1"/>
  <c r="E37" i="26"/>
  <c r="E14" i="26" s="1"/>
  <c r="J13" i="26" s="1"/>
  <c r="AEB13" i="38"/>
  <c r="E35" i="38" s="1"/>
  <c r="F35" i="38" s="1"/>
  <c r="AEA13" i="38"/>
  <c r="C35" i="38" s="1"/>
  <c r="D35" i="38" s="1"/>
  <c r="AEA13" i="34"/>
  <c r="C35" i="34" s="1"/>
  <c r="D35" i="34" s="1"/>
  <c r="AEB13" i="34"/>
  <c r="E35" i="34" s="1"/>
  <c r="F35" i="34" s="1"/>
  <c r="B40" i="1"/>
  <c r="T41" i="10"/>
  <c r="B41" i="10" s="1"/>
  <c r="C41" i="10" s="1"/>
  <c r="R12" i="25" l="1"/>
  <c r="Q12" i="25" s="1"/>
  <c r="P12" i="25" s="1"/>
  <c r="O12" i="25" s="1"/>
  <c r="I33" i="27"/>
  <c r="T42" i="10"/>
  <c r="B42" i="10" s="1"/>
  <c r="C42" i="10" s="1"/>
  <c r="B41" i="1"/>
  <c r="AC12" i="13" l="1"/>
  <c r="N12" i="25"/>
  <c r="G13" i="25" s="1"/>
  <c r="F13" i="25" s="1"/>
  <c r="E13" i="25" s="1"/>
  <c r="Y13" i="13" s="1"/>
  <c r="F14" i="38"/>
  <c r="G33" i="27"/>
  <c r="F14" i="34"/>
  <c r="F34" i="27"/>
  <c r="H13" i="26"/>
  <c r="B42" i="1"/>
  <c r="T43" i="10"/>
  <c r="B43" i="10" s="1"/>
  <c r="H13" i="25" l="1"/>
  <c r="AD12" i="13"/>
  <c r="B14" i="25"/>
  <c r="AA13" i="13"/>
  <c r="Y13" i="25"/>
  <c r="M13" i="25"/>
  <c r="D13" i="25"/>
  <c r="C13" i="25"/>
  <c r="AB13" i="13" s="1"/>
  <c r="J14" i="25"/>
  <c r="L15" i="25" s="1"/>
  <c r="I14" i="25"/>
  <c r="D14" i="26"/>
  <c r="H33" i="27"/>
  <c r="C14" i="34"/>
  <c r="D14" i="34" s="1"/>
  <c r="B14" i="34"/>
  <c r="E14" i="34"/>
  <c r="G14" i="34"/>
  <c r="C14" i="38"/>
  <c r="D14" i="38" s="1"/>
  <c r="B14" i="38"/>
  <c r="E14" i="38"/>
  <c r="G14" i="38"/>
  <c r="C43" i="10"/>
  <c r="B43" i="1"/>
  <c r="T44" i="10"/>
  <c r="B44" i="10" s="1"/>
  <c r="K15" i="25" l="1"/>
  <c r="S13" i="25"/>
  <c r="Z13" i="13"/>
  <c r="Z13" i="25"/>
  <c r="AEB14" i="38"/>
  <c r="E36" i="38" s="1"/>
  <c r="F36" i="38" s="1"/>
  <c r="AEA14" i="38"/>
  <c r="C36" i="38" s="1"/>
  <c r="D36" i="38" s="1"/>
  <c r="AEB14" i="34"/>
  <c r="E36" i="34" s="1"/>
  <c r="F36" i="34" s="1"/>
  <c r="AEA14" i="34"/>
  <c r="C36" i="34" s="1"/>
  <c r="D36" i="34" s="1"/>
  <c r="E38" i="26"/>
  <c r="E15" i="26" s="1"/>
  <c r="J14" i="26" s="1"/>
  <c r="G14" i="26"/>
  <c r="J34" i="27"/>
  <c r="C14" i="26"/>
  <c r="T45" i="10"/>
  <c r="B45" i="10" s="1"/>
  <c r="C45" i="10" s="1"/>
  <c r="B44" i="1"/>
  <c r="C44" i="10"/>
  <c r="R13" i="25" l="1"/>
  <c r="Q13" i="25" s="1"/>
  <c r="P13" i="25" s="1"/>
  <c r="O13" i="25" s="1"/>
  <c r="K14" i="26"/>
  <c r="I34" i="27"/>
  <c r="B45" i="1"/>
  <c r="T46" i="10"/>
  <c r="B46" i="10" s="1"/>
  <c r="C46" i="10" s="1"/>
  <c r="N13" i="25" l="1"/>
  <c r="AD13" i="13" s="1"/>
  <c r="AC13" i="13"/>
  <c r="F15" i="38"/>
  <c r="F15" i="34"/>
  <c r="G34" i="27"/>
  <c r="F35" i="27"/>
  <c r="H14" i="26"/>
  <c r="H34" i="27" s="1"/>
  <c r="T47" i="10"/>
  <c r="B47" i="10" s="1"/>
  <c r="C47" i="10" s="1"/>
  <c r="B46" i="1"/>
  <c r="H14" i="25" l="1"/>
  <c r="G14" i="25"/>
  <c r="F14" i="25" s="1"/>
  <c r="E14" i="25" s="1"/>
  <c r="Y14" i="13" s="1"/>
  <c r="C15" i="34"/>
  <c r="D15" i="34" s="1"/>
  <c r="B15" i="34"/>
  <c r="E15" i="34"/>
  <c r="G15" i="34"/>
  <c r="G15" i="38"/>
  <c r="D15" i="26"/>
  <c r="B15" i="38"/>
  <c r="C15" i="38"/>
  <c r="D15" i="38" s="1"/>
  <c r="E15" i="38"/>
  <c r="B47" i="1"/>
  <c r="T48" i="10"/>
  <c r="B48" i="10" s="1"/>
  <c r="B15" i="25" l="1"/>
  <c r="J15" i="25"/>
  <c r="L16" i="25" s="1"/>
  <c r="M14" i="25"/>
  <c r="Z14" i="25" s="1"/>
  <c r="I15" i="25"/>
  <c r="K16" i="25" s="1"/>
  <c r="C14" i="25"/>
  <c r="AB14" i="13" s="1"/>
  <c r="D14" i="25"/>
  <c r="Y14" i="25"/>
  <c r="AA14" i="13"/>
  <c r="AEA15" i="38"/>
  <c r="C37" i="38" s="1"/>
  <c r="D37" i="38" s="1"/>
  <c r="AEB15" i="38"/>
  <c r="E37" i="38" s="1"/>
  <c r="F37" i="38" s="1"/>
  <c r="C15" i="26"/>
  <c r="E39" i="26"/>
  <c r="E16" i="26" s="1"/>
  <c r="J35" i="27"/>
  <c r="G15" i="26"/>
  <c r="AEB15" i="34"/>
  <c r="E37" i="34" s="1"/>
  <c r="F37" i="34" s="1"/>
  <c r="AEA15" i="34"/>
  <c r="C37" i="34" s="1"/>
  <c r="D37" i="34" s="1"/>
  <c r="T49" i="10"/>
  <c r="B49" i="10" s="1"/>
  <c r="C49" i="10" s="1"/>
  <c r="B48" i="1"/>
  <c r="C48" i="10"/>
  <c r="S14" i="25" l="1"/>
  <c r="R14" i="25" s="1"/>
  <c r="Q14" i="25" s="1"/>
  <c r="P14" i="25" s="1"/>
  <c r="O14" i="25" s="1"/>
  <c r="Z14" i="13"/>
  <c r="K15" i="26"/>
  <c r="I35" i="27"/>
  <c r="J15" i="26"/>
  <c r="B49" i="1"/>
  <c r="T50" i="10"/>
  <c r="B50" i="10" s="1"/>
  <c r="C50" i="10" s="1"/>
  <c r="N14" i="25" l="1"/>
  <c r="AD14" i="13" s="1"/>
  <c r="AC14" i="13"/>
  <c r="T51" i="10"/>
  <c r="B51" i="10" s="1"/>
  <c r="B50" i="1"/>
  <c r="G15" i="25" l="1"/>
  <c r="F15" i="25" s="1"/>
  <c r="E15" i="25" s="1"/>
  <c r="Y15" i="13" s="1"/>
  <c r="H15" i="25"/>
  <c r="F16" i="38"/>
  <c r="G35" i="27"/>
  <c r="F16" i="34"/>
  <c r="F36" i="27"/>
  <c r="H15" i="26"/>
  <c r="H35" i="27" s="1"/>
  <c r="C51" i="10"/>
  <c r="B51" i="1"/>
  <c r="T52" i="10"/>
  <c r="B52" i="10" s="1"/>
  <c r="D15" i="25" l="1"/>
  <c r="C15" i="25"/>
  <c r="AB15" i="13" s="1"/>
  <c r="M15" i="25"/>
  <c r="Z15" i="13" s="1"/>
  <c r="AA15" i="13"/>
  <c r="I16" i="25"/>
  <c r="B16" i="25"/>
  <c r="J16" i="25"/>
  <c r="Y15" i="25"/>
  <c r="G16" i="38"/>
  <c r="D16" i="26"/>
  <c r="B16" i="34"/>
  <c r="C16" i="34"/>
  <c r="D16" i="34" s="1"/>
  <c r="E16" i="34"/>
  <c r="G16" i="34"/>
  <c r="B16" i="38"/>
  <c r="C16" i="38"/>
  <c r="D16" i="38" s="1"/>
  <c r="E16" i="38"/>
  <c r="C52" i="10"/>
  <c r="T53" i="10"/>
  <c r="B53" i="10" s="1"/>
  <c r="C53" i="10" s="1"/>
  <c r="B52" i="1"/>
  <c r="S15" i="25" l="1"/>
  <c r="R15" i="25" s="1"/>
  <c r="Q15" i="25" s="1"/>
  <c r="P15" i="25" s="1"/>
  <c r="O15" i="25" s="1"/>
  <c r="Z15" i="25"/>
  <c r="AEA16" i="38"/>
  <c r="C38" i="38" s="1"/>
  <c r="D38" i="38" s="1"/>
  <c r="AEB16" i="38"/>
  <c r="E38" i="38" s="1"/>
  <c r="F38" i="38" s="1"/>
  <c r="AEA16" i="34"/>
  <c r="C38" i="34" s="1"/>
  <c r="D38" i="34" s="1"/>
  <c r="AEB16" i="34"/>
  <c r="E38" i="34" s="1"/>
  <c r="F38" i="34" s="1"/>
  <c r="G16" i="26"/>
  <c r="E40" i="26"/>
  <c r="E17" i="26" s="1"/>
  <c r="C16" i="26"/>
  <c r="J36" i="27"/>
  <c r="B53" i="1"/>
  <c r="T54" i="10"/>
  <c r="B54" i="10" s="1"/>
  <c r="C54" i="10" s="1"/>
  <c r="N15" i="25" l="1"/>
  <c r="G16" i="25" s="1"/>
  <c r="F16" i="25" s="1"/>
  <c r="E16" i="25" s="1"/>
  <c r="Y16" i="13" s="1"/>
  <c r="AC15" i="13"/>
  <c r="K16" i="26"/>
  <c r="I36" i="27"/>
  <c r="J16" i="26"/>
  <c r="T55" i="10"/>
  <c r="B55" i="10" s="1"/>
  <c r="C55" i="10" s="1"/>
  <c r="B54" i="1"/>
  <c r="H16" i="25" l="1"/>
  <c r="AD15" i="13"/>
  <c r="B17" i="25"/>
  <c r="AA16" i="13"/>
  <c r="D16" i="25"/>
  <c r="C16" i="25"/>
  <c r="AB16" i="13" s="1"/>
  <c r="I17" i="25"/>
  <c r="Y16" i="25"/>
  <c r="J17" i="25"/>
  <c r="M16" i="25"/>
  <c r="F17" i="38"/>
  <c r="F17" i="34"/>
  <c r="G36" i="27"/>
  <c r="F37" i="27"/>
  <c r="H16" i="26"/>
  <c r="H36" i="27" s="1"/>
  <c r="B55" i="1"/>
  <c r="T56" i="10"/>
  <c r="B56" i="10" s="1"/>
  <c r="C56" i="10" s="1"/>
  <c r="S16" i="25" l="1"/>
  <c r="Z16" i="13"/>
  <c r="Z16" i="25"/>
  <c r="E17" i="34"/>
  <c r="B17" i="34"/>
  <c r="C17" i="34"/>
  <c r="D17" i="34" s="1"/>
  <c r="G17" i="34"/>
  <c r="D17" i="26"/>
  <c r="C17" i="38"/>
  <c r="D17" i="38" s="1"/>
  <c r="B17" i="38"/>
  <c r="E17" i="38"/>
  <c r="G17" i="38"/>
  <c r="T57" i="10"/>
  <c r="B57" i="10" s="1"/>
  <c r="C57" i="10" s="1"/>
  <c r="B56" i="1"/>
  <c r="R16" i="25" l="1"/>
  <c r="Q16" i="25" s="1"/>
  <c r="P16" i="25" s="1"/>
  <c r="O16" i="25" s="1"/>
  <c r="AEB17" i="38"/>
  <c r="E39" i="38" s="1"/>
  <c r="F39" i="38" s="1"/>
  <c r="AEA17" i="38"/>
  <c r="C39" i="38" s="1"/>
  <c r="D39" i="38" s="1"/>
  <c r="E41" i="26"/>
  <c r="E18" i="26" s="1"/>
  <c r="C17" i="26"/>
  <c r="G17" i="26"/>
  <c r="J37" i="27"/>
  <c r="AEA17" i="34"/>
  <c r="C39" i="34" s="1"/>
  <c r="D39" i="34" s="1"/>
  <c r="AEB17" i="34"/>
  <c r="E39" i="34" s="1"/>
  <c r="F39" i="34" s="1"/>
  <c r="B57" i="1"/>
  <c r="T58" i="10"/>
  <c r="B58" i="10" s="1"/>
  <c r="C58" i="10" s="1"/>
  <c r="N16" i="25" l="1"/>
  <c r="H17" i="25" s="1"/>
  <c r="AC16" i="13"/>
  <c r="K17" i="26"/>
  <c r="I37" i="27"/>
  <c r="J17" i="26"/>
  <c r="T59" i="10"/>
  <c r="B59" i="10" s="1"/>
  <c r="B58" i="1"/>
  <c r="G17" i="25" l="1"/>
  <c r="F17" i="25" s="1"/>
  <c r="E17" i="25" s="1"/>
  <c r="Y17" i="13" s="1"/>
  <c r="AD16" i="13"/>
  <c r="F18" i="38"/>
  <c r="G37" i="27"/>
  <c r="F18" i="34"/>
  <c r="F38" i="27"/>
  <c r="C36" i="23"/>
  <c r="B37" i="23"/>
  <c r="H17" i="26"/>
  <c r="H37" i="27" s="1"/>
  <c r="B59" i="1"/>
  <c r="T60" i="10"/>
  <c r="B60" i="10" s="1"/>
  <c r="C60" i="10" s="1"/>
  <c r="C59" i="10"/>
  <c r="Y17" i="25" l="1"/>
  <c r="C17" i="25"/>
  <c r="AB17" i="13" s="1"/>
  <c r="D17" i="25"/>
  <c r="M17" i="25"/>
  <c r="Z17" i="13" s="1"/>
  <c r="AA17" i="13"/>
  <c r="B18" i="25"/>
  <c r="J18" i="25"/>
  <c r="L19" i="25" s="1"/>
  <c r="I18" i="25"/>
  <c r="K19" i="25"/>
  <c r="G18" i="38"/>
  <c r="D18" i="26"/>
  <c r="C18" i="34"/>
  <c r="D18" i="34" s="1"/>
  <c r="B18" i="34"/>
  <c r="E18" i="34"/>
  <c r="G18" i="34"/>
  <c r="B18" i="38"/>
  <c r="C18" i="38"/>
  <c r="D18" i="38" s="1"/>
  <c r="E18" i="38"/>
  <c r="T61" i="10"/>
  <c r="B61" i="10" s="1"/>
  <c r="B60" i="1"/>
  <c r="S17" i="25" l="1"/>
  <c r="R17" i="25" s="1"/>
  <c r="Q17" i="25" s="1"/>
  <c r="P17" i="25" s="1"/>
  <c r="O17" i="25" s="1"/>
  <c r="Z17" i="25"/>
  <c r="AEA18" i="38"/>
  <c r="C40" i="38" s="1"/>
  <c r="D40" i="38" s="1"/>
  <c r="AEB18" i="38"/>
  <c r="E40" i="38" s="1"/>
  <c r="F40" i="38" s="1"/>
  <c r="AEA18" i="34"/>
  <c r="C40" i="34" s="1"/>
  <c r="D40" i="34" s="1"/>
  <c r="AEB18" i="34"/>
  <c r="E40" i="34" s="1"/>
  <c r="F40" i="34" s="1"/>
  <c r="E42" i="26"/>
  <c r="E19" i="26" s="1"/>
  <c r="J18" i="26" s="1"/>
  <c r="C18" i="26"/>
  <c r="G18" i="26"/>
  <c r="J38" i="27"/>
  <c r="C61" i="10"/>
  <c r="B61" i="1"/>
  <c r="T62" i="10"/>
  <c r="B62" i="10" s="1"/>
  <c r="C62" i="10" s="1"/>
  <c r="N17" i="25" l="1"/>
  <c r="AD17" i="13" s="1"/>
  <c r="AC17" i="13"/>
  <c r="K18" i="26"/>
  <c r="I38" i="27"/>
  <c r="B62" i="1"/>
  <c r="T63" i="10"/>
  <c r="B63" i="10" s="1"/>
  <c r="C63" i="10" s="1"/>
  <c r="G18" i="25" l="1"/>
  <c r="F18" i="25" s="1"/>
  <c r="E18" i="25" s="1"/>
  <c r="Y18" i="13" s="1"/>
  <c r="H18" i="25"/>
  <c r="F19" i="38"/>
  <c r="F19" i="34"/>
  <c r="G38" i="27"/>
  <c r="F39" i="27"/>
  <c r="H18" i="26"/>
  <c r="D19" i="26" s="1"/>
  <c r="J39" i="27" s="1"/>
  <c r="T64" i="10"/>
  <c r="B64" i="10" s="1"/>
  <c r="C64" i="10" s="1"/>
  <c r="B63" i="1"/>
  <c r="Y18" i="25" l="1"/>
  <c r="C18" i="25"/>
  <c r="AB18" i="13" s="1"/>
  <c r="AA18" i="13"/>
  <c r="D18" i="25"/>
  <c r="I19" i="25"/>
  <c r="B19" i="25"/>
  <c r="J19" i="25"/>
  <c r="M18" i="25"/>
  <c r="Z18" i="25" s="1"/>
  <c r="H38" i="27"/>
  <c r="C19" i="34"/>
  <c r="D19" i="34" s="1"/>
  <c r="B19" i="34"/>
  <c r="E19" i="34"/>
  <c r="G19" i="34"/>
  <c r="C19" i="26"/>
  <c r="E43" i="26"/>
  <c r="E20" i="26" s="1"/>
  <c r="G19" i="26"/>
  <c r="C19" i="38"/>
  <c r="D19" i="38" s="1"/>
  <c r="B19" i="38"/>
  <c r="E19" i="38"/>
  <c r="G19" i="38"/>
  <c r="B64" i="1"/>
  <c r="T65" i="10"/>
  <c r="B65" i="10" s="1"/>
  <c r="C65" i="10" s="1"/>
  <c r="S18" i="25" l="1"/>
  <c r="R18" i="25" s="1"/>
  <c r="Q18" i="25" s="1"/>
  <c r="P18" i="25" s="1"/>
  <c r="O18" i="25" s="1"/>
  <c r="Z18" i="13"/>
  <c r="K19" i="26"/>
  <c r="I39" i="27"/>
  <c r="AEA19" i="38"/>
  <c r="C41" i="38" s="1"/>
  <c r="AEB19" i="38"/>
  <c r="E41" i="38" s="1"/>
  <c r="F41" i="38" s="1"/>
  <c r="J19" i="26"/>
  <c r="AEA19" i="34"/>
  <c r="C41" i="34" s="1"/>
  <c r="D41" i="34" s="1"/>
  <c r="AEB19" i="34"/>
  <c r="E41" i="34" s="1"/>
  <c r="F41" i="34" s="1"/>
  <c r="T66" i="10"/>
  <c r="B66" i="10" s="1"/>
  <c r="C66" i="10" s="1"/>
  <c r="B65" i="1"/>
  <c r="N18" i="25" l="1"/>
  <c r="AD18" i="13" s="1"/>
  <c r="AC18" i="13"/>
  <c r="D41" i="38"/>
  <c r="B66" i="1"/>
  <c r="T67" i="10"/>
  <c r="B67" i="10" s="1"/>
  <c r="C67" i="10" s="1"/>
  <c r="G19" i="25" l="1"/>
  <c r="F19" i="25" s="1"/>
  <c r="E19" i="25" s="1"/>
  <c r="Y19" i="13" s="1"/>
  <c r="H19" i="25"/>
  <c r="F20" i="38"/>
  <c r="G39" i="27"/>
  <c r="F20" i="34"/>
  <c r="F40" i="27"/>
  <c r="H19" i="26"/>
  <c r="D20" i="26" s="1"/>
  <c r="J40" i="27" s="1"/>
  <c r="T68" i="10"/>
  <c r="B68" i="10" s="1"/>
  <c r="C68" i="10" s="1"/>
  <c r="B67" i="1"/>
  <c r="Y19" i="25" l="1"/>
  <c r="M19" i="25"/>
  <c r="Z19" i="25" s="1"/>
  <c r="J20" i="25"/>
  <c r="AA19" i="13"/>
  <c r="B20" i="25"/>
  <c r="I20" i="25"/>
  <c r="D19" i="25"/>
  <c r="C19" i="25"/>
  <c r="AB19" i="13" s="1"/>
  <c r="H39" i="27"/>
  <c r="C20" i="26"/>
  <c r="E44" i="26"/>
  <c r="G20" i="26"/>
  <c r="B20" i="34"/>
  <c r="C20" i="34"/>
  <c r="D20" i="34" s="1"/>
  <c r="E20" i="34"/>
  <c r="G20" i="34"/>
  <c r="B20" i="38"/>
  <c r="E20" i="38"/>
  <c r="G20" i="38"/>
  <c r="C20" i="38"/>
  <c r="D20" i="38" s="1"/>
  <c r="B68" i="1"/>
  <c r="T69" i="10"/>
  <c r="B69" i="10" s="1"/>
  <c r="C69" i="10" s="1"/>
  <c r="S19" i="25" l="1"/>
  <c r="R19" i="25" s="1"/>
  <c r="Q19" i="25" s="1"/>
  <c r="P19" i="25" s="1"/>
  <c r="O19" i="25" s="1"/>
  <c r="Z19" i="13"/>
  <c r="AEB20" i="38"/>
  <c r="E42" i="38" s="1"/>
  <c r="AEA20" i="38"/>
  <c r="C42" i="38" s="1"/>
  <c r="K20" i="26"/>
  <c r="I40" i="27"/>
  <c r="AEA20" i="34"/>
  <c r="C42" i="34" s="1"/>
  <c r="D42" i="34" s="1"/>
  <c r="AEB20" i="34"/>
  <c r="E42" i="34" s="1"/>
  <c r="F42" i="34" s="1"/>
  <c r="E21" i="26"/>
  <c r="T70" i="10"/>
  <c r="B70" i="10" s="1"/>
  <c r="B69" i="1"/>
  <c r="N19" i="25" l="1"/>
  <c r="AC19" i="13"/>
  <c r="J20" i="26"/>
  <c r="D42" i="38"/>
  <c r="F42" i="38"/>
  <c r="C70" i="10"/>
  <c r="B70" i="1"/>
  <c r="T71" i="10"/>
  <c r="B71" i="10" s="1"/>
  <c r="C71" i="10" s="1"/>
  <c r="H20" i="25" l="1"/>
  <c r="G20" i="25"/>
  <c r="F20" i="25" s="1"/>
  <c r="E20" i="25" s="1"/>
  <c r="AD19" i="13"/>
  <c r="T72" i="10"/>
  <c r="B72" i="10" s="1"/>
  <c r="C72" i="10" s="1"/>
  <c r="B71" i="1"/>
  <c r="Y20" i="13" l="1"/>
  <c r="C20" i="25"/>
  <c r="AB20" i="13" s="1"/>
  <c r="Y20" i="25"/>
  <c r="D20" i="25"/>
  <c r="J21" i="25"/>
  <c r="AA20" i="13"/>
  <c r="B21" i="25"/>
  <c r="I21" i="25"/>
  <c r="M20" i="25"/>
  <c r="F21" i="38"/>
  <c r="F21" i="34"/>
  <c r="G40" i="27"/>
  <c r="F41" i="27"/>
  <c r="H20" i="26"/>
  <c r="D21" i="26" s="1"/>
  <c r="J41" i="27" s="1"/>
  <c r="B72" i="1"/>
  <c r="T73" i="10"/>
  <c r="B73" i="10" s="1"/>
  <c r="C73" i="10" s="1"/>
  <c r="S20" i="25" l="1"/>
  <c r="R20" i="25" s="1"/>
  <c r="Q20" i="25" s="1"/>
  <c r="P20" i="25" s="1"/>
  <c r="O20" i="25" s="1"/>
  <c r="Z20" i="13"/>
  <c r="Z20" i="25"/>
  <c r="H40" i="27"/>
  <c r="B21" i="34"/>
  <c r="C21" i="34"/>
  <c r="D21" i="34" s="1"/>
  <c r="E21" i="34"/>
  <c r="G21" i="34"/>
  <c r="E45" i="26"/>
  <c r="C21" i="26"/>
  <c r="G21" i="26"/>
  <c r="C21" i="38"/>
  <c r="D21" i="38" s="1"/>
  <c r="B21" i="38"/>
  <c r="E21" i="38"/>
  <c r="G21" i="38"/>
  <c r="T74" i="10"/>
  <c r="B74" i="10" s="1"/>
  <c r="B73" i="1"/>
  <c r="N20" i="25" l="1"/>
  <c r="AC20" i="13"/>
  <c r="AEA21" i="38"/>
  <c r="C43" i="38" s="1"/>
  <c r="AEB21" i="38"/>
  <c r="E43" i="38" s="1"/>
  <c r="K21" i="26"/>
  <c r="I41" i="27"/>
  <c r="L9" i="27" s="1"/>
  <c r="E22" i="26"/>
  <c r="AEB21" i="34"/>
  <c r="E43" i="34" s="1"/>
  <c r="F43" i="34" s="1"/>
  <c r="AEA21" i="34"/>
  <c r="C43" i="34" s="1"/>
  <c r="D43" i="34" s="1"/>
  <c r="C74" i="10"/>
  <c r="B74" i="1"/>
  <c r="T75" i="10"/>
  <c r="B75" i="10" s="1"/>
  <c r="C75" i="10" s="1"/>
  <c r="AD20" i="13" l="1"/>
  <c r="G21" i="25"/>
  <c r="F21" i="25" s="1"/>
  <c r="E21" i="25" s="1"/>
  <c r="H21" i="25"/>
  <c r="J21" i="26"/>
  <c r="F43" i="38"/>
  <c r="D43" i="38"/>
  <c r="T76" i="10"/>
  <c r="B76" i="10" s="1"/>
  <c r="B75" i="1"/>
  <c r="B76" i="1" s="1"/>
  <c r="Y21" i="13" l="1"/>
  <c r="D21" i="25"/>
  <c r="I22" i="25"/>
  <c r="C21" i="25"/>
  <c r="AB21" i="13" s="1"/>
  <c r="M21" i="25"/>
  <c r="J22" i="25"/>
  <c r="AA21" i="13"/>
  <c r="B22" i="25"/>
  <c r="Y21" i="25"/>
  <c r="T77" i="10"/>
  <c r="B77" i="10" s="1"/>
  <c r="C77" i="10" s="1"/>
  <c r="C76" i="10"/>
  <c r="S21" i="25" l="1"/>
  <c r="R21" i="25" s="1"/>
  <c r="Q21" i="25" s="1"/>
  <c r="P21" i="25" s="1"/>
  <c r="O21" i="25" s="1"/>
  <c r="Z21" i="13"/>
  <c r="Z21" i="25"/>
  <c r="F22" i="38"/>
  <c r="G41" i="27"/>
  <c r="F22" i="34"/>
  <c r="F42" i="27"/>
  <c r="H21" i="26"/>
  <c r="D22" i="26" s="1"/>
  <c r="J42" i="27" s="1"/>
  <c r="T78" i="10"/>
  <c r="B78" i="10" s="1"/>
  <c r="C78" i="10" s="1"/>
  <c r="B77" i="1"/>
  <c r="N21" i="25" l="1"/>
  <c r="AC21" i="13"/>
  <c r="H41" i="27"/>
  <c r="C22" i="26"/>
  <c r="E23" i="26"/>
  <c r="G22" i="26"/>
  <c r="B22" i="34"/>
  <c r="C22" i="34"/>
  <c r="D22" i="34" s="1"/>
  <c r="E22" i="34"/>
  <c r="G22" i="34"/>
  <c r="B22" i="38"/>
  <c r="C22" i="38"/>
  <c r="D22" i="38" s="1"/>
  <c r="E22" i="38"/>
  <c r="G22" i="38"/>
  <c r="B78" i="1"/>
  <c r="T79" i="10"/>
  <c r="B79" i="10" s="1"/>
  <c r="H22" i="25" l="1"/>
  <c r="AD21" i="13"/>
  <c r="G22" i="25"/>
  <c r="F22" i="25" s="1"/>
  <c r="E22" i="25" s="1"/>
  <c r="AEB22" i="38"/>
  <c r="E44" i="38" s="1"/>
  <c r="AEA22" i="38"/>
  <c r="C44" i="38" s="1"/>
  <c r="AEA22" i="34"/>
  <c r="C44" i="34" s="1"/>
  <c r="D44" i="34" s="1"/>
  <c r="D25" i="34" s="1"/>
  <c r="K8" i="39" s="1"/>
  <c r="AEB22" i="34"/>
  <c r="E44" i="34" s="1"/>
  <c r="F44" i="34" s="1"/>
  <c r="F25" i="34" s="1"/>
  <c r="K9" i="39" s="1"/>
  <c r="J22" i="26"/>
  <c r="K22" i="26"/>
  <c r="I42" i="27"/>
  <c r="T80" i="10"/>
  <c r="B80" i="10" s="1"/>
  <c r="B79" i="1"/>
  <c r="C79" i="10"/>
  <c r="Y22" i="13" l="1"/>
  <c r="D22" i="25"/>
  <c r="Y22" i="25"/>
  <c r="C22" i="25"/>
  <c r="AB22" i="13" s="1"/>
  <c r="M22" i="25"/>
  <c r="I23" i="25"/>
  <c r="B23" i="25"/>
  <c r="J23" i="25"/>
  <c r="AA22" i="13"/>
  <c r="K10" i="39"/>
  <c r="F23" i="38"/>
  <c r="G42" i="27"/>
  <c r="L33" i="27" s="1"/>
  <c r="F23" i="34"/>
  <c r="H22" i="26"/>
  <c r="D23" i="26" s="1"/>
  <c r="B38" i="23"/>
  <c r="C37" i="23"/>
  <c r="D44" i="38"/>
  <c r="C25" i="38"/>
  <c r="F44" i="38"/>
  <c r="E25" i="38"/>
  <c r="C80" i="10"/>
  <c r="B80" i="1"/>
  <c r="T81" i="10"/>
  <c r="B81" i="10" s="1"/>
  <c r="S22" i="25" l="1"/>
  <c r="R22" i="25" s="1"/>
  <c r="Q22" i="25" s="1"/>
  <c r="P22" i="25" s="1"/>
  <c r="O22" i="25" s="1"/>
  <c r="Z22" i="13"/>
  <c r="Z22" i="25"/>
  <c r="K42" i="27"/>
  <c r="E4" i="39"/>
  <c r="C9" i="39" s="1"/>
  <c r="B34" i="38"/>
  <c r="H42" i="27"/>
  <c r="O23" i="26"/>
  <c r="C23" i="26"/>
  <c r="G23" i="26"/>
  <c r="K23" i="27"/>
  <c r="K24" i="27"/>
  <c r="L25" i="27"/>
  <c r="N33" i="27"/>
  <c r="L27" i="27"/>
  <c r="L36" i="27"/>
  <c r="N25" i="27"/>
  <c r="L38" i="27"/>
  <c r="L41" i="27"/>
  <c r="N30" i="27"/>
  <c r="N23" i="27"/>
  <c r="N41" i="27"/>
  <c r="L35" i="27"/>
  <c r="L26" i="27"/>
  <c r="N34" i="27"/>
  <c r="N24" i="27"/>
  <c r="L37" i="27"/>
  <c r="N26" i="27"/>
  <c r="L28" i="27"/>
  <c r="T51" i="27"/>
  <c r="L30" i="27"/>
  <c r="N40" i="27"/>
  <c r="S42" i="27"/>
  <c r="N42" i="27"/>
  <c r="L39" i="27"/>
  <c r="L32" i="27"/>
  <c r="L23" i="27"/>
  <c r="L31" i="27"/>
  <c r="L24" i="27"/>
  <c r="T52" i="27"/>
  <c r="N35" i="27"/>
  <c r="L29" i="27"/>
  <c r="N37" i="27"/>
  <c r="N27" i="27"/>
  <c r="L40" i="27"/>
  <c r="N29" i="27"/>
  <c r="N32" i="27"/>
  <c r="N39" i="27"/>
  <c r="K25" i="27"/>
  <c r="N38" i="27"/>
  <c r="N31" i="27"/>
  <c r="L42" i="27"/>
  <c r="N36" i="27"/>
  <c r="S43" i="27"/>
  <c r="L34" i="27"/>
  <c r="N28" i="27"/>
  <c r="K26" i="27"/>
  <c r="K27" i="27"/>
  <c r="K28" i="27"/>
  <c r="K29" i="27"/>
  <c r="K30" i="27"/>
  <c r="K31" i="27"/>
  <c r="K33" i="27"/>
  <c r="K32" i="27"/>
  <c r="K34" i="27"/>
  <c r="K35" i="27"/>
  <c r="K36" i="27"/>
  <c r="K40" i="27"/>
  <c r="K38" i="27"/>
  <c r="K37" i="27"/>
  <c r="K39" i="27"/>
  <c r="K41" i="27"/>
  <c r="B23" i="34"/>
  <c r="C23" i="34"/>
  <c r="D23" i="34" s="1"/>
  <c r="E23" i="34"/>
  <c r="G23" i="34"/>
  <c r="C23" i="38"/>
  <c r="D23" i="38" s="1"/>
  <c r="B23" i="38"/>
  <c r="E23" i="38"/>
  <c r="G23" i="38"/>
  <c r="C81" i="10"/>
  <c r="T82" i="10"/>
  <c r="B82" i="10" s="1"/>
  <c r="B81" i="1"/>
  <c r="N22" i="25" l="1"/>
  <c r="AC22" i="13"/>
  <c r="AEA23" i="38"/>
  <c r="AEB23" i="38"/>
  <c r="AEA23" i="34"/>
  <c r="AEB23" i="34"/>
  <c r="H23" i="26"/>
  <c r="P23" i="26"/>
  <c r="B82" i="1"/>
  <c r="C82" i="10"/>
  <c r="T83" i="10"/>
  <c r="B83" i="10" s="1"/>
  <c r="AD22" i="13" l="1"/>
  <c r="G23" i="25"/>
  <c r="F23" i="25" s="1"/>
  <c r="E23" i="25" s="1"/>
  <c r="H23" i="25"/>
  <c r="T84" i="10"/>
  <c r="B84" i="10" s="1"/>
  <c r="C84" i="10" s="1"/>
  <c r="B83" i="1"/>
  <c r="C83" i="10"/>
  <c r="Y23" i="13" l="1"/>
  <c r="Y23" i="25"/>
  <c r="I24" i="25"/>
  <c r="AA23" i="13"/>
  <c r="J24" i="25"/>
  <c r="M23" i="25"/>
  <c r="C23" i="25"/>
  <c r="AB23" i="13" s="1"/>
  <c r="B24" i="25"/>
  <c r="D23" i="25"/>
  <c r="B84" i="1"/>
  <c r="T85" i="10"/>
  <c r="B85" i="10" s="1"/>
  <c r="C85" i="10" s="1"/>
  <c r="S23" i="25" l="1"/>
  <c r="R23" i="25" s="1"/>
  <c r="Q23" i="25" s="1"/>
  <c r="P23" i="25" s="1"/>
  <c r="O23" i="25" s="1"/>
  <c r="Z23" i="13"/>
  <c r="Z23" i="25"/>
  <c r="B85" i="1"/>
  <c r="T86" i="10"/>
  <c r="B86" i="10" s="1"/>
  <c r="C86" i="10" s="1"/>
  <c r="N23" i="25" l="1"/>
  <c r="AC23" i="13"/>
  <c r="B86" i="1"/>
  <c r="T87" i="10"/>
  <c r="B87" i="10" s="1"/>
  <c r="C87" i="10" s="1"/>
  <c r="G24" i="25" l="1"/>
  <c r="F24" i="25" s="1"/>
  <c r="E24" i="25" s="1"/>
  <c r="H24" i="25"/>
  <c r="AD23" i="13"/>
  <c r="T88" i="10"/>
  <c r="B88" i="10" s="1"/>
  <c r="C88" i="10" s="1"/>
  <c r="B87" i="1"/>
  <c r="Y24" i="13" l="1"/>
  <c r="B25" i="25"/>
  <c r="Y24" i="25"/>
  <c r="AA24" i="13"/>
  <c r="I25" i="25"/>
  <c r="D24" i="25"/>
  <c r="M24" i="25"/>
  <c r="J25" i="25"/>
  <c r="C24" i="25"/>
  <c r="AB24" i="13" s="1"/>
  <c r="B88" i="1"/>
  <c r="T89" i="10"/>
  <c r="B89" i="10" s="1"/>
  <c r="C89" i="10" s="1"/>
  <c r="S24" i="25" l="1"/>
  <c r="R24" i="25" s="1"/>
  <c r="Q24" i="25" s="1"/>
  <c r="P24" i="25" s="1"/>
  <c r="O24" i="25" s="1"/>
  <c r="Z24" i="13"/>
  <c r="Z24" i="25"/>
  <c r="T90" i="10"/>
  <c r="B90" i="10" s="1"/>
  <c r="B89" i="1"/>
  <c r="N24" i="25" l="1"/>
  <c r="AC24" i="13"/>
  <c r="T91" i="10"/>
  <c r="B91" i="10" s="1"/>
  <c r="C91" i="10" s="1"/>
  <c r="C90" i="10"/>
  <c r="B90" i="1"/>
  <c r="AD24" i="13" l="1"/>
  <c r="G25" i="25"/>
  <c r="F25" i="25" s="1"/>
  <c r="E25" i="25" s="1"/>
  <c r="H25" i="25"/>
  <c r="B91" i="1"/>
  <c r="T92" i="10"/>
  <c r="B92" i="10" s="1"/>
  <c r="Y25" i="13" l="1"/>
  <c r="M25" i="25"/>
  <c r="Y25" i="25"/>
  <c r="B26" i="25"/>
  <c r="I26" i="25"/>
  <c r="J26" i="25"/>
  <c r="D25" i="25"/>
  <c r="AA25" i="13"/>
  <c r="C25" i="25"/>
  <c r="AB25" i="13" s="1"/>
  <c r="T93" i="10"/>
  <c r="B93" i="10" s="1"/>
  <c r="C93" i="10" s="1"/>
  <c r="B92" i="1"/>
  <c r="C92" i="10"/>
  <c r="S25" i="25" l="1"/>
  <c r="R25" i="25" s="1"/>
  <c r="Q25" i="25" s="1"/>
  <c r="P25" i="25" s="1"/>
  <c r="O25" i="25" s="1"/>
  <c r="Z25" i="13"/>
  <c r="Z25" i="25"/>
  <c r="B93" i="1"/>
  <c r="T94" i="10"/>
  <c r="B94" i="10" s="1"/>
  <c r="C94" i="10" s="1"/>
  <c r="N25" i="25" l="1"/>
  <c r="AC25" i="13"/>
  <c r="T95" i="10"/>
  <c r="B95" i="10" s="1"/>
  <c r="C95" i="10" s="1"/>
  <c r="B94" i="1"/>
  <c r="AD25" i="13" l="1"/>
  <c r="H26" i="25"/>
  <c r="G26" i="25"/>
  <c r="F26" i="25" s="1"/>
  <c r="E26" i="25" s="1"/>
  <c r="B95" i="1"/>
  <c r="T96" i="10"/>
  <c r="B96" i="10" s="1"/>
  <c r="Y26" i="13" l="1"/>
  <c r="B27" i="25"/>
  <c r="C26" i="25"/>
  <c r="AB26" i="13" s="1"/>
  <c r="AA26" i="13"/>
  <c r="J27" i="25"/>
  <c r="I27" i="25"/>
  <c r="D26" i="25"/>
  <c r="M26" i="25"/>
  <c r="Y26" i="25"/>
  <c r="T97" i="10"/>
  <c r="B97" i="10" s="1"/>
  <c r="C97" i="10" s="1"/>
  <c r="B96" i="1"/>
  <c r="C96" i="10"/>
  <c r="S26" i="25" l="1"/>
  <c r="R26" i="25" s="1"/>
  <c r="Q26" i="25" s="1"/>
  <c r="P26" i="25" s="1"/>
  <c r="O26" i="25" s="1"/>
  <c r="Z26" i="13"/>
  <c r="Z26" i="25"/>
  <c r="T98" i="10"/>
  <c r="B98" i="10" s="1"/>
  <c r="C98" i="10" s="1"/>
  <c r="B97" i="1"/>
  <c r="N26" i="25" l="1"/>
  <c r="AC26" i="13"/>
  <c r="T99" i="10"/>
  <c r="B99" i="10" s="1"/>
  <c r="C99" i="10" s="1"/>
  <c r="B98" i="1"/>
  <c r="AD26" i="13" l="1"/>
  <c r="G27" i="25"/>
  <c r="F27" i="25" s="1"/>
  <c r="E27" i="25" s="1"/>
  <c r="H27" i="25"/>
  <c r="B99" i="1"/>
  <c r="T100" i="10"/>
  <c r="B100" i="10" s="1"/>
  <c r="C100" i="10" s="1"/>
  <c r="Y27" i="13" l="1"/>
  <c r="B28" i="25"/>
  <c r="I28" i="25"/>
  <c r="AA27" i="13"/>
  <c r="M27" i="25"/>
  <c r="J28" i="25"/>
  <c r="C27" i="25"/>
  <c r="AB27" i="13" s="1"/>
  <c r="Y27" i="25"/>
  <c r="D27" i="25"/>
  <c r="T101" i="10"/>
  <c r="B101" i="10" s="1"/>
  <c r="B100" i="1"/>
  <c r="S27" i="25" l="1"/>
  <c r="R27" i="25" s="1"/>
  <c r="Q27" i="25" s="1"/>
  <c r="P27" i="25" s="1"/>
  <c r="O27" i="25" s="1"/>
  <c r="Z27" i="13"/>
  <c r="Z27" i="25"/>
  <c r="T102" i="10"/>
  <c r="B102" i="10" s="1"/>
  <c r="C102" i="10" s="1"/>
  <c r="C101" i="10"/>
  <c r="B101" i="1"/>
  <c r="N27" i="25" l="1"/>
  <c r="AC27" i="13"/>
  <c r="B102" i="1"/>
  <c r="B103" i="1" s="1"/>
  <c r="B104" i="1" s="1"/>
  <c r="AD27" i="13" l="1"/>
  <c r="G28" i="25"/>
  <c r="F28" i="25" s="1"/>
  <c r="E28" i="25" s="1"/>
  <c r="H28" i="25"/>
  <c r="B105" i="1"/>
  <c r="Y28" i="13" l="1"/>
  <c r="B29" i="25"/>
  <c r="J29" i="25"/>
  <c r="AA28" i="13"/>
  <c r="M28" i="25"/>
  <c r="I29" i="25"/>
  <c r="D28" i="25"/>
  <c r="C28" i="25"/>
  <c r="AB28" i="13" s="1"/>
  <c r="Y28" i="25"/>
  <c r="B106" i="1"/>
  <c r="S28" i="25" l="1"/>
  <c r="R28" i="25" s="1"/>
  <c r="Q28" i="25" s="1"/>
  <c r="P28" i="25" s="1"/>
  <c r="O28" i="25" s="1"/>
  <c r="Z28" i="13"/>
  <c r="Z28" i="25"/>
  <c r="B107" i="1"/>
  <c r="N28" i="25" l="1"/>
  <c r="AC28" i="13"/>
  <c r="B108" i="1"/>
  <c r="AD28" i="13" l="1"/>
  <c r="H29" i="25"/>
  <c r="G29" i="25"/>
  <c r="F29" i="25" s="1"/>
  <c r="E29" i="25" s="1"/>
  <c r="B109" i="1"/>
  <c r="Y29" i="13" l="1"/>
  <c r="I30" i="25"/>
  <c r="D29" i="25"/>
  <c r="Y29" i="25"/>
  <c r="J30" i="25"/>
  <c r="B30" i="25"/>
  <c r="AA29" i="13"/>
  <c r="M29" i="25"/>
  <c r="C29" i="25"/>
  <c r="AB29" i="13" s="1"/>
  <c r="B110" i="1"/>
  <c r="S29" i="25" l="1"/>
  <c r="R29" i="25" s="1"/>
  <c r="Q29" i="25" s="1"/>
  <c r="P29" i="25" s="1"/>
  <c r="O29" i="25" s="1"/>
  <c r="Z29" i="13"/>
  <c r="Z29" i="25"/>
  <c r="B111" i="1"/>
  <c r="N29" i="25" l="1"/>
  <c r="AC29" i="13"/>
  <c r="B112" i="1"/>
  <c r="AD29" i="13" l="1"/>
  <c r="H30" i="25"/>
  <c r="G30" i="25"/>
  <c r="F30" i="25" s="1"/>
  <c r="E30" i="25" s="1"/>
  <c r="B113" i="1"/>
  <c r="Y30" i="13" l="1"/>
  <c r="B31" i="25"/>
  <c r="Y30" i="25"/>
  <c r="AA30" i="13"/>
  <c r="D30" i="25"/>
  <c r="I31" i="25"/>
  <c r="J31" i="25"/>
  <c r="M30" i="25"/>
  <c r="C30" i="25"/>
  <c r="AB30" i="13" s="1"/>
  <c r="B114" i="1"/>
  <c r="S30" i="25" l="1"/>
  <c r="R30" i="25" s="1"/>
  <c r="Q30" i="25" s="1"/>
  <c r="P30" i="25" s="1"/>
  <c r="O30" i="25" s="1"/>
  <c r="Z30" i="13"/>
  <c r="Z30" i="25"/>
  <c r="B115" i="1"/>
  <c r="N30" i="25" l="1"/>
  <c r="AC30" i="13"/>
  <c r="B116" i="1"/>
  <c r="AD30" i="13" l="1"/>
  <c r="H31" i="25"/>
  <c r="G31" i="25"/>
  <c r="F31" i="25" s="1"/>
  <c r="E31" i="25" s="1"/>
  <c r="B117" i="1"/>
  <c r="Y31" i="13" l="1"/>
  <c r="B32" i="25"/>
  <c r="C31" i="25"/>
  <c r="AB31" i="13" s="1"/>
  <c r="AA31" i="13"/>
  <c r="M31" i="25"/>
  <c r="I32" i="25"/>
  <c r="D31" i="25"/>
  <c r="J32" i="25"/>
  <c r="Y31" i="25"/>
  <c r="B118" i="1"/>
  <c r="S31" i="25" l="1"/>
  <c r="R31" i="25" s="1"/>
  <c r="Q31" i="25" s="1"/>
  <c r="P31" i="25" s="1"/>
  <c r="O31" i="25" s="1"/>
  <c r="Z31" i="13"/>
  <c r="Z31" i="25"/>
  <c r="B119" i="1"/>
  <c r="N31" i="25" l="1"/>
  <c r="AC31" i="13"/>
  <c r="B120" i="1"/>
  <c r="AD31" i="13" l="1"/>
  <c r="G32" i="25"/>
  <c r="F32" i="25" s="1"/>
  <c r="E32" i="25" s="1"/>
  <c r="H32" i="25"/>
  <c r="B121" i="1"/>
  <c r="Y32" i="13" l="1"/>
  <c r="I33" i="25"/>
  <c r="D32" i="25"/>
  <c r="M32" i="25"/>
  <c r="B33" i="25"/>
  <c r="AA32" i="13"/>
  <c r="J33" i="25"/>
  <c r="C32" i="25"/>
  <c r="AB32" i="13" s="1"/>
  <c r="Y32" i="25"/>
  <c r="B122" i="1"/>
  <c r="S32" i="25" l="1"/>
  <c r="R32" i="25" s="1"/>
  <c r="Q32" i="25" s="1"/>
  <c r="P32" i="25" s="1"/>
  <c r="O32" i="25" s="1"/>
  <c r="Z32" i="13"/>
  <c r="Z32" i="25"/>
  <c r="B123" i="1"/>
  <c r="N32" i="25" l="1"/>
  <c r="AC32" i="13"/>
  <c r="B124" i="1"/>
  <c r="AD32" i="13" l="1"/>
  <c r="H33" i="25"/>
  <c r="G33" i="25"/>
  <c r="F33" i="25" s="1"/>
  <c r="E33" i="25" s="1"/>
  <c r="B125" i="1"/>
  <c r="Y33" i="13" l="1"/>
  <c r="B34" i="25"/>
  <c r="I34" i="25"/>
  <c r="M33" i="25"/>
  <c r="AA33" i="13"/>
  <c r="J34" i="25"/>
  <c r="C33" i="25"/>
  <c r="AB33" i="13" s="1"/>
  <c r="Y33" i="25"/>
  <c r="D33" i="25"/>
  <c r="B126" i="1"/>
  <c r="S33" i="25" l="1"/>
  <c r="R33" i="25" s="1"/>
  <c r="Q33" i="25" s="1"/>
  <c r="P33" i="25" s="1"/>
  <c r="O33" i="25" s="1"/>
  <c r="Z33" i="13"/>
  <c r="Z33" i="25"/>
  <c r="B127" i="1"/>
  <c r="N33" i="25" l="1"/>
  <c r="AC33" i="13"/>
  <c r="B128" i="1"/>
  <c r="AD33" i="13" l="1"/>
  <c r="H34" i="25"/>
  <c r="G34" i="25"/>
  <c r="F34" i="25" s="1"/>
  <c r="E34" i="25" s="1"/>
  <c r="B129" i="1"/>
  <c r="Y34" i="13" l="1"/>
  <c r="B35" i="25"/>
  <c r="I35" i="25"/>
  <c r="J35" i="25"/>
  <c r="C34" i="25"/>
  <c r="AB34" i="13" s="1"/>
  <c r="Y34" i="25"/>
  <c r="AA34" i="13"/>
  <c r="M34" i="25"/>
  <c r="D34" i="25"/>
  <c r="B130" i="1"/>
  <c r="S34" i="25" l="1"/>
  <c r="R34" i="25" s="1"/>
  <c r="Q34" i="25" s="1"/>
  <c r="P34" i="25" s="1"/>
  <c r="O34" i="25" s="1"/>
  <c r="Z34" i="13"/>
  <c r="Z34" i="25"/>
  <c r="B131" i="1"/>
  <c r="N34" i="25" l="1"/>
  <c r="AC34" i="13"/>
  <c r="B132" i="1"/>
  <c r="AD34" i="13" l="1"/>
  <c r="G35" i="25"/>
  <c r="F35" i="25" s="1"/>
  <c r="E35" i="25" s="1"/>
  <c r="H35" i="25"/>
  <c r="B133" i="1"/>
  <c r="Y35" i="13" l="1"/>
  <c r="J36" i="25"/>
  <c r="Y35" i="25"/>
  <c r="M35" i="25"/>
  <c r="D35" i="25"/>
  <c r="B36" i="25"/>
  <c r="I36" i="25"/>
  <c r="AA35" i="13"/>
  <c r="C35" i="25"/>
  <c r="AB35" i="13" s="1"/>
  <c r="B134" i="1"/>
  <c r="S35" i="25" l="1"/>
  <c r="R35" i="25" s="1"/>
  <c r="Q35" i="25" s="1"/>
  <c r="P35" i="25" s="1"/>
  <c r="O35" i="25" s="1"/>
  <c r="Z35" i="13"/>
  <c r="Z35" i="25"/>
  <c r="B135" i="1"/>
  <c r="N35" i="25" l="1"/>
  <c r="AC35" i="13"/>
  <c r="B136" i="1"/>
  <c r="AD35" i="13" l="1"/>
  <c r="H36" i="25"/>
  <c r="G36" i="25"/>
  <c r="F36" i="25" s="1"/>
  <c r="E36" i="25" s="1"/>
  <c r="B137" i="1"/>
  <c r="Y36" i="13" l="1"/>
  <c r="B37" i="25"/>
  <c r="Y36" i="25"/>
  <c r="J37" i="25"/>
  <c r="AA36" i="13"/>
  <c r="M36" i="25"/>
  <c r="D36" i="25"/>
  <c r="C36" i="25"/>
  <c r="AB36" i="13" s="1"/>
  <c r="I37" i="25"/>
  <c r="B138" i="1"/>
  <c r="S36" i="25" l="1"/>
  <c r="R36" i="25" s="1"/>
  <c r="Q36" i="25" s="1"/>
  <c r="P36" i="25" s="1"/>
  <c r="O36" i="25" s="1"/>
  <c r="Z36" i="13"/>
  <c r="Z36" i="25"/>
  <c r="B139" i="1"/>
  <c r="N36" i="25" l="1"/>
  <c r="AC36" i="13"/>
  <c r="B140" i="1"/>
  <c r="AD36" i="13" l="1"/>
  <c r="H37" i="25"/>
  <c r="G37" i="25"/>
  <c r="F37" i="25" s="1"/>
  <c r="E37" i="25" s="1"/>
  <c r="B141" i="1"/>
  <c r="Y37" i="13" l="1"/>
  <c r="Y37" i="25"/>
  <c r="D37" i="25"/>
  <c r="B38" i="25"/>
  <c r="AA37" i="13"/>
  <c r="C37" i="25"/>
  <c r="AB37" i="13" s="1"/>
  <c r="I38" i="25"/>
  <c r="J38" i="25"/>
  <c r="M37" i="25"/>
  <c r="B142" i="1"/>
  <c r="S37" i="25" l="1"/>
  <c r="R37" i="25" s="1"/>
  <c r="Q37" i="25" s="1"/>
  <c r="P37" i="25" s="1"/>
  <c r="O37" i="25" s="1"/>
  <c r="Z37" i="13"/>
  <c r="Z37" i="25"/>
  <c r="B143" i="1"/>
  <c r="N37" i="25" l="1"/>
  <c r="AC37" i="13"/>
  <c r="B144" i="1"/>
  <c r="AD37" i="13" l="1"/>
  <c r="G38" i="25"/>
  <c r="F38" i="25" s="1"/>
  <c r="E38" i="25" s="1"/>
  <c r="H38" i="25"/>
  <c r="B145" i="1"/>
  <c r="Y38" i="13" l="1"/>
  <c r="I39" i="25"/>
  <c r="C38" i="25"/>
  <c r="AB38" i="13" s="1"/>
  <c r="B39" i="25"/>
  <c r="M38" i="25"/>
  <c r="AA38" i="13"/>
  <c r="D38" i="25"/>
  <c r="J39" i="25"/>
  <c r="Y38" i="25"/>
  <c r="B146" i="1"/>
  <c r="S38" i="25" l="1"/>
  <c r="R38" i="25" s="1"/>
  <c r="Q38" i="25" s="1"/>
  <c r="P38" i="25" s="1"/>
  <c r="O38" i="25" s="1"/>
  <c r="Z38" i="13"/>
  <c r="Z38" i="25"/>
  <c r="B147" i="1"/>
  <c r="N38" i="25" l="1"/>
  <c r="AC38" i="13"/>
  <c r="B148" i="1"/>
  <c r="AD38" i="13" l="1"/>
  <c r="G39" i="25"/>
  <c r="F39" i="25" s="1"/>
  <c r="E39" i="25" s="1"/>
  <c r="H39" i="25"/>
  <c r="B149" i="1"/>
  <c r="Y39" i="13" l="1"/>
  <c r="J40" i="25"/>
  <c r="D39" i="25"/>
  <c r="B40" i="25"/>
  <c r="M39" i="25"/>
  <c r="C39" i="25"/>
  <c r="AB39" i="13" s="1"/>
  <c r="I40" i="25"/>
  <c r="AA39" i="13"/>
  <c r="Y39" i="25"/>
  <c r="B150" i="1"/>
  <c r="S39" i="25" l="1"/>
  <c r="R39" i="25" s="1"/>
  <c r="Q39" i="25" s="1"/>
  <c r="P39" i="25" s="1"/>
  <c r="O39" i="25" s="1"/>
  <c r="Z39" i="13"/>
  <c r="Z39" i="25"/>
  <c r="B151" i="1"/>
  <c r="N39" i="25" l="1"/>
  <c r="AC39" i="13"/>
  <c r="B152" i="1"/>
  <c r="AD39" i="13" l="1"/>
  <c r="G40" i="25"/>
  <c r="F40" i="25" s="1"/>
  <c r="E40" i="25" s="1"/>
  <c r="H40" i="25"/>
  <c r="B153" i="1"/>
  <c r="Y40" i="13" l="1"/>
  <c r="B41" i="25"/>
  <c r="J41" i="25"/>
  <c r="M40" i="25"/>
  <c r="AA40" i="13"/>
  <c r="D40" i="25"/>
  <c r="Y40" i="25"/>
  <c r="C40" i="25"/>
  <c r="AB40" i="13" s="1"/>
  <c r="I41" i="25"/>
  <c r="B154" i="1"/>
  <c r="S40" i="25" l="1"/>
  <c r="R40" i="25" s="1"/>
  <c r="Q40" i="25" s="1"/>
  <c r="P40" i="25" s="1"/>
  <c r="O40" i="25" s="1"/>
  <c r="Z40" i="13"/>
  <c r="Z40" i="25"/>
  <c r="B155" i="1"/>
  <c r="N40" i="25" l="1"/>
  <c r="AC40" i="13"/>
  <c r="B156" i="1"/>
  <c r="AD40" i="13" l="1"/>
  <c r="G41" i="25"/>
  <c r="F41" i="25" s="1"/>
  <c r="E41" i="25" s="1"/>
  <c r="H41" i="25"/>
  <c r="B157" i="1"/>
  <c r="Y41" i="13" l="1"/>
  <c r="B42" i="25"/>
  <c r="J42" i="25"/>
  <c r="AA41" i="13"/>
  <c r="C41" i="25"/>
  <c r="AB41" i="13" s="1"/>
  <c r="D41" i="25"/>
  <c r="M41" i="25"/>
  <c r="I42" i="25"/>
  <c r="Y41" i="25"/>
  <c r="B158" i="1"/>
  <c r="S41" i="25" l="1"/>
  <c r="R41" i="25" s="1"/>
  <c r="Q41" i="25" s="1"/>
  <c r="P41" i="25" s="1"/>
  <c r="O41" i="25" s="1"/>
  <c r="Z41" i="13"/>
  <c r="Z41" i="25"/>
  <c r="B159" i="1"/>
  <c r="N41" i="25" l="1"/>
  <c r="AC41" i="13"/>
  <c r="B160" i="1"/>
  <c r="AD41" i="13" l="1"/>
  <c r="H42" i="25"/>
  <c r="G42" i="25"/>
  <c r="F42" i="25" s="1"/>
  <c r="E42" i="25" s="1"/>
  <c r="B161" i="1"/>
  <c r="Y42" i="13" l="1"/>
  <c r="Y42" i="25"/>
  <c r="D42" i="25"/>
  <c r="B43" i="25"/>
  <c r="M42" i="25"/>
  <c r="I43" i="25"/>
  <c r="J43" i="25"/>
  <c r="AA42" i="13"/>
  <c r="C42" i="25"/>
  <c r="AB42" i="13" s="1"/>
  <c r="B162" i="1"/>
  <c r="S42" i="25" l="1"/>
  <c r="R42" i="25" s="1"/>
  <c r="Q42" i="25" s="1"/>
  <c r="P42" i="25" s="1"/>
  <c r="O42" i="25" s="1"/>
  <c r="Z42" i="13"/>
  <c r="Z42" i="25"/>
  <c r="B163" i="1"/>
  <c r="N42" i="25" l="1"/>
  <c r="AC42" i="13"/>
  <c r="B164" i="1"/>
  <c r="AD42" i="13" l="1"/>
  <c r="H43" i="25"/>
  <c r="G43" i="25"/>
  <c r="F43" i="25" s="1"/>
  <c r="E43" i="25" s="1"/>
  <c r="B165" i="1"/>
  <c r="Y43" i="13" l="1"/>
  <c r="C43" i="25"/>
  <c r="AB43" i="13" s="1"/>
  <c r="D43" i="25"/>
  <c r="I44" i="25"/>
  <c r="B44" i="25"/>
  <c r="J44" i="25"/>
  <c r="Y43" i="25"/>
  <c r="AA43" i="13"/>
  <c r="M43" i="25"/>
  <c r="B166" i="1"/>
  <c r="S43" i="25" l="1"/>
  <c r="R43" i="25" s="1"/>
  <c r="Q43" i="25" s="1"/>
  <c r="P43" i="25" s="1"/>
  <c r="O43" i="25" s="1"/>
  <c r="Z43" i="13"/>
  <c r="Z43" i="25"/>
  <c r="B167" i="1"/>
  <c r="N43" i="25" l="1"/>
  <c r="AC43" i="13"/>
  <c r="B168" i="1"/>
  <c r="AD43" i="13" l="1"/>
  <c r="H44" i="25"/>
  <c r="G44" i="25"/>
  <c r="F44" i="25" s="1"/>
  <c r="E44" i="25" s="1"/>
  <c r="B169" i="1"/>
  <c r="Y44" i="13" l="1"/>
  <c r="C44" i="25"/>
  <c r="AB44" i="13" s="1"/>
  <c r="D44" i="25"/>
  <c r="J45" i="25"/>
  <c r="B45" i="25"/>
  <c r="M44" i="25"/>
  <c r="AA44" i="13"/>
  <c r="Y44" i="25"/>
  <c r="I45" i="25"/>
  <c r="B170" i="1"/>
  <c r="S44" i="25" l="1"/>
  <c r="R44" i="25" s="1"/>
  <c r="Q44" i="25" s="1"/>
  <c r="P44" i="25" s="1"/>
  <c r="O44" i="25" s="1"/>
  <c r="Z44" i="13"/>
  <c r="Z44" i="25"/>
  <c r="B171" i="1"/>
  <c r="N44" i="25" l="1"/>
  <c r="AC44" i="13"/>
  <c r="B172" i="1"/>
  <c r="AD44" i="13" l="1"/>
  <c r="G45" i="25"/>
  <c r="F45" i="25" s="1"/>
  <c r="E45" i="25" s="1"/>
  <c r="H45" i="25"/>
  <c r="B173" i="1"/>
  <c r="Y45" i="13" l="1"/>
  <c r="I46" i="25"/>
  <c r="C45" i="25"/>
  <c r="AB45" i="13" s="1"/>
  <c r="D45" i="25"/>
  <c r="Y45" i="25"/>
  <c r="J46" i="25"/>
  <c r="B46" i="25"/>
  <c r="AA45" i="13"/>
  <c r="M45" i="25"/>
  <c r="B174" i="1"/>
  <c r="S45" i="25" l="1"/>
  <c r="R45" i="25" s="1"/>
  <c r="Q45" i="25" s="1"/>
  <c r="P45" i="25" s="1"/>
  <c r="O45" i="25" s="1"/>
  <c r="Z45" i="13"/>
  <c r="Z45" i="25"/>
  <c r="B175" i="1"/>
  <c r="N45" i="25" l="1"/>
  <c r="AC45" i="13"/>
  <c r="B176" i="1"/>
  <c r="AD45" i="13" l="1"/>
  <c r="H46" i="25"/>
  <c r="G46" i="25"/>
  <c r="F46" i="25" s="1"/>
  <c r="E46" i="25" s="1"/>
  <c r="B177" i="1"/>
  <c r="Y46" i="13" l="1"/>
  <c r="B47" i="25"/>
  <c r="I47" i="25"/>
  <c r="Y46" i="25"/>
  <c r="M46" i="25"/>
  <c r="AA46" i="13"/>
  <c r="C46" i="25"/>
  <c r="AB46" i="13" s="1"/>
  <c r="J47" i="25"/>
  <c r="D46" i="25"/>
  <c r="B178" i="1"/>
  <c r="S46" i="25" l="1"/>
  <c r="R46" i="25" s="1"/>
  <c r="Q46" i="25" s="1"/>
  <c r="P46" i="25" s="1"/>
  <c r="O46" i="25" s="1"/>
  <c r="Z46" i="13"/>
  <c r="Z46" i="25"/>
  <c r="B179" i="1"/>
  <c r="N46" i="25" l="1"/>
  <c r="AC46" i="13"/>
  <c r="B180" i="1"/>
  <c r="AD46" i="13" l="1"/>
  <c r="G47" i="25"/>
  <c r="F47" i="25" s="1"/>
  <c r="E47" i="25" s="1"/>
  <c r="H47" i="25"/>
  <c r="B181" i="1"/>
  <c r="Y47" i="13" l="1"/>
  <c r="J48" i="25"/>
  <c r="C47" i="25"/>
  <c r="AB47" i="13" s="1"/>
  <c r="B48" i="25"/>
  <c r="M47" i="25"/>
  <c r="Y47" i="25"/>
  <c r="D47" i="25"/>
  <c r="AA47" i="13"/>
  <c r="I48" i="25"/>
  <c r="B182" i="1"/>
  <c r="S47" i="25" l="1"/>
  <c r="R47" i="25" s="1"/>
  <c r="Q47" i="25" s="1"/>
  <c r="P47" i="25" s="1"/>
  <c r="O47" i="25" s="1"/>
  <c r="Z47" i="13"/>
  <c r="Z47" i="25"/>
  <c r="B183" i="1"/>
  <c r="N47" i="25" l="1"/>
  <c r="AC47" i="13"/>
  <c r="B184" i="1"/>
  <c r="AD47" i="13" l="1"/>
  <c r="H48" i="25"/>
  <c r="G48" i="25"/>
  <c r="F48" i="25" s="1"/>
  <c r="E48" i="25" s="1"/>
  <c r="B185" i="1"/>
  <c r="Y48" i="13" l="1"/>
  <c r="D48" i="25"/>
  <c r="C48" i="25"/>
  <c r="AB48" i="13" s="1"/>
  <c r="B49" i="25"/>
  <c r="M48" i="25"/>
  <c r="AA48" i="13"/>
  <c r="Y48" i="25"/>
  <c r="J49" i="25"/>
  <c r="I49" i="25"/>
  <c r="B186" i="1"/>
  <c r="S48" i="25" l="1"/>
  <c r="R48" i="25" s="1"/>
  <c r="Q48" i="25" s="1"/>
  <c r="P48" i="25" s="1"/>
  <c r="O48" i="25" s="1"/>
  <c r="Z48" i="13"/>
  <c r="Z48" i="25"/>
  <c r="B187" i="1"/>
  <c r="N48" i="25" l="1"/>
  <c r="AC48" i="13"/>
  <c r="B188" i="1"/>
  <c r="AD48" i="13" l="1"/>
  <c r="G49" i="25"/>
  <c r="F49" i="25" s="1"/>
  <c r="E49" i="25" s="1"/>
  <c r="H49" i="25"/>
  <c r="B189" i="1"/>
  <c r="Y49" i="13" l="1"/>
  <c r="Y49" i="25"/>
  <c r="D49" i="25"/>
  <c r="I50" i="25"/>
  <c r="J50" i="25"/>
  <c r="C49" i="25"/>
  <c r="AB49" i="13" s="1"/>
  <c r="B50" i="25"/>
  <c r="AA49" i="13"/>
  <c r="M49" i="25"/>
  <c r="B190" i="1"/>
  <c r="S49" i="25" l="1"/>
  <c r="R49" i="25" s="1"/>
  <c r="Q49" i="25" s="1"/>
  <c r="P49" i="25" s="1"/>
  <c r="O49" i="25" s="1"/>
  <c r="Z49" i="13"/>
  <c r="Z49" i="25"/>
  <c r="B191" i="1"/>
  <c r="N49" i="25" l="1"/>
  <c r="AC49" i="13"/>
  <c r="B192" i="1"/>
  <c r="AD49" i="13" l="1"/>
  <c r="H50" i="25"/>
  <c r="G50" i="25"/>
  <c r="F50" i="25" s="1"/>
  <c r="E50" i="25" s="1"/>
  <c r="B193" i="1"/>
  <c r="Y50" i="13" l="1"/>
  <c r="Y50" i="25"/>
  <c r="C50" i="25"/>
  <c r="AB50" i="13" s="1"/>
  <c r="I51" i="25"/>
  <c r="J51" i="25"/>
  <c r="B51" i="25"/>
  <c r="M50" i="25"/>
  <c r="AA50" i="13"/>
  <c r="D50" i="25"/>
  <c r="B194" i="1"/>
  <c r="S50" i="25" l="1"/>
  <c r="R50" i="25" s="1"/>
  <c r="Q50" i="25" s="1"/>
  <c r="P50" i="25" s="1"/>
  <c r="O50" i="25" s="1"/>
  <c r="Z50" i="13"/>
  <c r="Z50" i="25"/>
  <c r="B195" i="1"/>
  <c r="N50" i="25" l="1"/>
  <c r="AC50" i="13"/>
  <c r="B196" i="1"/>
  <c r="AD50" i="13" l="1"/>
  <c r="H51" i="25"/>
  <c r="G51" i="25"/>
  <c r="F51" i="25" s="1"/>
  <c r="E51" i="25" s="1"/>
  <c r="B197" i="1"/>
  <c r="Y51" i="13" l="1"/>
  <c r="Y51" i="25"/>
  <c r="C51" i="25"/>
  <c r="AB51" i="13" s="1"/>
  <c r="B52" i="25"/>
  <c r="J52" i="25"/>
  <c r="I52" i="25"/>
  <c r="D51" i="25"/>
  <c r="AA51" i="13"/>
  <c r="M51" i="25"/>
  <c r="B198" i="1"/>
  <c r="S51" i="25" l="1"/>
  <c r="R51" i="25" s="1"/>
  <c r="Q51" i="25" s="1"/>
  <c r="P51" i="25" s="1"/>
  <c r="O51" i="25" s="1"/>
  <c r="Z51" i="13"/>
  <c r="Z51" i="25"/>
  <c r="B199" i="1"/>
  <c r="N51" i="25" l="1"/>
  <c r="AC51" i="13"/>
  <c r="B200" i="1"/>
  <c r="AD51" i="13" l="1"/>
  <c r="H52" i="25"/>
  <c r="G52" i="25"/>
  <c r="F52" i="25" s="1"/>
  <c r="E52" i="25" s="1"/>
  <c r="B201" i="1"/>
  <c r="Y52" i="13" l="1"/>
  <c r="J53" i="25"/>
  <c r="D52" i="25"/>
  <c r="B53" i="25"/>
  <c r="M52" i="25"/>
  <c r="I53" i="25"/>
  <c r="Y52" i="25"/>
  <c r="AA52" i="13"/>
  <c r="C52" i="25"/>
  <c r="AB52" i="13" s="1"/>
  <c r="B202" i="1"/>
  <c r="S52" i="25" l="1"/>
  <c r="R52" i="25" s="1"/>
  <c r="Q52" i="25" s="1"/>
  <c r="P52" i="25" s="1"/>
  <c r="O52" i="25" s="1"/>
  <c r="Z52" i="13"/>
  <c r="Z52" i="25"/>
  <c r="B203" i="1"/>
  <c r="N52" i="25" l="1"/>
  <c r="AC52" i="13"/>
  <c r="B204" i="1"/>
  <c r="AD52" i="13" l="1"/>
  <c r="H53" i="25"/>
  <c r="G53" i="25"/>
  <c r="F53" i="25" s="1"/>
  <c r="E53" i="25" s="1"/>
  <c r="B205" i="1"/>
  <c r="Y53" i="13" l="1"/>
  <c r="B54" i="25"/>
  <c r="J54" i="25"/>
  <c r="M53" i="25"/>
  <c r="C53" i="25"/>
  <c r="AB53" i="13" s="1"/>
  <c r="D53" i="25"/>
  <c r="AA53" i="13"/>
  <c r="I54" i="25"/>
  <c r="Y53" i="25"/>
  <c r="B206" i="1"/>
  <c r="S53" i="25" l="1"/>
  <c r="R53" i="25" s="1"/>
  <c r="Q53" i="25" s="1"/>
  <c r="P53" i="25" s="1"/>
  <c r="O53" i="25" s="1"/>
  <c r="Z53" i="13"/>
  <c r="Z53" i="25"/>
  <c r="B207" i="1"/>
  <c r="N53" i="25" l="1"/>
  <c r="AC53" i="13"/>
  <c r="B208" i="1"/>
  <c r="AD53" i="13" l="1"/>
  <c r="H54" i="25"/>
  <c r="G54" i="25"/>
  <c r="F54" i="25" s="1"/>
  <c r="E54" i="25" s="1"/>
  <c r="B209" i="1"/>
  <c r="Y54" i="13" l="1"/>
  <c r="Y54" i="25"/>
  <c r="C54" i="25"/>
  <c r="AB54" i="13" s="1"/>
  <c r="I55" i="25"/>
  <c r="D54" i="25"/>
  <c r="B55" i="25"/>
  <c r="AA54" i="13"/>
  <c r="M54" i="25"/>
  <c r="J55" i="25"/>
  <c r="B210" i="1"/>
  <c r="S54" i="25" l="1"/>
  <c r="R54" i="25" s="1"/>
  <c r="Q54" i="25" s="1"/>
  <c r="P54" i="25" s="1"/>
  <c r="O54" i="25" s="1"/>
  <c r="Z54" i="13"/>
  <c r="Z54" i="25"/>
  <c r="B211" i="1"/>
  <c r="N54" i="25" l="1"/>
  <c r="AC54" i="13"/>
  <c r="B212" i="1"/>
  <c r="AD54" i="13" l="1"/>
  <c r="H55" i="25"/>
  <c r="G55" i="25"/>
  <c r="F55" i="25" s="1"/>
  <c r="E55" i="25" s="1"/>
  <c r="B213" i="1"/>
  <c r="Y55" i="13" l="1"/>
  <c r="J56" i="25"/>
  <c r="D55" i="25"/>
  <c r="B56" i="25"/>
  <c r="M55" i="25"/>
  <c r="Y55" i="25"/>
  <c r="AA55" i="13"/>
  <c r="I56" i="25"/>
  <c r="C55" i="25"/>
  <c r="AB55" i="13" s="1"/>
  <c r="B214" i="1"/>
  <c r="S55" i="25" l="1"/>
  <c r="R55" i="25" s="1"/>
  <c r="Q55" i="25" s="1"/>
  <c r="P55" i="25" s="1"/>
  <c r="O55" i="25" s="1"/>
  <c r="Z55" i="13"/>
  <c r="Z55" i="25"/>
  <c r="B215" i="1"/>
  <c r="N55" i="25" l="1"/>
  <c r="AC55" i="13"/>
  <c r="B216" i="1"/>
  <c r="AD55" i="13" l="1"/>
  <c r="H56" i="25"/>
  <c r="G56" i="25"/>
  <c r="F56" i="25" s="1"/>
  <c r="E56" i="25" s="1"/>
  <c r="B217" i="1"/>
  <c r="Y56" i="13" l="1"/>
  <c r="Y56" i="25"/>
  <c r="C56" i="25"/>
  <c r="AB56" i="13" s="1"/>
  <c r="J57" i="25"/>
  <c r="D56" i="25"/>
  <c r="B57" i="25"/>
  <c r="I57" i="25"/>
  <c r="AA56" i="13"/>
  <c r="M56" i="25"/>
  <c r="B218" i="1"/>
  <c r="S56" i="25" l="1"/>
  <c r="R56" i="25" s="1"/>
  <c r="Q56" i="25" s="1"/>
  <c r="P56" i="25" s="1"/>
  <c r="O56" i="25" s="1"/>
  <c r="Z56" i="13"/>
  <c r="Z56" i="25"/>
  <c r="B219" i="1"/>
  <c r="N56" i="25" l="1"/>
  <c r="AC56" i="13"/>
  <c r="B220" i="1"/>
  <c r="AD56" i="13" l="1"/>
  <c r="G57" i="25"/>
  <c r="F57" i="25" s="1"/>
  <c r="E57" i="25" s="1"/>
  <c r="H57" i="25"/>
  <c r="B221" i="1"/>
  <c r="Y57" i="13" l="1"/>
  <c r="I58" i="25"/>
  <c r="D57" i="25"/>
  <c r="J58" i="25"/>
  <c r="M57" i="25"/>
  <c r="B58" i="25"/>
  <c r="AA57" i="13"/>
  <c r="Y57" i="25"/>
  <c r="C57" i="25"/>
  <c r="AB57" i="13" s="1"/>
  <c r="B222" i="1"/>
  <c r="S57" i="25" l="1"/>
  <c r="R57" i="25" s="1"/>
  <c r="Q57" i="25" s="1"/>
  <c r="P57" i="25" s="1"/>
  <c r="O57" i="25" s="1"/>
  <c r="Z57" i="13"/>
  <c r="Z57" i="25"/>
  <c r="B223" i="1"/>
  <c r="N57" i="25" l="1"/>
  <c r="AC57" i="13"/>
  <c r="B224" i="1"/>
  <c r="AD57" i="13" l="1"/>
  <c r="G58" i="25"/>
  <c r="F58" i="25" s="1"/>
  <c r="E58" i="25" s="1"/>
  <c r="H58" i="25"/>
  <c r="B225" i="1"/>
  <c r="Y58" i="13" l="1"/>
  <c r="J59" i="25"/>
  <c r="C58" i="25"/>
  <c r="AB58" i="13" s="1"/>
  <c r="D58" i="25"/>
  <c r="M58" i="25"/>
  <c r="B59" i="25"/>
  <c r="Y58" i="25"/>
  <c r="I59" i="25"/>
  <c r="AA58" i="13"/>
  <c r="B226" i="1"/>
  <c r="S58" i="25" l="1"/>
  <c r="R58" i="25" s="1"/>
  <c r="Q58" i="25" s="1"/>
  <c r="P58" i="25" s="1"/>
  <c r="O58" i="25" s="1"/>
  <c r="Z58" i="13"/>
  <c r="Z58" i="25"/>
  <c r="B227" i="1"/>
  <c r="N58" i="25" l="1"/>
  <c r="AC58" i="13"/>
  <c r="B228" i="1"/>
  <c r="AD58" i="13" l="1"/>
  <c r="H59" i="25"/>
  <c r="G59" i="25"/>
  <c r="F59" i="25" s="1"/>
  <c r="E59" i="25" s="1"/>
  <c r="B229" i="1"/>
  <c r="Y59" i="13" l="1"/>
  <c r="D59" i="25"/>
  <c r="C59" i="25"/>
  <c r="AB59" i="13" s="1"/>
  <c r="B60" i="25"/>
  <c r="Y59" i="25"/>
  <c r="I60" i="25"/>
  <c r="AA59" i="13"/>
  <c r="J60" i="25"/>
  <c r="M59" i="25"/>
  <c r="B230" i="1"/>
  <c r="S59" i="25" l="1"/>
  <c r="R59" i="25" s="1"/>
  <c r="Q59" i="25" s="1"/>
  <c r="P59" i="25" s="1"/>
  <c r="O59" i="25" s="1"/>
  <c r="Z59" i="13"/>
  <c r="Z59" i="25"/>
  <c r="B231" i="1"/>
  <c r="N59" i="25" l="1"/>
  <c r="AC59" i="13"/>
  <c r="B232" i="1"/>
  <c r="AD59" i="13" l="1"/>
  <c r="G60" i="25"/>
  <c r="F60" i="25" s="1"/>
  <c r="E60" i="25" s="1"/>
  <c r="H60" i="25"/>
  <c r="B233" i="1"/>
  <c r="Y60" i="13" l="1"/>
  <c r="J61" i="25"/>
  <c r="C60" i="25"/>
  <c r="AB60" i="13" s="1"/>
  <c r="B61" i="25"/>
  <c r="Y60" i="25"/>
  <c r="M60" i="25"/>
  <c r="I61" i="25"/>
  <c r="AA60" i="13"/>
  <c r="D60" i="25"/>
  <c r="B234" i="1"/>
  <c r="S60" i="25" l="1"/>
  <c r="R60" i="25" s="1"/>
  <c r="Q60" i="25" s="1"/>
  <c r="P60" i="25" s="1"/>
  <c r="O60" i="25" s="1"/>
  <c r="Z60" i="13"/>
  <c r="Z60" i="25"/>
  <c r="B235" i="1"/>
  <c r="N60" i="25" l="1"/>
  <c r="AC60" i="13"/>
  <c r="B236" i="1"/>
  <c r="AD60" i="13" l="1"/>
  <c r="H61" i="25"/>
  <c r="G61" i="25"/>
  <c r="F61" i="25" s="1"/>
  <c r="E61" i="25" s="1"/>
  <c r="B237" i="1"/>
  <c r="Y61" i="13" l="1"/>
  <c r="M61" i="25"/>
  <c r="Y61" i="25"/>
  <c r="D61" i="25"/>
  <c r="B62" i="25"/>
  <c r="J62" i="25"/>
  <c r="I62" i="25"/>
  <c r="C61" i="25"/>
  <c r="AB61" i="13" s="1"/>
  <c r="AA61" i="13"/>
  <c r="B238" i="1"/>
  <c r="S61" i="25" l="1"/>
  <c r="R61" i="25" s="1"/>
  <c r="Q61" i="25" s="1"/>
  <c r="P61" i="25" s="1"/>
  <c r="O61" i="25" s="1"/>
  <c r="Z61" i="13"/>
  <c r="Z61" i="25"/>
  <c r="B239" i="1"/>
  <c r="N61" i="25" l="1"/>
  <c r="AC61" i="13"/>
  <c r="B240" i="1"/>
  <c r="AD61" i="13" l="1"/>
  <c r="G62" i="25"/>
  <c r="F62" i="25" s="1"/>
  <c r="E62" i="25" s="1"/>
  <c r="H62" i="25"/>
  <c r="B241" i="1"/>
  <c r="Y62" i="13" l="1"/>
  <c r="C62" i="25"/>
  <c r="AB62" i="13" s="1"/>
  <c r="D62" i="25"/>
  <c r="B63" i="25"/>
  <c r="Y62" i="25"/>
  <c r="J63" i="25"/>
  <c r="M62" i="25"/>
  <c r="I63" i="25"/>
  <c r="AA62" i="13"/>
  <c r="B242" i="1"/>
  <c r="S62" i="25" l="1"/>
  <c r="R62" i="25" s="1"/>
  <c r="Q62" i="25" s="1"/>
  <c r="P62" i="25" s="1"/>
  <c r="O62" i="25" s="1"/>
  <c r="Z62" i="13"/>
  <c r="Z62" i="25"/>
  <c r="B243" i="1"/>
  <c r="N62" i="25" l="1"/>
  <c r="AC62" i="13"/>
  <c r="B244" i="1"/>
  <c r="AD62" i="13" l="1"/>
  <c r="H63" i="25"/>
  <c r="G63" i="25"/>
  <c r="F63" i="25" s="1"/>
  <c r="E63" i="25" s="1"/>
  <c r="B245" i="1"/>
  <c r="Y63" i="13" l="1"/>
  <c r="M63" i="25"/>
  <c r="D63" i="25"/>
  <c r="C63" i="25"/>
  <c r="AB63" i="13" s="1"/>
  <c r="B64" i="25"/>
  <c r="AA63" i="13"/>
  <c r="J64" i="25"/>
  <c r="I64" i="25"/>
  <c r="Y63" i="25"/>
  <c r="B246" i="1"/>
  <c r="S63" i="25" l="1"/>
  <c r="R63" i="25" s="1"/>
  <c r="Q63" i="25" s="1"/>
  <c r="P63" i="25" s="1"/>
  <c r="O63" i="25" s="1"/>
  <c r="Z63" i="13"/>
  <c r="Z63" i="25"/>
  <c r="B247" i="1"/>
  <c r="N63" i="25" l="1"/>
  <c r="AC63" i="13"/>
  <c r="B248" i="1"/>
  <c r="AD63" i="13" l="1"/>
  <c r="H64" i="25"/>
  <c r="G64" i="25"/>
  <c r="F64" i="25" s="1"/>
  <c r="E64" i="25" s="1"/>
  <c r="B249" i="1"/>
  <c r="Y64" i="13" l="1"/>
  <c r="C64" i="25"/>
  <c r="AB64" i="13" s="1"/>
  <c r="D64" i="25"/>
  <c r="Y64" i="25"/>
  <c r="M64" i="25"/>
  <c r="B65" i="25"/>
  <c r="J65" i="25"/>
  <c r="AA64" i="13"/>
  <c r="I65" i="25"/>
  <c r="B250" i="1"/>
  <c r="S64" i="25" l="1"/>
  <c r="R64" i="25" s="1"/>
  <c r="Q64" i="25" s="1"/>
  <c r="P64" i="25" s="1"/>
  <c r="O64" i="25" s="1"/>
  <c r="Z64" i="13"/>
  <c r="Z64" i="25"/>
  <c r="B251" i="1"/>
  <c r="N64" i="25" l="1"/>
  <c r="AC64" i="13"/>
  <c r="B252" i="1"/>
  <c r="AD64" i="13" l="1"/>
  <c r="H65" i="25"/>
  <c r="G65" i="25"/>
  <c r="F65" i="25" s="1"/>
  <c r="E65" i="25" s="1"/>
  <c r="B253" i="1"/>
  <c r="Y65" i="13" l="1"/>
  <c r="I66" i="25"/>
  <c r="D65" i="25"/>
  <c r="J66" i="25"/>
  <c r="Y65" i="25"/>
  <c r="B66" i="25"/>
  <c r="M65" i="25"/>
  <c r="AA65" i="13"/>
  <c r="C65" i="25"/>
  <c r="AB65" i="13" s="1"/>
  <c r="B254" i="1"/>
  <c r="S65" i="25" l="1"/>
  <c r="R65" i="25" s="1"/>
  <c r="Q65" i="25" s="1"/>
  <c r="P65" i="25" s="1"/>
  <c r="O65" i="25" s="1"/>
  <c r="Z65" i="13"/>
  <c r="Z65" i="25"/>
  <c r="B255" i="1"/>
  <c r="N65" i="25" l="1"/>
  <c r="AC65" i="13"/>
  <c r="B256" i="1"/>
  <c r="AD65" i="13" l="1"/>
  <c r="G66" i="25"/>
  <c r="F66" i="25" s="1"/>
  <c r="E66" i="25" s="1"/>
  <c r="H66" i="25"/>
  <c r="B257" i="1"/>
  <c r="Y66" i="13" l="1"/>
  <c r="M66" i="25"/>
  <c r="C66" i="25"/>
  <c r="AB66" i="13" s="1"/>
  <c r="D66" i="25"/>
  <c r="I67" i="25"/>
  <c r="B67" i="25"/>
  <c r="AA66" i="13"/>
  <c r="J67" i="25"/>
  <c r="Y66" i="25"/>
  <c r="B258" i="1"/>
  <c r="S66" i="25" l="1"/>
  <c r="R66" i="25" s="1"/>
  <c r="Q66" i="25" s="1"/>
  <c r="P66" i="25" s="1"/>
  <c r="O66" i="25" s="1"/>
  <c r="Z66" i="13"/>
  <c r="Z66" i="25"/>
  <c r="B259" i="1"/>
  <c r="N66" i="25" l="1"/>
  <c r="AC66" i="13"/>
  <c r="B260" i="1"/>
  <c r="AD66" i="13" l="1"/>
  <c r="G67" i="25"/>
  <c r="F67" i="25" s="1"/>
  <c r="E67" i="25" s="1"/>
  <c r="H67" i="25"/>
  <c r="B261" i="1"/>
  <c r="Y67" i="13" l="1"/>
  <c r="D67" i="25"/>
  <c r="C67" i="25"/>
  <c r="AB67" i="13" s="1"/>
  <c r="M67" i="25"/>
  <c r="B68" i="25"/>
  <c r="AA67" i="13"/>
  <c r="I68" i="25"/>
  <c r="Y67" i="25"/>
  <c r="J68" i="25"/>
  <c r="B262" i="1"/>
  <c r="S67" i="25" l="1"/>
  <c r="R67" i="25" s="1"/>
  <c r="Q67" i="25" s="1"/>
  <c r="P67" i="25" s="1"/>
  <c r="O67" i="25" s="1"/>
  <c r="Z67" i="13"/>
  <c r="Z67" i="25"/>
  <c r="B263" i="1"/>
  <c r="N67" i="25" l="1"/>
  <c r="AC67" i="13"/>
  <c r="B264" i="1"/>
  <c r="AD67" i="13" l="1"/>
  <c r="G68" i="25"/>
  <c r="F68" i="25" s="1"/>
  <c r="E68" i="25" s="1"/>
  <c r="H68" i="25"/>
  <c r="B265" i="1"/>
  <c r="Y68" i="13" l="1"/>
  <c r="C68" i="25"/>
  <c r="AB68" i="13" s="1"/>
  <c r="D68" i="25"/>
  <c r="B69" i="25"/>
  <c r="I69" i="25"/>
  <c r="J69" i="25"/>
  <c r="AA68" i="13"/>
  <c r="Y68" i="25"/>
  <c r="M68" i="25"/>
  <c r="B266" i="1"/>
  <c r="S68" i="25" l="1"/>
  <c r="R68" i="25" s="1"/>
  <c r="Q68" i="25" s="1"/>
  <c r="P68" i="25" s="1"/>
  <c r="O68" i="25" s="1"/>
  <c r="Z68" i="13"/>
  <c r="Z68" i="25"/>
  <c r="B267" i="1"/>
  <c r="N68" i="25" l="1"/>
  <c r="AC68" i="13"/>
  <c r="B268" i="1"/>
  <c r="AD68" i="13" l="1"/>
  <c r="G69" i="25"/>
  <c r="F69" i="25" s="1"/>
  <c r="E69" i="25" s="1"/>
  <c r="H69" i="25"/>
  <c r="B269" i="1"/>
  <c r="Y69" i="13" l="1"/>
  <c r="J70" i="25"/>
  <c r="M69" i="25"/>
  <c r="D69" i="25"/>
  <c r="B70" i="25"/>
  <c r="C69" i="25"/>
  <c r="AB69" i="13" s="1"/>
  <c r="I70" i="25"/>
  <c r="Y69" i="25"/>
  <c r="AA69" i="13"/>
  <c r="B270" i="1"/>
  <c r="S69" i="25" l="1"/>
  <c r="R69" i="25" s="1"/>
  <c r="Q69" i="25" s="1"/>
  <c r="P69" i="25" s="1"/>
  <c r="O69" i="25" s="1"/>
  <c r="Z69" i="13"/>
  <c r="Z69" i="25"/>
  <c r="B271" i="1"/>
  <c r="N69" i="25" l="1"/>
  <c r="AC69" i="13"/>
  <c r="B272" i="1"/>
  <c r="AD69" i="13" l="1"/>
  <c r="H70" i="25"/>
  <c r="G70" i="25"/>
  <c r="F70" i="25" s="1"/>
  <c r="E70" i="25" s="1"/>
  <c r="B273" i="1"/>
  <c r="Y70" i="13" l="1"/>
  <c r="I71" i="25"/>
  <c r="C70" i="25"/>
  <c r="AB70" i="13" s="1"/>
  <c r="B71" i="25"/>
  <c r="J71" i="25"/>
  <c r="M70" i="25"/>
  <c r="AA70" i="13"/>
  <c r="Y70" i="25"/>
  <c r="D70" i="25"/>
  <c r="B274" i="1"/>
  <c r="S70" i="25" l="1"/>
  <c r="R70" i="25" s="1"/>
  <c r="Q70" i="25" s="1"/>
  <c r="P70" i="25" s="1"/>
  <c r="O70" i="25" s="1"/>
  <c r="Z70" i="13"/>
  <c r="Z70" i="25"/>
  <c r="B275" i="1"/>
  <c r="N70" i="25" l="1"/>
  <c r="AC70" i="13"/>
  <c r="B276" i="1"/>
  <c r="AD70" i="13" l="1"/>
  <c r="H71" i="25"/>
  <c r="G71" i="25"/>
  <c r="F71" i="25" s="1"/>
  <c r="E71" i="25" s="1"/>
  <c r="B277" i="1"/>
  <c r="Y71" i="13" l="1"/>
  <c r="B72" i="25"/>
  <c r="M71" i="25"/>
  <c r="C71" i="25"/>
  <c r="AB71" i="13" s="1"/>
  <c r="AA71" i="13"/>
  <c r="I72" i="25"/>
  <c r="D71" i="25"/>
  <c r="Y71" i="25"/>
  <c r="J72" i="25"/>
  <c r="B278" i="1"/>
  <c r="S71" i="25" l="1"/>
  <c r="R71" i="25" s="1"/>
  <c r="Q71" i="25" s="1"/>
  <c r="P71" i="25" s="1"/>
  <c r="O71" i="25" s="1"/>
  <c r="Z71" i="13"/>
  <c r="Z71" i="25"/>
  <c r="B279" i="1"/>
  <c r="N71" i="25" l="1"/>
  <c r="AC71" i="13"/>
  <c r="B280" i="1"/>
  <c r="AD71" i="13" l="1"/>
  <c r="H72" i="25"/>
  <c r="G72" i="25"/>
  <c r="F72" i="25" s="1"/>
  <c r="E72" i="25" s="1"/>
  <c r="B281" i="1"/>
  <c r="Y72" i="13" l="1"/>
  <c r="B73" i="25"/>
  <c r="M72" i="25"/>
  <c r="C72" i="25"/>
  <c r="AB72" i="13" s="1"/>
  <c r="Y72" i="25"/>
  <c r="D72" i="25"/>
  <c r="AA72" i="13"/>
  <c r="I73" i="25"/>
  <c r="J73" i="25"/>
  <c r="B282" i="1"/>
  <c r="S72" i="25" l="1"/>
  <c r="R72" i="25" s="1"/>
  <c r="Q72" i="25" s="1"/>
  <c r="P72" i="25" s="1"/>
  <c r="O72" i="25" s="1"/>
  <c r="Z72" i="13"/>
  <c r="Z72" i="25"/>
  <c r="B283" i="1"/>
  <c r="N72" i="25" l="1"/>
  <c r="AC72" i="13"/>
  <c r="B284" i="1"/>
  <c r="AD72" i="13" l="1"/>
  <c r="H73" i="25"/>
  <c r="G73" i="25"/>
  <c r="F73" i="25" s="1"/>
  <c r="E73" i="25" s="1"/>
  <c r="B285" i="1"/>
  <c r="Y73" i="13" l="1"/>
  <c r="J74" i="25"/>
  <c r="C73" i="25"/>
  <c r="AB73" i="13" s="1"/>
  <c r="B74" i="25"/>
  <c r="M73" i="25"/>
  <c r="Y73" i="25"/>
  <c r="D73" i="25"/>
  <c r="AA73" i="13"/>
  <c r="I74" i="25"/>
  <c r="B286" i="1"/>
  <c r="S73" i="25" l="1"/>
  <c r="R73" i="25" s="1"/>
  <c r="Q73" i="25" s="1"/>
  <c r="P73" i="25" s="1"/>
  <c r="O73" i="25" s="1"/>
  <c r="Z73" i="13"/>
  <c r="Z73" i="25"/>
  <c r="B287" i="1"/>
  <c r="N73" i="25" l="1"/>
  <c r="AC73" i="13"/>
  <c r="B288" i="1"/>
  <c r="AD73" i="13" l="1"/>
  <c r="H74" i="25"/>
  <c r="G74" i="25"/>
  <c r="F74" i="25" s="1"/>
  <c r="E74" i="25" s="1"/>
  <c r="B289" i="1"/>
  <c r="Y74" i="13" l="1"/>
  <c r="Y74" i="25"/>
  <c r="D74" i="25"/>
  <c r="M74" i="25"/>
  <c r="I75" i="25"/>
  <c r="J75" i="25"/>
  <c r="B75" i="25"/>
  <c r="AA74" i="13"/>
  <c r="C74" i="25"/>
  <c r="AB74" i="13" s="1"/>
  <c r="B290" i="1"/>
  <c r="S74" i="25" l="1"/>
  <c r="R74" i="25" s="1"/>
  <c r="Q74" i="25" s="1"/>
  <c r="P74" i="25" s="1"/>
  <c r="O74" i="25" s="1"/>
  <c r="Z74" i="13"/>
  <c r="Z74" i="25"/>
  <c r="B291" i="1"/>
  <c r="N74" i="25" l="1"/>
  <c r="AC74" i="13"/>
  <c r="B292" i="1"/>
  <c r="AD74" i="13" l="1"/>
  <c r="H75" i="25"/>
  <c r="G75" i="25"/>
  <c r="F75" i="25" s="1"/>
  <c r="E75" i="25" s="1"/>
  <c r="B293" i="1"/>
  <c r="Y75" i="13" l="1"/>
  <c r="B76" i="25"/>
  <c r="J76" i="25"/>
  <c r="M75" i="25"/>
  <c r="D75" i="25"/>
  <c r="AA75" i="13"/>
  <c r="C75" i="25"/>
  <c r="AB75" i="13" s="1"/>
  <c r="I76" i="25"/>
  <c r="Y75" i="25"/>
  <c r="B294" i="1"/>
  <c r="S75" i="25" l="1"/>
  <c r="R75" i="25" s="1"/>
  <c r="Q75" i="25" s="1"/>
  <c r="P75" i="25" s="1"/>
  <c r="O75" i="25" s="1"/>
  <c r="Z75" i="13"/>
  <c r="Z75" i="25"/>
  <c r="B295" i="1"/>
  <c r="N75" i="25" l="1"/>
  <c r="AC75" i="13"/>
  <c r="B296" i="1"/>
  <c r="AD75" i="13" l="1"/>
  <c r="H76" i="25"/>
  <c r="G76" i="25"/>
  <c r="F76" i="25" s="1"/>
  <c r="E76" i="25" s="1"/>
  <c r="B297" i="1"/>
  <c r="Y76" i="13" l="1"/>
  <c r="C76" i="25"/>
  <c r="AB76" i="13" s="1"/>
  <c r="D76" i="25"/>
  <c r="I77" i="25"/>
  <c r="M76" i="25"/>
  <c r="B77" i="25"/>
  <c r="AA76" i="13"/>
  <c r="Y76" i="25"/>
  <c r="J77" i="25"/>
  <c r="B298" i="1"/>
  <c r="S76" i="25" l="1"/>
  <c r="R76" i="25" s="1"/>
  <c r="Q76" i="25" s="1"/>
  <c r="P76" i="25" s="1"/>
  <c r="O76" i="25" s="1"/>
  <c r="Z76" i="13"/>
  <c r="Z76" i="25"/>
  <c r="B299" i="1"/>
  <c r="N76" i="25" l="1"/>
  <c r="AC76" i="13"/>
  <c r="B300" i="1"/>
  <c r="AD76" i="13" l="1"/>
  <c r="G77" i="25"/>
  <c r="F77" i="25" s="1"/>
  <c r="E77" i="25" s="1"/>
  <c r="H77" i="25"/>
  <c r="B301" i="1"/>
  <c r="Y77" i="13" l="1"/>
  <c r="Y77" i="25"/>
  <c r="C77" i="25"/>
  <c r="AB77" i="13" s="1"/>
  <c r="I78" i="25"/>
  <c r="B78" i="25"/>
  <c r="AA77" i="13"/>
  <c r="D77" i="25"/>
  <c r="J78" i="25"/>
  <c r="M77" i="25"/>
  <c r="B302" i="1"/>
  <c r="S77" i="25" l="1"/>
  <c r="R77" i="25" s="1"/>
  <c r="Q77" i="25" s="1"/>
  <c r="P77" i="25" s="1"/>
  <c r="O77" i="25" s="1"/>
  <c r="Z77" i="13"/>
  <c r="Z77" i="25"/>
  <c r="B303" i="1"/>
  <c r="N77" i="25" l="1"/>
  <c r="AC77" i="13"/>
  <c r="B304" i="1"/>
  <c r="AD77" i="13" l="1"/>
  <c r="H78" i="25"/>
  <c r="G78" i="25"/>
  <c r="F78" i="25" s="1"/>
  <c r="E78" i="25" s="1"/>
  <c r="B305" i="1"/>
  <c r="Y78" i="13" l="1"/>
  <c r="I79" i="25"/>
  <c r="M78" i="25"/>
  <c r="AA78" i="13"/>
  <c r="C78" i="25"/>
  <c r="AB78" i="13" s="1"/>
  <c r="D78" i="25"/>
  <c r="B79" i="25"/>
  <c r="J79" i="25"/>
  <c r="Y78" i="25"/>
  <c r="B306" i="1"/>
  <c r="S78" i="25" l="1"/>
  <c r="R78" i="25" s="1"/>
  <c r="Q78" i="25" s="1"/>
  <c r="P78" i="25" s="1"/>
  <c r="O78" i="25" s="1"/>
  <c r="Z78" i="13"/>
  <c r="Z78" i="25"/>
  <c r="B307" i="1"/>
  <c r="N78" i="25" l="1"/>
  <c r="AC78" i="13"/>
  <c r="B308" i="1"/>
  <c r="AD78" i="13" l="1"/>
  <c r="G79" i="25"/>
  <c r="F79" i="25" s="1"/>
  <c r="E79" i="25" s="1"/>
  <c r="H79" i="25"/>
  <c r="B309" i="1"/>
  <c r="Y79" i="13" l="1"/>
  <c r="I80" i="25"/>
  <c r="D79" i="25"/>
  <c r="J80" i="25"/>
  <c r="Y79" i="25"/>
  <c r="B80" i="25"/>
  <c r="AA79" i="13"/>
  <c r="C79" i="25"/>
  <c r="AB79" i="13" s="1"/>
  <c r="M79" i="25"/>
  <c r="B310" i="1"/>
  <c r="S79" i="25" l="1"/>
  <c r="R79" i="25" s="1"/>
  <c r="Q79" i="25" s="1"/>
  <c r="P79" i="25" s="1"/>
  <c r="O79" i="25" s="1"/>
  <c r="Z79" i="13"/>
  <c r="Z79" i="25"/>
  <c r="B311" i="1"/>
  <c r="N79" i="25" l="1"/>
  <c r="AC79" i="13"/>
  <c r="B312" i="1"/>
  <c r="AD79" i="13" l="1"/>
  <c r="G80" i="25"/>
  <c r="F80" i="25" s="1"/>
  <c r="E80" i="25" s="1"/>
  <c r="H80" i="25"/>
  <c r="B313" i="1"/>
  <c r="Y80" i="13" l="1"/>
  <c r="C80" i="25"/>
  <c r="AB80" i="13" s="1"/>
  <c r="Y80" i="25"/>
  <c r="J81" i="25"/>
  <c r="D80" i="25"/>
  <c r="B81" i="25"/>
  <c r="AA80" i="13"/>
  <c r="I81" i="25"/>
  <c r="M80" i="25"/>
  <c r="B314" i="1"/>
  <c r="S80" i="25" l="1"/>
  <c r="R80" i="25" s="1"/>
  <c r="Q80" i="25" s="1"/>
  <c r="P80" i="25" s="1"/>
  <c r="O80" i="25" s="1"/>
  <c r="Z80" i="13"/>
  <c r="Z80" i="25"/>
  <c r="B315" i="1"/>
  <c r="N80" i="25" l="1"/>
  <c r="AC80" i="13"/>
  <c r="B316" i="1"/>
  <c r="AD80" i="13" l="1"/>
  <c r="H81" i="25"/>
  <c r="G81" i="25"/>
  <c r="F81" i="25" s="1"/>
  <c r="E81" i="25" s="1"/>
  <c r="B317" i="1"/>
  <c r="Y81" i="13" l="1"/>
  <c r="M81" i="25"/>
  <c r="Y81" i="25"/>
  <c r="AA81" i="13"/>
  <c r="I82" i="25"/>
  <c r="D81" i="25"/>
  <c r="J82" i="25"/>
  <c r="B82" i="25"/>
  <c r="C81" i="25"/>
  <c r="AB81" i="13" s="1"/>
  <c r="B318" i="1"/>
  <c r="S81" i="25" l="1"/>
  <c r="R81" i="25" s="1"/>
  <c r="Q81" i="25" s="1"/>
  <c r="P81" i="25" s="1"/>
  <c r="O81" i="25" s="1"/>
  <c r="Z81" i="13"/>
  <c r="Z81" i="25"/>
  <c r="B319" i="1"/>
  <c r="N81" i="25" l="1"/>
  <c r="AC81" i="13"/>
  <c r="B320" i="1"/>
  <c r="AD81" i="13" l="1"/>
  <c r="H82" i="25"/>
  <c r="G82" i="25"/>
  <c r="F82" i="25" s="1"/>
  <c r="E82" i="25" s="1"/>
  <c r="B321" i="1"/>
  <c r="Y82" i="13" l="1"/>
  <c r="B83" i="25"/>
  <c r="J83" i="25"/>
  <c r="M82" i="25"/>
  <c r="D82" i="25"/>
  <c r="C82" i="25"/>
  <c r="AB82" i="13" s="1"/>
  <c r="AA82" i="13"/>
  <c r="Y82" i="25"/>
  <c r="I83" i="25"/>
  <c r="B322" i="1"/>
  <c r="S82" i="25" l="1"/>
  <c r="R82" i="25" s="1"/>
  <c r="Q82" i="25" s="1"/>
  <c r="P82" i="25" s="1"/>
  <c r="O82" i="25" s="1"/>
  <c r="Z82" i="13"/>
  <c r="Z82" i="25"/>
  <c r="B323" i="1"/>
  <c r="N82" i="25" l="1"/>
  <c r="AC82" i="13"/>
  <c r="B324" i="1"/>
  <c r="AD82" i="13" l="1"/>
  <c r="H83" i="25"/>
  <c r="G83" i="25"/>
  <c r="F83" i="25" s="1"/>
  <c r="E83" i="25" s="1"/>
  <c r="B325" i="1"/>
  <c r="Y83" i="13" l="1"/>
  <c r="B84" i="25"/>
  <c r="M83" i="25"/>
  <c r="C83" i="25"/>
  <c r="AB83" i="13" s="1"/>
  <c r="I84" i="25"/>
  <c r="D83" i="25"/>
  <c r="AA83" i="13"/>
  <c r="Y83" i="25"/>
  <c r="J84" i="25"/>
  <c r="B326" i="1"/>
  <c r="S83" i="25" l="1"/>
  <c r="R83" i="25" s="1"/>
  <c r="Q83" i="25" s="1"/>
  <c r="P83" i="25" s="1"/>
  <c r="O83" i="25" s="1"/>
  <c r="Z83" i="13"/>
  <c r="Z83" i="25"/>
  <c r="B327" i="1"/>
  <c r="N83" i="25" l="1"/>
  <c r="AC83" i="13"/>
  <c r="B328" i="1"/>
  <c r="AD83" i="13" l="1"/>
  <c r="G84" i="25"/>
  <c r="F84" i="25" s="1"/>
  <c r="E84" i="25" s="1"/>
  <c r="H84" i="25"/>
  <c r="B329" i="1"/>
  <c r="Y84" i="13" l="1"/>
  <c r="M84" i="25"/>
  <c r="D84" i="25"/>
  <c r="I85" i="25"/>
  <c r="J85" i="25"/>
  <c r="C84" i="25"/>
  <c r="AB84" i="13" s="1"/>
  <c r="B85" i="25"/>
  <c r="AA84" i="13"/>
  <c r="Y84" i="25"/>
  <c r="B330" i="1"/>
  <c r="S84" i="25" l="1"/>
  <c r="R84" i="25" s="1"/>
  <c r="Q84" i="25" s="1"/>
  <c r="P84" i="25" s="1"/>
  <c r="O84" i="25" s="1"/>
  <c r="Z84" i="13"/>
  <c r="Z84" i="25"/>
  <c r="B331" i="1"/>
  <c r="N84" i="25" l="1"/>
  <c r="AC84" i="13"/>
  <c r="B332" i="1"/>
  <c r="AD84" i="13" l="1"/>
  <c r="H85" i="25"/>
  <c r="G85" i="25"/>
  <c r="F85" i="25" s="1"/>
  <c r="E85" i="25" s="1"/>
  <c r="B333" i="1"/>
  <c r="Y85" i="13" l="1"/>
  <c r="Y85" i="25"/>
  <c r="D85" i="25"/>
  <c r="M85" i="25"/>
  <c r="B86" i="25"/>
  <c r="AA85" i="13"/>
  <c r="C85" i="25"/>
  <c r="AB85" i="13" s="1"/>
  <c r="J86" i="25"/>
  <c r="I86" i="25"/>
  <c r="B334" i="1"/>
  <c r="S85" i="25" l="1"/>
  <c r="R85" i="25" s="1"/>
  <c r="Q85" i="25" s="1"/>
  <c r="P85" i="25" s="1"/>
  <c r="O85" i="25" s="1"/>
  <c r="Z85" i="13"/>
  <c r="Z85" i="25"/>
  <c r="B335" i="1"/>
  <c r="N85" i="25" l="1"/>
  <c r="AC85" i="13"/>
  <c r="B336" i="1"/>
  <c r="AD85" i="13" l="1"/>
  <c r="G86" i="25"/>
  <c r="F86" i="25" s="1"/>
  <c r="E86" i="25" s="1"/>
  <c r="H86" i="25"/>
  <c r="B337" i="1"/>
  <c r="Y86" i="13" l="1"/>
  <c r="I87" i="25"/>
  <c r="Y86" i="25"/>
  <c r="J87" i="25"/>
  <c r="AA86" i="13"/>
  <c r="M86" i="25"/>
  <c r="B87" i="25"/>
  <c r="D86" i="25"/>
  <c r="C86" i="25"/>
  <c r="AB86" i="13" s="1"/>
  <c r="B338" i="1"/>
  <c r="S86" i="25" l="1"/>
  <c r="R86" i="25" s="1"/>
  <c r="Q86" i="25" s="1"/>
  <c r="P86" i="25" s="1"/>
  <c r="O86" i="25" s="1"/>
  <c r="Z86" i="13"/>
  <c r="Z86" i="25"/>
  <c r="B339" i="1"/>
  <c r="N86" i="25" l="1"/>
  <c r="AC86" i="13"/>
  <c r="B340" i="1"/>
  <c r="AD86" i="13" l="1"/>
  <c r="G87" i="25"/>
  <c r="F87" i="25" s="1"/>
  <c r="E87" i="25" s="1"/>
  <c r="H87" i="25"/>
  <c r="B341" i="1"/>
  <c r="Y87" i="13" l="1"/>
  <c r="J88" i="25"/>
  <c r="C87" i="25"/>
  <c r="AB87" i="13" s="1"/>
  <c r="D87" i="25"/>
  <c r="I88" i="25"/>
  <c r="B88" i="25"/>
  <c r="AA87" i="13"/>
  <c r="Y87" i="25"/>
  <c r="M87" i="25"/>
  <c r="B342" i="1"/>
  <c r="S87" i="25" l="1"/>
  <c r="R87" i="25" s="1"/>
  <c r="Q87" i="25" s="1"/>
  <c r="P87" i="25" s="1"/>
  <c r="O87" i="25" s="1"/>
  <c r="Z87" i="13"/>
  <c r="Z87" i="25"/>
  <c r="B343" i="1"/>
  <c r="N87" i="25" l="1"/>
  <c r="AC87" i="13"/>
  <c r="B344" i="1"/>
  <c r="AD87" i="13" l="1"/>
  <c r="H88" i="25"/>
  <c r="G88" i="25"/>
  <c r="F88" i="25" s="1"/>
  <c r="E88" i="25" s="1"/>
  <c r="B345" i="1"/>
  <c r="Y88" i="13" l="1"/>
  <c r="B89" i="25"/>
  <c r="I89" i="25"/>
  <c r="AA88" i="13"/>
  <c r="D88" i="25"/>
  <c r="Y88" i="25"/>
  <c r="J89" i="25"/>
  <c r="C88" i="25"/>
  <c r="AB88" i="13" s="1"/>
  <c r="M88" i="25"/>
  <c r="B346" i="1"/>
  <c r="S88" i="25" l="1"/>
  <c r="R88" i="25" s="1"/>
  <c r="Q88" i="25" s="1"/>
  <c r="P88" i="25" s="1"/>
  <c r="O88" i="25" s="1"/>
  <c r="Z88" i="13"/>
  <c r="Z88" i="25"/>
  <c r="B347" i="1"/>
  <c r="N88" i="25" l="1"/>
  <c r="AC88" i="13"/>
  <c r="B348" i="1"/>
  <c r="AD88" i="13" l="1"/>
  <c r="G89" i="25"/>
  <c r="F89" i="25" s="1"/>
  <c r="E89" i="25" s="1"/>
  <c r="H89" i="25"/>
  <c r="B349" i="1"/>
  <c r="Y89" i="13" l="1"/>
  <c r="M89" i="25"/>
  <c r="C89" i="25"/>
  <c r="AB89" i="13" s="1"/>
  <c r="I90" i="25"/>
  <c r="D89" i="25"/>
  <c r="B90" i="25"/>
  <c r="AA89" i="13"/>
  <c r="J90" i="25"/>
  <c r="Y89" i="25"/>
  <c r="B350" i="1"/>
  <c r="S89" i="25" l="1"/>
  <c r="R89" i="25" s="1"/>
  <c r="Q89" i="25" s="1"/>
  <c r="P89" i="25" s="1"/>
  <c r="O89" i="25" s="1"/>
  <c r="Z89" i="13"/>
  <c r="Z89" i="25"/>
  <c r="B351" i="1"/>
  <c r="N89" i="25" l="1"/>
  <c r="AC89" i="13"/>
  <c r="B352" i="1"/>
  <c r="AD89" i="13" l="1"/>
  <c r="H90" i="25"/>
  <c r="G90" i="25"/>
  <c r="F90" i="25" s="1"/>
  <c r="E90" i="25" s="1"/>
  <c r="B353" i="1"/>
  <c r="Y90" i="13" l="1"/>
  <c r="M90" i="25"/>
  <c r="Y90" i="25"/>
  <c r="I91" i="25"/>
  <c r="D90" i="25"/>
  <c r="C90" i="25"/>
  <c r="AB90" i="13" s="1"/>
  <c r="J91" i="25"/>
  <c r="B91" i="25"/>
  <c r="AA90" i="13"/>
  <c r="B354" i="1"/>
  <c r="S90" i="25" l="1"/>
  <c r="R90" i="25" s="1"/>
  <c r="Q90" i="25" s="1"/>
  <c r="P90" i="25" s="1"/>
  <c r="O90" i="25" s="1"/>
  <c r="Z90" i="13"/>
  <c r="Z90" i="25"/>
  <c r="B355" i="1"/>
  <c r="N90" i="25" l="1"/>
  <c r="AC90" i="13"/>
  <c r="B356" i="1"/>
  <c r="AD90" i="13" l="1"/>
  <c r="H91" i="25"/>
  <c r="G91" i="25"/>
  <c r="F91" i="25" s="1"/>
  <c r="E91" i="25" s="1"/>
  <c r="B357" i="1"/>
  <c r="Y91" i="13" l="1"/>
  <c r="M91" i="25"/>
  <c r="D91" i="25"/>
  <c r="C91" i="25"/>
  <c r="AB91" i="13" s="1"/>
  <c r="I92" i="25"/>
  <c r="Y91" i="25"/>
  <c r="B92" i="25"/>
  <c r="AA91" i="13"/>
  <c r="J92" i="25"/>
  <c r="B358" i="1"/>
  <c r="S91" i="25" l="1"/>
  <c r="R91" i="25" s="1"/>
  <c r="Q91" i="25" s="1"/>
  <c r="P91" i="25" s="1"/>
  <c r="O91" i="25" s="1"/>
  <c r="Z91" i="13"/>
  <c r="Z91" i="25"/>
  <c r="B359" i="1"/>
  <c r="N91" i="25" l="1"/>
  <c r="AC91" i="13"/>
  <c r="B360" i="1"/>
  <c r="AD91" i="13" l="1"/>
  <c r="G92" i="25"/>
  <c r="F92" i="25" s="1"/>
  <c r="E92" i="25" s="1"/>
  <c r="H92" i="25"/>
  <c r="B361" i="1"/>
  <c r="Y92" i="13" l="1"/>
  <c r="B93" i="25"/>
  <c r="D92" i="25"/>
  <c r="AA92" i="13"/>
  <c r="J93" i="25"/>
  <c r="C92" i="25"/>
  <c r="AB92" i="13" s="1"/>
  <c r="I93" i="25"/>
  <c r="M92" i="25"/>
  <c r="Y92" i="25"/>
  <c r="B362" i="1"/>
  <c r="S92" i="25" l="1"/>
  <c r="R92" i="25" s="1"/>
  <c r="Q92" i="25" s="1"/>
  <c r="P92" i="25" s="1"/>
  <c r="O92" i="25" s="1"/>
  <c r="Z92" i="13"/>
  <c r="Z92" i="25"/>
  <c r="B363" i="1"/>
  <c r="N92" i="25" l="1"/>
  <c r="AC92" i="13"/>
  <c r="B364" i="1"/>
  <c r="AD92" i="13" l="1"/>
  <c r="H93" i="25"/>
  <c r="G93" i="25"/>
  <c r="F93" i="25" s="1"/>
  <c r="E93" i="25" s="1"/>
  <c r="B365" i="1"/>
  <c r="Y93" i="13" l="1"/>
  <c r="B94" i="25"/>
  <c r="I94" i="25"/>
  <c r="AA93" i="13"/>
  <c r="Y93" i="25"/>
  <c r="M93" i="25"/>
  <c r="C93" i="25"/>
  <c r="AB93" i="13" s="1"/>
  <c r="J94" i="25"/>
  <c r="D93" i="25"/>
  <c r="B366" i="1"/>
  <c r="S93" i="25" l="1"/>
  <c r="R93" i="25" s="1"/>
  <c r="Q93" i="25" s="1"/>
  <c r="P93" i="25" s="1"/>
  <c r="O93" i="25" s="1"/>
  <c r="Z93" i="13"/>
  <c r="Z93" i="25"/>
  <c r="B367" i="1"/>
  <c r="N93" i="25" l="1"/>
  <c r="AC93" i="13"/>
  <c r="B368" i="1"/>
  <c r="AD93" i="13" l="1"/>
  <c r="G94" i="25"/>
  <c r="F94" i="25" s="1"/>
  <c r="E94" i="25" s="1"/>
  <c r="H94" i="25"/>
  <c r="B369" i="1"/>
  <c r="Y94" i="13" l="1"/>
  <c r="Y94" i="25"/>
  <c r="C94" i="25"/>
  <c r="AB94" i="13" s="1"/>
  <c r="M94" i="25"/>
  <c r="B95" i="25"/>
  <c r="AA94" i="13"/>
  <c r="J95" i="25"/>
  <c r="I95" i="25"/>
  <c r="D94" i="25"/>
  <c r="B370" i="1"/>
  <c r="S94" i="25" l="1"/>
  <c r="R94" i="25" s="1"/>
  <c r="Q94" i="25" s="1"/>
  <c r="P94" i="25" s="1"/>
  <c r="O94" i="25" s="1"/>
  <c r="Z94" i="13"/>
  <c r="Z94" i="25"/>
  <c r="B371" i="1"/>
  <c r="N94" i="25" l="1"/>
  <c r="AC94" i="13"/>
  <c r="B372" i="1"/>
  <c r="AD94" i="13" l="1"/>
  <c r="H95" i="25"/>
  <c r="G95" i="25"/>
  <c r="F95" i="25" s="1"/>
  <c r="E95" i="25" s="1"/>
  <c r="B373" i="1"/>
  <c r="Y95" i="13" l="1"/>
  <c r="M95" i="25"/>
  <c r="C95" i="25"/>
  <c r="AB95" i="13" s="1"/>
  <c r="J96" i="25"/>
  <c r="I96" i="25"/>
  <c r="B96" i="25"/>
  <c r="Y95" i="25"/>
  <c r="AA95" i="13"/>
  <c r="D95" i="25"/>
  <c r="B374" i="1"/>
  <c r="S95" i="25" l="1"/>
  <c r="R95" i="25" s="1"/>
  <c r="Q95" i="25" s="1"/>
  <c r="P95" i="25" s="1"/>
  <c r="O95" i="25" s="1"/>
  <c r="Z95" i="13"/>
  <c r="Z95" i="25"/>
  <c r="B375" i="1"/>
  <c r="N95" i="25" l="1"/>
  <c r="AC95" i="13"/>
  <c r="B376" i="1"/>
  <c r="AD95" i="13" l="1"/>
  <c r="G96" i="25"/>
  <c r="F96" i="25" s="1"/>
  <c r="E96" i="25" s="1"/>
  <c r="H96" i="25"/>
  <c r="B377" i="1"/>
  <c r="Y96" i="13" l="1"/>
  <c r="Y96" i="25"/>
  <c r="D96" i="25"/>
  <c r="C96" i="25"/>
  <c r="AB96" i="13" s="1"/>
  <c r="AA96" i="13"/>
  <c r="B97" i="25"/>
  <c r="I97" i="25"/>
  <c r="J97" i="25"/>
  <c r="M96" i="25"/>
  <c r="B378" i="1"/>
  <c r="S96" i="25" l="1"/>
  <c r="R96" i="25" s="1"/>
  <c r="Q96" i="25" s="1"/>
  <c r="P96" i="25" s="1"/>
  <c r="O96" i="25" s="1"/>
  <c r="Z96" i="13"/>
  <c r="Z96" i="25"/>
  <c r="B379" i="1"/>
  <c r="N96" i="25" l="1"/>
  <c r="AC96" i="13"/>
  <c r="B380" i="1"/>
  <c r="AD96" i="13" l="1"/>
  <c r="G97" i="25"/>
  <c r="F97" i="25" s="1"/>
  <c r="E97" i="25" s="1"/>
  <c r="H97" i="25"/>
  <c r="B381" i="1"/>
  <c r="Y97" i="13" l="1"/>
  <c r="M97" i="25"/>
  <c r="Y97" i="25"/>
  <c r="B98" i="25"/>
  <c r="J98" i="25"/>
  <c r="C97" i="25"/>
  <c r="AB97" i="13" s="1"/>
  <c r="I98" i="25"/>
  <c r="AA97" i="13"/>
  <c r="D97" i="25"/>
  <c r="B382" i="1"/>
  <c r="S97" i="25" l="1"/>
  <c r="R97" i="25" s="1"/>
  <c r="Q97" i="25" s="1"/>
  <c r="P97" i="25" s="1"/>
  <c r="O97" i="25" s="1"/>
  <c r="Z97" i="13"/>
  <c r="Z97" i="25"/>
  <c r="B383" i="1"/>
  <c r="N97" i="25" l="1"/>
  <c r="AC97" i="13"/>
  <c r="B384" i="1"/>
  <c r="AD97" i="13" l="1"/>
  <c r="G98" i="25"/>
  <c r="F98" i="25" s="1"/>
  <c r="E98" i="25" s="1"/>
  <c r="H98" i="25"/>
  <c r="B385" i="1"/>
  <c r="Y98" i="13" l="1"/>
  <c r="B99" i="25"/>
  <c r="M98" i="25"/>
  <c r="AA98" i="13"/>
  <c r="Y98" i="25"/>
  <c r="J99" i="25"/>
  <c r="C98" i="25"/>
  <c r="AB98" i="13" s="1"/>
  <c r="I99" i="25"/>
  <c r="D98" i="25"/>
  <c r="B386" i="1"/>
  <c r="S98" i="25" l="1"/>
  <c r="R98" i="25" s="1"/>
  <c r="Q98" i="25" s="1"/>
  <c r="P98" i="25" s="1"/>
  <c r="O98" i="25" s="1"/>
  <c r="Z98" i="13"/>
  <c r="Z98" i="25"/>
  <c r="B387" i="1"/>
  <c r="N98" i="25" l="1"/>
  <c r="AC98" i="13"/>
  <c r="B388" i="1"/>
  <c r="AD98" i="13" l="1"/>
  <c r="H99" i="25"/>
  <c r="G99" i="25"/>
  <c r="F99" i="25" s="1"/>
  <c r="E99" i="25" s="1"/>
  <c r="B389" i="1"/>
  <c r="Y99" i="13" l="1"/>
  <c r="Y99" i="25"/>
  <c r="C99" i="25"/>
  <c r="AB99" i="13" s="1"/>
  <c r="B100" i="25"/>
  <c r="M99" i="25"/>
  <c r="I100" i="25"/>
  <c r="J100" i="25"/>
  <c r="AA99" i="13"/>
  <c r="D99" i="25"/>
  <c r="B390" i="1"/>
  <c r="S99" i="25" l="1"/>
  <c r="R99" i="25" s="1"/>
  <c r="Q99" i="25" s="1"/>
  <c r="P99" i="25" s="1"/>
  <c r="O99" i="25" s="1"/>
  <c r="Z99" i="13"/>
  <c r="Z99" i="25"/>
  <c r="B391" i="1"/>
  <c r="N99" i="25" l="1"/>
  <c r="AC99" i="13"/>
  <c r="B392" i="1"/>
  <c r="AD99" i="13" l="1"/>
  <c r="H100" i="25"/>
  <c r="G100" i="25"/>
  <c r="F100" i="25" s="1"/>
  <c r="E100" i="25" s="1"/>
  <c r="B393" i="1"/>
  <c r="Y100" i="13" l="1"/>
  <c r="B101" i="25"/>
  <c r="M100" i="25"/>
  <c r="Y100" i="25"/>
  <c r="D100" i="25"/>
  <c r="AA100" i="13"/>
  <c r="I101" i="25"/>
  <c r="J101" i="25"/>
  <c r="C100" i="25"/>
  <c r="AB100" i="13" s="1"/>
  <c r="B394" i="1"/>
  <c r="S100" i="25" l="1"/>
  <c r="R100" i="25" s="1"/>
  <c r="Q100" i="25" s="1"/>
  <c r="P100" i="25" s="1"/>
  <c r="O100" i="25" s="1"/>
  <c r="Z100" i="13"/>
  <c r="Z100" i="25"/>
  <c r="B395" i="1"/>
  <c r="N100" i="25" l="1"/>
  <c r="AC100" i="13"/>
  <c r="B396" i="1"/>
  <c r="AD100" i="13" l="1"/>
  <c r="H101" i="25"/>
  <c r="G101" i="25"/>
  <c r="F101" i="25" s="1"/>
  <c r="E101" i="25" s="1"/>
  <c r="B397" i="1"/>
  <c r="Y101" i="13" l="1"/>
  <c r="J102" i="25"/>
  <c r="I102" i="25"/>
  <c r="Y101" i="25"/>
  <c r="D101" i="25"/>
  <c r="C101" i="25"/>
  <c r="AB101" i="13" s="1"/>
  <c r="M101" i="25"/>
  <c r="AA101" i="13"/>
  <c r="B102" i="25"/>
  <c r="B398" i="1"/>
  <c r="S101" i="25" l="1"/>
  <c r="R101" i="25" s="1"/>
  <c r="Q101" i="25" s="1"/>
  <c r="P101" i="25" s="1"/>
  <c r="O101" i="25" s="1"/>
  <c r="Z101" i="13"/>
  <c r="Z101" i="25"/>
  <c r="B399" i="1"/>
  <c r="N101" i="25" l="1"/>
  <c r="AC101" i="13"/>
  <c r="B400" i="1"/>
  <c r="AD101" i="13" l="1"/>
  <c r="G102" i="25"/>
  <c r="F102" i="25" s="1"/>
  <c r="E102" i="25" s="1"/>
  <c r="H102" i="25"/>
  <c r="B401" i="1"/>
  <c r="Y102" i="13" l="1"/>
  <c r="B103" i="25"/>
  <c r="I103" i="25"/>
  <c r="C102" i="25"/>
  <c r="AB102" i="13" s="1"/>
  <c r="M102" i="25"/>
  <c r="Y102" i="25"/>
  <c r="AA102" i="13"/>
  <c r="J103" i="25"/>
  <c r="D102" i="25"/>
  <c r="B402" i="1"/>
  <c r="S102" i="25" l="1"/>
  <c r="R102" i="25" s="1"/>
  <c r="Q102" i="25" s="1"/>
  <c r="P102" i="25" s="1"/>
  <c r="O102" i="25" s="1"/>
  <c r="Z102" i="13"/>
  <c r="Z102" i="25"/>
  <c r="B403" i="1"/>
  <c r="N102" i="25" l="1"/>
  <c r="AC102" i="13"/>
  <c r="B404" i="1"/>
  <c r="AD102" i="13" l="1"/>
  <c r="G103" i="25"/>
  <c r="F103" i="25" s="1"/>
  <c r="E103" i="25" s="1"/>
  <c r="H103" i="25"/>
  <c r="B405" i="1"/>
  <c r="I104" i="25" l="1"/>
  <c r="C103" i="25"/>
  <c r="J104" i="25"/>
  <c r="B104" i="25"/>
  <c r="D103" i="25"/>
  <c r="M103" i="25"/>
  <c r="Y103" i="25"/>
  <c r="B406" i="1"/>
  <c r="Z103" i="25" l="1"/>
  <c r="S103" i="25"/>
  <c r="R103" i="25" s="1"/>
  <c r="B407" i="1"/>
  <c r="Q103" i="25" l="1"/>
  <c r="P103" i="25" s="1"/>
  <c r="O103" i="25" s="1"/>
  <c r="N103" i="25" s="1"/>
  <c r="B408" i="1"/>
  <c r="H104" i="25" l="1"/>
  <c r="G104" i="25"/>
  <c r="F104" i="25" s="1"/>
  <c r="E104" i="25" s="1"/>
  <c r="B409" i="1"/>
  <c r="Y104" i="25" l="1"/>
  <c r="D104" i="25"/>
  <c r="J105" i="25"/>
  <c r="C104" i="25"/>
  <c r="I105" i="25"/>
  <c r="B105" i="25"/>
  <c r="M104" i="25"/>
  <c r="B410" i="1"/>
  <c r="Z104" i="25" l="1"/>
  <c r="S104" i="25"/>
  <c r="R104" i="25" s="1"/>
  <c r="B411" i="1"/>
  <c r="Q104" i="25" l="1"/>
  <c r="P104" i="25" s="1"/>
  <c r="O104" i="25" s="1"/>
  <c r="N104" i="25" s="1"/>
  <c r="B412" i="1"/>
  <c r="H105" i="25" l="1"/>
  <c r="G105" i="25"/>
  <c r="F105" i="25" s="1"/>
  <c r="E105" i="25" s="1"/>
  <c r="B413" i="1"/>
  <c r="Y105" i="25" l="1"/>
  <c r="D105" i="25"/>
  <c r="C105" i="25"/>
  <c r="B106" i="25"/>
  <c r="M105" i="25"/>
  <c r="J106" i="25"/>
  <c r="I106" i="25"/>
  <c r="B414" i="1"/>
  <c r="S105" i="25" l="1"/>
  <c r="R105" i="25" s="1"/>
  <c r="Z105" i="25"/>
  <c r="B415" i="1"/>
  <c r="Q105" i="25" l="1"/>
  <c r="P105" i="25" s="1"/>
  <c r="O105" i="25" s="1"/>
  <c r="N105" i="25" s="1"/>
  <c r="B416" i="1"/>
  <c r="G106" i="25" l="1"/>
  <c r="F106" i="25" s="1"/>
  <c r="E106" i="25" s="1"/>
  <c r="H106" i="25"/>
  <c r="B417" i="1"/>
  <c r="Y106" i="25" l="1"/>
  <c r="D106" i="25"/>
  <c r="C106" i="25"/>
  <c r="B107" i="25"/>
  <c r="J107" i="25"/>
  <c r="M106" i="25"/>
  <c r="I107" i="25"/>
  <c r="B418" i="1"/>
  <c r="S106" i="25" l="1"/>
  <c r="R106" i="25" s="1"/>
  <c r="Z106" i="25"/>
  <c r="B419" i="1"/>
  <c r="Q106" i="25" l="1"/>
  <c r="P106" i="25" s="1"/>
  <c r="O106" i="25" s="1"/>
  <c r="N106" i="25" s="1"/>
  <c r="B420" i="1"/>
  <c r="G107" i="25" l="1"/>
  <c r="F107" i="25" s="1"/>
  <c r="E107" i="25" s="1"/>
  <c r="H107" i="25"/>
  <c r="B421" i="1"/>
  <c r="J108" i="25" l="1"/>
  <c r="D107" i="25"/>
  <c r="Y107" i="25"/>
  <c r="C107" i="25"/>
  <c r="B108" i="25"/>
  <c r="M107" i="25"/>
  <c r="I108" i="25"/>
  <c r="B422" i="1"/>
  <c r="S107" i="25" l="1"/>
  <c r="R107" i="25" s="1"/>
  <c r="Q107" i="25" s="1"/>
  <c r="P107" i="25" s="1"/>
  <c r="O107" i="25" s="1"/>
  <c r="N107" i="25" s="1"/>
  <c r="G108" i="25" s="1"/>
  <c r="F108" i="25" s="1"/>
  <c r="E108" i="25" s="1"/>
  <c r="J109" i="25" s="1"/>
  <c r="Z107" i="25"/>
  <c r="B423" i="1"/>
  <c r="Y108" i="25" l="1"/>
  <c r="D108" i="25"/>
  <c r="C108" i="25"/>
  <c r="B109" i="25"/>
  <c r="H108" i="25"/>
  <c r="I109" i="25"/>
  <c r="M108" i="25"/>
  <c r="B424" i="1"/>
  <c r="Z108" i="25" l="1"/>
  <c r="S108" i="25"/>
  <c r="R108" i="25" s="1"/>
  <c r="B425" i="1"/>
  <c r="Q108" i="25" l="1"/>
  <c r="P108" i="25" s="1"/>
  <c r="O108" i="25" s="1"/>
  <c r="N108" i="25" s="1"/>
  <c r="B426" i="1"/>
  <c r="H109" i="25" l="1"/>
  <c r="G109" i="25"/>
  <c r="F109" i="25" s="1"/>
  <c r="E109" i="25" s="1"/>
  <c r="B427" i="1"/>
  <c r="C109" i="25" l="1"/>
  <c r="Y109" i="25"/>
  <c r="D109" i="25"/>
  <c r="J110" i="25"/>
  <c r="B110" i="25"/>
  <c r="I110" i="25"/>
  <c r="M109" i="25"/>
  <c r="B428" i="1"/>
  <c r="S109" i="25" l="1"/>
  <c r="R109" i="25" s="1"/>
  <c r="Q109" i="25" s="1"/>
  <c r="P109" i="25" s="1"/>
  <c r="O109" i="25" s="1"/>
  <c r="N109" i="25" s="1"/>
  <c r="G110" i="25" s="1"/>
  <c r="F110" i="25" s="1"/>
  <c r="E110" i="25" s="1"/>
  <c r="Z109" i="25"/>
  <c r="B429" i="1"/>
  <c r="C110" i="25" l="1"/>
  <c r="D110" i="25"/>
  <c r="Y110" i="25"/>
  <c r="B111" i="25"/>
  <c r="M110" i="25"/>
  <c r="J111" i="25"/>
  <c r="I111" i="25"/>
  <c r="H110" i="25"/>
  <c r="B430" i="1"/>
  <c r="Z110" i="25" l="1"/>
  <c r="S110" i="25"/>
  <c r="R110" i="25" s="1"/>
  <c r="Q110" i="25" s="1"/>
  <c r="P110" i="25" s="1"/>
  <c r="O110" i="25" s="1"/>
  <c r="N110" i="25" s="1"/>
  <c r="H111" i="25" s="1"/>
  <c r="B431" i="1"/>
  <c r="G111" i="25" l="1"/>
  <c r="F111" i="25" s="1"/>
  <c r="E111" i="25" s="1"/>
  <c r="B432" i="1"/>
  <c r="C111" i="25" l="1"/>
  <c r="Y111" i="25"/>
  <c r="D111" i="25"/>
  <c r="B112" i="25"/>
  <c r="J112" i="25"/>
  <c r="I112" i="25"/>
  <c r="M111" i="25"/>
  <c r="B433" i="1"/>
  <c r="S111" i="25" l="1"/>
  <c r="R111" i="25" s="1"/>
  <c r="Z111" i="25"/>
  <c r="B434" i="1"/>
  <c r="Q111" i="25" l="1"/>
  <c r="P111" i="25" s="1"/>
  <c r="O111" i="25" s="1"/>
  <c r="N111" i="25" s="1"/>
  <c r="B435" i="1"/>
  <c r="H112" i="25" l="1"/>
  <c r="G112" i="25"/>
  <c r="F112" i="25" s="1"/>
  <c r="E112" i="25" s="1"/>
  <c r="B436" i="1"/>
  <c r="D112" i="25" l="1"/>
  <c r="C112" i="25"/>
  <c r="Y112" i="25"/>
  <c r="B113" i="25"/>
  <c r="I113" i="25"/>
  <c r="J113" i="25"/>
  <c r="M112" i="25"/>
  <c r="B437" i="1"/>
  <c r="S112" i="25" l="1"/>
  <c r="R112" i="25" s="1"/>
  <c r="Q112" i="25" s="1"/>
  <c r="P112" i="25" s="1"/>
  <c r="O112" i="25" s="1"/>
  <c r="N112" i="25" s="1"/>
  <c r="G113" i="25" s="1"/>
  <c r="F113" i="25" s="1"/>
  <c r="E113" i="25" s="1"/>
  <c r="Z112" i="25"/>
  <c r="B438" i="1"/>
  <c r="D113" i="25" l="1"/>
  <c r="C113" i="25"/>
  <c r="Y113" i="25"/>
  <c r="B114" i="25"/>
  <c r="H113" i="25"/>
  <c r="J114" i="25"/>
  <c r="I114" i="25"/>
  <c r="M113" i="25"/>
  <c r="B439" i="1"/>
  <c r="Z113" i="25" l="1"/>
  <c r="S113" i="25"/>
  <c r="R113" i="25" s="1"/>
  <c r="Q113" i="25" s="1"/>
  <c r="P113" i="25" s="1"/>
  <c r="O113" i="25" s="1"/>
  <c r="N113" i="25" s="1"/>
  <c r="B440" i="1"/>
  <c r="G114" i="25" l="1"/>
  <c r="F114" i="25" s="1"/>
  <c r="E114" i="25" s="1"/>
  <c r="H114" i="25"/>
  <c r="B441" i="1"/>
  <c r="C114" i="25" l="1"/>
  <c r="Y114" i="25"/>
  <c r="D114" i="25"/>
  <c r="B115" i="25"/>
  <c r="I115" i="25"/>
  <c r="J115" i="25"/>
  <c r="M114" i="25"/>
  <c r="B442" i="1"/>
  <c r="S114" i="25" l="1"/>
  <c r="R114" i="25" s="1"/>
  <c r="Z114" i="25"/>
  <c r="B443" i="1"/>
  <c r="Q114" i="25" l="1"/>
  <c r="P114" i="25" s="1"/>
  <c r="O114" i="25" s="1"/>
  <c r="N114" i="25" s="1"/>
  <c r="B444" i="1"/>
  <c r="G115" i="25" l="1"/>
  <c r="F115" i="25" s="1"/>
  <c r="E115" i="25" s="1"/>
  <c r="H115" i="25"/>
  <c r="B445" i="1"/>
  <c r="D115" i="25" l="1"/>
  <c r="Y115" i="25"/>
  <c r="C115" i="25"/>
  <c r="B116" i="25"/>
  <c r="M115" i="25"/>
  <c r="I116" i="25"/>
  <c r="J116" i="25"/>
  <c r="B446" i="1"/>
  <c r="Z115" i="25" l="1"/>
  <c r="S115" i="25"/>
  <c r="R115" i="25" s="1"/>
  <c r="Q115" i="25" s="1"/>
  <c r="P115" i="25" s="1"/>
  <c r="O115" i="25" s="1"/>
  <c r="N115" i="25" s="1"/>
  <c r="H116" i="25" s="1"/>
  <c r="B447" i="1"/>
  <c r="G116" i="25" l="1"/>
  <c r="F116" i="25" s="1"/>
  <c r="E116" i="25" s="1"/>
  <c r="B448" i="1"/>
  <c r="D116" i="25" l="1"/>
  <c r="Y116" i="25"/>
  <c r="C116" i="25"/>
  <c r="B117" i="25"/>
  <c r="I117" i="25"/>
  <c r="M116" i="25"/>
  <c r="J117" i="25"/>
  <c r="B449" i="1"/>
  <c r="S116" i="25" l="1"/>
  <c r="R116" i="25" s="1"/>
  <c r="Z116" i="25"/>
  <c r="B450" i="1"/>
  <c r="Q116" i="25" l="1"/>
  <c r="P116" i="25" s="1"/>
  <c r="O116" i="25" s="1"/>
  <c r="N116" i="25" s="1"/>
  <c r="B451" i="1"/>
  <c r="G117" i="25" l="1"/>
  <c r="F117" i="25" s="1"/>
  <c r="E117" i="25" s="1"/>
  <c r="H117" i="25"/>
  <c r="B452" i="1"/>
  <c r="M117" i="25" l="1"/>
  <c r="C117" i="25"/>
  <c r="Y117" i="25"/>
  <c r="D117" i="25"/>
  <c r="B118" i="25"/>
  <c r="J118" i="25"/>
  <c r="I118" i="25"/>
  <c r="B453" i="1"/>
  <c r="S117" i="25" l="1"/>
  <c r="R117" i="25" s="1"/>
  <c r="Z117" i="25"/>
  <c r="B454" i="1"/>
  <c r="Q117" i="25" l="1"/>
  <c r="P117" i="25" s="1"/>
  <c r="O117" i="25" s="1"/>
  <c r="N117" i="25" s="1"/>
  <c r="B455" i="1"/>
  <c r="G118" i="25" l="1"/>
  <c r="F118" i="25" s="1"/>
  <c r="E118" i="25" s="1"/>
  <c r="H118" i="25"/>
  <c r="B456" i="1"/>
  <c r="Y118" i="25" l="1"/>
  <c r="C118" i="25"/>
  <c r="D118" i="25"/>
  <c r="B119" i="25"/>
  <c r="J119" i="25"/>
  <c r="I119" i="25"/>
  <c r="M118" i="25"/>
  <c r="B457" i="1"/>
  <c r="S118" i="25" l="1"/>
  <c r="R118" i="25" s="1"/>
  <c r="Q118" i="25" s="1"/>
  <c r="P118" i="25" s="1"/>
  <c r="O118" i="25" s="1"/>
  <c r="N118" i="25" s="1"/>
  <c r="Z118" i="25"/>
  <c r="B458" i="1"/>
  <c r="G119" i="25" l="1"/>
  <c r="F119" i="25" s="1"/>
  <c r="E119" i="25" s="1"/>
  <c r="H119" i="25"/>
  <c r="B459" i="1"/>
  <c r="D119" i="25" l="1"/>
  <c r="C119" i="25"/>
  <c r="Y119" i="25"/>
  <c r="B120" i="25"/>
  <c r="I120" i="25"/>
  <c r="J120" i="25"/>
  <c r="M119" i="25"/>
  <c r="B460" i="1"/>
  <c r="S119" i="25" l="1"/>
  <c r="Z119" i="25"/>
  <c r="B461" i="1"/>
  <c r="R119" i="25" l="1"/>
  <c r="Q119" i="25" s="1"/>
  <c r="P119" i="25" s="1"/>
  <c r="O119" i="25" s="1"/>
  <c r="N119" i="25" s="1"/>
  <c r="B462" i="1"/>
  <c r="G120" i="25" l="1"/>
  <c r="F120" i="25" s="1"/>
  <c r="E120" i="25" s="1"/>
  <c r="H120" i="25"/>
  <c r="B463" i="1"/>
  <c r="C120" i="25" l="1"/>
  <c r="Y120" i="25"/>
  <c r="D120" i="25"/>
  <c r="B121" i="25"/>
  <c r="J121" i="25"/>
  <c r="M120" i="25"/>
  <c r="I121" i="25"/>
  <c r="B464" i="1"/>
  <c r="Z120" i="25" l="1"/>
  <c r="S120" i="25"/>
  <c r="R120" i="25" s="1"/>
  <c r="Q120" i="25" s="1"/>
  <c r="P120" i="25" s="1"/>
  <c r="O120" i="25" s="1"/>
  <c r="N120" i="25" s="1"/>
  <c r="B465" i="1"/>
  <c r="G121" i="25" l="1"/>
  <c r="F121" i="25" s="1"/>
  <c r="E121" i="25" s="1"/>
  <c r="H121" i="25"/>
  <c r="B466" i="1"/>
  <c r="B122" i="25" l="1"/>
  <c r="Y121" i="25"/>
  <c r="D121" i="25"/>
  <c r="C121" i="25"/>
  <c r="J122" i="25"/>
  <c r="I122" i="25"/>
  <c r="M121" i="25"/>
  <c r="B467" i="1"/>
  <c r="Z121" i="25" l="1"/>
  <c r="S121" i="25"/>
  <c r="R121" i="25" s="1"/>
  <c r="B468" i="1"/>
  <c r="Q121" i="25" l="1"/>
  <c r="P121" i="25" s="1"/>
  <c r="O121" i="25" s="1"/>
  <c r="N121" i="25" s="1"/>
  <c r="B469" i="1"/>
  <c r="G122" i="25" l="1"/>
  <c r="F122" i="25" s="1"/>
  <c r="E122" i="25" s="1"/>
  <c r="H122" i="25"/>
  <c r="B470" i="1"/>
  <c r="C122" i="25" l="1"/>
  <c r="D122" i="25"/>
  <c r="Y122" i="25"/>
  <c r="B123" i="25"/>
  <c r="J123" i="25"/>
  <c r="M122" i="25"/>
  <c r="I123" i="25"/>
  <c r="B471" i="1"/>
  <c r="S122" i="25" l="1"/>
  <c r="R122" i="25" s="1"/>
  <c r="Z122" i="25"/>
  <c r="B472" i="1"/>
  <c r="Q122" i="25" l="1"/>
  <c r="P122" i="25" s="1"/>
  <c r="O122" i="25" s="1"/>
  <c r="N122" i="25" s="1"/>
  <c r="B473" i="1"/>
  <c r="G123" i="25" l="1"/>
  <c r="F123" i="25" s="1"/>
  <c r="E123" i="25" s="1"/>
  <c r="H123" i="25"/>
  <c r="B474" i="1"/>
  <c r="C123" i="25" l="1"/>
  <c r="Y123" i="25"/>
  <c r="D123" i="25"/>
  <c r="B124" i="25"/>
  <c r="I124" i="25"/>
  <c r="M123" i="25"/>
  <c r="J124" i="25"/>
  <c r="B475" i="1"/>
  <c r="S123" i="25" l="1"/>
  <c r="R123" i="25" s="1"/>
  <c r="Z123" i="25"/>
  <c r="B476" i="1"/>
  <c r="Q123" i="25" l="1"/>
  <c r="P123" i="25" s="1"/>
  <c r="O123" i="25" s="1"/>
  <c r="N123" i="25" s="1"/>
  <c r="B477" i="1"/>
  <c r="G124" i="25" l="1"/>
  <c r="F124" i="25" s="1"/>
  <c r="E124" i="25" s="1"/>
  <c r="H124" i="25"/>
  <c r="B478" i="1"/>
  <c r="C124" i="25" l="1"/>
  <c r="D124" i="25"/>
  <c r="Y124" i="25"/>
  <c r="B125" i="25"/>
  <c r="M124" i="25"/>
  <c r="I125" i="25"/>
  <c r="J125" i="25"/>
  <c r="B479" i="1"/>
  <c r="S124" i="25" l="1"/>
  <c r="R124" i="25" s="1"/>
  <c r="Z124" i="25"/>
  <c r="B480" i="1"/>
  <c r="Q124" i="25" l="1"/>
  <c r="P124" i="25" s="1"/>
  <c r="O124" i="25" s="1"/>
  <c r="N124" i="25" s="1"/>
  <c r="B481" i="1"/>
  <c r="G125" i="25" l="1"/>
  <c r="F125" i="25" s="1"/>
  <c r="E125" i="25" s="1"/>
  <c r="H125" i="25"/>
  <c r="B482" i="1"/>
  <c r="C125" i="25" l="1"/>
  <c r="D125" i="25"/>
  <c r="Y125" i="25"/>
  <c r="B126" i="25"/>
  <c r="M125" i="25"/>
  <c r="J126" i="25"/>
  <c r="I126" i="25"/>
  <c r="B483" i="1"/>
  <c r="Z125" i="25" l="1"/>
  <c r="S125" i="25"/>
  <c r="R125" i="25" s="1"/>
  <c r="Q125" i="25" s="1"/>
  <c r="P125" i="25" s="1"/>
  <c r="O125" i="25" s="1"/>
  <c r="N125" i="25" s="1"/>
  <c r="B484" i="1"/>
  <c r="H126" i="25" l="1"/>
  <c r="G126" i="25"/>
  <c r="F126" i="25" s="1"/>
  <c r="E126" i="25" s="1"/>
  <c r="B485" i="1"/>
  <c r="C126" i="25" l="1"/>
  <c r="D126" i="25"/>
  <c r="Y126" i="25"/>
  <c r="B127" i="25"/>
  <c r="J127" i="25"/>
  <c r="I127" i="25"/>
  <c r="M126" i="25"/>
  <c r="B486" i="1"/>
  <c r="S126" i="25" l="1"/>
  <c r="R126" i="25" s="1"/>
  <c r="Q126" i="25" s="1"/>
  <c r="P126" i="25" s="1"/>
  <c r="O126" i="25" s="1"/>
  <c r="N126" i="25" s="1"/>
  <c r="G127" i="25" s="1"/>
  <c r="F127" i="25" s="1"/>
  <c r="E127" i="25" s="1"/>
  <c r="Z126" i="25"/>
  <c r="B487" i="1"/>
  <c r="B128" i="25" l="1"/>
  <c r="D127" i="25"/>
  <c r="Y127" i="25"/>
  <c r="C127" i="25"/>
  <c r="J128" i="25"/>
  <c r="I128" i="25"/>
  <c r="M127" i="25"/>
  <c r="H127" i="25"/>
  <c r="B488" i="1"/>
  <c r="Z127" i="25" l="1"/>
  <c r="S127" i="25"/>
  <c r="R127" i="25" s="1"/>
  <c r="Q127" i="25" s="1"/>
  <c r="P127" i="25" s="1"/>
  <c r="O127" i="25" s="1"/>
  <c r="N127" i="25" s="1"/>
  <c r="G128" i="25" s="1"/>
  <c r="F128" i="25" s="1"/>
  <c r="E128" i="25" s="1"/>
  <c r="B489" i="1"/>
  <c r="Y128" i="25" l="1"/>
  <c r="D128" i="25"/>
  <c r="C128" i="25"/>
  <c r="B129" i="25"/>
  <c r="I129" i="25"/>
  <c r="J129" i="25"/>
  <c r="M128" i="25"/>
  <c r="H128" i="25"/>
  <c r="B490" i="1"/>
  <c r="S128" i="25" l="1"/>
  <c r="R128" i="25" s="1"/>
  <c r="Z128" i="25"/>
  <c r="B491" i="1"/>
  <c r="Q128" i="25" l="1"/>
  <c r="P128" i="25" s="1"/>
  <c r="O128" i="25" s="1"/>
  <c r="N128" i="25" s="1"/>
  <c r="B492" i="1"/>
  <c r="G129" i="25" l="1"/>
  <c r="F129" i="25" s="1"/>
  <c r="E129" i="25" s="1"/>
  <c r="H129" i="25"/>
  <c r="B493" i="1"/>
  <c r="Y129" i="25" l="1"/>
  <c r="C129" i="25"/>
  <c r="D129" i="25"/>
  <c r="B130" i="25"/>
  <c r="M129" i="25"/>
  <c r="I130" i="25"/>
  <c r="J130" i="25"/>
  <c r="B494" i="1"/>
  <c r="Z129" i="25" l="1"/>
  <c r="S129" i="25"/>
  <c r="R129" i="25" s="1"/>
  <c r="B495" i="1"/>
  <c r="Q129" i="25" l="1"/>
  <c r="P129" i="25" s="1"/>
  <c r="O129" i="25" s="1"/>
  <c r="N129" i="25" s="1"/>
  <c r="B496" i="1"/>
  <c r="G130" i="25" l="1"/>
  <c r="F130" i="25" s="1"/>
  <c r="E130" i="25" s="1"/>
  <c r="H130" i="25"/>
  <c r="B497" i="1"/>
  <c r="D130" i="25" l="1"/>
  <c r="C130" i="25"/>
  <c r="Y130" i="25"/>
  <c r="B131" i="25"/>
  <c r="M130" i="25"/>
  <c r="J131" i="25"/>
  <c r="I131" i="25"/>
  <c r="B498" i="1"/>
  <c r="Z130" i="25" l="1"/>
  <c r="S130" i="25"/>
  <c r="B499" i="1"/>
  <c r="R130" i="25" l="1"/>
  <c r="Q130" i="25" s="1"/>
  <c r="P130" i="25" s="1"/>
  <c r="O130" i="25" s="1"/>
  <c r="N130" i="25" s="1"/>
  <c r="B500" i="1"/>
  <c r="G131" i="25" l="1"/>
  <c r="F131" i="25" s="1"/>
  <c r="E131" i="25" s="1"/>
  <c r="H131" i="25"/>
  <c r="B501" i="1"/>
  <c r="C131" i="25" l="1"/>
  <c r="D131" i="25"/>
  <c r="Y131" i="25"/>
  <c r="B132" i="25"/>
  <c r="I132" i="25"/>
  <c r="J132" i="25"/>
  <c r="M131" i="25"/>
  <c r="B502" i="1"/>
  <c r="Z131" i="25" l="1"/>
  <c r="S131" i="25"/>
  <c r="R131" i="25" l="1"/>
  <c r="Q131" i="25" s="1"/>
  <c r="P131" i="25" s="1"/>
  <c r="O131" i="25" s="1"/>
  <c r="N131" i="25" s="1"/>
  <c r="G132" i="25" l="1"/>
  <c r="F132" i="25" s="1"/>
  <c r="E132" i="25" s="1"/>
  <c r="H132" i="25"/>
  <c r="C132" i="25" l="1"/>
  <c r="D132" i="25"/>
  <c r="Y132" i="25"/>
  <c r="B133" i="25"/>
  <c r="I133" i="25"/>
  <c r="J133" i="25"/>
  <c r="M132" i="25"/>
  <c r="Z132" i="25" l="1"/>
  <c r="S132" i="25"/>
  <c r="R132" i="25" l="1"/>
  <c r="Q132" i="25" s="1"/>
  <c r="P132" i="25" s="1"/>
  <c r="O132" i="25" s="1"/>
  <c r="N132" i="25" s="1"/>
  <c r="G133" i="25" l="1"/>
  <c r="F133" i="25" s="1"/>
  <c r="E133" i="25" s="1"/>
  <c r="H133" i="25"/>
  <c r="C133" i="25" l="1"/>
  <c r="Y133" i="25"/>
  <c r="D133" i="25"/>
  <c r="B134" i="25"/>
  <c r="J134" i="25"/>
  <c r="M133" i="25"/>
  <c r="I134" i="25"/>
  <c r="S133" i="25" l="1"/>
  <c r="Z133" i="25"/>
  <c r="R133" i="25" l="1"/>
  <c r="Q133" i="25" s="1"/>
  <c r="P133" i="25" s="1"/>
  <c r="O133" i="25" s="1"/>
  <c r="N133" i="25" s="1"/>
  <c r="G134" i="25" l="1"/>
  <c r="F134" i="25" s="1"/>
  <c r="E134" i="25" s="1"/>
  <c r="H134" i="25"/>
  <c r="C134" i="25" l="1"/>
  <c r="D134" i="25"/>
  <c r="Y134" i="25"/>
  <c r="B135" i="25"/>
  <c r="J135" i="25"/>
  <c r="I135" i="25"/>
  <c r="M134" i="25"/>
  <c r="Z134" i="25" l="1"/>
  <c r="S134" i="25"/>
  <c r="R134" i="25" l="1"/>
  <c r="Q134" i="25" s="1"/>
  <c r="P134" i="25" s="1"/>
  <c r="O134" i="25" s="1"/>
  <c r="N134" i="25" s="1"/>
  <c r="G135" i="25" l="1"/>
  <c r="F135" i="25" s="1"/>
  <c r="E135" i="25" s="1"/>
  <c r="H135" i="25"/>
  <c r="C135" i="25" l="1"/>
  <c r="Y135" i="25"/>
  <c r="D135" i="25"/>
  <c r="B136" i="25"/>
  <c r="J136" i="25"/>
  <c r="M135" i="25"/>
  <c r="I136" i="25"/>
  <c r="S135" i="25" l="1"/>
  <c r="R135" i="25" s="1"/>
  <c r="Q135" i="25" s="1"/>
  <c r="P135" i="25" s="1"/>
  <c r="O135" i="25" s="1"/>
  <c r="N135" i="25" s="1"/>
  <c r="Z135" i="25"/>
  <c r="G136" i="25" l="1"/>
  <c r="F136" i="25" s="1"/>
  <c r="E136" i="25" s="1"/>
  <c r="H136" i="25"/>
  <c r="I137" i="25" l="1"/>
  <c r="D136" i="25"/>
  <c r="Y136" i="25"/>
  <c r="C136" i="25"/>
  <c r="B137" i="25"/>
  <c r="J137" i="25"/>
  <c r="M136" i="25"/>
  <c r="Z136" i="25" l="1"/>
  <c r="S136" i="25"/>
  <c r="R136" i="25" s="1"/>
  <c r="Q136" i="25" s="1"/>
  <c r="P136" i="25" s="1"/>
  <c r="O136" i="25" s="1"/>
  <c r="N136" i="25" s="1"/>
  <c r="H137" i="25" l="1"/>
  <c r="G137" i="25"/>
  <c r="F137" i="25" s="1"/>
  <c r="E137" i="25" s="1"/>
  <c r="D137" i="25" s="1"/>
  <c r="B138" i="25" l="1"/>
  <c r="C137" i="25"/>
  <c r="Y137" i="25"/>
  <c r="J138" i="25"/>
  <c r="M137" i="25"/>
  <c r="I138" i="25"/>
  <c r="S137" i="25" l="1"/>
  <c r="R137" i="25" s="1"/>
  <c r="Q137" i="25" s="1"/>
  <c r="P137" i="25" s="1"/>
  <c r="O137" i="25" s="1"/>
  <c r="N137" i="25" s="1"/>
  <c r="Z137" i="25"/>
  <c r="G138" i="25" l="1"/>
  <c r="F138" i="25" s="1"/>
  <c r="E138" i="25" s="1"/>
  <c r="H138" i="25"/>
  <c r="C138" i="25" l="1"/>
  <c r="J139" i="25"/>
  <c r="Y138" i="25"/>
  <c r="I139" i="25"/>
  <c r="B139" i="25"/>
  <c r="D138" i="25"/>
  <c r="M138" i="25"/>
  <c r="Z138" i="25" s="1"/>
  <c r="S138" i="25" l="1"/>
  <c r="R138" i="25" s="1"/>
  <c r="Q138" i="25" s="1"/>
  <c r="P138" i="25" s="1"/>
  <c r="O138" i="25" s="1"/>
  <c r="N138" i="25" s="1"/>
  <c r="H139" i="25" l="1"/>
  <c r="G139" i="25"/>
  <c r="F139" i="25" s="1"/>
  <c r="E139" i="25" s="1"/>
  <c r="D139" i="25" l="1"/>
  <c r="I140" i="25"/>
  <c r="C139" i="25"/>
  <c r="J140" i="25"/>
  <c r="M139" i="25"/>
  <c r="Y139" i="25"/>
  <c r="B140" i="25"/>
  <c r="S139" i="25" l="1"/>
  <c r="R139" i="25" s="1"/>
  <c r="Q139" i="25" s="1"/>
  <c r="P139" i="25" s="1"/>
  <c r="O139" i="25" s="1"/>
  <c r="N139" i="25" s="1"/>
  <c r="Z139" i="25"/>
  <c r="H140" i="25" l="1"/>
  <c r="G140" i="25"/>
  <c r="F140" i="25" s="1"/>
  <c r="E140" i="25" s="1"/>
  <c r="B141" i="25" l="1"/>
  <c r="Y140" i="25"/>
  <c r="D140" i="25"/>
  <c r="I141" i="25"/>
  <c r="C140" i="25"/>
  <c r="J141" i="25"/>
  <c r="M140" i="25"/>
  <c r="S140" i="25" l="1"/>
  <c r="R140" i="25" s="1"/>
  <c r="Q140" i="25" s="1"/>
  <c r="P140" i="25" s="1"/>
  <c r="O140" i="25" s="1"/>
  <c r="N140" i="25" s="1"/>
  <c r="Z140" i="25"/>
  <c r="G141" i="25" l="1"/>
  <c r="F141" i="25" s="1"/>
  <c r="E141" i="25" s="1"/>
  <c r="H141" i="25"/>
  <c r="Y141" i="25" l="1"/>
  <c r="I142" i="25"/>
  <c r="C141" i="25"/>
  <c r="B142" i="25"/>
  <c r="D141" i="25"/>
  <c r="J142" i="25"/>
  <c r="M141" i="25"/>
  <c r="S141" i="25" l="1"/>
  <c r="R141" i="25" s="1"/>
  <c r="Q141" i="25" s="1"/>
  <c r="P141" i="25" s="1"/>
  <c r="O141" i="25" s="1"/>
  <c r="N141" i="25" s="1"/>
  <c r="G142" i="25" s="1"/>
  <c r="F142" i="25" s="1"/>
  <c r="E142" i="25" s="1"/>
  <c r="Y142" i="25" s="1"/>
  <c r="Z141" i="25"/>
  <c r="M142" i="25" l="1"/>
  <c r="Z142" i="25" s="1"/>
  <c r="C142" i="25"/>
  <c r="B143" i="25"/>
  <c r="J143" i="25"/>
  <c r="D142" i="25"/>
  <c r="I143" i="25"/>
  <c r="H142" i="25"/>
  <c r="S142" i="25" l="1"/>
  <c r="R142" i="25" s="1"/>
  <c r="Q142" i="25" s="1"/>
  <c r="P142" i="25" s="1"/>
  <c r="O142" i="25" s="1"/>
  <c r="N142" i="25" s="1"/>
  <c r="G143" i="25" l="1"/>
  <c r="F143" i="25" s="1"/>
  <c r="E143" i="25" s="1"/>
  <c r="H143" i="25"/>
  <c r="Y143" i="25" l="1"/>
  <c r="C143" i="25"/>
  <c r="D143" i="25"/>
  <c r="B144" i="25"/>
  <c r="J144" i="25"/>
  <c r="M143" i="25"/>
  <c r="I144" i="25"/>
  <c r="S143" i="25" l="1"/>
  <c r="R143" i="25" s="1"/>
  <c r="Z143" i="25"/>
  <c r="Q143" i="25" l="1"/>
  <c r="P143" i="25" s="1"/>
  <c r="O143" i="25" s="1"/>
  <c r="N143" i="25" s="1"/>
  <c r="G144" i="25" l="1"/>
  <c r="F144" i="25" s="1"/>
  <c r="E144" i="25" s="1"/>
  <c r="H144" i="25"/>
  <c r="Y144" i="25" l="1"/>
  <c r="C144" i="25"/>
  <c r="D144" i="25"/>
  <c r="B145" i="25"/>
  <c r="J145" i="25"/>
  <c r="M144" i="25"/>
  <c r="I145" i="25"/>
  <c r="S144" i="25" l="1"/>
  <c r="Z144" i="25"/>
  <c r="R144" i="25" l="1"/>
  <c r="Q144" i="25" s="1"/>
  <c r="P144" i="25" s="1"/>
  <c r="O144" i="25" s="1"/>
  <c r="N144" i="25" s="1"/>
  <c r="G145" i="25" l="1"/>
  <c r="F145" i="25" s="1"/>
  <c r="E145" i="25" s="1"/>
  <c r="H145" i="25"/>
  <c r="C145" i="25" l="1"/>
  <c r="D145" i="25"/>
  <c r="Y145" i="25"/>
  <c r="B146" i="25"/>
  <c r="M145" i="25"/>
  <c r="I146" i="25"/>
  <c r="J146" i="25"/>
  <c r="Z145" i="25" l="1"/>
  <c r="S145" i="25"/>
  <c r="R145" i="25" l="1"/>
  <c r="Q145" i="25" s="1"/>
  <c r="P145" i="25" s="1"/>
  <c r="O145" i="25" s="1"/>
  <c r="N145" i="25" s="1"/>
  <c r="G146" i="25" l="1"/>
  <c r="F146" i="25" s="1"/>
  <c r="E146" i="25" s="1"/>
  <c r="H146" i="25"/>
  <c r="Y146" i="25" l="1"/>
  <c r="D146" i="25"/>
  <c r="C146" i="25"/>
  <c r="B147" i="25"/>
  <c r="J147" i="25"/>
  <c r="M146" i="25"/>
  <c r="I147" i="25"/>
  <c r="S146" i="25" l="1"/>
  <c r="R146" i="25" s="1"/>
  <c r="Z146" i="25"/>
  <c r="Q146" i="25" l="1"/>
  <c r="P146" i="25" s="1"/>
  <c r="O146" i="25" s="1"/>
  <c r="N146" i="25" s="1"/>
  <c r="G147" i="25" l="1"/>
  <c r="F147" i="25" s="1"/>
  <c r="E147" i="25" s="1"/>
  <c r="H147" i="25"/>
  <c r="D147" i="25" l="1"/>
  <c r="C147" i="25"/>
  <c r="Y147" i="25"/>
  <c r="B148" i="25"/>
  <c r="J148" i="25"/>
  <c r="M147" i="25"/>
  <c r="I148" i="25"/>
  <c r="S147" i="25" l="1"/>
  <c r="R147" i="25" s="1"/>
  <c r="Z147" i="25"/>
  <c r="Q147" i="25" l="1"/>
  <c r="P147" i="25" s="1"/>
  <c r="O147" i="25" s="1"/>
  <c r="N147" i="25" s="1"/>
  <c r="G148" i="25" l="1"/>
  <c r="F148" i="25" s="1"/>
  <c r="E148" i="25" s="1"/>
  <c r="H148" i="25"/>
  <c r="Y148" i="25" l="1"/>
  <c r="C148" i="25"/>
  <c r="D148" i="25"/>
  <c r="B149" i="25"/>
  <c r="I149" i="25"/>
  <c r="M148" i="25"/>
  <c r="J149" i="25"/>
  <c r="S148" i="25" l="1"/>
  <c r="R148" i="25" s="1"/>
  <c r="Z148" i="25"/>
  <c r="Q148" i="25" l="1"/>
  <c r="P148" i="25" s="1"/>
  <c r="O148" i="25" s="1"/>
  <c r="N148" i="25" s="1"/>
  <c r="G149" i="25" l="1"/>
  <c r="F149" i="25" s="1"/>
  <c r="E149" i="25" s="1"/>
  <c r="H149" i="25"/>
  <c r="C149" i="25" l="1"/>
  <c r="Y149" i="25"/>
  <c r="D149" i="25"/>
  <c r="B150" i="25"/>
  <c r="I150" i="25"/>
  <c r="J150" i="25"/>
  <c r="M149" i="25"/>
  <c r="Z149" i="25" l="1"/>
  <c r="S149" i="25"/>
  <c r="R149" i="25" s="1"/>
  <c r="Q149" i="25" l="1"/>
  <c r="P149" i="25" s="1"/>
  <c r="O149" i="25" s="1"/>
  <c r="N149" i="25" s="1"/>
  <c r="G150" i="25" l="1"/>
  <c r="F150" i="25" s="1"/>
  <c r="E150" i="25" s="1"/>
  <c r="H150" i="25"/>
  <c r="D150" i="25" l="1"/>
  <c r="C150" i="25"/>
  <c r="Y150" i="25"/>
  <c r="B151" i="25"/>
  <c r="I151" i="25"/>
  <c r="J151" i="25"/>
  <c r="M150" i="25"/>
  <c r="S150" i="25" l="1"/>
  <c r="R150" i="25" s="1"/>
  <c r="Z150" i="25"/>
  <c r="Q150" i="25" l="1"/>
  <c r="P150" i="25" s="1"/>
  <c r="O150" i="25" s="1"/>
  <c r="N150" i="25" s="1"/>
  <c r="G151" i="25" l="1"/>
  <c r="F151" i="25" s="1"/>
  <c r="E151" i="25" s="1"/>
  <c r="H151" i="25"/>
  <c r="C151" i="25" l="1"/>
  <c r="D151" i="25"/>
  <c r="Y151" i="25"/>
  <c r="B152" i="25"/>
  <c r="M151" i="25"/>
  <c r="I152" i="25"/>
  <c r="J152" i="25"/>
  <c r="Z151" i="25" l="1"/>
  <c r="S151" i="25"/>
  <c r="R151" i="25" l="1"/>
  <c r="Q151" i="25" s="1"/>
  <c r="P151" i="25" s="1"/>
  <c r="O151" i="25" s="1"/>
  <c r="N151" i="25" s="1"/>
  <c r="G152" i="25" l="1"/>
  <c r="F152" i="25" s="1"/>
  <c r="E152" i="25" s="1"/>
  <c r="H152" i="25"/>
  <c r="D152" i="25" l="1"/>
  <c r="Y152" i="25"/>
  <c r="C152" i="25"/>
  <c r="B153" i="25"/>
  <c r="M152" i="25"/>
  <c r="I153" i="25"/>
  <c r="J153" i="25"/>
  <c r="Z152" i="25" l="1"/>
  <c r="S152" i="25"/>
  <c r="R152" i="25" s="1"/>
  <c r="Q152" i="25" l="1"/>
  <c r="P152" i="25" s="1"/>
  <c r="O152" i="25" s="1"/>
  <c r="N152" i="25" s="1"/>
  <c r="G153" i="25" l="1"/>
  <c r="F153" i="25" s="1"/>
  <c r="E153" i="25" s="1"/>
  <c r="H153" i="25"/>
  <c r="Y153" i="25" l="1"/>
  <c r="C153" i="25"/>
  <c r="D153" i="25"/>
  <c r="B154" i="25"/>
  <c r="M153" i="25"/>
  <c r="I154" i="25"/>
  <c r="J154" i="25"/>
  <c r="Z153" i="25" l="1"/>
  <c r="S153" i="25"/>
  <c r="R153" i="25" s="1"/>
  <c r="Q153" i="25" l="1"/>
  <c r="P153" i="25" s="1"/>
  <c r="O153" i="25" s="1"/>
  <c r="N153" i="25" s="1"/>
  <c r="G154" i="25" l="1"/>
  <c r="F154" i="25" s="1"/>
  <c r="E154" i="25" s="1"/>
  <c r="H154" i="25"/>
  <c r="D154" i="25" l="1"/>
  <c r="C154" i="25"/>
  <c r="Y154" i="25"/>
  <c r="B155" i="25"/>
  <c r="I155" i="25"/>
  <c r="M154" i="25"/>
  <c r="J155" i="25"/>
  <c r="S154" i="25" l="1"/>
  <c r="R154" i="25" s="1"/>
  <c r="Z154" i="25"/>
  <c r="Q154" i="25" l="1"/>
  <c r="P154" i="25" s="1"/>
  <c r="O154" i="25" s="1"/>
  <c r="N154" i="25" s="1"/>
  <c r="G155" i="25" l="1"/>
  <c r="F155" i="25" s="1"/>
  <c r="E155" i="25" s="1"/>
  <c r="H155" i="25"/>
  <c r="Y155" i="25" l="1"/>
  <c r="D155" i="25"/>
  <c r="C155" i="25"/>
  <c r="B156" i="25"/>
  <c r="I156" i="25"/>
  <c r="J156" i="25"/>
  <c r="M155" i="25"/>
  <c r="S155" i="25" l="1"/>
  <c r="R155" i="25" s="1"/>
  <c r="Z155" i="25"/>
  <c r="Q155" i="25" l="1"/>
  <c r="P155" i="25" s="1"/>
  <c r="O155" i="25" s="1"/>
  <c r="N155" i="25" s="1"/>
  <c r="G156" i="25" l="1"/>
  <c r="F156" i="25" s="1"/>
  <c r="E156" i="25" s="1"/>
  <c r="H156" i="25"/>
  <c r="C156" i="25" l="1"/>
  <c r="D156" i="25"/>
  <c r="Y156" i="25"/>
  <c r="B157" i="25"/>
  <c r="M156" i="25"/>
  <c r="I157" i="25"/>
  <c r="J157" i="25"/>
  <c r="Z156" i="25" l="1"/>
  <c r="S156" i="25"/>
  <c r="R156" i="25" s="1"/>
  <c r="Q156" i="25" l="1"/>
  <c r="P156" i="25" s="1"/>
  <c r="O156" i="25" s="1"/>
  <c r="N156" i="25" s="1"/>
  <c r="G157" i="25" l="1"/>
  <c r="F157" i="25" s="1"/>
  <c r="E157" i="25" s="1"/>
  <c r="H157" i="25"/>
  <c r="Y157" i="25" l="1"/>
  <c r="C157" i="25"/>
  <c r="D157" i="25"/>
  <c r="B158" i="25"/>
  <c r="I158" i="25"/>
  <c r="J158" i="25"/>
  <c r="M157" i="25"/>
  <c r="S157" i="25" l="1"/>
  <c r="R157" i="25" s="1"/>
  <c r="Z157" i="25"/>
  <c r="Q157" i="25" l="1"/>
  <c r="P157" i="25" s="1"/>
  <c r="O157" i="25" s="1"/>
  <c r="N157" i="25" s="1"/>
  <c r="G158" i="25" l="1"/>
  <c r="F158" i="25" s="1"/>
  <c r="E158" i="25" s="1"/>
  <c r="H158" i="25"/>
  <c r="C158" i="25" l="1"/>
  <c r="D158" i="25"/>
  <c r="Y158" i="25"/>
  <c r="B159" i="25"/>
  <c r="M158" i="25"/>
  <c r="I159" i="25"/>
  <c r="J159" i="25"/>
  <c r="Z158" i="25" l="1"/>
  <c r="S158" i="25"/>
  <c r="R158" i="25" s="1"/>
  <c r="Q158" i="25" l="1"/>
  <c r="P158" i="25" s="1"/>
  <c r="O158" i="25" s="1"/>
  <c r="N158" i="25" s="1"/>
  <c r="G159" i="25" l="1"/>
  <c r="F159" i="25" s="1"/>
  <c r="E159" i="25" s="1"/>
  <c r="H159" i="25"/>
  <c r="D159" i="25" l="1"/>
  <c r="C159" i="25"/>
  <c r="Y159" i="25"/>
  <c r="B160" i="25"/>
  <c r="J160" i="25"/>
  <c r="M159" i="25"/>
  <c r="I160" i="25"/>
  <c r="S159" i="25" l="1"/>
  <c r="R159" i="25" s="1"/>
  <c r="Z159" i="25"/>
  <c r="Q159" i="25" l="1"/>
  <c r="P159" i="25" s="1"/>
  <c r="O159" i="25" s="1"/>
  <c r="N159" i="25" s="1"/>
  <c r="G160" i="25" l="1"/>
  <c r="F160" i="25" s="1"/>
  <c r="E160" i="25" s="1"/>
  <c r="H160" i="25"/>
  <c r="D160" i="25" l="1"/>
  <c r="C160" i="25"/>
  <c r="Y160" i="25"/>
  <c r="B161" i="25"/>
  <c r="J161" i="25"/>
  <c r="I161" i="25"/>
  <c r="M160" i="25"/>
  <c r="Z160" i="25" l="1"/>
  <c r="S160" i="25"/>
  <c r="R160" i="25" s="1"/>
  <c r="Q160" i="25" l="1"/>
  <c r="P160" i="25" s="1"/>
  <c r="O160" i="25" s="1"/>
  <c r="N160" i="25" s="1"/>
  <c r="G161" i="25" l="1"/>
  <c r="F161" i="25" s="1"/>
  <c r="E161" i="25" s="1"/>
  <c r="H161" i="25"/>
  <c r="D161" i="25" l="1"/>
  <c r="C161" i="25"/>
  <c r="Y161" i="25"/>
  <c r="B162" i="25"/>
  <c r="J162" i="25"/>
  <c r="M161" i="25"/>
  <c r="I162" i="25"/>
  <c r="S161" i="25" l="1"/>
  <c r="Z161" i="25"/>
  <c r="R161" i="25" l="1"/>
  <c r="Q161" i="25" s="1"/>
  <c r="P161" i="25" s="1"/>
  <c r="O161" i="25" s="1"/>
  <c r="N161" i="25" s="1"/>
  <c r="G162" i="25" l="1"/>
  <c r="F162" i="25" s="1"/>
  <c r="E162" i="25" s="1"/>
  <c r="H162" i="25"/>
  <c r="C162" i="25" l="1"/>
  <c r="D162" i="25"/>
  <c r="Y162" i="25"/>
  <c r="B163" i="25"/>
  <c r="J163" i="25"/>
  <c r="M162" i="25"/>
  <c r="I163" i="25"/>
  <c r="S162" i="25" l="1"/>
  <c r="Z162" i="25"/>
  <c r="R162" i="25" l="1"/>
  <c r="Q162" i="25" s="1"/>
  <c r="P162" i="25" s="1"/>
  <c r="O162" i="25" s="1"/>
  <c r="N162" i="25" s="1"/>
  <c r="G163" i="25" l="1"/>
  <c r="F163" i="25" s="1"/>
  <c r="E163" i="25" s="1"/>
  <c r="H163" i="25"/>
  <c r="Y163" i="25" l="1"/>
  <c r="C163" i="25"/>
  <c r="D163" i="25"/>
  <c r="B164" i="25"/>
  <c r="J164" i="25"/>
  <c r="M163" i="25"/>
  <c r="I164" i="25"/>
  <c r="S163" i="25" l="1"/>
  <c r="R163" i="25" s="1"/>
  <c r="Z163" i="25"/>
  <c r="Q163" i="25" l="1"/>
  <c r="P163" i="25" s="1"/>
  <c r="O163" i="25" s="1"/>
  <c r="N163" i="25" s="1"/>
  <c r="G164" i="25" l="1"/>
  <c r="F164" i="25" s="1"/>
  <c r="E164" i="25" s="1"/>
  <c r="H164" i="25"/>
  <c r="Y164" i="25" l="1"/>
  <c r="D164" i="25"/>
  <c r="C164" i="25"/>
  <c r="B165" i="25"/>
  <c r="J165" i="25"/>
  <c r="M164" i="25"/>
  <c r="I165" i="25"/>
  <c r="S164" i="25" l="1"/>
  <c r="Z164" i="25"/>
  <c r="R164" i="25" l="1"/>
  <c r="Q164" i="25" s="1"/>
  <c r="P164" i="25" s="1"/>
  <c r="O164" i="25" s="1"/>
  <c r="N164" i="25" s="1"/>
  <c r="G165" i="25" l="1"/>
  <c r="F165" i="25" s="1"/>
  <c r="E165" i="25" s="1"/>
  <c r="H165" i="25"/>
  <c r="Y165" i="25" l="1"/>
  <c r="C165" i="25"/>
  <c r="D165" i="25"/>
  <c r="B166" i="25"/>
  <c r="J166" i="25"/>
  <c r="M165" i="25"/>
  <c r="I166" i="25"/>
  <c r="S165" i="25" l="1"/>
  <c r="R165" i="25" s="1"/>
  <c r="Z165" i="25"/>
  <c r="Q165" i="25" l="1"/>
  <c r="P165" i="25" s="1"/>
  <c r="O165" i="25" s="1"/>
  <c r="N165" i="25" s="1"/>
  <c r="G166" i="25" l="1"/>
  <c r="F166" i="25" s="1"/>
  <c r="E166" i="25" s="1"/>
  <c r="H166" i="25"/>
  <c r="D166" i="25" l="1"/>
  <c r="C166" i="25"/>
  <c r="Y166" i="25"/>
  <c r="B167" i="25"/>
  <c r="J167" i="25"/>
  <c r="M166" i="25"/>
  <c r="I167" i="25"/>
  <c r="S166" i="25" l="1"/>
  <c r="R166" i="25" s="1"/>
  <c r="Z166" i="25"/>
  <c r="Q166" i="25" l="1"/>
  <c r="P166" i="25" s="1"/>
  <c r="O166" i="25" s="1"/>
  <c r="N166" i="25" s="1"/>
  <c r="G167" i="25" l="1"/>
  <c r="F167" i="25" s="1"/>
  <c r="E167" i="25" s="1"/>
  <c r="H167" i="25"/>
  <c r="Y167" i="25" l="1"/>
  <c r="C167" i="25"/>
  <c r="D167" i="25"/>
  <c r="B168" i="25"/>
  <c r="I168" i="25"/>
  <c r="M167" i="25"/>
  <c r="J168" i="25"/>
  <c r="S167" i="25" l="1"/>
  <c r="R167" i="25" s="1"/>
  <c r="Z167" i="25"/>
  <c r="Q167" i="25" l="1"/>
  <c r="P167" i="25" s="1"/>
  <c r="O167" i="25" s="1"/>
  <c r="N167" i="25" s="1"/>
  <c r="G168" i="25" l="1"/>
  <c r="F168" i="25" s="1"/>
  <c r="E168" i="25" s="1"/>
  <c r="H168" i="25"/>
  <c r="D168" i="25" l="1"/>
  <c r="C168" i="25"/>
  <c r="Y168" i="25"/>
  <c r="B169" i="25"/>
  <c r="I169" i="25"/>
  <c r="M168" i="25"/>
  <c r="J169" i="25"/>
  <c r="S168" i="25" l="1"/>
  <c r="R168" i="25" s="1"/>
  <c r="Z168" i="25"/>
  <c r="Q168" i="25" l="1"/>
  <c r="P168" i="25" s="1"/>
  <c r="O168" i="25" s="1"/>
  <c r="N168" i="25" s="1"/>
  <c r="H169" i="25" l="1"/>
  <c r="G169" i="25"/>
  <c r="F169" i="25" s="1"/>
  <c r="E169" i="25" s="1"/>
  <c r="D169" i="25" l="1"/>
  <c r="Y169" i="25"/>
  <c r="C169" i="25"/>
  <c r="B170" i="25"/>
  <c r="I170" i="25"/>
  <c r="M169" i="25"/>
  <c r="J170" i="25"/>
  <c r="Z169" i="25" l="1"/>
  <c r="S169" i="25"/>
  <c r="R169" i="25" s="1"/>
  <c r="Q169" i="25" l="1"/>
  <c r="P169" i="25" s="1"/>
  <c r="O169" i="25" s="1"/>
  <c r="N169" i="25" s="1"/>
  <c r="G170" i="25" l="1"/>
  <c r="F170" i="25" s="1"/>
  <c r="E170" i="25" s="1"/>
  <c r="H170" i="25"/>
  <c r="D170" i="25" l="1"/>
  <c r="C170" i="25"/>
  <c r="Y170" i="25"/>
  <c r="B171" i="25"/>
  <c r="J171" i="25"/>
  <c r="M170" i="25"/>
  <c r="I171" i="25"/>
  <c r="S170" i="25" l="1"/>
  <c r="R170" i="25" s="1"/>
  <c r="Z170" i="25"/>
  <c r="Q170" i="25" l="1"/>
  <c r="P170" i="25" s="1"/>
  <c r="O170" i="25" s="1"/>
  <c r="N170" i="25" s="1"/>
  <c r="G171" i="25" l="1"/>
  <c r="F171" i="25" s="1"/>
  <c r="E171" i="25" s="1"/>
  <c r="H171" i="25"/>
  <c r="Y171" i="25" l="1"/>
  <c r="D171" i="25"/>
  <c r="C171" i="25"/>
  <c r="B172" i="25"/>
  <c r="M171" i="25"/>
  <c r="I172" i="25"/>
  <c r="J172" i="25"/>
  <c r="S171" i="25" l="1"/>
  <c r="R171" i="25" s="1"/>
  <c r="Z171" i="25"/>
  <c r="Q171" i="25" l="1"/>
  <c r="P171" i="25" s="1"/>
  <c r="O171" i="25" s="1"/>
  <c r="N171" i="25" s="1"/>
  <c r="G172" i="25" l="1"/>
  <c r="F172" i="25" s="1"/>
  <c r="E172" i="25" s="1"/>
  <c r="H172" i="25"/>
  <c r="D172" i="25" l="1"/>
  <c r="C172" i="25"/>
  <c r="Y172" i="25"/>
  <c r="B173" i="25"/>
  <c r="M172" i="25"/>
  <c r="I173" i="25"/>
  <c r="J173" i="25"/>
  <c r="Z172" i="25" l="1"/>
  <c r="S172" i="25"/>
  <c r="R172" i="25" s="1"/>
  <c r="Q172" i="25" s="1"/>
  <c r="P172" i="25" s="1"/>
  <c r="O172" i="25" s="1"/>
  <c r="N172" i="25" s="1"/>
  <c r="H173" i="25" s="1"/>
  <c r="G173" i="25" l="1"/>
  <c r="F173" i="25" s="1"/>
  <c r="E173" i="25" s="1"/>
  <c r="Y173" i="25" l="1"/>
  <c r="C173" i="25"/>
  <c r="D173" i="25"/>
  <c r="B174" i="25"/>
  <c r="M173" i="25"/>
  <c r="J174" i="25"/>
  <c r="I174" i="25"/>
  <c r="S173" i="25" l="1"/>
  <c r="R173" i="25" s="1"/>
  <c r="Z173" i="25"/>
  <c r="Q173" i="25" l="1"/>
  <c r="P173" i="25" s="1"/>
  <c r="O173" i="25" s="1"/>
  <c r="N173" i="25" s="1"/>
  <c r="H174" i="25" l="1"/>
  <c r="G174" i="25"/>
  <c r="F174" i="25" s="1"/>
  <c r="E174" i="25" s="1"/>
  <c r="C174" i="25" l="1"/>
  <c r="D174" i="25"/>
  <c r="Y174" i="25"/>
  <c r="B175" i="25"/>
  <c r="J175" i="25"/>
  <c r="M174" i="25"/>
  <c r="I175" i="25"/>
  <c r="S174" i="25" l="1"/>
  <c r="Z174" i="25"/>
  <c r="R174" i="25" l="1"/>
  <c r="Q174" i="25" s="1"/>
  <c r="P174" i="25" s="1"/>
  <c r="O174" i="25" s="1"/>
  <c r="N174" i="25" s="1"/>
  <c r="G175" i="25" l="1"/>
  <c r="F175" i="25" s="1"/>
  <c r="E175" i="25" s="1"/>
  <c r="H175" i="25"/>
  <c r="Y175" i="25" l="1"/>
  <c r="D175" i="25"/>
  <c r="C175" i="25"/>
  <c r="B176" i="25"/>
  <c r="J176" i="25"/>
  <c r="M175" i="25"/>
  <c r="I176" i="25"/>
  <c r="S175" i="25" l="1"/>
  <c r="Z175" i="25"/>
  <c r="R175" i="25" l="1"/>
  <c r="Q175" i="25" s="1"/>
  <c r="P175" i="25" s="1"/>
  <c r="O175" i="25" s="1"/>
  <c r="N175" i="25" s="1"/>
  <c r="G176" i="25" l="1"/>
  <c r="F176" i="25" s="1"/>
  <c r="E176" i="25" s="1"/>
  <c r="H176" i="25"/>
  <c r="D176" i="25" l="1"/>
  <c r="Y176" i="25"/>
  <c r="C176" i="25"/>
  <c r="B177" i="25"/>
  <c r="J177" i="25"/>
  <c r="I177" i="25"/>
  <c r="M176" i="25"/>
  <c r="Z176" i="25" l="1"/>
  <c r="S176" i="25"/>
  <c r="R176" i="25" s="1"/>
  <c r="Q176" i="25" l="1"/>
  <c r="P176" i="25" s="1"/>
  <c r="O176" i="25" s="1"/>
  <c r="N176" i="25" s="1"/>
  <c r="G177" i="25" l="1"/>
  <c r="F177" i="25" s="1"/>
  <c r="E177" i="25" s="1"/>
  <c r="H177" i="25"/>
  <c r="C177" i="25" l="1"/>
  <c r="D177" i="25"/>
  <c r="Y177" i="25"/>
  <c r="B178" i="25"/>
  <c r="J178" i="25"/>
  <c r="M177" i="25"/>
  <c r="I178" i="25"/>
  <c r="S177" i="25" l="1"/>
  <c r="R177" i="25" s="1"/>
  <c r="Z177" i="25"/>
  <c r="Q177" i="25" l="1"/>
  <c r="P177" i="25" s="1"/>
  <c r="O177" i="25" s="1"/>
  <c r="N177" i="25" s="1"/>
  <c r="H178" i="25" l="1"/>
  <c r="G178" i="25"/>
  <c r="F178" i="25" s="1"/>
  <c r="E178" i="25" s="1"/>
  <c r="Y178" i="25" l="1"/>
  <c r="D178" i="25"/>
  <c r="C178" i="25"/>
  <c r="B179" i="25"/>
  <c r="J179" i="25"/>
  <c r="I179" i="25"/>
  <c r="M178" i="25"/>
  <c r="Z178" i="25" l="1"/>
  <c r="S178" i="25"/>
  <c r="R178" i="25" s="1"/>
  <c r="Q178" i="25" l="1"/>
  <c r="P178" i="25" s="1"/>
  <c r="O178" i="25" s="1"/>
  <c r="N178" i="25" s="1"/>
  <c r="G179" i="25" l="1"/>
  <c r="F179" i="25" s="1"/>
  <c r="E179" i="25" s="1"/>
  <c r="H179" i="25"/>
  <c r="D179" i="25" l="1"/>
  <c r="Y179" i="25"/>
  <c r="C179" i="25"/>
  <c r="B180" i="25"/>
  <c r="J180" i="25"/>
  <c r="M179" i="25"/>
  <c r="I180" i="25"/>
  <c r="S179" i="25" l="1"/>
  <c r="R179" i="25" s="1"/>
  <c r="Z179" i="25"/>
  <c r="Q179" i="25" l="1"/>
  <c r="P179" i="25" s="1"/>
  <c r="O179" i="25" s="1"/>
  <c r="N179" i="25" s="1"/>
  <c r="G180" i="25" l="1"/>
  <c r="F180" i="25" s="1"/>
  <c r="E180" i="25" s="1"/>
  <c r="H180" i="25"/>
  <c r="C180" i="25" l="1"/>
  <c r="D180" i="25"/>
  <c r="Y180" i="25"/>
  <c r="B181" i="25"/>
  <c r="I181" i="25"/>
  <c r="J181" i="25"/>
  <c r="M180" i="25"/>
  <c r="S180" i="25" l="1"/>
  <c r="R180" i="25" s="1"/>
  <c r="Z180" i="25"/>
  <c r="Q180" i="25" l="1"/>
  <c r="P180" i="25" s="1"/>
  <c r="O180" i="25" s="1"/>
  <c r="N180" i="25" s="1"/>
  <c r="H181" i="25" l="1"/>
  <c r="G181" i="25"/>
  <c r="F181" i="25" s="1"/>
  <c r="E181" i="25" s="1"/>
  <c r="Y181" i="25" l="1"/>
  <c r="D181" i="25"/>
  <c r="C181" i="25"/>
  <c r="B182" i="25"/>
  <c r="J182" i="25"/>
  <c r="M181" i="25"/>
  <c r="I182" i="25"/>
  <c r="S181" i="25" l="1"/>
  <c r="R181" i="25" s="1"/>
  <c r="Z181" i="25"/>
  <c r="Q181" i="25" l="1"/>
  <c r="P181" i="25" s="1"/>
  <c r="O181" i="25" s="1"/>
  <c r="N181" i="25" s="1"/>
  <c r="G182" i="25" l="1"/>
  <c r="F182" i="25" s="1"/>
  <c r="E182" i="25" s="1"/>
  <c r="H182" i="25"/>
  <c r="Y182" i="25" l="1"/>
  <c r="D182" i="25"/>
  <c r="C182" i="25"/>
  <c r="B183" i="25"/>
  <c r="I183" i="25"/>
  <c r="J183" i="25"/>
  <c r="M182" i="25"/>
  <c r="Z182" i="25" l="1"/>
  <c r="S182" i="25"/>
  <c r="R182" i="25" l="1"/>
  <c r="Q182" i="25" s="1"/>
  <c r="P182" i="25" s="1"/>
  <c r="O182" i="25" s="1"/>
  <c r="N182" i="25" s="1"/>
  <c r="H183" i="25" l="1"/>
  <c r="G183" i="25"/>
  <c r="F183" i="25" s="1"/>
  <c r="E183" i="25" s="1"/>
  <c r="I184" i="25" l="1"/>
  <c r="C183" i="25"/>
  <c r="Y183" i="25"/>
  <c r="D183" i="25"/>
  <c r="B184" i="25"/>
  <c r="J184" i="25"/>
  <c r="M183" i="25"/>
  <c r="Z183" i="25" l="1"/>
  <c r="S183" i="25"/>
  <c r="R183" i="25" s="1"/>
  <c r="Q183" i="25" s="1"/>
  <c r="P183" i="25" s="1"/>
  <c r="O183" i="25" s="1"/>
  <c r="N183" i="25" s="1"/>
  <c r="H184" i="25" l="1"/>
  <c r="G184" i="25"/>
  <c r="F184" i="25" s="1"/>
  <c r="E184" i="25" s="1"/>
  <c r="D184" i="25" l="1"/>
  <c r="C184" i="25"/>
  <c r="Y184" i="25"/>
  <c r="B185" i="25"/>
  <c r="M184" i="25"/>
  <c r="I185" i="25"/>
  <c r="J185" i="25"/>
  <c r="Z184" i="25" l="1"/>
  <c r="S184" i="25"/>
  <c r="R184" i="25" s="1"/>
  <c r="Q184" i="25" l="1"/>
  <c r="P184" i="25" s="1"/>
  <c r="O184" i="25" s="1"/>
  <c r="N184" i="25" s="1"/>
  <c r="H185" i="25" l="1"/>
  <c r="G185" i="25"/>
  <c r="F185" i="25" s="1"/>
  <c r="E185" i="25" s="1"/>
  <c r="C185" i="25" l="1"/>
  <c r="D185" i="25"/>
  <c r="Y185" i="25"/>
  <c r="B186" i="25"/>
  <c r="J186" i="25"/>
  <c r="I186" i="25"/>
  <c r="M185" i="25"/>
  <c r="Z185" i="25" l="1"/>
  <c r="S185" i="25"/>
  <c r="R185" i="25" s="1"/>
  <c r="Q185" i="25" l="1"/>
  <c r="P185" i="25" s="1"/>
  <c r="O185" i="25" s="1"/>
  <c r="N185" i="25" s="1"/>
  <c r="H186" i="25" l="1"/>
  <c r="G186" i="25"/>
  <c r="F186" i="25" s="1"/>
  <c r="E186" i="25" s="1"/>
  <c r="Y186" i="25" l="1"/>
  <c r="C186" i="25"/>
  <c r="D186" i="25"/>
  <c r="B187" i="25"/>
  <c r="J187" i="25"/>
  <c r="I187" i="25"/>
  <c r="M186" i="25"/>
  <c r="Z186" i="25" l="1"/>
  <c r="S186" i="25"/>
  <c r="R186" i="25" l="1"/>
  <c r="Q186" i="25" s="1"/>
  <c r="P186" i="25" s="1"/>
  <c r="O186" i="25" s="1"/>
  <c r="N186" i="25" s="1"/>
  <c r="H187" i="25" l="1"/>
  <c r="G187" i="25"/>
  <c r="F187" i="25" s="1"/>
  <c r="E187" i="25" s="1"/>
  <c r="C187" i="25" l="1"/>
  <c r="Y187" i="25"/>
  <c r="D187" i="25"/>
  <c r="B188" i="25"/>
  <c r="I188" i="25"/>
  <c r="J188" i="25"/>
  <c r="M187" i="25"/>
  <c r="Z187" i="25" l="1"/>
  <c r="S187" i="25"/>
  <c r="R187" i="25" l="1"/>
  <c r="Q187" i="25" s="1"/>
  <c r="P187" i="25" s="1"/>
  <c r="O187" i="25" s="1"/>
  <c r="N187" i="25" s="1"/>
  <c r="G188" i="25" l="1"/>
  <c r="F188" i="25" s="1"/>
  <c r="E188" i="25" s="1"/>
  <c r="H188" i="25"/>
  <c r="D188" i="25" l="1"/>
  <c r="C188" i="25"/>
  <c r="Y188" i="25"/>
  <c r="B189" i="25"/>
  <c r="I189" i="25"/>
  <c r="J189" i="25"/>
  <c r="M188" i="25"/>
  <c r="Z188" i="25" l="1"/>
  <c r="S188" i="25"/>
  <c r="R188" i="25" l="1"/>
  <c r="Q188" i="25" s="1"/>
  <c r="P188" i="25" s="1"/>
  <c r="O188" i="25" s="1"/>
  <c r="N188" i="25" s="1"/>
  <c r="H189" i="25" l="1"/>
  <c r="G189" i="25"/>
  <c r="F189" i="25" s="1"/>
  <c r="E189" i="25" s="1"/>
  <c r="Y189" i="25" l="1"/>
  <c r="C189" i="25"/>
  <c r="D189" i="25"/>
  <c r="B190" i="25"/>
  <c r="I190" i="25"/>
  <c r="M189" i="25"/>
  <c r="J190" i="25"/>
  <c r="S189" i="25" l="1"/>
  <c r="R189" i="25" s="1"/>
  <c r="Z189" i="25"/>
  <c r="Q189" i="25" l="1"/>
  <c r="P189" i="25" s="1"/>
  <c r="O189" i="25" s="1"/>
  <c r="N189" i="25" s="1"/>
  <c r="H190" i="25" l="1"/>
  <c r="G190" i="25"/>
  <c r="F190" i="25" s="1"/>
  <c r="E190" i="25" s="1"/>
  <c r="Y190" i="25" l="1"/>
  <c r="C190" i="25"/>
  <c r="D190" i="25"/>
  <c r="B191" i="25"/>
  <c r="I191" i="25"/>
  <c r="J191" i="25"/>
  <c r="M190" i="25"/>
  <c r="Z190" i="25" l="1"/>
  <c r="S190" i="25"/>
  <c r="R190" i="25" l="1"/>
  <c r="Q190" i="25" s="1"/>
  <c r="P190" i="25" s="1"/>
  <c r="O190" i="25" s="1"/>
  <c r="N190" i="25" s="1"/>
  <c r="H191" i="25" l="1"/>
  <c r="G191" i="25"/>
  <c r="F191" i="25" s="1"/>
  <c r="E191" i="25" s="1"/>
  <c r="Y191" i="25" l="1"/>
  <c r="C191" i="25"/>
  <c r="D191" i="25"/>
  <c r="B192" i="25"/>
  <c r="I192" i="25"/>
  <c r="M191" i="25"/>
  <c r="J192" i="25"/>
  <c r="S191" i="25" l="1"/>
  <c r="R191" i="25" s="1"/>
  <c r="Z191" i="25"/>
  <c r="Q191" i="25" l="1"/>
  <c r="P191" i="25" s="1"/>
  <c r="O191" i="25" s="1"/>
  <c r="N191" i="25" s="1"/>
  <c r="G192" i="25" l="1"/>
  <c r="F192" i="25" s="1"/>
  <c r="E192" i="25" s="1"/>
  <c r="H192" i="25"/>
  <c r="C192" i="25" l="1"/>
  <c r="Y192" i="25"/>
  <c r="D192" i="25"/>
  <c r="B193" i="25"/>
  <c r="I193" i="25"/>
  <c r="J193" i="25"/>
  <c r="M192" i="25"/>
  <c r="S192" i="25" l="1"/>
  <c r="R192" i="25" s="1"/>
  <c r="Z192" i="25"/>
  <c r="Q192" i="25" l="1"/>
  <c r="P192" i="25" s="1"/>
  <c r="O192" i="25" s="1"/>
  <c r="N192" i="25" s="1"/>
  <c r="H193" i="25" l="1"/>
  <c r="G193" i="25"/>
  <c r="F193" i="25" s="1"/>
  <c r="E193" i="25" s="1"/>
  <c r="D193" i="25" l="1"/>
  <c r="C193" i="25"/>
  <c r="Y193" i="25"/>
  <c r="B194" i="25"/>
  <c r="M193" i="25"/>
  <c r="I194" i="25"/>
  <c r="J194" i="25"/>
  <c r="Z193" i="25" l="1"/>
  <c r="S193" i="25"/>
  <c r="R193" i="25" l="1"/>
  <c r="Q193" i="25" s="1"/>
  <c r="P193" i="25" s="1"/>
  <c r="O193" i="25" s="1"/>
  <c r="N193" i="25" s="1"/>
  <c r="G194" i="25" l="1"/>
  <c r="F194" i="25" s="1"/>
  <c r="E194" i="25" s="1"/>
  <c r="H194" i="25"/>
  <c r="C194" i="25" l="1"/>
  <c r="D194" i="25"/>
  <c r="Y194" i="25"/>
  <c r="B195" i="25"/>
  <c r="M194" i="25"/>
  <c r="J195" i="25"/>
  <c r="I195" i="25"/>
  <c r="Z194" i="25" l="1"/>
  <c r="S194" i="25"/>
  <c r="R194" i="25" l="1"/>
  <c r="Q194" i="25" s="1"/>
  <c r="P194" i="25" s="1"/>
  <c r="O194" i="25" s="1"/>
  <c r="N194" i="25" s="1"/>
  <c r="H195" i="25" l="1"/>
  <c r="G195" i="25"/>
  <c r="F195" i="25" s="1"/>
  <c r="E195" i="25" s="1"/>
  <c r="Y195" i="25" l="1"/>
  <c r="D195" i="25"/>
  <c r="C195" i="25"/>
  <c r="B196" i="25"/>
  <c r="I196" i="25"/>
  <c r="J196" i="25"/>
  <c r="M195" i="25"/>
  <c r="Z195" i="25" l="1"/>
  <c r="S195" i="25"/>
  <c r="R195" i="25" l="1"/>
  <c r="Q195" i="25" s="1"/>
  <c r="P195" i="25" s="1"/>
  <c r="O195" i="25" s="1"/>
  <c r="N195" i="25" s="1"/>
  <c r="G196" i="25" l="1"/>
  <c r="F196" i="25" s="1"/>
  <c r="E196" i="25" s="1"/>
  <c r="H196" i="25"/>
  <c r="D196" i="25" l="1"/>
  <c r="C196" i="25"/>
  <c r="Y196" i="25"/>
  <c r="B197" i="25"/>
  <c r="I197" i="25"/>
  <c r="M196" i="25"/>
  <c r="J197" i="25"/>
  <c r="S196" i="25" l="1"/>
  <c r="R196" i="25" s="1"/>
  <c r="Z196" i="25"/>
  <c r="Q196" i="25" l="1"/>
  <c r="P196" i="25" s="1"/>
  <c r="O196" i="25" s="1"/>
  <c r="N196" i="25" s="1"/>
  <c r="G197" i="25" l="1"/>
  <c r="F197" i="25" s="1"/>
  <c r="E197" i="25" s="1"/>
  <c r="H197" i="25"/>
  <c r="C197" i="25" l="1"/>
  <c r="Y197" i="25"/>
  <c r="D197" i="25"/>
  <c r="B198" i="25"/>
  <c r="I198" i="25"/>
  <c r="J198" i="25"/>
  <c r="M197" i="25"/>
  <c r="S197" i="25" l="1"/>
  <c r="R197" i="25" s="1"/>
  <c r="Z197" i="25"/>
  <c r="Q197" i="25" l="1"/>
  <c r="P197" i="25" s="1"/>
  <c r="O197" i="25" s="1"/>
  <c r="N197" i="25" s="1"/>
  <c r="G198" i="25" l="1"/>
  <c r="F198" i="25" s="1"/>
  <c r="E198" i="25" s="1"/>
  <c r="H198" i="25"/>
  <c r="C198" i="25" l="1"/>
  <c r="D198" i="25"/>
  <c r="Y198" i="25"/>
  <c r="B199" i="25"/>
  <c r="M198" i="25"/>
  <c r="I199" i="25"/>
  <c r="J199" i="25"/>
  <c r="Z198" i="25" l="1"/>
  <c r="S198" i="25"/>
  <c r="R198" i="25" l="1"/>
  <c r="Q198" i="25" s="1"/>
  <c r="P198" i="25" s="1"/>
  <c r="O198" i="25" s="1"/>
  <c r="N198" i="25" s="1"/>
  <c r="H199" i="25" l="1"/>
  <c r="G199" i="25"/>
  <c r="F199" i="25" s="1"/>
  <c r="E199" i="25" s="1"/>
  <c r="C199" i="25" l="1"/>
  <c r="Y199" i="25"/>
  <c r="D199" i="25"/>
  <c r="B200" i="25"/>
  <c r="M199" i="25"/>
  <c r="I200" i="25"/>
  <c r="J200" i="25"/>
  <c r="Z199" i="25" l="1"/>
  <c r="S199" i="25"/>
  <c r="R199" i="25" l="1"/>
  <c r="Q199" i="25" s="1"/>
  <c r="P199" i="25" s="1"/>
  <c r="O199" i="25" s="1"/>
  <c r="N199" i="25" s="1"/>
  <c r="H200" i="25" l="1"/>
  <c r="G200" i="25"/>
  <c r="F200" i="25" s="1"/>
  <c r="E200" i="25" s="1"/>
  <c r="C200" i="25" l="1"/>
  <c r="D200" i="25"/>
  <c r="Y200" i="25"/>
  <c r="B201" i="25"/>
  <c r="J201" i="25"/>
  <c r="M200" i="25"/>
  <c r="I201" i="25"/>
  <c r="S200" i="25" l="1"/>
  <c r="Z200" i="25"/>
  <c r="R200" i="25" l="1"/>
  <c r="Q200" i="25" s="1"/>
  <c r="P200" i="25" s="1"/>
  <c r="O200" i="25" s="1"/>
  <c r="N200" i="25" s="1"/>
  <c r="H201" i="25" l="1"/>
  <c r="G201" i="25"/>
  <c r="F201" i="25" s="1"/>
  <c r="E201" i="25" s="1"/>
  <c r="D201" i="25" l="1"/>
  <c r="Y201" i="25"/>
  <c r="C201" i="25"/>
  <c r="B202" i="25"/>
  <c r="J202" i="25"/>
  <c r="M201" i="25"/>
  <c r="I202" i="25"/>
  <c r="S201" i="25" l="1"/>
  <c r="Z201" i="25"/>
  <c r="R201" i="25" l="1"/>
  <c r="Q201" i="25" s="1"/>
  <c r="P201" i="25" s="1"/>
  <c r="O201" i="25" s="1"/>
  <c r="N201" i="25" s="1"/>
  <c r="G202" i="25" l="1"/>
  <c r="F202" i="25" s="1"/>
  <c r="E202" i="25" s="1"/>
  <c r="H202" i="25"/>
  <c r="C202" i="25" l="1"/>
  <c r="D202" i="25"/>
  <c r="Y202" i="25"/>
  <c r="B203" i="25"/>
  <c r="J203" i="25"/>
  <c r="M202" i="25"/>
  <c r="I203" i="25"/>
  <c r="S202" i="25" l="1"/>
  <c r="R202" i="25" s="1"/>
  <c r="Z202" i="25"/>
  <c r="Q202" i="25" l="1"/>
  <c r="P202" i="25" s="1"/>
  <c r="O202" i="25" s="1"/>
  <c r="N202" i="25" s="1"/>
  <c r="G203" i="25" l="1"/>
  <c r="F203" i="25" s="1"/>
  <c r="E203" i="25" s="1"/>
  <c r="H203" i="25"/>
  <c r="D203" i="25" l="1"/>
  <c r="Y203" i="25"/>
  <c r="C203" i="25"/>
  <c r="B204" i="25"/>
  <c r="M203" i="25"/>
  <c r="I204" i="25"/>
  <c r="J204" i="25"/>
  <c r="Z203" i="25" l="1"/>
  <c r="S203" i="25"/>
  <c r="R203" i="25" l="1"/>
  <c r="Q203" i="25" s="1"/>
  <c r="P203" i="25" s="1"/>
  <c r="O203" i="25" s="1"/>
  <c r="N203" i="25" s="1"/>
  <c r="G204" i="25" l="1"/>
  <c r="F204" i="25" s="1"/>
  <c r="E204" i="25" s="1"/>
  <c r="H204" i="25"/>
  <c r="D204" i="25" l="1"/>
  <c r="Y204" i="25"/>
  <c r="C204" i="25"/>
  <c r="B205" i="25"/>
  <c r="I205" i="25"/>
  <c r="J205" i="25"/>
  <c r="M204" i="25"/>
  <c r="S204" i="25" l="1"/>
  <c r="R204" i="25" s="1"/>
  <c r="Z204" i="25"/>
  <c r="Q204" i="25" l="1"/>
  <c r="P204" i="25" s="1"/>
  <c r="O204" i="25" s="1"/>
  <c r="N204" i="25" s="1"/>
  <c r="G205" i="25" l="1"/>
  <c r="F205" i="25" s="1"/>
  <c r="E205" i="25" s="1"/>
  <c r="H205" i="25"/>
  <c r="D205" i="25" l="1"/>
  <c r="C205" i="25"/>
  <c r="Y205" i="25"/>
  <c r="B206" i="25"/>
  <c r="M205" i="25"/>
  <c r="I206" i="25"/>
  <c r="J206" i="25"/>
  <c r="Z205" i="25" l="1"/>
  <c r="S205" i="25"/>
  <c r="R205" i="25" l="1"/>
  <c r="Q205" i="25" s="1"/>
  <c r="P205" i="25" s="1"/>
  <c r="O205" i="25" s="1"/>
  <c r="N205" i="25" s="1"/>
  <c r="G206" i="25" l="1"/>
  <c r="F206" i="25" s="1"/>
  <c r="E206" i="25" s="1"/>
  <c r="H206" i="25"/>
  <c r="Y206" i="25" l="1"/>
  <c r="C206" i="25"/>
  <c r="D206" i="25"/>
  <c r="B207" i="25"/>
  <c r="M206" i="25"/>
  <c r="J207" i="25"/>
  <c r="I207" i="25"/>
  <c r="Z206" i="25" l="1"/>
  <c r="S206" i="25"/>
  <c r="R206" i="25" s="1"/>
  <c r="Q206" i="25" s="1"/>
  <c r="P206" i="25" s="1"/>
  <c r="O206" i="25" s="1"/>
  <c r="N206" i="25" s="1"/>
  <c r="H207" i="25" l="1"/>
  <c r="G207" i="25"/>
  <c r="F207" i="25" s="1"/>
  <c r="E207" i="25" s="1"/>
  <c r="D207" i="25" l="1"/>
  <c r="Y207" i="25"/>
  <c r="C207" i="25"/>
  <c r="B208" i="25"/>
  <c r="I208" i="25"/>
  <c r="M207" i="25"/>
  <c r="J208" i="25"/>
  <c r="S207" i="25" l="1"/>
  <c r="R207" i="25" s="1"/>
  <c r="Z207" i="25"/>
  <c r="Q207" i="25" l="1"/>
  <c r="P207" i="25" s="1"/>
  <c r="O207" i="25" s="1"/>
  <c r="N207" i="25" s="1"/>
  <c r="G208" i="25" l="1"/>
  <c r="F208" i="25" s="1"/>
  <c r="E208" i="25" s="1"/>
  <c r="H208" i="25"/>
  <c r="Y208" i="25" l="1"/>
  <c r="D208" i="25"/>
  <c r="C208" i="25"/>
  <c r="B209" i="25"/>
  <c r="I209" i="25"/>
  <c r="J209" i="25"/>
  <c r="M208" i="25"/>
  <c r="S208" i="25" l="1"/>
  <c r="R208" i="25" s="1"/>
  <c r="Z208" i="25"/>
  <c r="Q208" i="25" l="1"/>
  <c r="P208" i="25" s="1"/>
  <c r="O208" i="25" s="1"/>
  <c r="N208" i="25" s="1"/>
  <c r="G209" i="25" l="1"/>
  <c r="F209" i="25" s="1"/>
  <c r="E209" i="25" s="1"/>
  <c r="H209" i="25"/>
  <c r="Y209" i="25" l="1"/>
  <c r="D209" i="25"/>
  <c r="C209" i="25"/>
  <c r="B210" i="25"/>
  <c r="M209" i="25"/>
  <c r="I210" i="25"/>
  <c r="J210" i="25"/>
  <c r="Z209" i="25" l="1"/>
  <c r="S209" i="25"/>
  <c r="R209" i="25" l="1"/>
  <c r="Q209" i="25" s="1"/>
  <c r="P209" i="25" s="1"/>
  <c r="O209" i="25" s="1"/>
  <c r="N209" i="25" s="1"/>
  <c r="G210" i="25" l="1"/>
  <c r="F210" i="25" s="1"/>
  <c r="E210" i="25" s="1"/>
  <c r="H210" i="25"/>
  <c r="D210" i="25" l="1"/>
  <c r="Y210" i="25"/>
  <c r="C210" i="25"/>
  <c r="B211" i="25"/>
  <c r="J211" i="25"/>
  <c r="M210" i="25"/>
  <c r="I211" i="25"/>
  <c r="S210" i="25" l="1"/>
  <c r="R210" i="25" s="1"/>
  <c r="Z210" i="25"/>
  <c r="Q210" i="25" l="1"/>
  <c r="P210" i="25" s="1"/>
  <c r="O210" i="25" s="1"/>
  <c r="N210" i="25" s="1"/>
  <c r="G211" i="25" l="1"/>
  <c r="F211" i="25" s="1"/>
  <c r="E211" i="25" s="1"/>
  <c r="H211" i="25"/>
  <c r="C211" i="25" l="1"/>
  <c r="D211" i="25"/>
  <c r="Y211" i="25"/>
  <c r="B212" i="25"/>
  <c r="M211" i="25"/>
  <c r="J212" i="25"/>
  <c r="I212" i="25"/>
  <c r="Z211" i="25" l="1"/>
  <c r="S211" i="25"/>
  <c r="R211" i="25" l="1"/>
  <c r="Q211" i="25" s="1"/>
  <c r="P211" i="25" s="1"/>
  <c r="O211" i="25" s="1"/>
  <c r="N211" i="25" s="1"/>
  <c r="G212" i="25" l="1"/>
  <c r="F212" i="25" s="1"/>
  <c r="E212" i="25" s="1"/>
  <c r="H212" i="25"/>
  <c r="C212" i="25" l="1"/>
  <c r="Y212" i="25"/>
  <c r="D212" i="25"/>
  <c r="B213" i="25"/>
  <c r="I213" i="25"/>
  <c r="J213" i="25"/>
  <c r="M212" i="25"/>
  <c r="S212" i="25" l="1"/>
  <c r="R212" i="25" s="1"/>
  <c r="Z212" i="25"/>
  <c r="Q212" i="25" l="1"/>
  <c r="P212" i="25" s="1"/>
  <c r="O212" i="25" s="1"/>
  <c r="N212" i="25" s="1"/>
  <c r="G213" i="25" l="1"/>
  <c r="F213" i="25" s="1"/>
  <c r="E213" i="25" s="1"/>
  <c r="H213" i="25"/>
  <c r="Y213" i="25" l="1"/>
  <c r="C213" i="25"/>
  <c r="D213" i="25"/>
  <c r="B214" i="25"/>
  <c r="M213" i="25"/>
  <c r="I214" i="25"/>
  <c r="J214" i="25"/>
  <c r="Z213" i="25" l="1"/>
  <c r="S213" i="25"/>
  <c r="R213" i="25" l="1"/>
  <c r="Q213" i="25" s="1"/>
  <c r="P213" i="25" s="1"/>
  <c r="O213" i="25" s="1"/>
  <c r="N213" i="25" s="1"/>
  <c r="G214" i="25" l="1"/>
  <c r="F214" i="25" s="1"/>
  <c r="E214" i="25" s="1"/>
  <c r="H214" i="25"/>
  <c r="Y214" i="25" l="1"/>
  <c r="D214" i="25"/>
  <c r="C214" i="25"/>
  <c r="B215" i="25"/>
  <c r="J215" i="25"/>
  <c r="M214" i="25"/>
  <c r="I215" i="25"/>
  <c r="S214" i="25" l="1"/>
  <c r="Z214" i="25"/>
  <c r="R214" i="25" l="1"/>
  <c r="Q214" i="25" s="1"/>
  <c r="P214" i="25" s="1"/>
  <c r="O214" i="25" s="1"/>
  <c r="N214" i="25" s="1"/>
  <c r="G215" i="25" l="1"/>
  <c r="F215" i="25" s="1"/>
  <c r="E215" i="25" s="1"/>
  <c r="H215" i="25"/>
  <c r="C215" i="25" l="1"/>
  <c r="Y215" i="25"/>
  <c r="D215" i="25"/>
  <c r="B216" i="25"/>
  <c r="J216" i="25"/>
  <c r="I216" i="25"/>
  <c r="M215" i="25"/>
  <c r="Z215" i="25" l="1"/>
  <c r="S215" i="25"/>
  <c r="R215" i="25" s="1"/>
  <c r="Q215" i="25" l="1"/>
  <c r="P215" i="25" s="1"/>
  <c r="O215" i="25" s="1"/>
  <c r="N215" i="25" s="1"/>
  <c r="G216" i="25" l="1"/>
  <c r="F216" i="25" s="1"/>
  <c r="E216" i="25" s="1"/>
  <c r="H216" i="25"/>
  <c r="D216" i="25" l="1"/>
  <c r="Y216" i="25"/>
  <c r="C216" i="25"/>
  <c r="B217" i="25"/>
  <c r="M216" i="25"/>
  <c r="I217" i="25"/>
  <c r="J217" i="25"/>
  <c r="Z216" i="25" l="1"/>
  <c r="S216" i="25"/>
  <c r="R216" i="25" l="1"/>
  <c r="Q216" i="25" s="1"/>
  <c r="P216" i="25" s="1"/>
  <c r="O216" i="25" s="1"/>
  <c r="N216" i="25" s="1"/>
  <c r="G217" i="25" l="1"/>
  <c r="F217" i="25" s="1"/>
  <c r="E217" i="25" s="1"/>
  <c r="H217" i="25"/>
  <c r="C217" i="25" l="1"/>
  <c r="Y217" i="25"/>
  <c r="D217" i="25"/>
  <c r="B218" i="25"/>
  <c r="J218" i="25"/>
  <c r="I218" i="25"/>
  <c r="M217" i="25"/>
  <c r="Z217" i="25" l="1"/>
  <c r="S217" i="25"/>
  <c r="R217" i="25" s="1"/>
  <c r="Q217" i="25" l="1"/>
  <c r="P217" i="25" s="1"/>
  <c r="O217" i="25" s="1"/>
  <c r="N217" i="25" s="1"/>
  <c r="G218" i="25" l="1"/>
  <c r="F218" i="25" s="1"/>
  <c r="E218" i="25" s="1"/>
  <c r="H218" i="25"/>
  <c r="C218" i="25" l="1"/>
  <c r="D218" i="25"/>
  <c r="Y218" i="25"/>
  <c r="B219" i="25"/>
  <c r="M218" i="25"/>
  <c r="J219" i="25"/>
  <c r="I219" i="25"/>
  <c r="Z218" i="25" l="1"/>
  <c r="S218" i="25"/>
  <c r="R218" i="25" l="1"/>
  <c r="Q218" i="25" s="1"/>
  <c r="P218" i="25" s="1"/>
  <c r="O218" i="25" s="1"/>
  <c r="N218" i="25" s="1"/>
  <c r="G219" i="25" l="1"/>
  <c r="F219" i="25" s="1"/>
  <c r="E219" i="25" s="1"/>
  <c r="H219" i="25"/>
  <c r="Y219" i="25" l="1"/>
  <c r="D219" i="25"/>
  <c r="C219" i="25"/>
  <c r="B220" i="25"/>
  <c r="I220" i="25"/>
  <c r="M219" i="25"/>
  <c r="J220" i="25"/>
  <c r="S219" i="25" l="1"/>
  <c r="R219" i="25" s="1"/>
  <c r="Q219" i="25" s="1"/>
  <c r="P219" i="25" s="1"/>
  <c r="O219" i="25" s="1"/>
  <c r="N219" i="25" s="1"/>
  <c r="H220" i="25" s="1"/>
  <c r="Z219" i="25"/>
  <c r="G220" i="25" l="1"/>
  <c r="F220" i="25" s="1"/>
  <c r="E220" i="25" s="1"/>
  <c r="D220" i="25" l="1"/>
  <c r="Y220" i="25"/>
  <c r="C220" i="25"/>
  <c r="B221" i="25"/>
  <c r="J221" i="25"/>
  <c r="I221" i="25"/>
  <c r="M220" i="25"/>
  <c r="Z220" i="25" l="1"/>
  <c r="S220" i="25"/>
  <c r="R220" i="25" s="1"/>
  <c r="Q220" i="25" l="1"/>
  <c r="P220" i="25" s="1"/>
  <c r="O220" i="25" s="1"/>
  <c r="N220" i="25" s="1"/>
  <c r="G221" i="25" l="1"/>
  <c r="F221" i="25" s="1"/>
  <c r="E221" i="25" s="1"/>
  <c r="H221" i="25"/>
  <c r="D221" i="25" l="1"/>
  <c r="C221" i="25"/>
  <c r="Y221" i="25"/>
  <c r="B222" i="25"/>
  <c r="M221" i="25"/>
  <c r="I222" i="25"/>
  <c r="J222" i="25"/>
  <c r="Z221" i="25" l="1"/>
  <c r="S221" i="25"/>
  <c r="R221" i="25" l="1"/>
  <c r="Q221" i="25" s="1"/>
  <c r="P221" i="25" s="1"/>
  <c r="O221" i="25" s="1"/>
  <c r="N221" i="25" s="1"/>
  <c r="G222" i="25" l="1"/>
  <c r="F222" i="25" s="1"/>
  <c r="E222" i="25" s="1"/>
  <c r="H222" i="25"/>
  <c r="Y222" i="25" l="1"/>
  <c r="C222" i="25"/>
  <c r="D222" i="25"/>
  <c r="B223" i="25"/>
  <c r="M222" i="25"/>
  <c r="I223" i="25"/>
  <c r="J223" i="25"/>
  <c r="Z222" i="25" l="1"/>
  <c r="S222" i="25"/>
  <c r="R222" i="25" l="1"/>
  <c r="Q222" i="25" s="1"/>
  <c r="P222" i="25" s="1"/>
  <c r="O222" i="25" s="1"/>
  <c r="N222" i="25" s="1"/>
  <c r="G223" i="25" l="1"/>
  <c r="F223" i="25" s="1"/>
  <c r="E223" i="25" s="1"/>
  <c r="H223" i="25"/>
  <c r="Y223" i="25" l="1"/>
  <c r="C223" i="25"/>
  <c r="D223" i="25"/>
  <c r="B224" i="25"/>
  <c r="J224" i="25"/>
  <c r="I224" i="25"/>
  <c r="M223" i="25"/>
  <c r="Z223" i="25" l="1"/>
  <c r="S223" i="25"/>
  <c r="R223" i="25" s="1"/>
  <c r="Q223" i="25" l="1"/>
  <c r="P223" i="25" s="1"/>
  <c r="O223" i="25" s="1"/>
  <c r="N223" i="25" s="1"/>
  <c r="G224" i="25" l="1"/>
  <c r="F224" i="25" s="1"/>
  <c r="E224" i="25" s="1"/>
  <c r="H224" i="25"/>
  <c r="D224" i="25" l="1"/>
  <c r="Y224" i="25"/>
  <c r="C224" i="25"/>
  <c r="B225" i="25"/>
  <c r="M224" i="25"/>
  <c r="J225" i="25"/>
  <c r="I225" i="25"/>
  <c r="Z224" i="25" l="1"/>
  <c r="S224" i="25"/>
  <c r="R224" i="25" l="1"/>
  <c r="Q224" i="25" s="1"/>
  <c r="P224" i="25" s="1"/>
  <c r="O224" i="25" s="1"/>
  <c r="N224" i="25" s="1"/>
  <c r="G225" i="25" l="1"/>
  <c r="F225" i="25" s="1"/>
  <c r="E225" i="25" s="1"/>
  <c r="H225" i="25"/>
  <c r="C225" i="25" l="1"/>
  <c r="Y225" i="25"/>
  <c r="D225" i="25"/>
  <c r="B226" i="25"/>
  <c r="I226" i="25"/>
  <c r="M225" i="25"/>
  <c r="J226" i="25"/>
  <c r="S225" i="25" l="1"/>
  <c r="Z225" i="25"/>
  <c r="R225" i="25" l="1"/>
  <c r="Q225" i="25" s="1"/>
  <c r="P225" i="25" s="1"/>
  <c r="O225" i="25" s="1"/>
  <c r="N225" i="25" s="1"/>
  <c r="G226" i="25" l="1"/>
  <c r="F226" i="25" s="1"/>
  <c r="E226" i="25" s="1"/>
  <c r="H226" i="25"/>
  <c r="Y226" i="25" l="1"/>
  <c r="C226" i="25"/>
  <c r="D226" i="25"/>
  <c r="B227" i="25"/>
  <c r="J227" i="25"/>
  <c r="M226" i="25"/>
  <c r="I227" i="25"/>
  <c r="S226" i="25" l="1"/>
  <c r="Z226" i="25"/>
  <c r="R226" i="25" l="1"/>
  <c r="Q226" i="25" s="1"/>
  <c r="P226" i="25" s="1"/>
  <c r="O226" i="25" s="1"/>
  <c r="N226" i="25" s="1"/>
  <c r="G227" i="25" l="1"/>
  <c r="F227" i="25" s="1"/>
  <c r="E227" i="25" s="1"/>
  <c r="H227" i="25"/>
  <c r="C227" i="25" l="1"/>
  <c r="Y227" i="25"/>
  <c r="D227" i="25"/>
  <c r="B228" i="25"/>
  <c r="J228" i="25"/>
  <c r="M227" i="25"/>
  <c r="I228" i="25"/>
  <c r="S227" i="25" l="1"/>
  <c r="Z227" i="25"/>
  <c r="R227" i="25" l="1"/>
  <c r="Q227" i="25" s="1"/>
  <c r="P227" i="25" s="1"/>
  <c r="O227" i="25" s="1"/>
  <c r="N227" i="25" s="1"/>
  <c r="G228" i="25" l="1"/>
  <c r="F228" i="25" s="1"/>
  <c r="E228" i="25" s="1"/>
  <c r="H228" i="25"/>
  <c r="C228" i="25" l="1"/>
  <c r="D228" i="25"/>
  <c r="Y228" i="25"/>
  <c r="B229" i="25"/>
  <c r="J229" i="25"/>
  <c r="M228" i="25"/>
  <c r="I229" i="25"/>
  <c r="S228" i="25" l="1"/>
  <c r="R228" i="25" s="1"/>
  <c r="Q228" i="25" s="1"/>
  <c r="P228" i="25" s="1"/>
  <c r="O228" i="25" s="1"/>
  <c r="N228" i="25" s="1"/>
  <c r="H229" i="25" s="1"/>
  <c r="Z228" i="25"/>
  <c r="G229" i="25" l="1"/>
  <c r="F229" i="25" s="1"/>
  <c r="E229" i="25" s="1"/>
  <c r="D229" i="25" l="1"/>
  <c r="C229" i="25"/>
  <c r="Y229" i="25"/>
  <c r="B230" i="25"/>
  <c r="J230" i="25"/>
  <c r="I230" i="25"/>
  <c r="M229" i="25"/>
  <c r="Z229" i="25" l="1"/>
  <c r="S229" i="25"/>
  <c r="R229" i="25" s="1"/>
  <c r="Q229" i="25" l="1"/>
  <c r="P229" i="25" s="1"/>
  <c r="O229" i="25" s="1"/>
  <c r="N229" i="25" s="1"/>
  <c r="H230" i="25" l="1"/>
  <c r="G230" i="25"/>
  <c r="F230" i="25" s="1"/>
  <c r="E230" i="25" s="1"/>
  <c r="C230" i="25" l="1"/>
  <c r="D230" i="25"/>
  <c r="Y230" i="25"/>
  <c r="B231" i="25"/>
  <c r="J231" i="25"/>
  <c r="I231" i="25"/>
  <c r="M230" i="25"/>
  <c r="Z230" i="25" l="1"/>
  <c r="S230" i="25"/>
  <c r="R230" i="25" s="1"/>
  <c r="Q230" i="25" l="1"/>
  <c r="P230" i="25" s="1"/>
  <c r="O230" i="25" s="1"/>
  <c r="N230" i="25" s="1"/>
  <c r="G231" i="25" l="1"/>
  <c r="F231" i="25" s="1"/>
  <c r="E231" i="25" s="1"/>
  <c r="H231" i="25"/>
  <c r="C231" i="25" l="1"/>
  <c r="Y231" i="25"/>
  <c r="D231" i="25"/>
  <c r="B232" i="25"/>
  <c r="J232" i="25"/>
  <c r="M231" i="25"/>
  <c r="I232" i="25"/>
  <c r="S231" i="25" l="1"/>
  <c r="Z231" i="25"/>
  <c r="R231" i="25" l="1"/>
  <c r="Q231" i="25" s="1"/>
  <c r="P231" i="25" s="1"/>
  <c r="O231" i="25" s="1"/>
  <c r="N231" i="25" s="1"/>
  <c r="G232" i="25" l="1"/>
  <c r="F232" i="25" s="1"/>
  <c r="E232" i="25" s="1"/>
  <c r="H232" i="25"/>
  <c r="D232" i="25" l="1"/>
  <c r="Y232" i="25"/>
  <c r="C232" i="25"/>
  <c r="B233" i="25"/>
  <c r="M232" i="25"/>
  <c r="J233" i="25"/>
  <c r="I233" i="25"/>
  <c r="Z232" i="25" l="1"/>
  <c r="S232" i="25"/>
  <c r="R232" i="25" l="1"/>
  <c r="Q232" i="25" s="1"/>
  <c r="P232" i="25" s="1"/>
  <c r="O232" i="25" s="1"/>
  <c r="N232" i="25" s="1"/>
  <c r="G233" i="25" l="1"/>
  <c r="F233" i="25" s="1"/>
  <c r="E233" i="25" s="1"/>
  <c r="H233" i="25"/>
  <c r="Y233" i="25" l="1"/>
  <c r="D233" i="25"/>
  <c r="C233" i="25"/>
  <c r="B234" i="25"/>
  <c r="I234" i="25"/>
  <c r="J234" i="25"/>
  <c r="M233" i="25"/>
  <c r="S233" i="25" l="1"/>
  <c r="R233" i="25" s="1"/>
  <c r="Z233" i="25"/>
  <c r="Q233" i="25" l="1"/>
  <c r="P233" i="25" s="1"/>
  <c r="O233" i="25" s="1"/>
  <c r="N233" i="25" s="1"/>
  <c r="G234" i="25" l="1"/>
  <c r="F234" i="25" s="1"/>
  <c r="E234" i="25" s="1"/>
  <c r="H234" i="25"/>
  <c r="D234" i="25" l="1"/>
  <c r="C234" i="25"/>
  <c r="Y234" i="25"/>
  <c r="B235" i="25"/>
  <c r="M234" i="25"/>
  <c r="I235" i="25"/>
  <c r="J235" i="25"/>
  <c r="Z234" i="25" l="1"/>
  <c r="S234" i="25"/>
  <c r="R234" i="25" l="1"/>
  <c r="Q234" i="25" s="1"/>
  <c r="P234" i="25" s="1"/>
  <c r="O234" i="25" s="1"/>
  <c r="N234" i="25" s="1"/>
  <c r="G235" i="25" l="1"/>
  <c r="F235" i="25" s="1"/>
  <c r="E235" i="25" s="1"/>
  <c r="H235" i="25"/>
  <c r="Y235" i="25" l="1"/>
  <c r="D235" i="25"/>
  <c r="C235" i="25"/>
  <c r="B236" i="25"/>
  <c r="I236" i="25"/>
  <c r="J236" i="25"/>
  <c r="M235" i="25"/>
  <c r="S235" i="25" l="1"/>
  <c r="R235" i="25" s="1"/>
  <c r="Z235" i="25"/>
  <c r="Q235" i="25" l="1"/>
  <c r="P235" i="25" s="1"/>
  <c r="O235" i="25" s="1"/>
  <c r="N235" i="25" s="1"/>
  <c r="G236" i="25" l="1"/>
  <c r="F236" i="25" s="1"/>
  <c r="E236" i="25" s="1"/>
  <c r="H236" i="25"/>
  <c r="D236" i="25" l="1"/>
  <c r="C236" i="25"/>
  <c r="Y236" i="25"/>
  <c r="B237" i="25"/>
  <c r="M236" i="25"/>
  <c r="I237" i="25"/>
  <c r="J237" i="25"/>
  <c r="Z236" i="25" l="1"/>
  <c r="S236" i="25"/>
  <c r="R236" i="25" l="1"/>
  <c r="Q236" i="25" s="1"/>
  <c r="P236" i="25" s="1"/>
  <c r="O236" i="25" s="1"/>
  <c r="N236" i="25" s="1"/>
  <c r="G237" i="25" l="1"/>
  <c r="F237" i="25" s="1"/>
  <c r="E237" i="25" s="1"/>
  <c r="H237" i="25"/>
  <c r="Y237" i="25" l="1"/>
  <c r="C237" i="25"/>
  <c r="D237" i="25"/>
  <c r="B238" i="25"/>
  <c r="J238" i="25"/>
  <c r="M237" i="25"/>
  <c r="I238" i="25"/>
  <c r="S237" i="25" l="1"/>
  <c r="Z237" i="25"/>
  <c r="R237" i="25" l="1"/>
  <c r="Q237" i="25" s="1"/>
  <c r="P237" i="25" s="1"/>
  <c r="O237" i="25" s="1"/>
  <c r="N237" i="25" s="1"/>
  <c r="G238" i="25" l="1"/>
  <c r="F238" i="25" s="1"/>
  <c r="E238" i="25" s="1"/>
  <c r="H238" i="25"/>
  <c r="D238" i="25" l="1"/>
  <c r="C238" i="25"/>
  <c r="Y238" i="25"/>
  <c r="B239" i="25"/>
  <c r="J239" i="25"/>
  <c r="M238" i="25"/>
  <c r="I239" i="25"/>
  <c r="S238" i="25" l="1"/>
  <c r="R238" i="25" s="1"/>
  <c r="Z238" i="25"/>
  <c r="Q238" i="25" l="1"/>
  <c r="P238" i="25" s="1"/>
  <c r="O238" i="25" s="1"/>
  <c r="N238" i="25" s="1"/>
  <c r="G239" i="25" l="1"/>
  <c r="F239" i="25" s="1"/>
  <c r="E239" i="25" s="1"/>
  <c r="H239" i="25"/>
  <c r="Y239" i="25" l="1"/>
  <c r="C239" i="25"/>
  <c r="D239" i="25"/>
  <c r="B240" i="25"/>
  <c r="I240" i="25"/>
  <c r="M239" i="25"/>
  <c r="J240" i="25"/>
  <c r="S239" i="25" l="1"/>
  <c r="Z239" i="25"/>
  <c r="R239" i="25" l="1"/>
  <c r="Q239" i="25" s="1"/>
  <c r="P239" i="25" s="1"/>
  <c r="O239" i="25" s="1"/>
  <c r="N239" i="25" s="1"/>
  <c r="H240" i="25" l="1"/>
  <c r="G240" i="25"/>
  <c r="F240" i="25" s="1"/>
  <c r="E240" i="25" s="1"/>
  <c r="C240" i="25" l="1"/>
  <c r="Y240" i="25"/>
  <c r="D240" i="25"/>
  <c r="B241" i="25"/>
  <c r="J241" i="25"/>
  <c r="I241" i="25"/>
  <c r="M240" i="25"/>
  <c r="Z240" i="25" l="1"/>
  <c r="S240" i="25"/>
  <c r="R240" i="25" s="1"/>
  <c r="Q240" i="25" l="1"/>
  <c r="P240" i="25" s="1"/>
  <c r="O240" i="25" s="1"/>
  <c r="N240" i="25" s="1"/>
  <c r="G241" i="25" l="1"/>
  <c r="F241" i="25" s="1"/>
  <c r="E241" i="25" s="1"/>
  <c r="H241" i="25"/>
  <c r="D241" i="25" l="1"/>
  <c r="Y241" i="25"/>
  <c r="C241" i="25"/>
  <c r="B242" i="25"/>
  <c r="J242" i="25"/>
  <c r="M241" i="25"/>
  <c r="I242" i="25"/>
  <c r="S241" i="25" l="1"/>
  <c r="R241" i="25" s="1"/>
  <c r="Z241" i="25"/>
  <c r="Q241" i="25" l="1"/>
  <c r="P241" i="25" s="1"/>
  <c r="O241" i="25" s="1"/>
  <c r="N241" i="25" s="1"/>
  <c r="G242" i="25" l="1"/>
  <c r="F242" i="25" s="1"/>
  <c r="E242" i="25" s="1"/>
  <c r="H242" i="25"/>
  <c r="C242" i="25" l="1"/>
  <c r="Y242" i="25"/>
  <c r="D242" i="25"/>
  <c r="B243" i="25"/>
  <c r="I243" i="25"/>
  <c r="J243" i="25"/>
  <c r="M242" i="25"/>
  <c r="Z242" i="25" l="1"/>
  <c r="S242" i="25"/>
  <c r="R242" i="25" l="1"/>
  <c r="Q242" i="25" s="1"/>
  <c r="P242" i="25" s="1"/>
  <c r="O242" i="25" s="1"/>
  <c r="N242" i="25" s="1"/>
  <c r="G243" i="25" l="1"/>
  <c r="F243" i="25" s="1"/>
  <c r="E243" i="25" s="1"/>
  <c r="H243" i="25"/>
  <c r="J244" i="25" l="1"/>
  <c r="C243" i="25"/>
  <c r="D243" i="25"/>
  <c r="Y243" i="25"/>
  <c r="B244" i="25"/>
  <c r="I244" i="25"/>
  <c r="M243" i="25"/>
  <c r="Z243" i="25" l="1"/>
  <c r="S243" i="25"/>
  <c r="R243" i="25" l="1"/>
  <c r="Q243" i="25" s="1"/>
  <c r="P243" i="25" s="1"/>
  <c r="O243" i="25" s="1"/>
  <c r="N243" i="25" s="1"/>
  <c r="H244" i="25" l="1"/>
  <c r="G244" i="25"/>
  <c r="F244" i="25" s="1"/>
  <c r="E244" i="25" s="1"/>
  <c r="D244" i="25" l="1"/>
  <c r="C244" i="25"/>
  <c r="Y244" i="25"/>
  <c r="B245" i="25"/>
  <c r="I245" i="25"/>
  <c r="M244" i="25"/>
  <c r="J245" i="25"/>
  <c r="S244" i="25" l="1"/>
  <c r="R244" i="25" s="1"/>
  <c r="Z244" i="25"/>
  <c r="Q244" i="25" l="1"/>
  <c r="P244" i="25" s="1"/>
  <c r="O244" i="25" s="1"/>
  <c r="N244" i="25" s="1"/>
  <c r="G245" i="25" l="1"/>
  <c r="F245" i="25" s="1"/>
  <c r="E245" i="25" s="1"/>
  <c r="H245" i="25"/>
  <c r="Y245" i="25" l="1"/>
  <c r="C245" i="25"/>
  <c r="D245" i="25"/>
  <c r="B246" i="25"/>
  <c r="M245" i="25"/>
  <c r="I246" i="25"/>
  <c r="J246" i="25"/>
  <c r="Z245" i="25" l="1"/>
  <c r="S245" i="25"/>
  <c r="R245" i="25" l="1"/>
  <c r="Q245" i="25" s="1"/>
  <c r="P245" i="25" s="1"/>
  <c r="O245" i="25" s="1"/>
  <c r="N245" i="25" s="1"/>
  <c r="H246" i="25" l="1"/>
  <c r="G246" i="25"/>
  <c r="F246" i="25" s="1"/>
  <c r="E246" i="25" s="1"/>
  <c r="Y246" i="25" l="1"/>
  <c r="D246" i="25"/>
  <c r="C246" i="25"/>
  <c r="B247" i="25"/>
  <c r="I247" i="25"/>
  <c r="J247" i="25"/>
  <c r="M246" i="25"/>
  <c r="Z246" i="25" l="1"/>
  <c r="S246" i="25"/>
  <c r="R246" i="25" s="1"/>
  <c r="Q246" i="25" s="1"/>
  <c r="P246" i="25" s="1"/>
  <c r="O246" i="25" s="1"/>
  <c r="N246" i="25" s="1"/>
  <c r="G247" i="25" l="1"/>
  <c r="F247" i="25" s="1"/>
  <c r="E247" i="25" s="1"/>
  <c r="H247" i="25"/>
  <c r="Y247" i="25" l="1"/>
  <c r="D247" i="25"/>
  <c r="C247" i="25"/>
  <c r="B248" i="25"/>
  <c r="I248" i="25"/>
  <c r="J248" i="25"/>
  <c r="M247" i="25"/>
  <c r="Z247" i="25" l="1"/>
  <c r="S247" i="25"/>
  <c r="R247" i="25" l="1"/>
  <c r="Q247" i="25" s="1"/>
  <c r="P247" i="25" s="1"/>
  <c r="O247" i="25" s="1"/>
  <c r="N247" i="25" s="1"/>
  <c r="G248" i="25" l="1"/>
  <c r="F248" i="25" s="1"/>
  <c r="E248" i="25" s="1"/>
  <c r="H248" i="25"/>
  <c r="C248" i="25" l="1"/>
  <c r="D248" i="25"/>
  <c r="Y248" i="25"/>
  <c r="B249" i="25"/>
  <c r="I249" i="25"/>
  <c r="J249" i="25"/>
  <c r="M248" i="25"/>
  <c r="S248" i="25" l="1"/>
  <c r="R248" i="25" s="1"/>
  <c r="Q248" i="25" s="1"/>
  <c r="P248" i="25" s="1"/>
  <c r="O248" i="25" s="1"/>
  <c r="N248" i="25" s="1"/>
  <c r="H249" i="25" s="1"/>
  <c r="Z248" i="25"/>
  <c r="G249" i="25" l="1"/>
  <c r="F249" i="25" s="1"/>
  <c r="E249" i="25" s="1"/>
  <c r="Y249" i="25" l="1"/>
  <c r="D249" i="25"/>
  <c r="C249" i="25"/>
  <c r="B250" i="25"/>
  <c r="I250" i="25"/>
  <c r="J250" i="25"/>
  <c r="M249" i="25"/>
  <c r="Z249" i="25" l="1"/>
  <c r="S249" i="25"/>
  <c r="R249" i="25" l="1"/>
  <c r="Q249" i="25" s="1"/>
  <c r="P249" i="25" s="1"/>
  <c r="O249" i="25" s="1"/>
  <c r="N249" i="25" s="1"/>
  <c r="H250" i="25" l="1"/>
  <c r="G250" i="25"/>
  <c r="F250" i="25" s="1"/>
  <c r="E250" i="25" s="1"/>
  <c r="Y250" i="25" l="1"/>
  <c r="C250" i="25"/>
  <c r="D250" i="25"/>
  <c r="B251" i="25"/>
  <c r="J251" i="25"/>
  <c r="I251" i="25"/>
  <c r="M250" i="25"/>
  <c r="Z250" i="25" l="1"/>
  <c r="S250" i="25"/>
  <c r="R250" i="25" s="1"/>
  <c r="Q250" i="25" l="1"/>
  <c r="P250" i="25" s="1"/>
  <c r="O250" i="25" s="1"/>
  <c r="N250" i="25" s="1"/>
  <c r="G251" i="25" l="1"/>
  <c r="F251" i="25" s="1"/>
  <c r="E251" i="25" s="1"/>
  <c r="H251" i="25"/>
  <c r="C251" i="25" l="1"/>
  <c r="D251" i="25"/>
  <c r="Y251" i="25"/>
  <c r="B252" i="25"/>
  <c r="M251" i="25"/>
  <c r="I252" i="25"/>
  <c r="J252" i="25"/>
  <c r="Z251" i="25" l="1"/>
  <c r="S251" i="25"/>
  <c r="R251" i="25" l="1"/>
  <c r="Q251" i="25" s="1"/>
  <c r="P251" i="25" s="1"/>
  <c r="O251" i="25" s="1"/>
  <c r="N251" i="25" s="1"/>
  <c r="G252" i="25" l="1"/>
  <c r="F252" i="25" s="1"/>
  <c r="E252" i="25" s="1"/>
  <c r="H252" i="25"/>
  <c r="Y252" i="25" l="1"/>
  <c r="D252" i="25"/>
  <c r="C252" i="25"/>
  <c r="B253" i="25"/>
  <c r="J253" i="25"/>
  <c r="M252" i="25"/>
  <c r="I253" i="25"/>
  <c r="S252" i="25" l="1"/>
  <c r="Z252" i="25"/>
  <c r="R252" i="25" l="1"/>
  <c r="Q252" i="25" s="1"/>
  <c r="P252" i="25" s="1"/>
  <c r="O252" i="25" s="1"/>
  <c r="N252" i="25" s="1"/>
  <c r="G253" i="25" l="1"/>
  <c r="F253" i="25" s="1"/>
  <c r="E253" i="25" s="1"/>
  <c r="H253" i="25"/>
  <c r="C253" i="25" l="1"/>
  <c r="D253" i="25"/>
  <c r="Y253" i="25"/>
  <c r="B254" i="25"/>
  <c r="M253" i="25"/>
  <c r="J254" i="25"/>
  <c r="I254" i="25"/>
  <c r="Z253" i="25" l="1"/>
  <c r="S253" i="25"/>
  <c r="R253" i="25" s="1"/>
  <c r="Q253" i="25" s="1"/>
  <c r="P253" i="25" s="1"/>
  <c r="O253" i="25" s="1"/>
  <c r="N253" i="25" s="1"/>
  <c r="H254" i="25" l="1"/>
  <c r="G254" i="25"/>
  <c r="F254" i="25" s="1"/>
  <c r="E254" i="25" s="1"/>
  <c r="D254" i="25" l="1"/>
  <c r="C254" i="25"/>
  <c r="Y254" i="25"/>
  <c r="B255" i="25"/>
  <c r="I255" i="25"/>
  <c r="J255" i="25"/>
  <c r="M254" i="25"/>
  <c r="S254" i="25" l="1"/>
  <c r="R254" i="25" s="1"/>
  <c r="Z254" i="25"/>
  <c r="Q254" i="25" l="1"/>
  <c r="P254" i="25" s="1"/>
  <c r="O254" i="25" s="1"/>
  <c r="N254" i="25" s="1"/>
  <c r="G255" i="25" l="1"/>
  <c r="F255" i="25" s="1"/>
  <c r="E255" i="25" s="1"/>
  <c r="H255" i="25"/>
  <c r="C255" i="25" l="1"/>
  <c r="D255" i="25"/>
  <c r="Y255" i="25"/>
  <c r="B256" i="25"/>
  <c r="M255" i="25"/>
  <c r="I256" i="25"/>
  <c r="J256" i="25"/>
  <c r="Z255" i="25" l="1"/>
  <c r="S255" i="25"/>
  <c r="R255" i="25" l="1"/>
  <c r="Q255" i="25" s="1"/>
  <c r="P255" i="25" s="1"/>
  <c r="O255" i="25" s="1"/>
  <c r="N255" i="25" s="1"/>
  <c r="G256" i="25" l="1"/>
  <c r="F256" i="25" s="1"/>
  <c r="E256" i="25" s="1"/>
  <c r="H256" i="25"/>
  <c r="Y256" i="25" l="1"/>
  <c r="D256" i="25"/>
  <c r="C256" i="25"/>
  <c r="B257" i="25"/>
  <c r="I257" i="25"/>
  <c r="J257" i="25"/>
  <c r="M256" i="25"/>
  <c r="S256" i="25" l="1"/>
  <c r="R256" i="25" s="1"/>
  <c r="Z256" i="25"/>
  <c r="Q256" i="25" l="1"/>
  <c r="P256" i="25" s="1"/>
  <c r="O256" i="25" s="1"/>
  <c r="N256" i="25" s="1"/>
  <c r="G257" i="25" l="1"/>
  <c r="F257" i="25" s="1"/>
  <c r="E257" i="25" s="1"/>
  <c r="H257" i="25"/>
  <c r="Y257" i="25" l="1"/>
  <c r="D257" i="25"/>
  <c r="C257" i="25"/>
  <c r="B258" i="25"/>
  <c r="M257" i="25"/>
  <c r="I258" i="25"/>
  <c r="J258" i="25"/>
  <c r="Z257" i="25" l="1"/>
  <c r="S257" i="25"/>
  <c r="R257" i="25" l="1"/>
  <c r="Q257" i="25" s="1"/>
  <c r="P257" i="25" s="1"/>
  <c r="O257" i="25" s="1"/>
  <c r="N257" i="25" s="1"/>
  <c r="G258" i="25" l="1"/>
  <c r="F258" i="25" s="1"/>
  <c r="E258" i="25" s="1"/>
  <c r="H258" i="25"/>
  <c r="Y258" i="25" l="1"/>
  <c r="C258" i="25"/>
  <c r="D258" i="25"/>
  <c r="B259" i="25"/>
  <c r="J259" i="25"/>
  <c r="I259" i="25"/>
  <c r="M258" i="25"/>
  <c r="Z258" i="25" l="1"/>
  <c r="S258" i="25"/>
  <c r="R258" i="25" s="1"/>
  <c r="Q258" i="25" l="1"/>
  <c r="P258" i="25" s="1"/>
  <c r="O258" i="25" s="1"/>
  <c r="N258" i="25" s="1"/>
  <c r="G259" i="25" l="1"/>
  <c r="F259" i="25" s="1"/>
  <c r="E259" i="25" s="1"/>
  <c r="H259" i="25"/>
  <c r="C259" i="25" l="1"/>
  <c r="Y259" i="25"/>
  <c r="D259" i="25"/>
  <c r="B260" i="25"/>
  <c r="J260" i="25"/>
  <c r="M259" i="25"/>
  <c r="I260" i="25"/>
  <c r="S259" i="25" l="1"/>
  <c r="Z259" i="25"/>
  <c r="R259" i="25" l="1"/>
  <c r="Q259" i="25" s="1"/>
  <c r="P259" i="25" s="1"/>
  <c r="O259" i="25" s="1"/>
  <c r="N259" i="25" s="1"/>
  <c r="G260" i="25" l="1"/>
  <c r="F260" i="25" s="1"/>
  <c r="E260" i="25" s="1"/>
  <c r="H260" i="25"/>
  <c r="Y260" i="25" l="1"/>
  <c r="C260" i="25"/>
  <c r="D260" i="25"/>
  <c r="B261" i="25"/>
  <c r="J261" i="25"/>
  <c r="I261" i="25"/>
  <c r="M260" i="25"/>
  <c r="Z260" i="25" l="1"/>
  <c r="S260" i="25"/>
  <c r="R260" i="25" s="1"/>
  <c r="Q260" i="25" l="1"/>
  <c r="P260" i="25" s="1"/>
  <c r="O260" i="25" s="1"/>
  <c r="N260" i="25" s="1"/>
  <c r="H261" i="25" l="1"/>
  <c r="G261" i="25"/>
  <c r="F261" i="25" s="1"/>
  <c r="E261" i="25" s="1"/>
  <c r="Y261" i="25" l="1"/>
  <c r="D261" i="25"/>
  <c r="C261" i="25"/>
  <c r="B262" i="25"/>
  <c r="J262" i="25"/>
  <c r="I262" i="25"/>
  <c r="M261" i="25"/>
  <c r="Z261" i="25" l="1"/>
  <c r="S261" i="25"/>
  <c r="R261" i="25" s="1"/>
  <c r="Q261" i="25" l="1"/>
  <c r="P261" i="25" s="1"/>
  <c r="O261" i="25" s="1"/>
  <c r="N261" i="25" s="1"/>
  <c r="H262" i="25" l="1"/>
  <c r="G262" i="25"/>
  <c r="F262" i="25" s="1"/>
  <c r="E262" i="25" s="1"/>
  <c r="Y262" i="25" l="1"/>
  <c r="C262" i="25"/>
  <c r="D262" i="25"/>
  <c r="B263" i="25"/>
  <c r="J263" i="25"/>
  <c r="M262" i="25"/>
  <c r="I263" i="25"/>
  <c r="S262" i="25" l="1"/>
  <c r="Z262" i="25"/>
  <c r="R262" i="25" l="1"/>
  <c r="Q262" i="25" s="1"/>
  <c r="P262" i="25" s="1"/>
  <c r="O262" i="25" s="1"/>
  <c r="N262" i="25" s="1"/>
  <c r="G263" i="25" l="1"/>
  <c r="F263" i="25" s="1"/>
  <c r="E263" i="25" s="1"/>
  <c r="H263" i="25"/>
  <c r="Y263" i="25" l="1"/>
  <c r="D263" i="25"/>
  <c r="C263" i="25"/>
  <c r="B264" i="25"/>
  <c r="J264" i="25"/>
  <c r="M263" i="25"/>
  <c r="I264" i="25"/>
  <c r="S263" i="25" l="1"/>
  <c r="R263" i="25" s="1"/>
  <c r="Z263" i="25"/>
  <c r="Q263" i="25" l="1"/>
  <c r="P263" i="25" s="1"/>
  <c r="O263" i="25" s="1"/>
  <c r="N263" i="25" s="1"/>
  <c r="G264" i="25" l="1"/>
  <c r="F264" i="25" s="1"/>
  <c r="E264" i="25" s="1"/>
  <c r="H264" i="25"/>
  <c r="Y264" i="25" l="1"/>
  <c r="D264" i="25"/>
  <c r="C264" i="25"/>
  <c r="B265" i="25"/>
  <c r="I265" i="25"/>
  <c r="M264" i="25"/>
  <c r="J265" i="25"/>
  <c r="S264" i="25" l="1"/>
  <c r="Z264" i="25"/>
  <c r="R264" i="25" l="1"/>
  <c r="Q264" i="25" s="1"/>
  <c r="P264" i="25" s="1"/>
  <c r="O264" i="25" s="1"/>
  <c r="N264" i="25" s="1"/>
  <c r="G265" i="25" l="1"/>
  <c r="F265" i="25" s="1"/>
  <c r="E265" i="25" s="1"/>
  <c r="H265" i="25"/>
  <c r="Y265" i="25" l="1"/>
  <c r="C265" i="25"/>
  <c r="D265" i="25"/>
  <c r="B266" i="25"/>
  <c r="J266" i="25"/>
  <c r="I266" i="25"/>
  <c r="M265" i="25"/>
  <c r="Z265" i="25" l="1"/>
  <c r="S265" i="25"/>
  <c r="R265" i="25" l="1"/>
  <c r="Q265" i="25" s="1"/>
  <c r="P265" i="25" s="1"/>
  <c r="O265" i="25" s="1"/>
  <c r="N265" i="25" s="1"/>
  <c r="G266" i="25" l="1"/>
  <c r="F266" i="25" s="1"/>
  <c r="E266" i="25" s="1"/>
  <c r="H266" i="25"/>
  <c r="C266" i="25" l="1"/>
  <c r="Y266" i="25"/>
  <c r="D266" i="25"/>
  <c r="B267" i="25"/>
  <c r="I267" i="25"/>
  <c r="M266" i="25"/>
  <c r="J267" i="25"/>
  <c r="S266" i="25" l="1"/>
  <c r="Z266" i="25"/>
  <c r="R266" i="25" l="1"/>
  <c r="Q266" i="25" s="1"/>
  <c r="P266" i="25" s="1"/>
  <c r="O266" i="25" s="1"/>
  <c r="N266" i="25" s="1"/>
  <c r="G267" i="25" l="1"/>
  <c r="F267" i="25" s="1"/>
  <c r="E267" i="25" s="1"/>
  <c r="H267" i="25"/>
  <c r="C267" i="25" l="1"/>
  <c r="Y267" i="25"/>
  <c r="D267" i="25"/>
  <c r="B268" i="25"/>
  <c r="M267" i="25"/>
  <c r="J268" i="25"/>
  <c r="I268" i="25"/>
  <c r="Z267" i="25" l="1"/>
  <c r="S267" i="25"/>
  <c r="R267" i="25" l="1"/>
  <c r="Q267" i="25" s="1"/>
  <c r="P267" i="25" s="1"/>
  <c r="O267" i="25" s="1"/>
  <c r="N267" i="25" s="1"/>
  <c r="G268" i="25" l="1"/>
  <c r="F268" i="25" s="1"/>
  <c r="E268" i="25" s="1"/>
  <c r="H268" i="25"/>
  <c r="C268" i="25" l="1"/>
  <c r="Y268" i="25"/>
  <c r="D268" i="25"/>
  <c r="B269" i="25"/>
  <c r="I269" i="25"/>
  <c r="J269" i="25"/>
  <c r="M268" i="25"/>
  <c r="S268" i="25" l="1"/>
  <c r="R268" i="25" s="1"/>
  <c r="Z268" i="25"/>
  <c r="Q268" i="25" l="1"/>
  <c r="P268" i="25" s="1"/>
  <c r="O268" i="25" s="1"/>
  <c r="N268" i="25" s="1"/>
  <c r="G269" i="25" l="1"/>
  <c r="F269" i="25" s="1"/>
  <c r="E269" i="25" s="1"/>
  <c r="H269" i="25"/>
  <c r="Y269" i="25" l="1"/>
  <c r="C269" i="25"/>
  <c r="D269" i="25"/>
  <c r="B270" i="25"/>
  <c r="M269" i="25"/>
  <c r="I270" i="25"/>
  <c r="J270" i="25"/>
  <c r="Z269" i="25" l="1"/>
  <c r="S269" i="25"/>
  <c r="R269" i="25" l="1"/>
  <c r="Q269" i="25" s="1"/>
  <c r="P269" i="25" s="1"/>
  <c r="O269" i="25" s="1"/>
  <c r="N269" i="25" s="1"/>
  <c r="G270" i="25" l="1"/>
  <c r="F270" i="25" s="1"/>
  <c r="E270" i="25" s="1"/>
  <c r="H270" i="25"/>
  <c r="C270" i="25" l="1"/>
  <c r="D270" i="25"/>
  <c r="Y270" i="25"/>
  <c r="B271" i="25"/>
  <c r="J271" i="25"/>
  <c r="I271" i="25"/>
  <c r="M270" i="25"/>
  <c r="Z270" i="25" l="1"/>
  <c r="S270" i="25"/>
  <c r="R270" i="25" s="1"/>
  <c r="Q270" i="25" l="1"/>
  <c r="P270" i="25" s="1"/>
  <c r="O270" i="25" s="1"/>
  <c r="N270" i="25" s="1"/>
  <c r="G271" i="25" l="1"/>
  <c r="F271" i="25" s="1"/>
  <c r="E271" i="25" s="1"/>
  <c r="H271" i="25"/>
  <c r="C271" i="25" l="1"/>
  <c r="Y271" i="25"/>
  <c r="D271" i="25"/>
  <c r="B272" i="25"/>
  <c r="J272" i="25"/>
  <c r="M271" i="25"/>
  <c r="I272" i="25"/>
  <c r="S271" i="25" l="1"/>
  <c r="Z271" i="25"/>
  <c r="R271" i="25" l="1"/>
  <c r="Q271" i="25" s="1"/>
  <c r="P271" i="25" s="1"/>
  <c r="O271" i="25" s="1"/>
  <c r="N271" i="25" s="1"/>
  <c r="G272" i="25" l="1"/>
  <c r="F272" i="25" s="1"/>
  <c r="E272" i="25" s="1"/>
  <c r="H272" i="25"/>
  <c r="C272" i="25" l="1"/>
  <c r="D272" i="25"/>
  <c r="Y272" i="25"/>
  <c r="B273" i="25"/>
  <c r="J273" i="25"/>
  <c r="M272" i="25"/>
  <c r="I273" i="25"/>
  <c r="S272" i="25" l="1"/>
  <c r="Z272" i="25"/>
  <c r="R272" i="25" l="1"/>
  <c r="Q272" i="25" s="1"/>
  <c r="P272" i="25" s="1"/>
  <c r="O272" i="25" s="1"/>
  <c r="N272" i="25" s="1"/>
  <c r="H273" i="25" l="1"/>
  <c r="G273" i="25"/>
  <c r="F273" i="25" s="1"/>
  <c r="E273" i="25" s="1"/>
  <c r="D273" i="25" l="1"/>
  <c r="Y273" i="25"/>
  <c r="C273" i="25"/>
  <c r="B274" i="25"/>
  <c r="J274" i="25"/>
  <c r="M273" i="25"/>
  <c r="I274" i="25"/>
  <c r="S273" i="25" l="1"/>
  <c r="R273" i="25" s="1"/>
  <c r="Z273" i="25"/>
  <c r="Q273" i="25" l="1"/>
  <c r="P273" i="25" s="1"/>
  <c r="O273" i="25" s="1"/>
  <c r="N273" i="25" s="1"/>
  <c r="G274" i="25" l="1"/>
  <c r="F274" i="25" s="1"/>
  <c r="E274" i="25" s="1"/>
  <c r="H274" i="25"/>
  <c r="D274" i="25" l="1"/>
  <c r="Y274" i="25"/>
  <c r="C274" i="25"/>
  <c r="B275" i="25"/>
  <c r="I275" i="25"/>
  <c r="M274" i="25"/>
  <c r="J275" i="25"/>
  <c r="S274" i="25" l="1"/>
  <c r="Z274" i="25"/>
  <c r="R274" i="25" l="1"/>
  <c r="Q274" i="25" s="1"/>
  <c r="P274" i="25" s="1"/>
  <c r="O274" i="25" s="1"/>
  <c r="N274" i="25" s="1"/>
  <c r="G275" i="25" l="1"/>
  <c r="F275" i="25" s="1"/>
  <c r="E275" i="25" s="1"/>
  <c r="H275" i="25"/>
  <c r="Y275" i="25" l="1"/>
  <c r="C275" i="25"/>
  <c r="D275" i="25"/>
  <c r="B276" i="25"/>
  <c r="M275" i="25"/>
  <c r="J276" i="25"/>
  <c r="I276" i="25"/>
  <c r="Z275" i="25" l="1"/>
  <c r="S275" i="25"/>
  <c r="R275" i="25" l="1"/>
  <c r="Q275" i="25" s="1"/>
  <c r="P275" i="25" s="1"/>
  <c r="O275" i="25" s="1"/>
  <c r="N275" i="25" s="1"/>
  <c r="H276" i="25" l="1"/>
  <c r="G276" i="25"/>
  <c r="F276" i="25" s="1"/>
  <c r="E276" i="25" s="1"/>
  <c r="D276" i="25" l="1"/>
  <c r="Y276" i="25"/>
  <c r="C276" i="25"/>
  <c r="B277" i="25"/>
  <c r="I277" i="25"/>
  <c r="M276" i="25"/>
  <c r="J277" i="25"/>
  <c r="S276" i="25" l="1"/>
  <c r="R276" i="25" s="1"/>
  <c r="Z276" i="25"/>
  <c r="Q276" i="25" l="1"/>
  <c r="P276" i="25" s="1"/>
  <c r="O276" i="25" s="1"/>
  <c r="N276" i="25" s="1"/>
  <c r="H277" i="25" l="1"/>
  <c r="G277" i="25"/>
  <c r="F277" i="25" s="1"/>
  <c r="E277" i="25" s="1"/>
  <c r="Y277" i="25" l="1"/>
  <c r="C277" i="25"/>
  <c r="D277" i="25"/>
  <c r="B278" i="25"/>
  <c r="J278" i="25"/>
  <c r="I278" i="25"/>
  <c r="M277" i="25"/>
  <c r="Z277" i="25" l="1"/>
  <c r="S277" i="25"/>
  <c r="R277" i="25" s="1"/>
  <c r="Q277" i="25" l="1"/>
  <c r="P277" i="25" s="1"/>
  <c r="O277" i="25" s="1"/>
  <c r="N277" i="25" s="1"/>
  <c r="H278" i="25" l="1"/>
  <c r="G278" i="25"/>
  <c r="F278" i="25" s="1"/>
  <c r="E278" i="25" s="1"/>
  <c r="C278" i="25" l="1"/>
  <c r="Y278" i="25"/>
  <c r="D278" i="25"/>
  <c r="B279" i="25"/>
  <c r="J279" i="25"/>
  <c r="I279" i="25"/>
  <c r="M278" i="25"/>
  <c r="Z278" i="25" l="1"/>
  <c r="S278" i="25"/>
  <c r="R278" i="25" l="1"/>
  <c r="Q278" i="25" s="1"/>
  <c r="P278" i="25" s="1"/>
  <c r="O278" i="25" s="1"/>
  <c r="N278" i="25" s="1"/>
  <c r="H279" i="25" l="1"/>
  <c r="G279" i="25"/>
  <c r="F279" i="25" s="1"/>
  <c r="E279" i="25" s="1"/>
  <c r="Y279" i="25" l="1"/>
  <c r="C279" i="25"/>
  <c r="D279" i="25"/>
  <c r="B280" i="25"/>
  <c r="M279" i="25"/>
  <c r="J280" i="25"/>
  <c r="I280" i="25"/>
  <c r="Z279" i="25" l="1"/>
  <c r="S279" i="25"/>
  <c r="R279" i="25" l="1"/>
  <c r="Q279" i="25" s="1"/>
  <c r="P279" i="25" s="1"/>
  <c r="O279" i="25" s="1"/>
  <c r="N279" i="25" s="1"/>
  <c r="H280" i="25" l="1"/>
  <c r="G280" i="25"/>
  <c r="F280" i="25" s="1"/>
  <c r="E280" i="25" s="1"/>
  <c r="Y280" i="25" l="1"/>
  <c r="D280" i="25"/>
  <c r="C280" i="25"/>
  <c r="B281" i="25"/>
  <c r="I281" i="25"/>
  <c r="M280" i="25"/>
  <c r="J281" i="25"/>
  <c r="S280" i="25" l="1"/>
  <c r="Z280" i="25"/>
  <c r="R280" i="25" l="1"/>
  <c r="Q280" i="25" s="1"/>
  <c r="P280" i="25" s="1"/>
  <c r="O280" i="25" s="1"/>
  <c r="N280" i="25" s="1"/>
  <c r="G281" i="25" l="1"/>
  <c r="F281" i="25" s="1"/>
  <c r="E281" i="25" s="1"/>
  <c r="H281" i="25"/>
  <c r="Y281" i="25" l="1"/>
  <c r="D281" i="25"/>
  <c r="C281" i="25"/>
  <c r="B282" i="25"/>
  <c r="J282" i="25"/>
  <c r="I282" i="25"/>
  <c r="M281" i="25"/>
  <c r="S281" i="25" l="1"/>
  <c r="R281" i="25" s="1"/>
  <c r="Z281" i="25"/>
  <c r="Q281" i="25" l="1"/>
  <c r="P281" i="25" s="1"/>
  <c r="O281" i="25" s="1"/>
  <c r="N281" i="25" s="1"/>
  <c r="H282" i="25" l="1"/>
  <c r="G282" i="25"/>
  <c r="F282" i="25" s="1"/>
  <c r="E282" i="25" s="1"/>
  <c r="Y282" i="25" l="1"/>
  <c r="C282" i="25"/>
  <c r="D282" i="25"/>
  <c r="B283" i="25"/>
  <c r="I283" i="25"/>
  <c r="M282" i="25"/>
  <c r="J283" i="25"/>
  <c r="Z282" i="25" l="1"/>
  <c r="S282" i="25"/>
  <c r="R282" i="25" s="1"/>
  <c r="Q282" i="25" l="1"/>
  <c r="P282" i="25" s="1"/>
  <c r="O282" i="25" s="1"/>
  <c r="N282" i="25" s="1"/>
  <c r="H283" i="25" l="1"/>
  <c r="G283" i="25"/>
  <c r="F283" i="25" s="1"/>
  <c r="E283" i="25" s="1"/>
  <c r="D283" i="25" l="1"/>
  <c r="C283" i="25"/>
  <c r="Y283" i="25"/>
  <c r="B284" i="25"/>
  <c r="I284" i="25"/>
  <c r="M283" i="25"/>
  <c r="J284" i="25"/>
  <c r="Z283" i="25" l="1"/>
  <c r="S283" i="25"/>
  <c r="R283" i="25" s="1"/>
  <c r="Q283" i="25" l="1"/>
  <c r="P283" i="25" s="1"/>
  <c r="O283" i="25" s="1"/>
  <c r="N283" i="25" s="1"/>
  <c r="G284" i="25" l="1"/>
  <c r="F284" i="25" s="1"/>
  <c r="E284" i="25" s="1"/>
  <c r="H284" i="25"/>
  <c r="C284" i="25" l="1"/>
  <c r="D284" i="25"/>
  <c r="Y284" i="25"/>
  <c r="B285" i="25"/>
  <c r="M284" i="25"/>
  <c r="J285" i="25"/>
  <c r="I285" i="25"/>
  <c r="Z284" i="25" l="1"/>
  <c r="S284" i="25"/>
  <c r="R284" i="25" s="1"/>
  <c r="Q284" i="25" l="1"/>
  <c r="P284" i="25" s="1"/>
  <c r="O284" i="25" s="1"/>
  <c r="N284" i="25" s="1"/>
  <c r="G285" i="25" l="1"/>
  <c r="F285" i="25" s="1"/>
  <c r="E285" i="25" s="1"/>
  <c r="H285" i="25"/>
  <c r="C285" i="25" l="1"/>
  <c r="D285" i="25"/>
  <c r="Y285" i="25"/>
  <c r="B286" i="25"/>
  <c r="J286" i="25"/>
  <c r="I286" i="25"/>
  <c r="M285" i="25"/>
  <c r="Z285" i="25" l="1"/>
  <c r="S285" i="25"/>
  <c r="R285" i="25" l="1"/>
  <c r="Q285" i="25" s="1"/>
  <c r="P285" i="25" s="1"/>
  <c r="O285" i="25" s="1"/>
  <c r="N285" i="25" s="1"/>
  <c r="G286" i="25" l="1"/>
  <c r="F286" i="25" s="1"/>
  <c r="E286" i="25" s="1"/>
  <c r="H286" i="25"/>
  <c r="D286" i="25" l="1"/>
  <c r="C286" i="25"/>
  <c r="Y286" i="25"/>
  <c r="B287" i="25"/>
  <c r="I287" i="25"/>
  <c r="J287" i="25"/>
  <c r="M286" i="25"/>
  <c r="Z286" i="25" l="1"/>
  <c r="S286" i="25"/>
  <c r="R286" i="25" l="1"/>
  <c r="Q286" i="25" s="1"/>
  <c r="P286" i="25" s="1"/>
  <c r="O286" i="25" s="1"/>
  <c r="N286" i="25" s="1"/>
  <c r="H287" i="25" l="1"/>
  <c r="G287" i="25"/>
  <c r="F287" i="25" s="1"/>
  <c r="E287" i="25" s="1"/>
  <c r="Y287" i="25" l="1"/>
  <c r="D287" i="25"/>
  <c r="C287" i="25"/>
  <c r="B288" i="25"/>
  <c r="M287" i="25"/>
  <c r="I288" i="25"/>
  <c r="J288" i="25"/>
  <c r="S287" i="25" l="1"/>
  <c r="Z287" i="25"/>
  <c r="R287" i="25" l="1"/>
  <c r="Q287" i="25" s="1"/>
  <c r="P287" i="25" s="1"/>
  <c r="O287" i="25" s="1"/>
  <c r="N287" i="25" s="1"/>
  <c r="H288" i="25" l="1"/>
  <c r="G288" i="25"/>
  <c r="F288" i="25" s="1"/>
  <c r="E288" i="25" s="1"/>
  <c r="C288" i="25" l="1"/>
  <c r="D288" i="25"/>
  <c r="Y288" i="25"/>
  <c r="B289" i="25"/>
  <c r="I289" i="25"/>
  <c r="J289" i="25"/>
  <c r="M288" i="25"/>
  <c r="S288" i="25" l="1"/>
  <c r="R288" i="25" s="1"/>
  <c r="Z288" i="25"/>
  <c r="Q288" i="25" l="1"/>
  <c r="P288" i="25" s="1"/>
  <c r="O288" i="25" s="1"/>
  <c r="N288" i="25" s="1"/>
  <c r="H289" i="25" l="1"/>
  <c r="G289" i="25"/>
  <c r="F289" i="25" s="1"/>
  <c r="E289" i="25" s="1"/>
  <c r="Y289" i="25" l="1"/>
  <c r="D289" i="25"/>
  <c r="C289" i="25"/>
  <c r="B290" i="25"/>
  <c r="J290" i="25"/>
  <c r="I290" i="25"/>
  <c r="M289" i="25"/>
  <c r="Z289" i="25" l="1"/>
  <c r="S289" i="25"/>
  <c r="R289" i="25" s="1"/>
  <c r="Q289" i="25" l="1"/>
  <c r="P289" i="25" s="1"/>
  <c r="O289" i="25" s="1"/>
  <c r="N289" i="25" s="1"/>
  <c r="H290" i="25" l="1"/>
  <c r="G290" i="25"/>
  <c r="F290" i="25" s="1"/>
  <c r="E290" i="25" s="1"/>
  <c r="D290" i="25" l="1"/>
  <c r="C290" i="25"/>
  <c r="Y290" i="25"/>
  <c r="B291" i="25"/>
  <c r="J291" i="25"/>
  <c r="I291" i="25"/>
  <c r="M290" i="25"/>
  <c r="Z290" i="25" l="1"/>
  <c r="S290" i="25"/>
  <c r="R290" i="25" s="1"/>
  <c r="Q290" i="25" l="1"/>
  <c r="P290" i="25" s="1"/>
  <c r="O290" i="25" s="1"/>
  <c r="N290" i="25" s="1"/>
  <c r="H291" i="25" l="1"/>
  <c r="G291" i="25"/>
  <c r="F291" i="25" s="1"/>
  <c r="E291" i="25" s="1"/>
  <c r="C291" i="25" l="1"/>
  <c r="D291" i="25"/>
  <c r="Y291" i="25"/>
  <c r="B292" i="25"/>
  <c r="J292" i="25"/>
  <c r="I292" i="25"/>
  <c r="M291" i="25"/>
  <c r="Z291" i="25" l="1"/>
  <c r="S291" i="25"/>
  <c r="R291" i="25" s="1"/>
  <c r="Q291" i="25" l="1"/>
  <c r="P291" i="25" s="1"/>
  <c r="O291" i="25" s="1"/>
  <c r="N291" i="25" s="1"/>
  <c r="H292" i="25" l="1"/>
  <c r="G292" i="25"/>
  <c r="F292" i="25" s="1"/>
  <c r="E292" i="25" s="1"/>
  <c r="Y292" i="25" l="1"/>
  <c r="D292" i="25"/>
  <c r="C292" i="25"/>
  <c r="B293" i="25"/>
  <c r="J293" i="25"/>
  <c r="M292" i="25"/>
  <c r="I293" i="25"/>
  <c r="S292" i="25" l="1"/>
  <c r="Z292" i="25"/>
  <c r="R292" i="25" l="1"/>
  <c r="Q292" i="25" s="1"/>
  <c r="P292" i="25" s="1"/>
  <c r="O292" i="25" s="1"/>
  <c r="N292" i="25" s="1"/>
  <c r="G293" i="25" l="1"/>
  <c r="F293" i="25" s="1"/>
  <c r="E293" i="25" s="1"/>
  <c r="H293" i="25"/>
  <c r="C293" i="25" l="1"/>
  <c r="Y293" i="25"/>
  <c r="D293" i="25"/>
  <c r="B294" i="25"/>
  <c r="J294" i="25"/>
  <c r="I294" i="25"/>
  <c r="M293" i="25"/>
  <c r="Z293" i="25" l="1"/>
  <c r="S293" i="25"/>
  <c r="R293" i="25" s="1"/>
  <c r="Q293" i="25" l="1"/>
  <c r="P293" i="25" s="1"/>
  <c r="O293" i="25" s="1"/>
  <c r="N293" i="25" s="1"/>
  <c r="G294" i="25" l="1"/>
  <c r="F294" i="25" s="1"/>
  <c r="E294" i="25" s="1"/>
  <c r="H294" i="25"/>
  <c r="Y294" i="25" l="1"/>
  <c r="D294" i="25"/>
  <c r="C294" i="25"/>
  <c r="B295" i="25"/>
  <c r="M294" i="25"/>
  <c r="J295" i="25"/>
  <c r="I295" i="25"/>
  <c r="Z294" i="25" l="1"/>
  <c r="S294" i="25"/>
  <c r="R294" i="25" l="1"/>
  <c r="Q294" i="25" s="1"/>
  <c r="P294" i="25" s="1"/>
  <c r="O294" i="25" s="1"/>
  <c r="N294" i="25" s="1"/>
  <c r="H295" i="25" l="1"/>
  <c r="G295" i="25"/>
  <c r="F295" i="25" s="1"/>
  <c r="E295" i="25" s="1"/>
  <c r="C295" i="25" l="1"/>
  <c r="D295" i="25"/>
  <c r="Y295" i="25"/>
  <c r="B296" i="25"/>
  <c r="J296" i="25"/>
  <c r="I296" i="25"/>
  <c r="M295" i="25"/>
  <c r="Z295" i="25" l="1"/>
  <c r="S295" i="25"/>
  <c r="R295" i="25" s="1"/>
  <c r="Q295" i="25" l="1"/>
  <c r="P295" i="25" s="1"/>
  <c r="O295" i="25" s="1"/>
  <c r="N295" i="25" s="1"/>
  <c r="H296" i="25" l="1"/>
  <c r="G296" i="25"/>
  <c r="F296" i="25" s="1"/>
  <c r="E296" i="25" s="1"/>
  <c r="Y296" i="25" l="1"/>
  <c r="C296" i="25"/>
  <c r="D296" i="25"/>
  <c r="B297" i="25"/>
  <c r="J297" i="25"/>
  <c r="M296" i="25"/>
  <c r="I297" i="25"/>
  <c r="S296" i="25" l="1"/>
  <c r="Z296" i="25"/>
  <c r="R296" i="25" l="1"/>
  <c r="Q296" i="25" s="1"/>
  <c r="P296" i="25" s="1"/>
  <c r="O296" i="25" s="1"/>
  <c r="N296" i="25" s="1"/>
  <c r="H297" i="25" l="1"/>
  <c r="G297" i="25"/>
  <c r="F297" i="25" s="1"/>
  <c r="E297" i="25" s="1"/>
  <c r="C297" i="25" l="1"/>
  <c r="Y297" i="25"/>
  <c r="D297" i="25"/>
  <c r="B298" i="25"/>
  <c r="J298" i="25"/>
  <c r="M297" i="25"/>
  <c r="I298" i="25"/>
  <c r="S297" i="25" l="1"/>
  <c r="Z297" i="25"/>
  <c r="R297" i="25" l="1"/>
  <c r="Q297" i="25" s="1"/>
  <c r="P297" i="25" s="1"/>
  <c r="O297" i="25" s="1"/>
  <c r="N297" i="25" s="1"/>
  <c r="H298" i="25" l="1"/>
  <c r="G298" i="25"/>
  <c r="F298" i="25" s="1"/>
  <c r="E298" i="25" s="1"/>
  <c r="D298" i="25" l="1"/>
  <c r="Y298" i="25"/>
  <c r="C298" i="25"/>
  <c r="B299" i="25"/>
  <c r="J299" i="25"/>
  <c r="M298" i="25"/>
  <c r="I299" i="25"/>
  <c r="S298" i="25" l="1"/>
  <c r="Z298" i="25"/>
  <c r="R298" i="25" l="1"/>
  <c r="Q298" i="25" s="1"/>
  <c r="P298" i="25" s="1"/>
  <c r="O298" i="25" s="1"/>
  <c r="N298" i="25" s="1"/>
  <c r="H299" i="25" l="1"/>
  <c r="G299" i="25"/>
  <c r="F299" i="25" s="1"/>
  <c r="E299" i="25" s="1"/>
  <c r="D299" i="25" l="1"/>
  <c r="Y299" i="25"/>
  <c r="C299" i="25"/>
  <c r="B300" i="25"/>
  <c r="J300" i="25"/>
  <c r="M299" i="25"/>
  <c r="I300" i="25"/>
  <c r="S299" i="25" l="1"/>
  <c r="Z299" i="25"/>
  <c r="R299" i="25" l="1"/>
  <c r="Q299" i="25" s="1"/>
  <c r="P299" i="25" s="1"/>
  <c r="O299" i="25" s="1"/>
  <c r="N299" i="25" s="1"/>
  <c r="H300" i="25" l="1"/>
  <c r="G300" i="25"/>
  <c r="F300" i="25" s="1"/>
  <c r="E300" i="25" s="1"/>
  <c r="C300" i="25" l="1"/>
  <c r="Y300" i="25"/>
  <c r="D300" i="25"/>
  <c r="B301" i="25"/>
  <c r="J301" i="25"/>
  <c r="M300" i="25"/>
  <c r="I301" i="25"/>
  <c r="S300" i="25" l="1"/>
  <c r="Z300" i="25"/>
  <c r="R300" i="25" l="1"/>
  <c r="Q300" i="25" s="1"/>
  <c r="P300" i="25" s="1"/>
  <c r="O300" i="25" s="1"/>
  <c r="N300" i="25" s="1"/>
  <c r="H301" i="25" l="1"/>
  <c r="G301" i="25"/>
  <c r="F301" i="25" s="1"/>
  <c r="E301" i="25" s="1"/>
  <c r="Y301" i="25" l="1"/>
  <c r="D301" i="25"/>
  <c r="C301" i="25"/>
  <c r="B302" i="25"/>
  <c r="J302" i="25"/>
  <c r="M301" i="25"/>
  <c r="I302" i="25"/>
  <c r="S301" i="25" l="1"/>
  <c r="R301" i="25" s="1"/>
  <c r="Z301" i="25"/>
  <c r="Q301" i="25" l="1"/>
  <c r="P301" i="25" s="1"/>
  <c r="O301" i="25" s="1"/>
  <c r="N301" i="25" s="1"/>
  <c r="G302" i="25" l="1"/>
  <c r="F302" i="25" s="1"/>
  <c r="E302" i="25" s="1"/>
  <c r="H302" i="25"/>
  <c r="C302" i="25" l="1"/>
  <c r="Y302" i="25"/>
  <c r="D302" i="25"/>
  <c r="B303" i="25"/>
  <c r="J303" i="25"/>
  <c r="M302" i="25"/>
  <c r="I303" i="25"/>
  <c r="S302" i="25" l="1"/>
  <c r="R302" i="25" s="1"/>
  <c r="Z302" i="25"/>
  <c r="Q302" i="25" l="1"/>
  <c r="P302" i="25" s="1"/>
  <c r="O302" i="25" s="1"/>
  <c r="N302" i="25" s="1"/>
  <c r="G303" i="25" l="1"/>
  <c r="F303" i="25" s="1"/>
  <c r="E303" i="25" s="1"/>
  <c r="H303" i="25"/>
  <c r="Y303" i="25" l="1"/>
  <c r="C303" i="25"/>
  <c r="D303" i="25"/>
  <c r="B304" i="25"/>
  <c r="I304" i="25"/>
  <c r="M303" i="25"/>
  <c r="J304" i="25"/>
  <c r="Z303" i="25" l="1"/>
  <c r="S303" i="25"/>
  <c r="R303" i="25" s="1"/>
  <c r="Q303" i="25" l="1"/>
  <c r="P303" i="25" s="1"/>
  <c r="O303" i="25" s="1"/>
  <c r="N303" i="25" s="1"/>
  <c r="H304" i="25" l="1"/>
  <c r="G304" i="25"/>
  <c r="F304" i="25" s="1"/>
  <c r="E304" i="25" s="1"/>
  <c r="D304" i="25" l="1"/>
  <c r="C304" i="25"/>
  <c r="Y304" i="25"/>
  <c r="B305" i="25"/>
  <c r="I305" i="25"/>
  <c r="M304" i="25"/>
  <c r="J305" i="25"/>
  <c r="Z304" i="25" l="1"/>
  <c r="S304" i="25"/>
  <c r="R304" i="25" s="1"/>
  <c r="Q304" i="25" l="1"/>
  <c r="P304" i="25" s="1"/>
  <c r="O304" i="25" s="1"/>
  <c r="N304" i="25" s="1"/>
  <c r="H305" i="25" l="1"/>
  <c r="G305" i="25"/>
  <c r="F305" i="25" s="1"/>
  <c r="E305" i="25" s="1"/>
  <c r="Y305" i="25" l="1"/>
  <c r="C305" i="25"/>
  <c r="D305" i="25"/>
  <c r="B306" i="25"/>
  <c r="I306" i="25"/>
  <c r="M305" i="25"/>
  <c r="J306" i="25"/>
  <c r="S305" i="25" l="1"/>
  <c r="Z305" i="25"/>
  <c r="R305" i="25" l="1"/>
  <c r="Q305" i="25" s="1"/>
  <c r="P305" i="25" s="1"/>
  <c r="O305" i="25" s="1"/>
  <c r="N305" i="25" s="1"/>
  <c r="G306" i="25" l="1"/>
  <c r="F306" i="25" s="1"/>
  <c r="E306" i="25" s="1"/>
  <c r="H306" i="25"/>
  <c r="D306" i="25" l="1"/>
  <c r="Y306" i="25"/>
  <c r="C306" i="25"/>
  <c r="B307" i="25"/>
  <c r="J307" i="25"/>
  <c r="M306" i="25"/>
  <c r="I307" i="25"/>
  <c r="S306" i="25" l="1"/>
  <c r="Z306" i="25"/>
  <c r="R306" i="25" l="1"/>
  <c r="Q306" i="25" s="1"/>
  <c r="P306" i="25" s="1"/>
  <c r="O306" i="25" s="1"/>
  <c r="N306" i="25" s="1"/>
  <c r="G307" i="25" l="1"/>
  <c r="F307" i="25" s="1"/>
  <c r="E307" i="25" s="1"/>
  <c r="H307" i="25"/>
  <c r="C307" i="25" l="1"/>
  <c r="D307" i="25"/>
  <c r="Y307" i="25"/>
  <c r="B308" i="25"/>
  <c r="J308" i="25"/>
  <c r="M307" i="25"/>
  <c r="I308" i="25"/>
  <c r="S307" i="25" l="1"/>
  <c r="R307" i="25" s="1"/>
  <c r="Z307" i="25"/>
  <c r="Q307" i="25" l="1"/>
  <c r="P307" i="25" s="1"/>
  <c r="O307" i="25" s="1"/>
  <c r="N307" i="25" s="1"/>
  <c r="G308" i="25" l="1"/>
  <c r="F308" i="25" s="1"/>
  <c r="E308" i="25" s="1"/>
  <c r="H308" i="25"/>
  <c r="D308" i="25" l="1"/>
  <c r="Y308" i="25"/>
  <c r="C308" i="25"/>
  <c r="B309" i="25"/>
  <c r="I309" i="25"/>
  <c r="J309" i="25"/>
  <c r="M308" i="25"/>
  <c r="S308" i="25" l="1"/>
  <c r="Z308" i="25"/>
  <c r="R308" i="25" l="1"/>
  <c r="Q308" i="25" s="1"/>
  <c r="P308" i="25" s="1"/>
  <c r="O308" i="25" s="1"/>
  <c r="N308" i="25" s="1"/>
  <c r="G309" i="25" l="1"/>
  <c r="F309" i="25" s="1"/>
  <c r="E309" i="25" s="1"/>
  <c r="H309" i="25"/>
  <c r="C309" i="25" l="1"/>
  <c r="D309" i="25"/>
  <c r="Y309" i="25"/>
  <c r="B310" i="25"/>
  <c r="I310" i="25"/>
  <c r="J310" i="25"/>
  <c r="M309" i="25"/>
  <c r="Z309" i="25" l="1"/>
  <c r="S309" i="25"/>
  <c r="R309" i="25" s="1"/>
  <c r="Q309" i="25" l="1"/>
  <c r="P309" i="25" s="1"/>
  <c r="O309" i="25" s="1"/>
  <c r="N309" i="25" s="1"/>
  <c r="G310" i="25" l="1"/>
  <c r="F310" i="25" s="1"/>
  <c r="E310" i="25" s="1"/>
  <c r="H310" i="25"/>
  <c r="Y310" i="25" l="1"/>
  <c r="D310" i="25"/>
  <c r="C310" i="25"/>
  <c r="B311" i="25"/>
  <c r="M310" i="25"/>
  <c r="J311" i="25"/>
  <c r="I311" i="25"/>
  <c r="Z310" i="25" l="1"/>
  <c r="S310" i="25"/>
  <c r="R310" i="25" s="1"/>
  <c r="Q310" i="25" l="1"/>
  <c r="P310" i="25" s="1"/>
  <c r="O310" i="25" s="1"/>
  <c r="N310" i="25" s="1"/>
  <c r="H311" i="25" l="1"/>
  <c r="G311" i="25"/>
  <c r="F311" i="25" s="1"/>
  <c r="E311" i="25" s="1"/>
  <c r="C311" i="25" l="1"/>
  <c r="Y311" i="25"/>
  <c r="D311" i="25"/>
  <c r="B312" i="25"/>
  <c r="M311" i="25"/>
  <c r="J312" i="25"/>
  <c r="I312" i="25"/>
  <c r="Z311" i="25" l="1"/>
  <c r="S311" i="25"/>
  <c r="R311" i="25" s="1"/>
  <c r="Q311" i="25" l="1"/>
  <c r="P311" i="25" s="1"/>
  <c r="O311" i="25" s="1"/>
  <c r="N311" i="25" s="1"/>
  <c r="H312" i="25" l="1"/>
  <c r="G312" i="25"/>
  <c r="F312" i="25" s="1"/>
  <c r="E312" i="25" s="1"/>
  <c r="D312" i="25" l="1"/>
  <c r="C312" i="25"/>
  <c r="Y312" i="25"/>
  <c r="B313" i="25"/>
  <c r="I313" i="25"/>
  <c r="M312" i="25"/>
  <c r="J313" i="25"/>
  <c r="Z312" i="25" l="1"/>
  <c r="S312" i="25"/>
  <c r="R312" i="25" s="1"/>
  <c r="Q312" i="25" l="1"/>
  <c r="P312" i="25" s="1"/>
  <c r="O312" i="25" s="1"/>
  <c r="N312" i="25" s="1"/>
  <c r="H313" i="25" l="1"/>
  <c r="G313" i="25"/>
  <c r="F313" i="25" s="1"/>
  <c r="E313" i="25" s="1"/>
  <c r="C313" i="25" l="1"/>
  <c r="D313" i="25"/>
  <c r="Y313" i="25"/>
  <c r="B314" i="25"/>
  <c r="I314" i="25"/>
  <c r="M313" i="25"/>
  <c r="J314" i="25"/>
  <c r="S313" i="25" l="1"/>
  <c r="R313" i="25" s="1"/>
  <c r="Z313" i="25"/>
  <c r="Q313" i="25" l="1"/>
  <c r="P313" i="25" s="1"/>
  <c r="O313" i="25" s="1"/>
  <c r="N313" i="25" s="1"/>
  <c r="H314" i="25" l="1"/>
  <c r="G314" i="25"/>
  <c r="F314" i="25" s="1"/>
  <c r="E314" i="25" s="1"/>
  <c r="C314" i="25" l="1"/>
  <c r="Y314" i="25"/>
  <c r="D314" i="25"/>
  <c r="B315" i="25"/>
  <c r="I315" i="25"/>
  <c r="M314" i="25"/>
  <c r="J315" i="25"/>
  <c r="S314" i="25" l="1"/>
  <c r="R314" i="25" s="1"/>
  <c r="Z314" i="25"/>
  <c r="Q314" i="25" l="1"/>
  <c r="P314" i="25" s="1"/>
  <c r="O314" i="25" s="1"/>
  <c r="N314" i="25" s="1"/>
  <c r="G315" i="25" l="1"/>
  <c r="F315" i="25" s="1"/>
  <c r="E315" i="25" s="1"/>
  <c r="H315" i="25"/>
  <c r="Y315" i="25" l="1"/>
  <c r="C315" i="25"/>
  <c r="D315" i="25"/>
  <c r="B316" i="25"/>
  <c r="J316" i="25"/>
  <c r="M315" i="25"/>
  <c r="I316" i="25"/>
  <c r="S315" i="25" l="1"/>
  <c r="Z315" i="25"/>
  <c r="R315" i="25" l="1"/>
  <c r="Q315" i="25" s="1"/>
  <c r="P315" i="25" s="1"/>
  <c r="O315" i="25" s="1"/>
  <c r="N315" i="25" s="1"/>
  <c r="H316" i="25" l="1"/>
  <c r="G316" i="25"/>
  <c r="F316" i="25" s="1"/>
  <c r="E316" i="25" s="1"/>
  <c r="Y316" i="25" l="1"/>
  <c r="D316" i="25"/>
  <c r="C316" i="25"/>
  <c r="B317" i="25"/>
  <c r="J317" i="25"/>
  <c r="M316" i="25"/>
  <c r="I317" i="25"/>
  <c r="Z316" i="25" l="1"/>
  <c r="S316" i="25"/>
  <c r="R316" i="25" l="1"/>
  <c r="Q316" i="25" s="1"/>
  <c r="P316" i="25" s="1"/>
  <c r="O316" i="25" s="1"/>
  <c r="N316" i="25" s="1"/>
  <c r="G317" i="25" l="1"/>
  <c r="F317" i="25" s="1"/>
  <c r="E317" i="25" s="1"/>
  <c r="H317" i="25"/>
  <c r="Y317" i="25" l="1"/>
  <c r="C317" i="25"/>
  <c r="D317" i="25"/>
  <c r="B318" i="25"/>
  <c r="J318" i="25"/>
  <c r="I318" i="25"/>
  <c r="M317" i="25"/>
  <c r="S317" i="25" l="1"/>
  <c r="R317" i="25" s="1"/>
  <c r="Z317" i="25"/>
  <c r="Q317" i="25" l="1"/>
  <c r="P317" i="25" s="1"/>
  <c r="O317" i="25" s="1"/>
  <c r="N317" i="25" s="1"/>
  <c r="H318" i="25" l="1"/>
  <c r="G318" i="25"/>
  <c r="F318" i="25" s="1"/>
  <c r="E318" i="25" s="1"/>
  <c r="C318" i="25" l="1"/>
  <c r="D318" i="25"/>
  <c r="Y318" i="25"/>
  <c r="B319" i="25"/>
  <c r="I319" i="25"/>
  <c r="M318" i="25"/>
  <c r="J319" i="25"/>
  <c r="S318" i="25" l="1"/>
  <c r="R318" i="25" s="1"/>
  <c r="Z318" i="25"/>
  <c r="Q318" i="25" l="1"/>
  <c r="P318" i="25" s="1"/>
  <c r="O318" i="25" s="1"/>
  <c r="N318" i="25" s="1"/>
  <c r="G319" i="25" l="1"/>
  <c r="F319" i="25" s="1"/>
  <c r="E319" i="25" s="1"/>
  <c r="H319" i="25"/>
  <c r="C319" i="25" l="1"/>
  <c r="Y319" i="25"/>
  <c r="D319" i="25"/>
  <c r="B320" i="25"/>
  <c r="M319" i="25"/>
  <c r="J320" i="25"/>
  <c r="I320" i="25"/>
  <c r="Z319" i="25" l="1"/>
  <c r="S319" i="25"/>
  <c r="R319" i="25" l="1"/>
  <c r="Q319" i="25" s="1"/>
  <c r="P319" i="25" s="1"/>
  <c r="O319" i="25" s="1"/>
  <c r="N319" i="25" s="1"/>
  <c r="H320" i="25" l="1"/>
  <c r="G320" i="25"/>
  <c r="F320" i="25" s="1"/>
  <c r="E320" i="25" s="1"/>
  <c r="D320" i="25" l="1"/>
  <c r="C320" i="25"/>
  <c r="Y320" i="25"/>
  <c r="B321" i="25"/>
  <c r="I321" i="25"/>
  <c r="M320" i="25"/>
  <c r="J321" i="25"/>
  <c r="Z320" i="25" l="1"/>
  <c r="S320" i="25"/>
  <c r="R320" i="25" l="1"/>
  <c r="Q320" i="25" s="1"/>
  <c r="P320" i="25" s="1"/>
  <c r="O320" i="25" s="1"/>
  <c r="N320" i="25" s="1"/>
  <c r="G321" i="25" l="1"/>
  <c r="F321" i="25" s="1"/>
  <c r="E321" i="25" s="1"/>
  <c r="H321" i="25"/>
  <c r="Y321" i="25" l="1"/>
  <c r="D321" i="25"/>
  <c r="C321" i="25"/>
  <c r="B322" i="25"/>
  <c r="I322" i="25"/>
  <c r="M321" i="25"/>
  <c r="J322" i="25"/>
  <c r="S321" i="25" l="1"/>
  <c r="R321" i="25" s="1"/>
  <c r="Z321" i="25"/>
  <c r="Q321" i="25" l="1"/>
  <c r="P321" i="25" s="1"/>
  <c r="O321" i="25" s="1"/>
  <c r="N321" i="25" s="1"/>
  <c r="G322" i="25" l="1"/>
  <c r="F322" i="25" s="1"/>
  <c r="E322" i="25" s="1"/>
  <c r="H322" i="25"/>
  <c r="C322" i="25" l="1"/>
  <c r="D322" i="25"/>
  <c r="Y322" i="25"/>
  <c r="B323" i="25"/>
  <c r="J323" i="25"/>
  <c r="M322" i="25"/>
  <c r="I323" i="25"/>
  <c r="S322" i="25" l="1"/>
  <c r="Z322" i="25"/>
  <c r="R322" i="25" l="1"/>
  <c r="Q322" i="25" s="1"/>
  <c r="P322" i="25" s="1"/>
  <c r="O322" i="25" s="1"/>
  <c r="N322" i="25" s="1"/>
  <c r="H323" i="25" l="1"/>
  <c r="G323" i="25"/>
  <c r="F323" i="25" s="1"/>
  <c r="E323" i="25" s="1"/>
  <c r="D323" i="25" l="1"/>
  <c r="Y323" i="25"/>
  <c r="C323" i="25"/>
  <c r="B324" i="25"/>
  <c r="J324" i="25"/>
  <c r="I324" i="25"/>
  <c r="M323" i="25"/>
  <c r="Z323" i="25" l="1"/>
  <c r="S323" i="25"/>
  <c r="R323" i="25" s="1"/>
  <c r="Q323" i="25" l="1"/>
  <c r="P323" i="25" s="1"/>
  <c r="O323" i="25" s="1"/>
  <c r="N323" i="25" s="1"/>
  <c r="G324" i="25" l="1"/>
  <c r="F324" i="25" s="1"/>
  <c r="E324" i="25" s="1"/>
  <c r="H324" i="25"/>
  <c r="Y324" i="25" l="1"/>
  <c r="D324" i="25"/>
  <c r="C324" i="25"/>
  <c r="B325" i="25"/>
  <c r="M324" i="25"/>
  <c r="J325" i="25"/>
  <c r="I325" i="25"/>
  <c r="Z324" i="25" l="1"/>
  <c r="S324" i="25"/>
  <c r="R324" i="25" l="1"/>
  <c r="Q324" i="25" s="1"/>
  <c r="P324" i="25" s="1"/>
  <c r="O324" i="25" s="1"/>
  <c r="N324" i="25" s="1"/>
  <c r="H325" i="25" l="1"/>
  <c r="G325" i="25"/>
  <c r="F325" i="25" s="1"/>
  <c r="E325" i="25" s="1"/>
  <c r="D325" i="25" l="1"/>
  <c r="C325" i="25"/>
  <c r="Y325" i="25"/>
  <c r="B326" i="25"/>
  <c r="M325" i="25"/>
  <c r="I326" i="25"/>
  <c r="J326" i="25"/>
  <c r="Z325" i="25" l="1"/>
  <c r="S325" i="25"/>
  <c r="R325" i="25" l="1"/>
  <c r="Q325" i="25" s="1"/>
  <c r="P325" i="25" s="1"/>
  <c r="O325" i="25" s="1"/>
  <c r="N325" i="25" s="1"/>
  <c r="G326" i="25" l="1"/>
  <c r="F326" i="25" s="1"/>
  <c r="E326" i="25" s="1"/>
  <c r="H326" i="25"/>
  <c r="C326" i="25" l="1"/>
  <c r="Y326" i="25"/>
  <c r="D326" i="25"/>
  <c r="B327" i="25"/>
  <c r="J327" i="25"/>
  <c r="I327" i="25"/>
  <c r="M326" i="25"/>
  <c r="Z326" i="25" l="1"/>
  <c r="S326" i="25"/>
  <c r="R326" i="25" l="1"/>
  <c r="Q326" i="25" s="1"/>
  <c r="P326" i="25" s="1"/>
  <c r="O326" i="25" s="1"/>
  <c r="N326" i="25" s="1"/>
  <c r="G327" i="25" l="1"/>
  <c r="F327" i="25" s="1"/>
  <c r="E327" i="25" s="1"/>
  <c r="H327" i="25"/>
  <c r="Y327" i="25" l="1"/>
  <c r="D327" i="25"/>
  <c r="C327" i="25"/>
  <c r="B328" i="25"/>
  <c r="M327" i="25"/>
  <c r="I328" i="25"/>
  <c r="J328" i="25"/>
  <c r="Z327" i="25" l="1"/>
  <c r="S327" i="25"/>
  <c r="R327" i="25" l="1"/>
  <c r="Q327" i="25" s="1"/>
  <c r="P327" i="25" s="1"/>
  <c r="O327" i="25" s="1"/>
  <c r="N327" i="25" s="1"/>
  <c r="G328" i="25" l="1"/>
  <c r="F328" i="25" s="1"/>
  <c r="E328" i="25" s="1"/>
  <c r="H328" i="25"/>
  <c r="Y328" i="25" l="1"/>
  <c r="D328" i="25"/>
  <c r="C328" i="25"/>
  <c r="B329" i="25"/>
  <c r="I329" i="25"/>
  <c r="J329" i="25"/>
  <c r="M328" i="25"/>
  <c r="S328" i="25" l="1"/>
  <c r="R328" i="25" s="1"/>
  <c r="Z328" i="25"/>
  <c r="Q328" i="25" l="1"/>
  <c r="P328" i="25" s="1"/>
  <c r="O328" i="25" s="1"/>
  <c r="N328" i="25" s="1"/>
  <c r="G329" i="25" l="1"/>
  <c r="F329" i="25" s="1"/>
  <c r="E329" i="25" s="1"/>
  <c r="H329" i="25"/>
  <c r="C329" i="25" l="1"/>
  <c r="D329" i="25"/>
  <c r="Y329" i="25"/>
  <c r="B330" i="25"/>
  <c r="M329" i="25"/>
  <c r="J330" i="25"/>
  <c r="I330" i="25"/>
  <c r="Z329" i="25" l="1"/>
  <c r="S329" i="25"/>
  <c r="R329" i="25" l="1"/>
  <c r="Q329" i="25" s="1"/>
  <c r="P329" i="25" s="1"/>
  <c r="O329" i="25" s="1"/>
  <c r="N329" i="25" s="1"/>
  <c r="G330" i="25" l="1"/>
  <c r="F330" i="25" s="1"/>
  <c r="E330" i="25" s="1"/>
  <c r="H330" i="25"/>
  <c r="D330" i="25" l="1"/>
  <c r="Y330" i="25"/>
  <c r="C330" i="25"/>
  <c r="B331" i="25"/>
  <c r="I331" i="25"/>
  <c r="M330" i="25"/>
  <c r="J331" i="25"/>
  <c r="S330" i="25" l="1"/>
  <c r="Z330" i="25"/>
  <c r="R330" i="25" l="1"/>
  <c r="Q330" i="25" s="1"/>
  <c r="P330" i="25" s="1"/>
  <c r="O330" i="25" s="1"/>
  <c r="N330" i="25" s="1"/>
  <c r="G331" i="25" l="1"/>
  <c r="F331" i="25" s="1"/>
  <c r="E331" i="25" s="1"/>
  <c r="H331" i="25"/>
  <c r="D331" i="25" l="1"/>
  <c r="C331" i="25"/>
  <c r="Y331" i="25"/>
  <c r="B332" i="25"/>
  <c r="M331" i="25"/>
  <c r="J332" i="25"/>
  <c r="I332" i="25"/>
  <c r="Z331" i="25" l="1"/>
  <c r="S331" i="25"/>
  <c r="R331" i="25" l="1"/>
  <c r="Q331" i="25" s="1"/>
  <c r="P331" i="25" s="1"/>
  <c r="O331" i="25" s="1"/>
  <c r="N331" i="25" s="1"/>
  <c r="H332" i="25" l="1"/>
  <c r="G332" i="25"/>
  <c r="F332" i="25" s="1"/>
  <c r="E332" i="25" s="1"/>
  <c r="C332" i="25" l="1"/>
  <c r="D332" i="25"/>
  <c r="Y332" i="25"/>
  <c r="B333" i="25"/>
  <c r="J333" i="25"/>
  <c r="I333" i="25"/>
  <c r="M332" i="25"/>
  <c r="Z332" i="25" l="1"/>
  <c r="S332" i="25"/>
  <c r="R332" i="25" s="1"/>
  <c r="Q332" i="25" l="1"/>
  <c r="P332" i="25" s="1"/>
  <c r="O332" i="25" s="1"/>
  <c r="N332" i="25" s="1"/>
  <c r="H333" i="25" l="1"/>
  <c r="G333" i="25"/>
  <c r="F333" i="25" s="1"/>
  <c r="E333" i="25" s="1"/>
  <c r="D333" i="25" l="1"/>
  <c r="Y333" i="25"/>
  <c r="C333" i="25"/>
  <c r="B334" i="25"/>
  <c r="J334" i="25"/>
  <c r="I334" i="25"/>
  <c r="M333" i="25"/>
  <c r="Z333" i="25" l="1"/>
  <c r="S333" i="25"/>
  <c r="R333" i="25" s="1"/>
  <c r="Q333" i="25" l="1"/>
  <c r="P333" i="25" s="1"/>
  <c r="O333" i="25" s="1"/>
  <c r="N333" i="25" s="1"/>
  <c r="H334" i="25" l="1"/>
  <c r="G334" i="25"/>
  <c r="F334" i="25" s="1"/>
  <c r="E334" i="25" s="1"/>
  <c r="C334" i="25" l="1"/>
  <c r="Y334" i="25"/>
  <c r="D334" i="25"/>
  <c r="B335" i="25"/>
  <c r="J335" i="25"/>
  <c r="I335" i="25"/>
  <c r="M334" i="25"/>
  <c r="Z334" i="25" l="1"/>
  <c r="S334" i="25"/>
  <c r="R334" i="25" s="1"/>
  <c r="Q334" i="25" l="1"/>
  <c r="P334" i="25" s="1"/>
  <c r="O334" i="25" s="1"/>
  <c r="N334" i="25" s="1"/>
  <c r="G335" i="25" l="1"/>
  <c r="F335" i="25" s="1"/>
  <c r="E335" i="25" s="1"/>
  <c r="H335" i="25"/>
  <c r="Y335" i="25" l="1"/>
  <c r="C335" i="25"/>
  <c r="D335" i="25"/>
  <c r="B336" i="25"/>
  <c r="J336" i="25"/>
  <c r="M335" i="25"/>
  <c r="I336" i="25"/>
  <c r="S335" i="25" l="1"/>
  <c r="Z335" i="25"/>
  <c r="R335" i="25" l="1"/>
  <c r="Q335" i="25" s="1"/>
  <c r="P335" i="25" s="1"/>
  <c r="O335" i="25" s="1"/>
  <c r="N335" i="25" s="1"/>
  <c r="G336" i="25" l="1"/>
  <c r="F336" i="25" s="1"/>
  <c r="E336" i="25" s="1"/>
  <c r="H336" i="25"/>
  <c r="Y336" i="25" l="1"/>
  <c r="D336" i="25"/>
  <c r="C336" i="25"/>
  <c r="B337" i="25"/>
  <c r="J337" i="25"/>
  <c r="M336" i="25"/>
  <c r="I337" i="25"/>
  <c r="S336" i="25" l="1"/>
  <c r="Z336" i="25"/>
  <c r="R336" i="25" l="1"/>
  <c r="Q336" i="25" s="1"/>
  <c r="P336" i="25" s="1"/>
  <c r="O336" i="25" s="1"/>
  <c r="N336" i="25" s="1"/>
  <c r="G337" i="25" l="1"/>
  <c r="F337" i="25" s="1"/>
  <c r="E337" i="25" s="1"/>
  <c r="H337" i="25"/>
  <c r="D337" i="25" l="1"/>
  <c r="C337" i="25"/>
  <c r="Y337" i="25"/>
  <c r="B338" i="25"/>
  <c r="M337" i="25"/>
  <c r="J338" i="25"/>
  <c r="I338" i="25"/>
  <c r="Z337" i="25" l="1"/>
  <c r="S337" i="25"/>
  <c r="R337" i="25" l="1"/>
  <c r="Q337" i="25" s="1"/>
  <c r="P337" i="25" s="1"/>
  <c r="O337" i="25" s="1"/>
  <c r="N337" i="25" s="1"/>
  <c r="G338" i="25" l="1"/>
  <c r="F338" i="25" s="1"/>
  <c r="E338" i="25" s="1"/>
  <c r="H338" i="25"/>
  <c r="D338" i="25" l="1"/>
  <c r="Y338" i="25"/>
  <c r="C338" i="25"/>
  <c r="B339" i="25"/>
  <c r="I339" i="25"/>
  <c r="J339" i="25"/>
  <c r="M338" i="25"/>
  <c r="S338" i="25" l="1"/>
  <c r="R338" i="25" s="1"/>
  <c r="Z338" i="25"/>
  <c r="Q338" i="25" l="1"/>
  <c r="P338" i="25" s="1"/>
  <c r="O338" i="25" s="1"/>
  <c r="N338" i="25" s="1"/>
  <c r="H339" i="25" l="1"/>
  <c r="G339" i="25"/>
  <c r="F339" i="25" s="1"/>
  <c r="E339" i="25" s="1"/>
  <c r="D339" i="25" l="1"/>
  <c r="C339" i="25"/>
  <c r="Y339" i="25"/>
  <c r="B340" i="25"/>
  <c r="M339" i="25"/>
  <c r="I340" i="25"/>
  <c r="J340" i="25"/>
  <c r="Z339" i="25" l="1"/>
  <c r="S339" i="25"/>
  <c r="R339" i="25" l="1"/>
  <c r="Q339" i="25" s="1"/>
  <c r="P339" i="25" s="1"/>
  <c r="O339" i="25" s="1"/>
  <c r="N339" i="25" s="1"/>
  <c r="G340" i="25" l="1"/>
  <c r="F340" i="25" s="1"/>
  <c r="E340" i="25" s="1"/>
  <c r="H340" i="25"/>
  <c r="Y340" i="25" l="1"/>
  <c r="C340" i="25"/>
  <c r="D340" i="25"/>
  <c r="B341" i="25"/>
  <c r="J341" i="25"/>
  <c r="I341" i="25"/>
  <c r="M340" i="25"/>
  <c r="Z340" i="25" l="1"/>
  <c r="S340" i="25"/>
  <c r="R340" i="25" l="1"/>
  <c r="Q340" i="25" s="1"/>
  <c r="P340" i="25" s="1"/>
  <c r="O340" i="25" s="1"/>
  <c r="N340" i="25" s="1"/>
  <c r="G341" i="25" l="1"/>
  <c r="F341" i="25" s="1"/>
  <c r="E341" i="25" s="1"/>
  <c r="H341" i="25"/>
  <c r="Y341" i="25" l="1"/>
  <c r="C341" i="25"/>
  <c r="D341" i="25"/>
  <c r="B342" i="25"/>
  <c r="J342" i="25"/>
  <c r="M341" i="25"/>
  <c r="I342" i="25"/>
  <c r="S341" i="25" l="1"/>
  <c r="Z341" i="25"/>
  <c r="R341" i="25" l="1"/>
  <c r="Q341" i="25" s="1"/>
  <c r="P341" i="25" s="1"/>
  <c r="O341" i="25" s="1"/>
  <c r="N341" i="25" s="1"/>
  <c r="G342" i="25" l="1"/>
  <c r="F342" i="25" s="1"/>
  <c r="E342" i="25" s="1"/>
  <c r="H342" i="25"/>
  <c r="C342" i="25" l="1"/>
  <c r="Y342" i="25"/>
  <c r="D342" i="25"/>
  <c r="B343" i="25"/>
  <c r="M342" i="25"/>
  <c r="J343" i="25"/>
  <c r="I343" i="25"/>
  <c r="Z342" i="25" l="1"/>
  <c r="S342" i="25"/>
  <c r="R342" i="25" l="1"/>
  <c r="Q342" i="25" s="1"/>
  <c r="P342" i="25" s="1"/>
  <c r="O342" i="25" s="1"/>
  <c r="N342" i="25" s="1"/>
  <c r="H343" i="25" l="1"/>
  <c r="G343" i="25"/>
  <c r="F343" i="25" s="1"/>
  <c r="E343" i="25" s="1"/>
  <c r="C343" i="25" l="1"/>
  <c r="Y343" i="25"/>
  <c r="D343" i="25"/>
  <c r="B344" i="25"/>
  <c r="I344" i="25"/>
  <c r="J344" i="25"/>
  <c r="M343" i="25"/>
  <c r="S343" i="25" l="1"/>
  <c r="R343" i="25" s="1"/>
  <c r="Z343" i="25"/>
  <c r="Q343" i="25" l="1"/>
  <c r="P343" i="25" s="1"/>
  <c r="O343" i="25" s="1"/>
  <c r="N343" i="25" s="1"/>
  <c r="G344" i="25" l="1"/>
  <c r="F344" i="25" s="1"/>
  <c r="E344" i="25" s="1"/>
  <c r="H344" i="25"/>
  <c r="C344" i="25" l="1"/>
  <c r="Y344" i="25"/>
  <c r="D344" i="25"/>
  <c r="B345" i="25"/>
  <c r="M344" i="25"/>
  <c r="I345" i="25"/>
  <c r="J345" i="25"/>
  <c r="Z344" i="25" l="1"/>
  <c r="S344" i="25"/>
  <c r="R344" i="25" l="1"/>
  <c r="Q344" i="25" s="1"/>
  <c r="P344" i="25" s="1"/>
  <c r="O344" i="25" s="1"/>
  <c r="N344" i="25" s="1"/>
  <c r="H345" i="25" l="1"/>
  <c r="G345" i="25"/>
  <c r="F345" i="25" s="1"/>
  <c r="E345" i="25" s="1"/>
  <c r="D345" i="25" l="1"/>
  <c r="C345" i="25"/>
  <c r="Y345" i="25"/>
  <c r="B346" i="25"/>
  <c r="M345" i="25"/>
  <c r="I346" i="25"/>
  <c r="J346" i="25"/>
  <c r="Z345" i="25" l="1"/>
  <c r="S345" i="25"/>
  <c r="R345" i="25" l="1"/>
  <c r="Q345" i="25" s="1"/>
  <c r="P345" i="25" s="1"/>
  <c r="O345" i="25" s="1"/>
  <c r="N345" i="25" s="1"/>
  <c r="G346" i="25" l="1"/>
  <c r="F346" i="25" s="1"/>
  <c r="E346" i="25" s="1"/>
  <c r="H346" i="25"/>
  <c r="C346" i="25" l="1"/>
  <c r="D346" i="25"/>
  <c r="Y346" i="25"/>
  <c r="B347" i="25"/>
  <c r="J347" i="25"/>
  <c r="I347" i="25"/>
  <c r="M346" i="25"/>
  <c r="Z346" i="25" l="1"/>
  <c r="S346" i="25"/>
  <c r="R346" i="25" s="1"/>
  <c r="Q346" i="25" l="1"/>
  <c r="P346" i="25" s="1"/>
  <c r="O346" i="25" s="1"/>
  <c r="N346" i="25" s="1"/>
  <c r="G347" i="25" l="1"/>
  <c r="F347" i="25" s="1"/>
  <c r="E347" i="25" s="1"/>
  <c r="H347" i="25"/>
  <c r="C347" i="25" l="1"/>
  <c r="D347" i="25"/>
  <c r="Y347" i="25"/>
  <c r="B348" i="25"/>
  <c r="M347" i="25"/>
  <c r="I348" i="25"/>
  <c r="J348" i="25"/>
  <c r="Z347" i="25" l="1"/>
  <c r="S347" i="25"/>
  <c r="R347" i="25" l="1"/>
  <c r="Q347" i="25" s="1"/>
  <c r="P347" i="25" s="1"/>
  <c r="O347" i="25" s="1"/>
  <c r="N347" i="25" s="1"/>
  <c r="G348" i="25" l="1"/>
  <c r="F348" i="25" s="1"/>
  <c r="E348" i="25" s="1"/>
  <c r="H348" i="25"/>
  <c r="C348" i="25" l="1"/>
  <c r="D348" i="25"/>
  <c r="Y348" i="25"/>
  <c r="B349" i="25"/>
  <c r="I349" i="25"/>
  <c r="M348" i="25"/>
  <c r="J349" i="25"/>
  <c r="S348" i="25" l="1"/>
  <c r="R348" i="25" s="1"/>
  <c r="Z348" i="25"/>
  <c r="Q348" i="25" l="1"/>
  <c r="P348" i="25" s="1"/>
  <c r="O348" i="25" s="1"/>
  <c r="N348" i="25" s="1"/>
  <c r="H349" i="25" l="1"/>
  <c r="G349" i="25"/>
  <c r="F349" i="25" s="1"/>
  <c r="E349" i="25" s="1"/>
  <c r="Y349" i="25" l="1"/>
  <c r="D349" i="25"/>
  <c r="C349" i="25"/>
  <c r="B350" i="25"/>
  <c r="I350" i="25"/>
  <c r="M349" i="25"/>
  <c r="J350" i="25"/>
  <c r="S349" i="25" l="1"/>
  <c r="R349" i="25" s="1"/>
  <c r="Z349" i="25"/>
  <c r="Q349" i="25" l="1"/>
  <c r="P349" i="25" s="1"/>
  <c r="O349" i="25" s="1"/>
  <c r="N349" i="25" s="1"/>
  <c r="G350" i="25" l="1"/>
  <c r="F350" i="25" s="1"/>
  <c r="E350" i="25" s="1"/>
  <c r="H350" i="25"/>
  <c r="H3" i="37"/>
  <c r="L4" i="38" s="1"/>
  <c r="Y350" i="25" l="1"/>
  <c r="D350" i="25"/>
  <c r="C350" i="25"/>
  <c r="B351" i="25"/>
  <c r="I351" i="25"/>
  <c r="J351" i="25"/>
  <c r="M350" i="25"/>
  <c r="D4" i="37"/>
  <c r="H27" i="38" s="1"/>
  <c r="I27" i="38" s="1"/>
  <c r="L4" i="34"/>
  <c r="S350" i="25" l="1"/>
  <c r="R350" i="25" s="1"/>
  <c r="Z350" i="25"/>
  <c r="C4" i="37"/>
  <c r="H27" i="34"/>
  <c r="I27" i="34" s="1"/>
  <c r="O4" i="37"/>
  <c r="G4" i="37"/>
  <c r="E28" i="37"/>
  <c r="E5" i="37" s="1"/>
  <c r="J5" i="37" s="1"/>
  <c r="Q350" i="25" l="1"/>
  <c r="P350" i="25" s="1"/>
  <c r="O350" i="25" s="1"/>
  <c r="N350" i="25" s="1"/>
  <c r="I4" i="37"/>
  <c r="K5" i="34" s="1"/>
  <c r="I27" i="37"/>
  <c r="H351" i="25" l="1"/>
  <c r="G351" i="25"/>
  <c r="F351" i="25" s="1"/>
  <c r="E351" i="25" s="1"/>
  <c r="K5" i="38"/>
  <c r="J5" i="38" s="1"/>
  <c r="J27" i="38" s="1"/>
  <c r="K27" i="38" s="1"/>
  <c r="L27" i="38" s="1"/>
  <c r="H5" i="34"/>
  <c r="J5" i="34"/>
  <c r="K4" i="37"/>
  <c r="H4" i="37"/>
  <c r="Y351" i="25" l="1"/>
  <c r="D351" i="25"/>
  <c r="C351" i="25"/>
  <c r="B352" i="25"/>
  <c r="M351" i="25"/>
  <c r="I352" i="25"/>
  <c r="J352" i="25"/>
  <c r="J27" i="34"/>
  <c r="K27" i="34" s="1"/>
  <c r="H5" i="38"/>
  <c r="I5" i="38" s="1"/>
  <c r="D5" i="37"/>
  <c r="H28" i="38" s="1"/>
  <c r="I28" i="38" s="1"/>
  <c r="L5" i="38"/>
  <c r="I5" i="34"/>
  <c r="L5" i="34"/>
  <c r="Z351" i="25" l="1"/>
  <c r="S351" i="25"/>
  <c r="C5" i="37"/>
  <c r="E29" i="37"/>
  <c r="E6" i="37" s="1"/>
  <c r="J6" i="37" s="1"/>
  <c r="O5" i="37"/>
  <c r="G5" i="37"/>
  <c r="I28" i="37" s="1"/>
  <c r="H28" i="34"/>
  <c r="I28" i="34" s="1"/>
  <c r="R351" i="25" l="1"/>
  <c r="Q351" i="25" s="1"/>
  <c r="P351" i="25" s="1"/>
  <c r="O351" i="25" s="1"/>
  <c r="N351" i="25" s="1"/>
  <c r="I5" i="37"/>
  <c r="K6" i="38" s="1"/>
  <c r="K5" i="37"/>
  <c r="G352" i="25" l="1"/>
  <c r="F352" i="25" s="1"/>
  <c r="E352" i="25" s="1"/>
  <c r="H352" i="25"/>
  <c r="H6" i="38"/>
  <c r="I6" i="38" s="1"/>
  <c r="J6" i="38"/>
  <c r="J28" i="38" s="1"/>
  <c r="K28" i="38" s="1"/>
  <c r="L28" i="38" s="1"/>
  <c r="H5" i="37"/>
  <c r="L6" i="38" s="1"/>
  <c r="K6" i="34"/>
  <c r="Y352" i="25" l="1"/>
  <c r="C352" i="25"/>
  <c r="D352" i="25"/>
  <c r="B353" i="25"/>
  <c r="J353" i="25"/>
  <c r="M352" i="25"/>
  <c r="I353" i="25"/>
  <c r="D6" i="37"/>
  <c r="H29" i="38" s="1"/>
  <c r="I29" i="38" s="1"/>
  <c r="L6" i="34"/>
  <c r="J6" i="34"/>
  <c r="H6" i="34"/>
  <c r="I6" i="34" s="1"/>
  <c r="S352" i="25" l="1"/>
  <c r="Z352" i="25"/>
  <c r="J28" i="34"/>
  <c r="K28" i="34" s="1"/>
  <c r="C6" i="37"/>
  <c r="H29" i="34"/>
  <c r="I29" i="34" s="1"/>
  <c r="E30" i="37"/>
  <c r="E7" i="37" s="1"/>
  <c r="J7" i="37" s="1"/>
  <c r="G6" i="37"/>
  <c r="O6" i="37"/>
  <c r="R352" i="25" l="1"/>
  <c r="Q352" i="25" s="1"/>
  <c r="P352" i="25" s="1"/>
  <c r="O352" i="25" s="1"/>
  <c r="N352" i="25" s="1"/>
  <c r="K6" i="37"/>
  <c r="I29" i="37"/>
  <c r="I6" i="37"/>
  <c r="K7" i="38" s="1"/>
  <c r="J7" i="38" s="1"/>
  <c r="J29" i="38" s="1"/>
  <c r="K29" i="38" s="1"/>
  <c r="L29" i="38" s="1"/>
  <c r="H353" i="25" l="1"/>
  <c r="G353" i="25"/>
  <c r="F353" i="25" s="1"/>
  <c r="E353" i="25" s="1"/>
  <c r="K7" i="34"/>
  <c r="J7" i="34" s="1"/>
  <c r="H7" i="38"/>
  <c r="I7" i="38" s="1"/>
  <c r="H6" i="37"/>
  <c r="D7" i="37" s="1"/>
  <c r="H30" i="38" s="1"/>
  <c r="I30" i="38" s="1"/>
  <c r="D353" i="25" l="1"/>
  <c r="Y353" i="25"/>
  <c r="C353" i="25"/>
  <c r="B354" i="25"/>
  <c r="J354" i="25"/>
  <c r="M353" i="25"/>
  <c r="I354" i="25"/>
  <c r="J29" i="34"/>
  <c r="K29" i="34" s="1"/>
  <c r="H30" i="34"/>
  <c r="I30" i="34" s="1"/>
  <c r="L7" i="38"/>
  <c r="L7" i="34"/>
  <c r="H7" i="34"/>
  <c r="I7" i="34" s="1"/>
  <c r="G7" i="37"/>
  <c r="C7" i="37"/>
  <c r="O7" i="37"/>
  <c r="E31" i="37"/>
  <c r="E8" i="37" s="1"/>
  <c r="J8" i="37" s="1"/>
  <c r="S353" i="25" l="1"/>
  <c r="Z353" i="25"/>
  <c r="K7" i="37"/>
  <c r="I30" i="37"/>
  <c r="I7" i="37"/>
  <c r="K8" i="38" s="1"/>
  <c r="J8" i="38" s="1"/>
  <c r="J30" i="38" s="1"/>
  <c r="K30" i="38" s="1"/>
  <c r="L30" i="38" s="1"/>
  <c r="R353" i="25" l="1"/>
  <c r="Q353" i="25" s="1"/>
  <c r="P353" i="25" s="1"/>
  <c r="O353" i="25" s="1"/>
  <c r="N353" i="25" s="1"/>
  <c r="K8" i="34"/>
  <c r="J8" i="34" s="1"/>
  <c r="H7" i="37"/>
  <c r="D8" i="37" s="1"/>
  <c r="H31" i="38" s="1"/>
  <c r="I31" i="38" s="1"/>
  <c r="H8" i="38"/>
  <c r="I8" i="38" s="1"/>
  <c r="H354" i="25" l="1"/>
  <c r="G354" i="25"/>
  <c r="F354" i="25" s="1"/>
  <c r="E354" i="25" s="1"/>
  <c r="J30" i="34"/>
  <c r="K30" i="34" s="1"/>
  <c r="H31" i="34"/>
  <c r="I31" i="34" s="1"/>
  <c r="E32" i="37"/>
  <c r="E9" i="37" s="1"/>
  <c r="J9" i="37" s="1"/>
  <c r="G8" i="37"/>
  <c r="O8" i="37"/>
  <c r="H8" i="34"/>
  <c r="I8" i="34" s="1"/>
  <c r="L8" i="34"/>
  <c r="C8" i="37"/>
  <c r="L8" i="38"/>
  <c r="Y354" i="25" l="1"/>
  <c r="C354" i="25"/>
  <c r="D354" i="25"/>
  <c r="B355" i="25"/>
  <c r="J355" i="25"/>
  <c r="M354" i="25"/>
  <c r="I355" i="25"/>
  <c r="K8" i="37"/>
  <c r="I31" i="37"/>
  <c r="I8" i="37"/>
  <c r="K9" i="38" s="1"/>
  <c r="H9" i="38" s="1"/>
  <c r="I9" i="38" s="1"/>
  <c r="S354" i="25" l="1"/>
  <c r="Z354" i="25"/>
  <c r="K9" i="34"/>
  <c r="J9" i="34" s="1"/>
  <c r="J9" i="38"/>
  <c r="J31" i="38" s="1"/>
  <c r="K31" i="38" s="1"/>
  <c r="L31" i="38" s="1"/>
  <c r="H8" i="37"/>
  <c r="D9" i="37" s="1"/>
  <c r="H32" i="38" s="1"/>
  <c r="I32" i="38" s="1"/>
  <c r="R354" i="25" l="1"/>
  <c r="Q354" i="25" s="1"/>
  <c r="P354" i="25" s="1"/>
  <c r="O354" i="25" s="1"/>
  <c r="N354" i="25" s="1"/>
  <c r="J31" i="34"/>
  <c r="K31" i="34" s="1"/>
  <c r="H9" i="34"/>
  <c r="I9" i="34" s="1"/>
  <c r="H32" i="34"/>
  <c r="I32" i="34" s="1"/>
  <c r="L9" i="38"/>
  <c r="G9" i="37"/>
  <c r="E33" i="37"/>
  <c r="E10" i="37" s="1"/>
  <c r="J10" i="37" s="1"/>
  <c r="O9" i="37"/>
  <c r="L9" i="34"/>
  <c r="C9" i="37"/>
  <c r="G355" i="25" l="1"/>
  <c r="F355" i="25" s="1"/>
  <c r="E355" i="25" s="1"/>
  <c r="H355" i="25"/>
  <c r="I9" i="37"/>
  <c r="H9" i="37" s="1"/>
  <c r="D10" i="37" s="1"/>
  <c r="H33" i="38" s="1"/>
  <c r="I33" i="38" s="1"/>
  <c r="I32" i="37"/>
  <c r="K9" i="37"/>
  <c r="Y355" i="25" l="1"/>
  <c r="C355" i="25"/>
  <c r="D355" i="25"/>
  <c r="B356" i="25"/>
  <c r="M355" i="25"/>
  <c r="J356" i="25"/>
  <c r="I356" i="25"/>
  <c r="K10" i="38"/>
  <c r="H10" i="38" s="1"/>
  <c r="I10" i="38" s="1"/>
  <c r="K10" i="34"/>
  <c r="H10" i="34" s="1"/>
  <c r="I10" i="34" s="1"/>
  <c r="O10" i="37"/>
  <c r="G10" i="37"/>
  <c r="I33" i="37" s="1"/>
  <c r="E34" i="37"/>
  <c r="E11" i="37" s="1"/>
  <c r="J11" i="37" s="1"/>
  <c r="C10" i="37"/>
  <c r="H33" i="34"/>
  <c r="I33" i="34" s="1"/>
  <c r="Z355" i="25" l="1"/>
  <c r="S355" i="25"/>
  <c r="L10" i="38"/>
  <c r="J10" i="38"/>
  <c r="J32" i="38" s="1"/>
  <c r="K32" i="38" s="1"/>
  <c r="L32" i="38" s="1"/>
  <c r="L10" i="34"/>
  <c r="J10" i="34"/>
  <c r="J32" i="34" s="1"/>
  <c r="K32" i="34" s="1"/>
  <c r="I10" i="37"/>
  <c r="K11" i="38" s="1"/>
  <c r="K10" i="37"/>
  <c r="R355" i="25" l="1"/>
  <c r="Q355" i="25" s="1"/>
  <c r="P355" i="25" s="1"/>
  <c r="O355" i="25" s="1"/>
  <c r="N355" i="25" s="1"/>
  <c r="J11" i="38"/>
  <c r="J33" i="38" s="1"/>
  <c r="K33" i="38" s="1"/>
  <c r="L33" i="38" s="1"/>
  <c r="H11" i="38"/>
  <c r="I11" i="38" s="1"/>
  <c r="H10" i="37"/>
  <c r="D11" i="37" s="1"/>
  <c r="H34" i="38" s="1"/>
  <c r="I34" i="38" s="1"/>
  <c r="K11" i="34"/>
  <c r="J11" i="34" s="1"/>
  <c r="H356" i="25" l="1"/>
  <c r="G356" i="25"/>
  <c r="F356" i="25" s="1"/>
  <c r="E356" i="25" s="1"/>
  <c r="L11" i="38"/>
  <c r="J33" i="34"/>
  <c r="K33" i="34" s="1"/>
  <c r="L11" i="34"/>
  <c r="H11" i="34"/>
  <c r="I11" i="34" s="1"/>
  <c r="G11" i="37"/>
  <c r="E35" i="37"/>
  <c r="E12" i="37" s="1"/>
  <c r="J12" i="37" s="1"/>
  <c r="O11" i="37"/>
  <c r="C11" i="37"/>
  <c r="H34" i="34"/>
  <c r="I34" i="34" s="1"/>
  <c r="C356" i="25" l="1"/>
  <c r="D356" i="25"/>
  <c r="Y356" i="25"/>
  <c r="B357" i="25"/>
  <c r="I357" i="25"/>
  <c r="J357" i="25"/>
  <c r="M356" i="25"/>
  <c r="I11" i="37"/>
  <c r="H11" i="37" s="1"/>
  <c r="D12" i="37" s="1"/>
  <c r="H35" i="38" s="1"/>
  <c r="I35" i="38" s="1"/>
  <c r="I34" i="37"/>
  <c r="K11" i="37"/>
  <c r="S356" i="25" l="1"/>
  <c r="R356" i="25" s="1"/>
  <c r="Z356" i="25"/>
  <c r="K12" i="38"/>
  <c r="L12" i="38" s="1"/>
  <c r="K12" i="34"/>
  <c r="J12" i="34" s="1"/>
  <c r="H35" i="34"/>
  <c r="I35" i="34" s="1"/>
  <c r="E36" i="37"/>
  <c r="E13" i="37" s="1"/>
  <c r="J13" i="37" s="1"/>
  <c r="G12" i="37"/>
  <c r="I35" i="37" s="1"/>
  <c r="C12" i="37"/>
  <c r="O12" i="37"/>
  <c r="Q356" i="25" l="1"/>
  <c r="P356" i="25" s="1"/>
  <c r="O356" i="25" s="1"/>
  <c r="N356" i="25" s="1"/>
  <c r="J12" i="38"/>
  <c r="J34" i="38" s="1"/>
  <c r="K34" i="38" s="1"/>
  <c r="L34" i="38" s="1"/>
  <c r="H12" i="38"/>
  <c r="I12" i="38" s="1"/>
  <c r="H12" i="34"/>
  <c r="I12" i="34" s="1"/>
  <c r="L12" i="34"/>
  <c r="J34" i="34"/>
  <c r="K34" i="34" s="1"/>
  <c r="I12" i="37"/>
  <c r="K13" i="38" s="1"/>
  <c r="K12" i="37"/>
  <c r="H357" i="25" l="1"/>
  <c r="G357" i="25"/>
  <c r="F357" i="25" s="1"/>
  <c r="E357" i="25" s="1"/>
  <c r="H13" i="38"/>
  <c r="I13" i="38" s="1"/>
  <c r="J13" i="38"/>
  <c r="J35" i="38" s="1"/>
  <c r="K35" i="38" s="1"/>
  <c r="L35" i="38" s="1"/>
  <c r="H12" i="37"/>
  <c r="L13" i="38" s="1"/>
  <c r="K13" i="34"/>
  <c r="C357" i="25" l="1"/>
  <c r="Y357" i="25"/>
  <c r="D357" i="25"/>
  <c r="B358" i="25"/>
  <c r="M357" i="25"/>
  <c r="I358" i="25"/>
  <c r="J358" i="25"/>
  <c r="D13" i="37"/>
  <c r="H36" i="38" s="1"/>
  <c r="I36" i="38" s="1"/>
  <c r="L13" i="34"/>
  <c r="H13" i="34"/>
  <c r="I13" i="34" s="1"/>
  <c r="J13" i="34"/>
  <c r="Z357" i="25" l="1"/>
  <c r="S357" i="25"/>
  <c r="J35" i="34"/>
  <c r="K35" i="34" s="1"/>
  <c r="H36" i="34"/>
  <c r="I36" i="34" s="1"/>
  <c r="O13" i="37"/>
  <c r="C13" i="37"/>
  <c r="E37" i="37"/>
  <c r="E14" i="37" s="1"/>
  <c r="J14" i="37" s="1"/>
  <c r="G13" i="37"/>
  <c r="R357" i="25" l="1"/>
  <c r="Q357" i="25" s="1"/>
  <c r="P357" i="25" s="1"/>
  <c r="O357" i="25" s="1"/>
  <c r="N357" i="25" s="1"/>
  <c r="I13" i="37"/>
  <c r="K14" i="38" s="1"/>
  <c r="H14" i="38" s="1"/>
  <c r="I14" i="38" s="1"/>
  <c r="I36" i="37"/>
  <c r="K13" i="37"/>
  <c r="H358" i="25" l="1"/>
  <c r="G358" i="25"/>
  <c r="F358" i="25" s="1"/>
  <c r="E358" i="25" s="1"/>
  <c r="K14" i="34"/>
  <c r="J14" i="34" s="1"/>
  <c r="J14" i="38"/>
  <c r="J36" i="38" s="1"/>
  <c r="K36" i="38" s="1"/>
  <c r="L36" i="38" s="1"/>
  <c r="H13" i="37"/>
  <c r="C358" i="25" l="1"/>
  <c r="Y358" i="25"/>
  <c r="D358" i="25"/>
  <c r="B359" i="25"/>
  <c r="M358" i="25"/>
  <c r="I359" i="25"/>
  <c r="J359" i="25"/>
  <c r="L14" i="34"/>
  <c r="H14" i="34"/>
  <c r="I14" i="34" s="1"/>
  <c r="J36" i="34"/>
  <c r="K36" i="34" s="1"/>
  <c r="L14" i="38"/>
  <c r="D14" i="37"/>
  <c r="Z358" i="25" l="1"/>
  <c r="S358" i="25"/>
  <c r="H37" i="38"/>
  <c r="I37" i="38" s="1"/>
  <c r="O14" i="37"/>
  <c r="C14" i="37"/>
  <c r="E38" i="37"/>
  <c r="E15" i="37" s="1"/>
  <c r="J15" i="37" s="1"/>
  <c r="H37" i="34"/>
  <c r="I37" i="34" s="1"/>
  <c r="G14" i="37"/>
  <c r="R358" i="25" l="1"/>
  <c r="Q358" i="25" s="1"/>
  <c r="P358" i="25" s="1"/>
  <c r="O358" i="25" s="1"/>
  <c r="N358" i="25" s="1"/>
  <c r="I37" i="37"/>
  <c r="I14" i="37"/>
  <c r="K14" i="37"/>
  <c r="G359" i="25" l="1"/>
  <c r="F359" i="25" s="1"/>
  <c r="E359" i="25" s="1"/>
  <c r="H359" i="25"/>
  <c r="K15" i="38"/>
  <c r="K15" i="34"/>
  <c r="H14" i="37"/>
  <c r="D15" i="37" s="1"/>
  <c r="Y359" i="25" l="1"/>
  <c r="C359" i="25"/>
  <c r="D359" i="25"/>
  <c r="B360" i="25"/>
  <c r="M359" i="25"/>
  <c r="I360" i="25"/>
  <c r="J360" i="25"/>
  <c r="J15" i="34"/>
  <c r="H15" i="34"/>
  <c r="I15" i="34" s="1"/>
  <c r="L15" i="34"/>
  <c r="H38" i="38"/>
  <c r="I38" i="38" s="1"/>
  <c r="C15" i="37"/>
  <c r="O15" i="37"/>
  <c r="H38" i="34"/>
  <c r="I38" i="34" s="1"/>
  <c r="E39" i="37"/>
  <c r="E16" i="37" s="1"/>
  <c r="J16" i="37" s="1"/>
  <c r="G15" i="37"/>
  <c r="J15" i="38"/>
  <c r="J37" i="38" s="1"/>
  <c r="K37" i="38" s="1"/>
  <c r="L37" i="38" s="1"/>
  <c r="H15" i="38"/>
  <c r="I15" i="38" s="1"/>
  <c r="L15" i="38"/>
  <c r="Z359" i="25" l="1"/>
  <c r="S359" i="25"/>
  <c r="J37" i="34"/>
  <c r="K37" i="34" s="1"/>
  <c r="I38" i="37"/>
  <c r="I15" i="37"/>
  <c r="K15" i="37"/>
  <c r="R359" i="25" l="1"/>
  <c r="Q359" i="25" s="1"/>
  <c r="P359" i="25" s="1"/>
  <c r="O359" i="25" s="1"/>
  <c r="N359" i="25" s="1"/>
  <c r="K16" i="38"/>
  <c r="H15" i="37"/>
  <c r="D16" i="37" s="1"/>
  <c r="K16" i="34"/>
  <c r="H360" i="25" l="1"/>
  <c r="G360" i="25"/>
  <c r="F360" i="25" s="1"/>
  <c r="E360" i="25" s="1"/>
  <c r="H39" i="38"/>
  <c r="I39" i="38" s="1"/>
  <c r="O16" i="37"/>
  <c r="E40" i="37"/>
  <c r="E17" i="37" s="1"/>
  <c r="J17" i="37" s="1"/>
  <c r="H39" i="34"/>
  <c r="I39" i="34" s="1"/>
  <c r="C16" i="37"/>
  <c r="G16" i="37"/>
  <c r="H16" i="34"/>
  <c r="I16" i="34" s="1"/>
  <c r="L16" i="34"/>
  <c r="J16" i="34"/>
  <c r="J16" i="38"/>
  <c r="J38" i="38" s="1"/>
  <c r="K38" i="38" s="1"/>
  <c r="L38" i="38" s="1"/>
  <c r="H16" i="38"/>
  <c r="I16" i="38" s="1"/>
  <c r="L16" i="38"/>
  <c r="D360" i="25" l="1"/>
  <c r="Y360" i="25"/>
  <c r="C360" i="25"/>
  <c r="B361" i="25"/>
  <c r="M360" i="25"/>
  <c r="I361" i="25"/>
  <c r="J361" i="25"/>
  <c r="J38" i="34"/>
  <c r="K38" i="34" s="1"/>
  <c r="I39" i="37"/>
  <c r="I16" i="37"/>
  <c r="K16" i="37"/>
  <c r="Z360" i="25" l="1"/>
  <c r="S360" i="25"/>
  <c r="R360" i="25" s="1"/>
  <c r="Q360" i="25" s="1"/>
  <c r="P360" i="25" s="1"/>
  <c r="O360" i="25" s="1"/>
  <c r="N360" i="25" s="1"/>
  <c r="H16" i="37"/>
  <c r="D17" i="37" s="1"/>
  <c r="K17" i="38"/>
  <c r="K17" i="34"/>
  <c r="H361" i="25" l="1"/>
  <c r="G361" i="25"/>
  <c r="F361" i="25" s="1"/>
  <c r="E361" i="25" s="1"/>
  <c r="J17" i="38"/>
  <c r="J39" i="38" s="1"/>
  <c r="K39" i="38" s="1"/>
  <c r="L39" i="38" s="1"/>
  <c r="L17" i="38"/>
  <c r="H17" i="38"/>
  <c r="I17" i="38" s="1"/>
  <c r="J17" i="34"/>
  <c r="L17" i="34"/>
  <c r="H17" i="34"/>
  <c r="I17" i="34" s="1"/>
  <c r="H40" i="38"/>
  <c r="I40" i="38" s="1"/>
  <c r="H40" i="34"/>
  <c r="I40" i="34" s="1"/>
  <c r="C17" i="37"/>
  <c r="O17" i="37"/>
  <c r="G17" i="37"/>
  <c r="E41" i="37"/>
  <c r="E18" i="37" s="1"/>
  <c r="D361" i="25" l="1"/>
  <c r="C361" i="25"/>
  <c r="Y361" i="25"/>
  <c r="B362" i="25"/>
  <c r="I362" i="25"/>
  <c r="M361" i="25"/>
  <c r="J362" i="25"/>
  <c r="J39" i="34"/>
  <c r="K39" i="34" s="1"/>
  <c r="J18" i="37"/>
  <c r="I40" i="37"/>
  <c r="K17" i="37"/>
  <c r="I17" i="37"/>
  <c r="S361" i="25" l="1"/>
  <c r="R361" i="25" s="1"/>
  <c r="Q361" i="25" s="1"/>
  <c r="P361" i="25" s="1"/>
  <c r="O361" i="25" s="1"/>
  <c r="N361" i="25" s="1"/>
  <c r="G362" i="25" s="1"/>
  <c r="F362" i="25" s="1"/>
  <c r="E362" i="25" s="1"/>
  <c r="I363" i="25" s="1"/>
  <c r="Z361" i="25"/>
  <c r="K18" i="38"/>
  <c r="H17" i="37"/>
  <c r="K18" i="34"/>
  <c r="H362" i="25" l="1"/>
  <c r="M362" i="25"/>
  <c r="J363" i="25"/>
  <c r="S362" i="25" s="1"/>
  <c r="Y362" i="25"/>
  <c r="C362" i="25"/>
  <c r="D362" i="25"/>
  <c r="B363" i="25"/>
  <c r="L18" i="38"/>
  <c r="D18" i="37"/>
  <c r="H18" i="34"/>
  <c r="I18" i="34" s="1"/>
  <c r="L18" i="34"/>
  <c r="J18" i="34"/>
  <c r="H18" i="38"/>
  <c r="I18" i="38" s="1"/>
  <c r="J18" i="38"/>
  <c r="J40" i="38" s="1"/>
  <c r="K40" i="38" s="1"/>
  <c r="L40" i="38" s="1"/>
  <c r="R362" i="25" l="1"/>
  <c r="Q362" i="25" s="1"/>
  <c r="P362" i="25" s="1"/>
  <c r="O362" i="25" s="1"/>
  <c r="N362" i="25" s="1"/>
  <c r="G363" i="25" s="1"/>
  <c r="F363" i="25" s="1"/>
  <c r="E363" i="25" s="1"/>
  <c r="M363" i="25" s="1"/>
  <c r="Z362" i="25"/>
  <c r="J40" i="34"/>
  <c r="K40" i="34" s="1"/>
  <c r="H41" i="38"/>
  <c r="I41" i="38" s="1"/>
  <c r="H41" i="34"/>
  <c r="I41" i="34" s="1"/>
  <c r="C18" i="37"/>
  <c r="O18" i="37"/>
  <c r="E42" i="37"/>
  <c r="E19" i="37" s="1"/>
  <c r="G18" i="37"/>
  <c r="Z363" i="25" l="1"/>
  <c r="H363" i="25"/>
  <c r="C363" i="25"/>
  <c r="D363" i="25"/>
  <c r="Y363" i="25"/>
  <c r="I364" i="25"/>
  <c r="B364" i="25"/>
  <c r="J364" i="25"/>
  <c r="I41" i="37"/>
  <c r="I18" i="37"/>
  <c r="K18" i="37"/>
  <c r="J19" i="37"/>
  <c r="S363" i="25" l="1"/>
  <c r="K19" i="38"/>
  <c r="K19" i="34"/>
  <c r="H18" i="37"/>
  <c r="D19" i="37" s="1"/>
  <c r="R363" i="25" l="1"/>
  <c r="Q363" i="25" s="1"/>
  <c r="P363" i="25" s="1"/>
  <c r="O363" i="25" s="1"/>
  <c r="N363" i="25" s="1"/>
  <c r="H19" i="34"/>
  <c r="I19" i="34" s="1"/>
  <c r="L19" i="34"/>
  <c r="J19" i="34"/>
  <c r="H42" i="38"/>
  <c r="I42" i="38" s="1"/>
  <c r="E43" i="37"/>
  <c r="E20" i="37" s="1"/>
  <c r="J20" i="37" s="1"/>
  <c r="G19" i="37"/>
  <c r="H42" i="34"/>
  <c r="I42" i="34" s="1"/>
  <c r="C19" i="37"/>
  <c r="O19" i="37"/>
  <c r="H19" i="38"/>
  <c r="I19" i="38" s="1"/>
  <c r="J19" i="38"/>
  <c r="J41" i="38" s="1"/>
  <c r="K41" i="38" s="1"/>
  <c r="L41" i="38" s="1"/>
  <c r="L19" i="38"/>
  <c r="G364" i="25" l="1"/>
  <c r="F364" i="25" s="1"/>
  <c r="E364" i="25" s="1"/>
  <c r="H364" i="25"/>
  <c r="J41" i="34"/>
  <c r="K41" i="34" s="1"/>
  <c r="I42" i="37"/>
  <c r="I19" i="37"/>
  <c r="K19" i="37"/>
  <c r="C364" i="25" l="1"/>
  <c r="D364" i="25"/>
  <c r="Y364" i="25"/>
  <c r="M364" i="25"/>
  <c r="B365" i="25"/>
  <c r="I365" i="25"/>
  <c r="J365" i="25"/>
  <c r="K20" i="38"/>
  <c r="K20" i="34"/>
  <c r="H19" i="37"/>
  <c r="D20" i="37" s="1"/>
  <c r="Z364" i="25" l="1"/>
  <c r="S364" i="25"/>
  <c r="H20" i="34"/>
  <c r="I20" i="34" s="1"/>
  <c r="L20" i="34"/>
  <c r="J20" i="34"/>
  <c r="H43" i="38"/>
  <c r="I43" i="38" s="1"/>
  <c r="H43" i="34"/>
  <c r="I43" i="34" s="1"/>
  <c r="E44" i="37"/>
  <c r="E21" i="37" s="1"/>
  <c r="J21" i="37" s="1"/>
  <c r="O20" i="37"/>
  <c r="G20" i="37"/>
  <c r="K20" i="37" s="1"/>
  <c r="C20" i="37"/>
  <c r="J20" i="38"/>
  <c r="J42" i="38" s="1"/>
  <c r="K42" i="38" s="1"/>
  <c r="L42" i="38" s="1"/>
  <c r="H20" i="38"/>
  <c r="I20" i="38" s="1"/>
  <c r="L20" i="38"/>
  <c r="R364" i="25" l="1"/>
  <c r="Q364" i="25" s="1"/>
  <c r="P364" i="25" s="1"/>
  <c r="O364" i="25" s="1"/>
  <c r="N364" i="25" s="1"/>
  <c r="J42" i="34"/>
  <c r="K42" i="34" s="1"/>
  <c r="I43" i="37"/>
  <c r="I20" i="37"/>
  <c r="G365" i="25" l="1"/>
  <c r="F365" i="25" s="1"/>
  <c r="E365" i="25" s="1"/>
  <c r="H365" i="25"/>
  <c r="K21" i="38"/>
  <c r="K21" i="34"/>
  <c r="H20" i="37"/>
  <c r="D21" i="37" s="1"/>
  <c r="H44" i="38" s="1"/>
  <c r="I44" i="38" s="1"/>
  <c r="Y365" i="25" l="1"/>
  <c r="D365" i="25"/>
  <c r="C365" i="25"/>
  <c r="B366" i="25"/>
  <c r="I366" i="25"/>
  <c r="M365" i="25"/>
  <c r="J366" i="25"/>
  <c r="H44" i="34"/>
  <c r="I44" i="34" s="1"/>
  <c r="I25" i="34" s="1"/>
  <c r="L8" i="39" s="1"/>
  <c r="E45" i="37"/>
  <c r="E22" i="37" s="1"/>
  <c r="J22" i="37" s="1"/>
  <c r="G21" i="37"/>
  <c r="I44" i="37" s="1"/>
  <c r="I45" i="37" s="1"/>
  <c r="E18" i="39" s="1"/>
  <c r="O21" i="37"/>
  <c r="C21" i="37"/>
  <c r="H25" i="38"/>
  <c r="H21" i="34"/>
  <c r="I21" i="34" s="1"/>
  <c r="J21" i="34"/>
  <c r="L21" i="34"/>
  <c r="H21" i="38"/>
  <c r="I21" i="38" s="1"/>
  <c r="J21" i="38"/>
  <c r="J43" i="38" s="1"/>
  <c r="K43" i="38" s="1"/>
  <c r="L43" i="38" s="1"/>
  <c r="L21" i="38"/>
  <c r="S365" i="25" l="1"/>
  <c r="R365" i="25" s="1"/>
  <c r="Z365" i="25"/>
  <c r="I21" i="37"/>
  <c r="K22" i="38" s="1"/>
  <c r="H22" i="38" s="1"/>
  <c r="I22" i="38" s="1"/>
  <c r="J43" i="34"/>
  <c r="K43" i="34" s="1"/>
  <c r="K21" i="37"/>
  <c r="Q365" i="25" l="1"/>
  <c r="P365" i="25" s="1"/>
  <c r="O365" i="25" s="1"/>
  <c r="N365" i="25" s="1"/>
  <c r="H21" i="37"/>
  <c r="D22" i="37" s="1"/>
  <c r="C22" i="37" s="1"/>
  <c r="K22" i="34"/>
  <c r="J22" i="34" s="1"/>
  <c r="J44" i="34" s="1"/>
  <c r="J22" i="38"/>
  <c r="J44" i="38" s="1"/>
  <c r="K44" i="38" s="1"/>
  <c r="L44" i="38" s="1"/>
  <c r="H366" i="25" l="1"/>
  <c r="G366" i="25"/>
  <c r="F366" i="25" s="1"/>
  <c r="E366" i="25" s="1"/>
  <c r="L22" i="38"/>
  <c r="H22" i="34"/>
  <c r="I22" i="34" s="1"/>
  <c r="L22" i="34"/>
  <c r="J25" i="38"/>
  <c r="K44" i="34"/>
  <c r="K25" i="34" s="1"/>
  <c r="L9" i="39" s="1"/>
  <c r="G22" i="37"/>
  <c r="E23" i="37"/>
  <c r="J23" i="37" s="1"/>
  <c r="O22" i="37"/>
  <c r="Y366" i="25" l="1"/>
  <c r="C366" i="25"/>
  <c r="D366" i="25"/>
  <c r="B367" i="25"/>
  <c r="I367" i="25"/>
  <c r="M366" i="25"/>
  <c r="J367" i="25"/>
  <c r="L10" i="39"/>
  <c r="J12" i="39" s="1"/>
  <c r="I22" i="37"/>
  <c r="K23" i="34" s="1"/>
  <c r="J23" i="34" s="1"/>
  <c r="K22" i="37"/>
  <c r="S366" i="25" l="1"/>
  <c r="R366" i="25" s="1"/>
  <c r="Z366" i="25"/>
  <c r="K23" i="38"/>
  <c r="J23" i="38" s="1"/>
  <c r="H22" i="37"/>
  <c r="D23" i="37" s="1"/>
  <c r="O23" i="37" s="1"/>
  <c r="H23" i="34"/>
  <c r="I23" i="34" s="1"/>
  <c r="Q366" i="25" l="1"/>
  <c r="P366" i="25" s="1"/>
  <c r="O366" i="25" s="1"/>
  <c r="N366" i="25" s="1"/>
  <c r="L23" i="34"/>
  <c r="C23" i="37"/>
  <c r="G23" i="37"/>
  <c r="H23" i="37" s="1"/>
  <c r="L23" i="38"/>
  <c r="H23" i="38"/>
  <c r="I23" i="38" s="1"/>
  <c r="G367" i="25" l="1"/>
  <c r="F367" i="25" s="1"/>
  <c r="E367" i="25" s="1"/>
  <c r="H367" i="25"/>
  <c r="P23" i="37"/>
  <c r="C367" i="25" l="1"/>
  <c r="D367" i="25"/>
  <c r="Y367" i="25"/>
  <c r="B368" i="25"/>
  <c r="I368" i="25"/>
  <c r="M367" i="25"/>
  <c r="J368" i="25"/>
  <c r="C67" i="38"/>
  <c r="C63" i="38"/>
  <c r="C59" i="38"/>
  <c r="C55" i="38"/>
  <c r="C51" i="38"/>
  <c r="C69" i="38"/>
  <c r="C65" i="38"/>
  <c r="C61" i="38"/>
  <c r="C57" i="38"/>
  <c r="C53" i="38"/>
  <c r="C68" i="38"/>
  <c r="C66" i="38"/>
  <c r="C64" i="38"/>
  <c r="C62" i="38"/>
  <c r="C60" i="38"/>
  <c r="C58" i="38"/>
  <c r="C54" i="38"/>
  <c r="C56" i="38"/>
  <c r="C52" i="38"/>
  <c r="S367" i="25" l="1"/>
  <c r="R367" i="25" s="1"/>
  <c r="Z367" i="25"/>
  <c r="J18" i="1"/>
  <c r="Q367" i="25" l="1"/>
  <c r="P367" i="25" s="1"/>
  <c r="O367" i="25" s="1"/>
  <c r="N367" i="25" s="1"/>
  <c r="K18" i="1"/>
  <c r="G368" i="25" l="1"/>
  <c r="F368" i="25" s="1"/>
  <c r="E368" i="25" s="1"/>
  <c r="H368" i="25"/>
  <c r="D368" i="25" l="1"/>
  <c r="Y368" i="25"/>
  <c r="C368" i="25"/>
  <c r="B369" i="25"/>
  <c r="I369" i="25"/>
  <c r="J369" i="25"/>
  <c r="M368" i="25"/>
  <c r="S368" i="25" l="1"/>
  <c r="R368" i="25" s="1"/>
  <c r="Z368" i="25"/>
  <c r="Q368" i="25" l="1"/>
  <c r="P368" i="25" s="1"/>
  <c r="O368" i="25" s="1"/>
  <c r="N368" i="25" s="1"/>
  <c r="H369" i="25" l="1"/>
  <c r="G369" i="25"/>
  <c r="F369" i="25" s="1"/>
  <c r="E369" i="25" s="1"/>
  <c r="D369" i="25" l="1"/>
  <c r="Y369" i="25"/>
  <c r="C369" i="25"/>
  <c r="B370" i="25"/>
  <c r="M369" i="25"/>
  <c r="I370" i="25"/>
  <c r="J370" i="25"/>
  <c r="Z369" i="25" l="1"/>
  <c r="S369" i="25"/>
  <c r="R369" i="25" l="1"/>
  <c r="Q369" i="25" s="1"/>
  <c r="P369" i="25" s="1"/>
  <c r="O369" i="25" s="1"/>
  <c r="N369" i="25" s="1"/>
  <c r="H370" i="25" l="1"/>
  <c r="G370" i="25"/>
  <c r="F370" i="25" s="1"/>
  <c r="E370" i="25" s="1"/>
  <c r="C370" i="25" l="1"/>
  <c r="D370" i="25"/>
  <c r="Y370" i="25"/>
  <c r="B371" i="25"/>
  <c r="M370" i="25"/>
  <c r="J371" i="25"/>
  <c r="I371" i="25"/>
  <c r="Z370" i="25" l="1"/>
  <c r="S370" i="25"/>
  <c r="R370" i="25" l="1"/>
  <c r="Q370" i="25" s="1"/>
  <c r="P370" i="25" s="1"/>
  <c r="O370" i="25" s="1"/>
  <c r="N370" i="25" s="1"/>
  <c r="G371" i="25" l="1"/>
  <c r="F371" i="25" s="1"/>
  <c r="E371" i="25" s="1"/>
  <c r="H371" i="25"/>
  <c r="C371" i="25" l="1"/>
  <c r="Y371" i="25"/>
  <c r="D371" i="25"/>
  <c r="B372" i="25"/>
  <c r="I372" i="25"/>
  <c r="J372" i="25"/>
  <c r="M371" i="25"/>
  <c r="S371" i="25" l="1"/>
  <c r="R371" i="25" s="1"/>
  <c r="Z371" i="25"/>
  <c r="Q371" i="25" l="1"/>
  <c r="P371" i="25" s="1"/>
  <c r="O371" i="25" s="1"/>
  <c r="N371" i="25" s="1"/>
  <c r="H372" i="25" l="1"/>
  <c r="G372" i="25"/>
  <c r="F372" i="25" s="1"/>
  <c r="E372" i="25" s="1"/>
  <c r="D372" i="25" l="1"/>
  <c r="C372" i="25"/>
  <c r="Y372" i="25"/>
  <c r="B373" i="25"/>
  <c r="M372" i="25"/>
  <c r="I373" i="25"/>
  <c r="J373" i="25"/>
  <c r="Z372" i="25" l="1"/>
  <c r="S372" i="25"/>
  <c r="R372" i="25" l="1"/>
  <c r="Q372" i="25" s="1"/>
  <c r="P372" i="25" s="1"/>
  <c r="O372" i="25" s="1"/>
  <c r="N372" i="25" s="1"/>
  <c r="G373" i="25" l="1"/>
  <c r="F373" i="25" s="1"/>
  <c r="E373" i="25" s="1"/>
  <c r="H373" i="25"/>
  <c r="D373" i="25" l="1"/>
  <c r="C373" i="25"/>
  <c r="Y373" i="25"/>
  <c r="B374" i="25"/>
  <c r="M373" i="25"/>
  <c r="I374" i="25"/>
  <c r="J374" i="25"/>
  <c r="Z373" i="25" l="1"/>
  <c r="S373" i="25"/>
  <c r="R373" i="25" l="1"/>
  <c r="Q373" i="25" s="1"/>
  <c r="P373" i="25" s="1"/>
  <c r="O373" i="25" s="1"/>
  <c r="N373" i="25" s="1"/>
  <c r="G374" i="25" l="1"/>
  <c r="F374" i="25" s="1"/>
  <c r="E374" i="25" s="1"/>
  <c r="H374" i="25"/>
  <c r="C374" i="25" l="1"/>
  <c r="D374" i="25"/>
  <c r="Y374" i="25"/>
  <c r="B375" i="25"/>
  <c r="M374" i="25"/>
  <c r="I375" i="25"/>
  <c r="J375" i="25"/>
  <c r="Z374" i="25" l="1"/>
  <c r="S374" i="25"/>
  <c r="R374" i="25" l="1"/>
  <c r="Q374" i="25" s="1"/>
  <c r="P374" i="25" s="1"/>
  <c r="O374" i="25" s="1"/>
  <c r="N374" i="25" s="1"/>
  <c r="H375" i="25" l="1"/>
  <c r="G375" i="25"/>
  <c r="F375" i="25" s="1"/>
  <c r="E375" i="25" s="1"/>
  <c r="D375" i="25" l="1"/>
  <c r="C375" i="25"/>
  <c r="Y375" i="25"/>
  <c r="B376" i="25"/>
  <c r="M375" i="25"/>
  <c r="J376" i="25"/>
  <c r="I376" i="25"/>
  <c r="Z375" i="25" l="1"/>
  <c r="S375" i="25"/>
  <c r="R375" i="25" l="1"/>
  <c r="Q375" i="25" s="1"/>
  <c r="P375" i="25" s="1"/>
  <c r="O375" i="25" s="1"/>
  <c r="N375" i="25" s="1"/>
  <c r="H376" i="25" l="1"/>
  <c r="G376" i="25"/>
  <c r="F376" i="25" s="1"/>
  <c r="E376" i="25" s="1"/>
  <c r="C376" i="25" l="1"/>
  <c r="D376" i="25"/>
  <c r="Y376" i="25"/>
  <c r="B377" i="25"/>
  <c r="J377" i="25"/>
  <c r="I377" i="25"/>
  <c r="M376" i="25"/>
  <c r="Z376" i="25" l="1"/>
  <c r="S376" i="25"/>
  <c r="R376" i="25" s="1"/>
  <c r="Q376" i="25" l="1"/>
  <c r="P376" i="25" s="1"/>
  <c r="O376" i="25" s="1"/>
  <c r="N376" i="25" s="1"/>
  <c r="H377" i="25" l="1"/>
  <c r="G377" i="25"/>
  <c r="F377" i="25" s="1"/>
  <c r="E377" i="25" s="1"/>
  <c r="C377" i="25" l="1"/>
  <c r="D377" i="25"/>
  <c r="Y377" i="25"/>
  <c r="B378" i="25"/>
  <c r="J378" i="25"/>
  <c r="I378" i="25"/>
  <c r="M377" i="25"/>
  <c r="Z377" i="25" l="1"/>
  <c r="S377" i="25"/>
  <c r="R377" i="25" s="1"/>
  <c r="Q377" i="25" l="1"/>
  <c r="P377" i="25" s="1"/>
  <c r="O377" i="25" s="1"/>
  <c r="N377" i="25" s="1"/>
  <c r="H378" i="25" l="1"/>
  <c r="G378" i="25"/>
  <c r="F378" i="25" s="1"/>
  <c r="E378" i="25" s="1"/>
  <c r="Y378" i="25" l="1"/>
  <c r="D378" i="25"/>
  <c r="C378" i="25"/>
  <c r="B379" i="25"/>
  <c r="J379" i="25"/>
  <c r="I379" i="25"/>
  <c r="M378" i="25"/>
  <c r="Z378" i="25" l="1"/>
  <c r="S378" i="25"/>
  <c r="R378" i="25" s="1"/>
  <c r="Q378" i="25" l="1"/>
  <c r="P378" i="25" s="1"/>
  <c r="O378" i="25" s="1"/>
  <c r="N378" i="25" s="1"/>
  <c r="G379" i="25" l="1"/>
  <c r="F379" i="25" s="1"/>
  <c r="E379" i="25" s="1"/>
  <c r="H379" i="25"/>
  <c r="Y379" i="25" l="1"/>
  <c r="D379" i="25"/>
  <c r="C379" i="25"/>
  <c r="B380" i="25"/>
  <c r="J380" i="25"/>
  <c r="M379" i="25"/>
  <c r="I380" i="25"/>
  <c r="S379" i="25" l="1"/>
  <c r="Z379" i="25"/>
  <c r="R379" i="25" l="1"/>
  <c r="Q379" i="25" s="1"/>
  <c r="P379" i="25" s="1"/>
  <c r="O379" i="25" s="1"/>
  <c r="N379" i="25" s="1"/>
  <c r="G380" i="25" l="1"/>
  <c r="F380" i="25" s="1"/>
  <c r="E380" i="25" s="1"/>
  <c r="H380" i="25"/>
  <c r="D380" i="25" l="1"/>
  <c r="Y380" i="25"/>
  <c r="C380" i="25"/>
  <c r="B381" i="25"/>
  <c r="J381" i="25"/>
  <c r="I381" i="25"/>
  <c r="M380" i="25"/>
  <c r="Z380" i="25" l="1"/>
  <c r="S380" i="25"/>
  <c r="R380" i="25" s="1"/>
  <c r="Q380" i="25" l="1"/>
  <c r="P380" i="25" s="1"/>
  <c r="O380" i="25" s="1"/>
  <c r="N380" i="25" s="1"/>
  <c r="H381" i="25" l="1"/>
  <c r="G381" i="25"/>
  <c r="F381" i="25" s="1"/>
  <c r="E381" i="25" s="1"/>
  <c r="C381" i="25" l="1"/>
  <c r="Y381" i="25"/>
  <c r="D381" i="25"/>
  <c r="B382" i="25"/>
  <c r="J382" i="25"/>
  <c r="I382" i="25"/>
  <c r="M381" i="25"/>
  <c r="Z381" i="25" l="1"/>
  <c r="S381" i="25"/>
  <c r="R381" i="25" s="1"/>
  <c r="Q381" i="25" l="1"/>
  <c r="P381" i="25" s="1"/>
  <c r="O381" i="25" s="1"/>
  <c r="N381" i="25" s="1"/>
  <c r="G382" i="25" l="1"/>
  <c r="F382" i="25" s="1"/>
  <c r="E382" i="25" s="1"/>
  <c r="H382" i="25"/>
  <c r="C382" i="25" l="1"/>
  <c r="Y382" i="25"/>
  <c r="D382" i="25"/>
  <c r="B383" i="25"/>
  <c r="J383" i="25"/>
  <c r="M382" i="25"/>
  <c r="I383" i="25"/>
  <c r="S382" i="25" l="1"/>
  <c r="Z382" i="25"/>
  <c r="R382" i="25" l="1"/>
  <c r="Q382" i="25" s="1"/>
  <c r="P382" i="25" s="1"/>
  <c r="O382" i="25" s="1"/>
  <c r="N382" i="25" s="1"/>
  <c r="G383" i="25" l="1"/>
  <c r="F383" i="25" s="1"/>
  <c r="E383" i="25" s="1"/>
  <c r="H383" i="25"/>
  <c r="C383" i="25" l="1"/>
  <c r="Y383" i="25"/>
  <c r="D383" i="25"/>
  <c r="B384" i="25"/>
  <c r="J384" i="25"/>
  <c r="M383" i="25"/>
  <c r="I384" i="25"/>
  <c r="S383" i="25" l="1"/>
  <c r="Z383" i="25"/>
  <c r="R383" i="25" l="1"/>
  <c r="Q383" i="25" s="1"/>
  <c r="P383" i="25" s="1"/>
  <c r="O383" i="25" s="1"/>
  <c r="N383" i="25" s="1"/>
  <c r="H384" i="25" l="1"/>
  <c r="G384" i="25"/>
  <c r="F384" i="25" s="1"/>
  <c r="E384" i="25" s="1"/>
  <c r="Y384" i="25" l="1"/>
  <c r="D384" i="25"/>
  <c r="C384" i="25"/>
  <c r="B385" i="25"/>
  <c r="J385" i="25"/>
  <c r="M384" i="25"/>
  <c r="I385" i="25"/>
  <c r="S384" i="25" l="1"/>
  <c r="Z384" i="25"/>
  <c r="R384" i="25" l="1"/>
  <c r="Q384" i="25" s="1"/>
  <c r="P384" i="25" s="1"/>
  <c r="O384" i="25" s="1"/>
  <c r="N384" i="25" s="1"/>
  <c r="H385" i="25" l="1"/>
  <c r="G385" i="25"/>
  <c r="F385" i="25" s="1"/>
  <c r="E385" i="25" s="1"/>
  <c r="D385" i="25" l="1"/>
  <c r="C385" i="25"/>
  <c r="Y385" i="25"/>
  <c r="B386" i="25"/>
  <c r="J386" i="25"/>
  <c r="M385" i="25"/>
  <c r="I386" i="25"/>
  <c r="S385" i="25" l="1"/>
  <c r="Z385" i="25"/>
  <c r="R385" i="25" l="1"/>
  <c r="Q385" i="25" s="1"/>
  <c r="P385" i="25" s="1"/>
  <c r="O385" i="25" s="1"/>
  <c r="N385" i="25" s="1"/>
  <c r="G386" i="25" l="1"/>
  <c r="F386" i="25" s="1"/>
  <c r="E386" i="25" s="1"/>
  <c r="H386" i="25"/>
  <c r="D386" i="25" l="1"/>
  <c r="C386" i="25"/>
  <c r="Y386" i="25"/>
  <c r="B387" i="25"/>
  <c r="M386" i="25"/>
  <c r="J387" i="25"/>
  <c r="I387" i="25"/>
  <c r="Z386" i="25" l="1"/>
  <c r="S386" i="25"/>
  <c r="R386" i="25" l="1"/>
  <c r="Q386" i="25" s="1"/>
  <c r="P386" i="25" s="1"/>
  <c r="O386" i="25" s="1"/>
  <c r="N386" i="25" s="1"/>
  <c r="G387" i="25" l="1"/>
  <c r="F387" i="25" s="1"/>
  <c r="E387" i="25" s="1"/>
  <c r="H387" i="25"/>
  <c r="D387" i="25" l="1"/>
  <c r="C387" i="25"/>
  <c r="Y387" i="25"/>
  <c r="B388" i="25"/>
  <c r="I388" i="25"/>
  <c r="M387" i="25"/>
  <c r="J388" i="25"/>
  <c r="S387" i="25" l="1"/>
  <c r="R387" i="25" s="1"/>
  <c r="Z387" i="25"/>
  <c r="Q387" i="25" l="1"/>
  <c r="P387" i="25" s="1"/>
  <c r="O387" i="25" s="1"/>
  <c r="N387" i="25" s="1"/>
  <c r="G388" i="25" l="1"/>
  <c r="F388" i="25" s="1"/>
  <c r="E388" i="25" s="1"/>
  <c r="H388" i="25"/>
  <c r="D388" i="25" l="1"/>
  <c r="Y388" i="25"/>
  <c r="C388" i="25"/>
  <c r="B389" i="25"/>
  <c r="I389" i="25"/>
  <c r="M388" i="25"/>
  <c r="J389" i="25"/>
  <c r="S388" i="25" l="1"/>
  <c r="R388" i="25" s="1"/>
  <c r="Z388" i="25"/>
  <c r="Q388" i="25" l="1"/>
  <c r="P388" i="25" s="1"/>
  <c r="O388" i="25" s="1"/>
  <c r="N388" i="25" s="1"/>
  <c r="H389" i="25" l="1"/>
  <c r="G389" i="25"/>
  <c r="F389" i="25" s="1"/>
  <c r="E389" i="25" s="1"/>
  <c r="D389" i="25" l="1"/>
  <c r="C389" i="25"/>
  <c r="Y389" i="25"/>
  <c r="B390" i="25"/>
  <c r="I390" i="25"/>
  <c r="M389" i="25"/>
  <c r="J390" i="25"/>
  <c r="S389" i="25" l="1"/>
  <c r="R389" i="25" s="1"/>
  <c r="Z389" i="25"/>
  <c r="Q389" i="25" l="1"/>
  <c r="P389" i="25" s="1"/>
  <c r="O389" i="25" s="1"/>
  <c r="N389" i="25" s="1"/>
  <c r="H390" i="25" l="1"/>
  <c r="G390" i="25"/>
  <c r="F390" i="25" s="1"/>
  <c r="E390" i="25" s="1"/>
  <c r="Y390" i="25" l="1"/>
  <c r="D390" i="25"/>
  <c r="C390" i="25"/>
  <c r="B391" i="25"/>
  <c r="I391" i="25"/>
  <c r="M390" i="25"/>
  <c r="J391" i="25"/>
  <c r="S390" i="25" l="1"/>
  <c r="R390" i="25" s="1"/>
  <c r="Z390" i="25"/>
  <c r="Q390" i="25" l="1"/>
  <c r="P390" i="25" s="1"/>
  <c r="O390" i="25" s="1"/>
  <c r="N390" i="25" s="1"/>
  <c r="H391" i="25" l="1"/>
  <c r="G391" i="25"/>
  <c r="F391" i="25" s="1"/>
  <c r="E391" i="25" s="1"/>
  <c r="Y391" i="25" l="1"/>
  <c r="D391" i="25"/>
  <c r="C391" i="25"/>
  <c r="B392" i="25"/>
  <c r="I392" i="25"/>
  <c r="M391" i="25"/>
  <c r="J392" i="25"/>
  <c r="S391" i="25" l="1"/>
  <c r="R391" i="25" s="1"/>
  <c r="Z391" i="25"/>
  <c r="Q391" i="25" l="1"/>
  <c r="P391" i="25" s="1"/>
  <c r="O391" i="25" s="1"/>
  <c r="N391" i="25" s="1"/>
  <c r="G392" i="25" l="1"/>
  <c r="F392" i="25" s="1"/>
  <c r="E392" i="25" s="1"/>
  <c r="H392" i="25"/>
  <c r="D392" i="25" l="1"/>
  <c r="Y392" i="25"/>
  <c r="C392" i="25"/>
  <c r="B393" i="25"/>
  <c r="I393" i="25"/>
  <c r="J393" i="25"/>
  <c r="M392" i="25"/>
  <c r="S392" i="25" l="1"/>
  <c r="R392" i="25" s="1"/>
  <c r="Z392" i="25"/>
  <c r="Q392" i="25" l="1"/>
  <c r="P392" i="25" s="1"/>
  <c r="O392" i="25" s="1"/>
  <c r="N392" i="25" s="1"/>
  <c r="H393" i="25" l="1"/>
  <c r="G393" i="25"/>
  <c r="F393" i="25" s="1"/>
  <c r="E393" i="25" s="1"/>
  <c r="Y393" i="25" l="1"/>
  <c r="D393" i="25"/>
  <c r="C393" i="25"/>
  <c r="B394" i="25"/>
  <c r="M393" i="25"/>
  <c r="J394" i="25"/>
  <c r="I394" i="25"/>
  <c r="Z393" i="25" l="1"/>
  <c r="S393" i="25"/>
  <c r="R393" i="25" l="1"/>
  <c r="Q393" i="25" s="1"/>
  <c r="P393" i="25" s="1"/>
  <c r="O393" i="25" s="1"/>
  <c r="N393" i="25" s="1"/>
  <c r="G394" i="25" l="1"/>
  <c r="F394" i="25" s="1"/>
  <c r="E394" i="25" s="1"/>
  <c r="H394" i="25"/>
  <c r="D394" i="25" l="1"/>
  <c r="C394" i="25"/>
  <c r="Y394" i="25"/>
  <c r="B395" i="25"/>
  <c r="I395" i="25"/>
  <c r="J395" i="25"/>
  <c r="M394" i="25"/>
  <c r="S394" i="25" l="1"/>
  <c r="R394" i="25" s="1"/>
  <c r="Z394" i="25"/>
  <c r="Q394" i="25" l="1"/>
  <c r="P394" i="25" s="1"/>
  <c r="O394" i="25" s="1"/>
  <c r="N394" i="25" s="1"/>
  <c r="G395" i="25" l="1"/>
  <c r="F395" i="25" s="1"/>
  <c r="E395" i="25" s="1"/>
  <c r="H395" i="25"/>
  <c r="C395" i="25" l="1"/>
  <c r="D395" i="25"/>
  <c r="Y395" i="25"/>
  <c r="B396" i="25"/>
  <c r="M395" i="25"/>
  <c r="I396" i="25"/>
  <c r="J396" i="25"/>
  <c r="Z395" i="25" l="1"/>
  <c r="S395" i="25"/>
  <c r="R395" i="25" l="1"/>
  <c r="Q395" i="25" s="1"/>
  <c r="P395" i="25" s="1"/>
  <c r="O395" i="25" s="1"/>
  <c r="N395" i="25" s="1"/>
  <c r="G396" i="25" l="1"/>
  <c r="F396" i="25" s="1"/>
  <c r="E396" i="25" s="1"/>
  <c r="H396" i="25"/>
  <c r="Y396" i="25" l="1"/>
  <c r="C396" i="25"/>
  <c r="D396" i="25"/>
  <c r="B397" i="25"/>
  <c r="J397" i="25"/>
  <c r="I397" i="25"/>
  <c r="M396" i="25"/>
  <c r="Z396" i="25" l="1"/>
  <c r="S396" i="25"/>
  <c r="R396" i="25" s="1"/>
  <c r="Q396" i="25" l="1"/>
  <c r="P396" i="25" s="1"/>
  <c r="O396" i="25" s="1"/>
  <c r="N396" i="25" s="1"/>
  <c r="G397" i="25" l="1"/>
  <c r="F397" i="25" s="1"/>
  <c r="E397" i="25" s="1"/>
  <c r="H397" i="25"/>
  <c r="C397" i="25" l="1"/>
  <c r="Y397" i="25"/>
  <c r="D397" i="25"/>
  <c r="B398" i="25"/>
  <c r="J398" i="25"/>
  <c r="M397" i="25"/>
  <c r="I398" i="25"/>
  <c r="S397" i="25" l="1"/>
  <c r="Z397" i="25"/>
  <c r="R397" i="25" l="1"/>
  <c r="Q397" i="25" s="1"/>
  <c r="P397" i="25" s="1"/>
  <c r="O397" i="25" s="1"/>
  <c r="N397" i="25" s="1"/>
  <c r="H398" i="25" l="1"/>
  <c r="G398" i="25"/>
  <c r="F398" i="25" s="1"/>
  <c r="E398" i="25" s="1"/>
  <c r="C398" i="25" l="1"/>
  <c r="Y398" i="25"/>
  <c r="D398" i="25"/>
  <c r="B399" i="25"/>
  <c r="J399" i="25"/>
  <c r="M398" i="25"/>
  <c r="I399" i="25"/>
  <c r="S398" i="25" l="1"/>
  <c r="Z398" i="25"/>
  <c r="R398" i="25" l="1"/>
  <c r="Q398" i="25" s="1"/>
  <c r="P398" i="25" s="1"/>
  <c r="O398" i="25" s="1"/>
  <c r="N398" i="25" s="1"/>
  <c r="G399" i="25" l="1"/>
  <c r="F399" i="25" s="1"/>
  <c r="E399" i="25" s="1"/>
  <c r="H399" i="25"/>
  <c r="D399" i="25" l="1"/>
  <c r="C399" i="25"/>
  <c r="Y399" i="25"/>
  <c r="B400" i="25"/>
  <c r="J400" i="25"/>
  <c r="M399" i="25"/>
  <c r="I400" i="25"/>
  <c r="S399" i="25" l="1"/>
  <c r="Z399" i="25"/>
  <c r="R399" i="25" l="1"/>
  <c r="Q399" i="25" s="1"/>
  <c r="P399" i="25" s="1"/>
  <c r="O399" i="25" s="1"/>
  <c r="N399" i="25" s="1"/>
  <c r="G400" i="25" l="1"/>
  <c r="F400" i="25" s="1"/>
  <c r="E400" i="25" s="1"/>
  <c r="H400" i="25"/>
  <c r="Y400" i="25" l="1"/>
  <c r="C400" i="25"/>
  <c r="D400" i="25"/>
  <c r="B401" i="25"/>
  <c r="J401" i="25"/>
  <c r="I401" i="25"/>
  <c r="M400" i="25"/>
  <c r="Z400" i="25" l="1"/>
  <c r="S400" i="25"/>
  <c r="R400" i="25" s="1"/>
  <c r="Q400" i="25" l="1"/>
  <c r="P400" i="25" s="1"/>
  <c r="O400" i="25" s="1"/>
  <c r="N400" i="25" s="1"/>
  <c r="G401" i="25" l="1"/>
  <c r="F401" i="25" s="1"/>
  <c r="E401" i="25" s="1"/>
  <c r="H401" i="25"/>
  <c r="D401" i="25" l="1"/>
  <c r="Y401" i="25"/>
  <c r="C401" i="25"/>
  <c r="B402" i="25"/>
  <c r="M401" i="25"/>
  <c r="J402" i="25"/>
  <c r="I402" i="25"/>
  <c r="Z401" i="25" l="1"/>
  <c r="S401" i="25"/>
  <c r="R401" i="25" l="1"/>
  <c r="Q401" i="25" s="1"/>
  <c r="P401" i="25" s="1"/>
  <c r="O401" i="25" s="1"/>
  <c r="N401" i="25" s="1"/>
  <c r="G402" i="25" l="1"/>
  <c r="F402" i="25" s="1"/>
  <c r="E402" i="25" s="1"/>
  <c r="H402" i="25"/>
  <c r="Y402" i="25" l="1"/>
  <c r="D402" i="25"/>
  <c r="C402" i="25"/>
  <c r="B403" i="25"/>
  <c r="I403" i="25"/>
  <c r="M402" i="25"/>
  <c r="J403" i="25"/>
  <c r="S402" i="25" l="1"/>
  <c r="R402" i="25" s="1"/>
  <c r="Z402" i="25"/>
  <c r="Q402" i="25" l="1"/>
  <c r="P402" i="25" s="1"/>
  <c r="O402" i="25" s="1"/>
  <c r="N402" i="25" s="1"/>
  <c r="G403" i="25" l="1"/>
  <c r="F403" i="25" s="1"/>
  <c r="E403" i="25" s="1"/>
  <c r="H403" i="25"/>
  <c r="Y403" i="25" l="1"/>
  <c r="C403" i="25"/>
  <c r="D403" i="25"/>
  <c r="B404" i="25"/>
  <c r="I404" i="25"/>
  <c r="M403" i="25"/>
  <c r="J404" i="25"/>
  <c r="S403" i="25" l="1"/>
  <c r="R403" i="25" s="1"/>
  <c r="Z403" i="25"/>
  <c r="Q403" i="25" l="1"/>
  <c r="P403" i="25" s="1"/>
  <c r="O403" i="25" s="1"/>
  <c r="N403" i="25" s="1"/>
  <c r="G404" i="25" l="1"/>
  <c r="F404" i="25" s="1"/>
  <c r="E404" i="25" s="1"/>
  <c r="H404" i="25"/>
  <c r="C404" i="25" l="1"/>
  <c r="D404" i="25"/>
  <c r="Y404" i="25"/>
  <c r="B405" i="25"/>
  <c r="I405" i="25"/>
  <c r="M404" i="25"/>
  <c r="J405" i="25"/>
  <c r="S404" i="25" l="1"/>
  <c r="R404" i="25" s="1"/>
  <c r="Z404" i="25"/>
  <c r="Q404" i="25" l="1"/>
  <c r="P404" i="25" s="1"/>
  <c r="O404" i="25" s="1"/>
  <c r="N404" i="25" s="1"/>
  <c r="G405" i="25" l="1"/>
  <c r="F405" i="25" s="1"/>
  <c r="E405" i="25" s="1"/>
  <c r="H405" i="25"/>
  <c r="D405" i="25" l="1"/>
  <c r="C405" i="25"/>
  <c r="Y405" i="25"/>
  <c r="B406" i="25"/>
  <c r="I406" i="25"/>
  <c r="M405" i="25"/>
  <c r="J406" i="25"/>
  <c r="S405" i="25" l="1"/>
  <c r="R405" i="25" s="1"/>
  <c r="Z405" i="25"/>
  <c r="Q405" i="25" l="1"/>
  <c r="P405" i="25" s="1"/>
  <c r="O405" i="25" s="1"/>
  <c r="N405" i="25" s="1"/>
  <c r="H406" i="25" l="1"/>
  <c r="G406" i="25"/>
  <c r="F406" i="25" s="1"/>
  <c r="E406" i="25" s="1"/>
  <c r="C406" i="25" l="1"/>
  <c r="Y406" i="25"/>
  <c r="D406" i="25"/>
  <c r="B407" i="25"/>
  <c r="I407" i="25"/>
  <c r="M406" i="25"/>
  <c r="J407" i="25"/>
  <c r="S406" i="25" l="1"/>
  <c r="R406" i="25" s="1"/>
  <c r="Z406" i="25"/>
  <c r="Q406" i="25" l="1"/>
  <c r="P406" i="25" s="1"/>
  <c r="O406" i="25" s="1"/>
  <c r="N406" i="25" s="1"/>
  <c r="H407" i="25" l="1"/>
  <c r="G407" i="25"/>
  <c r="F407" i="25" s="1"/>
  <c r="E407" i="25" s="1"/>
  <c r="Y407" i="25" l="1"/>
  <c r="D407" i="25"/>
  <c r="C407" i="25"/>
  <c r="B408" i="25"/>
  <c r="I408" i="25"/>
  <c r="J408" i="25"/>
  <c r="M407" i="25"/>
  <c r="S407" i="25" l="1"/>
  <c r="R407" i="25" s="1"/>
  <c r="Q407" i="25" s="1"/>
  <c r="P407" i="25" s="1"/>
  <c r="O407" i="25" s="1"/>
  <c r="N407" i="25" s="1"/>
  <c r="H408" i="25" s="1"/>
  <c r="Z407" i="25"/>
  <c r="G408" i="25" l="1"/>
  <c r="F408" i="25" s="1"/>
  <c r="E408" i="25" s="1"/>
  <c r="Y408" i="25" l="1"/>
  <c r="C408" i="25"/>
  <c r="D408" i="25"/>
  <c r="B409" i="25"/>
  <c r="M408" i="25"/>
  <c r="I409" i="25"/>
  <c r="J409" i="25"/>
  <c r="Z408" i="25" l="1"/>
  <c r="S408" i="25"/>
  <c r="R408" i="25" l="1"/>
  <c r="Q408" i="25" s="1"/>
  <c r="P408" i="25" s="1"/>
  <c r="O408" i="25" s="1"/>
  <c r="N408" i="25" s="1"/>
  <c r="H409" i="25" l="1"/>
  <c r="G409" i="25"/>
  <c r="F409" i="25" s="1"/>
  <c r="E409" i="25" s="1"/>
  <c r="C409" i="25" l="1"/>
  <c r="D409" i="25"/>
  <c r="Y409" i="25"/>
  <c r="B410" i="25"/>
  <c r="I410" i="25"/>
  <c r="M409" i="25"/>
  <c r="J410" i="25"/>
  <c r="S409" i="25" l="1"/>
  <c r="R409" i="25" s="1"/>
  <c r="Z409" i="25"/>
  <c r="Q409" i="25" l="1"/>
  <c r="P409" i="25" s="1"/>
  <c r="O409" i="25" s="1"/>
  <c r="N409" i="25" s="1"/>
  <c r="H410" i="25" l="1"/>
  <c r="G410" i="25"/>
  <c r="F410" i="25" s="1"/>
  <c r="E410" i="25" s="1"/>
  <c r="M410" i="25" l="1"/>
  <c r="C410" i="25"/>
  <c r="D410" i="25"/>
  <c r="Y410" i="25"/>
  <c r="B411" i="25"/>
  <c r="I411" i="25"/>
  <c r="J411" i="25"/>
  <c r="S410" i="25" l="1"/>
  <c r="R410" i="25" s="1"/>
  <c r="Z410" i="25"/>
  <c r="Q410" i="25" l="1"/>
  <c r="P410" i="25" s="1"/>
  <c r="O410" i="25" s="1"/>
  <c r="N410" i="25" s="1"/>
  <c r="H411" i="25" l="1"/>
  <c r="G411" i="25"/>
  <c r="F411" i="25" s="1"/>
  <c r="E411" i="25" s="1"/>
  <c r="C411" i="25" l="1"/>
  <c r="D411" i="25"/>
  <c r="Y411" i="25"/>
  <c r="B412" i="25"/>
  <c r="J412" i="25"/>
  <c r="M411" i="25"/>
  <c r="I412" i="25"/>
  <c r="S411" i="25" l="1"/>
  <c r="Z411" i="25"/>
  <c r="R411" i="25" l="1"/>
  <c r="Q411" i="25" s="1"/>
  <c r="P411" i="25" s="1"/>
  <c r="O411" i="25" s="1"/>
  <c r="N411" i="25" s="1"/>
  <c r="G412" i="25" l="1"/>
  <c r="F412" i="25" s="1"/>
  <c r="E412" i="25" s="1"/>
  <c r="H412" i="25"/>
  <c r="C412" i="25" l="1"/>
  <c r="Y412" i="25"/>
  <c r="D412" i="25"/>
  <c r="B413" i="25"/>
  <c r="J413" i="25"/>
  <c r="M412" i="25"/>
  <c r="I413" i="25"/>
  <c r="S412" i="25" l="1"/>
  <c r="Z412" i="25"/>
  <c r="R412" i="25" l="1"/>
  <c r="Q412" i="25" s="1"/>
  <c r="P412" i="25" s="1"/>
  <c r="O412" i="25" s="1"/>
  <c r="N412" i="25" s="1"/>
  <c r="G413" i="25" l="1"/>
  <c r="F413" i="25" s="1"/>
  <c r="E413" i="25" s="1"/>
  <c r="H413" i="25"/>
  <c r="Y413" i="25" l="1"/>
  <c r="D413" i="25"/>
  <c r="C413" i="25"/>
  <c r="B414" i="25"/>
  <c r="J414" i="25"/>
  <c r="M413" i="25"/>
  <c r="I414" i="25"/>
  <c r="S413" i="25" l="1"/>
  <c r="Z413" i="25"/>
  <c r="R413" i="25" l="1"/>
  <c r="Q413" i="25" s="1"/>
  <c r="P413" i="25" s="1"/>
  <c r="O413" i="25" s="1"/>
  <c r="N413" i="25" s="1"/>
  <c r="G414" i="25" l="1"/>
  <c r="F414" i="25" s="1"/>
  <c r="E414" i="25" s="1"/>
  <c r="H414" i="25"/>
  <c r="D414" i="25" l="1"/>
  <c r="C414" i="25"/>
  <c r="Y414" i="25"/>
  <c r="B415" i="25"/>
  <c r="J415" i="25"/>
  <c r="M414" i="25"/>
  <c r="I415" i="25"/>
  <c r="S414" i="25" l="1"/>
  <c r="Z414" i="25"/>
  <c r="R414" i="25" l="1"/>
  <c r="Q414" i="25" s="1"/>
  <c r="P414" i="25" s="1"/>
  <c r="O414" i="25" s="1"/>
  <c r="N414" i="25" s="1"/>
  <c r="G415" i="25" l="1"/>
  <c r="F415" i="25" s="1"/>
  <c r="E415" i="25" s="1"/>
  <c r="H415" i="25"/>
  <c r="D415" i="25" l="1"/>
  <c r="C415" i="25"/>
  <c r="Y415" i="25"/>
  <c r="B416" i="25"/>
  <c r="J416" i="25"/>
  <c r="I416" i="25"/>
  <c r="M415" i="25"/>
  <c r="Z415" i="25" l="1"/>
  <c r="S415" i="25"/>
  <c r="R415" i="25" s="1"/>
  <c r="Q415" i="25" l="1"/>
  <c r="P415" i="25" s="1"/>
  <c r="O415" i="25" s="1"/>
  <c r="N415" i="25" s="1"/>
  <c r="H416" i="25" l="1"/>
  <c r="G416" i="25"/>
  <c r="F416" i="25" s="1"/>
  <c r="E416" i="25" s="1"/>
  <c r="C416" i="25" l="1"/>
  <c r="Y416" i="25"/>
  <c r="D416" i="25"/>
  <c r="B417" i="25"/>
  <c r="J417" i="25"/>
  <c r="I417" i="25"/>
  <c r="M416" i="25"/>
  <c r="Z416" i="25" l="1"/>
  <c r="S416" i="25"/>
  <c r="R416" i="25" s="1"/>
  <c r="Q416" i="25" l="1"/>
  <c r="P416" i="25" s="1"/>
  <c r="O416" i="25" s="1"/>
  <c r="N416" i="25" s="1"/>
  <c r="G417" i="25" l="1"/>
  <c r="F417" i="25" s="1"/>
  <c r="E417" i="25" s="1"/>
  <c r="H417" i="25"/>
  <c r="Y417" i="25" l="1"/>
  <c r="D417" i="25"/>
  <c r="C417" i="25"/>
  <c r="B418" i="25"/>
  <c r="J418" i="25"/>
  <c r="M417" i="25"/>
  <c r="I418" i="25"/>
  <c r="S417" i="25" l="1"/>
  <c r="R417" i="25" s="1"/>
  <c r="Q417" i="25" s="1"/>
  <c r="P417" i="25" s="1"/>
  <c r="O417" i="25" s="1"/>
  <c r="N417" i="25" s="1"/>
  <c r="Z417" i="25"/>
  <c r="H418" i="25" l="1"/>
  <c r="G418" i="25"/>
  <c r="F418" i="25" s="1"/>
  <c r="E418" i="25" s="1"/>
  <c r="Y418" i="25" l="1"/>
  <c r="D418" i="25"/>
  <c r="C418" i="25"/>
  <c r="B419" i="25"/>
  <c r="J419" i="25"/>
  <c r="M418" i="25"/>
  <c r="I419" i="25"/>
  <c r="S418" i="25" l="1"/>
  <c r="Z418" i="25"/>
  <c r="R418" i="25" l="1"/>
  <c r="Q418" i="25" s="1"/>
  <c r="P418" i="25" s="1"/>
  <c r="O418" i="25" s="1"/>
  <c r="N418" i="25" s="1"/>
  <c r="H419" i="25" l="1"/>
  <c r="G419" i="25"/>
  <c r="F419" i="25" s="1"/>
  <c r="E419" i="25" s="1"/>
  <c r="C419" i="25" l="1"/>
  <c r="Y419" i="25"/>
  <c r="D419" i="25"/>
  <c r="B420" i="25"/>
  <c r="J420" i="25"/>
  <c r="M419" i="25"/>
  <c r="I420" i="25"/>
  <c r="S419" i="25" l="1"/>
  <c r="Z419" i="25"/>
  <c r="R419" i="25" l="1"/>
  <c r="Q419" i="25" s="1"/>
  <c r="P419" i="25" s="1"/>
  <c r="O419" i="25" s="1"/>
  <c r="N419" i="25" s="1"/>
  <c r="H420" i="25" l="1"/>
  <c r="G420" i="25"/>
  <c r="F420" i="25" s="1"/>
  <c r="E420" i="25" s="1"/>
  <c r="D420" i="25" l="1"/>
  <c r="Y420" i="25"/>
  <c r="C420" i="25"/>
  <c r="B421" i="25"/>
  <c r="J421" i="25"/>
  <c r="M420" i="25"/>
  <c r="I421" i="25"/>
  <c r="S420" i="25" l="1"/>
  <c r="Z420" i="25"/>
  <c r="R420" i="25" l="1"/>
  <c r="Q420" i="25" s="1"/>
  <c r="P420" i="25" s="1"/>
  <c r="O420" i="25" s="1"/>
  <c r="N420" i="25" s="1"/>
  <c r="H421" i="25" l="1"/>
  <c r="G421" i="25"/>
  <c r="F421" i="25" s="1"/>
  <c r="E421" i="25" s="1"/>
  <c r="C421" i="25" l="1"/>
  <c r="D421" i="25"/>
  <c r="Y421" i="25"/>
  <c r="B422" i="25"/>
  <c r="J422" i="25"/>
  <c r="M421" i="25"/>
  <c r="I422" i="25"/>
  <c r="S421" i="25" l="1"/>
  <c r="Z421" i="25"/>
  <c r="R421" i="25" l="1"/>
  <c r="Q421" i="25" s="1"/>
  <c r="P421" i="25" s="1"/>
  <c r="O421" i="25" s="1"/>
  <c r="N421" i="25" s="1"/>
  <c r="H422" i="25" l="1"/>
  <c r="G422" i="25"/>
  <c r="F422" i="25" s="1"/>
  <c r="E422" i="25" s="1"/>
  <c r="M422" i="25" l="1"/>
  <c r="Y422" i="25"/>
  <c r="C422" i="25"/>
  <c r="D422" i="25"/>
  <c r="B423" i="25"/>
  <c r="J423" i="25"/>
  <c r="I423" i="25"/>
  <c r="S422" i="25" l="1"/>
  <c r="R422" i="25" s="1"/>
  <c r="Z422" i="25"/>
  <c r="Q422" i="25" l="1"/>
  <c r="P422" i="25" s="1"/>
  <c r="O422" i="25" s="1"/>
  <c r="N422" i="25" s="1"/>
  <c r="H423" i="25" l="1"/>
  <c r="G423" i="25"/>
  <c r="F423" i="25" s="1"/>
  <c r="E423" i="25" s="1"/>
  <c r="Y423" i="25" l="1"/>
  <c r="D423" i="25"/>
  <c r="C423" i="25"/>
  <c r="B424" i="25"/>
  <c r="I424" i="25"/>
  <c r="M423" i="25"/>
  <c r="J424" i="25"/>
  <c r="S423" i="25" l="1"/>
  <c r="R423" i="25" s="1"/>
  <c r="Q423" i="25" s="1"/>
  <c r="P423" i="25" s="1"/>
  <c r="O423" i="25" s="1"/>
  <c r="N423" i="25" s="1"/>
  <c r="H424" i="25" s="1"/>
  <c r="Z423" i="25"/>
  <c r="G424" i="25" l="1"/>
  <c r="F424" i="25" s="1"/>
  <c r="E424" i="25" s="1"/>
  <c r="Y424" i="25" l="1"/>
  <c r="C424" i="25"/>
  <c r="D424" i="25"/>
  <c r="B425" i="25"/>
  <c r="I425" i="25"/>
  <c r="M424" i="25"/>
  <c r="J425" i="25"/>
  <c r="S424" i="25" l="1"/>
  <c r="R424" i="25" s="1"/>
  <c r="Z424" i="25"/>
  <c r="Q424" i="25" l="1"/>
  <c r="P424" i="25" s="1"/>
  <c r="O424" i="25" s="1"/>
  <c r="N424" i="25" s="1"/>
  <c r="H425" i="25" l="1"/>
  <c r="G425" i="25"/>
  <c r="F425" i="25" s="1"/>
  <c r="E425" i="25" s="1"/>
  <c r="Y425" i="25" l="1"/>
  <c r="D425" i="25"/>
  <c r="C425" i="25"/>
  <c r="B426" i="25"/>
  <c r="I426" i="25"/>
  <c r="M425" i="25"/>
  <c r="J426" i="25"/>
  <c r="S425" i="25" l="1"/>
  <c r="R425" i="25" s="1"/>
  <c r="Z425" i="25"/>
  <c r="Q425" i="25" l="1"/>
  <c r="P425" i="25" s="1"/>
  <c r="O425" i="25" s="1"/>
  <c r="N425" i="25" s="1"/>
  <c r="G426" i="25" l="1"/>
  <c r="F426" i="25" s="1"/>
  <c r="E426" i="25" s="1"/>
  <c r="H426" i="25"/>
  <c r="D426" i="25" l="1"/>
  <c r="Y426" i="25"/>
  <c r="C426" i="25"/>
  <c r="B427" i="25"/>
  <c r="I427" i="25"/>
  <c r="M426" i="25"/>
  <c r="J427" i="25"/>
  <c r="S426" i="25" l="1"/>
  <c r="R426" i="25" s="1"/>
  <c r="Z426" i="25"/>
  <c r="Q426" i="25" l="1"/>
  <c r="P426" i="25" s="1"/>
  <c r="O426" i="25" s="1"/>
  <c r="N426" i="25" s="1"/>
  <c r="G427" i="25" l="1"/>
  <c r="F427" i="25" s="1"/>
  <c r="E427" i="25" s="1"/>
  <c r="H427" i="25"/>
  <c r="D427" i="25" l="1"/>
  <c r="C427" i="25"/>
  <c r="Y427" i="25"/>
  <c r="B428" i="25"/>
  <c r="I428" i="25"/>
  <c r="M427" i="25"/>
  <c r="J428" i="25"/>
  <c r="S427" i="25" l="1"/>
  <c r="R427" i="25" s="1"/>
  <c r="Z427" i="25"/>
  <c r="Q427" i="25" l="1"/>
  <c r="P427" i="25" s="1"/>
  <c r="O427" i="25" s="1"/>
  <c r="N427" i="25" s="1"/>
  <c r="G428" i="25" l="1"/>
  <c r="F428" i="25" s="1"/>
  <c r="E428" i="25" s="1"/>
  <c r="H428" i="25"/>
  <c r="Y428" i="25" l="1"/>
  <c r="D428" i="25"/>
  <c r="C428" i="25"/>
  <c r="B429" i="25"/>
  <c r="I429" i="25"/>
  <c r="J429" i="25"/>
  <c r="M428" i="25"/>
  <c r="S428" i="25" l="1"/>
  <c r="R428" i="25" s="1"/>
  <c r="Z428" i="25"/>
  <c r="Q428" i="25" l="1"/>
  <c r="P428" i="25" s="1"/>
  <c r="O428" i="25" s="1"/>
  <c r="N428" i="25" s="1"/>
  <c r="H429" i="25" l="1"/>
  <c r="G429" i="25"/>
  <c r="F429" i="25" s="1"/>
  <c r="E429" i="25" s="1"/>
  <c r="J430" i="25" l="1"/>
  <c r="Y429" i="25"/>
  <c r="C429" i="25"/>
  <c r="D429" i="25"/>
  <c r="B430" i="25"/>
  <c r="I430" i="25"/>
  <c r="M429" i="25"/>
  <c r="Z429" i="25" l="1"/>
  <c r="S429" i="25"/>
  <c r="R429" i="25" l="1"/>
  <c r="Q429" i="25" s="1"/>
  <c r="P429" i="25" s="1"/>
  <c r="O429" i="25" s="1"/>
  <c r="N429" i="25" s="1"/>
  <c r="H430" i="25" l="1"/>
  <c r="G430" i="25"/>
  <c r="F430" i="25" s="1"/>
  <c r="E430" i="25" s="1"/>
  <c r="Y430" i="25" l="1"/>
  <c r="C430" i="25"/>
  <c r="D430" i="25"/>
  <c r="B431" i="25"/>
  <c r="I431" i="25"/>
  <c r="J431" i="25"/>
  <c r="M430" i="25"/>
  <c r="S430" i="25" l="1"/>
  <c r="R430" i="25" s="1"/>
  <c r="Z430" i="25"/>
  <c r="Q430" i="25" l="1"/>
  <c r="P430" i="25" s="1"/>
  <c r="O430" i="25" s="1"/>
  <c r="N430" i="25" s="1"/>
  <c r="G431" i="25" l="1"/>
  <c r="F431" i="25" s="1"/>
  <c r="E431" i="25" s="1"/>
  <c r="H431" i="25"/>
  <c r="D431" i="25" l="1"/>
  <c r="C431" i="25"/>
  <c r="Y431" i="25"/>
  <c r="B432" i="25"/>
  <c r="M431" i="25"/>
  <c r="I432" i="25"/>
  <c r="J432" i="25"/>
  <c r="Z431" i="25" l="1"/>
  <c r="S431" i="25"/>
  <c r="R431" i="25" l="1"/>
  <c r="Q431" i="25" s="1"/>
  <c r="P431" i="25" s="1"/>
  <c r="O431" i="25" s="1"/>
  <c r="N431" i="25" s="1"/>
  <c r="H432" i="25" l="1"/>
  <c r="G432" i="25"/>
  <c r="F432" i="25" s="1"/>
  <c r="E432" i="25" s="1"/>
  <c r="D432" i="25" l="1"/>
  <c r="Y432" i="25"/>
  <c r="C432" i="25"/>
  <c r="B433" i="25"/>
  <c r="M432" i="25"/>
  <c r="J433" i="25"/>
  <c r="I433" i="25"/>
  <c r="Z432" i="25" l="1"/>
  <c r="S432" i="25"/>
  <c r="R432" i="25" l="1"/>
  <c r="Q432" i="25" s="1"/>
  <c r="P432" i="25" s="1"/>
  <c r="O432" i="25" s="1"/>
  <c r="N432" i="25" s="1"/>
  <c r="H433" i="25" l="1"/>
  <c r="G433" i="25"/>
  <c r="F433" i="25" s="1"/>
  <c r="E433" i="25" s="1"/>
  <c r="D433" i="25" l="1"/>
  <c r="Y433" i="25"/>
  <c r="C433" i="25"/>
  <c r="B434" i="25"/>
  <c r="I434" i="25"/>
  <c r="M433" i="25"/>
  <c r="J434" i="25"/>
  <c r="S433" i="25" l="1"/>
  <c r="R433" i="25" s="1"/>
  <c r="Z433" i="25"/>
  <c r="Q433" i="25" l="1"/>
  <c r="P433" i="25" s="1"/>
  <c r="O433" i="25" s="1"/>
  <c r="N433" i="25" s="1"/>
  <c r="G434" i="25" l="1"/>
  <c r="F434" i="25" s="1"/>
  <c r="E434" i="25" s="1"/>
  <c r="H434" i="25"/>
  <c r="D434" i="25" l="1"/>
  <c r="C434" i="25"/>
  <c r="Y434" i="25"/>
  <c r="B435" i="25"/>
  <c r="I435" i="25"/>
  <c r="J435" i="25"/>
  <c r="M434" i="25"/>
  <c r="S434" i="25" l="1"/>
  <c r="R434" i="25" s="1"/>
  <c r="Z434" i="25"/>
  <c r="Q434" i="25" l="1"/>
  <c r="P434" i="25" s="1"/>
  <c r="O434" i="25" s="1"/>
  <c r="N434" i="25" s="1"/>
  <c r="G435" i="25" l="1"/>
  <c r="F435" i="25" s="1"/>
  <c r="E435" i="25" s="1"/>
  <c r="H435" i="25"/>
  <c r="Y435" i="25" l="1"/>
  <c r="C435" i="25"/>
  <c r="D435" i="25"/>
  <c r="B436" i="25"/>
  <c r="M435" i="25"/>
  <c r="I436" i="25"/>
  <c r="J436" i="25"/>
  <c r="Z435" i="25" l="1"/>
  <c r="S435" i="25"/>
  <c r="R435" i="25" l="1"/>
  <c r="Q435" i="25" s="1"/>
  <c r="P435" i="25" s="1"/>
  <c r="O435" i="25" s="1"/>
  <c r="N435" i="25" s="1"/>
  <c r="H436" i="25" l="1"/>
  <c r="G436" i="25"/>
  <c r="F436" i="25" s="1"/>
  <c r="E436" i="25" s="1"/>
  <c r="D436" i="25" l="1"/>
  <c r="Y436" i="25"/>
  <c r="C436" i="25"/>
  <c r="B437" i="25"/>
  <c r="I437" i="25"/>
  <c r="M436" i="25"/>
  <c r="J437" i="25"/>
  <c r="S436" i="25" l="1"/>
  <c r="R436" i="25" s="1"/>
  <c r="Z436" i="25"/>
  <c r="Q436" i="25" l="1"/>
  <c r="P436" i="25" s="1"/>
  <c r="O436" i="25" s="1"/>
  <c r="N436" i="25" s="1"/>
  <c r="G437" i="25" l="1"/>
  <c r="F437" i="25" s="1"/>
  <c r="E437" i="25" s="1"/>
  <c r="H437" i="25"/>
  <c r="D437" i="25" l="1"/>
  <c r="Y437" i="25"/>
  <c r="C437" i="25"/>
  <c r="B438" i="25"/>
  <c r="I438" i="25"/>
  <c r="J438" i="25"/>
  <c r="M437" i="25"/>
  <c r="S437" i="25" l="1"/>
  <c r="R437" i="25" s="1"/>
  <c r="Z437" i="25"/>
  <c r="Q437" i="25" l="1"/>
  <c r="P437" i="25" s="1"/>
  <c r="O437" i="25" s="1"/>
  <c r="N437" i="25" s="1"/>
  <c r="G438" i="25" l="1"/>
  <c r="F438" i="25" s="1"/>
  <c r="E438" i="25" s="1"/>
  <c r="H438" i="25"/>
  <c r="C438" i="25" l="1"/>
  <c r="D438" i="25"/>
  <c r="Y438" i="25"/>
  <c r="B439" i="25"/>
  <c r="M438" i="25"/>
  <c r="I439" i="25"/>
  <c r="J439" i="25"/>
  <c r="Z438" i="25" l="1"/>
  <c r="S438" i="25"/>
  <c r="R438" i="25" l="1"/>
  <c r="Q438" i="25" s="1"/>
  <c r="P438" i="25" s="1"/>
  <c r="O438" i="25" s="1"/>
  <c r="N438" i="25" s="1"/>
  <c r="H439" i="25" l="1"/>
  <c r="G439" i="25"/>
  <c r="F439" i="25" s="1"/>
  <c r="E439" i="25" s="1"/>
  <c r="D439" i="25" l="1"/>
  <c r="C439" i="25"/>
  <c r="Y439" i="25"/>
  <c r="B440" i="25"/>
  <c r="M439" i="25"/>
  <c r="I440" i="25"/>
  <c r="J440" i="25"/>
  <c r="Z439" i="25" l="1"/>
  <c r="S439" i="25"/>
  <c r="R439" i="25" l="1"/>
  <c r="Q439" i="25" s="1"/>
  <c r="P439" i="25" s="1"/>
  <c r="O439" i="25" s="1"/>
  <c r="N439" i="25" s="1"/>
  <c r="H440" i="25" l="1"/>
  <c r="G440" i="25"/>
  <c r="F440" i="25" s="1"/>
  <c r="E440" i="25" s="1"/>
  <c r="D440" i="25" l="1"/>
  <c r="C440" i="25"/>
  <c r="Y440" i="25"/>
  <c r="B441" i="25"/>
  <c r="J441" i="25"/>
  <c r="M440" i="25"/>
  <c r="I441" i="25"/>
  <c r="S440" i="25" l="1"/>
  <c r="Z440" i="25"/>
  <c r="R440" i="25" l="1"/>
  <c r="Q440" i="25" s="1"/>
  <c r="P440" i="25" s="1"/>
  <c r="O440" i="25" s="1"/>
  <c r="N440" i="25" s="1"/>
  <c r="G441" i="25" l="1"/>
  <c r="F441" i="25" s="1"/>
  <c r="E441" i="25" s="1"/>
  <c r="H441" i="25"/>
  <c r="Y441" i="25" l="1"/>
  <c r="D441" i="25"/>
  <c r="C441" i="25"/>
  <c r="B442" i="25"/>
  <c r="J442" i="25"/>
  <c r="I442" i="25"/>
  <c r="M441" i="25"/>
  <c r="Z441" i="25" l="1"/>
  <c r="S441" i="25"/>
  <c r="R441" i="25" s="1"/>
  <c r="Q441" i="25" l="1"/>
  <c r="P441" i="25" s="1"/>
  <c r="O441" i="25" s="1"/>
  <c r="N441" i="25" s="1"/>
  <c r="H442" i="25" l="1"/>
  <c r="G442" i="25"/>
  <c r="F442" i="25" s="1"/>
  <c r="E442" i="25" s="1"/>
  <c r="D442" i="25" l="1"/>
  <c r="C442" i="25"/>
  <c r="Y442" i="25"/>
  <c r="B443" i="25"/>
  <c r="J443" i="25"/>
  <c r="I443" i="25"/>
  <c r="M442" i="25"/>
  <c r="Z442" i="25" l="1"/>
  <c r="S442" i="25"/>
  <c r="R442" i="25" s="1"/>
  <c r="Q442" i="25" l="1"/>
  <c r="P442" i="25" s="1"/>
  <c r="O442" i="25" s="1"/>
  <c r="N442" i="25" s="1"/>
  <c r="H443" i="25" l="1"/>
  <c r="G443" i="25"/>
  <c r="F443" i="25" s="1"/>
  <c r="E443" i="25" s="1"/>
  <c r="Y443" i="25" l="1"/>
  <c r="D443" i="25"/>
  <c r="C443" i="25"/>
  <c r="B444" i="25"/>
  <c r="J444" i="25"/>
  <c r="I444" i="25"/>
  <c r="M443" i="25"/>
  <c r="Z443" i="25" l="1"/>
  <c r="S443" i="25"/>
  <c r="R443" i="25" s="1"/>
  <c r="Q443" i="25" l="1"/>
  <c r="P443" i="25" s="1"/>
  <c r="O443" i="25" s="1"/>
  <c r="N443" i="25" s="1"/>
  <c r="H444" i="25" l="1"/>
  <c r="G444" i="25"/>
  <c r="F444" i="25" s="1"/>
  <c r="E444" i="25" s="1"/>
  <c r="C444" i="25" l="1"/>
  <c r="Y444" i="25"/>
  <c r="D444" i="25"/>
  <c r="B445" i="25"/>
  <c r="J445" i="25"/>
  <c r="I445" i="25"/>
  <c r="M444" i="25"/>
  <c r="Z444" i="25" l="1"/>
  <c r="S444" i="25"/>
  <c r="R444" i="25" s="1"/>
  <c r="Q444" i="25" l="1"/>
  <c r="P444" i="25" s="1"/>
  <c r="O444" i="25" s="1"/>
  <c r="N444" i="25" s="1"/>
  <c r="G445" i="25" l="1"/>
  <c r="F445" i="25" s="1"/>
  <c r="E445" i="25" s="1"/>
  <c r="H445" i="25"/>
  <c r="C445" i="25" l="1"/>
  <c r="D445" i="25"/>
  <c r="Y445" i="25"/>
  <c r="B446" i="25"/>
  <c r="M445" i="25"/>
  <c r="J446" i="25"/>
  <c r="I446" i="25"/>
  <c r="Z445" i="25" l="1"/>
  <c r="S445" i="25"/>
  <c r="R445" i="25" l="1"/>
  <c r="Q445" i="25" s="1"/>
  <c r="P445" i="25" s="1"/>
  <c r="O445" i="25" s="1"/>
  <c r="N445" i="25" s="1"/>
  <c r="G446" i="25" l="1"/>
  <c r="F446" i="25" s="1"/>
  <c r="E446" i="25" s="1"/>
  <c r="H446" i="25"/>
  <c r="Y446" i="25" l="1"/>
  <c r="D446" i="25"/>
  <c r="C446" i="25"/>
  <c r="B447" i="25"/>
  <c r="I447" i="25"/>
  <c r="M446" i="25"/>
  <c r="J447" i="25"/>
  <c r="S446" i="25" l="1"/>
  <c r="R446" i="25" s="1"/>
  <c r="Q446" i="25" s="1"/>
  <c r="P446" i="25" s="1"/>
  <c r="O446" i="25" s="1"/>
  <c r="N446" i="25" s="1"/>
  <c r="H447" i="25" s="1"/>
  <c r="Z446" i="25"/>
  <c r="G447" i="25" l="1"/>
  <c r="F447" i="25" s="1"/>
  <c r="E447" i="25" s="1"/>
  <c r="D447" i="25" l="1"/>
  <c r="Y447" i="25"/>
  <c r="C447" i="25"/>
  <c r="B448" i="25"/>
  <c r="I448" i="25"/>
  <c r="M447" i="25"/>
  <c r="J448" i="25"/>
  <c r="S447" i="25" l="1"/>
  <c r="R447" i="25" s="1"/>
  <c r="Z447" i="25"/>
  <c r="Q447" i="25" l="1"/>
  <c r="P447" i="25" s="1"/>
  <c r="O447" i="25" s="1"/>
  <c r="N447" i="25" s="1"/>
  <c r="G448" i="25" l="1"/>
  <c r="F448" i="25" s="1"/>
  <c r="E448" i="25" s="1"/>
  <c r="H448" i="25"/>
  <c r="D448" i="25" l="1"/>
  <c r="C448" i="25"/>
  <c r="Y448" i="25"/>
  <c r="B449" i="25"/>
  <c r="J449" i="25"/>
  <c r="I449" i="25"/>
  <c r="M448" i="25"/>
  <c r="Z448" i="25" l="1"/>
  <c r="S448" i="25"/>
  <c r="R448" i="25" s="1"/>
  <c r="Q448" i="25" l="1"/>
  <c r="P448" i="25" s="1"/>
  <c r="O448" i="25" s="1"/>
  <c r="N448" i="25" s="1"/>
  <c r="G449" i="25" l="1"/>
  <c r="F449" i="25" s="1"/>
  <c r="E449" i="25" s="1"/>
  <c r="H449" i="25"/>
  <c r="D449" i="25" l="1"/>
  <c r="Y449" i="25"/>
  <c r="C449" i="25"/>
  <c r="B450" i="25"/>
  <c r="M449" i="25"/>
  <c r="J450" i="25"/>
  <c r="I450" i="25"/>
  <c r="Z449" i="25" l="1"/>
  <c r="S449" i="25"/>
  <c r="R449" i="25" l="1"/>
  <c r="Q449" i="25" s="1"/>
  <c r="P449" i="25" s="1"/>
  <c r="O449" i="25" s="1"/>
  <c r="N449" i="25" s="1"/>
  <c r="G450" i="25" l="1"/>
  <c r="F450" i="25" s="1"/>
  <c r="E450" i="25" s="1"/>
  <c r="H450" i="25"/>
  <c r="C450" i="25" l="1"/>
  <c r="D450" i="25"/>
  <c r="Y450" i="25"/>
  <c r="B451" i="25"/>
  <c r="I451" i="25"/>
  <c r="M450" i="25"/>
  <c r="J451" i="25"/>
  <c r="S450" i="25" l="1"/>
  <c r="R450" i="25" s="1"/>
  <c r="Z450" i="25"/>
  <c r="Q450" i="25" l="1"/>
  <c r="P450" i="25" s="1"/>
  <c r="O450" i="25" s="1"/>
  <c r="N450" i="25" s="1"/>
  <c r="G451" i="25" l="1"/>
  <c r="F451" i="25" s="1"/>
  <c r="E451" i="25" s="1"/>
  <c r="H451" i="25"/>
  <c r="D451" i="25" l="1"/>
  <c r="C451" i="25"/>
  <c r="Y451" i="25"/>
  <c r="B452" i="25"/>
  <c r="I452" i="25"/>
  <c r="M451" i="25"/>
  <c r="J452" i="25"/>
  <c r="S451" i="25" l="1"/>
  <c r="R451" i="25" s="1"/>
  <c r="Z451" i="25"/>
  <c r="Q451" i="25" l="1"/>
  <c r="P451" i="25" s="1"/>
  <c r="O451" i="25" s="1"/>
  <c r="N451" i="25" s="1"/>
  <c r="G452" i="25" l="1"/>
  <c r="F452" i="25" s="1"/>
  <c r="E452" i="25" s="1"/>
  <c r="H452" i="25"/>
  <c r="C452" i="25" l="1"/>
  <c r="D452" i="25"/>
  <c r="Y452" i="25"/>
  <c r="B453" i="25"/>
  <c r="I453" i="25"/>
  <c r="J453" i="25"/>
  <c r="M452" i="25"/>
  <c r="S452" i="25" l="1"/>
  <c r="R452" i="25" s="1"/>
  <c r="Z452" i="25"/>
  <c r="Q452" i="25" l="1"/>
  <c r="P452" i="25" s="1"/>
  <c r="O452" i="25" s="1"/>
  <c r="N452" i="25" s="1"/>
  <c r="H453" i="25" l="1"/>
  <c r="G453" i="25"/>
  <c r="F453" i="25" s="1"/>
  <c r="E453" i="25" s="1"/>
  <c r="C453" i="25" l="1"/>
  <c r="Y453" i="25"/>
  <c r="D453" i="25"/>
  <c r="B454" i="25"/>
  <c r="M453" i="25"/>
  <c r="I454" i="25"/>
  <c r="J454" i="25"/>
  <c r="Z453" i="25" l="1"/>
  <c r="S453" i="25"/>
  <c r="R453" i="25" l="1"/>
  <c r="Q453" i="25" s="1"/>
  <c r="P453" i="25" s="1"/>
  <c r="O453" i="25" s="1"/>
  <c r="N453" i="25" s="1"/>
  <c r="G454" i="25" l="1"/>
  <c r="F454" i="25" s="1"/>
  <c r="E454" i="25" s="1"/>
  <c r="H454" i="25"/>
  <c r="D454" i="25" l="1"/>
  <c r="Y454" i="25"/>
  <c r="C454" i="25"/>
  <c r="B455" i="25"/>
  <c r="J455" i="25"/>
  <c r="M454" i="25"/>
  <c r="I455" i="25"/>
  <c r="S454" i="25" l="1"/>
  <c r="Z454" i="25"/>
  <c r="R454" i="25" l="1"/>
  <c r="Q454" i="25" s="1"/>
  <c r="P454" i="25" s="1"/>
  <c r="O454" i="25" s="1"/>
  <c r="N454" i="25" s="1"/>
  <c r="G455" i="25" l="1"/>
  <c r="F455" i="25" s="1"/>
  <c r="E455" i="25" s="1"/>
  <c r="H455" i="25"/>
  <c r="D455" i="25" l="1"/>
  <c r="Y455" i="25"/>
  <c r="C455" i="25"/>
  <c r="B456" i="25"/>
  <c r="J456" i="25"/>
  <c r="I456" i="25"/>
  <c r="M455" i="25"/>
  <c r="Z455" i="25" l="1"/>
  <c r="S455" i="25"/>
  <c r="R455" i="25" s="1"/>
  <c r="Q455" i="25" l="1"/>
  <c r="P455" i="25" s="1"/>
  <c r="O455" i="25" s="1"/>
  <c r="N455" i="25" s="1"/>
  <c r="H456" i="25" l="1"/>
  <c r="G456" i="25"/>
  <c r="F456" i="25" s="1"/>
  <c r="E456" i="25" s="1"/>
  <c r="C456" i="25" l="1"/>
  <c r="D456" i="25"/>
  <c r="Y456" i="25"/>
  <c r="B457" i="25"/>
  <c r="J457" i="25"/>
  <c r="I457" i="25"/>
  <c r="M456" i="25"/>
  <c r="Z456" i="25" l="1"/>
  <c r="S456" i="25"/>
  <c r="R456" i="25" s="1"/>
  <c r="Q456" i="25" l="1"/>
  <c r="P456" i="25" s="1"/>
  <c r="O456" i="25" s="1"/>
  <c r="N456" i="25" s="1"/>
  <c r="G457" i="25" l="1"/>
  <c r="F457" i="25" s="1"/>
  <c r="E457" i="25" s="1"/>
  <c r="H457" i="25"/>
  <c r="C457" i="25" l="1"/>
  <c r="Y457" i="25"/>
  <c r="D457" i="25"/>
  <c r="B458" i="25"/>
  <c r="J458" i="25"/>
  <c r="M457" i="25"/>
  <c r="I458" i="25"/>
  <c r="S457" i="25" l="1"/>
  <c r="Z457" i="25"/>
  <c r="R457" i="25" l="1"/>
  <c r="Q457" i="25" s="1"/>
  <c r="P457" i="25" s="1"/>
  <c r="O457" i="25" s="1"/>
  <c r="N457" i="25" s="1"/>
  <c r="H458" i="25" l="1"/>
  <c r="G458" i="25"/>
  <c r="F458" i="25" s="1"/>
  <c r="E458" i="25" s="1"/>
  <c r="C458" i="25" l="1"/>
  <c r="Y458" i="25"/>
  <c r="D458" i="25"/>
  <c r="B459" i="25"/>
  <c r="J459" i="25"/>
  <c r="M458" i="25"/>
  <c r="I459" i="25"/>
  <c r="S458" i="25" l="1"/>
  <c r="Z458" i="25"/>
  <c r="R458" i="25" l="1"/>
  <c r="Q458" i="25" s="1"/>
  <c r="P458" i="25" s="1"/>
  <c r="O458" i="25" s="1"/>
  <c r="N458" i="25" s="1"/>
  <c r="G459" i="25" l="1"/>
  <c r="F459" i="25" s="1"/>
  <c r="E459" i="25" s="1"/>
  <c r="H459" i="25"/>
  <c r="Y459" i="25" l="1"/>
  <c r="C459" i="25"/>
  <c r="D459" i="25"/>
  <c r="B460" i="25"/>
  <c r="J460" i="25"/>
  <c r="M459" i="25"/>
  <c r="I460" i="25"/>
  <c r="S459" i="25" l="1"/>
  <c r="R459" i="25" s="1"/>
  <c r="Q459" i="25" s="1"/>
  <c r="P459" i="25" s="1"/>
  <c r="O459" i="25" s="1"/>
  <c r="N459" i="25" s="1"/>
  <c r="Z459" i="25"/>
  <c r="H460" i="25" l="1"/>
  <c r="G460" i="25"/>
  <c r="F460" i="25" s="1"/>
  <c r="E460" i="25" s="1"/>
  <c r="Y460" i="25" l="1"/>
  <c r="D460" i="25"/>
  <c r="C460" i="25"/>
  <c r="B461" i="25"/>
  <c r="J461" i="25"/>
  <c r="I461" i="25"/>
  <c r="M460" i="25"/>
  <c r="Z460" i="25" l="1"/>
  <c r="S460" i="25"/>
  <c r="R460" i="25" s="1"/>
  <c r="Q460" i="25" l="1"/>
  <c r="P460" i="25" s="1"/>
  <c r="O460" i="25" s="1"/>
  <c r="N460" i="25" s="1"/>
  <c r="H461" i="25" l="1"/>
  <c r="G461" i="25"/>
  <c r="F461" i="25" s="1"/>
  <c r="E461" i="25" s="1"/>
  <c r="Y461" i="25" l="1"/>
  <c r="C461" i="25"/>
  <c r="D461" i="25"/>
  <c r="B462" i="25"/>
  <c r="J462" i="25"/>
  <c r="I462" i="25"/>
  <c r="M461" i="25"/>
  <c r="Z461" i="25" l="1"/>
  <c r="S461" i="25"/>
  <c r="R461" i="25" s="1"/>
  <c r="Q461" i="25" l="1"/>
  <c r="P461" i="25" s="1"/>
  <c r="O461" i="25" s="1"/>
  <c r="N461" i="25" s="1"/>
  <c r="G462" i="25" l="1"/>
  <c r="F462" i="25" s="1"/>
  <c r="E462" i="25" s="1"/>
  <c r="H462" i="25"/>
  <c r="C462" i="25" l="1"/>
  <c r="D462" i="25"/>
  <c r="Y462" i="25"/>
  <c r="B463" i="25"/>
  <c r="M462" i="25"/>
  <c r="I463" i="25"/>
  <c r="J463" i="25"/>
  <c r="Z462" i="25" l="1"/>
  <c r="S462" i="25"/>
  <c r="R462" i="25" l="1"/>
  <c r="Q462" i="25" s="1"/>
  <c r="P462" i="25" s="1"/>
  <c r="O462" i="25" s="1"/>
  <c r="N462" i="25" s="1"/>
  <c r="G463" i="25" l="1"/>
  <c r="F463" i="25" s="1"/>
  <c r="E463" i="25" s="1"/>
  <c r="H463" i="25"/>
  <c r="Y463" i="25" l="1"/>
  <c r="C463" i="25"/>
  <c r="D463" i="25"/>
  <c r="B464" i="25"/>
  <c r="I464" i="25"/>
  <c r="J464" i="25"/>
  <c r="M463" i="25"/>
  <c r="S463" i="25" l="1"/>
  <c r="R463" i="25" s="1"/>
  <c r="Z463" i="25"/>
  <c r="Q463" i="25" l="1"/>
  <c r="P463" i="25" s="1"/>
  <c r="O463" i="25" s="1"/>
  <c r="N463" i="25" s="1"/>
  <c r="G464" i="25" l="1"/>
  <c r="F464" i="25" s="1"/>
  <c r="E464" i="25" s="1"/>
  <c r="H464" i="25"/>
  <c r="Y464" i="25" l="1"/>
  <c r="D464" i="25"/>
  <c r="C464" i="25"/>
  <c r="B465" i="25"/>
  <c r="M464" i="25"/>
  <c r="I465" i="25"/>
  <c r="J465" i="25"/>
  <c r="Z464" i="25" l="1"/>
  <c r="S464" i="25"/>
  <c r="R464" i="25" s="1"/>
  <c r="Q464" i="25" s="1"/>
  <c r="P464" i="25" s="1"/>
  <c r="O464" i="25" s="1"/>
  <c r="N464" i="25" s="1"/>
  <c r="H465" i="25" l="1"/>
  <c r="G465" i="25"/>
  <c r="F465" i="25" s="1"/>
  <c r="E465" i="25" s="1"/>
  <c r="C465" i="25" l="1"/>
  <c r="Y465" i="25"/>
  <c r="D465" i="25"/>
  <c r="B466" i="25"/>
  <c r="M465" i="25"/>
  <c r="I466" i="25"/>
  <c r="J466" i="25"/>
  <c r="Z465" i="25" l="1"/>
  <c r="S465" i="25"/>
  <c r="R465" i="25" l="1"/>
  <c r="Q465" i="25" s="1"/>
  <c r="P465" i="25" s="1"/>
  <c r="O465" i="25" s="1"/>
  <c r="N465" i="25" s="1"/>
  <c r="H466" i="25" l="1"/>
  <c r="G466" i="25"/>
  <c r="F466" i="25" s="1"/>
  <c r="E466" i="25" s="1"/>
  <c r="D466" i="25" l="1"/>
  <c r="C466" i="25"/>
  <c r="Y466" i="25"/>
  <c r="B467" i="25"/>
  <c r="I467" i="25"/>
  <c r="M466" i="25"/>
  <c r="J467" i="25"/>
  <c r="S466" i="25" l="1"/>
  <c r="R466" i="25" s="1"/>
  <c r="Z466" i="25"/>
  <c r="Q466" i="25" l="1"/>
  <c r="P466" i="25" s="1"/>
  <c r="O466" i="25" s="1"/>
  <c r="N466" i="25" s="1"/>
  <c r="G467" i="25" l="1"/>
  <c r="F467" i="25" s="1"/>
  <c r="E467" i="25" s="1"/>
  <c r="H467" i="25"/>
  <c r="D467" i="25" l="1"/>
  <c r="Y467" i="25"/>
  <c r="C467" i="25"/>
  <c r="B468" i="25"/>
  <c r="I468" i="25"/>
  <c r="J468" i="25"/>
  <c r="M467" i="25"/>
  <c r="S467" i="25" l="1"/>
  <c r="R467" i="25" s="1"/>
  <c r="Z467" i="25"/>
  <c r="Q467" i="25" l="1"/>
  <c r="P467" i="25" s="1"/>
  <c r="O467" i="25" s="1"/>
  <c r="N467" i="25" s="1"/>
  <c r="H468" i="25" l="1"/>
  <c r="G468" i="25"/>
  <c r="F468" i="25" s="1"/>
  <c r="E468" i="25" s="1"/>
  <c r="C468" i="25" l="1"/>
  <c r="D468" i="25"/>
  <c r="Y468" i="25"/>
  <c r="B469" i="25"/>
  <c r="M468" i="25"/>
  <c r="I469" i="25"/>
  <c r="J469" i="25"/>
  <c r="Z468" i="25" l="1"/>
  <c r="S468" i="25"/>
  <c r="R468" i="25" l="1"/>
  <c r="Q468" i="25" s="1"/>
  <c r="P468" i="25" s="1"/>
  <c r="O468" i="25" s="1"/>
  <c r="N468" i="25" s="1"/>
  <c r="G469" i="25" l="1"/>
  <c r="F469" i="25" s="1"/>
  <c r="E469" i="25" s="1"/>
  <c r="H469" i="25"/>
  <c r="C469" i="25" l="1"/>
  <c r="Y469" i="25"/>
  <c r="D469" i="25"/>
  <c r="B470" i="25"/>
  <c r="M469" i="25"/>
  <c r="I470" i="25"/>
  <c r="J470" i="25"/>
  <c r="Z469" i="25" l="1"/>
  <c r="S469" i="25"/>
  <c r="R469" i="25" s="1"/>
  <c r="Q469" i="25" s="1"/>
  <c r="P469" i="25" s="1"/>
  <c r="O469" i="25" s="1"/>
  <c r="N469" i="25" s="1"/>
  <c r="H470" i="25" l="1"/>
  <c r="G470" i="25"/>
  <c r="F470" i="25" s="1"/>
  <c r="E470" i="25" s="1"/>
  <c r="C470" i="25" l="1"/>
  <c r="Y470" i="25"/>
  <c r="D470" i="25"/>
  <c r="B471" i="25"/>
  <c r="M470" i="25"/>
  <c r="I471" i="25"/>
  <c r="J471" i="25"/>
  <c r="Z470" i="25" l="1"/>
  <c r="S470" i="25"/>
  <c r="R470" i="25" l="1"/>
  <c r="Q470" i="25" s="1"/>
  <c r="P470" i="25" s="1"/>
  <c r="O470" i="25" s="1"/>
  <c r="N470" i="25" s="1"/>
  <c r="H471" i="25" l="1"/>
  <c r="G471" i="25"/>
  <c r="F471" i="25" s="1"/>
  <c r="E471" i="25" s="1"/>
  <c r="D471" i="25" l="1"/>
  <c r="Y471" i="25"/>
  <c r="C471" i="25"/>
  <c r="B472" i="25"/>
  <c r="M471" i="25"/>
  <c r="I472" i="25"/>
  <c r="J472" i="25"/>
  <c r="Z471" i="25" l="1"/>
  <c r="S471" i="25"/>
  <c r="R471" i="25" l="1"/>
  <c r="Q471" i="25" s="1"/>
  <c r="P471" i="25" s="1"/>
  <c r="O471" i="25" s="1"/>
  <c r="N471" i="25" s="1"/>
  <c r="G472" i="25" l="1"/>
  <c r="F472" i="25" s="1"/>
  <c r="E472" i="25" s="1"/>
  <c r="H472" i="25"/>
  <c r="C472" i="25" l="1"/>
  <c r="Y472" i="25"/>
  <c r="D472" i="25"/>
  <c r="B473" i="25"/>
  <c r="J473" i="25"/>
  <c r="M472" i="25"/>
  <c r="I473" i="25"/>
  <c r="S472" i="25" l="1"/>
  <c r="Z472" i="25"/>
  <c r="R472" i="25" l="1"/>
  <c r="Q472" i="25" s="1"/>
  <c r="P472" i="25" s="1"/>
  <c r="O472" i="25" s="1"/>
  <c r="N472" i="25" s="1"/>
  <c r="G473" i="25" l="1"/>
  <c r="F473" i="25" s="1"/>
  <c r="E473" i="25" s="1"/>
  <c r="H473" i="25"/>
  <c r="D473" i="25" l="1"/>
  <c r="Y473" i="25"/>
  <c r="C473" i="25"/>
  <c r="B474" i="25"/>
  <c r="J474" i="25"/>
  <c r="M473" i="25"/>
  <c r="I474" i="25"/>
  <c r="S473" i="25" l="1"/>
  <c r="Z473" i="25"/>
  <c r="R473" i="25" l="1"/>
  <c r="Q473" i="25" s="1"/>
  <c r="P473" i="25" s="1"/>
  <c r="O473" i="25" s="1"/>
  <c r="N473" i="25" s="1"/>
  <c r="G474" i="25" l="1"/>
  <c r="F474" i="25" s="1"/>
  <c r="E474" i="25" s="1"/>
  <c r="H474" i="25"/>
  <c r="D474" i="25" l="1"/>
  <c r="C474" i="25"/>
  <c r="Y474" i="25"/>
  <c r="B475" i="25"/>
  <c r="J475" i="25"/>
  <c r="M474" i="25"/>
  <c r="I475" i="25"/>
  <c r="S474" i="25" l="1"/>
  <c r="Z474" i="25"/>
  <c r="R474" i="25" l="1"/>
  <c r="Q474" i="25" s="1"/>
  <c r="P474" i="25" s="1"/>
  <c r="O474" i="25" s="1"/>
  <c r="N474" i="25" s="1"/>
  <c r="G475" i="25" l="1"/>
  <c r="F475" i="25" s="1"/>
  <c r="E475" i="25" s="1"/>
  <c r="H475" i="25"/>
  <c r="D475" i="25" l="1"/>
  <c r="C475" i="25"/>
  <c r="Y475" i="25"/>
  <c r="B476" i="25"/>
  <c r="J476" i="25"/>
  <c r="M475" i="25"/>
  <c r="I476" i="25"/>
  <c r="S475" i="25" l="1"/>
  <c r="Z475" i="25"/>
  <c r="R475" i="25" l="1"/>
  <c r="Q475" i="25" s="1"/>
  <c r="P475" i="25" s="1"/>
  <c r="O475" i="25" s="1"/>
  <c r="N475" i="25" s="1"/>
  <c r="H476" i="25" l="1"/>
  <c r="G476" i="25"/>
  <c r="F476" i="25" s="1"/>
  <c r="E476" i="25" s="1"/>
  <c r="D476" i="25" l="1"/>
  <c r="C476" i="25"/>
  <c r="Y476" i="25"/>
  <c r="B477" i="25"/>
  <c r="J477" i="25"/>
  <c r="M476" i="25"/>
  <c r="I477" i="25"/>
  <c r="S476" i="25" l="1"/>
  <c r="Z476" i="25"/>
  <c r="R476" i="25" l="1"/>
  <c r="Q476" i="25" s="1"/>
  <c r="P476" i="25" s="1"/>
  <c r="O476" i="25" s="1"/>
  <c r="N476" i="25" s="1"/>
  <c r="G477" i="25" l="1"/>
  <c r="F477" i="25" s="1"/>
  <c r="E477" i="25" s="1"/>
  <c r="H477" i="25"/>
  <c r="C477" i="25" l="1"/>
  <c r="Y477" i="25"/>
  <c r="D477" i="25"/>
  <c r="B478" i="25"/>
  <c r="J478" i="25"/>
  <c r="M477" i="25"/>
  <c r="I478" i="25"/>
  <c r="S477" i="25" l="1"/>
  <c r="Z477" i="25"/>
  <c r="R477" i="25" l="1"/>
  <c r="Q477" i="25" s="1"/>
  <c r="P477" i="25" s="1"/>
  <c r="O477" i="25" s="1"/>
  <c r="N477" i="25" s="1"/>
  <c r="H478" i="25" l="1"/>
  <c r="G478" i="25"/>
  <c r="F478" i="25" s="1"/>
  <c r="E478" i="25" s="1"/>
  <c r="C478" i="25" l="1"/>
  <c r="Y478" i="25"/>
  <c r="D478" i="25"/>
  <c r="B479" i="25"/>
  <c r="J479" i="25"/>
  <c r="M478" i="25"/>
  <c r="I479" i="25"/>
  <c r="S478" i="25" l="1"/>
  <c r="Z478" i="25"/>
  <c r="R478" i="25" l="1"/>
  <c r="Q478" i="25" s="1"/>
  <c r="P478" i="25" s="1"/>
  <c r="O478" i="25" s="1"/>
  <c r="N478" i="25" s="1"/>
  <c r="G479" i="25" l="1"/>
  <c r="F479" i="25" s="1"/>
  <c r="E479" i="25" s="1"/>
  <c r="H479" i="25"/>
  <c r="C479" i="25" l="1"/>
  <c r="Y479" i="25"/>
  <c r="D479" i="25"/>
  <c r="B480" i="25"/>
  <c r="J480" i="25"/>
  <c r="M479" i="25"/>
  <c r="I480" i="25"/>
  <c r="S479" i="25" l="1"/>
  <c r="Z479" i="25"/>
  <c r="R479" i="25" l="1"/>
  <c r="Q479" i="25" s="1"/>
  <c r="P479" i="25" s="1"/>
  <c r="O479" i="25" s="1"/>
  <c r="N479" i="25" s="1"/>
  <c r="H480" i="25" l="1"/>
  <c r="G480" i="25"/>
  <c r="F480" i="25" s="1"/>
  <c r="E480" i="25" s="1"/>
  <c r="D480" i="25" l="1"/>
  <c r="C480" i="25"/>
  <c r="Y480" i="25"/>
  <c r="B481" i="25"/>
  <c r="J481" i="25"/>
  <c r="M480" i="25"/>
  <c r="I481" i="25"/>
  <c r="S480" i="25" l="1"/>
  <c r="R480" i="25" s="1"/>
  <c r="Z480" i="25"/>
  <c r="Q480" i="25" l="1"/>
  <c r="P480" i="25" s="1"/>
  <c r="O480" i="25" s="1"/>
  <c r="N480" i="25" s="1"/>
  <c r="H481" i="25" l="1"/>
  <c r="G481" i="25"/>
  <c r="F481" i="25" s="1"/>
  <c r="E481" i="25" s="1"/>
  <c r="I482" i="25" l="1"/>
  <c r="Y481" i="25"/>
  <c r="C481" i="25"/>
  <c r="D481" i="25"/>
  <c r="B482" i="25"/>
  <c r="J482" i="25"/>
  <c r="M481" i="25"/>
  <c r="Z481" i="25" l="1"/>
  <c r="S481" i="25"/>
  <c r="R481" i="25" l="1"/>
  <c r="Q481" i="25" s="1"/>
  <c r="P481" i="25" s="1"/>
  <c r="O481" i="25" s="1"/>
  <c r="N481" i="25" s="1"/>
  <c r="H482" i="25" l="1"/>
  <c r="G482" i="25"/>
  <c r="F482" i="25" s="1"/>
  <c r="E482" i="25" s="1"/>
  <c r="Y482" i="25" l="1"/>
  <c r="C482" i="25"/>
  <c r="D482" i="25"/>
  <c r="B483" i="25"/>
  <c r="I483" i="25"/>
  <c r="M482" i="25"/>
  <c r="J483" i="25"/>
  <c r="S482" i="25" l="1"/>
  <c r="R482" i="25" s="1"/>
  <c r="Z482" i="25"/>
  <c r="Q482" i="25" l="1"/>
  <c r="P482" i="25" s="1"/>
  <c r="O482" i="25" s="1"/>
  <c r="N482" i="25" s="1"/>
  <c r="H483" i="25" l="1"/>
  <c r="G483" i="25"/>
  <c r="F483" i="25" s="1"/>
  <c r="E483" i="25" s="1"/>
  <c r="C483" i="25" l="1"/>
  <c r="D483" i="25"/>
  <c r="Y483" i="25"/>
  <c r="B484" i="25"/>
  <c r="I484" i="25"/>
  <c r="M483" i="25"/>
  <c r="J484" i="25"/>
  <c r="S483" i="25" l="1"/>
  <c r="R483" i="25" s="1"/>
  <c r="Z483" i="25"/>
  <c r="Q483" i="25" l="1"/>
  <c r="P483" i="25" s="1"/>
  <c r="O483" i="25" s="1"/>
  <c r="N483" i="25" s="1"/>
  <c r="H484" i="25" l="1"/>
  <c r="G484" i="25"/>
  <c r="F484" i="25" s="1"/>
  <c r="E484" i="25" s="1"/>
  <c r="C484" i="25" l="1"/>
  <c r="D484" i="25"/>
  <c r="Y484" i="25"/>
  <c r="B485" i="25"/>
  <c r="I485" i="25"/>
  <c r="J485" i="25"/>
  <c r="M484" i="25"/>
  <c r="S484" i="25" l="1"/>
  <c r="R484" i="25" s="1"/>
  <c r="Z484" i="25"/>
  <c r="Q484" i="25" l="1"/>
  <c r="P484" i="25" s="1"/>
  <c r="O484" i="25" s="1"/>
  <c r="N484" i="25" s="1"/>
  <c r="G485" i="25" l="1"/>
  <c r="F485" i="25" s="1"/>
  <c r="E485" i="25" s="1"/>
  <c r="H485" i="25"/>
  <c r="C485" i="25" l="1"/>
  <c r="Y485" i="25"/>
  <c r="D485" i="25"/>
  <c r="B486" i="25"/>
  <c r="M485" i="25"/>
  <c r="I486" i="25"/>
  <c r="J486" i="25"/>
  <c r="Z485" i="25" l="1"/>
  <c r="S485" i="25"/>
  <c r="R485" i="25" l="1"/>
  <c r="Q485" i="25" s="1"/>
  <c r="P485" i="25" s="1"/>
  <c r="O485" i="25" s="1"/>
  <c r="N485" i="25" s="1"/>
  <c r="G486" i="25" l="1"/>
  <c r="F486" i="25" s="1"/>
  <c r="E486" i="25" s="1"/>
  <c r="H486" i="25"/>
  <c r="Y486" i="25" l="1"/>
  <c r="D486" i="25"/>
  <c r="C486" i="25"/>
  <c r="B487" i="25"/>
  <c r="I487" i="25"/>
  <c r="J487" i="25"/>
  <c r="M486" i="25"/>
  <c r="S486" i="25" l="1"/>
  <c r="R486" i="25" s="1"/>
  <c r="Z486" i="25"/>
  <c r="Q486" i="25" l="1"/>
  <c r="P486" i="25" s="1"/>
  <c r="O486" i="25" s="1"/>
  <c r="N486" i="25" s="1"/>
  <c r="G487" i="25" l="1"/>
  <c r="F487" i="25" s="1"/>
  <c r="E487" i="25" s="1"/>
  <c r="H487" i="25"/>
  <c r="D487" i="25" l="1"/>
  <c r="C487" i="25"/>
  <c r="Y487" i="25"/>
  <c r="B488" i="25"/>
  <c r="M487" i="25"/>
  <c r="I488" i="25"/>
  <c r="J488" i="25"/>
  <c r="Z487" i="25" l="1"/>
  <c r="S487" i="25"/>
  <c r="R487" i="25" l="1"/>
  <c r="Q487" i="25" s="1"/>
  <c r="P487" i="25" s="1"/>
  <c r="O487" i="25" s="1"/>
  <c r="N487" i="25" s="1"/>
  <c r="H488" i="25" l="1"/>
  <c r="G488" i="25"/>
  <c r="F488" i="25" s="1"/>
  <c r="E488" i="25" s="1"/>
  <c r="Y488" i="25" l="1"/>
  <c r="D488" i="25"/>
  <c r="C488" i="25"/>
  <c r="B489" i="25"/>
  <c r="I489" i="25"/>
  <c r="M488" i="25"/>
  <c r="J489" i="25"/>
  <c r="S488" i="25" l="1"/>
  <c r="R488" i="25" s="1"/>
  <c r="Z488" i="25"/>
  <c r="Q488" i="25" l="1"/>
  <c r="P488" i="25" s="1"/>
  <c r="O488" i="25" s="1"/>
  <c r="N488" i="25" s="1"/>
  <c r="G489" i="25" l="1"/>
  <c r="F489" i="25" s="1"/>
  <c r="E489" i="25" s="1"/>
  <c r="H489" i="25"/>
  <c r="D489" i="25" l="1"/>
  <c r="Y489" i="25"/>
  <c r="C489" i="25"/>
  <c r="B490" i="25"/>
  <c r="I490" i="25"/>
  <c r="J490" i="25"/>
  <c r="M489" i="25"/>
  <c r="S489" i="25" l="1"/>
  <c r="R489" i="25" s="1"/>
  <c r="Z489" i="25"/>
  <c r="Q489" i="25" l="1"/>
  <c r="P489" i="25" s="1"/>
  <c r="O489" i="25" s="1"/>
  <c r="N489" i="25" s="1"/>
  <c r="G490" i="25" l="1"/>
  <c r="F490" i="25" s="1"/>
  <c r="E490" i="25" s="1"/>
  <c r="H490" i="25"/>
  <c r="D490" i="25" l="1"/>
  <c r="Y490" i="25"/>
  <c r="C490" i="25"/>
  <c r="B491" i="25"/>
  <c r="M490" i="25"/>
  <c r="I491" i="25"/>
  <c r="J491" i="25"/>
  <c r="Z490" i="25" l="1"/>
  <c r="S490" i="25"/>
  <c r="R490" i="25" l="1"/>
  <c r="Q490" i="25" s="1"/>
  <c r="P490" i="25" s="1"/>
  <c r="O490" i="25" s="1"/>
  <c r="N490" i="25" s="1"/>
  <c r="H491" i="25" l="1"/>
  <c r="G491" i="25"/>
  <c r="F491" i="25" s="1"/>
  <c r="E491" i="25" s="1"/>
  <c r="Y491" i="25" l="1"/>
  <c r="C491" i="25"/>
  <c r="D491" i="25"/>
  <c r="B492" i="25"/>
  <c r="M491" i="25"/>
  <c r="I492" i="25"/>
  <c r="J492" i="25"/>
  <c r="Z491" i="25" l="1"/>
  <c r="S491" i="25"/>
  <c r="R491" i="25" l="1"/>
  <c r="Q491" i="25" s="1"/>
  <c r="P491" i="25" s="1"/>
  <c r="O491" i="25" s="1"/>
  <c r="N491" i="25" s="1"/>
  <c r="G492" i="25" l="1"/>
  <c r="F492" i="25" s="1"/>
  <c r="E492" i="25" s="1"/>
  <c r="H492" i="25"/>
  <c r="Y492" i="25" l="1"/>
  <c r="C492" i="25"/>
  <c r="D492" i="25"/>
  <c r="B493" i="25"/>
  <c r="M492" i="25"/>
  <c r="J493" i="25"/>
  <c r="I493" i="25"/>
  <c r="Z492" i="25" l="1"/>
  <c r="S492" i="25"/>
  <c r="R492" i="25" l="1"/>
  <c r="Q492" i="25" s="1"/>
  <c r="P492" i="25" s="1"/>
  <c r="O492" i="25" s="1"/>
  <c r="N492" i="25" s="1"/>
  <c r="G493" i="25" l="1"/>
  <c r="F493" i="25" s="1"/>
  <c r="E493" i="25" s="1"/>
  <c r="H493" i="25"/>
  <c r="Y493" i="25" l="1"/>
  <c r="D493" i="25"/>
  <c r="C493" i="25"/>
  <c r="B494" i="25"/>
  <c r="I494" i="25"/>
  <c r="M493" i="25"/>
  <c r="J494" i="25"/>
  <c r="S493" i="25" l="1"/>
  <c r="R493" i="25" s="1"/>
  <c r="Z493" i="25"/>
  <c r="Q493" i="25" l="1"/>
  <c r="P493" i="25" s="1"/>
  <c r="O493" i="25" s="1"/>
  <c r="N493" i="25" s="1"/>
  <c r="H494" i="25" l="1"/>
  <c r="G494" i="25"/>
  <c r="F494" i="25" s="1"/>
  <c r="E494" i="25" s="1"/>
  <c r="C494" i="25" l="1"/>
  <c r="Y494" i="25"/>
  <c r="D494" i="25"/>
  <c r="B495" i="25"/>
  <c r="I495" i="25"/>
  <c r="J495" i="25"/>
  <c r="M494" i="25"/>
  <c r="S494" i="25" l="1"/>
  <c r="R494" i="25" s="1"/>
  <c r="Z494" i="25"/>
  <c r="Q494" i="25" l="1"/>
  <c r="P494" i="25" s="1"/>
  <c r="O494" i="25" s="1"/>
  <c r="N494" i="25" s="1"/>
  <c r="G495" i="25" l="1"/>
  <c r="F495" i="25" s="1"/>
  <c r="E495" i="25" s="1"/>
  <c r="H495" i="25"/>
  <c r="Y495" i="25" l="1"/>
  <c r="C495" i="25"/>
  <c r="D495" i="25"/>
  <c r="B496" i="25"/>
  <c r="M495" i="25"/>
  <c r="I496" i="25"/>
  <c r="J496" i="25"/>
  <c r="Z495" i="25" l="1"/>
  <c r="S495" i="25"/>
  <c r="R495" i="25" l="1"/>
  <c r="Q495" i="25" s="1"/>
  <c r="P495" i="25" s="1"/>
  <c r="O495" i="25" s="1"/>
  <c r="N495" i="25" s="1"/>
  <c r="H496" i="25" l="1"/>
  <c r="G496" i="25"/>
  <c r="F496" i="25" s="1"/>
  <c r="E496" i="25" s="1"/>
  <c r="C496" i="25" l="1"/>
  <c r="Y496" i="25"/>
  <c r="D496" i="25"/>
  <c r="B497" i="25"/>
  <c r="I497" i="25"/>
  <c r="M496" i="25"/>
  <c r="J497" i="25"/>
  <c r="S496" i="25" l="1"/>
  <c r="R496" i="25" s="1"/>
  <c r="Z496" i="25"/>
  <c r="Q496" i="25" l="1"/>
  <c r="P496" i="25" s="1"/>
  <c r="O496" i="25" s="1"/>
  <c r="N496" i="25" s="1"/>
  <c r="G497" i="25" l="1"/>
  <c r="F497" i="25" s="1"/>
  <c r="E497" i="25" s="1"/>
  <c r="H497" i="25"/>
  <c r="D497" i="25" l="1"/>
  <c r="C497" i="25"/>
  <c r="Y497" i="25"/>
  <c r="B498" i="25"/>
  <c r="I498" i="25"/>
  <c r="J498" i="25"/>
  <c r="M497" i="25"/>
  <c r="S497" i="25" l="1"/>
  <c r="R497" i="25" s="1"/>
  <c r="Z497" i="25"/>
  <c r="Q497" i="25" l="1"/>
  <c r="P497" i="25" s="1"/>
  <c r="O497" i="25" s="1"/>
  <c r="N497" i="25" s="1"/>
  <c r="H498" i="25" l="1"/>
  <c r="G498" i="25"/>
  <c r="F498" i="25" s="1"/>
  <c r="E498" i="25" s="1"/>
  <c r="D498" i="25" l="1"/>
  <c r="C498" i="25"/>
  <c r="Y498" i="25"/>
  <c r="B499" i="25"/>
  <c r="M498" i="25"/>
  <c r="I499" i="25"/>
  <c r="J499" i="25"/>
  <c r="Z498" i="25" l="1"/>
  <c r="S498" i="25"/>
  <c r="R498" i="25" l="1"/>
  <c r="Q498" i="25" s="1"/>
  <c r="P498" i="25" s="1"/>
  <c r="O498" i="25" s="1"/>
  <c r="N498" i="25" s="1"/>
  <c r="G499" i="25" l="1"/>
  <c r="F499" i="25" s="1"/>
  <c r="E499" i="25" s="1"/>
  <c r="H499" i="25"/>
  <c r="C499" i="25" l="1"/>
  <c r="D499" i="25"/>
  <c r="Y499" i="25"/>
  <c r="B500" i="25"/>
  <c r="M499" i="25"/>
  <c r="I500" i="25"/>
  <c r="J500" i="25"/>
  <c r="Z499" i="25" l="1"/>
  <c r="S499" i="25"/>
  <c r="R499" i="25" l="1"/>
  <c r="Q499" i="25" s="1"/>
  <c r="P499" i="25" s="1"/>
  <c r="O499" i="25" s="1"/>
  <c r="N499" i="25" s="1"/>
  <c r="G500" i="25" l="1"/>
  <c r="F500" i="25" s="1"/>
  <c r="E500" i="25" s="1"/>
  <c r="H500" i="25"/>
  <c r="Y500" i="25" l="1"/>
  <c r="D500" i="25"/>
  <c r="C500" i="25"/>
  <c r="B501" i="25"/>
  <c r="J501" i="25"/>
  <c r="I501" i="25"/>
  <c r="M500" i="25"/>
  <c r="S500" i="25" l="1"/>
  <c r="R500" i="25" s="1"/>
  <c r="Z500" i="25"/>
  <c r="Q500" i="25" l="1"/>
  <c r="P500" i="25" s="1"/>
  <c r="O500" i="25" s="1"/>
  <c r="N500" i="25" s="1"/>
  <c r="G501" i="25" l="1"/>
  <c r="F501" i="25" s="1"/>
  <c r="E501" i="25" s="1"/>
  <c r="H501" i="25"/>
  <c r="C501" i="25" l="1"/>
  <c r="D501" i="25"/>
  <c r="Y501" i="25"/>
  <c r="B502" i="25"/>
  <c r="I502" i="25"/>
  <c r="J502" i="25"/>
  <c r="M501" i="25"/>
  <c r="Z501" i="25" l="1"/>
  <c r="S501" i="25"/>
  <c r="R501" i="25" s="1"/>
  <c r="Q501" i="25" l="1"/>
  <c r="P501" i="25" s="1"/>
  <c r="O501" i="25" s="1"/>
  <c r="N501" i="25" s="1"/>
  <c r="H502" i="25" l="1"/>
  <c r="G502" i="25"/>
  <c r="F502" i="25" s="1"/>
  <c r="E502" i="25" s="1"/>
  <c r="C502" i="25" l="1"/>
  <c r="D502" i="25"/>
  <c r="Y502" i="25"/>
  <c r="B503" i="25"/>
  <c r="J503" i="25"/>
  <c r="M502" i="25"/>
  <c r="I503" i="25"/>
  <c r="Z502" i="25" l="1"/>
  <c r="S502" i="25"/>
  <c r="R502" i="25" s="1"/>
  <c r="Q502" i="25" s="1"/>
  <c r="P502" i="25" s="1"/>
  <c r="O502" i="25" s="1"/>
  <c r="N502" i="25" s="1"/>
  <c r="H503" i="25" l="1"/>
  <c r="G503" i="25"/>
  <c r="F503" i="25" s="1"/>
  <c r="E503" i="25" s="1"/>
  <c r="S503" i="25" l="1"/>
  <c r="C503" i="25"/>
  <c r="D503" i="25"/>
  <c r="Y503" i="25"/>
  <c r="M503" i="25"/>
  <c r="Z503" i="25" l="1"/>
  <c r="R503" i="25"/>
  <c r="Q503" i="25" s="1"/>
  <c r="P503" i="25" s="1"/>
  <c r="O503" i="25" s="1"/>
  <c r="N503" i="25" s="1"/>
  <c r="W8" i="13" l="1"/>
  <c r="T9" i="13" l="1"/>
  <c r="U9" i="13"/>
  <c r="S9" i="13"/>
  <c r="X8" i="13"/>
  <c r="W9" i="13" l="1"/>
  <c r="T10" i="13" l="1"/>
  <c r="S10" i="13"/>
  <c r="U10" i="13"/>
  <c r="X9" i="13"/>
  <c r="W10" i="13" l="1"/>
  <c r="T11" i="13" l="1"/>
  <c r="S11" i="13"/>
  <c r="U11" i="13"/>
  <c r="X10" i="13"/>
  <c r="W11" i="13" l="1"/>
  <c r="X11" i="13" l="1"/>
  <c r="T12" i="13" l="1"/>
  <c r="S12" i="13"/>
  <c r="U12" i="13"/>
  <c r="W12" i="13" l="1"/>
  <c r="X12" i="13" l="1"/>
  <c r="T13" i="13" l="1"/>
  <c r="S13" i="13"/>
  <c r="U13" i="13"/>
  <c r="W13" i="13" l="1"/>
  <c r="X13" i="13"/>
  <c r="S14" i="13" l="1"/>
  <c r="T14" i="13"/>
  <c r="U14" i="13"/>
  <c r="W14" i="13" l="1"/>
  <c r="T15" i="13"/>
  <c r="S15" i="13"/>
  <c r="U15" i="13"/>
  <c r="X14" i="13"/>
  <c r="W15" i="13" l="1"/>
  <c r="X15" i="13" l="1"/>
  <c r="T16" i="13" l="1"/>
  <c r="U16" i="13"/>
  <c r="S16" i="13"/>
  <c r="W16" i="13" l="1"/>
  <c r="X16" i="13" l="1"/>
  <c r="S17" i="13" l="1"/>
  <c r="U17" i="13"/>
  <c r="T17" i="13"/>
  <c r="W17" i="13" l="1"/>
  <c r="X17" i="13"/>
  <c r="S18" i="13" l="1"/>
  <c r="T18" i="13"/>
  <c r="U18" i="13"/>
  <c r="W18" i="13" l="1"/>
  <c r="S19" i="13"/>
  <c r="T19" i="13"/>
  <c r="U19" i="13"/>
  <c r="X18" i="13"/>
  <c r="R18" i="13" l="1"/>
  <c r="W19" i="13" l="1"/>
  <c r="X19" i="13" l="1"/>
  <c r="S20" i="13" l="1"/>
  <c r="U20" i="13"/>
  <c r="T20" i="13"/>
  <c r="R19" i="13" l="1"/>
  <c r="W20" i="13"/>
  <c r="X20" i="13" l="1"/>
  <c r="U21" i="13" l="1"/>
  <c r="S21" i="13"/>
  <c r="T21" i="13"/>
  <c r="W21" i="13" l="1"/>
  <c r="X21" i="13"/>
  <c r="S22" i="13" l="1"/>
  <c r="T22" i="13"/>
  <c r="U22" i="13"/>
  <c r="R21" i="13" l="1"/>
  <c r="W22" i="13"/>
  <c r="X22" i="13"/>
  <c r="U23" i="13" l="1"/>
  <c r="T23" i="13"/>
  <c r="S23" i="13"/>
  <c r="W23" i="13" l="1"/>
  <c r="X23" i="13"/>
  <c r="S24" i="13"/>
  <c r="U24" i="13"/>
  <c r="T24" i="13"/>
  <c r="R22" i="13" l="1"/>
  <c r="W24" i="13" l="1"/>
  <c r="X24" i="13" l="1"/>
  <c r="R23" i="13" l="1"/>
  <c r="S25" i="13"/>
  <c r="T25" i="13"/>
  <c r="U25" i="13"/>
  <c r="W25" i="13" l="1"/>
  <c r="X25" i="13"/>
  <c r="T26" i="13" l="1"/>
  <c r="S26" i="13"/>
  <c r="U26" i="13"/>
  <c r="R24" i="13" l="1"/>
  <c r="W26" i="13" l="1"/>
  <c r="X26" i="13"/>
  <c r="S27" i="13" l="1"/>
  <c r="T27" i="13"/>
  <c r="U27" i="13"/>
  <c r="R25" i="13" l="1"/>
  <c r="W27" i="13" l="1"/>
  <c r="X27" i="13"/>
  <c r="T28" i="13" l="1"/>
  <c r="S28" i="13"/>
  <c r="U28" i="13"/>
  <c r="R26" i="13" l="1"/>
  <c r="W28" i="13" l="1"/>
  <c r="T29" i="13"/>
  <c r="U29" i="13"/>
  <c r="S29" i="13"/>
  <c r="X28" i="13"/>
  <c r="R27" i="13" l="1"/>
  <c r="W29" i="13"/>
  <c r="S30" i="13" l="1"/>
  <c r="T30" i="13"/>
  <c r="U30" i="13"/>
  <c r="X29" i="13"/>
  <c r="R28" i="13" l="1"/>
  <c r="W30" i="13"/>
  <c r="X30" i="13" l="1"/>
  <c r="U31" i="13" l="1"/>
  <c r="T31" i="13"/>
  <c r="S31" i="13"/>
  <c r="W31" i="13" l="1"/>
  <c r="R29" i="13" l="1"/>
  <c r="X31" i="13"/>
  <c r="S32" i="13" l="1"/>
  <c r="T32" i="13"/>
  <c r="U32" i="13"/>
  <c r="W32" i="13" l="1"/>
  <c r="X32" i="13"/>
  <c r="S33" i="13" l="1"/>
  <c r="U33" i="13"/>
  <c r="T33" i="13"/>
  <c r="W33" i="13" l="1"/>
  <c r="X33" i="13" l="1"/>
  <c r="R31" i="13" l="1"/>
  <c r="U34" i="13"/>
  <c r="S34" i="13"/>
  <c r="T34" i="13"/>
  <c r="W34" i="13" l="1"/>
  <c r="X34" i="13" l="1"/>
  <c r="R32" i="13" l="1"/>
  <c r="U35" i="13"/>
  <c r="T35" i="13"/>
  <c r="S35" i="13"/>
  <c r="W35" i="13" l="1"/>
  <c r="U36" i="13"/>
  <c r="T36" i="13"/>
  <c r="S36" i="13"/>
  <c r="X35" i="13"/>
  <c r="W36" i="13" l="1"/>
  <c r="X36" i="13" l="1"/>
  <c r="R34" i="13" l="1"/>
  <c r="U37" i="13"/>
  <c r="S37" i="13"/>
  <c r="T37" i="13"/>
  <c r="W37" i="13" l="1"/>
  <c r="X37" i="13" l="1"/>
  <c r="R35" i="13" l="1"/>
  <c r="T38" i="13"/>
  <c r="S38" i="13"/>
  <c r="U38" i="13"/>
  <c r="W38" i="13" l="1"/>
  <c r="X38" i="13" l="1"/>
  <c r="U39" i="13" l="1"/>
  <c r="T39" i="13"/>
  <c r="S39" i="13"/>
  <c r="R36" i="13" l="1"/>
  <c r="W39" i="13"/>
  <c r="S40" i="13" l="1"/>
  <c r="T40" i="13"/>
  <c r="U40" i="13"/>
  <c r="X39" i="13"/>
  <c r="W40" i="13" l="1"/>
  <c r="X40" i="13" l="1"/>
  <c r="U41" i="13" l="1"/>
  <c r="S41" i="13"/>
  <c r="T41" i="13"/>
  <c r="R38" i="13" l="1"/>
  <c r="W41" i="13"/>
  <c r="R39" i="13" l="1"/>
  <c r="X41" i="13"/>
  <c r="T42" i="13" l="1"/>
  <c r="S42" i="13"/>
  <c r="U42" i="13"/>
  <c r="W42" i="13" l="1"/>
  <c r="X42" i="13" l="1"/>
  <c r="T43" i="13" l="1"/>
  <c r="S43" i="13"/>
  <c r="U43" i="13"/>
  <c r="R40" i="13" l="1"/>
  <c r="T44" i="13" l="1"/>
  <c r="S44" i="13"/>
  <c r="X43" i="13"/>
  <c r="U44" i="13" l="1"/>
  <c r="W44" i="13"/>
  <c r="X44" i="13"/>
  <c r="R44" i="13" l="1"/>
  <c r="S45" i="13"/>
  <c r="U45" i="13"/>
  <c r="T45" i="13"/>
  <c r="R42" i="13" l="1"/>
  <c r="W45" i="13"/>
  <c r="S46" i="13"/>
  <c r="T46" i="13"/>
  <c r="U46" i="13"/>
  <c r="X45" i="13"/>
  <c r="W46" i="13" l="1"/>
  <c r="R43" i="13" l="1"/>
  <c r="X46" i="13"/>
  <c r="W43" i="13" l="1"/>
  <c r="S47" i="13"/>
  <c r="T47" i="13"/>
  <c r="U47" i="13"/>
  <c r="W47" i="13" l="1"/>
  <c r="X47" i="13"/>
  <c r="S48" i="13" l="1"/>
  <c r="U48" i="13"/>
  <c r="T48" i="13"/>
  <c r="W48" i="13" l="1"/>
  <c r="S49" i="13"/>
  <c r="U49" i="13"/>
  <c r="T49" i="13"/>
  <c r="X48" i="13"/>
  <c r="W49" i="13" l="1"/>
  <c r="R45" i="13" l="1"/>
  <c r="X49" i="13"/>
  <c r="S50" i="13" l="1"/>
  <c r="T50" i="13"/>
  <c r="U50" i="13"/>
  <c r="W50" i="13" l="1"/>
  <c r="R46" i="13" l="1"/>
  <c r="U51" i="13"/>
  <c r="T51" i="13"/>
  <c r="S51" i="13"/>
  <c r="X50" i="13"/>
  <c r="W51" i="13" l="1"/>
  <c r="R47" i="13" l="1"/>
  <c r="X51" i="13"/>
  <c r="S52" i="13" l="1"/>
  <c r="T52" i="13"/>
  <c r="U52" i="13"/>
  <c r="W52" i="13" l="1"/>
  <c r="R48" i="13" l="1"/>
  <c r="X52" i="13"/>
  <c r="T53" i="13" l="1"/>
  <c r="U53" i="13"/>
  <c r="S53" i="13"/>
  <c r="W53" i="13" l="1"/>
  <c r="X53" i="13"/>
  <c r="T54" i="13"/>
  <c r="S54" i="13"/>
  <c r="U54" i="13"/>
  <c r="R49" i="13" l="1"/>
  <c r="W54" i="13" l="1"/>
  <c r="X54" i="13" l="1"/>
  <c r="R50" i="13" l="1"/>
  <c r="S55" i="13"/>
  <c r="U55" i="13"/>
  <c r="T55" i="13"/>
  <c r="W55" i="13" l="1"/>
  <c r="X55" i="13"/>
  <c r="U56" i="13" l="1"/>
  <c r="S56" i="13"/>
  <c r="T56" i="13"/>
  <c r="R51" i="13" l="1"/>
  <c r="W56" i="13" l="1"/>
  <c r="U57" i="13"/>
  <c r="S57" i="13"/>
  <c r="T57" i="13"/>
  <c r="X56" i="13"/>
  <c r="W57" i="13" l="1"/>
  <c r="R52" i="13" l="1"/>
  <c r="X57" i="13"/>
  <c r="S58" i="13" l="1"/>
  <c r="T58" i="13"/>
  <c r="U58" i="13"/>
  <c r="W58" i="13" l="1"/>
  <c r="R53" i="13" l="1"/>
  <c r="X58" i="13"/>
  <c r="S59" i="13" l="1"/>
  <c r="U59" i="13"/>
  <c r="T59" i="13"/>
  <c r="W59" i="13" l="1"/>
  <c r="U60" i="13" l="1"/>
  <c r="T60" i="13"/>
  <c r="S60" i="13"/>
  <c r="X59" i="13"/>
  <c r="R54" i="13" l="1"/>
  <c r="W60" i="13" l="1"/>
  <c r="X60" i="13" l="1"/>
  <c r="R55" i="13" l="1"/>
  <c r="U61" i="13"/>
  <c r="S61" i="13"/>
  <c r="T61" i="13"/>
  <c r="W61" i="13" l="1"/>
  <c r="X61" i="13" l="1"/>
  <c r="R56" i="13" l="1"/>
  <c r="T62" i="13"/>
  <c r="U62" i="13"/>
  <c r="S62" i="13"/>
  <c r="W62" i="13" l="1"/>
  <c r="X62" i="13"/>
  <c r="T63" i="13" l="1"/>
  <c r="U63" i="13"/>
  <c r="S63" i="13"/>
  <c r="R57" i="13" l="1"/>
  <c r="W63" i="13"/>
  <c r="S64" i="13" l="1"/>
  <c r="T64" i="13"/>
  <c r="U64" i="13"/>
  <c r="X63" i="13"/>
  <c r="W64" i="13" l="1"/>
  <c r="R58" i="13" l="1"/>
  <c r="U65" i="13"/>
  <c r="S65" i="13"/>
  <c r="T65" i="13"/>
  <c r="X64" i="13"/>
  <c r="W65" i="13" l="1"/>
  <c r="R59" i="13" l="1"/>
  <c r="X65" i="13"/>
  <c r="U66" i="13" l="1"/>
  <c r="T66" i="13"/>
  <c r="S66" i="13"/>
  <c r="W66" i="13" l="1"/>
  <c r="X66" i="13"/>
  <c r="R60" i="13" l="1"/>
  <c r="U67" i="13"/>
  <c r="S67" i="13"/>
  <c r="T67" i="13"/>
  <c r="W67" i="13" l="1"/>
  <c r="U68" i="13"/>
  <c r="S68" i="13"/>
  <c r="T68" i="13"/>
  <c r="X67" i="13"/>
  <c r="R61" i="13" l="1"/>
  <c r="W68" i="13" l="1"/>
  <c r="X68" i="13" l="1"/>
  <c r="R62" i="13" l="1"/>
  <c r="U69" i="13"/>
  <c r="S69" i="13"/>
  <c r="T69" i="13"/>
  <c r="W69" i="13" l="1"/>
  <c r="X69" i="13"/>
  <c r="S70" i="13"/>
  <c r="U70" i="13"/>
  <c r="T70" i="13"/>
  <c r="R63" i="13" l="1"/>
  <c r="W70" i="13" l="1"/>
  <c r="S71" i="13" l="1"/>
  <c r="T71" i="13"/>
  <c r="U71" i="13"/>
  <c r="X70" i="13"/>
  <c r="R64" i="13" l="1"/>
  <c r="W71" i="13"/>
  <c r="X71" i="13" l="1"/>
  <c r="U72" i="13" l="1"/>
  <c r="S72" i="13"/>
  <c r="T72" i="13"/>
  <c r="R65" i="13" l="1"/>
  <c r="W72" i="13"/>
  <c r="X72" i="13"/>
  <c r="S73" i="13" l="1"/>
  <c r="T73" i="13"/>
  <c r="U73" i="13"/>
  <c r="R66" i="13" l="1"/>
  <c r="W73" i="13"/>
  <c r="S74" i="13"/>
  <c r="T74" i="13"/>
  <c r="U74" i="13"/>
  <c r="X73" i="13"/>
  <c r="W74" i="13" l="1"/>
  <c r="R67" i="13" l="1"/>
  <c r="X74" i="13"/>
  <c r="T75" i="13" l="1"/>
  <c r="S75" i="13"/>
  <c r="U75" i="13"/>
  <c r="W75" i="13" l="1"/>
  <c r="R68" i="13" l="1"/>
  <c r="X75" i="13"/>
  <c r="U76" i="13" l="1"/>
  <c r="T76" i="13"/>
  <c r="S76" i="13"/>
  <c r="R69" i="13" l="1"/>
  <c r="W76" i="13"/>
  <c r="X76" i="13" l="1"/>
  <c r="S77" i="13" l="1"/>
  <c r="T77" i="13"/>
  <c r="U77" i="13"/>
  <c r="R70" i="13" l="1"/>
  <c r="W77" i="13"/>
  <c r="X77" i="13" l="1"/>
  <c r="U78" i="13" l="1"/>
  <c r="S78" i="13"/>
  <c r="T78" i="13"/>
  <c r="R78" i="13" l="1"/>
  <c r="R71" i="13" l="1"/>
  <c r="W78" i="13"/>
  <c r="X78" i="13" l="1"/>
  <c r="T79" i="13" l="1"/>
  <c r="U79" i="13"/>
  <c r="S79" i="13"/>
  <c r="R72" i="13" l="1"/>
  <c r="R79" i="13"/>
  <c r="W79" i="13" l="1"/>
  <c r="X79" i="13" l="1"/>
  <c r="R73" i="13" l="1"/>
  <c r="T80" i="13"/>
  <c r="S80" i="13"/>
  <c r="U80" i="13"/>
  <c r="R80" i="13" l="1"/>
  <c r="W80" i="13" l="1"/>
  <c r="X80" i="13" l="1"/>
  <c r="R74" i="13" l="1"/>
  <c r="U81" i="13"/>
  <c r="T81" i="13"/>
  <c r="S81" i="13"/>
  <c r="R81" i="13" l="1"/>
  <c r="W81" i="13" l="1"/>
  <c r="R75" i="13" l="1"/>
  <c r="X81" i="13"/>
  <c r="S82" i="13" l="1"/>
  <c r="T82" i="13"/>
  <c r="U82" i="13"/>
  <c r="R82" i="13" l="1"/>
  <c r="R76" i="13" l="1"/>
  <c r="W82" i="13"/>
  <c r="X82" i="13" l="1"/>
  <c r="U83" i="13" l="1"/>
  <c r="T83" i="13"/>
  <c r="S83" i="13"/>
  <c r="R77" i="13" l="1"/>
  <c r="R83" i="13"/>
  <c r="W83" i="13" l="1"/>
  <c r="X83" i="13" l="1"/>
  <c r="T84" i="13" l="1"/>
  <c r="U84" i="13"/>
  <c r="S84" i="13"/>
  <c r="R84" i="13" l="1"/>
  <c r="W84" i="13" l="1"/>
  <c r="X84" i="13" l="1"/>
  <c r="T85" i="13" l="1"/>
  <c r="S85" i="13"/>
  <c r="U85" i="13"/>
  <c r="R85" i="13" l="1"/>
  <c r="W85" i="13" l="1"/>
  <c r="X85" i="13" l="1"/>
  <c r="U86" i="13" l="1"/>
  <c r="T86" i="13"/>
  <c r="S86" i="13"/>
  <c r="R86" i="13" l="1"/>
  <c r="W86" i="13" l="1"/>
  <c r="X86" i="13" l="1"/>
  <c r="U87" i="13" l="1"/>
  <c r="S87" i="13"/>
  <c r="T87" i="13"/>
  <c r="R87" i="13" l="1"/>
  <c r="W87" i="13" l="1"/>
  <c r="X87" i="13" l="1"/>
  <c r="S88" i="13" l="1"/>
  <c r="U88" i="13"/>
  <c r="T88" i="13"/>
  <c r="R88" i="13" l="1"/>
  <c r="W88" i="13" l="1"/>
  <c r="X88" i="13" l="1"/>
  <c r="S89" i="13" l="1"/>
  <c r="U89" i="13"/>
  <c r="T89" i="13"/>
  <c r="R89" i="13" l="1"/>
  <c r="W89" i="13" l="1"/>
  <c r="X89" i="13" l="1"/>
  <c r="S90" i="13" l="1"/>
  <c r="T90" i="13"/>
  <c r="U90" i="13"/>
  <c r="R90" i="13" l="1"/>
  <c r="W90" i="13" l="1"/>
  <c r="X90" i="13" l="1"/>
  <c r="T91" i="13" l="1"/>
  <c r="U91" i="13"/>
  <c r="S91" i="13"/>
  <c r="R91" i="13" l="1"/>
  <c r="W91" i="13" l="1"/>
  <c r="X91" i="13" l="1"/>
  <c r="U92" i="13" l="1"/>
  <c r="T92" i="13"/>
  <c r="S92" i="13"/>
  <c r="R92" i="13" l="1"/>
  <c r="W92" i="13" l="1"/>
  <c r="X92" i="13" l="1"/>
  <c r="T93" i="13" l="1"/>
  <c r="U93" i="13"/>
  <c r="S93" i="13"/>
  <c r="R93" i="13" l="1"/>
  <c r="W93" i="13" l="1"/>
  <c r="X93" i="13" l="1"/>
  <c r="T94" i="13" l="1"/>
  <c r="S94" i="13"/>
  <c r="U94" i="13"/>
  <c r="R94" i="13" l="1"/>
  <c r="W94" i="13" l="1"/>
  <c r="X94" i="13" l="1"/>
  <c r="U95" i="13" l="1"/>
  <c r="T95" i="13"/>
  <c r="S95" i="13"/>
  <c r="R95" i="13" l="1"/>
  <c r="W95" i="13" l="1"/>
  <c r="X95" i="13" l="1"/>
  <c r="T96" i="13" l="1"/>
  <c r="S96" i="13"/>
  <c r="U96" i="13"/>
  <c r="R96" i="13" l="1"/>
  <c r="W96" i="13" l="1"/>
  <c r="X96" i="13" l="1"/>
  <c r="S97" i="13" l="1"/>
  <c r="U97" i="13"/>
  <c r="T97" i="13"/>
  <c r="R97" i="13" l="1"/>
  <c r="W97" i="13" l="1"/>
  <c r="X97" i="13" l="1"/>
  <c r="S98" i="13" l="1"/>
  <c r="U98" i="13"/>
  <c r="T98" i="13"/>
  <c r="R98" i="13" l="1"/>
  <c r="W98" i="13" l="1"/>
  <c r="X98" i="13" l="1"/>
  <c r="U99" i="13" l="1"/>
  <c r="S99" i="13"/>
  <c r="T99" i="13"/>
  <c r="R99" i="13" l="1"/>
  <c r="W99" i="13" l="1"/>
  <c r="X99" i="13" l="1"/>
  <c r="T100" i="13" l="1"/>
  <c r="S100" i="13"/>
  <c r="U100" i="13"/>
  <c r="R100" i="13" l="1"/>
  <c r="W100" i="13" l="1"/>
  <c r="X100" i="13" l="1"/>
  <c r="U101" i="13" l="1"/>
  <c r="T101" i="13"/>
  <c r="S101" i="13"/>
  <c r="R101" i="13" l="1"/>
  <c r="W101" i="13" l="1"/>
  <c r="X101" i="13" l="1"/>
  <c r="S102" i="13" l="1"/>
  <c r="U102" i="13"/>
  <c r="T102" i="13"/>
  <c r="R102" i="13" l="1"/>
  <c r="W102" i="13" l="1"/>
  <c r="X102" i="13" l="1"/>
  <c r="V102" i="13"/>
  <c r="V101" i="13"/>
  <c r="V100" i="13"/>
  <c r="V99" i="13"/>
  <c r="V98" i="13"/>
  <c r="V97" i="13"/>
  <c r="V96" i="13"/>
  <c r="V95" i="13"/>
  <c r="V94" i="13"/>
  <c r="V93" i="13"/>
  <c r="V92" i="13"/>
  <c r="V91" i="13"/>
  <c r="V90" i="13"/>
  <c r="V89" i="13"/>
  <c r="V88" i="13"/>
  <c r="V87" i="13"/>
  <c r="V86" i="13"/>
  <c r="V85" i="13"/>
  <c r="V84" i="13"/>
  <c r="V83" i="13"/>
  <c r="V82" i="13"/>
  <c r="V81" i="13"/>
  <c r="V80" i="13"/>
  <c r="V79" i="13"/>
  <c r="V78" i="13"/>
  <c r="V77" i="13"/>
  <c r="V76" i="13"/>
  <c r="V75" i="13"/>
  <c r="V74" i="13"/>
  <c r="V73" i="13"/>
  <c r="V72" i="13"/>
  <c r="V71" i="13"/>
  <c r="V70" i="13"/>
  <c r="V69" i="13"/>
  <c r="V68" i="13"/>
  <c r="V67" i="13"/>
  <c r="V66" i="13"/>
  <c r="V65" i="13"/>
  <c r="V64" i="13"/>
  <c r="V63" i="13"/>
  <c r="V62" i="13"/>
  <c r="V61" i="13"/>
  <c r="V60" i="13"/>
  <c r="V59" i="13"/>
  <c r="V58" i="13"/>
  <c r="V57" i="13"/>
  <c r="V56" i="13"/>
  <c r="V55" i="13"/>
  <c r="V54" i="13"/>
  <c r="V53" i="13"/>
  <c r="V52" i="13"/>
  <c r="V51" i="13"/>
  <c r="V50" i="13"/>
  <c r="V49" i="13"/>
  <c r="V48" i="13"/>
  <c r="V47" i="13"/>
  <c r="V46" i="13"/>
  <c r="V45" i="13"/>
  <c r="V44" i="13"/>
  <c r="V43" i="13"/>
  <c r="V42" i="13"/>
  <c r="R41" i="13"/>
  <c r="V41" i="13"/>
  <c r="V40" i="13"/>
  <c r="V39" i="13"/>
  <c r="V38" i="13"/>
  <c r="R37" i="13"/>
  <c r="V37" i="13"/>
  <c r="V36" i="13"/>
  <c r="V35" i="13"/>
  <c r="V34" i="13"/>
  <c r="R33" i="13"/>
  <c r="V33" i="13"/>
  <c r="V32" i="13"/>
  <c r="V31" i="13"/>
  <c r="R30" i="13"/>
  <c r="V30" i="13"/>
  <c r="V29" i="13"/>
  <c r="V28" i="13"/>
  <c r="V27" i="13"/>
  <c r="V26" i="13"/>
  <c r="V25" i="13"/>
  <c r="V24" i="13"/>
  <c r="V23" i="13"/>
  <c r="V22" i="13"/>
  <c r="V21" i="13"/>
  <c r="R20" i="13"/>
  <c r="V20" i="13"/>
  <c r="V19" i="13"/>
  <c r="V18" i="13"/>
  <c r="R17" i="13"/>
  <c r="V17" i="13"/>
  <c r="R16" i="13"/>
  <c r="R15" i="13"/>
  <c r="V16" i="13"/>
  <c r="V15" i="13"/>
  <c r="R14" i="13"/>
  <c r="R13" i="13"/>
  <c r="V14" i="13"/>
  <c r="V13" i="13"/>
  <c r="V12" i="13"/>
  <c r="R12" i="13"/>
  <c r="R11" i="13"/>
  <c r="V11" i="13"/>
  <c r="R10" i="13"/>
  <c r="V10" i="13"/>
  <c r="R9" i="13"/>
  <c r="V9" i="13"/>
  <c r="AB3" i="1" l="1"/>
  <c r="AG3" i="1" s="1"/>
  <c r="C2" i="11" s="1"/>
  <c r="D2" i="11" l="1"/>
  <c r="K4" i="13"/>
  <c r="AC3" i="1"/>
  <c r="AF3" i="1" s="1"/>
  <c r="N4" i="13" s="1"/>
  <c r="F4" i="1"/>
  <c r="G4" i="1"/>
  <c r="E4" i="1" l="1"/>
  <c r="D4" i="1" s="1"/>
  <c r="B5" i="13" s="1"/>
  <c r="E2" i="11"/>
  <c r="I4" i="13" s="1"/>
  <c r="H4" i="13"/>
  <c r="M4" i="13"/>
  <c r="B3" i="31"/>
  <c r="C3" i="31"/>
  <c r="D3" i="31" l="1"/>
  <c r="F3" i="31" s="1"/>
  <c r="P4" i="13" s="1"/>
  <c r="A3" i="11"/>
  <c r="L5" i="13" s="1"/>
  <c r="L4" i="1"/>
  <c r="Y4" i="1" s="1"/>
  <c r="X4" i="1"/>
  <c r="H5" i="1"/>
  <c r="R4" i="1" s="1"/>
  <c r="C4" i="1"/>
  <c r="D5" i="13" s="1"/>
  <c r="C5" i="13"/>
  <c r="O4" i="13"/>
  <c r="AA4" i="1" l="1"/>
  <c r="E5" i="13"/>
  <c r="F4" i="11"/>
  <c r="Q4" i="1"/>
  <c r="P4" i="1" s="1"/>
  <c r="O4" i="1" s="1"/>
  <c r="N4" i="1" s="1"/>
  <c r="M4" i="1" s="1"/>
  <c r="AD4" i="1"/>
  <c r="F5" i="13" l="1"/>
  <c r="AB4" i="1"/>
  <c r="AC4" i="1" s="1"/>
  <c r="M5" i="13" s="1"/>
  <c r="G5" i="13"/>
  <c r="E4" i="31"/>
  <c r="F5" i="1" l="1"/>
  <c r="G5" i="1"/>
  <c r="C4" i="31"/>
  <c r="B4" i="31"/>
  <c r="AF4" i="1"/>
  <c r="N5" i="13" s="1"/>
  <c r="AG4" i="1"/>
  <c r="C3" i="11" s="1"/>
  <c r="D4" i="31" l="1"/>
  <c r="K5" i="13"/>
  <c r="D3" i="11"/>
  <c r="G3" i="11"/>
  <c r="H3" i="11" s="1"/>
  <c r="J5" i="13" s="1"/>
  <c r="E5" i="1"/>
  <c r="H4" i="31" l="1"/>
  <c r="Q5" i="13" s="1"/>
  <c r="O5" i="13"/>
  <c r="F4" i="31"/>
  <c r="P5" i="13" s="1"/>
  <c r="H5" i="13"/>
  <c r="E3" i="11"/>
  <c r="I5" i="13" s="1"/>
  <c r="AX5" i="1"/>
  <c r="D5" i="1"/>
  <c r="H6" i="1" l="1"/>
  <c r="A4" i="11"/>
  <c r="L6" i="13" s="1"/>
  <c r="L5" i="1"/>
  <c r="C6" i="13"/>
  <c r="X5" i="1"/>
  <c r="B6" i="13"/>
  <c r="C5" i="1"/>
  <c r="D6" i="13" s="1"/>
  <c r="AW5" i="1"/>
  <c r="R5" i="1" l="1"/>
  <c r="Q5" i="1" s="1"/>
  <c r="P5" i="1" s="1"/>
  <c r="O5" i="1" s="1"/>
  <c r="AA5" i="1"/>
  <c r="E6" i="13"/>
  <c r="F5" i="11"/>
  <c r="AD5" i="1"/>
  <c r="Y5" i="1"/>
  <c r="BA5" i="1"/>
  <c r="N5" i="1" l="1"/>
  <c r="AZ5" i="1"/>
  <c r="F6" i="13" l="1"/>
  <c r="AY5" i="1"/>
  <c r="M5" i="1"/>
  <c r="AB5" i="1" l="1"/>
  <c r="G6" i="1" s="1"/>
  <c r="G6" i="13"/>
  <c r="E5" i="31"/>
  <c r="F6" i="1" l="1"/>
  <c r="AG5" i="1"/>
  <c r="C4" i="11" s="1"/>
  <c r="AC5" i="1"/>
  <c r="M6" i="13" s="1"/>
  <c r="E6" i="1" l="1"/>
  <c r="D6" i="1" s="1"/>
  <c r="C5" i="31"/>
  <c r="B5" i="31"/>
  <c r="AF5" i="1"/>
  <c r="N6" i="13" s="1"/>
  <c r="K6" i="13"/>
  <c r="G4" i="11"/>
  <c r="H4" i="11" s="1"/>
  <c r="J6" i="13" s="1"/>
  <c r="D4" i="11"/>
  <c r="D5" i="31" l="1"/>
  <c r="H5" i="31" s="1"/>
  <c r="Q6" i="13" s="1"/>
  <c r="I7" i="1"/>
  <c r="C7" i="13"/>
  <c r="L6" i="1"/>
  <c r="B7" i="13"/>
  <c r="H7" i="1"/>
  <c r="J8" i="1" s="1"/>
  <c r="I9" i="10" s="1"/>
  <c r="X6" i="1"/>
  <c r="A5" i="11"/>
  <c r="C6" i="1"/>
  <c r="D7" i="13" s="1"/>
  <c r="H6" i="13"/>
  <c r="E4" i="11"/>
  <c r="I6" i="13" s="1"/>
  <c r="AA6" i="1" l="1"/>
  <c r="O6" i="13"/>
  <c r="F5" i="31"/>
  <c r="P6" i="13" s="1"/>
  <c r="P8" i="10"/>
  <c r="O8" i="10" s="1"/>
  <c r="N8" i="10" s="1"/>
  <c r="M8" i="10" s="1"/>
  <c r="L8" i="10" s="1"/>
  <c r="H9" i="10" s="1"/>
  <c r="J10" i="10" s="1"/>
  <c r="R6" i="1"/>
  <c r="Q6" i="1" s="1"/>
  <c r="P6" i="1" s="1"/>
  <c r="O6" i="1" s="1"/>
  <c r="N6" i="1" s="1"/>
  <c r="K8" i="1"/>
  <c r="AD6" i="1"/>
  <c r="Y6" i="1"/>
  <c r="E7" i="13"/>
  <c r="F6" i="11"/>
  <c r="L7" i="13"/>
  <c r="G9" i="10" l="1"/>
  <c r="F9" i="10" s="1"/>
  <c r="E9" i="10" s="1"/>
  <c r="M6" i="1"/>
  <c r="F7" i="13"/>
  <c r="D9" i="10" l="1"/>
  <c r="K9" i="10"/>
  <c r="AB6" i="1"/>
  <c r="AC6" i="1" s="1"/>
  <c r="M7" i="13" s="1"/>
  <c r="AI4" i="1"/>
  <c r="G7" i="13"/>
  <c r="E6" i="31"/>
  <c r="G7" i="1" l="1"/>
  <c r="F7" i="1"/>
  <c r="C6" i="31"/>
  <c r="B6" i="31"/>
  <c r="AF6" i="1"/>
  <c r="N7" i="13" s="1"/>
  <c r="AG6" i="1"/>
  <c r="AI6" i="1"/>
  <c r="AI5" i="1"/>
  <c r="C5" i="11" l="1"/>
  <c r="E7" i="1"/>
  <c r="D7" i="1" s="1"/>
  <c r="D6" i="31"/>
  <c r="O7" i="13" s="1"/>
  <c r="F6" i="31" l="1"/>
  <c r="P7" i="13" s="1"/>
  <c r="H6" i="31"/>
  <c r="Q7" i="13" s="1"/>
  <c r="B8" i="13"/>
  <c r="C8" i="13"/>
  <c r="A6" i="11"/>
  <c r="L8" i="13" s="1"/>
  <c r="X7" i="1"/>
  <c r="C7" i="1"/>
  <c r="D8" i="13" s="1"/>
  <c r="I8" i="1"/>
  <c r="K9" i="1" s="1"/>
  <c r="H8" i="1"/>
  <c r="J9" i="1" s="1"/>
  <c r="I10" i="10" s="1"/>
  <c r="L7" i="1"/>
  <c r="K7" i="13"/>
  <c r="G5" i="11"/>
  <c r="H5" i="11" s="1"/>
  <c r="J7" i="13" s="1"/>
  <c r="D5" i="11"/>
  <c r="P9" i="10" l="1"/>
  <c r="O9" i="10" s="1"/>
  <c r="N9" i="10" s="1"/>
  <c r="M9" i="10" s="1"/>
  <c r="L9" i="10" s="1"/>
  <c r="H10" i="10" s="1"/>
  <c r="J11" i="10" s="1"/>
  <c r="AA7" i="1"/>
  <c r="H7" i="13"/>
  <c r="E5" i="11"/>
  <c r="I7" i="13" s="1"/>
  <c r="R7" i="1"/>
  <c r="Q7" i="1" s="1"/>
  <c r="P7" i="1" s="1"/>
  <c r="O7" i="1" s="1"/>
  <c r="N7" i="1" s="1"/>
  <c r="Y7" i="1"/>
  <c r="E8" i="13"/>
  <c r="F7" i="11"/>
  <c r="AD7" i="1"/>
  <c r="G10" i="10" l="1"/>
  <c r="F10" i="10" s="1"/>
  <c r="E10" i="10" s="1"/>
  <c r="M7" i="1"/>
  <c r="F8" i="13"/>
  <c r="D10" i="10" l="1"/>
  <c r="K10" i="10"/>
  <c r="AB7" i="1"/>
  <c r="AC7" i="1" s="1"/>
  <c r="M8" i="13" s="1"/>
  <c r="E7" i="31"/>
  <c r="G8" i="13"/>
  <c r="AG7" i="1"/>
  <c r="G8" i="1" l="1"/>
  <c r="F8" i="1"/>
  <c r="C6" i="11"/>
  <c r="C7" i="31"/>
  <c r="B7" i="31"/>
  <c r="AF7" i="1"/>
  <c r="N8" i="13" s="1"/>
  <c r="E8" i="1" l="1"/>
  <c r="D8" i="1" s="1"/>
  <c r="D7" i="31"/>
  <c r="D6" i="11"/>
  <c r="G6" i="11"/>
  <c r="H6" i="11" s="1"/>
  <c r="J8" i="13" s="1"/>
  <c r="K8" i="13"/>
  <c r="AX8" i="1" l="1"/>
  <c r="H8" i="13"/>
  <c r="E6" i="11"/>
  <c r="I8" i="13" s="1"/>
  <c r="AW8" i="1"/>
  <c r="C8" i="1"/>
  <c r="D9" i="13" s="1"/>
  <c r="B9" i="13"/>
  <c r="X8" i="1"/>
  <c r="A7" i="11"/>
  <c r="C9" i="13"/>
  <c r="I9" i="1"/>
  <c r="K10" i="1" s="1"/>
  <c r="H9" i="1"/>
  <c r="J10" i="1" s="1"/>
  <c r="I11" i="10" s="1"/>
  <c r="P10" i="10" s="1"/>
  <c r="O10" i="10" s="1"/>
  <c r="N10" i="10" s="1"/>
  <c r="M10" i="10" s="1"/>
  <c r="L10" i="10" s="1"/>
  <c r="H11" i="10" s="1"/>
  <c r="J12" i="10" s="1"/>
  <c r="L8" i="1"/>
  <c r="O8" i="13"/>
  <c r="F7" i="31"/>
  <c r="P8" i="13" s="1"/>
  <c r="H7" i="31"/>
  <c r="Q8" i="13" s="1"/>
  <c r="G11" i="10" l="1"/>
  <c r="F11" i="10" s="1"/>
  <c r="E11" i="10" s="1"/>
  <c r="R8" i="1"/>
  <c r="Q8" i="1" s="1"/>
  <c r="P8" i="1" s="1"/>
  <c r="O8" i="1" s="1"/>
  <c r="L9" i="13"/>
  <c r="E9" i="13"/>
  <c r="Y8" i="1"/>
  <c r="BA8" i="1"/>
  <c r="F8" i="11"/>
  <c r="AD8" i="1"/>
  <c r="AA8" i="1"/>
  <c r="D11" i="10" l="1"/>
  <c r="K11" i="10"/>
  <c r="N8" i="1"/>
  <c r="AZ8" i="1"/>
  <c r="F9" i="13" l="1"/>
  <c r="AY8" i="1"/>
  <c r="M8" i="1"/>
  <c r="G9" i="13" l="1"/>
  <c r="E8" i="31"/>
  <c r="AB8" i="1"/>
  <c r="G9" i="1" s="1"/>
  <c r="F9" i="1" l="1"/>
  <c r="AG8" i="1"/>
  <c r="C7" i="11" s="1"/>
  <c r="AC8" i="1"/>
  <c r="M9" i="13" s="1"/>
  <c r="K9" i="13" l="1"/>
  <c r="G7" i="11"/>
  <c r="H7" i="11" s="1"/>
  <c r="J9" i="13" s="1"/>
  <c r="D7" i="11"/>
  <c r="B8" i="31"/>
  <c r="C8" i="31"/>
  <c r="AF8" i="1"/>
  <c r="N9" i="13" s="1"/>
  <c r="E9" i="1"/>
  <c r="D9" i="1" s="1"/>
  <c r="B10" i="13" l="1"/>
  <c r="A8" i="11"/>
  <c r="C10" i="13"/>
  <c r="C9" i="1"/>
  <c r="D10" i="13" s="1"/>
  <c r="X9" i="1"/>
  <c r="L9" i="1"/>
  <c r="H10" i="1"/>
  <c r="J11" i="1" s="1"/>
  <c r="I12" i="10" s="1"/>
  <c r="I10" i="1"/>
  <c r="K11" i="1" s="1"/>
  <c r="E7" i="11"/>
  <c r="I9" i="13" s="1"/>
  <c r="H9" i="13"/>
  <c r="D8" i="31"/>
  <c r="O9" i="13" s="1"/>
  <c r="P11" i="10" l="1"/>
  <c r="O11" i="10" s="1"/>
  <c r="N11" i="10" s="1"/>
  <c r="M11" i="10" s="1"/>
  <c r="L11" i="10" s="1"/>
  <c r="H12" i="10" s="1"/>
  <c r="J13" i="10" s="1"/>
  <c r="AA9" i="1"/>
  <c r="L10" i="13"/>
  <c r="H8" i="31"/>
  <c r="Q9" i="13" s="1"/>
  <c r="F8" i="31"/>
  <c r="P9" i="13" s="1"/>
  <c r="R9" i="1"/>
  <c r="Q9" i="1" s="1"/>
  <c r="P9" i="1" s="1"/>
  <c r="O9" i="1" s="1"/>
  <c r="N9" i="1" s="1"/>
  <c r="E10" i="13"/>
  <c r="Y9" i="1"/>
  <c r="F9" i="11"/>
  <c r="AD9" i="1"/>
  <c r="G12" i="10" l="1"/>
  <c r="F12" i="10" s="1"/>
  <c r="E12" i="10" s="1"/>
  <c r="F10" i="13"/>
  <c r="M9" i="1"/>
  <c r="K12" i="10" l="1"/>
  <c r="D12" i="10"/>
  <c r="AB9" i="1"/>
  <c r="AC9" i="1" s="1"/>
  <c r="M10" i="13" s="1"/>
  <c r="G10" i="13"/>
  <c r="E9" i="31"/>
  <c r="AG9" i="1"/>
  <c r="C8" i="11" s="1"/>
  <c r="G10" i="1" l="1"/>
  <c r="F10" i="1"/>
  <c r="B9" i="31"/>
  <c r="C9" i="31"/>
  <c r="AF9" i="1"/>
  <c r="N10" i="13" s="1"/>
  <c r="E10" i="1" l="1"/>
  <c r="D10" i="1" s="1"/>
  <c r="C10" i="1" s="1"/>
  <c r="D11" i="13" s="1"/>
  <c r="D9" i="31"/>
  <c r="H9" i="31" s="1"/>
  <c r="Q10" i="13" s="1"/>
  <c r="K10" i="13"/>
  <c r="G8" i="11"/>
  <c r="H8" i="11" s="1"/>
  <c r="J10" i="13" s="1"/>
  <c r="D8" i="11"/>
  <c r="H11" i="1" l="1"/>
  <c r="J12" i="1" s="1"/>
  <c r="I13" i="10" s="1"/>
  <c r="P12" i="10" s="1"/>
  <c r="O12" i="10" s="1"/>
  <c r="N12" i="10" s="1"/>
  <c r="M12" i="10" s="1"/>
  <c r="L12" i="10" s="1"/>
  <c r="H13" i="10" s="1"/>
  <c r="J14" i="10" s="1"/>
  <c r="A9" i="11"/>
  <c r="L11" i="13" s="1"/>
  <c r="I11" i="1"/>
  <c r="K12" i="1" s="1"/>
  <c r="X10" i="1"/>
  <c r="L10" i="1"/>
  <c r="F10" i="11" s="1"/>
  <c r="C11" i="13"/>
  <c r="B11" i="13"/>
  <c r="O10" i="13"/>
  <c r="AA10" i="1"/>
  <c r="F9" i="31"/>
  <c r="P10" i="13" s="1"/>
  <c r="H10" i="13"/>
  <c r="E8" i="11"/>
  <c r="I10" i="13" s="1"/>
  <c r="R10" i="1" l="1"/>
  <c r="Q10" i="1" s="1"/>
  <c r="P10" i="1" s="1"/>
  <c r="O10" i="1" s="1"/>
  <c r="N10" i="1" s="1"/>
  <c r="F11" i="13" s="1"/>
  <c r="G13" i="10"/>
  <c r="F13" i="10" s="1"/>
  <c r="E13" i="10" s="1"/>
  <c r="D13" i="10" s="1"/>
  <c r="AD10" i="1"/>
  <c r="Y10" i="1"/>
  <c r="E11" i="13"/>
  <c r="K13" i="10" l="1"/>
  <c r="M10" i="1"/>
  <c r="AB10" i="1" s="1"/>
  <c r="AC10" i="1" s="1"/>
  <c r="AF10" i="1" s="1"/>
  <c r="N11" i="13" s="1"/>
  <c r="M11" i="13"/>
  <c r="AG10" i="1"/>
  <c r="C9" i="11" s="1"/>
  <c r="G11" i="13" l="1"/>
  <c r="G11" i="1"/>
  <c r="F11" i="1"/>
  <c r="E10" i="31"/>
  <c r="B10" i="31"/>
  <c r="C10" i="31"/>
  <c r="E11" i="1" l="1"/>
  <c r="D11" i="1" s="1"/>
  <c r="D10" i="31"/>
  <c r="H10" i="31" s="1"/>
  <c r="Q11" i="13" s="1"/>
  <c r="O11" i="13"/>
  <c r="D9" i="11"/>
  <c r="G9" i="11"/>
  <c r="H9" i="11" s="1"/>
  <c r="J11" i="13" s="1"/>
  <c r="K11" i="13"/>
  <c r="AX11" i="1" l="1"/>
  <c r="F10" i="31"/>
  <c r="P11" i="13" s="1"/>
  <c r="H11" i="13"/>
  <c r="E9" i="11"/>
  <c r="I11" i="13" s="1"/>
  <c r="C12" i="13"/>
  <c r="A10" i="11"/>
  <c r="AW11" i="1"/>
  <c r="X11" i="1"/>
  <c r="B12" i="13"/>
  <c r="C11" i="1"/>
  <c r="D12" i="13" s="1"/>
  <c r="I12" i="1"/>
  <c r="K13" i="1" s="1"/>
  <c r="H12" i="1"/>
  <c r="J13" i="1" s="1"/>
  <c r="I14" i="10" s="1"/>
  <c r="L11" i="1"/>
  <c r="P13" i="10" l="1"/>
  <c r="O13" i="10" s="1"/>
  <c r="N13" i="10" s="1"/>
  <c r="M13" i="10" s="1"/>
  <c r="L13" i="10" s="1"/>
  <c r="H14" i="10" s="1"/>
  <c r="J15" i="10" s="1"/>
  <c r="Y11" i="1"/>
  <c r="BA11" i="1"/>
  <c r="E12" i="13"/>
  <c r="AD11" i="1"/>
  <c r="F11" i="11"/>
  <c r="L12" i="13"/>
  <c r="R11" i="1"/>
  <c r="Q11" i="1" s="1"/>
  <c r="P11" i="1" s="1"/>
  <c r="O11" i="1" s="1"/>
  <c r="AA11" i="1"/>
  <c r="G14" i="10" l="1"/>
  <c r="F14" i="10" s="1"/>
  <c r="E14" i="10" s="1"/>
  <c r="N11" i="1"/>
  <c r="AZ11" i="1"/>
  <c r="D14" i="10" l="1"/>
  <c r="K14" i="10"/>
  <c r="F12" i="13"/>
  <c r="AY11" i="1"/>
  <c r="M11" i="1"/>
  <c r="E11" i="31" l="1"/>
  <c r="G12" i="13"/>
  <c r="AB11" i="1"/>
  <c r="F12" i="1" s="1"/>
  <c r="G12" i="1" l="1"/>
  <c r="AG11" i="1"/>
  <c r="C10" i="11" s="1"/>
  <c r="AC11" i="1"/>
  <c r="M12" i="13" s="1"/>
  <c r="E12" i="1" l="1"/>
  <c r="D12" i="1" s="1"/>
  <c r="C13" i="13" s="1"/>
  <c r="B11" i="31"/>
  <c r="C11" i="31"/>
  <c r="AF11" i="1"/>
  <c r="N12" i="13" s="1"/>
  <c r="G10" i="11"/>
  <c r="H10" i="11" s="1"/>
  <c r="J12" i="13" s="1"/>
  <c r="K12" i="13"/>
  <c r="D10" i="11"/>
  <c r="X12" i="1" l="1"/>
  <c r="H13" i="1"/>
  <c r="J14" i="1" s="1"/>
  <c r="I15" i="10" s="1"/>
  <c r="I13" i="1"/>
  <c r="L12" i="1"/>
  <c r="F12" i="11" s="1"/>
  <c r="A11" i="11"/>
  <c r="L13" i="13" s="1"/>
  <c r="C12" i="1"/>
  <c r="D13" i="13" s="1"/>
  <c r="B13" i="13"/>
  <c r="D11" i="31"/>
  <c r="H12" i="13"/>
  <c r="E10" i="11"/>
  <c r="I12" i="13" s="1"/>
  <c r="P14" i="10" l="1"/>
  <c r="O14" i="10" s="1"/>
  <c r="N14" i="10" s="1"/>
  <c r="M14" i="10" s="1"/>
  <c r="L14" i="10" s="1"/>
  <c r="H15" i="10" s="1"/>
  <c r="J16" i="10" s="1"/>
  <c r="AA12" i="1"/>
  <c r="K14" i="1"/>
  <c r="H11" i="31"/>
  <c r="Q12" i="13" s="1"/>
  <c r="O12" i="13"/>
  <c r="R12" i="1"/>
  <c r="Q12" i="1" s="1"/>
  <c r="P12" i="1" s="1"/>
  <c r="O12" i="1" s="1"/>
  <c r="N12" i="1" s="1"/>
  <c r="F13" i="13" s="1"/>
  <c r="AD12" i="1"/>
  <c r="E13" i="13"/>
  <c r="Y12" i="1"/>
  <c r="F11" i="31"/>
  <c r="P12" i="13" s="1"/>
  <c r="G15" i="10" l="1"/>
  <c r="F15" i="10" s="1"/>
  <c r="E15" i="10" s="1"/>
  <c r="M12" i="1"/>
  <c r="AG12" i="1"/>
  <c r="C11" i="11" s="1"/>
  <c r="K15" i="10" l="1"/>
  <c r="D15" i="10"/>
  <c r="G13" i="13"/>
  <c r="E12" i="31"/>
  <c r="AB12" i="1"/>
  <c r="AC12" i="1" s="1"/>
  <c r="G11" i="11"/>
  <c r="H11" i="11" s="1"/>
  <c r="J13" i="13" s="1"/>
  <c r="K13" i="13"/>
  <c r="D11" i="11"/>
  <c r="F13" i="1" l="1"/>
  <c r="C12" i="31"/>
  <c r="M13" i="13"/>
  <c r="G13" i="1"/>
  <c r="AF12" i="1"/>
  <c r="N13" i="13" s="1"/>
  <c r="B12" i="31"/>
  <c r="H13" i="13"/>
  <c r="E11" i="11"/>
  <c r="I13" i="13" s="1"/>
  <c r="E13" i="1" l="1"/>
  <c r="D13" i="1" s="1"/>
  <c r="H14" i="1" s="1"/>
  <c r="J15" i="1" s="1"/>
  <c r="I16" i="10" s="1"/>
  <c r="D12" i="31"/>
  <c r="O13" i="13" s="1"/>
  <c r="X13" i="1" l="1"/>
  <c r="I14" i="1"/>
  <c r="K15" i="1" s="1"/>
  <c r="L13" i="1"/>
  <c r="Y13" i="1" s="1"/>
  <c r="B14" i="13"/>
  <c r="A12" i="11"/>
  <c r="L14" i="13" s="1"/>
  <c r="C14" i="13"/>
  <c r="C13" i="1"/>
  <c r="D14" i="13" s="1"/>
  <c r="P15" i="10"/>
  <c r="O15" i="10" s="1"/>
  <c r="N15" i="10" s="1"/>
  <c r="M15" i="10" s="1"/>
  <c r="L15" i="10" s="1"/>
  <c r="H16" i="10" s="1"/>
  <c r="J17" i="10" s="1"/>
  <c r="H12" i="31"/>
  <c r="Q13" i="13" s="1"/>
  <c r="F12" i="31"/>
  <c r="P13" i="13" s="1"/>
  <c r="AG13" i="1"/>
  <c r="C12" i="11" s="1"/>
  <c r="AD13" i="1" l="1"/>
  <c r="R13" i="1"/>
  <c r="Q13" i="1" s="1"/>
  <c r="P13" i="1" s="1"/>
  <c r="O13" i="1" s="1"/>
  <c r="N13" i="1" s="1"/>
  <c r="F14" i="13" s="1"/>
  <c r="AA13" i="1"/>
  <c r="E14" i="13"/>
  <c r="F13" i="11"/>
  <c r="G16" i="10"/>
  <c r="F16" i="10" s="1"/>
  <c r="E16" i="10" s="1"/>
  <c r="M13" i="1" l="1"/>
  <c r="AB13" i="1" s="1"/>
  <c r="AC13" i="1" s="1"/>
  <c r="M14" i="13" s="1"/>
  <c r="I17" i="10"/>
  <c r="P16" i="10" s="1"/>
  <c r="D16" i="10"/>
  <c r="K16" i="10"/>
  <c r="K14" i="13"/>
  <c r="G12" i="11"/>
  <c r="H12" i="11" s="1"/>
  <c r="J14" i="13" s="1"/>
  <c r="D12" i="11"/>
  <c r="F14" i="1" l="1"/>
  <c r="E14" i="1" s="1"/>
  <c r="AX14" i="1" s="1"/>
  <c r="B13" i="31"/>
  <c r="C13" i="31"/>
  <c r="G14" i="13"/>
  <c r="G14" i="1"/>
  <c r="AF13" i="1"/>
  <c r="N14" i="13" s="1"/>
  <c r="E13" i="31"/>
  <c r="O16" i="10"/>
  <c r="N16" i="10" s="1"/>
  <c r="M16" i="10" s="1"/>
  <c r="L16" i="10" s="1"/>
  <c r="H17" i="10" s="1"/>
  <c r="J18" i="10" s="1"/>
  <c r="H14" i="13"/>
  <c r="E12" i="11"/>
  <c r="I14" i="13" s="1"/>
  <c r="D13" i="31" l="1"/>
  <c r="F13" i="31" s="1"/>
  <c r="P14" i="13" s="1"/>
  <c r="G17" i="10"/>
  <c r="F17" i="10" s="1"/>
  <c r="E17" i="10" s="1"/>
  <c r="D17" i="10" s="1"/>
  <c r="D14" i="1"/>
  <c r="X14" i="1" s="1"/>
  <c r="O14" i="13"/>
  <c r="H13" i="31" l="1"/>
  <c r="Q14" i="13" s="1"/>
  <c r="AW14" i="1"/>
  <c r="C15" i="13"/>
  <c r="B15" i="13"/>
  <c r="L14" i="1"/>
  <c r="BA14" i="1" s="1"/>
  <c r="I18" i="10"/>
  <c r="P17" i="10" s="1"/>
  <c r="K17" i="10"/>
  <c r="A13" i="11"/>
  <c r="L15" i="13" s="1"/>
  <c r="C14" i="1"/>
  <c r="D15" i="13" s="1"/>
  <c r="H15" i="1"/>
  <c r="I15" i="1"/>
  <c r="AD14" i="1" l="1"/>
  <c r="Y14" i="1"/>
  <c r="E15" i="13"/>
  <c r="F14" i="11"/>
  <c r="R14" i="1"/>
  <c r="Q14" i="1" s="1"/>
  <c r="P14" i="1" s="1"/>
  <c r="O14" i="1" s="1"/>
  <c r="AZ14" i="1" s="1"/>
  <c r="AA14" i="1"/>
  <c r="O17" i="10"/>
  <c r="N17" i="10" s="1"/>
  <c r="M17" i="10" s="1"/>
  <c r="L17" i="10" s="1"/>
  <c r="H18" i="10" s="1"/>
  <c r="J19" i="10" s="1"/>
  <c r="N14" i="1" l="1"/>
  <c r="F15" i="13" s="1"/>
  <c r="G18" i="10"/>
  <c r="F18" i="10" s="1"/>
  <c r="E18" i="10" s="1"/>
  <c r="AY14" i="1" l="1"/>
  <c r="M14" i="1"/>
  <c r="G15" i="13" s="1"/>
  <c r="D18" i="10"/>
  <c r="I19" i="10"/>
  <c r="P18" i="10" s="1"/>
  <c r="K18" i="10"/>
  <c r="AG14" i="1"/>
  <c r="C13" i="11" s="1"/>
  <c r="AB14" i="1" l="1"/>
  <c r="G15" i="1" s="1"/>
  <c r="E14" i="31"/>
  <c r="F15" i="1"/>
  <c r="E15" i="1" s="1"/>
  <c r="D15" i="1" s="1"/>
  <c r="O18" i="10"/>
  <c r="N18" i="10" s="1"/>
  <c r="M18" i="10" s="1"/>
  <c r="L18" i="10" s="1"/>
  <c r="H19" i="10" s="1"/>
  <c r="J20" i="10" s="1"/>
  <c r="G13" i="11"/>
  <c r="H13" i="11" s="1"/>
  <c r="J15" i="13" s="1"/>
  <c r="K15" i="13"/>
  <c r="D13" i="11"/>
  <c r="AC14" i="1" l="1"/>
  <c r="G19" i="10"/>
  <c r="F19" i="10" s="1"/>
  <c r="E19" i="10" s="1"/>
  <c r="I20" i="10" s="1"/>
  <c r="P19" i="10" s="1"/>
  <c r="B16" i="13"/>
  <c r="C15" i="1"/>
  <c r="D16" i="13" s="1"/>
  <c r="X15" i="1"/>
  <c r="C16" i="13"/>
  <c r="A14" i="11"/>
  <c r="I16" i="1"/>
  <c r="H16" i="1"/>
  <c r="L15" i="1"/>
  <c r="H15" i="13"/>
  <c r="E13" i="11"/>
  <c r="I15" i="13" s="1"/>
  <c r="M15" i="13" l="1"/>
  <c r="C14" i="31"/>
  <c r="B14" i="31"/>
  <c r="AF14" i="1"/>
  <c r="N15" i="13" s="1"/>
  <c r="K19" i="10"/>
  <c r="O19" i="10" s="1"/>
  <c r="N19" i="10" s="1"/>
  <c r="M19" i="10" s="1"/>
  <c r="L19" i="10" s="1"/>
  <c r="G20" i="10" s="1"/>
  <c r="D19" i="10"/>
  <c r="AA15" i="1"/>
  <c r="E16" i="13"/>
  <c r="Y15" i="1"/>
  <c r="AD15" i="1"/>
  <c r="F15" i="11"/>
  <c r="L16" i="13"/>
  <c r="R15" i="1"/>
  <c r="Q15" i="1" s="1"/>
  <c r="P15" i="1" s="1"/>
  <c r="O15" i="1" s="1"/>
  <c r="N15" i="1" s="1"/>
  <c r="D14" i="31" l="1"/>
  <c r="H14" i="31" s="1"/>
  <c r="Q15" i="13" s="1"/>
  <c r="H20" i="10"/>
  <c r="J21" i="10" s="1"/>
  <c r="F20" i="10"/>
  <c r="E20" i="10" s="1"/>
  <c r="D20" i="10" s="1"/>
  <c r="F16" i="13"/>
  <c r="M15" i="1"/>
  <c r="O15" i="13" l="1"/>
  <c r="F14" i="31"/>
  <c r="P15" i="13" s="1"/>
  <c r="K20" i="10"/>
  <c r="I21" i="10"/>
  <c r="P20" i="10" s="1"/>
  <c r="AB15" i="1"/>
  <c r="AC15" i="1" s="1"/>
  <c r="M16" i="13" s="1"/>
  <c r="E15" i="31"/>
  <c r="G16" i="13"/>
  <c r="AG15" i="1"/>
  <c r="C14" i="11" s="1"/>
  <c r="O20" i="10" l="1"/>
  <c r="N20" i="10" s="1"/>
  <c r="M20" i="10" s="1"/>
  <c r="L20" i="10" s="1"/>
  <c r="H21" i="10" s="1"/>
  <c r="J22" i="10" s="1"/>
  <c r="G16" i="1"/>
  <c r="F16" i="1"/>
  <c r="B15" i="31"/>
  <c r="C15" i="31"/>
  <c r="AF15" i="1"/>
  <c r="N16" i="13" s="1"/>
  <c r="E16" i="1" l="1"/>
  <c r="D16" i="1" s="1"/>
  <c r="C17" i="13" s="1"/>
  <c r="G21" i="10"/>
  <c r="F21" i="10" s="1"/>
  <c r="E21" i="10" s="1"/>
  <c r="D21" i="10" s="1"/>
  <c r="D15" i="31"/>
  <c r="K16" i="13"/>
  <c r="G14" i="11"/>
  <c r="H14" i="11" s="1"/>
  <c r="J16" i="13" s="1"/>
  <c r="D14" i="11"/>
  <c r="A15" i="11" l="1"/>
  <c r="B17" i="13"/>
  <c r="I17" i="1"/>
  <c r="C16" i="1"/>
  <c r="D17" i="13" s="1"/>
  <c r="L16" i="1"/>
  <c r="E17" i="13" s="1"/>
  <c r="X16" i="1"/>
  <c r="H17" i="1"/>
  <c r="AA16" i="1" s="1"/>
  <c r="I22" i="10"/>
  <c r="P21" i="10" s="1"/>
  <c r="K21" i="10"/>
  <c r="H15" i="31"/>
  <c r="Q16" i="13" s="1"/>
  <c r="O16" i="13"/>
  <c r="F15" i="31"/>
  <c r="P16" i="13" s="1"/>
  <c r="L17" i="13"/>
  <c r="H16" i="13"/>
  <c r="E14" i="11"/>
  <c r="I16" i="13" s="1"/>
  <c r="F16" i="11" l="1"/>
  <c r="R16" i="1"/>
  <c r="Q16" i="1" s="1"/>
  <c r="P16" i="1" s="1"/>
  <c r="O16" i="1" s="1"/>
  <c r="N16" i="1" s="1"/>
  <c r="F17" i="13" s="1"/>
  <c r="AD16" i="1"/>
  <c r="Y16" i="1"/>
  <c r="O21" i="10"/>
  <c r="N21" i="10" s="1"/>
  <c r="M21" i="10" s="1"/>
  <c r="L21" i="10" s="1"/>
  <c r="H22" i="10" s="1"/>
  <c r="J23" i="10" s="1"/>
  <c r="M16" i="1" l="1"/>
  <c r="F17" i="1" s="1"/>
  <c r="G22" i="10"/>
  <c r="F22" i="10" s="1"/>
  <c r="E22" i="10" s="1"/>
  <c r="D22" i="10" s="1"/>
  <c r="AG16" i="1"/>
  <c r="C15" i="11" s="1"/>
  <c r="E16" i="31" l="1"/>
  <c r="G17" i="13"/>
  <c r="G17" i="1"/>
  <c r="AB16" i="1"/>
  <c r="AC16" i="1" s="1"/>
  <c r="M17" i="13" s="1"/>
  <c r="I23" i="10"/>
  <c r="P22" i="10" s="1"/>
  <c r="K22" i="10"/>
  <c r="E17" i="1"/>
  <c r="C16" i="31" l="1"/>
  <c r="B16" i="31"/>
  <c r="AF16" i="1"/>
  <c r="N17" i="13" s="1"/>
  <c r="O22" i="10"/>
  <c r="N22" i="10" s="1"/>
  <c r="M22" i="10" s="1"/>
  <c r="L22" i="10" s="1"/>
  <c r="H23" i="10" s="1"/>
  <c r="J24" i="10" s="1"/>
  <c r="G15" i="11"/>
  <c r="H15" i="11" s="1"/>
  <c r="J17" i="13" s="1"/>
  <c r="K17" i="13"/>
  <c r="D15" i="11"/>
  <c r="AX17" i="1"/>
  <c r="D17" i="1"/>
  <c r="D16" i="31" l="1"/>
  <c r="F16" i="31" s="1"/>
  <c r="P17" i="13" s="1"/>
  <c r="G23" i="10"/>
  <c r="F23" i="10" s="1"/>
  <c r="E23" i="10" s="1"/>
  <c r="K23" i="10" s="1"/>
  <c r="O17" i="13"/>
  <c r="E15" i="11"/>
  <c r="I17" i="13" s="1"/>
  <c r="H17" i="13"/>
  <c r="A16" i="11"/>
  <c r="X17" i="1"/>
  <c r="C18" i="13"/>
  <c r="C17" i="1"/>
  <c r="D18" i="13" s="1"/>
  <c r="AW17" i="1"/>
  <c r="B18" i="13"/>
  <c r="H18" i="1"/>
  <c r="I18" i="1"/>
  <c r="L17" i="1"/>
  <c r="H16" i="31" l="1"/>
  <c r="Q17" i="13" s="1"/>
  <c r="I24" i="10"/>
  <c r="P23" i="10" s="1"/>
  <c r="O23" i="10" s="1"/>
  <c r="N23" i="10" s="1"/>
  <c r="M23" i="10" s="1"/>
  <c r="L23" i="10" s="1"/>
  <c r="H24" i="10" s="1"/>
  <c r="J25" i="10" s="1"/>
  <c r="D23" i="10"/>
  <c r="AA17" i="1"/>
  <c r="BA17" i="1"/>
  <c r="E18" i="13"/>
  <c r="Y17" i="1"/>
  <c r="F17" i="11"/>
  <c r="AD17" i="1"/>
  <c r="L18" i="13"/>
  <c r="R17" i="1"/>
  <c r="Q17" i="1" s="1"/>
  <c r="P17" i="1" s="1"/>
  <c r="O17" i="1" s="1"/>
  <c r="G24" i="10" l="1"/>
  <c r="F24" i="10" s="1"/>
  <c r="E24" i="10" s="1"/>
  <c r="D24" i="10" s="1"/>
  <c r="N17" i="1"/>
  <c r="AZ17" i="1"/>
  <c r="K24" i="10" l="1"/>
  <c r="I25" i="10"/>
  <c r="P24" i="10" s="1"/>
  <c r="F18" i="13"/>
  <c r="M17" i="1"/>
  <c r="AY17" i="1"/>
  <c r="O24" i="10" l="1"/>
  <c r="N24" i="10" s="1"/>
  <c r="M24" i="10" s="1"/>
  <c r="L24" i="10" s="1"/>
  <c r="H25" i="10" s="1"/>
  <c r="J26" i="10" s="1"/>
  <c r="G18" i="13"/>
  <c r="E17" i="31"/>
  <c r="AB17" i="1"/>
  <c r="F18" i="1"/>
  <c r="G18" i="1"/>
  <c r="G25" i="10" l="1"/>
  <c r="F25" i="10" s="1"/>
  <c r="E25" i="10" s="1"/>
  <c r="I26" i="10" s="1"/>
  <c r="AG17" i="1"/>
  <c r="C16" i="11" s="1"/>
  <c r="AC17" i="1"/>
  <c r="M18" i="13" s="1"/>
  <c r="P25" i="10" l="1"/>
  <c r="K25" i="10"/>
  <c r="D25" i="10"/>
  <c r="E18" i="1"/>
  <c r="D18" i="1" s="1"/>
  <c r="X18" i="1" s="1"/>
  <c r="C17" i="31"/>
  <c r="B17" i="31"/>
  <c r="AF17" i="1"/>
  <c r="N18" i="13" s="1"/>
  <c r="K18" i="13"/>
  <c r="G16" i="11"/>
  <c r="H16" i="11" s="1"/>
  <c r="J18" i="13" s="1"/>
  <c r="D16" i="11"/>
  <c r="O25" i="10" l="1"/>
  <c r="N25" i="10" s="1"/>
  <c r="M25" i="10" s="1"/>
  <c r="L25" i="10" s="1"/>
  <c r="G26" i="10" s="1"/>
  <c r="C18" i="1"/>
  <c r="D19" i="13" s="1"/>
  <c r="C19" i="13"/>
  <c r="H19" i="1"/>
  <c r="I19" i="1"/>
  <c r="A17" i="11"/>
  <c r="L19" i="13" s="1"/>
  <c r="L18" i="1"/>
  <c r="E19" i="13" s="1"/>
  <c r="B19" i="13"/>
  <c r="D17" i="31"/>
  <c r="O18" i="13" s="1"/>
  <c r="E16" i="11"/>
  <c r="I18" i="13" s="1"/>
  <c r="H18" i="13"/>
  <c r="H26" i="10" l="1"/>
  <c r="J27" i="10" s="1"/>
  <c r="AA18" i="1"/>
  <c r="R18" i="1"/>
  <c r="Q18" i="1" s="1"/>
  <c r="P18" i="1" s="1"/>
  <c r="O18" i="1" s="1"/>
  <c r="N18" i="1" s="1"/>
  <c r="F19" i="13" s="1"/>
  <c r="AD18" i="1"/>
  <c r="F18" i="11"/>
  <c r="Y18" i="1"/>
  <c r="H17" i="31"/>
  <c r="Q18" i="13" s="1"/>
  <c r="F17" i="31"/>
  <c r="P18" i="13" s="1"/>
  <c r="F26" i="10" l="1"/>
  <c r="E26" i="10" s="1"/>
  <c r="D26" i="10" s="1"/>
  <c r="M18" i="1"/>
  <c r="K26" i="10" l="1"/>
  <c r="I27" i="10"/>
  <c r="P26" i="10" s="1"/>
  <c r="G19" i="13"/>
  <c r="E18" i="31"/>
  <c r="AB18" i="1"/>
  <c r="AC18" i="1" s="1"/>
  <c r="AG18" i="1"/>
  <c r="C17" i="11" s="1"/>
  <c r="O26" i="10" l="1"/>
  <c r="N26" i="10" s="1"/>
  <c r="M26" i="10" s="1"/>
  <c r="L26" i="10" s="1"/>
  <c r="H27" i="10" s="1"/>
  <c r="J28" i="10" s="1"/>
  <c r="C18" i="31"/>
  <c r="M19" i="13"/>
  <c r="G19" i="1"/>
  <c r="F19" i="1"/>
  <c r="AF18" i="1"/>
  <c r="N19" i="13" s="1"/>
  <c r="B18" i="31"/>
  <c r="K19" i="13"/>
  <c r="G17" i="11"/>
  <c r="H17" i="11" s="1"/>
  <c r="J19" i="13" s="1"/>
  <c r="D17" i="11"/>
  <c r="E19" i="1" l="1"/>
  <c r="D19" i="1" s="1"/>
  <c r="A18" i="11" s="1"/>
  <c r="L20" i="13" s="1"/>
  <c r="G27" i="10"/>
  <c r="F27" i="10" s="1"/>
  <c r="E27" i="10" s="1"/>
  <c r="D18" i="31"/>
  <c r="O19" i="13" s="1"/>
  <c r="H19" i="13"/>
  <c r="E17" i="11"/>
  <c r="I19" i="13" s="1"/>
  <c r="L19" i="1" l="1"/>
  <c r="E20" i="13" s="1"/>
  <c r="H20" i="1"/>
  <c r="B20" i="13"/>
  <c r="X19" i="1"/>
  <c r="C20" i="13"/>
  <c r="C19" i="1"/>
  <c r="D20" i="13" s="1"/>
  <c r="I20" i="1"/>
  <c r="I28" i="10"/>
  <c r="P27" i="10" s="1"/>
  <c r="K27" i="10"/>
  <c r="D27" i="10"/>
  <c r="F18" i="31"/>
  <c r="P19" i="13" s="1"/>
  <c r="H18" i="31"/>
  <c r="Q19" i="13" s="1"/>
  <c r="AA19" i="1" l="1"/>
  <c r="F19" i="11"/>
  <c r="R19" i="1"/>
  <c r="Q19" i="1" s="1"/>
  <c r="P19" i="1" s="1"/>
  <c r="O19" i="1" s="1"/>
  <c r="N19" i="1" s="1"/>
  <c r="F20" i="13" s="1"/>
  <c r="Y19" i="1"/>
  <c r="AD19" i="1"/>
  <c r="O27" i="10"/>
  <c r="N27" i="10" s="1"/>
  <c r="M27" i="10" s="1"/>
  <c r="L27" i="10" s="1"/>
  <c r="H28" i="10" s="1"/>
  <c r="J29" i="10" s="1"/>
  <c r="M19" i="1" l="1"/>
  <c r="AB19" i="1" s="1"/>
  <c r="AC19" i="1" s="1"/>
  <c r="M20" i="13" s="1"/>
  <c r="G28" i="10"/>
  <c r="F28" i="10" s="1"/>
  <c r="E28" i="10" s="1"/>
  <c r="K28" i="10" s="1"/>
  <c r="AG19" i="1"/>
  <c r="C18" i="11" s="1"/>
  <c r="E19" i="31" l="1"/>
  <c r="G20" i="13"/>
  <c r="D28" i="10"/>
  <c r="I29" i="10"/>
  <c r="P28" i="10" s="1"/>
  <c r="O28" i="10" s="1"/>
  <c r="N28" i="10" s="1"/>
  <c r="M28" i="10" s="1"/>
  <c r="L28" i="10" s="1"/>
  <c r="H29" i="10" s="1"/>
  <c r="J30" i="10" s="1"/>
  <c r="F20" i="1"/>
  <c r="G20" i="1"/>
  <c r="B19" i="31"/>
  <c r="C19" i="31"/>
  <c r="AF19" i="1"/>
  <c r="N20" i="13" s="1"/>
  <c r="G29" i="10" l="1"/>
  <c r="F29" i="10" s="1"/>
  <c r="E29" i="10" s="1"/>
  <c r="K29" i="10" s="1"/>
  <c r="E20" i="1"/>
  <c r="D20" i="1" s="1"/>
  <c r="D19" i="31"/>
  <c r="H19" i="31" s="1"/>
  <c r="Q20" i="13" s="1"/>
  <c r="D18" i="11"/>
  <c r="K20" i="13"/>
  <c r="G18" i="11"/>
  <c r="H18" i="11" s="1"/>
  <c r="J20" i="13" s="1"/>
  <c r="D29" i="10" l="1"/>
  <c r="AX20" i="1"/>
  <c r="I30" i="10"/>
  <c r="P29" i="10" s="1"/>
  <c r="O29" i="10" s="1"/>
  <c r="N29" i="10" s="1"/>
  <c r="M29" i="10" s="1"/>
  <c r="L29" i="10" s="1"/>
  <c r="G30" i="10" s="1"/>
  <c r="O20" i="13"/>
  <c r="F19" i="31"/>
  <c r="P20" i="13" s="1"/>
  <c r="X20" i="1"/>
  <c r="A19" i="11"/>
  <c r="C21" i="13"/>
  <c r="B21" i="13"/>
  <c r="AW20" i="1"/>
  <c r="C20" i="1"/>
  <c r="D21" i="13" s="1"/>
  <c r="L20" i="1"/>
  <c r="I21" i="1"/>
  <c r="H21" i="1"/>
  <c r="H20" i="13"/>
  <c r="E18" i="11"/>
  <c r="I20" i="13" s="1"/>
  <c r="H30" i="10" l="1"/>
  <c r="J31" i="10" s="1"/>
  <c r="R20" i="1"/>
  <c r="Q20" i="1" s="1"/>
  <c r="P20" i="1" s="1"/>
  <c r="O20" i="1" s="1"/>
  <c r="L21" i="13"/>
  <c r="BA20" i="1"/>
  <c r="E21" i="13"/>
  <c r="Y20" i="1"/>
  <c r="F20" i="11"/>
  <c r="AD20" i="1"/>
  <c r="AA20" i="1"/>
  <c r="F30" i="10" l="1"/>
  <c r="E30" i="10" s="1"/>
  <c r="D30" i="10" s="1"/>
  <c r="N20" i="1"/>
  <c r="AZ20" i="1"/>
  <c r="I31" i="10" l="1"/>
  <c r="P30" i="10" s="1"/>
  <c r="K30" i="10"/>
  <c r="F21" i="13"/>
  <c r="AY20" i="1"/>
  <c r="M20" i="1"/>
  <c r="O30" i="10" l="1"/>
  <c r="N30" i="10" s="1"/>
  <c r="M30" i="10" s="1"/>
  <c r="L30" i="10" s="1"/>
  <c r="H31" i="10" s="1"/>
  <c r="J32" i="10" s="1"/>
  <c r="E20" i="31"/>
  <c r="G21" i="13"/>
  <c r="AB20" i="1"/>
  <c r="F21" i="1" s="1"/>
  <c r="G31" i="10" l="1"/>
  <c r="F31" i="10" s="1"/>
  <c r="E31" i="10" s="1"/>
  <c r="I32" i="10" s="1"/>
  <c r="P31" i="10" s="1"/>
  <c r="G21" i="1"/>
  <c r="AG20" i="1"/>
  <c r="C19" i="11" s="1"/>
  <c r="AC20" i="1"/>
  <c r="M21" i="13" s="1"/>
  <c r="D31" i="10" l="1"/>
  <c r="K31" i="10"/>
  <c r="O31" i="10" s="1"/>
  <c r="N31" i="10" s="1"/>
  <c r="M31" i="10" s="1"/>
  <c r="L31" i="10" s="1"/>
  <c r="H32" i="10" s="1"/>
  <c r="J33" i="10" s="1"/>
  <c r="G19" i="11"/>
  <c r="H19" i="11" s="1"/>
  <c r="J21" i="13" s="1"/>
  <c r="K21" i="13"/>
  <c r="D19" i="11"/>
  <c r="E21" i="1"/>
  <c r="D21" i="1" s="1"/>
  <c r="B20" i="31"/>
  <c r="C20" i="31"/>
  <c r="AF20" i="1"/>
  <c r="N21" i="13" s="1"/>
  <c r="G32" i="10" l="1"/>
  <c r="F32" i="10" s="1"/>
  <c r="E32" i="10" s="1"/>
  <c r="K32" i="10" s="1"/>
  <c r="D20" i="31"/>
  <c r="C21" i="1"/>
  <c r="D22" i="13" s="1"/>
  <c r="X21" i="1"/>
  <c r="B22" i="13"/>
  <c r="A20" i="11"/>
  <c r="C22" i="13"/>
  <c r="H22" i="1"/>
  <c r="I22" i="1"/>
  <c r="L21" i="1"/>
  <c r="H21" i="13"/>
  <c r="E19" i="11"/>
  <c r="I21" i="13" s="1"/>
  <c r="D32" i="10" l="1"/>
  <c r="I33" i="10"/>
  <c r="P32" i="10" s="1"/>
  <c r="O32" i="10" s="1"/>
  <c r="N32" i="10" s="1"/>
  <c r="M32" i="10" s="1"/>
  <c r="L32" i="10" s="1"/>
  <c r="F20" i="31"/>
  <c r="P21" i="13" s="1"/>
  <c r="O21" i="13"/>
  <c r="H20" i="31"/>
  <c r="Q21" i="13" s="1"/>
  <c r="R21" i="1"/>
  <c r="Q21" i="1" s="1"/>
  <c r="P21" i="1" s="1"/>
  <c r="O21" i="1" s="1"/>
  <c r="N21" i="1" s="1"/>
  <c r="AA21" i="1"/>
  <c r="E22" i="13"/>
  <c r="Y21" i="1"/>
  <c r="AD21" i="1"/>
  <c r="F21" i="11"/>
  <c r="L22" i="13"/>
  <c r="H33" i="10" l="1"/>
  <c r="J34" i="10" s="1"/>
  <c r="G33" i="10"/>
  <c r="F22" i="13"/>
  <c r="M21" i="1"/>
  <c r="F33" i="10" l="1"/>
  <c r="E33" i="10" s="1"/>
  <c r="AB21" i="1"/>
  <c r="AC21" i="1" s="1"/>
  <c r="M22" i="13" s="1"/>
  <c r="E21" i="31"/>
  <c r="G22" i="13"/>
  <c r="AG21" i="1"/>
  <c r="C20" i="11" s="1"/>
  <c r="D33" i="10" l="1"/>
  <c r="K33" i="10"/>
  <c r="I34" i="10"/>
  <c r="P33" i="10" s="1"/>
  <c r="G22" i="1"/>
  <c r="F22" i="1"/>
  <c r="C21" i="31"/>
  <c r="B21" i="31"/>
  <c r="AF21" i="1"/>
  <c r="N22" i="13" s="1"/>
  <c r="E22" i="1" l="1"/>
  <c r="D22" i="1" s="1"/>
  <c r="B23" i="13" s="1"/>
  <c r="O33" i="10"/>
  <c r="N33" i="10" s="1"/>
  <c r="M33" i="10" s="1"/>
  <c r="L33" i="10" s="1"/>
  <c r="H34" i="10" s="1"/>
  <c r="K22" i="13"/>
  <c r="G20" i="11"/>
  <c r="H20" i="11" s="1"/>
  <c r="J22" i="13" s="1"/>
  <c r="D20" i="11"/>
  <c r="D21" i="31"/>
  <c r="O22" i="13" s="1"/>
  <c r="H23" i="1" l="1"/>
  <c r="X22" i="1"/>
  <c r="C23" i="13"/>
  <c r="L22" i="1"/>
  <c r="Y22" i="1" s="1"/>
  <c r="I23" i="1"/>
  <c r="A21" i="11"/>
  <c r="L23" i="13" s="1"/>
  <c r="C22" i="1"/>
  <c r="D23" i="13" s="1"/>
  <c r="G34" i="10"/>
  <c r="F34" i="10" s="1"/>
  <c r="E34" i="10" s="1"/>
  <c r="J35" i="10"/>
  <c r="H21" i="31"/>
  <c r="Q22" i="13" s="1"/>
  <c r="F21" i="31"/>
  <c r="P22" i="13" s="1"/>
  <c r="H22" i="13"/>
  <c r="E20" i="11"/>
  <c r="I22" i="13" s="1"/>
  <c r="AA22" i="1" l="1"/>
  <c r="R22" i="1"/>
  <c r="Q22" i="1" s="1"/>
  <c r="P22" i="1" s="1"/>
  <c r="O22" i="1" s="1"/>
  <c r="N22" i="1" s="1"/>
  <c r="F23" i="13" s="1"/>
  <c r="AD22" i="1"/>
  <c r="F22" i="11"/>
  <c r="E23" i="13"/>
  <c r="D34" i="10"/>
  <c r="I35" i="10"/>
  <c r="P34" i="10" s="1"/>
  <c r="K34" i="10"/>
  <c r="M22" i="1" l="1"/>
  <c r="AB22" i="1" s="1"/>
  <c r="AC22" i="1" s="1"/>
  <c r="M23" i="13" s="1"/>
  <c r="O34" i="10"/>
  <c r="N34" i="10" s="1"/>
  <c r="M34" i="10" s="1"/>
  <c r="L34" i="10" s="1"/>
  <c r="H35" i="10" s="1"/>
  <c r="AG22" i="1"/>
  <c r="C21" i="11" s="1"/>
  <c r="E22" i="31" l="1"/>
  <c r="G23" i="13"/>
  <c r="G35" i="10"/>
  <c r="F35" i="10" s="1"/>
  <c r="E35" i="10" s="1"/>
  <c r="J36" i="10"/>
  <c r="F23" i="1"/>
  <c r="G23" i="1"/>
  <c r="C22" i="31"/>
  <c r="B22" i="31"/>
  <c r="AF22" i="1"/>
  <c r="N23" i="13" s="1"/>
  <c r="E23" i="1" l="1"/>
  <c r="D23" i="1" s="1"/>
  <c r="B24" i="13" s="1"/>
  <c r="D35" i="10"/>
  <c r="K35" i="10"/>
  <c r="I36" i="10"/>
  <c r="P35" i="10" s="1"/>
  <c r="K23" i="13"/>
  <c r="G21" i="11"/>
  <c r="H21" i="11" s="1"/>
  <c r="J23" i="13" s="1"/>
  <c r="D21" i="11"/>
  <c r="D22" i="31"/>
  <c r="O23" i="13" s="1"/>
  <c r="A22" i="11" l="1"/>
  <c r="L24" i="13" s="1"/>
  <c r="C23" i="1"/>
  <c r="D24" i="13" s="1"/>
  <c r="I24" i="1"/>
  <c r="X23" i="1"/>
  <c r="H24" i="1"/>
  <c r="C24" i="13"/>
  <c r="L23" i="1"/>
  <c r="F23" i="11" s="1"/>
  <c r="O35" i="10"/>
  <c r="N35" i="10" s="1"/>
  <c r="M35" i="10" s="1"/>
  <c r="L35" i="10" s="1"/>
  <c r="H36" i="10" s="1"/>
  <c r="J37" i="10" s="1"/>
  <c r="F22" i="31"/>
  <c r="P23" i="13" s="1"/>
  <c r="H22" i="31"/>
  <c r="Q23" i="13" s="1"/>
  <c r="H23" i="13"/>
  <c r="E21" i="11"/>
  <c r="I23" i="13" s="1"/>
  <c r="AA23" i="1" l="1"/>
  <c r="R23" i="1"/>
  <c r="Q23" i="1" s="1"/>
  <c r="P23" i="1" s="1"/>
  <c r="O23" i="1" s="1"/>
  <c r="N23" i="1" s="1"/>
  <c r="M23" i="1" s="1"/>
  <c r="AD23" i="1"/>
  <c r="Y23" i="1"/>
  <c r="E24" i="13"/>
  <c r="G36" i="10"/>
  <c r="F36" i="10" s="1"/>
  <c r="E36" i="10" s="1"/>
  <c r="D36" i="10" s="1"/>
  <c r="F24" i="13" l="1"/>
  <c r="I37" i="10"/>
  <c r="P36" i="10" s="1"/>
  <c r="K36" i="10"/>
  <c r="E23" i="31"/>
  <c r="G24" i="13"/>
  <c r="AB23" i="1"/>
  <c r="AC23" i="1" s="1"/>
  <c r="M24" i="13" s="1"/>
  <c r="O36" i="10" l="1"/>
  <c r="N36" i="10" s="1"/>
  <c r="M36" i="10" s="1"/>
  <c r="L36" i="10" s="1"/>
  <c r="H37" i="10" s="1"/>
  <c r="J38" i="10" s="1"/>
  <c r="F24" i="1"/>
  <c r="G24" i="1"/>
  <c r="C23" i="31"/>
  <c r="B23" i="31"/>
  <c r="AF23" i="1"/>
  <c r="N24" i="13" s="1"/>
  <c r="AG23" i="1"/>
  <c r="C22" i="11" s="1"/>
  <c r="G37" i="10" l="1"/>
  <c r="F37" i="10" s="1"/>
  <c r="E37" i="10" s="1"/>
  <c r="D23" i="31"/>
  <c r="O24" i="13" s="1"/>
  <c r="E24" i="1"/>
  <c r="D24" i="1" s="1"/>
  <c r="D37" i="10" l="1"/>
  <c r="K37" i="10"/>
  <c r="I38" i="10"/>
  <c r="P37" i="10" s="1"/>
  <c r="G22" i="11"/>
  <c r="H22" i="11" s="1"/>
  <c r="J24" i="13" s="1"/>
  <c r="K24" i="13"/>
  <c r="D22" i="11"/>
  <c r="F23" i="31"/>
  <c r="P24" i="13" s="1"/>
  <c r="H23" i="31"/>
  <c r="Q24" i="13" s="1"/>
  <c r="H25" i="1"/>
  <c r="X24" i="1"/>
  <c r="B25" i="13"/>
  <c r="C25" i="13"/>
  <c r="A23" i="11"/>
  <c r="C24" i="1"/>
  <c r="D25" i="13" s="1"/>
  <c r="L24" i="1"/>
  <c r="I25" i="1"/>
  <c r="O37" i="10" l="1"/>
  <c r="N37" i="10" s="1"/>
  <c r="M37" i="10" s="1"/>
  <c r="L37" i="10" s="1"/>
  <c r="R24" i="1"/>
  <c r="Q24" i="1" s="1"/>
  <c r="P24" i="1" s="1"/>
  <c r="O24" i="1" s="1"/>
  <c r="N24" i="1" s="1"/>
  <c r="E25" i="13"/>
  <c r="Y24" i="1"/>
  <c r="AD24" i="1"/>
  <c r="F24" i="11"/>
  <c r="AA24" i="1"/>
  <c r="L25" i="13"/>
  <c r="H24" i="13"/>
  <c r="E22" i="11"/>
  <c r="I24" i="13" s="1"/>
  <c r="H38" i="10" l="1"/>
  <c r="J39" i="10" s="1"/>
  <c r="G38" i="10"/>
  <c r="F25" i="13"/>
  <c r="M24" i="1"/>
  <c r="F38" i="10" l="1"/>
  <c r="E38" i="10" s="1"/>
  <c r="D38" i="10" s="1"/>
  <c r="AB24" i="1"/>
  <c r="AC24" i="1" s="1"/>
  <c r="M25" i="13" s="1"/>
  <c r="G25" i="13"/>
  <c r="E24" i="31"/>
  <c r="K38" i="10" l="1"/>
  <c r="I39" i="10"/>
  <c r="P38" i="10" s="1"/>
  <c r="G25" i="1"/>
  <c r="F25" i="1"/>
  <c r="B24" i="31"/>
  <c r="C24" i="31"/>
  <c r="AF24" i="1"/>
  <c r="N25" i="13" s="1"/>
  <c r="AG24" i="1"/>
  <c r="O38" i="10" l="1"/>
  <c r="N38" i="10" s="1"/>
  <c r="M38" i="10" s="1"/>
  <c r="L38" i="10" s="1"/>
  <c r="H39" i="10" s="1"/>
  <c r="J40" i="10" s="1"/>
  <c r="D24" i="31"/>
  <c r="C23" i="11"/>
  <c r="E25" i="1"/>
  <c r="D25" i="1" s="1"/>
  <c r="G39" i="10" l="1"/>
  <c r="F39" i="10" s="1"/>
  <c r="E39" i="10" s="1"/>
  <c r="D39" i="10" s="1"/>
  <c r="F24" i="31"/>
  <c r="P25" i="13" s="1"/>
  <c r="O25" i="13"/>
  <c r="H24" i="31"/>
  <c r="Q25" i="13" s="1"/>
  <c r="I26" i="1"/>
  <c r="X25" i="1"/>
  <c r="C25" i="1"/>
  <c r="D26" i="13" s="1"/>
  <c r="C26" i="13"/>
  <c r="A24" i="11"/>
  <c r="B26" i="13"/>
  <c r="L25" i="1"/>
  <c r="H26" i="1"/>
  <c r="K25" i="13"/>
  <c r="G23" i="11"/>
  <c r="H23" i="11" s="1"/>
  <c r="J25" i="13" s="1"/>
  <c r="D23" i="11"/>
  <c r="K39" i="10" l="1"/>
  <c r="I40" i="10"/>
  <c r="P39" i="10" s="1"/>
  <c r="R25" i="1"/>
  <c r="Q25" i="1" s="1"/>
  <c r="P25" i="1" s="1"/>
  <c r="O25" i="1" s="1"/>
  <c r="N25" i="1" s="1"/>
  <c r="L26" i="13"/>
  <c r="H25" i="13"/>
  <c r="E23" i="11"/>
  <c r="I25" i="13" s="1"/>
  <c r="F25" i="11"/>
  <c r="E26" i="13"/>
  <c r="Y25" i="1"/>
  <c r="AD25" i="1"/>
  <c r="AA25" i="1"/>
  <c r="O39" i="10" l="1"/>
  <c r="N39" i="10" s="1"/>
  <c r="M39" i="10" s="1"/>
  <c r="L39" i="10" s="1"/>
  <c r="H40" i="10" s="1"/>
  <c r="J41" i="10" s="1"/>
  <c r="F26" i="13"/>
  <c r="M25" i="1"/>
  <c r="G40" i="10" l="1"/>
  <c r="F40" i="10" s="1"/>
  <c r="E40" i="10" s="1"/>
  <c r="D40" i="10" s="1"/>
  <c r="G26" i="13"/>
  <c r="E25" i="31"/>
  <c r="AB25" i="1"/>
  <c r="AC25" i="1" s="1"/>
  <c r="M26" i="13" s="1"/>
  <c r="K40" i="10" l="1"/>
  <c r="I41" i="10"/>
  <c r="P40" i="10" s="1"/>
  <c r="G26" i="1"/>
  <c r="F26" i="1"/>
  <c r="B25" i="31"/>
  <c r="C25" i="31"/>
  <c r="AF25" i="1"/>
  <c r="N26" i="13" s="1"/>
  <c r="AG25" i="1"/>
  <c r="O40" i="10" l="1"/>
  <c r="N40" i="10" s="1"/>
  <c r="M40" i="10" s="1"/>
  <c r="L40" i="10" s="1"/>
  <c r="H41" i="10" s="1"/>
  <c r="J42" i="10" s="1"/>
  <c r="D25" i="31"/>
  <c r="C24" i="11"/>
  <c r="E26" i="1"/>
  <c r="D26" i="1" s="1"/>
  <c r="G41" i="10" l="1"/>
  <c r="F41" i="10" s="1"/>
  <c r="E41" i="10" s="1"/>
  <c r="D41" i="10" s="1"/>
  <c r="H25" i="31"/>
  <c r="Q26" i="13" s="1"/>
  <c r="O26" i="13"/>
  <c r="F25" i="31"/>
  <c r="P26" i="13" s="1"/>
  <c r="L26" i="1"/>
  <c r="B27" i="13"/>
  <c r="A25" i="11"/>
  <c r="C27" i="13"/>
  <c r="C26" i="1"/>
  <c r="D27" i="13" s="1"/>
  <c r="X26" i="1"/>
  <c r="H27" i="1"/>
  <c r="I27" i="1"/>
  <c r="K26" i="13"/>
  <c r="G24" i="11"/>
  <c r="H24" i="11" s="1"/>
  <c r="J26" i="13" s="1"/>
  <c r="D24" i="11"/>
  <c r="I42" i="10" l="1"/>
  <c r="P41" i="10" s="1"/>
  <c r="K41" i="10"/>
  <c r="AA26" i="1"/>
  <c r="Y26" i="1"/>
  <c r="E27" i="13"/>
  <c r="F26" i="11"/>
  <c r="AD26" i="1"/>
  <c r="H26" i="13"/>
  <c r="E24" i="11"/>
  <c r="I26" i="13" s="1"/>
  <c r="R26" i="1"/>
  <c r="Q26" i="1" s="1"/>
  <c r="P26" i="1" s="1"/>
  <c r="O26" i="1" s="1"/>
  <c r="N26" i="1" s="1"/>
  <c r="L27" i="13"/>
  <c r="O41" i="10" l="1"/>
  <c r="N41" i="10" s="1"/>
  <c r="M41" i="10" s="1"/>
  <c r="L41" i="10" s="1"/>
  <c r="H42" i="10" s="1"/>
  <c r="J43" i="10" s="1"/>
  <c r="F27" i="13"/>
  <c r="M26" i="1"/>
  <c r="G42" i="10" l="1"/>
  <c r="F42" i="10" s="1"/>
  <c r="E42" i="10" s="1"/>
  <c r="D42" i="10" s="1"/>
  <c r="AB26" i="1"/>
  <c r="AC26" i="1" s="1"/>
  <c r="M27" i="13" s="1"/>
  <c r="G27" i="13"/>
  <c r="E26" i="31"/>
  <c r="I43" i="10" l="1"/>
  <c r="P42" i="10" s="1"/>
  <c r="K42" i="10"/>
  <c r="G27" i="1"/>
  <c r="F27" i="1"/>
  <c r="C26" i="31"/>
  <c r="B26" i="31"/>
  <c r="AF26" i="1"/>
  <c r="N27" i="13" s="1"/>
  <c r="AG26" i="1"/>
  <c r="O42" i="10" l="1"/>
  <c r="N42" i="10" s="1"/>
  <c r="M42" i="10" s="1"/>
  <c r="L42" i="10" s="1"/>
  <c r="H43" i="10" s="1"/>
  <c r="J44" i="10" s="1"/>
  <c r="D26" i="31"/>
  <c r="O27" i="13" s="1"/>
  <c r="C25" i="11"/>
  <c r="E27" i="1"/>
  <c r="D27" i="1" s="1"/>
  <c r="G43" i="10" l="1"/>
  <c r="F43" i="10" s="1"/>
  <c r="E43" i="10" s="1"/>
  <c r="D43" i="10" s="1"/>
  <c r="G25" i="11"/>
  <c r="H25" i="11" s="1"/>
  <c r="J27" i="13" s="1"/>
  <c r="K27" i="13"/>
  <c r="D25" i="11"/>
  <c r="H26" i="31"/>
  <c r="Q27" i="13" s="1"/>
  <c r="F26" i="31"/>
  <c r="P27" i="13" s="1"/>
  <c r="C27" i="1"/>
  <c r="D28" i="13" s="1"/>
  <c r="B28" i="13"/>
  <c r="C28" i="13"/>
  <c r="X27" i="1"/>
  <c r="A26" i="11"/>
  <c r="L27" i="1"/>
  <c r="H28" i="1"/>
  <c r="I28" i="1"/>
  <c r="I44" i="10" l="1"/>
  <c r="P43" i="10" s="1"/>
  <c r="K43" i="10"/>
  <c r="L28" i="13"/>
  <c r="R27" i="1"/>
  <c r="Q27" i="1" s="1"/>
  <c r="P27" i="1" s="1"/>
  <c r="O27" i="1" s="1"/>
  <c r="N27" i="1" s="1"/>
  <c r="Y27" i="1"/>
  <c r="E28" i="13"/>
  <c r="F27" i="11"/>
  <c r="AD27" i="1"/>
  <c r="AA27" i="1"/>
  <c r="E25" i="11"/>
  <c r="I27" i="13" s="1"/>
  <c r="H27" i="13"/>
  <c r="O43" i="10" l="1"/>
  <c r="N43" i="10" s="1"/>
  <c r="M43" i="10" s="1"/>
  <c r="L43" i="10" s="1"/>
  <c r="H44" i="10" s="1"/>
  <c r="J45" i="10" s="1"/>
  <c r="F28" i="13"/>
  <c r="M27" i="1"/>
  <c r="G44" i="10" l="1"/>
  <c r="F44" i="10" s="1"/>
  <c r="E44" i="10" s="1"/>
  <c r="K44" i="10" s="1"/>
  <c r="G28" i="13"/>
  <c r="E27" i="31"/>
  <c r="AB27" i="1"/>
  <c r="AC27" i="1" s="1"/>
  <c r="M28" i="13" s="1"/>
  <c r="I45" i="10" l="1"/>
  <c r="P44" i="10" s="1"/>
  <c r="O44" i="10" s="1"/>
  <c r="N44" i="10" s="1"/>
  <c r="M44" i="10" s="1"/>
  <c r="L44" i="10" s="1"/>
  <c r="H45" i="10" s="1"/>
  <c r="J46" i="10" s="1"/>
  <c r="D44" i="10"/>
  <c r="G28" i="1"/>
  <c r="F28" i="1"/>
  <c r="B27" i="31"/>
  <c r="C27" i="31"/>
  <c r="AF27" i="1"/>
  <c r="N28" i="13" s="1"/>
  <c r="AG27" i="1"/>
  <c r="G45" i="10" l="1"/>
  <c r="F45" i="10" s="1"/>
  <c r="E45" i="10" s="1"/>
  <c r="D27" i="31"/>
  <c r="C26" i="11"/>
  <c r="E28" i="1"/>
  <c r="D28" i="1" s="1"/>
  <c r="I46" i="10" l="1"/>
  <c r="D45" i="10"/>
  <c r="K45" i="10"/>
  <c r="H27" i="31"/>
  <c r="Q28" i="13" s="1"/>
  <c r="O28" i="13"/>
  <c r="F27" i="31"/>
  <c r="P28" i="13" s="1"/>
  <c r="L28" i="1"/>
  <c r="C29" i="13"/>
  <c r="C28" i="1"/>
  <c r="D29" i="13" s="1"/>
  <c r="A27" i="11"/>
  <c r="B29" i="13"/>
  <c r="X28" i="1"/>
  <c r="I29" i="1"/>
  <c r="H29" i="1"/>
  <c r="K28" i="13"/>
  <c r="G26" i="11"/>
  <c r="H26" i="11" s="1"/>
  <c r="J28" i="13" s="1"/>
  <c r="D26" i="11"/>
  <c r="P45" i="10" l="1"/>
  <c r="O45" i="10" s="1"/>
  <c r="N45" i="10" s="1"/>
  <c r="M45" i="10" s="1"/>
  <c r="L45" i="10" s="1"/>
  <c r="R28" i="1"/>
  <c r="Q28" i="1" s="1"/>
  <c r="P28" i="1" s="1"/>
  <c r="O28" i="1" s="1"/>
  <c r="N28" i="1" s="1"/>
  <c r="L29" i="13"/>
  <c r="Y28" i="1"/>
  <c r="E29" i="13"/>
  <c r="AD28" i="1"/>
  <c r="F28" i="11"/>
  <c r="H28" i="13"/>
  <c r="E26" i="11"/>
  <c r="I28" i="13" s="1"/>
  <c r="AA28" i="1"/>
  <c r="H46" i="10" l="1"/>
  <c r="J47" i="10" s="1"/>
  <c r="G46" i="10"/>
  <c r="F29" i="13"/>
  <c r="M28" i="1"/>
  <c r="F46" i="10" l="1"/>
  <c r="E46" i="10" s="1"/>
  <c r="D46" i="10" s="1"/>
  <c r="AB28" i="1"/>
  <c r="AC28" i="1" s="1"/>
  <c r="M29" i="13" s="1"/>
  <c r="E28" i="31"/>
  <c r="G29" i="13"/>
  <c r="AG28" i="1"/>
  <c r="K46" i="10" l="1"/>
  <c r="I47" i="10"/>
  <c r="P46" i="10" s="1"/>
  <c r="G29" i="1"/>
  <c r="F29" i="1"/>
  <c r="C27" i="11"/>
  <c r="B28" i="31"/>
  <c r="C28" i="31"/>
  <c r="AF28" i="1"/>
  <c r="N29" i="13" s="1"/>
  <c r="O46" i="10" l="1"/>
  <c r="N46" i="10" s="1"/>
  <c r="M46" i="10" s="1"/>
  <c r="L46" i="10" s="1"/>
  <c r="H47" i="10" s="1"/>
  <c r="J48" i="10" s="1"/>
  <c r="E29" i="1"/>
  <c r="D29" i="1" s="1"/>
  <c r="A28" i="11" s="1"/>
  <c r="D28" i="31"/>
  <c r="F28" i="31" s="1"/>
  <c r="P29" i="13" s="1"/>
  <c r="K29" i="13"/>
  <c r="G27" i="11"/>
  <c r="H27" i="11" s="1"/>
  <c r="J29" i="13" s="1"/>
  <c r="D27" i="11"/>
  <c r="O29" i="13"/>
  <c r="G47" i="10" l="1"/>
  <c r="F47" i="10" s="1"/>
  <c r="E47" i="10" s="1"/>
  <c r="K47" i="10" s="1"/>
  <c r="C30" i="13"/>
  <c r="H30" i="1"/>
  <c r="L29" i="1"/>
  <c r="E30" i="13" s="1"/>
  <c r="B30" i="13"/>
  <c r="I30" i="1"/>
  <c r="C29" i="1"/>
  <c r="D30" i="13" s="1"/>
  <c r="X29" i="1"/>
  <c r="H28" i="31"/>
  <c r="Q29" i="13" s="1"/>
  <c r="L30" i="13"/>
  <c r="E27" i="11"/>
  <c r="I29" i="13" s="1"/>
  <c r="H29" i="13"/>
  <c r="R29" i="1" l="1"/>
  <c r="Q29" i="1" s="1"/>
  <c r="P29" i="1" s="1"/>
  <c r="O29" i="1" s="1"/>
  <c r="N29" i="1" s="1"/>
  <c r="F30" i="13" s="1"/>
  <c r="D47" i="10"/>
  <c r="I48" i="10"/>
  <c r="P47" i="10" s="1"/>
  <c r="O47" i="10" s="1"/>
  <c r="N47" i="10" s="1"/>
  <c r="M47" i="10" s="1"/>
  <c r="L47" i="10" s="1"/>
  <c r="H48" i="10" s="1"/>
  <c r="J49" i="10" s="1"/>
  <c r="F29" i="11"/>
  <c r="AD29" i="1"/>
  <c r="Y29" i="1"/>
  <c r="AA29" i="1"/>
  <c r="M29" i="1" l="1"/>
  <c r="G30" i="13" s="1"/>
  <c r="G48" i="10"/>
  <c r="F48" i="10" s="1"/>
  <c r="E48" i="10" s="1"/>
  <c r="E29" i="31" l="1"/>
  <c r="AB29" i="1"/>
  <c r="AC29" i="1" s="1"/>
  <c r="M30" i="13" s="1"/>
  <c r="D48" i="10"/>
  <c r="K48" i="10"/>
  <c r="I49" i="10"/>
  <c r="F30" i="1"/>
  <c r="G30" i="1"/>
  <c r="AG29" i="1"/>
  <c r="B29" i="31" l="1"/>
  <c r="AF29" i="1"/>
  <c r="N30" i="13" s="1"/>
  <c r="C29" i="31"/>
  <c r="P48" i="10"/>
  <c r="O48" i="10" s="1"/>
  <c r="N48" i="10" s="1"/>
  <c r="M48" i="10" s="1"/>
  <c r="L48" i="10" s="1"/>
  <c r="H49" i="10" s="1"/>
  <c r="J50" i="10" s="1"/>
  <c r="C28" i="11"/>
  <c r="E30" i="1"/>
  <c r="D30" i="1" s="1"/>
  <c r="D29" i="31" l="1"/>
  <c r="F29" i="31" s="1"/>
  <c r="P30" i="13" s="1"/>
  <c r="G49" i="10"/>
  <c r="F49" i="10" s="1"/>
  <c r="E49" i="10" s="1"/>
  <c r="O30" i="13"/>
  <c r="H31" i="1"/>
  <c r="C30" i="1"/>
  <c r="D31" i="13" s="1"/>
  <c r="A29" i="11"/>
  <c r="C31" i="13"/>
  <c r="B31" i="13"/>
  <c r="X30" i="1"/>
  <c r="I31" i="1"/>
  <c r="L30" i="1"/>
  <c r="K30" i="13"/>
  <c r="G28" i="11"/>
  <c r="H28" i="11" s="1"/>
  <c r="J30" i="13" s="1"/>
  <c r="D28" i="11"/>
  <c r="H29" i="31" l="1"/>
  <c r="Q30" i="13" s="1"/>
  <c r="D49" i="10"/>
  <c r="K49" i="10"/>
  <c r="I50" i="10"/>
  <c r="AA30" i="1"/>
  <c r="E31" i="13"/>
  <c r="Y30" i="1"/>
  <c r="F30" i="11"/>
  <c r="AD30" i="1"/>
  <c r="R30" i="1"/>
  <c r="Q30" i="1" s="1"/>
  <c r="P30" i="1" s="1"/>
  <c r="O30" i="1" s="1"/>
  <c r="N30" i="1" s="1"/>
  <c r="H30" i="13"/>
  <c r="E28" i="11"/>
  <c r="I30" i="13" s="1"/>
  <c r="L31" i="13"/>
  <c r="P49" i="10" l="1"/>
  <c r="O49" i="10" s="1"/>
  <c r="N49" i="10" s="1"/>
  <c r="M49" i="10" s="1"/>
  <c r="L49" i="10" s="1"/>
  <c r="H50" i="10" s="1"/>
  <c r="J51" i="10" s="1"/>
  <c r="M30" i="1"/>
  <c r="F31" i="13"/>
  <c r="G50" i="10" l="1"/>
  <c r="F50" i="10" s="1"/>
  <c r="E50" i="10" s="1"/>
  <c r="AB30" i="1"/>
  <c r="AC30" i="1" s="1"/>
  <c r="M31" i="13" s="1"/>
  <c r="G31" i="13"/>
  <c r="E30" i="31"/>
  <c r="D50" i="10" l="1"/>
  <c r="K50" i="10"/>
  <c r="I51" i="10"/>
  <c r="F31" i="1"/>
  <c r="G31" i="1"/>
  <c r="C30" i="31"/>
  <c r="B30" i="31"/>
  <c r="AF30" i="1"/>
  <c r="N31" i="13" s="1"/>
  <c r="AG30" i="1"/>
  <c r="P50" i="10" l="1"/>
  <c r="O50" i="10" s="1"/>
  <c r="N50" i="10" s="1"/>
  <c r="M50" i="10" s="1"/>
  <c r="L50" i="10" s="1"/>
  <c r="H51" i="10" s="1"/>
  <c r="J52" i="10" s="1"/>
  <c r="D30" i="31"/>
  <c r="O31" i="13" s="1"/>
  <c r="C29" i="11"/>
  <c r="E31" i="1"/>
  <c r="D31" i="1" s="1"/>
  <c r="G51" i="10" l="1"/>
  <c r="F51" i="10" s="1"/>
  <c r="E51" i="10" s="1"/>
  <c r="K31" i="13"/>
  <c r="G29" i="11"/>
  <c r="H29" i="11" s="1"/>
  <c r="J31" i="13" s="1"/>
  <c r="D29" i="11"/>
  <c r="H30" i="31"/>
  <c r="Q31" i="13" s="1"/>
  <c r="F30" i="31"/>
  <c r="P31" i="13" s="1"/>
  <c r="C32" i="13"/>
  <c r="A30" i="11"/>
  <c r="C31" i="1"/>
  <c r="D32" i="13" s="1"/>
  <c r="B32" i="13"/>
  <c r="X31" i="1"/>
  <c r="L31" i="1"/>
  <c r="H32" i="1"/>
  <c r="I32" i="1"/>
  <c r="D51" i="10" l="1"/>
  <c r="K51" i="10"/>
  <c r="I52" i="10"/>
  <c r="R31" i="1"/>
  <c r="Q31" i="1" s="1"/>
  <c r="P31" i="1" s="1"/>
  <c r="O31" i="1" s="1"/>
  <c r="N31" i="1" s="1"/>
  <c r="E32" i="13"/>
  <c r="Y31" i="1"/>
  <c r="AD31" i="1"/>
  <c r="F31" i="11"/>
  <c r="AA31" i="1"/>
  <c r="L32" i="13"/>
  <c r="H31" i="13"/>
  <c r="E29" i="11"/>
  <c r="I31" i="13" s="1"/>
  <c r="P51" i="10" l="1"/>
  <c r="O51" i="10" s="1"/>
  <c r="N51" i="10" s="1"/>
  <c r="M51" i="10" s="1"/>
  <c r="L51" i="10" s="1"/>
  <c r="H52" i="10" s="1"/>
  <c r="J53" i="10" s="1"/>
  <c r="M31" i="1"/>
  <c r="F32" i="13"/>
  <c r="G52" i="10" l="1"/>
  <c r="F52" i="10" s="1"/>
  <c r="E52" i="10" s="1"/>
  <c r="AB31" i="1"/>
  <c r="AC31" i="1" s="1"/>
  <c r="M32" i="13" s="1"/>
  <c r="G32" i="13"/>
  <c r="E31" i="31"/>
  <c r="I53" i="10" l="1"/>
  <c r="D52" i="10"/>
  <c r="K52" i="10"/>
  <c r="F32" i="1"/>
  <c r="G32" i="1"/>
  <c r="B31" i="31"/>
  <c r="C31" i="31"/>
  <c r="AF31" i="1"/>
  <c r="N32" i="13" s="1"/>
  <c r="AG31" i="1"/>
  <c r="P52" i="10" l="1"/>
  <c r="O52" i="10" s="1"/>
  <c r="N52" i="10" s="1"/>
  <c r="M52" i="10" s="1"/>
  <c r="L52" i="10" s="1"/>
  <c r="D31" i="31"/>
  <c r="H31" i="31" s="1"/>
  <c r="Q32" i="13" s="1"/>
  <c r="C30" i="11"/>
  <c r="E32" i="1"/>
  <c r="D32" i="1" s="1"/>
  <c r="H53" i="10" l="1"/>
  <c r="J54" i="10" s="1"/>
  <c r="G53" i="10"/>
  <c r="F53" i="10" s="1"/>
  <c r="E53" i="10" s="1"/>
  <c r="O32" i="13"/>
  <c r="F31" i="31"/>
  <c r="P32" i="13" s="1"/>
  <c r="I33" i="1"/>
  <c r="B33" i="13"/>
  <c r="X32" i="1"/>
  <c r="C33" i="13"/>
  <c r="A31" i="11"/>
  <c r="C32" i="1"/>
  <c r="D33" i="13" s="1"/>
  <c r="L32" i="1"/>
  <c r="H33" i="1"/>
  <c r="K32" i="13"/>
  <c r="G30" i="11"/>
  <c r="H30" i="11" s="1"/>
  <c r="J32" i="13" s="1"/>
  <c r="D30" i="11"/>
  <c r="D53" i="10" l="1"/>
  <c r="I54" i="10"/>
  <c r="K53" i="10"/>
  <c r="R32" i="1"/>
  <c r="Q32" i="1" s="1"/>
  <c r="P32" i="1" s="1"/>
  <c r="O32" i="1" s="1"/>
  <c r="N32" i="1" s="1"/>
  <c r="L33" i="13"/>
  <c r="H32" i="13"/>
  <c r="E30" i="11"/>
  <c r="I32" i="13" s="1"/>
  <c r="Y32" i="1"/>
  <c r="E33" i="13"/>
  <c r="F32" i="11"/>
  <c r="AD32" i="1"/>
  <c r="AA32" i="1"/>
  <c r="P53" i="10" l="1"/>
  <c r="O53" i="10" s="1"/>
  <c r="N53" i="10" s="1"/>
  <c r="M53" i="10" s="1"/>
  <c r="L53" i="10" s="1"/>
  <c r="M32" i="1"/>
  <c r="F33" i="13"/>
  <c r="H54" i="10" l="1"/>
  <c r="J55" i="10" s="1"/>
  <c r="G54" i="10"/>
  <c r="AB32" i="1"/>
  <c r="AC32" i="1" s="1"/>
  <c r="M33" i="13" s="1"/>
  <c r="G33" i="13"/>
  <c r="E32" i="31"/>
  <c r="F54" i="10" l="1"/>
  <c r="E54" i="10" s="1"/>
  <c r="D54" i="10" s="1"/>
  <c r="F33" i="1"/>
  <c r="G33" i="1"/>
  <c r="C32" i="31"/>
  <c r="B32" i="31"/>
  <c r="AF32" i="1"/>
  <c r="N33" i="13" s="1"/>
  <c r="AG32" i="1"/>
  <c r="K54" i="10" l="1"/>
  <c r="I55" i="10"/>
  <c r="P54" i="10" s="1"/>
  <c r="D32" i="31"/>
  <c r="C31" i="11"/>
  <c r="E33" i="1"/>
  <c r="D33" i="1" s="1"/>
  <c r="O54" i="10" l="1"/>
  <c r="N54" i="10" s="1"/>
  <c r="M54" i="10" s="1"/>
  <c r="L54" i="10" s="1"/>
  <c r="H55" i="10" s="1"/>
  <c r="J56" i="10" s="1"/>
  <c r="G31" i="11"/>
  <c r="H31" i="11" s="1"/>
  <c r="J33" i="13" s="1"/>
  <c r="K33" i="13"/>
  <c r="D31" i="11"/>
  <c r="O33" i="13"/>
  <c r="F32" i="31"/>
  <c r="P33" i="13" s="1"/>
  <c r="H32" i="31"/>
  <c r="Q33" i="13" s="1"/>
  <c r="X33" i="1"/>
  <c r="C33" i="1"/>
  <c r="D34" i="13" s="1"/>
  <c r="A32" i="11"/>
  <c r="B34" i="13"/>
  <c r="C34" i="13"/>
  <c r="H34" i="1"/>
  <c r="I34" i="1"/>
  <c r="L33" i="1"/>
  <c r="G55" i="10" l="1"/>
  <c r="F55" i="10" s="1"/>
  <c r="E55" i="10" s="1"/>
  <c r="D55" i="10" s="1"/>
  <c r="R33" i="1"/>
  <c r="Q33" i="1" s="1"/>
  <c r="P33" i="1" s="1"/>
  <c r="O33" i="1" s="1"/>
  <c r="N33" i="1" s="1"/>
  <c r="L34" i="13"/>
  <c r="AA33" i="1"/>
  <c r="AD33" i="1"/>
  <c r="Y33" i="1"/>
  <c r="E34" i="13"/>
  <c r="F33" i="11"/>
  <c r="H33" i="13"/>
  <c r="E31" i="11"/>
  <c r="I33" i="13" s="1"/>
  <c r="K55" i="10" l="1"/>
  <c r="I56" i="10"/>
  <c r="P55" i="10" s="1"/>
  <c r="F34" i="13"/>
  <c r="M33" i="1"/>
  <c r="O55" i="10" l="1"/>
  <c r="N55" i="10" s="1"/>
  <c r="M55" i="10" s="1"/>
  <c r="L55" i="10" s="1"/>
  <c r="H56" i="10" s="1"/>
  <c r="J57" i="10" s="1"/>
  <c r="AB33" i="1"/>
  <c r="AC33" i="1" s="1"/>
  <c r="M34" i="13" s="1"/>
  <c r="G34" i="13"/>
  <c r="E33" i="31"/>
  <c r="G56" i="10" l="1"/>
  <c r="F56" i="10" s="1"/>
  <c r="E56" i="10" s="1"/>
  <c r="D56" i="10" s="1"/>
  <c r="G34" i="1"/>
  <c r="F34" i="1"/>
  <c r="B33" i="31"/>
  <c r="C33" i="31"/>
  <c r="AF33" i="1"/>
  <c r="N34" i="13" s="1"/>
  <c r="AG33" i="1"/>
  <c r="K56" i="10" l="1"/>
  <c r="I57" i="10"/>
  <c r="P56" i="10" s="1"/>
  <c r="D33" i="31"/>
  <c r="H33" i="31" s="1"/>
  <c r="Q34" i="13" s="1"/>
  <c r="C32" i="11"/>
  <c r="E34" i="1"/>
  <c r="D34" i="1" s="1"/>
  <c r="O56" i="10" l="1"/>
  <c r="N56" i="10" s="1"/>
  <c r="M56" i="10" s="1"/>
  <c r="L56" i="10" s="1"/>
  <c r="H57" i="10" s="1"/>
  <c r="J58" i="10" s="1"/>
  <c r="O34" i="13"/>
  <c r="F33" i="31"/>
  <c r="P34" i="13" s="1"/>
  <c r="C35" i="13"/>
  <c r="B35" i="13"/>
  <c r="X34" i="1"/>
  <c r="C34" i="1"/>
  <c r="D35" i="13" s="1"/>
  <c r="A33" i="11"/>
  <c r="L34" i="1"/>
  <c r="H35" i="1"/>
  <c r="I35" i="1"/>
  <c r="K34" i="13"/>
  <c r="G32" i="11"/>
  <c r="H32" i="11" s="1"/>
  <c r="J34" i="13" s="1"/>
  <c r="D32" i="11"/>
  <c r="G57" i="10" l="1"/>
  <c r="F57" i="10" s="1"/>
  <c r="E57" i="10" s="1"/>
  <c r="AA34" i="1"/>
  <c r="L35" i="13"/>
  <c r="H34" i="13"/>
  <c r="E32" i="11"/>
  <c r="I34" i="13" s="1"/>
  <c r="R34" i="1"/>
  <c r="Q34" i="1" s="1"/>
  <c r="P34" i="1" s="1"/>
  <c r="O34" i="1" s="1"/>
  <c r="N34" i="1" s="1"/>
  <c r="Y34" i="1"/>
  <c r="E35" i="13"/>
  <c r="AD34" i="1"/>
  <c r="F34" i="11"/>
  <c r="D57" i="10" l="1"/>
  <c r="K57" i="10"/>
  <c r="I58" i="10"/>
  <c r="P57" i="10" s="1"/>
  <c r="F35" i="13"/>
  <c r="M34" i="1"/>
  <c r="AB34" i="1" s="1"/>
  <c r="AC34" i="1" s="1"/>
  <c r="O57" i="10" l="1"/>
  <c r="N57" i="10" s="1"/>
  <c r="M57" i="10" s="1"/>
  <c r="L57" i="10" s="1"/>
  <c r="H58" i="10" s="1"/>
  <c r="J59" i="10" s="1"/>
  <c r="M35" i="13"/>
  <c r="B34" i="31"/>
  <c r="C34" i="31"/>
  <c r="AF34" i="1"/>
  <c r="N35" i="13" s="1"/>
  <c r="G35" i="13"/>
  <c r="E34" i="31"/>
  <c r="G35" i="1"/>
  <c r="F35" i="1"/>
  <c r="AG34" i="1"/>
  <c r="G58" i="10" l="1"/>
  <c r="F58" i="10" s="1"/>
  <c r="E58" i="10" s="1"/>
  <c r="D58" i="10" s="1"/>
  <c r="D34" i="31"/>
  <c r="C33" i="11"/>
  <c r="E35" i="1"/>
  <c r="D35" i="1" s="1"/>
  <c r="K58" i="10" l="1"/>
  <c r="I59" i="10"/>
  <c r="P58" i="10" s="1"/>
  <c r="C35" i="1"/>
  <c r="D36" i="13" s="1"/>
  <c r="A34" i="11"/>
  <c r="B36" i="13"/>
  <c r="C36" i="13"/>
  <c r="X35" i="1"/>
  <c r="L35" i="1"/>
  <c r="I36" i="1"/>
  <c r="H36" i="1"/>
  <c r="O35" i="13"/>
  <c r="F34" i="31"/>
  <c r="P35" i="13" s="1"/>
  <c r="H34" i="31"/>
  <c r="Q35" i="13" s="1"/>
  <c r="G33" i="11"/>
  <c r="H33" i="11" s="1"/>
  <c r="J35" i="13" s="1"/>
  <c r="K35" i="13"/>
  <c r="D33" i="11"/>
  <c r="O58" i="10" l="1"/>
  <c r="N58" i="10" s="1"/>
  <c r="M58" i="10" s="1"/>
  <c r="L58" i="10" s="1"/>
  <c r="H59" i="10" s="1"/>
  <c r="J60" i="10" s="1"/>
  <c r="AA35" i="1"/>
  <c r="H35" i="13"/>
  <c r="E33" i="11"/>
  <c r="I35" i="13" s="1"/>
  <c r="F35" i="11"/>
  <c r="E36" i="13"/>
  <c r="Y35" i="1"/>
  <c r="AD35" i="1"/>
  <c r="L36" i="13"/>
  <c r="R35" i="1"/>
  <c r="Q35" i="1" s="1"/>
  <c r="P35" i="1" s="1"/>
  <c r="O35" i="1" s="1"/>
  <c r="N35" i="1" s="1"/>
  <c r="G59" i="10" l="1"/>
  <c r="F59" i="10" s="1"/>
  <c r="E59" i="10" s="1"/>
  <c r="D59" i="10" s="1"/>
  <c r="M35" i="1"/>
  <c r="AB35" i="1" s="1"/>
  <c r="AC35" i="1" s="1"/>
  <c r="M36" i="13" s="1"/>
  <c r="F36" i="13"/>
  <c r="K59" i="10" l="1"/>
  <c r="I60" i="10"/>
  <c r="P59" i="10" s="1"/>
  <c r="B35" i="31"/>
  <c r="C35" i="31"/>
  <c r="AF35" i="1"/>
  <c r="N36" i="13" s="1"/>
  <c r="G36" i="13"/>
  <c r="E35" i="31"/>
  <c r="F36" i="1"/>
  <c r="G36" i="1"/>
  <c r="AG35" i="1"/>
  <c r="O59" i="10" l="1"/>
  <c r="N59" i="10" s="1"/>
  <c r="M59" i="10" s="1"/>
  <c r="L59" i="10" s="1"/>
  <c r="H60" i="10" s="1"/>
  <c r="J61" i="10" s="1"/>
  <c r="C34" i="11"/>
  <c r="E36" i="1"/>
  <c r="D36" i="1" s="1"/>
  <c r="D35" i="31"/>
  <c r="O36" i="13" s="1"/>
  <c r="G60" i="10" l="1"/>
  <c r="F60" i="10" s="1"/>
  <c r="E60" i="10" s="1"/>
  <c r="I61" i="10" s="1"/>
  <c r="F35" i="31"/>
  <c r="P36" i="13" s="1"/>
  <c r="H35" i="31"/>
  <c r="Q36" i="13" s="1"/>
  <c r="G34" i="11"/>
  <c r="H34" i="11" s="1"/>
  <c r="J36" i="13" s="1"/>
  <c r="K36" i="13"/>
  <c r="D34" i="11"/>
  <c r="A35" i="11"/>
  <c r="C37" i="13"/>
  <c r="B37" i="13"/>
  <c r="C36" i="1"/>
  <c r="D37" i="13" s="1"/>
  <c r="X36" i="1"/>
  <c r="L36" i="1"/>
  <c r="H37" i="1"/>
  <c r="I37" i="1"/>
  <c r="D60" i="10" l="1"/>
  <c r="K60" i="10"/>
  <c r="P60" i="10"/>
  <c r="L37" i="13"/>
  <c r="R36" i="1"/>
  <c r="Q36" i="1" s="1"/>
  <c r="P36" i="1" s="1"/>
  <c r="O36" i="1" s="1"/>
  <c r="N36" i="1" s="1"/>
  <c r="H36" i="13"/>
  <c r="E34" i="11"/>
  <c r="I36" i="13" s="1"/>
  <c r="AD36" i="1"/>
  <c r="E37" i="13"/>
  <c r="Y36" i="1"/>
  <c r="F36" i="11"/>
  <c r="AA36" i="1"/>
  <c r="O60" i="10" l="1"/>
  <c r="N60" i="10" s="1"/>
  <c r="M60" i="10" s="1"/>
  <c r="L60" i="10" s="1"/>
  <c r="G61" i="10" s="1"/>
  <c r="F37" i="13"/>
  <c r="M36" i="1"/>
  <c r="H61" i="10" l="1"/>
  <c r="J62" i="10" s="1"/>
  <c r="F61" i="10"/>
  <c r="E61" i="10" s="1"/>
  <c r="D61" i="10" s="1"/>
  <c r="AB36" i="1"/>
  <c r="AC36" i="1" s="1"/>
  <c r="M37" i="13" s="1"/>
  <c r="E36" i="31"/>
  <c r="G37" i="13"/>
  <c r="K61" i="10" l="1"/>
  <c r="I62" i="10"/>
  <c r="P61" i="10" s="1"/>
  <c r="G37" i="1"/>
  <c r="F37" i="1"/>
  <c r="B36" i="31"/>
  <c r="C36" i="31"/>
  <c r="AF36" i="1"/>
  <c r="N37" i="13" s="1"/>
  <c r="AG36" i="1"/>
  <c r="O61" i="10" l="1"/>
  <c r="N61" i="10" s="1"/>
  <c r="M61" i="10" s="1"/>
  <c r="L61" i="10" s="1"/>
  <c r="H62" i="10" s="1"/>
  <c r="J63" i="10" s="1"/>
  <c r="D36" i="31"/>
  <c r="F36" i="31" s="1"/>
  <c r="P37" i="13" s="1"/>
  <c r="C35" i="11"/>
  <c r="E37" i="1"/>
  <c r="D37" i="1" s="1"/>
  <c r="G62" i="10" l="1"/>
  <c r="F62" i="10" s="1"/>
  <c r="E62" i="10" s="1"/>
  <c r="D62" i="10" s="1"/>
  <c r="O37" i="13"/>
  <c r="H36" i="31"/>
  <c r="Q37" i="13" s="1"/>
  <c r="C37" i="1"/>
  <c r="D38" i="13" s="1"/>
  <c r="A36" i="11"/>
  <c r="C38" i="13"/>
  <c r="B38" i="13"/>
  <c r="X37" i="1"/>
  <c r="I38" i="1"/>
  <c r="H38" i="1"/>
  <c r="L37" i="1"/>
  <c r="K37" i="13"/>
  <c r="G35" i="11"/>
  <c r="H35" i="11" s="1"/>
  <c r="J37" i="13" s="1"/>
  <c r="D35" i="11"/>
  <c r="K62" i="10" l="1"/>
  <c r="I63" i="10"/>
  <c r="P62" i="10" s="1"/>
  <c r="AA37" i="1"/>
  <c r="L38" i="13"/>
  <c r="F37" i="11"/>
  <c r="E38" i="13"/>
  <c r="Y37" i="1"/>
  <c r="AD37" i="1"/>
  <c r="H37" i="13"/>
  <c r="E35" i="11"/>
  <c r="I37" i="13" s="1"/>
  <c r="R37" i="1"/>
  <c r="Q37" i="1" s="1"/>
  <c r="P37" i="1" s="1"/>
  <c r="O37" i="1" s="1"/>
  <c r="N37" i="1" s="1"/>
  <c r="O62" i="10" l="1"/>
  <c r="N62" i="10" s="1"/>
  <c r="M62" i="10" s="1"/>
  <c r="L62" i="10" s="1"/>
  <c r="H63" i="10" s="1"/>
  <c r="J64" i="10" s="1"/>
  <c r="M37" i="1"/>
  <c r="AB37" i="1" s="1"/>
  <c r="AC37" i="1" s="1"/>
  <c r="F38" i="13"/>
  <c r="G63" i="10" l="1"/>
  <c r="F63" i="10" s="1"/>
  <c r="E63" i="10" s="1"/>
  <c r="D63" i="10" s="1"/>
  <c r="AF37" i="1"/>
  <c r="N38" i="13" s="1"/>
  <c r="M38" i="13"/>
  <c r="C37" i="31"/>
  <c r="B37" i="31"/>
  <c r="G38" i="13"/>
  <c r="E37" i="31"/>
  <c r="F38" i="1"/>
  <c r="G38" i="1"/>
  <c r="AG37" i="1"/>
  <c r="I64" i="10" l="1"/>
  <c r="P63" i="10" s="1"/>
  <c r="K63" i="10"/>
  <c r="D37" i="31"/>
  <c r="C36" i="11"/>
  <c r="E38" i="1"/>
  <c r="D38" i="1" s="1"/>
  <c r="O63" i="10" l="1"/>
  <c r="N63" i="10" s="1"/>
  <c r="M63" i="10" s="1"/>
  <c r="L63" i="10" s="1"/>
  <c r="H64" i="10" s="1"/>
  <c r="J65" i="10" s="1"/>
  <c r="K38" i="13"/>
  <c r="G36" i="11"/>
  <c r="H36" i="11" s="1"/>
  <c r="J38" i="13" s="1"/>
  <c r="D36" i="11"/>
  <c r="O38" i="13"/>
  <c r="H37" i="31"/>
  <c r="Q38" i="13" s="1"/>
  <c r="F37" i="31"/>
  <c r="P38" i="13" s="1"/>
  <c r="L38" i="1"/>
  <c r="X38" i="1"/>
  <c r="C39" i="13"/>
  <c r="A37" i="11"/>
  <c r="B39" i="13"/>
  <c r="C38" i="1"/>
  <c r="D39" i="13" s="1"/>
  <c r="H39" i="1"/>
  <c r="I39" i="1"/>
  <c r="G64" i="10" l="1"/>
  <c r="F64" i="10" s="1"/>
  <c r="E64" i="10" s="1"/>
  <c r="D64" i="10" s="1"/>
  <c r="R38" i="1"/>
  <c r="Q38" i="1" s="1"/>
  <c r="P38" i="1" s="1"/>
  <c r="O38" i="1" s="1"/>
  <c r="N38" i="1" s="1"/>
  <c r="L39" i="13"/>
  <c r="AA38" i="1"/>
  <c r="Y38" i="1"/>
  <c r="E39" i="13"/>
  <c r="AD38" i="1"/>
  <c r="F38" i="11"/>
  <c r="H38" i="13"/>
  <c r="E36" i="11"/>
  <c r="I38" i="13" s="1"/>
  <c r="I65" i="10" l="1"/>
  <c r="P64" i="10" s="1"/>
  <c r="K64" i="10"/>
  <c r="M38" i="1"/>
  <c r="F39" i="13"/>
  <c r="O64" i="10" l="1"/>
  <c r="N64" i="10" s="1"/>
  <c r="M64" i="10" s="1"/>
  <c r="L64" i="10" s="1"/>
  <c r="H65" i="10" s="1"/>
  <c r="J66" i="10" s="1"/>
  <c r="AB38" i="1"/>
  <c r="AC38" i="1" s="1"/>
  <c r="M39" i="13" s="1"/>
  <c r="E38" i="31"/>
  <c r="G39" i="13"/>
  <c r="G65" i="10" l="1"/>
  <c r="F65" i="10" s="1"/>
  <c r="E65" i="10" s="1"/>
  <c r="D65" i="10" s="1"/>
  <c r="G39" i="1"/>
  <c r="F39" i="1"/>
  <c r="C38" i="31"/>
  <c r="B38" i="31"/>
  <c r="AF38" i="1"/>
  <c r="N39" i="13" s="1"/>
  <c r="AG38" i="1"/>
  <c r="I66" i="10" l="1"/>
  <c r="P65" i="10" s="1"/>
  <c r="K65" i="10"/>
  <c r="D38" i="31"/>
  <c r="O39" i="13" s="1"/>
  <c r="C37" i="11"/>
  <c r="E39" i="1"/>
  <c r="D39" i="1" s="1"/>
  <c r="O65" i="10" l="1"/>
  <c r="N65" i="10" s="1"/>
  <c r="M65" i="10" s="1"/>
  <c r="L65" i="10" s="1"/>
  <c r="H66" i="10" s="1"/>
  <c r="J67" i="10" s="1"/>
  <c r="K39" i="13"/>
  <c r="G37" i="11"/>
  <c r="H37" i="11" s="1"/>
  <c r="J39" i="13" s="1"/>
  <c r="D37" i="11"/>
  <c r="H38" i="31"/>
  <c r="Q39" i="13" s="1"/>
  <c r="F38" i="31"/>
  <c r="P39" i="13" s="1"/>
  <c r="C40" i="13"/>
  <c r="A38" i="11"/>
  <c r="C39" i="1"/>
  <c r="D40" i="13" s="1"/>
  <c r="X39" i="1"/>
  <c r="B40" i="13"/>
  <c r="H40" i="1"/>
  <c r="L39" i="1"/>
  <c r="I40" i="1"/>
  <c r="G66" i="10" l="1"/>
  <c r="F66" i="10" s="1"/>
  <c r="E66" i="10" s="1"/>
  <c r="D66" i="10" s="1"/>
  <c r="F39" i="11"/>
  <c r="E40" i="13"/>
  <c r="Y39" i="1"/>
  <c r="AD39" i="1"/>
  <c r="R39" i="1"/>
  <c r="Q39" i="1" s="1"/>
  <c r="P39" i="1" s="1"/>
  <c r="O39" i="1" s="1"/>
  <c r="N39" i="1" s="1"/>
  <c r="AA39" i="1"/>
  <c r="L40" i="13"/>
  <c r="H39" i="13"/>
  <c r="E37" i="11"/>
  <c r="I39" i="13" s="1"/>
  <c r="I67" i="10" l="1"/>
  <c r="P66" i="10" s="1"/>
  <c r="K66" i="10"/>
  <c r="M39" i="1"/>
  <c r="F40" i="13"/>
  <c r="O66" i="10" l="1"/>
  <c r="N66" i="10" s="1"/>
  <c r="M66" i="10" s="1"/>
  <c r="L66" i="10" s="1"/>
  <c r="H67" i="10" s="1"/>
  <c r="J68" i="10" s="1"/>
  <c r="AB39" i="1"/>
  <c r="AC39" i="1" s="1"/>
  <c r="M40" i="13" s="1"/>
  <c r="E39" i="31"/>
  <c r="G40" i="13"/>
  <c r="G67" i="10" l="1"/>
  <c r="F67" i="10" s="1"/>
  <c r="E67" i="10" s="1"/>
  <c r="D67" i="10" s="1"/>
  <c r="F40" i="1"/>
  <c r="G40" i="1"/>
  <c r="C39" i="31"/>
  <c r="B39" i="31"/>
  <c r="AF39" i="1"/>
  <c r="N40" i="13" s="1"/>
  <c r="AG39" i="1"/>
  <c r="C38" i="11" s="1"/>
  <c r="I68" i="10" l="1"/>
  <c r="P67" i="10" s="1"/>
  <c r="K67" i="10"/>
  <c r="D39" i="31"/>
  <c r="G38" i="11"/>
  <c r="H38" i="11" s="1"/>
  <c r="J40" i="13" s="1"/>
  <c r="K40" i="13"/>
  <c r="D38" i="11"/>
  <c r="E40" i="1"/>
  <c r="D40" i="1" s="1"/>
  <c r="O67" i="10" l="1"/>
  <c r="N67" i="10" s="1"/>
  <c r="M67" i="10" s="1"/>
  <c r="L67" i="10" s="1"/>
  <c r="H68" i="10" s="1"/>
  <c r="J69" i="10" s="1"/>
  <c r="F39" i="31"/>
  <c r="P40" i="13" s="1"/>
  <c r="O40" i="13"/>
  <c r="H39" i="31"/>
  <c r="Q40" i="13" s="1"/>
  <c r="B41" i="13"/>
  <c r="C41" i="13"/>
  <c r="X40" i="1"/>
  <c r="A39" i="11"/>
  <c r="C40" i="1"/>
  <c r="D41" i="13" s="1"/>
  <c r="I41" i="1"/>
  <c r="L40" i="1"/>
  <c r="H41" i="1"/>
  <c r="H40" i="13"/>
  <c r="E38" i="11"/>
  <c r="I40" i="13" s="1"/>
  <c r="G68" i="10" l="1"/>
  <c r="F68" i="10" s="1"/>
  <c r="E68" i="10" s="1"/>
  <c r="D68" i="10" s="1"/>
  <c r="AA40" i="1"/>
  <c r="R40" i="1"/>
  <c r="Q40" i="1" s="1"/>
  <c r="P40" i="1" s="1"/>
  <c r="O40" i="1" s="1"/>
  <c r="N40" i="1" s="1"/>
  <c r="Y40" i="1"/>
  <c r="E41" i="13"/>
  <c r="AD40" i="1"/>
  <c r="F40" i="11"/>
  <c r="L41" i="13"/>
  <c r="I69" i="10" l="1"/>
  <c r="K68" i="10"/>
  <c r="P68" i="10"/>
  <c r="M40" i="1"/>
  <c r="F41" i="13"/>
  <c r="O68" i="10" l="1"/>
  <c r="N68" i="10" s="1"/>
  <c r="M68" i="10" s="1"/>
  <c r="L68" i="10" s="1"/>
  <c r="H69" i="10" s="1"/>
  <c r="J70" i="10" s="1"/>
  <c r="AB40" i="1"/>
  <c r="AC40" i="1" s="1"/>
  <c r="M41" i="13" s="1"/>
  <c r="E40" i="31"/>
  <c r="G41" i="13"/>
  <c r="AG40" i="1"/>
  <c r="G69" i="10" l="1"/>
  <c r="F69" i="10" s="1"/>
  <c r="E69" i="10" s="1"/>
  <c r="D69" i="10" s="1"/>
  <c r="F41" i="1"/>
  <c r="G41" i="1"/>
  <c r="C39" i="11"/>
  <c r="B40" i="31"/>
  <c r="C40" i="31"/>
  <c r="AF40" i="1"/>
  <c r="N41" i="13" s="1"/>
  <c r="I70" i="10" l="1"/>
  <c r="P69" i="10" s="1"/>
  <c r="K69" i="10"/>
  <c r="E41" i="1"/>
  <c r="D41" i="1" s="1"/>
  <c r="C41" i="1" s="1"/>
  <c r="D42" i="13" s="1"/>
  <c r="D40" i="31"/>
  <c r="K41" i="13"/>
  <c r="G39" i="11"/>
  <c r="H39" i="11" s="1"/>
  <c r="J41" i="13" s="1"/>
  <c r="D39" i="11"/>
  <c r="O69" i="10" l="1"/>
  <c r="N69" i="10" s="1"/>
  <c r="M69" i="10" s="1"/>
  <c r="L69" i="10" s="1"/>
  <c r="H70" i="10" s="1"/>
  <c r="J71" i="10" s="1"/>
  <c r="H42" i="1"/>
  <c r="B42" i="13"/>
  <c r="X41" i="1"/>
  <c r="I42" i="1"/>
  <c r="C42" i="13"/>
  <c r="A40" i="11"/>
  <c r="L42" i="13" s="1"/>
  <c r="L41" i="1"/>
  <c r="F41" i="11" s="1"/>
  <c r="H40" i="31"/>
  <c r="Q41" i="13" s="1"/>
  <c r="O41" i="13"/>
  <c r="F40" i="31"/>
  <c r="P41" i="13" s="1"/>
  <c r="H41" i="13"/>
  <c r="E39" i="11"/>
  <c r="I41" i="13" s="1"/>
  <c r="G70" i="10" l="1"/>
  <c r="F70" i="10" s="1"/>
  <c r="E70" i="10" s="1"/>
  <c r="R41" i="1"/>
  <c r="Q41" i="1" s="1"/>
  <c r="P41" i="1" s="1"/>
  <c r="O41" i="1" s="1"/>
  <c r="N41" i="1" s="1"/>
  <c r="F42" i="13" s="1"/>
  <c r="AA41" i="1"/>
  <c r="E42" i="13"/>
  <c r="AD41" i="1"/>
  <c r="Y41" i="1"/>
  <c r="D70" i="10"/>
  <c r="K70" i="10"/>
  <c r="I71" i="10"/>
  <c r="M41" i="1" l="1"/>
  <c r="G42" i="13" s="1"/>
  <c r="P70" i="10"/>
  <c r="O70" i="10" s="1"/>
  <c r="N70" i="10" s="1"/>
  <c r="M70" i="10" s="1"/>
  <c r="L70" i="10" s="1"/>
  <c r="H71" i="10" s="1"/>
  <c r="J72" i="10" s="1"/>
  <c r="E41" i="31" l="1"/>
  <c r="AB41" i="1"/>
  <c r="AC41" i="1" s="1"/>
  <c r="M42" i="13" s="1"/>
  <c r="G71" i="10"/>
  <c r="F71" i="10" s="1"/>
  <c r="E71" i="10" s="1"/>
  <c r="G42" i="1"/>
  <c r="F42" i="1"/>
  <c r="AG41" i="1"/>
  <c r="AF41" i="1" l="1"/>
  <c r="N42" i="13" s="1"/>
  <c r="B41" i="31"/>
  <c r="C41" i="31"/>
  <c r="D71" i="10"/>
  <c r="K71" i="10"/>
  <c r="I72" i="10"/>
  <c r="C40" i="11"/>
  <c r="E42" i="1"/>
  <c r="D42" i="1" s="1"/>
  <c r="D41" i="31" l="1"/>
  <c r="H41" i="31" s="1"/>
  <c r="Q42" i="13" s="1"/>
  <c r="P71" i="10"/>
  <c r="O71" i="10" s="1"/>
  <c r="N71" i="10" s="1"/>
  <c r="M71" i="10" s="1"/>
  <c r="L71" i="10" s="1"/>
  <c r="H72" i="10" s="1"/>
  <c r="J73" i="10" s="1"/>
  <c r="O42" i="13"/>
  <c r="I43" i="1"/>
  <c r="X42" i="1"/>
  <c r="B43" i="13"/>
  <c r="A41" i="11"/>
  <c r="C43" i="13"/>
  <c r="C42" i="1"/>
  <c r="D43" i="13" s="1"/>
  <c r="H43" i="1"/>
  <c r="L42" i="1"/>
  <c r="K42" i="13"/>
  <c r="G40" i="11"/>
  <c r="H40" i="11" s="1"/>
  <c r="J42" i="13" s="1"/>
  <c r="D40" i="11"/>
  <c r="F41" i="31" l="1"/>
  <c r="P42" i="13" s="1"/>
  <c r="G72" i="10"/>
  <c r="F72" i="10" s="1"/>
  <c r="E72" i="10" s="1"/>
  <c r="Y42" i="1"/>
  <c r="E43" i="13"/>
  <c r="AD42" i="1"/>
  <c r="F42" i="11"/>
  <c r="E40" i="11"/>
  <c r="I42" i="13" s="1"/>
  <c r="H42" i="13"/>
  <c r="R42" i="1"/>
  <c r="Q42" i="1" s="1"/>
  <c r="P42" i="1" s="1"/>
  <c r="O42" i="1" s="1"/>
  <c r="N42" i="1" s="1"/>
  <c r="B41" i="11"/>
  <c r="L43" i="13"/>
  <c r="AA42" i="1"/>
  <c r="D72" i="10" l="1"/>
  <c r="K72" i="10"/>
  <c r="I73" i="10"/>
  <c r="F43" i="13"/>
  <c r="M42" i="1"/>
  <c r="P72" i="10" l="1"/>
  <c r="O72" i="10" s="1"/>
  <c r="N72" i="10" s="1"/>
  <c r="M72" i="10" s="1"/>
  <c r="L72" i="10" s="1"/>
  <c r="H73" i="10" s="1"/>
  <c r="J74" i="10" s="1"/>
  <c r="G43" i="13"/>
  <c r="E42" i="31"/>
  <c r="AB42" i="1"/>
  <c r="AC42" i="1" s="1"/>
  <c r="M43" i="13" s="1"/>
  <c r="G73" i="10" l="1"/>
  <c r="F73" i="10" s="1"/>
  <c r="E73" i="10" s="1"/>
  <c r="F43" i="1"/>
  <c r="G43" i="1"/>
  <c r="B42" i="31"/>
  <c r="C42" i="31"/>
  <c r="AF42" i="1"/>
  <c r="N43" i="13" s="1"/>
  <c r="AG42" i="1"/>
  <c r="D73" i="10" l="1"/>
  <c r="K73" i="10"/>
  <c r="I74" i="10"/>
  <c r="D42" i="31"/>
  <c r="F42" i="31" s="1"/>
  <c r="P43" i="13" s="1"/>
  <c r="C41" i="11"/>
  <c r="E43" i="1"/>
  <c r="D43" i="1" s="1"/>
  <c r="P73" i="10" l="1"/>
  <c r="O73" i="10" s="1"/>
  <c r="N73" i="10" s="1"/>
  <c r="M73" i="10" s="1"/>
  <c r="L73" i="10" s="1"/>
  <c r="H74" i="10" s="1"/>
  <c r="J75" i="10" s="1"/>
  <c r="O43" i="13"/>
  <c r="H42" i="31"/>
  <c r="Q43" i="13" s="1"/>
  <c r="A42" i="11"/>
  <c r="C44" i="13"/>
  <c r="C43" i="1"/>
  <c r="D44" i="13" s="1"/>
  <c r="X43" i="1"/>
  <c r="B44" i="13"/>
  <c r="L43" i="1"/>
  <c r="I44" i="1"/>
  <c r="H44" i="1"/>
  <c r="D41" i="11"/>
  <c r="K43" i="13"/>
  <c r="G41" i="11"/>
  <c r="H41" i="11" s="1"/>
  <c r="J43" i="13" s="1"/>
  <c r="G74" i="10" l="1"/>
  <c r="F74" i="10" s="1"/>
  <c r="E74" i="10" s="1"/>
  <c r="AA43" i="1"/>
  <c r="H43" i="13"/>
  <c r="E41" i="11"/>
  <c r="I43" i="13" s="1"/>
  <c r="R43" i="1"/>
  <c r="Q43" i="1" s="1"/>
  <c r="P43" i="1" s="1"/>
  <c r="O43" i="1" s="1"/>
  <c r="N43" i="1" s="1"/>
  <c r="L44" i="13"/>
  <c r="B42" i="11"/>
  <c r="Y43" i="1"/>
  <c r="E44" i="13"/>
  <c r="F43" i="11"/>
  <c r="AD43" i="1"/>
  <c r="D74" i="10" l="1"/>
  <c r="K74" i="10"/>
  <c r="I75" i="10"/>
  <c r="M43" i="1"/>
  <c r="F44" i="13"/>
  <c r="P74" i="10" l="1"/>
  <c r="O74" i="10" s="1"/>
  <c r="N74" i="10" s="1"/>
  <c r="M74" i="10" s="1"/>
  <c r="L74" i="10" s="1"/>
  <c r="H75" i="10" s="1"/>
  <c r="J76" i="10" s="1"/>
  <c r="AB43" i="1"/>
  <c r="AC43" i="1" s="1"/>
  <c r="M44" i="13" s="1"/>
  <c r="E43" i="31"/>
  <c r="G44" i="13"/>
  <c r="G75" i="10" l="1"/>
  <c r="F75" i="10" s="1"/>
  <c r="E75" i="10" s="1"/>
  <c r="G44" i="1"/>
  <c r="F44" i="1"/>
  <c r="B43" i="31"/>
  <c r="C43" i="31"/>
  <c r="AF43" i="1"/>
  <c r="N44" i="13" s="1"/>
  <c r="AG43" i="1"/>
  <c r="C42" i="11" s="1"/>
  <c r="D75" i="10" l="1"/>
  <c r="K75" i="10"/>
  <c r="I76" i="10"/>
  <c r="D43" i="31"/>
  <c r="H43" i="31" s="1"/>
  <c r="Q44" i="13" s="1"/>
  <c r="K44" i="13"/>
  <c r="G42" i="11"/>
  <c r="H42" i="11" s="1"/>
  <c r="J44" i="13" s="1"/>
  <c r="D42" i="11"/>
  <c r="E44" i="1"/>
  <c r="D44" i="1" s="1"/>
  <c r="P75" i="10" l="1"/>
  <c r="O75" i="10" s="1"/>
  <c r="N75" i="10" s="1"/>
  <c r="M75" i="10" s="1"/>
  <c r="L75" i="10" s="1"/>
  <c r="H76" i="10" s="1"/>
  <c r="J77" i="10" s="1"/>
  <c r="O44" i="13"/>
  <c r="F43" i="31"/>
  <c r="P44" i="13" s="1"/>
  <c r="H44" i="13"/>
  <c r="E42" i="11"/>
  <c r="I44" i="13" s="1"/>
  <c r="C45" i="13"/>
  <c r="A43" i="11"/>
  <c r="X44" i="1"/>
  <c r="B45" i="13"/>
  <c r="C44" i="1"/>
  <c r="D45" i="13" s="1"/>
  <c r="H45" i="1"/>
  <c r="L44" i="1"/>
  <c r="I45" i="1"/>
  <c r="G76" i="10" l="1"/>
  <c r="F76" i="10" s="1"/>
  <c r="E76" i="10" s="1"/>
  <c r="AD44" i="1"/>
  <c r="E45" i="13"/>
  <c r="Y44" i="1"/>
  <c r="F44" i="11"/>
  <c r="R44" i="1"/>
  <c r="Q44" i="1" s="1"/>
  <c r="P44" i="1" s="1"/>
  <c r="O44" i="1" s="1"/>
  <c r="N44" i="1" s="1"/>
  <c r="AA44" i="1"/>
  <c r="B43" i="11"/>
  <c r="L45" i="13"/>
  <c r="D76" i="10" l="1"/>
  <c r="K76" i="10"/>
  <c r="I77" i="10"/>
  <c r="F45" i="13"/>
  <c r="M44" i="1"/>
  <c r="P76" i="10" l="1"/>
  <c r="O76" i="10" s="1"/>
  <c r="N76" i="10" s="1"/>
  <c r="M76" i="10" s="1"/>
  <c r="L76" i="10" s="1"/>
  <c r="H77" i="10" s="1"/>
  <c r="J78" i="10" s="1"/>
  <c r="AB44" i="1"/>
  <c r="AC44" i="1" s="1"/>
  <c r="M45" i="13" s="1"/>
  <c r="G45" i="13"/>
  <c r="E44" i="31"/>
  <c r="G77" i="10" l="1"/>
  <c r="F77" i="10" s="1"/>
  <c r="E77" i="10" s="1"/>
  <c r="F45" i="1"/>
  <c r="G45" i="1"/>
  <c r="B44" i="31"/>
  <c r="C44" i="31"/>
  <c r="AF44" i="1"/>
  <c r="N45" i="13" s="1"/>
  <c r="AG44" i="1"/>
  <c r="C43" i="11" s="1"/>
  <c r="D77" i="10" l="1"/>
  <c r="K77" i="10"/>
  <c r="I78" i="10"/>
  <c r="D44" i="31"/>
  <c r="K45" i="13"/>
  <c r="G43" i="11"/>
  <c r="H43" i="11" s="1"/>
  <c r="J45" i="13" s="1"/>
  <c r="D43" i="11"/>
  <c r="E45" i="1"/>
  <c r="D45" i="1" s="1"/>
  <c r="P77" i="10" l="1"/>
  <c r="O77" i="10" s="1"/>
  <c r="N77" i="10" s="1"/>
  <c r="M77" i="10" s="1"/>
  <c r="L77" i="10" s="1"/>
  <c r="H78" i="10" s="1"/>
  <c r="J79" i="10" s="1"/>
  <c r="F44" i="31"/>
  <c r="P45" i="13" s="1"/>
  <c r="O45" i="13"/>
  <c r="H44" i="31"/>
  <c r="Q45" i="13" s="1"/>
  <c r="B46" i="13"/>
  <c r="X45" i="1"/>
  <c r="A44" i="11"/>
  <c r="C46" i="13"/>
  <c r="C45" i="1"/>
  <c r="D46" i="13" s="1"/>
  <c r="I46" i="1"/>
  <c r="H46" i="1"/>
  <c r="L45" i="1"/>
  <c r="H45" i="13"/>
  <c r="E43" i="11"/>
  <c r="I45" i="13" s="1"/>
  <c r="G78" i="10" l="1"/>
  <c r="F78" i="10" s="1"/>
  <c r="E78" i="10" s="1"/>
  <c r="AA45" i="1"/>
  <c r="E46" i="13"/>
  <c r="Y45" i="1"/>
  <c r="F45" i="11"/>
  <c r="AD45" i="1"/>
  <c r="R45" i="1"/>
  <c r="Q45" i="1" s="1"/>
  <c r="P45" i="1" s="1"/>
  <c r="O45" i="1" s="1"/>
  <c r="N45" i="1" s="1"/>
  <c r="B44" i="11"/>
  <c r="L46" i="13"/>
  <c r="D78" i="10" l="1"/>
  <c r="K78" i="10"/>
  <c r="I79" i="10"/>
  <c r="M45" i="1"/>
  <c r="F46" i="13"/>
  <c r="P78" i="10" l="1"/>
  <c r="O78" i="10" s="1"/>
  <c r="N78" i="10" s="1"/>
  <c r="M78" i="10" s="1"/>
  <c r="L78" i="10" s="1"/>
  <c r="H79" i="10" s="1"/>
  <c r="J80" i="10" s="1"/>
  <c r="AB45" i="1"/>
  <c r="AC45" i="1" s="1"/>
  <c r="M46" i="13" s="1"/>
  <c r="E45" i="31"/>
  <c r="G46" i="13"/>
  <c r="G79" i="10" l="1"/>
  <c r="F79" i="10" s="1"/>
  <c r="E79" i="10" s="1"/>
  <c r="G46" i="1"/>
  <c r="F46" i="1"/>
  <c r="B45" i="31"/>
  <c r="C45" i="31"/>
  <c r="AF45" i="1"/>
  <c r="N46" i="13" s="1"/>
  <c r="AG45" i="1"/>
  <c r="D79" i="10" l="1"/>
  <c r="K79" i="10"/>
  <c r="I80" i="10"/>
  <c r="D45" i="31"/>
  <c r="C44" i="11"/>
  <c r="E46" i="1"/>
  <c r="D46" i="1" s="1"/>
  <c r="P79" i="10" l="1"/>
  <c r="O79" i="10" s="1"/>
  <c r="N79" i="10" s="1"/>
  <c r="M79" i="10" s="1"/>
  <c r="L79" i="10" s="1"/>
  <c r="H80" i="10" s="1"/>
  <c r="J81" i="10" s="1"/>
  <c r="H45" i="31"/>
  <c r="Q46" i="13" s="1"/>
  <c r="O46" i="13"/>
  <c r="F45" i="31"/>
  <c r="P46" i="13" s="1"/>
  <c r="C46" i="1"/>
  <c r="D47" i="13" s="1"/>
  <c r="C47" i="13"/>
  <c r="A45" i="11"/>
  <c r="X46" i="1"/>
  <c r="B47" i="13"/>
  <c r="L46" i="1"/>
  <c r="I47" i="1"/>
  <c r="H47" i="1"/>
  <c r="G44" i="11"/>
  <c r="H44" i="11" s="1"/>
  <c r="J46" i="13" s="1"/>
  <c r="K46" i="13"/>
  <c r="D44" i="11"/>
  <c r="G80" i="10" l="1"/>
  <c r="F80" i="10" s="1"/>
  <c r="E80" i="10" s="1"/>
  <c r="AA46" i="1"/>
  <c r="R46" i="1"/>
  <c r="Q46" i="1" s="1"/>
  <c r="P46" i="1" s="1"/>
  <c r="O46" i="1" s="1"/>
  <c r="N46" i="1" s="1"/>
  <c r="H46" i="13"/>
  <c r="E44" i="11"/>
  <c r="I46" i="13" s="1"/>
  <c r="E47" i="13"/>
  <c r="Y46" i="1"/>
  <c r="AD46" i="1"/>
  <c r="F46" i="11"/>
  <c r="L47" i="13"/>
  <c r="B45" i="11"/>
  <c r="D80" i="10" l="1"/>
  <c r="K80" i="10"/>
  <c r="I81" i="10"/>
  <c r="M46" i="1"/>
  <c r="F47" i="13"/>
  <c r="P80" i="10" l="1"/>
  <c r="O80" i="10" s="1"/>
  <c r="N80" i="10" s="1"/>
  <c r="M80" i="10" s="1"/>
  <c r="L80" i="10" s="1"/>
  <c r="H81" i="10" s="1"/>
  <c r="J82" i="10" s="1"/>
  <c r="AB46" i="1"/>
  <c r="AC46" i="1" s="1"/>
  <c r="M47" i="13" s="1"/>
  <c r="E46" i="31"/>
  <c r="G47" i="13"/>
  <c r="G81" i="10" l="1"/>
  <c r="F81" i="10" s="1"/>
  <c r="E81" i="10" s="1"/>
  <c r="F47" i="1"/>
  <c r="G47" i="1"/>
  <c r="B46" i="31"/>
  <c r="C46" i="31"/>
  <c r="AF46" i="1"/>
  <c r="N47" i="13" s="1"/>
  <c r="AG46" i="1"/>
  <c r="D81" i="10" l="1"/>
  <c r="K81" i="10"/>
  <c r="I82" i="10"/>
  <c r="D46" i="31"/>
  <c r="F46" i="31" s="1"/>
  <c r="P47" i="13" s="1"/>
  <c r="C45" i="11"/>
  <c r="E47" i="1"/>
  <c r="D47" i="1" s="1"/>
  <c r="O47" i="13"/>
  <c r="P81" i="10" l="1"/>
  <c r="O81" i="10" s="1"/>
  <c r="N81" i="10" s="1"/>
  <c r="M81" i="10" s="1"/>
  <c r="L81" i="10" s="1"/>
  <c r="H82" i="10" s="1"/>
  <c r="J83" i="10" s="1"/>
  <c r="H46" i="31"/>
  <c r="Q47" i="13" s="1"/>
  <c r="A46" i="11"/>
  <c r="C47" i="1"/>
  <c r="D48" i="13" s="1"/>
  <c r="C48" i="13"/>
  <c r="B48" i="13"/>
  <c r="X47" i="1"/>
  <c r="I48" i="1"/>
  <c r="H48" i="1"/>
  <c r="L47" i="1"/>
  <c r="K47" i="13"/>
  <c r="G45" i="11"/>
  <c r="H45" i="11" s="1"/>
  <c r="J47" i="13" s="1"/>
  <c r="D45" i="11"/>
  <c r="G82" i="10" l="1"/>
  <c r="F82" i="10" s="1"/>
  <c r="E82" i="10" s="1"/>
  <c r="AA47" i="1"/>
  <c r="Y47" i="1"/>
  <c r="E48" i="13"/>
  <c r="F47" i="11"/>
  <c r="AD47" i="1"/>
  <c r="B46" i="11"/>
  <c r="L48" i="13"/>
  <c r="E45" i="11"/>
  <c r="I47" i="13" s="1"/>
  <c r="H47" i="13"/>
  <c r="R47" i="1"/>
  <c r="Q47" i="1" s="1"/>
  <c r="P47" i="1" s="1"/>
  <c r="O47" i="1" s="1"/>
  <c r="N47" i="1" s="1"/>
  <c r="D82" i="10" l="1"/>
  <c r="K82" i="10"/>
  <c r="I83" i="10"/>
  <c r="F48" i="13"/>
  <c r="M47" i="1"/>
  <c r="AB47" i="1" s="1"/>
  <c r="AC47" i="1" s="1"/>
  <c r="P82" i="10" l="1"/>
  <c r="O82" i="10" s="1"/>
  <c r="N82" i="10" s="1"/>
  <c r="M82" i="10" s="1"/>
  <c r="L82" i="10" s="1"/>
  <c r="H83" i="10" s="1"/>
  <c r="J84" i="10" s="1"/>
  <c r="AF47" i="1"/>
  <c r="N48" i="13" s="1"/>
  <c r="M48" i="13"/>
  <c r="B47" i="31"/>
  <c r="C47" i="31"/>
  <c r="E47" i="31"/>
  <c r="G48" i="13"/>
  <c r="G48" i="1"/>
  <c r="AG47" i="1"/>
  <c r="F48" i="1"/>
  <c r="G83" i="10" l="1"/>
  <c r="F83" i="10" s="1"/>
  <c r="E83" i="10" s="1"/>
  <c r="D47" i="31"/>
  <c r="C46" i="11"/>
  <c r="E48" i="1"/>
  <c r="D48" i="1" s="1"/>
  <c r="D83" i="10" l="1"/>
  <c r="K83" i="10"/>
  <c r="I84" i="10"/>
  <c r="H47" i="31"/>
  <c r="Q48" i="13" s="1"/>
  <c r="O48" i="13"/>
  <c r="F47" i="31"/>
  <c r="P48" i="13" s="1"/>
  <c r="G46" i="11"/>
  <c r="H46" i="11" s="1"/>
  <c r="J48" i="13" s="1"/>
  <c r="K48" i="13"/>
  <c r="D46" i="11"/>
  <c r="X48" i="1"/>
  <c r="A47" i="11"/>
  <c r="C48" i="1"/>
  <c r="D49" i="13" s="1"/>
  <c r="B49" i="13"/>
  <c r="C49" i="13"/>
  <c r="L48" i="1"/>
  <c r="I49" i="1"/>
  <c r="H49" i="1"/>
  <c r="P83" i="10" l="1"/>
  <c r="O83" i="10" s="1"/>
  <c r="N83" i="10" s="1"/>
  <c r="M83" i="10" s="1"/>
  <c r="L83" i="10" s="1"/>
  <c r="H84" i="10" s="1"/>
  <c r="J85" i="10" s="1"/>
  <c r="AA48" i="1"/>
  <c r="Y48" i="1"/>
  <c r="E49" i="13"/>
  <c r="F48" i="11"/>
  <c r="AD48" i="1"/>
  <c r="B47" i="11"/>
  <c r="L49" i="13"/>
  <c r="R48" i="1"/>
  <c r="Q48" i="1" s="1"/>
  <c r="P48" i="1" s="1"/>
  <c r="O48" i="1" s="1"/>
  <c r="N48" i="1" s="1"/>
  <c r="E46" i="11"/>
  <c r="I48" i="13" s="1"/>
  <c r="H48" i="13"/>
  <c r="G84" i="10" l="1"/>
  <c r="F84" i="10" s="1"/>
  <c r="E84" i="10" s="1"/>
  <c r="F49" i="13"/>
  <c r="M48" i="1"/>
  <c r="D84" i="10" l="1"/>
  <c r="K84" i="10"/>
  <c r="I85" i="10"/>
  <c r="G49" i="13"/>
  <c r="E48" i="31"/>
  <c r="AB48" i="1"/>
  <c r="AC48" i="1" s="1"/>
  <c r="M49" i="13" s="1"/>
  <c r="P84" i="10" l="1"/>
  <c r="O84" i="10" s="1"/>
  <c r="N84" i="10" s="1"/>
  <c r="M84" i="10" s="1"/>
  <c r="L84" i="10" s="1"/>
  <c r="H85" i="10" s="1"/>
  <c r="J86" i="10" s="1"/>
  <c r="G49" i="1"/>
  <c r="F49" i="1"/>
  <c r="AG48" i="1"/>
  <c r="B48" i="31"/>
  <c r="C48" i="31"/>
  <c r="AF48" i="1"/>
  <c r="N49" i="13" s="1"/>
  <c r="G85" i="10" l="1"/>
  <c r="F85" i="10" s="1"/>
  <c r="E85" i="10" s="1"/>
  <c r="C47" i="11"/>
  <c r="E49" i="1"/>
  <c r="D49" i="1" s="1"/>
  <c r="D48" i="31"/>
  <c r="O49" i="13" s="1"/>
  <c r="D85" i="10" l="1"/>
  <c r="K85" i="10"/>
  <c r="I86" i="10"/>
  <c r="B50" i="13"/>
  <c r="C49" i="1"/>
  <c r="D50" i="13" s="1"/>
  <c r="C50" i="13"/>
  <c r="X49" i="1"/>
  <c r="A48" i="11"/>
  <c r="L49" i="1"/>
  <c r="H50" i="1"/>
  <c r="I50" i="1"/>
  <c r="K49" i="13"/>
  <c r="G47" i="11"/>
  <c r="H47" i="11" s="1"/>
  <c r="J49" i="13" s="1"/>
  <c r="D47" i="11"/>
  <c r="F48" i="31"/>
  <c r="P49" i="13" s="1"/>
  <c r="H48" i="31"/>
  <c r="Q49" i="13" s="1"/>
  <c r="P85" i="10" l="1"/>
  <c r="O85" i="10" s="1"/>
  <c r="N85" i="10" s="1"/>
  <c r="M85" i="10" s="1"/>
  <c r="L85" i="10" s="1"/>
  <c r="H86" i="10" s="1"/>
  <c r="J87" i="10" s="1"/>
  <c r="AA49" i="1"/>
  <c r="L50" i="13"/>
  <c r="B48" i="11"/>
  <c r="H49" i="13"/>
  <c r="E47" i="11"/>
  <c r="I49" i="13" s="1"/>
  <c r="R49" i="1"/>
  <c r="Q49" i="1" s="1"/>
  <c r="P49" i="1" s="1"/>
  <c r="O49" i="1" s="1"/>
  <c r="N49" i="1" s="1"/>
  <c r="Y49" i="1"/>
  <c r="E50" i="13"/>
  <c r="AD49" i="1"/>
  <c r="F49" i="11"/>
  <c r="G86" i="10" l="1"/>
  <c r="F86" i="10" s="1"/>
  <c r="E86" i="10" s="1"/>
  <c r="M49" i="1"/>
  <c r="F50" i="13"/>
  <c r="D86" i="10" l="1"/>
  <c r="K86" i="10"/>
  <c r="I87" i="10"/>
  <c r="E49" i="31"/>
  <c r="G50" i="13"/>
  <c r="AB49" i="1"/>
  <c r="AC49" i="1" s="1"/>
  <c r="M50" i="13" s="1"/>
  <c r="P86" i="10" l="1"/>
  <c r="O86" i="10" s="1"/>
  <c r="N86" i="10" s="1"/>
  <c r="M86" i="10" s="1"/>
  <c r="L86" i="10" s="1"/>
  <c r="H87" i="10" s="1"/>
  <c r="J88" i="10" s="1"/>
  <c r="G50" i="1"/>
  <c r="F50" i="1"/>
  <c r="B49" i="31"/>
  <c r="C49" i="31"/>
  <c r="AF49" i="1"/>
  <c r="N50" i="13" s="1"/>
  <c r="AG49" i="1"/>
  <c r="G87" i="10" l="1"/>
  <c r="F87" i="10" s="1"/>
  <c r="E87" i="10" s="1"/>
  <c r="D49" i="31"/>
  <c r="C48" i="11"/>
  <c r="E50" i="1"/>
  <c r="D50" i="1" s="1"/>
  <c r="D87" i="10" l="1"/>
  <c r="K87" i="10"/>
  <c r="I88" i="10"/>
  <c r="H49" i="31"/>
  <c r="Q50" i="13" s="1"/>
  <c r="O50" i="13"/>
  <c r="F49" i="31"/>
  <c r="P50" i="13" s="1"/>
  <c r="A49" i="11"/>
  <c r="C51" i="13"/>
  <c r="X50" i="1"/>
  <c r="B51" i="13"/>
  <c r="C50" i="1"/>
  <c r="D51" i="13" s="1"/>
  <c r="H51" i="1"/>
  <c r="I51" i="1"/>
  <c r="L50" i="1"/>
  <c r="K50" i="13"/>
  <c r="G48" i="11"/>
  <c r="H48" i="11" s="1"/>
  <c r="J50" i="13" s="1"/>
  <c r="D48" i="11"/>
  <c r="P87" i="10" l="1"/>
  <c r="O87" i="10" s="1"/>
  <c r="N87" i="10" s="1"/>
  <c r="M87" i="10" s="1"/>
  <c r="L87" i="10" s="1"/>
  <c r="H88" i="10" s="1"/>
  <c r="J89" i="10" s="1"/>
  <c r="AA50" i="1"/>
  <c r="Y50" i="1"/>
  <c r="E51" i="13"/>
  <c r="AD50" i="1"/>
  <c r="F50" i="11"/>
  <c r="L51" i="13"/>
  <c r="B49" i="11"/>
  <c r="H50" i="13"/>
  <c r="E48" i="11"/>
  <c r="I50" i="13" s="1"/>
  <c r="R50" i="1"/>
  <c r="Q50" i="1" s="1"/>
  <c r="P50" i="1" s="1"/>
  <c r="O50" i="1" s="1"/>
  <c r="N50" i="1" s="1"/>
  <c r="G88" i="10" l="1"/>
  <c r="F88" i="10" s="1"/>
  <c r="E88" i="10" s="1"/>
  <c r="F51" i="13"/>
  <c r="M50" i="1"/>
  <c r="D88" i="10" l="1"/>
  <c r="K88" i="10"/>
  <c r="I89" i="10"/>
  <c r="G51" i="13"/>
  <c r="E50" i="31"/>
  <c r="AB50" i="1"/>
  <c r="AC50" i="1" s="1"/>
  <c r="M51" i="13" s="1"/>
  <c r="P88" i="10" l="1"/>
  <c r="O88" i="10" s="1"/>
  <c r="N88" i="10" s="1"/>
  <c r="M88" i="10" s="1"/>
  <c r="L88" i="10" s="1"/>
  <c r="H89" i="10" s="1"/>
  <c r="J90" i="10" s="1"/>
  <c r="F51" i="1"/>
  <c r="G51" i="1"/>
  <c r="C50" i="31"/>
  <c r="B50" i="31"/>
  <c r="AF50" i="1"/>
  <c r="N51" i="13" s="1"/>
  <c r="AG50" i="1"/>
  <c r="G89" i="10" l="1"/>
  <c r="F89" i="10" s="1"/>
  <c r="E89" i="10" s="1"/>
  <c r="D50" i="31"/>
  <c r="C49" i="11"/>
  <c r="E51" i="1"/>
  <c r="D51" i="1" s="1"/>
  <c r="D89" i="10" l="1"/>
  <c r="K89" i="10"/>
  <c r="I90" i="10"/>
  <c r="H50" i="31"/>
  <c r="Q51" i="13" s="1"/>
  <c r="O51" i="13"/>
  <c r="F50" i="31"/>
  <c r="P51" i="13" s="1"/>
  <c r="C52" i="13"/>
  <c r="X51" i="1"/>
  <c r="B52" i="13"/>
  <c r="C51" i="1"/>
  <c r="D52" i="13" s="1"/>
  <c r="A50" i="11"/>
  <c r="L51" i="1"/>
  <c r="I52" i="1"/>
  <c r="H52" i="1"/>
  <c r="G49" i="11"/>
  <c r="H49" i="11" s="1"/>
  <c r="J51" i="13" s="1"/>
  <c r="K51" i="13"/>
  <c r="D49" i="11"/>
  <c r="P89" i="10" l="1"/>
  <c r="O89" i="10" s="1"/>
  <c r="N89" i="10" s="1"/>
  <c r="M89" i="10" s="1"/>
  <c r="L89" i="10" s="1"/>
  <c r="H90" i="10" s="1"/>
  <c r="J91" i="10" s="1"/>
  <c r="L52" i="13"/>
  <c r="B50" i="11"/>
  <c r="E49" i="11"/>
  <c r="I51" i="13" s="1"/>
  <c r="H51" i="13"/>
  <c r="E52" i="13"/>
  <c r="Y51" i="1"/>
  <c r="AD51" i="1"/>
  <c r="F51" i="11"/>
  <c r="R51" i="1"/>
  <c r="Q51" i="1" s="1"/>
  <c r="P51" i="1" s="1"/>
  <c r="O51" i="1" s="1"/>
  <c r="N51" i="1" s="1"/>
  <c r="AA51" i="1"/>
  <c r="G90" i="10" l="1"/>
  <c r="F90" i="10" s="1"/>
  <c r="E90" i="10" s="1"/>
  <c r="F52" i="13"/>
  <c r="M51" i="1"/>
  <c r="D90" i="10" l="1"/>
  <c r="K90" i="10"/>
  <c r="I91" i="10"/>
  <c r="AB51" i="1"/>
  <c r="AC51" i="1" s="1"/>
  <c r="M52" i="13" s="1"/>
  <c r="G52" i="13"/>
  <c r="E51" i="31"/>
  <c r="P90" i="10" l="1"/>
  <c r="O90" i="10" s="1"/>
  <c r="N90" i="10" s="1"/>
  <c r="M90" i="10" s="1"/>
  <c r="L90" i="10" s="1"/>
  <c r="H91" i="10" s="1"/>
  <c r="J92" i="10" s="1"/>
  <c r="G52" i="1"/>
  <c r="F52" i="1"/>
  <c r="C51" i="31"/>
  <c r="B51" i="31"/>
  <c r="AF51" i="1"/>
  <c r="N52" i="13" s="1"/>
  <c r="AG51" i="1"/>
  <c r="G91" i="10" l="1"/>
  <c r="F91" i="10" s="1"/>
  <c r="E91" i="10" s="1"/>
  <c r="D51" i="31"/>
  <c r="O52" i="13" s="1"/>
  <c r="C50" i="11"/>
  <c r="E52" i="1"/>
  <c r="D52" i="1" s="1"/>
  <c r="D91" i="10" l="1"/>
  <c r="I92" i="10"/>
  <c r="K91" i="10"/>
  <c r="K52" i="13"/>
  <c r="G50" i="11"/>
  <c r="H50" i="11" s="1"/>
  <c r="J52" i="13" s="1"/>
  <c r="D50" i="11"/>
  <c r="H51" i="31"/>
  <c r="Q52" i="13" s="1"/>
  <c r="F51" i="31"/>
  <c r="P52" i="13" s="1"/>
  <c r="C53" i="13"/>
  <c r="X52" i="1"/>
  <c r="C52" i="1"/>
  <c r="D53" i="13" s="1"/>
  <c r="A51" i="11"/>
  <c r="B53" i="13"/>
  <c r="H53" i="1"/>
  <c r="L52" i="1"/>
  <c r="I53" i="1"/>
  <c r="P91" i="10" l="1"/>
  <c r="O91" i="10" s="1"/>
  <c r="N91" i="10" s="1"/>
  <c r="M91" i="10" s="1"/>
  <c r="L91" i="10" s="1"/>
  <c r="H92" i="10" s="1"/>
  <c r="J93" i="10" s="1"/>
  <c r="E53" i="13"/>
  <c r="Y52" i="1"/>
  <c r="AD52" i="1"/>
  <c r="F52" i="11"/>
  <c r="B51" i="11"/>
  <c r="L53" i="13"/>
  <c r="R52" i="1"/>
  <c r="Q52" i="1" s="1"/>
  <c r="P52" i="1" s="1"/>
  <c r="O52" i="1" s="1"/>
  <c r="N52" i="1" s="1"/>
  <c r="AA52" i="1"/>
  <c r="H52" i="13"/>
  <c r="E50" i="11"/>
  <c r="I52" i="13" s="1"/>
  <c r="G92" i="10" l="1"/>
  <c r="F92" i="10" s="1"/>
  <c r="E92" i="10" s="1"/>
  <c r="M52" i="1"/>
  <c r="F53" i="13"/>
  <c r="D92" i="10" l="1"/>
  <c r="K92" i="10"/>
  <c r="I93" i="10"/>
  <c r="AB52" i="1"/>
  <c r="AC52" i="1" s="1"/>
  <c r="M53" i="13" s="1"/>
  <c r="G53" i="13"/>
  <c r="E52" i="31"/>
  <c r="AG52" i="1"/>
  <c r="P92" i="10" l="1"/>
  <c r="O92" i="10" s="1"/>
  <c r="N92" i="10" s="1"/>
  <c r="M92" i="10" s="1"/>
  <c r="L92" i="10" s="1"/>
  <c r="H93" i="10" s="1"/>
  <c r="J94" i="10" s="1"/>
  <c r="F53" i="1"/>
  <c r="G53" i="1"/>
  <c r="C51" i="11"/>
  <c r="C52" i="31"/>
  <c r="B52" i="31"/>
  <c r="AF52" i="1"/>
  <c r="N53" i="13" s="1"/>
  <c r="E53" i="1" l="1"/>
  <c r="D53" i="1" s="1"/>
  <c r="B54" i="13" s="1"/>
  <c r="G93" i="10"/>
  <c r="F93" i="10" s="1"/>
  <c r="E93" i="10" s="1"/>
  <c r="K53" i="13"/>
  <c r="G51" i="11"/>
  <c r="H51" i="11" s="1"/>
  <c r="J53" i="13" s="1"/>
  <c r="D51" i="11"/>
  <c r="D52" i="31"/>
  <c r="O53" i="13" s="1"/>
  <c r="L53" i="1" l="1"/>
  <c r="E54" i="13" s="1"/>
  <c r="C53" i="1"/>
  <c r="D54" i="13" s="1"/>
  <c r="I54" i="1"/>
  <c r="A52" i="11"/>
  <c r="L54" i="13" s="1"/>
  <c r="X53" i="1"/>
  <c r="C54" i="13"/>
  <c r="H54" i="1"/>
  <c r="R53" i="1" s="1"/>
  <c r="D93" i="10"/>
  <c r="I94" i="10"/>
  <c r="K93" i="10"/>
  <c r="F52" i="31"/>
  <c r="P53" i="13" s="1"/>
  <c r="H52" i="31"/>
  <c r="Q53" i="13" s="1"/>
  <c r="H53" i="13"/>
  <c r="E51" i="11"/>
  <c r="I53" i="13" s="1"/>
  <c r="AA53" i="1" l="1"/>
  <c r="B52" i="11"/>
  <c r="Y53" i="1"/>
  <c r="F53" i="11"/>
  <c r="Q53" i="1"/>
  <c r="P53" i="1" s="1"/>
  <c r="O53" i="1" s="1"/>
  <c r="N53" i="1" s="1"/>
  <c r="F54" i="13" s="1"/>
  <c r="AD53" i="1"/>
  <c r="P93" i="10"/>
  <c r="O93" i="10" s="1"/>
  <c r="N93" i="10" s="1"/>
  <c r="M93" i="10" s="1"/>
  <c r="L93" i="10" s="1"/>
  <c r="H94" i="10" s="1"/>
  <c r="J95" i="10" s="1"/>
  <c r="M53" i="1" l="1"/>
  <c r="AB53" i="1" s="1"/>
  <c r="AC53" i="1" s="1"/>
  <c r="M54" i="13" s="1"/>
  <c r="G94" i="10"/>
  <c r="F94" i="10" s="1"/>
  <c r="E94" i="10" s="1"/>
  <c r="E53" i="31" l="1"/>
  <c r="G54" i="13"/>
  <c r="D94" i="10"/>
  <c r="K94" i="10"/>
  <c r="I95" i="10"/>
  <c r="F54" i="1"/>
  <c r="G54" i="1"/>
  <c r="C53" i="31"/>
  <c r="B53" i="31"/>
  <c r="AF53" i="1"/>
  <c r="N54" i="13" s="1"/>
  <c r="AG53" i="1"/>
  <c r="C52" i="11" s="1"/>
  <c r="P94" i="10" l="1"/>
  <c r="O94" i="10" s="1"/>
  <c r="N94" i="10" s="1"/>
  <c r="M94" i="10" s="1"/>
  <c r="L94" i="10" s="1"/>
  <c r="H95" i="10" s="1"/>
  <c r="J96" i="10" s="1"/>
  <c r="D53" i="31"/>
  <c r="K54" i="13"/>
  <c r="G52" i="11"/>
  <c r="H52" i="11" s="1"/>
  <c r="J54" i="13" s="1"/>
  <c r="D52" i="11"/>
  <c r="E54" i="1"/>
  <c r="D54" i="1" s="1"/>
  <c r="G95" i="10" l="1"/>
  <c r="F95" i="10" s="1"/>
  <c r="E95" i="10" s="1"/>
  <c r="F53" i="31"/>
  <c r="P54" i="13" s="1"/>
  <c r="O54" i="13"/>
  <c r="H53" i="31"/>
  <c r="Q54" i="13" s="1"/>
  <c r="A53" i="11"/>
  <c r="B55" i="13"/>
  <c r="C54" i="1"/>
  <c r="D55" i="13" s="1"/>
  <c r="X54" i="1"/>
  <c r="C55" i="13"/>
  <c r="H55" i="1"/>
  <c r="L54" i="1"/>
  <c r="I55" i="1"/>
  <c r="H54" i="13"/>
  <c r="E52" i="11"/>
  <c r="I54" i="13" s="1"/>
  <c r="D95" i="10" l="1"/>
  <c r="I96" i="10"/>
  <c r="K95" i="10"/>
  <c r="E55" i="13"/>
  <c r="Y54" i="1"/>
  <c r="F54" i="11"/>
  <c r="AD54" i="1"/>
  <c r="R54" i="1"/>
  <c r="Q54" i="1" s="1"/>
  <c r="P54" i="1" s="1"/>
  <c r="O54" i="1" s="1"/>
  <c r="N54" i="1" s="1"/>
  <c r="AA54" i="1"/>
  <c r="B53" i="11"/>
  <c r="L55" i="13"/>
  <c r="P95" i="10" l="1"/>
  <c r="O95" i="10" s="1"/>
  <c r="N95" i="10" s="1"/>
  <c r="M95" i="10" s="1"/>
  <c r="L95" i="10" s="1"/>
  <c r="M54" i="1"/>
  <c r="AB54" i="1" s="1"/>
  <c r="AC54" i="1" s="1"/>
  <c r="M55" i="13" s="1"/>
  <c r="F55" i="13"/>
  <c r="H96" i="10" l="1"/>
  <c r="J97" i="10" s="1"/>
  <c r="G96" i="10"/>
  <c r="G55" i="13"/>
  <c r="E54" i="31"/>
  <c r="AG54" i="1"/>
  <c r="G55" i="1"/>
  <c r="F55" i="1"/>
  <c r="B54" i="31"/>
  <c r="C54" i="31"/>
  <c r="AF54" i="1"/>
  <c r="N55" i="13" s="1"/>
  <c r="F96" i="10" l="1"/>
  <c r="E96" i="10" s="1"/>
  <c r="D96" i="10" s="1"/>
  <c r="D54" i="31"/>
  <c r="C53" i="11"/>
  <c r="E55" i="1"/>
  <c r="D55" i="1" s="1"/>
  <c r="K96" i="10" l="1"/>
  <c r="I97" i="10"/>
  <c r="P96" i="10" s="1"/>
  <c r="H54" i="31"/>
  <c r="Q55" i="13" s="1"/>
  <c r="O55" i="13"/>
  <c r="F54" i="31"/>
  <c r="P55" i="13" s="1"/>
  <c r="K55" i="13"/>
  <c r="G53" i="11"/>
  <c r="H53" i="11" s="1"/>
  <c r="J55" i="13" s="1"/>
  <c r="D53" i="11"/>
  <c r="A54" i="11"/>
  <c r="B56" i="13"/>
  <c r="X55" i="1"/>
  <c r="C56" i="13"/>
  <c r="C55" i="1"/>
  <c r="D56" i="13" s="1"/>
  <c r="H56" i="1"/>
  <c r="L55" i="1"/>
  <c r="I56" i="1"/>
  <c r="O96" i="10" l="1"/>
  <c r="N96" i="10" s="1"/>
  <c r="M96" i="10" s="1"/>
  <c r="L96" i="10" s="1"/>
  <c r="G97" i="10" s="1"/>
  <c r="AA55" i="1"/>
  <c r="Y55" i="1"/>
  <c r="E56" i="13"/>
  <c r="F55" i="11"/>
  <c r="AD55" i="1"/>
  <c r="H55" i="13"/>
  <c r="E53" i="11"/>
  <c r="I55" i="13" s="1"/>
  <c r="L56" i="13"/>
  <c r="B54" i="11"/>
  <c r="R55" i="1"/>
  <c r="Q55" i="1" s="1"/>
  <c r="P55" i="1" s="1"/>
  <c r="O55" i="1" s="1"/>
  <c r="N55" i="1" s="1"/>
  <c r="H97" i="10" l="1"/>
  <c r="J98" i="10" s="1"/>
  <c r="M55" i="1"/>
  <c r="F56" i="13"/>
  <c r="F97" i="10" l="1"/>
  <c r="E97" i="10" s="1"/>
  <c r="I98" i="10" s="1"/>
  <c r="AB55" i="1"/>
  <c r="AC55" i="1" s="1"/>
  <c r="M56" i="13" s="1"/>
  <c r="G56" i="13"/>
  <c r="E55" i="31"/>
  <c r="AG55" i="1"/>
  <c r="P97" i="10" l="1"/>
  <c r="D97" i="10"/>
  <c r="K97" i="10"/>
  <c r="F56" i="1"/>
  <c r="G56" i="1"/>
  <c r="C54" i="11"/>
  <c r="C55" i="31"/>
  <c r="B55" i="31"/>
  <c r="AF55" i="1"/>
  <c r="N56" i="13" s="1"/>
  <c r="O97" i="10" l="1"/>
  <c r="N97" i="10" s="1"/>
  <c r="M97" i="10" s="1"/>
  <c r="L97" i="10" s="1"/>
  <c r="G98" i="10" s="1"/>
  <c r="E56" i="1"/>
  <c r="D56" i="1" s="1"/>
  <c r="C56" i="1" s="1"/>
  <c r="D57" i="13" s="1"/>
  <c r="K56" i="13"/>
  <c r="G54" i="11"/>
  <c r="H54" i="11" s="1"/>
  <c r="J56" i="13" s="1"/>
  <c r="D54" i="11"/>
  <c r="D55" i="31"/>
  <c r="O56" i="13" s="1"/>
  <c r="H98" i="10" l="1"/>
  <c r="J99" i="10" s="1"/>
  <c r="F98" i="10"/>
  <c r="E98" i="10" s="1"/>
  <c r="L56" i="1"/>
  <c r="F56" i="11" s="1"/>
  <c r="C57" i="13"/>
  <c r="B57" i="13"/>
  <c r="A55" i="11"/>
  <c r="B55" i="11" s="1"/>
  <c r="H57" i="1"/>
  <c r="AA56" i="1" s="1"/>
  <c r="X56" i="1"/>
  <c r="I57" i="1"/>
  <c r="H55" i="31"/>
  <c r="Q56" i="13" s="1"/>
  <c r="F55" i="31"/>
  <c r="P56" i="13" s="1"/>
  <c r="E54" i="11"/>
  <c r="I56" i="13" s="1"/>
  <c r="H56" i="13"/>
  <c r="L57" i="13" l="1"/>
  <c r="K98" i="10"/>
  <c r="D98" i="10"/>
  <c r="I99" i="10"/>
  <c r="P98" i="10" s="1"/>
  <c r="R56" i="1"/>
  <c r="Q56" i="1" s="1"/>
  <c r="P56" i="1" s="1"/>
  <c r="O56" i="1" s="1"/>
  <c r="N56" i="1" s="1"/>
  <c r="F57" i="13" s="1"/>
  <c r="AD56" i="1"/>
  <c r="Y56" i="1"/>
  <c r="E57" i="13"/>
  <c r="O98" i="10" l="1"/>
  <c r="N98" i="10" s="1"/>
  <c r="M98" i="10" s="1"/>
  <c r="L98" i="10" s="1"/>
  <c r="G99" i="10" s="1"/>
  <c r="M56" i="1"/>
  <c r="AB56" i="1" s="1"/>
  <c r="AC56" i="1" s="1"/>
  <c r="M57" i="13" s="1"/>
  <c r="AG56" i="1"/>
  <c r="H99" i="10" l="1"/>
  <c r="J100" i="10" s="1"/>
  <c r="F99" i="10"/>
  <c r="E99" i="10" s="1"/>
  <c r="D99" i="10" s="1"/>
  <c r="G57" i="13"/>
  <c r="E56" i="31"/>
  <c r="G57" i="1"/>
  <c r="F57" i="1"/>
  <c r="C55" i="11"/>
  <c r="B56" i="31"/>
  <c r="C56" i="31"/>
  <c r="AF56" i="1"/>
  <c r="N57" i="13" s="1"/>
  <c r="K99" i="10" l="1"/>
  <c r="I100" i="10"/>
  <c r="P99" i="10" s="1"/>
  <c r="E57" i="1"/>
  <c r="D57" i="1" s="1"/>
  <c r="A56" i="11" s="1"/>
  <c r="D56" i="31"/>
  <c r="G55" i="11"/>
  <c r="H55" i="11" s="1"/>
  <c r="J57" i="13" s="1"/>
  <c r="K57" i="13"/>
  <c r="D55" i="11"/>
  <c r="O99" i="10" l="1"/>
  <c r="N99" i="10" s="1"/>
  <c r="M99" i="10" s="1"/>
  <c r="L99" i="10" s="1"/>
  <c r="H100" i="10" s="1"/>
  <c r="J101" i="10" s="1"/>
  <c r="I58" i="1"/>
  <c r="C58" i="13"/>
  <c r="H58" i="1"/>
  <c r="X57" i="1"/>
  <c r="B58" i="13"/>
  <c r="L57" i="1"/>
  <c r="F57" i="11" s="1"/>
  <c r="C57" i="1"/>
  <c r="D58" i="13" s="1"/>
  <c r="H56" i="31"/>
  <c r="Q57" i="13" s="1"/>
  <c r="O57" i="13"/>
  <c r="F56" i="31"/>
  <c r="P57" i="13" s="1"/>
  <c r="B56" i="11"/>
  <c r="L58" i="13"/>
  <c r="H57" i="13"/>
  <c r="E55" i="11"/>
  <c r="I57" i="13" s="1"/>
  <c r="G100" i="10" l="1"/>
  <c r="F100" i="10" s="1"/>
  <c r="E100" i="10" s="1"/>
  <c r="K100" i="10" s="1"/>
  <c r="AA57" i="1"/>
  <c r="AD57" i="1"/>
  <c r="Y57" i="1"/>
  <c r="R57" i="1"/>
  <c r="Q57" i="1" s="1"/>
  <c r="P57" i="1" s="1"/>
  <c r="O57" i="1" s="1"/>
  <c r="N57" i="1" s="1"/>
  <c r="F58" i="13" s="1"/>
  <c r="E58" i="13"/>
  <c r="I101" i="10" l="1"/>
  <c r="P100" i="10" s="1"/>
  <c r="O100" i="10" s="1"/>
  <c r="N100" i="10" s="1"/>
  <c r="M100" i="10" s="1"/>
  <c r="L100" i="10" s="1"/>
  <c r="H101" i="10" s="1"/>
  <c r="J102" i="10" s="1"/>
  <c r="D100" i="10"/>
  <c r="M57" i="1"/>
  <c r="E57" i="31" s="1"/>
  <c r="AG57" i="1"/>
  <c r="G101" i="10" l="1"/>
  <c r="F101" i="10" s="1"/>
  <c r="E101" i="10" s="1"/>
  <c r="I102" i="10" s="1"/>
  <c r="G58" i="13"/>
  <c r="AB57" i="1"/>
  <c r="AC57" i="1" s="1"/>
  <c r="M58" i="13" s="1"/>
  <c r="G58" i="1"/>
  <c r="F58" i="1"/>
  <c r="C56" i="11"/>
  <c r="K101" i="10" l="1"/>
  <c r="D101" i="10"/>
  <c r="AF57" i="1"/>
  <c r="N58" i="13" s="1"/>
  <c r="B57" i="31"/>
  <c r="C57" i="31"/>
  <c r="P101" i="10"/>
  <c r="E58" i="1"/>
  <c r="D58" i="1" s="1"/>
  <c r="B59" i="13" s="1"/>
  <c r="G56" i="11"/>
  <c r="H56" i="11" s="1"/>
  <c r="J58" i="13" s="1"/>
  <c r="K58" i="13"/>
  <c r="D56" i="11"/>
  <c r="O101" i="10" l="1"/>
  <c r="N101" i="10" s="1"/>
  <c r="M101" i="10" s="1"/>
  <c r="L101" i="10" s="1"/>
  <c r="H102" i="10" s="1"/>
  <c r="D57" i="31"/>
  <c r="O58" i="13" s="1"/>
  <c r="A57" i="11"/>
  <c r="L59" i="13" s="1"/>
  <c r="L58" i="1"/>
  <c r="E59" i="13" s="1"/>
  <c r="I59" i="1"/>
  <c r="H59" i="1"/>
  <c r="C58" i="1"/>
  <c r="D59" i="13" s="1"/>
  <c r="X58" i="1"/>
  <c r="C59" i="13"/>
  <c r="E56" i="11"/>
  <c r="I58" i="13" s="1"/>
  <c r="H58" i="13"/>
  <c r="G102" i="10" l="1"/>
  <c r="F102" i="10" s="1"/>
  <c r="E102" i="10" s="1"/>
  <c r="P102" i="10" s="1"/>
  <c r="AA58" i="1"/>
  <c r="F57" i="31"/>
  <c r="P58" i="13" s="1"/>
  <c r="R58" i="1"/>
  <c r="Q58" i="1" s="1"/>
  <c r="P58" i="1" s="1"/>
  <c r="O58" i="1" s="1"/>
  <c r="N58" i="1" s="1"/>
  <c r="M58" i="1" s="1"/>
  <c r="H57" i="31"/>
  <c r="Q58" i="13" s="1"/>
  <c r="B57" i="11"/>
  <c r="F58" i="11"/>
  <c r="Y58" i="1"/>
  <c r="AD58" i="1"/>
  <c r="D102" i="10" l="1"/>
  <c r="K102" i="10"/>
  <c r="O102" i="10" s="1"/>
  <c r="N102" i="10" s="1"/>
  <c r="M102" i="10" s="1"/>
  <c r="L102" i="10" s="1"/>
  <c r="F59" i="13"/>
  <c r="AB58" i="1"/>
  <c r="AC58" i="1" s="1"/>
  <c r="M59" i="13" s="1"/>
  <c r="G59" i="13"/>
  <c r="E58" i="31"/>
  <c r="AG58" i="1"/>
  <c r="G59" i="1" l="1"/>
  <c r="F59" i="1"/>
  <c r="C57" i="11"/>
  <c r="C58" i="31"/>
  <c r="B58" i="31"/>
  <c r="AF58" i="1"/>
  <c r="N59" i="13" s="1"/>
  <c r="E59" i="1" l="1"/>
  <c r="D59" i="1" s="1"/>
  <c r="B60" i="13" s="1"/>
  <c r="K59" i="13"/>
  <c r="G57" i="11"/>
  <c r="H57" i="11" s="1"/>
  <c r="J59" i="13" s="1"/>
  <c r="D57" i="11"/>
  <c r="D58" i="31"/>
  <c r="O59" i="13" s="1"/>
  <c r="C60" i="13" l="1"/>
  <c r="H60" i="1"/>
  <c r="X59" i="1"/>
  <c r="A58" i="11"/>
  <c r="L60" i="13" s="1"/>
  <c r="I60" i="1"/>
  <c r="C59" i="1"/>
  <c r="D60" i="13" s="1"/>
  <c r="L59" i="1"/>
  <c r="Y59" i="1" s="1"/>
  <c r="F58" i="31"/>
  <c r="P59" i="13" s="1"/>
  <c r="H58" i="31"/>
  <c r="Q59" i="13" s="1"/>
  <c r="H59" i="13"/>
  <c r="E57" i="11"/>
  <c r="I59" i="13" s="1"/>
  <c r="R59" i="1" l="1"/>
  <c r="Q59" i="1" s="1"/>
  <c r="P59" i="1" s="1"/>
  <c r="O59" i="1" s="1"/>
  <c r="N59" i="1" s="1"/>
  <c r="F60" i="13" s="1"/>
  <c r="B58" i="11"/>
  <c r="AA59" i="1"/>
  <c r="F59" i="11"/>
  <c r="AD59" i="1"/>
  <c r="E60" i="13"/>
  <c r="M59" i="1" l="1"/>
  <c r="E59" i="31" s="1"/>
  <c r="AG59" i="1"/>
  <c r="G60" i="13" l="1"/>
  <c r="AB59" i="1"/>
  <c r="AC59" i="1" s="1"/>
  <c r="M60" i="13" s="1"/>
  <c r="F60" i="1"/>
  <c r="G60" i="1"/>
  <c r="C58" i="11"/>
  <c r="E60" i="1" l="1"/>
  <c r="D60" i="1" s="1"/>
  <c r="A59" i="11" s="1"/>
  <c r="AF59" i="1"/>
  <c r="N60" i="13" s="1"/>
  <c r="B59" i="31"/>
  <c r="C59" i="31"/>
  <c r="K60" i="13"/>
  <c r="G58" i="11"/>
  <c r="H58" i="11" s="1"/>
  <c r="J60" i="13" s="1"/>
  <c r="D58" i="11"/>
  <c r="L60" i="1" l="1"/>
  <c r="Y60" i="1" s="1"/>
  <c r="B61" i="13"/>
  <c r="C61" i="13"/>
  <c r="X60" i="1"/>
  <c r="I61" i="1"/>
  <c r="C60" i="1"/>
  <c r="D61" i="13" s="1"/>
  <c r="H61" i="1"/>
  <c r="AA60" i="1" s="1"/>
  <c r="D59" i="31"/>
  <c r="O60" i="13" s="1"/>
  <c r="B59" i="11"/>
  <c r="L61" i="13"/>
  <c r="E58" i="11"/>
  <c r="I60" i="13" s="1"/>
  <c r="H60" i="13"/>
  <c r="R60" i="1" l="1"/>
  <c r="Q60" i="1" s="1"/>
  <c r="P60" i="1" s="1"/>
  <c r="O60" i="1" s="1"/>
  <c r="N60" i="1" s="1"/>
  <c r="F61" i="13" s="1"/>
  <c r="AD60" i="1"/>
  <c r="F60" i="11"/>
  <c r="E61" i="13"/>
  <c r="F59" i="31"/>
  <c r="P60" i="13" s="1"/>
  <c r="H59" i="31"/>
  <c r="Q60" i="13" s="1"/>
  <c r="M60" i="1" l="1"/>
  <c r="AB60" i="1" s="1"/>
  <c r="AC60" i="1" s="1"/>
  <c r="M61" i="13" s="1"/>
  <c r="AG60" i="1"/>
  <c r="G61" i="13" l="1"/>
  <c r="E60" i="31"/>
  <c r="F61" i="1"/>
  <c r="G61" i="1"/>
  <c r="C59" i="11"/>
  <c r="B60" i="31"/>
  <c r="C60" i="31"/>
  <c r="AF60" i="1"/>
  <c r="N61" i="13" s="1"/>
  <c r="E61" i="1" l="1"/>
  <c r="D61" i="1" s="1"/>
  <c r="C61" i="1" s="1"/>
  <c r="D62" i="13" s="1"/>
  <c r="D60" i="31"/>
  <c r="K61" i="13"/>
  <c r="G59" i="11"/>
  <c r="H59" i="11" s="1"/>
  <c r="J61" i="13" s="1"/>
  <c r="D59" i="11"/>
  <c r="I62" i="1" l="1"/>
  <c r="L61" i="1"/>
  <c r="AD61" i="1" s="1"/>
  <c r="A60" i="11"/>
  <c r="L62" i="13" s="1"/>
  <c r="B62" i="13"/>
  <c r="X61" i="1"/>
  <c r="C62" i="13"/>
  <c r="H62" i="1"/>
  <c r="F60" i="31"/>
  <c r="P61" i="13" s="1"/>
  <c r="O61" i="13"/>
  <c r="H60" i="31"/>
  <c r="Q61" i="13" s="1"/>
  <c r="E59" i="11"/>
  <c r="I61" i="13" s="1"/>
  <c r="H61" i="13"/>
  <c r="AA61" i="1" l="1"/>
  <c r="Y61" i="1"/>
  <c r="R61" i="1"/>
  <c r="Q61" i="1" s="1"/>
  <c r="P61" i="1" s="1"/>
  <c r="O61" i="1" s="1"/>
  <c r="N61" i="1" s="1"/>
  <c r="F62" i="13" s="1"/>
  <c r="B60" i="11"/>
  <c r="E62" i="13"/>
  <c r="F61" i="11"/>
  <c r="M61" i="1" l="1"/>
  <c r="E61" i="31" s="1"/>
  <c r="AG61" i="1"/>
  <c r="AB61" i="1" l="1"/>
  <c r="AC61" i="1" s="1"/>
  <c r="M62" i="13" s="1"/>
  <c r="G62" i="13"/>
  <c r="F62" i="1"/>
  <c r="G62" i="1"/>
  <c r="C60" i="11"/>
  <c r="AF61" i="1" l="1"/>
  <c r="N62" i="13" s="1"/>
  <c r="C61" i="31"/>
  <c r="B61" i="31"/>
  <c r="E62" i="1"/>
  <c r="D62" i="1" s="1"/>
  <c r="B63" i="13" s="1"/>
  <c r="K62" i="13"/>
  <c r="G60" i="11"/>
  <c r="H60" i="11" s="1"/>
  <c r="J62" i="13" s="1"/>
  <c r="D60" i="11"/>
  <c r="D61" i="31" l="1"/>
  <c r="H61" i="31" s="1"/>
  <c r="Q62" i="13" s="1"/>
  <c r="X62" i="1"/>
  <c r="C63" i="13"/>
  <c r="A61" i="11"/>
  <c r="B61" i="11" s="1"/>
  <c r="H63" i="1"/>
  <c r="C62" i="1"/>
  <c r="D63" i="13" s="1"/>
  <c r="L62" i="1"/>
  <c r="E63" i="13" s="1"/>
  <c r="I63" i="1"/>
  <c r="O62" i="13"/>
  <c r="H62" i="13"/>
  <c r="E60" i="11"/>
  <c r="I62" i="13" s="1"/>
  <c r="AA62" i="1" l="1"/>
  <c r="F61" i="31"/>
  <c r="P62" i="13" s="1"/>
  <c r="AD62" i="1"/>
  <c r="R62" i="1"/>
  <c r="Q62" i="1" s="1"/>
  <c r="P62" i="1" s="1"/>
  <c r="O62" i="1" s="1"/>
  <c r="N62" i="1" s="1"/>
  <c r="M62" i="1" s="1"/>
  <c r="L63" i="13"/>
  <c r="F62" i="11"/>
  <c r="Y62" i="1"/>
  <c r="F63" i="13" l="1"/>
  <c r="AB62" i="1"/>
  <c r="AC62" i="1" s="1"/>
  <c r="M63" i="13" s="1"/>
  <c r="G63" i="13"/>
  <c r="E62" i="31"/>
  <c r="AG62" i="1"/>
  <c r="C61" i="11" s="1"/>
  <c r="G63" i="1" l="1"/>
  <c r="F63" i="1"/>
  <c r="K63" i="13"/>
  <c r="G61" i="11"/>
  <c r="H61" i="11" s="1"/>
  <c r="J63" i="13" s="1"/>
  <c r="D61" i="11"/>
  <c r="B62" i="31"/>
  <c r="C62" i="31"/>
  <c r="AF62" i="1"/>
  <c r="N63" i="13" s="1"/>
  <c r="E63" i="1" l="1"/>
  <c r="D63" i="1" s="1"/>
  <c r="B64" i="13" s="1"/>
  <c r="D62" i="31"/>
  <c r="E61" i="11"/>
  <c r="I63" i="13" s="1"/>
  <c r="H63" i="13"/>
  <c r="H64" i="1" l="1"/>
  <c r="C64" i="13"/>
  <c r="A62" i="11"/>
  <c r="B62" i="11" s="1"/>
  <c r="I64" i="1"/>
  <c r="X63" i="1"/>
  <c r="C63" i="1"/>
  <c r="D64" i="13" s="1"/>
  <c r="L63" i="1"/>
  <c r="Y63" i="1" s="1"/>
  <c r="H62" i="31"/>
  <c r="Q63" i="13" s="1"/>
  <c r="O63" i="13"/>
  <c r="F62" i="31"/>
  <c r="P63" i="13" s="1"/>
  <c r="L64" i="13" l="1"/>
  <c r="E64" i="13"/>
  <c r="AA63" i="1"/>
  <c r="R63" i="1"/>
  <c r="Q63" i="1" s="1"/>
  <c r="P63" i="1" s="1"/>
  <c r="O63" i="1" s="1"/>
  <c r="N63" i="1" s="1"/>
  <c r="M63" i="1" s="1"/>
  <c r="G64" i="13" s="1"/>
  <c r="F63" i="11"/>
  <c r="AD63" i="1"/>
  <c r="AG63" i="1"/>
  <c r="F64" i="13" l="1"/>
  <c r="AB63" i="1"/>
  <c r="AC63" i="1" s="1"/>
  <c r="M64" i="13" s="1"/>
  <c r="E63" i="31"/>
  <c r="G64" i="1"/>
  <c r="F64" i="1"/>
  <c r="C62" i="11"/>
  <c r="B63" i="31" l="1"/>
  <c r="C63" i="31"/>
  <c r="AF63" i="1"/>
  <c r="N64" i="13" s="1"/>
  <c r="E64" i="1"/>
  <c r="D64" i="1" s="1"/>
  <c r="B65" i="13" s="1"/>
  <c r="K64" i="13"/>
  <c r="G62" i="11"/>
  <c r="H62" i="11" s="1"/>
  <c r="J64" i="13" s="1"/>
  <c r="D62" i="11"/>
  <c r="D63" i="31" l="1"/>
  <c r="F63" i="31" s="1"/>
  <c r="P64" i="13" s="1"/>
  <c r="X64" i="1"/>
  <c r="C64" i="1"/>
  <c r="D65" i="13" s="1"/>
  <c r="A63" i="11"/>
  <c r="B63" i="11" s="1"/>
  <c r="I65" i="1"/>
  <c r="C65" i="13"/>
  <c r="L64" i="1"/>
  <c r="Y64" i="1" s="1"/>
  <c r="H65" i="1"/>
  <c r="O64" i="13"/>
  <c r="H64" i="13"/>
  <c r="E62" i="11"/>
  <c r="I64" i="13" s="1"/>
  <c r="R64" i="1" l="1"/>
  <c r="Q64" i="1" s="1"/>
  <c r="P64" i="1" s="1"/>
  <c r="O64" i="1" s="1"/>
  <c r="N64" i="1" s="1"/>
  <c r="M64" i="1" s="1"/>
  <c r="AA64" i="1"/>
  <c r="H63" i="31"/>
  <c r="Q64" i="13" s="1"/>
  <c r="L65" i="13"/>
  <c r="AD64" i="1"/>
  <c r="E65" i="13"/>
  <c r="F64" i="11"/>
  <c r="F65" i="13" l="1"/>
  <c r="AB64" i="1"/>
  <c r="AC64" i="1" s="1"/>
  <c r="M65" i="13" s="1"/>
  <c r="G65" i="13"/>
  <c r="E64" i="31"/>
  <c r="G65" i="1" l="1"/>
  <c r="F65" i="1"/>
  <c r="B64" i="31"/>
  <c r="C64" i="31"/>
  <c r="AF64" i="1"/>
  <c r="N65" i="13" s="1"/>
  <c r="AG64" i="1"/>
  <c r="D64" i="31" l="1"/>
  <c r="C63" i="11"/>
  <c r="E65" i="1"/>
  <c r="D65" i="1" s="1"/>
  <c r="H64" i="31" l="1"/>
  <c r="Q65" i="13" s="1"/>
  <c r="O65" i="13"/>
  <c r="F64" i="31"/>
  <c r="P65" i="13" s="1"/>
  <c r="B66" i="13"/>
  <c r="A64" i="11"/>
  <c r="C66" i="13"/>
  <c r="C65" i="1"/>
  <c r="D66" i="13" s="1"/>
  <c r="X65" i="1"/>
  <c r="I66" i="1"/>
  <c r="H66" i="1"/>
  <c r="L65" i="1"/>
  <c r="G63" i="11"/>
  <c r="H63" i="11" s="1"/>
  <c r="J65" i="13" s="1"/>
  <c r="K65" i="13"/>
  <c r="D63" i="11"/>
  <c r="AA65" i="1" l="1"/>
  <c r="B64" i="11"/>
  <c r="L66" i="13"/>
  <c r="Y65" i="1"/>
  <c r="E66" i="13"/>
  <c r="F65" i="11"/>
  <c r="AD65" i="1"/>
  <c r="H65" i="13"/>
  <c r="E63" i="11"/>
  <c r="I65" i="13" s="1"/>
  <c r="R65" i="1"/>
  <c r="Q65" i="1" s="1"/>
  <c r="P65" i="1" s="1"/>
  <c r="O65" i="1" s="1"/>
  <c r="N65" i="1" s="1"/>
  <c r="F66" i="13" l="1"/>
  <c r="M65" i="1"/>
  <c r="AB65" i="1" l="1"/>
  <c r="AC65" i="1" s="1"/>
  <c r="M66" i="13" s="1"/>
  <c r="E65" i="31"/>
  <c r="G66" i="13"/>
  <c r="AG65" i="1"/>
  <c r="G66" i="1" l="1"/>
  <c r="F66" i="1"/>
  <c r="C64" i="11"/>
  <c r="B65" i="31"/>
  <c r="C65" i="31"/>
  <c r="AF65" i="1"/>
  <c r="N66" i="13" s="1"/>
  <c r="E66" i="1" l="1"/>
  <c r="D66" i="1" s="1"/>
  <c r="A65" i="11" s="1"/>
  <c r="D65" i="31"/>
  <c r="K66" i="13"/>
  <c r="G64" i="11"/>
  <c r="H64" i="11" s="1"/>
  <c r="J66" i="13" s="1"/>
  <c r="D64" i="11"/>
  <c r="H67" i="1" l="1"/>
  <c r="X66" i="1"/>
  <c r="I67" i="1"/>
  <c r="B67" i="13"/>
  <c r="L66" i="1"/>
  <c r="Y66" i="1" s="1"/>
  <c r="C67" i="13"/>
  <c r="C66" i="1"/>
  <c r="D67" i="13" s="1"/>
  <c r="H65" i="31"/>
  <c r="Q66" i="13" s="1"/>
  <c r="O66" i="13"/>
  <c r="F65" i="31"/>
  <c r="P66" i="13" s="1"/>
  <c r="B65" i="11"/>
  <c r="L67" i="13"/>
  <c r="E64" i="11"/>
  <c r="I66" i="13" s="1"/>
  <c r="H66" i="13"/>
  <c r="AA66" i="1" l="1"/>
  <c r="R66" i="1"/>
  <c r="Q66" i="1" s="1"/>
  <c r="P66" i="1" s="1"/>
  <c r="O66" i="1" s="1"/>
  <c r="N66" i="1" s="1"/>
  <c r="F67" i="13" s="1"/>
  <c r="E67" i="13"/>
  <c r="AD66" i="1"/>
  <c r="F66" i="11"/>
  <c r="M66" i="1" l="1"/>
  <c r="E66" i="31" s="1"/>
  <c r="AB66" i="1" l="1"/>
  <c r="AC66" i="1" s="1"/>
  <c r="M67" i="13" s="1"/>
  <c r="G67" i="13"/>
  <c r="G67" i="1"/>
  <c r="F67" i="1"/>
  <c r="AG66" i="1"/>
  <c r="B66" i="31" l="1"/>
  <c r="AF66" i="1"/>
  <c r="N67" i="13" s="1"/>
  <c r="C66" i="31"/>
  <c r="C65" i="11"/>
  <c r="E67" i="1"/>
  <c r="D67" i="1" s="1"/>
  <c r="D66" i="31" l="1"/>
  <c r="F66" i="31" s="1"/>
  <c r="P67" i="13" s="1"/>
  <c r="O67" i="13"/>
  <c r="B68" i="13"/>
  <c r="A66" i="11"/>
  <c r="C68" i="13"/>
  <c r="X67" i="1"/>
  <c r="C67" i="1"/>
  <c r="D68" i="13" s="1"/>
  <c r="L67" i="1"/>
  <c r="H68" i="1"/>
  <c r="I68" i="1"/>
  <c r="G65" i="11"/>
  <c r="H65" i="11" s="1"/>
  <c r="J67" i="13" s="1"/>
  <c r="K67" i="13"/>
  <c r="D65" i="11"/>
  <c r="H66" i="31" l="1"/>
  <c r="Q67" i="13" s="1"/>
  <c r="AA67" i="1"/>
  <c r="L68" i="13"/>
  <c r="B66" i="11"/>
  <c r="H67" i="13"/>
  <c r="E65" i="11"/>
  <c r="I67" i="13" s="1"/>
  <c r="R67" i="1"/>
  <c r="Q67" i="1" s="1"/>
  <c r="P67" i="1" s="1"/>
  <c r="O67" i="1" s="1"/>
  <c r="N67" i="1" s="1"/>
  <c r="E68" i="13"/>
  <c r="Y67" i="1"/>
  <c r="AD67" i="1"/>
  <c r="F67" i="11"/>
  <c r="F68" i="13" l="1"/>
  <c r="M67" i="1"/>
  <c r="AB67" i="1" l="1"/>
  <c r="AC67" i="1" s="1"/>
  <c r="M68" i="13" s="1"/>
  <c r="E67" i="31"/>
  <c r="G68" i="13"/>
  <c r="AG67" i="1"/>
  <c r="F68" i="1" l="1"/>
  <c r="G68" i="1"/>
  <c r="C66" i="11"/>
  <c r="B67" i="31"/>
  <c r="C67" i="31"/>
  <c r="AF67" i="1"/>
  <c r="N68" i="13" s="1"/>
  <c r="E68" i="1" l="1"/>
  <c r="D68" i="1" s="1"/>
  <c r="A67" i="11" s="1"/>
  <c r="D67" i="31"/>
  <c r="G66" i="11"/>
  <c r="H66" i="11" s="1"/>
  <c r="J68" i="13" s="1"/>
  <c r="K68" i="13"/>
  <c r="D66" i="11"/>
  <c r="H69" i="1" l="1"/>
  <c r="C68" i="1"/>
  <c r="D69" i="13" s="1"/>
  <c r="X68" i="1"/>
  <c r="B69" i="13"/>
  <c r="I69" i="1"/>
  <c r="C69" i="13"/>
  <c r="L68" i="1"/>
  <c r="E69" i="13" s="1"/>
  <c r="F67" i="31"/>
  <c r="P68" i="13" s="1"/>
  <c r="O68" i="13"/>
  <c r="H67" i="31"/>
  <c r="Q68" i="13" s="1"/>
  <c r="H68" i="13"/>
  <c r="E66" i="11"/>
  <c r="I68" i="13" s="1"/>
  <c r="B67" i="11"/>
  <c r="L69" i="13"/>
  <c r="Y68" i="1" l="1"/>
  <c r="F68" i="11"/>
  <c r="AD68" i="1"/>
  <c r="AA68" i="1"/>
  <c r="R68" i="1"/>
  <c r="Q68" i="1" s="1"/>
  <c r="P68" i="1" s="1"/>
  <c r="O68" i="1" s="1"/>
  <c r="N68" i="1" s="1"/>
  <c r="F69" i="13" s="1"/>
  <c r="M68" i="1" l="1"/>
  <c r="AB68" i="1" s="1"/>
  <c r="AC68" i="1" s="1"/>
  <c r="M69" i="13" s="1"/>
  <c r="G69" i="13" l="1"/>
  <c r="F69" i="1"/>
  <c r="E68" i="31"/>
  <c r="G69" i="1"/>
  <c r="B68" i="31"/>
  <c r="C68" i="31"/>
  <c r="AF68" i="1"/>
  <c r="N69" i="13" s="1"/>
  <c r="AG68" i="1"/>
  <c r="D68" i="31" l="1"/>
  <c r="E69" i="1"/>
  <c r="D69" i="1" s="1"/>
  <c r="C67" i="11"/>
  <c r="F68" i="31" l="1"/>
  <c r="P69" i="13" s="1"/>
  <c r="O69" i="13"/>
  <c r="H68" i="31"/>
  <c r="Q69" i="13" s="1"/>
  <c r="K69" i="13"/>
  <c r="G67" i="11"/>
  <c r="H67" i="11" s="1"/>
  <c r="J69" i="13" s="1"/>
  <c r="D67" i="11"/>
  <c r="B70" i="13"/>
  <c r="A68" i="11"/>
  <c r="C70" i="13"/>
  <c r="X69" i="1"/>
  <c r="C69" i="1"/>
  <c r="D70" i="13" s="1"/>
  <c r="L69" i="1"/>
  <c r="H70" i="1"/>
  <c r="I70" i="1"/>
  <c r="AA69" i="1" l="1"/>
  <c r="Y69" i="1"/>
  <c r="E70" i="13"/>
  <c r="AD69" i="1"/>
  <c r="F69" i="11"/>
  <c r="B68" i="11"/>
  <c r="L70" i="13"/>
  <c r="R69" i="1"/>
  <c r="Q69" i="1" s="1"/>
  <c r="P69" i="1" s="1"/>
  <c r="O69" i="1" s="1"/>
  <c r="N69" i="1" s="1"/>
  <c r="H69" i="13"/>
  <c r="E67" i="11"/>
  <c r="I69" i="13" s="1"/>
  <c r="M69" i="1" l="1"/>
  <c r="F70" i="13"/>
  <c r="AB69" i="1" l="1"/>
  <c r="AC69" i="1" s="1"/>
  <c r="M70" i="13" s="1"/>
  <c r="E69" i="31"/>
  <c r="G70" i="13"/>
  <c r="F70" i="1" l="1"/>
  <c r="G70" i="1"/>
  <c r="C69" i="31"/>
  <c r="B69" i="31"/>
  <c r="AF69" i="1"/>
  <c r="N70" i="13" s="1"/>
  <c r="AG69" i="1"/>
  <c r="D69" i="31" l="1"/>
  <c r="O70" i="13" s="1"/>
  <c r="E70" i="1"/>
  <c r="D70" i="1" s="1"/>
  <c r="C68" i="11"/>
  <c r="C71" i="13" l="1"/>
  <c r="C70" i="1"/>
  <c r="D71" i="13" s="1"/>
  <c r="A69" i="11"/>
  <c r="X70" i="1"/>
  <c r="B71" i="13"/>
  <c r="H71" i="1"/>
  <c r="L70" i="1"/>
  <c r="I71" i="1"/>
  <c r="H69" i="31"/>
  <c r="Q70" i="13" s="1"/>
  <c r="F69" i="31"/>
  <c r="P70" i="13" s="1"/>
  <c r="G68" i="11"/>
  <c r="H68" i="11" s="1"/>
  <c r="J70" i="13" s="1"/>
  <c r="K70" i="13"/>
  <c r="D68" i="11"/>
  <c r="AA70" i="1" l="1"/>
  <c r="H70" i="13"/>
  <c r="E68" i="11"/>
  <c r="I70" i="13" s="1"/>
  <c r="Y70" i="1"/>
  <c r="E71" i="13"/>
  <c r="AD70" i="1"/>
  <c r="F70" i="11"/>
  <c r="R70" i="1"/>
  <c r="Q70" i="1" s="1"/>
  <c r="P70" i="1" s="1"/>
  <c r="O70" i="1" s="1"/>
  <c r="N70" i="1" s="1"/>
  <c r="L71" i="13"/>
  <c r="B69" i="11"/>
  <c r="M70" i="1" l="1"/>
  <c r="F71" i="13"/>
  <c r="AB70" i="1" l="1"/>
  <c r="AC70" i="1" s="1"/>
  <c r="M71" i="13" s="1"/>
  <c r="G71" i="13"/>
  <c r="E70" i="31"/>
  <c r="AG70" i="1"/>
  <c r="F71" i="1" l="1"/>
  <c r="G71" i="1"/>
  <c r="C69" i="11"/>
  <c r="B70" i="31"/>
  <c r="C70" i="31"/>
  <c r="AF70" i="1"/>
  <c r="N71" i="13" s="1"/>
  <c r="E71" i="1" l="1"/>
  <c r="D71" i="1" s="1"/>
  <c r="X71" i="1" s="1"/>
  <c r="D70" i="31"/>
  <c r="G69" i="11"/>
  <c r="H69" i="11" s="1"/>
  <c r="J71" i="13" s="1"/>
  <c r="K71" i="13"/>
  <c r="D69" i="11"/>
  <c r="L71" i="1" l="1"/>
  <c r="Y71" i="1" s="1"/>
  <c r="H72" i="1"/>
  <c r="A70" i="11"/>
  <c r="B70" i="11" s="1"/>
  <c r="C72" i="13"/>
  <c r="B72" i="13"/>
  <c r="C71" i="1"/>
  <c r="D72" i="13" s="1"/>
  <c r="I72" i="1"/>
  <c r="F70" i="31"/>
  <c r="P71" i="13" s="1"/>
  <c r="O71" i="13"/>
  <c r="H70" i="31"/>
  <c r="Q71" i="13" s="1"/>
  <c r="H71" i="13"/>
  <c r="E69" i="11"/>
  <c r="I71" i="13" s="1"/>
  <c r="L72" i="13" l="1"/>
  <c r="R71" i="1"/>
  <c r="Q71" i="1" s="1"/>
  <c r="P71" i="1" s="1"/>
  <c r="O71" i="1" s="1"/>
  <c r="N71" i="1" s="1"/>
  <c r="F72" i="13" s="1"/>
  <c r="AD71" i="1"/>
  <c r="F71" i="11"/>
  <c r="E72" i="13"/>
  <c r="AA71" i="1"/>
  <c r="M71" i="1" l="1"/>
  <c r="AB71" i="1" s="1"/>
  <c r="AC71" i="1" s="1"/>
  <c r="M72" i="13" s="1"/>
  <c r="AG71" i="1"/>
  <c r="E71" i="31" l="1"/>
  <c r="F72" i="1"/>
  <c r="G72" i="13"/>
  <c r="G72" i="1"/>
  <c r="AF71" i="1"/>
  <c r="N72" i="13" s="1"/>
  <c r="B71" i="31"/>
  <c r="C71" i="31"/>
  <c r="C70" i="11"/>
  <c r="E72" i="1" l="1"/>
  <c r="D72" i="1" s="1"/>
  <c r="C73" i="13" s="1"/>
  <c r="D71" i="31"/>
  <c r="F71" i="31" s="1"/>
  <c r="P72" i="13" s="1"/>
  <c r="O72" i="13"/>
  <c r="G70" i="11"/>
  <c r="H70" i="11" s="1"/>
  <c r="J72" i="13" s="1"/>
  <c r="K72" i="13"/>
  <c r="D70" i="11"/>
  <c r="H73" i="1" l="1"/>
  <c r="R72" i="1" s="1"/>
  <c r="A71" i="11"/>
  <c r="B71" i="11" s="1"/>
  <c r="I73" i="1"/>
  <c r="X72" i="1"/>
  <c r="B73" i="13"/>
  <c r="C72" i="1"/>
  <c r="D73" i="13" s="1"/>
  <c r="L72" i="1"/>
  <c r="AD72" i="1" s="1"/>
  <c r="H71" i="31"/>
  <c r="Q72" i="13" s="1"/>
  <c r="AA72" i="1"/>
  <c r="E70" i="11"/>
  <c r="I72" i="13" s="1"/>
  <c r="H72" i="13"/>
  <c r="L73" i="13" l="1"/>
  <c r="Q72" i="1"/>
  <c r="P72" i="1" s="1"/>
  <c r="O72" i="1" s="1"/>
  <c r="N72" i="1" s="1"/>
  <c r="F73" i="13" s="1"/>
  <c r="Y72" i="1"/>
  <c r="F72" i="11"/>
  <c r="E73" i="13"/>
  <c r="M72" i="1" l="1"/>
  <c r="AB72" i="1" s="1"/>
  <c r="AC72" i="1" s="1"/>
  <c r="M73" i="13" s="1"/>
  <c r="AG72" i="1"/>
  <c r="E72" i="31" l="1"/>
  <c r="G73" i="13"/>
  <c r="F73" i="1"/>
  <c r="G73" i="1"/>
  <c r="C71" i="11"/>
  <c r="B72" i="31"/>
  <c r="C72" i="31"/>
  <c r="AF72" i="1"/>
  <c r="N73" i="13" s="1"/>
  <c r="E73" i="1" l="1"/>
  <c r="D73" i="1" s="1"/>
  <c r="C73" i="1" s="1"/>
  <c r="D74" i="13" s="1"/>
  <c r="D72" i="31"/>
  <c r="K73" i="13"/>
  <c r="G71" i="11"/>
  <c r="H71" i="11" s="1"/>
  <c r="J73" i="13" s="1"/>
  <c r="D71" i="11"/>
  <c r="L73" i="1" l="1"/>
  <c r="F73" i="11" s="1"/>
  <c r="X73" i="1"/>
  <c r="I74" i="1"/>
  <c r="H74" i="1"/>
  <c r="C74" i="13"/>
  <c r="A72" i="11"/>
  <c r="L74" i="13" s="1"/>
  <c r="B74" i="13"/>
  <c r="H72" i="31"/>
  <c r="Q73" i="13" s="1"/>
  <c r="O73" i="13"/>
  <c r="F72" i="31"/>
  <c r="P73" i="13" s="1"/>
  <c r="E71" i="11"/>
  <c r="I73" i="13" s="1"/>
  <c r="H73" i="13"/>
  <c r="R73" i="1" l="1"/>
  <c r="Q73" i="1" s="1"/>
  <c r="P73" i="1" s="1"/>
  <c r="O73" i="1" s="1"/>
  <c r="N73" i="1" s="1"/>
  <c r="F74" i="13" s="1"/>
  <c r="AA73" i="1"/>
  <c r="AD73" i="1"/>
  <c r="Y73" i="1"/>
  <c r="E74" i="13"/>
  <c r="B72" i="11"/>
  <c r="M73" i="1" l="1"/>
  <c r="AB73" i="1" s="1"/>
  <c r="AC73" i="1" s="1"/>
  <c r="M74" i="13" s="1"/>
  <c r="AG73" i="1"/>
  <c r="G74" i="13" l="1"/>
  <c r="E73" i="31"/>
  <c r="G74" i="1"/>
  <c r="AF73" i="1"/>
  <c r="N74" i="13" s="1"/>
  <c r="F74" i="1"/>
  <c r="C73" i="31"/>
  <c r="B73" i="31"/>
  <c r="C72" i="11"/>
  <c r="D73" i="31" l="1"/>
  <c r="F73" i="31" s="1"/>
  <c r="P74" i="13" s="1"/>
  <c r="E74" i="1"/>
  <c r="D74" i="1" s="1"/>
  <c r="C74" i="1" s="1"/>
  <c r="D75" i="13" s="1"/>
  <c r="O74" i="13"/>
  <c r="K74" i="13"/>
  <c r="G72" i="11"/>
  <c r="H72" i="11" s="1"/>
  <c r="J74" i="13" s="1"/>
  <c r="D72" i="11"/>
  <c r="H75" i="1" l="1"/>
  <c r="H73" i="31"/>
  <c r="Q74" i="13" s="1"/>
  <c r="X74" i="1"/>
  <c r="L74" i="1"/>
  <c r="E75" i="13" s="1"/>
  <c r="A73" i="11"/>
  <c r="B73" i="11" s="1"/>
  <c r="I75" i="1"/>
  <c r="B75" i="13"/>
  <c r="C75" i="13"/>
  <c r="H74" i="13"/>
  <c r="E72" i="11"/>
  <c r="I74" i="13" s="1"/>
  <c r="L75" i="13" l="1"/>
  <c r="AA74" i="1"/>
  <c r="AD74" i="1"/>
  <c r="F74" i="11"/>
  <c r="Y74" i="1"/>
  <c r="R74" i="1"/>
  <c r="Q74" i="1" s="1"/>
  <c r="P74" i="1" s="1"/>
  <c r="O74" i="1" s="1"/>
  <c r="N74" i="1" s="1"/>
  <c r="M74" i="1" s="1"/>
  <c r="F75" i="13" l="1"/>
  <c r="AB74" i="1"/>
  <c r="AC74" i="1" s="1"/>
  <c r="M75" i="13" s="1"/>
  <c r="E74" i="31"/>
  <c r="G75" i="13"/>
  <c r="AG74" i="1"/>
  <c r="F75" i="1" l="1"/>
  <c r="G75" i="1"/>
  <c r="C73" i="11"/>
  <c r="B74" i="31"/>
  <c r="C74" i="31"/>
  <c r="AF74" i="1"/>
  <c r="N75" i="13" s="1"/>
  <c r="E75" i="1" l="1"/>
  <c r="D75" i="1" s="1"/>
  <c r="A74" i="11" s="1"/>
  <c r="D74" i="31"/>
  <c r="K75" i="13"/>
  <c r="G73" i="11"/>
  <c r="H73" i="11" s="1"/>
  <c r="J75" i="13" s="1"/>
  <c r="D73" i="11"/>
  <c r="L75" i="1" l="1"/>
  <c r="AD75" i="1" s="1"/>
  <c r="C75" i="1"/>
  <c r="D76" i="13" s="1"/>
  <c r="I76" i="1"/>
  <c r="C76" i="13"/>
  <c r="X75" i="1"/>
  <c r="B76" i="13"/>
  <c r="H76" i="1"/>
  <c r="AA75" i="1" s="1"/>
  <c r="H74" i="31"/>
  <c r="Q75" i="13" s="1"/>
  <c r="O75" i="13"/>
  <c r="F74" i="31"/>
  <c r="P75" i="13" s="1"/>
  <c r="L76" i="13"/>
  <c r="B74" i="11"/>
  <c r="E73" i="11"/>
  <c r="I75" i="13" s="1"/>
  <c r="H75" i="13"/>
  <c r="E76" i="13" l="1"/>
  <c r="F75" i="11"/>
  <c r="Y75" i="1"/>
  <c r="R75" i="1"/>
  <c r="Q75" i="1" s="1"/>
  <c r="P75" i="1" s="1"/>
  <c r="O75" i="1" s="1"/>
  <c r="N75" i="1" s="1"/>
  <c r="M75" i="1" s="1"/>
  <c r="F76" i="13" l="1"/>
  <c r="AB75" i="1"/>
  <c r="AC75" i="1" s="1"/>
  <c r="M76" i="13" s="1"/>
  <c r="E75" i="31"/>
  <c r="G76" i="13"/>
  <c r="AG75" i="1"/>
  <c r="G76" i="1" l="1"/>
  <c r="F76" i="1"/>
  <c r="C74" i="11"/>
  <c r="B75" i="31"/>
  <c r="C75" i="31"/>
  <c r="AF75" i="1"/>
  <c r="N76" i="13" s="1"/>
  <c r="E76" i="1" l="1"/>
  <c r="D76" i="1" s="1"/>
  <c r="C76" i="1" s="1"/>
  <c r="D77" i="13" s="1"/>
  <c r="D75" i="31"/>
  <c r="K76" i="13"/>
  <c r="G74" i="11"/>
  <c r="H74" i="11" s="1"/>
  <c r="J76" i="13" s="1"/>
  <c r="D74" i="11"/>
  <c r="L76" i="1" l="1"/>
  <c r="E77" i="13" s="1"/>
  <c r="B77" i="13"/>
  <c r="H77" i="1"/>
  <c r="C77" i="13"/>
  <c r="I77" i="1"/>
  <c r="X76" i="1"/>
  <c r="A75" i="11"/>
  <c r="B75" i="11" s="1"/>
  <c r="F75" i="31"/>
  <c r="P76" i="13" s="1"/>
  <c r="O76" i="13"/>
  <c r="H75" i="31"/>
  <c r="Q76" i="13" s="1"/>
  <c r="H76" i="13"/>
  <c r="E74" i="11"/>
  <c r="I76" i="13" s="1"/>
  <c r="R76" i="1" l="1"/>
  <c r="Q76" i="1" s="1"/>
  <c r="P76" i="1" s="1"/>
  <c r="O76" i="1" s="1"/>
  <c r="N76" i="1" s="1"/>
  <c r="M76" i="1" s="1"/>
  <c r="AA76" i="1"/>
  <c r="L77" i="13"/>
  <c r="AD76" i="1"/>
  <c r="F76" i="11"/>
  <c r="Y76" i="1"/>
  <c r="F77" i="13" l="1"/>
  <c r="AB76" i="1"/>
  <c r="AC76" i="1" s="1"/>
  <c r="M77" i="13" s="1"/>
  <c r="G77" i="13"/>
  <c r="E76" i="31"/>
  <c r="AG76" i="1"/>
  <c r="F77" i="1" l="1"/>
  <c r="G77" i="1"/>
  <c r="C75" i="11"/>
  <c r="C76" i="31"/>
  <c r="B76" i="31"/>
  <c r="AF76" i="1"/>
  <c r="N77" i="13" s="1"/>
  <c r="E77" i="1" l="1"/>
  <c r="D77" i="1" s="1"/>
  <c r="X77" i="1" s="1"/>
  <c r="D76" i="31"/>
  <c r="O77" i="13" s="1"/>
  <c r="K77" i="13"/>
  <c r="G75" i="11"/>
  <c r="H75" i="11" s="1"/>
  <c r="J77" i="13" s="1"/>
  <c r="D75" i="11"/>
  <c r="L77" i="1" l="1"/>
  <c r="AD77" i="1" s="1"/>
  <c r="H78" i="1"/>
  <c r="A76" i="11"/>
  <c r="B76" i="11" s="1"/>
  <c r="I78" i="1"/>
  <c r="C78" i="13"/>
  <c r="C77" i="1"/>
  <c r="D78" i="13" s="1"/>
  <c r="B78" i="13"/>
  <c r="H77" i="13"/>
  <c r="E75" i="11"/>
  <c r="I77" i="13" s="1"/>
  <c r="H76" i="31"/>
  <c r="Q77" i="13" s="1"/>
  <c r="F76" i="31"/>
  <c r="P77" i="13" s="1"/>
  <c r="E78" i="13" l="1"/>
  <c r="F77" i="11"/>
  <c r="Y77" i="1"/>
  <c r="L78" i="13"/>
  <c r="AA77" i="1"/>
  <c r="R77" i="1"/>
  <c r="Q77" i="1" s="1"/>
  <c r="P77" i="1" s="1"/>
  <c r="O77" i="1" s="1"/>
  <c r="N77" i="1" s="1"/>
  <c r="M77" i="1" s="1"/>
  <c r="F78" i="13" l="1"/>
  <c r="G78" i="13"/>
  <c r="E77" i="31"/>
  <c r="AG77" i="1"/>
  <c r="AB77" i="1"/>
  <c r="AC77" i="1" s="1"/>
  <c r="M78" i="13" s="1"/>
  <c r="F78" i="1" l="1"/>
  <c r="G78" i="1"/>
  <c r="C76" i="11"/>
  <c r="B77" i="31"/>
  <c r="C77" i="31"/>
  <c r="AF77" i="1"/>
  <c r="N78" i="13" s="1"/>
  <c r="E78" i="1" l="1"/>
  <c r="D78" i="1" s="1"/>
  <c r="X78" i="1" s="1"/>
  <c r="D77" i="31"/>
  <c r="G76" i="11"/>
  <c r="H76" i="11" s="1"/>
  <c r="J78" i="13" s="1"/>
  <c r="K78" i="13"/>
  <c r="D76" i="11"/>
  <c r="H79" i="1" l="1"/>
  <c r="A77" i="11"/>
  <c r="B77" i="11" s="1"/>
  <c r="I79" i="1"/>
  <c r="C79" i="13"/>
  <c r="L78" i="1"/>
  <c r="E79" i="13" s="1"/>
  <c r="B79" i="13"/>
  <c r="C78" i="1"/>
  <c r="D79" i="13" s="1"/>
  <c r="H77" i="31"/>
  <c r="Q78" i="13" s="1"/>
  <c r="O78" i="13"/>
  <c r="F77" i="31"/>
  <c r="P78" i="13" s="1"/>
  <c r="H78" i="13"/>
  <c r="E76" i="11"/>
  <c r="I78" i="13" s="1"/>
  <c r="R78" i="1" l="1"/>
  <c r="Q78" i="1" s="1"/>
  <c r="P78" i="1" s="1"/>
  <c r="O78" i="1" s="1"/>
  <c r="N78" i="1" s="1"/>
  <c r="F79" i="13" s="1"/>
  <c r="L79" i="13"/>
  <c r="AA78" i="1"/>
  <c r="Y78" i="1"/>
  <c r="F78" i="11"/>
  <c r="AD78" i="1"/>
  <c r="M78" i="1" l="1"/>
  <c r="AB78" i="1" s="1"/>
  <c r="AC78" i="1" s="1"/>
  <c r="M79" i="13" s="1"/>
  <c r="G79" i="13" l="1"/>
  <c r="E78" i="31"/>
  <c r="F79" i="1"/>
  <c r="G79" i="1"/>
  <c r="B78" i="31"/>
  <c r="C78" i="31"/>
  <c r="AF78" i="1"/>
  <c r="N79" i="13" s="1"/>
  <c r="AG78" i="1"/>
  <c r="C77" i="11" l="1"/>
  <c r="E79" i="1"/>
  <c r="D79" i="1" s="1"/>
  <c r="D78" i="31"/>
  <c r="O79" i="13" s="1"/>
  <c r="G77" i="11" l="1"/>
  <c r="H77" i="11" s="1"/>
  <c r="J79" i="13" s="1"/>
  <c r="K79" i="13"/>
  <c r="D77" i="11"/>
  <c r="H78" i="31"/>
  <c r="Q79" i="13" s="1"/>
  <c r="F78" i="31"/>
  <c r="P79" i="13" s="1"/>
  <c r="C80" i="13"/>
  <c r="C79" i="1"/>
  <c r="D80" i="13" s="1"/>
  <c r="X79" i="1"/>
  <c r="A78" i="11"/>
  <c r="B80" i="13"/>
  <c r="L79" i="1"/>
  <c r="H80" i="1"/>
  <c r="I80" i="1"/>
  <c r="AA79" i="1" l="1"/>
  <c r="H79" i="13"/>
  <c r="E77" i="11"/>
  <c r="I79" i="13" s="1"/>
  <c r="E80" i="13"/>
  <c r="Y79" i="1"/>
  <c r="F79" i="11"/>
  <c r="AD79" i="1"/>
  <c r="R79" i="1"/>
  <c r="Q79" i="1" s="1"/>
  <c r="P79" i="1" s="1"/>
  <c r="O79" i="1" s="1"/>
  <c r="N79" i="1" s="1"/>
  <c r="B78" i="11"/>
  <c r="L80" i="13"/>
  <c r="M79" i="1" l="1"/>
  <c r="F80" i="13"/>
  <c r="AB79" i="1" l="1"/>
  <c r="AC79" i="1" s="1"/>
  <c r="M80" i="13" s="1"/>
  <c r="E79" i="31"/>
  <c r="G80" i="13"/>
  <c r="F80" i="1" l="1"/>
  <c r="G80" i="1"/>
  <c r="AG79" i="1"/>
  <c r="C79" i="31"/>
  <c r="B79" i="31"/>
  <c r="AF79" i="1"/>
  <c r="N80" i="13" s="1"/>
  <c r="C78" i="11" l="1"/>
  <c r="E80" i="1"/>
  <c r="D80" i="1" s="1"/>
  <c r="D79" i="31"/>
  <c r="O80" i="13" s="1"/>
  <c r="K80" i="13" l="1"/>
  <c r="G78" i="11"/>
  <c r="H78" i="11" s="1"/>
  <c r="J80" i="13" s="1"/>
  <c r="D78" i="11"/>
  <c r="H79" i="31"/>
  <c r="Q80" i="13" s="1"/>
  <c r="F79" i="31"/>
  <c r="P80" i="13" s="1"/>
  <c r="A79" i="11"/>
  <c r="C81" i="13"/>
  <c r="C80" i="1"/>
  <c r="D81" i="13" s="1"/>
  <c r="X80" i="1"/>
  <c r="B81" i="13"/>
  <c r="H81" i="1"/>
  <c r="L80" i="1"/>
  <c r="I81" i="1"/>
  <c r="AA80" i="1" l="1"/>
  <c r="H80" i="13"/>
  <c r="E78" i="11"/>
  <c r="I80" i="13" s="1"/>
  <c r="R80" i="1"/>
  <c r="Q80" i="1" s="1"/>
  <c r="P80" i="1" s="1"/>
  <c r="O80" i="1" s="1"/>
  <c r="N80" i="1" s="1"/>
  <c r="B79" i="11"/>
  <c r="L81" i="13"/>
  <c r="E81" i="13"/>
  <c r="Y80" i="1"/>
  <c r="F80" i="11"/>
  <c r="AD80" i="1"/>
  <c r="F81" i="13" l="1"/>
  <c r="M80" i="1"/>
  <c r="E80" i="31" l="1"/>
  <c r="G81" i="13"/>
  <c r="AG80" i="1"/>
  <c r="AB80" i="1"/>
  <c r="AC80" i="1" s="1"/>
  <c r="M81" i="13" s="1"/>
  <c r="G81" i="1" l="1"/>
  <c r="F81" i="1"/>
  <c r="B80" i="31"/>
  <c r="C80" i="31"/>
  <c r="AF80" i="1"/>
  <c r="N81" i="13" s="1"/>
  <c r="C79" i="11"/>
  <c r="E81" i="1" l="1"/>
  <c r="D81" i="1" s="1"/>
  <c r="C82" i="13" s="1"/>
  <c r="K81" i="13"/>
  <c r="G79" i="11"/>
  <c r="H79" i="11" s="1"/>
  <c r="J81" i="13" s="1"/>
  <c r="D79" i="11"/>
  <c r="D80" i="31"/>
  <c r="O81" i="13" s="1"/>
  <c r="L81" i="1" l="1"/>
  <c r="Y81" i="1" s="1"/>
  <c r="H82" i="1"/>
  <c r="B82" i="13"/>
  <c r="I82" i="1"/>
  <c r="A80" i="11"/>
  <c r="L82" i="13" s="1"/>
  <c r="C81" i="1"/>
  <c r="D82" i="13" s="1"/>
  <c r="X81" i="1"/>
  <c r="H81" i="13"/>
  <c r="E79" i="11"/>
  <c r="I81" i="13" s="1"/>
  <c r="F80" i="31"/>
  <c r="P81" i="13" s="1"/>
  <c r="H80" i="31"/>
  <c r="Q81" i="13" s="1"/>
  <c r="R81" i="1" l="1"/>
  <c r="Q81" i="1" s="1"/>
  <c r="P81" i="1" s="1"/>
  <c r="O81" i="1" s="1"/>
  <c r="N81" i="1" s="1"/>
  <c r="M81" i="1" s="1"/>
  <c r="F81" i="11"/>
  <c r="B80" i="11"/>
  <c r="E82" i="13"/>
  <c r="AD81" i="1"/>
  <c r="AA81" i="1"/>
  <c r="F82" i="13" l="1"/>
  <c r="AB81" i="1"/>
  <c r="AC81" i="1" s="1"/>
  <c r="M82" i="13" s="1"/>
  <c r="E81" i="31"/>
  <c r="G82" i="13"/>
  <c r="G82" i="1" l="1"/>
  <c r="F82" i="1"/>
  <c r="AG81" i="1"/>
  <c r="C81" i="31"/>
  <c r="B81" i="31"/>
  <c r="AF81" i="1"/>
  <c r="N82" i="13" s="1"/>
  <c r="C80" i="11" l="1"/>
  <c r="E82" i="1"/>
  <c r="D82" i="1" s="1"/>
  <c r="D81" i="31"/>
  <c r="O82" i="13" s="1"/>
  <c r="H81" i="31" l="1"/>
  <c r="Q82" i="13" s="1"/>
  <c r="F81" i="31"/>
  <c r="P82" i="13" s="1"/>
  <c r="K82" i="13"/>
  <c r="G80" i="11"/>
  <c r="H80" i="11" s="1"/>
  <c r="J82" i="13" s="1"/>
  <c r="D80" i="11"/>
  <c r="C82" i="1"/>
  <c r="D83" i="13" s="1"/>
  <c r="C83" i="13"/>
  <c r="A81" i="11"/>
  <c r="B83" i="13"/>
  <c r="X82" i="1"/>
  <c r="H83" i="1"/>
  <c r="I83" i="1"/>
  <c r="L82" i="1"/>
  <c r="AA82" i="1" l="1"/>
  <c r="R82" i="1"/>
  <c r="Q82" i="1" s="1"/>
  <c r="P82" i="1" s="1"/>
  <c r="O82" i="1" s="1"/>
  <c r="N82" i="1" s="1"/>
  <c r="L83" i="13"/>
  <c r="B81" i="11"/>
  <c r="E83" i="13"/>
  <c r="Y82" i="1"/>
  <c r="AD82" i="1"/>
  <c r="F82" i="11"/>
  <c r="E80" i="11"/>
  <c r="I82" i="13" s="1"/>
  <c r="H82" i="13"/>
  <c r="M82" i="1" l="1"/>
  <c r="F83" i="13"/>
  <c r="AB82" i="1" l="1"/>
  <c r="AC82" i="1" s="1"/>
  <c r="M83" i="13" s="1"/>
  <c r="E82" i="31"/>
  <c r="G83" i="13"/>
  <c r="AG82" i="1"/>
  <c r="F83" i="1" l="1"/>
  <c r="G83" i="1"/>
  <c r="C81" i="11"/>
  <c r="C82" i="31"/>
  <c r="B82" i="31"/>
  <c r="AF82" i="1"/>
  <c r="N83" i="13" s="1"/>
  <c r="E83" i="1" l="1"/>
  <c r="D83" i="1" s="1"/>
  <c r="B84" i="13" s="1"/>
  <c r="D82" i="31"/>
  <c r="O83" i="13" s="1"/>
  <c r="K83" i="13"/>
  <c r="G81" i="11"/>
  <c r="H81" i="11" s="1"/>
  <c r="J83" i="13" s="1"/>
  <c r="D81" i="11"/>
  <c r="I84" i="1" l="1"/>
  <c r="X83" i="1"/>
  <c r="L83" i="1"/>
  <c r="F83" i="11" s="1"/>
  <c r="C83" i="1"/>
  <c r="D84" i="13" s="1"/>
  <c r="A82" i="11"/>
  <c r="L84" i="13" s="1"/>
  <c r="C84" i="13"/>
  <c r="H84" i="1"/>
  <c r="H82" i="31"/>
  <c r="Q83" i="13" s="1"/>
  <c r="F82" i="31"/>
  <c r="P83" i="13" s="1"/>
  <c r="E81" i="11"/>
  <c r="I83" i="13" s="1"/>
  <c r="H83" i="13"/>
  <c r="R83" i="1" l="1"/>
  <c r="Q83" i="1" s="1"/>
  <c r="P83" i="1" s="1"/>
  <c r="O83" i="1" s="1"/>
  <c r="N83" i="1" s="1"/>
  <c r="M83" i="1" s="1"/>
  <c r="AA83" i="1"/>
  <c r="B82" i="11"/>
  <c r="E84" i="13"/>
  <c r="AD83" i="1"/>
  <c r="Y83" i="1"/>
  <c r="F84" i="13" l="1"/>
  <c r="AB83" i="1"/>
  <c r="AC83" i="1" s="1"/>
  <c r="M84" i="13" s="1"/>
  <c r="E83" i="31"/>
  <c r="G84" i="13"/>
  <c r="AG83" i="1"/>
  <c r="G84" i="1" l="1"/>
  <c r="F84" i="1"/>
  <c r="C82" i="11"/>
  <c r="B83" i="31"/>
  <c r="C83" i="31"/>
  <c r="AF83" i="1"/>
  <c r="N84" i="13" s="1"/>
  <c r="E84" i="1" l="1"/>
  <c r="D84" i="1" s="1"/>
  <c r="C85" i="13" s="1"/>
  <c r="D83" i="31"/>
  <c r="K84" i="13"/>
  <c r="G82" i="11"/>
  <c r="H82" i="11" s="1"/>
  <c r="J84" i="13" s="1"/>
  <c r="D82" i="11"/>
  <c r="L84" i="1" l="1"/>
  <c r="F84" i="11" s="1"/>
  <c r="A83" i="11"/>
  <c r="B83" i="11" s="1"/>
  <c r="X84" i="1"/>
  <c r="I85" i="1"/>
  <c r="C84" i="1"/>
  <c r="D85" i="13" s="1"/>
  <c r="H85" i="1"/>
  <c r="R84" i="1" s="1"/>
  <c r="B85" i="13"/>
  <c r="H83" i="31"/>
  <c r="Q84" i="13" s="1"/>
  <c r="O84" i="13"/>
  <c r="F83" i="31"/>
  <c r="P84" i="13" s="1"/>
  <c r="E82" i="11"/>
  <c r="I84" i="13" s="1"/>
  <c r="H84" i="13"/>
  <c r="Y84" i="1" l="1"/>
  <c r="L85" i="13"/>
  <c r="AA84" i="1"/>
  <c r="E85" i="13"/>
  <c r="Q84" i="1"/>
  <c r="P84" i="1" s="1"/>
  <c r="O84" i="1" s="1"/>
  <c r="N84" i="1" s="1"/>
  <c r="F85" i="13" s="1"/>
  <c r="AD84" i="1"/>
  <c r="M84" i="1" l="1"/>
  <c r="AB84" i="1" s="1"/>
  <c r="AC84" i="1" s="1"/>
  <c r="M85" i="13" s="1"/>
  <c r="AG84" i="1"/>
  <c r="G85" i="13" l="1"/>
  <c r="G85" i="1"/>
  <c r="E84" i="31"/>
  <c r="F85" i="1"/>
  <c r="E85" i="1" s="1"/>
  <c r="D85" i="1" s="1"/>
  <c r="C83" i="11"/>
  <c r="B84" i="31"/>
  <c r="C84" i="31"/>
  <c r="AF84" i="1"/>
  <c r="N85" i="13" s="1"/>
  <c r="D84" i="31" l="1"/>
  <c r="C85" i="1"/>
  <c r="D86" i="13" s="1"/>
  <c r="B86" i="13"/>
  <c r="X85" i="1"/>
  <c r="A84" i="11"/>
  <c r="C86" i="13"/>
  <c r="H86" i="1"/>
  <c r="L85" i="1"/>
  <c r="I86" i="1"/>
  <c r="G83" i="11"/>
  <c r="H83" i="11" s="1"/>
  <c r="J85" i="13" s="1"/>
  <c r="K85" i="13"/>
  <c r="D83" i="11"/>
  <c r="F84" i="31" l="1"/>
  <c r="P85" i="13" s="1"/>
  <c r="O85" i="13"/>
  <c r="H84" i="31"/>
  <c r="Q85" i="13" s="1"/>
  <c r="E86" i="13"/>
  <c r="Y85" i="1"/>
  <c r="F85" i="11"/>
  <c r="AD85" i="1"/>
  <c r="R85" i="1"/>
  <c r="Q85" i="1" s="1"/>
  <c r="P85" i="1" s="1"/>
  <c r="O85" i="1" s="1"/>
  <c r="N85" i="1" s="1"/>
  <c r="AA85" i="1"/>
  <c r="B84" i="11"/>
  <c r="L86" i="13"/>
  <c r="H85" i="13"/>
  <c r="E83" i="11"/>
  <c r="I85" i="13" s="1"/>
  <c r="M85" i="1" l="1"/>
  <c r="F86" i="13"/>
  <c r="AB85" i="1" l="1"/>
  <c r="AC85" i="1" s="1"/>
  <c r="M86" i="13" s="1"/>
  <c r="G86" i="13"/>
  <c r="E85" i="31"/>
  <c r="AG85" i="1"/>
  <c r="F86" i="1" l="1"/>
  <c r="G86" i="1"/>
  <c r="C84" i="11"/>
  <c r="B85" i="31"/>
  <c r="C85" i="31"/>
  <c r="AF85" i="1"/>
  <c r="N86" i="13" s="1"/>
  <c r="E86" i="1" l="1"/>
  <c r="D86" i="1" s="1"/>
  <c r="A85" i="11" s="1"/>
  <c r="D85" i="31"/>
  <c r="K86" i="13"/>
  <c r="G84" i="11"/>
  <c r="H84" i="11" s="1"/>
  <c r="J86" i="13" s="1"/>
  <c r="D84" i="11"/>
  <c r="L86" i="1" l="1"/>
  <c r="Y86" i="1" s="1"/>
  <c r="X86" i="1"/>
  <c r="I87" i="1"/>
  <c r="C86" i="1"/>
  <c r="D87" i="13" s="1"/>
  <c r="C87" i="13"/>
  <c r="H87" i="1"/>
  <c r="R86" i="1" s="1"/>
  <c r="B87" i="13"/>
  <c r="H85" i="31"/>
  <c r="Q86" i="13" s="1"/>
  <c r="O86" i="13"/>
  <c r="F85" i="31"/>
  <c r="P86" i="13" s="1"/>
  <c r="E84" i="11"/>
  <c r="I86" i="13" s="1"/>
  <c r="H86" i="13"/>
  <c r="B85" i="11"/>
  <c r="L87" i="13"/>
  <c r="AA86" i="1" l="1"/>
  <c r="AD86" i="1"/>
  <c r="E87" i="13"/>
  <c r="F86" i="11"/>
  <c r="Q86" i="1"/>
  <c r="P86" i="1" s="1"/>
  <c r="O86" i="1" s="1"/>
  <c r="N86" i="1" s="1"/>
  <c r="F87" i="13" s="1"/>
  <c r="M86" i="1" l="1"/>
  <c r="AB86" i="1" s="1"/>
  <c r="AC86" i="1" s="1"/>
  <c r="M87" i="13" s="1"/>
  <c r="AG86" i="1"/>
  <c r="E86" i="31" l="1"/>
  <c r="G87" i="13"/>
  <c r="F87" i="1"/>
  <c r="G87" i="1"/>
  <c r="C85" i="11"/>
  <c r="B86" i="31"/>
  <c r="C86" i="31"/>
  <c r="AF86" i="1"/>
  <c r="N87" i="13" s="1"/>
  <c r="E87" i="1" l="1"/>
  <c r="D87" i="1" s="1"/>
  <c r="B88" i="13" s="1"/>
  <c r="D86" i="31"/>
  <c r="K87" i="13"/>
  <c r="G85" i="11"/>
  <c r="H85" i="11" s="1"/>
  <c r="J87" i="13" s="1"/>
  <c r="D85" i="11"/>
  <c r="H88" i="1" l="1"/>
  <c r="X87" i="1"/>
  <c r="L87" i="1"/>
  <c r="Y87" i="1" s="1"/>
  <c r="C87" i="1"/>
  <c r="D88" i="13" s="1"/>
  <c r="I88" i="1"/>
  <c r="AA87" i="1" s="1"/>
  <c r="A86" i="11"/>
  <c r="L88" i="13" s="1"/>
  <c r="C88" i="13"/>
  <c r="F86" i="31"/>
  <c r="P87" i="13" s="1"/>
  <c r="O87" i="13"/>
  <c r="H86" i="31"/>
  <c r="Q87" i="13" s="1"/>
  <c r="H87" i="13"/>
  <c r="E85" i="11"/>
  <c r="I87" i="13" s="1"/>
  <c r="B86" i="11" l="1"/>
  <c r="R87" i="1"/>
  <c r="Q87" i="1" s="1"/>
  <c r="P87" i="1" s="1"/>
  <c r="O87" i="1" s="1"/>
  <c r="N87" i="1" s="1"/>
  <c r="F88" i="13" s="1"/>
  <c r="F87" i="11"/>
  <c r="E88" i="13"/>
  <c r="AD87" i="1"/>
  <c r="M87" i="1" l="1"/>
  <c r="G88" i="13" s="1"/>
  <c r="AG87" i="1"/>
  <c r="E87" i="31" l="1"/>
  <c r="AB87" i="1"/>
  <c r="AC87" i="1" s="1"/>
  <c r="M88" i="13" s="1"/>
  <c r="F88" i="1"/>
  <c r="G88" i="1"/>
  <c r="C86" i="11"/>
  <c r="C87" i="31" l="1"/>
  <c r="B87" i="31"/>
  <c r="AF87" i="1"/>
  <c r="N88" i="13" s="1"/>
  <c r="E88" i="1"/>
  <c r="D88" i="1" s="1"/>
  <c r="C89" i="13" s="1"/>
  <c r="K88" i="13"/>
  <c r="G86" i="11"/>
  <c r="H86" i="11" s="1"/>
  <c r="J88" i="13" s="1"/>
  <c r="D86" i="11"/>
  <c r="D87" i="31" l="1"/>
  <c r="F87" i="31" s="1"/>
  <c r="P88" i="13" s="1"/>
  <c r="H89" i="1"/>
  <c r="C88" i="1"/>
  <c r="D89" i="13" s="1"/>
  <c r="I89" i="1"/>
  <c r="B89" i="13"/>
  <c r="A87" i="11"/>
  <c r="L89" i="13" s="1"/>
  <c r="X88" i="1"/>
  <c r="L88" i="1"/>
  <c r="E89" i="13" s="1"/>
  <c r="O88" i="13"/>
  <c r="E86" i="11"/>
  <c r="I88" i="13" s="1"/>
  <c r="H88" i="13"/>
  <c r="H87" i="31" l="1"/>
  <c r="Q88" i="13" s="1"/>
  <c r="R88" i="1"/>
  <c r="Q88" i="1" s="1"/>
  <c r="P88" i="1" s="1"/>
  <c r="O88" i="1" s="1"/>
  <c r="N88" i="1" s="1"/>
  <c r="M88" i="1" s="1"/>
  <c r="B87" i="11"/>
  <c r="AD88" i="1"/>
  <c r="AA88" i="1"/>
  <c r="F88" i="11"/>
  <c r="Y88" i="1"/>
  <c r="F89" i="13" l="1"/>
  <c r="AB88" i="1"/>
  <c r="AC88" i="1" s="1"/>
  <c r="M89" i="13" s="1"/>
  <c r="E88" i="31"/>
  <c r="G89" i="13"/>
  <c r="AG88" i="1"/>
  <c r="F89" i="1" l="1"/>
  <c r="G89" i="1"/>
  <c r="C87" i="11"/>
  <c r="C88" i="31"/>
  <c r="B88" i="31"/>
  <c r="AF88" i="1"/>
  <c r="N89" i="13" s="1"/>
  <c r="E89" i="1" l="1"/>
  <c r="D89" i="1" s="1"/>
  <c r="B90" i="13" s="1"/>
  <c r="D88" i="31"/>
  <c r="O89" i="13" s="1"/>
  <c r="K89" i="13"/>
  <c r="G87" i="11"/>
  <c r="H87" i="11" s="1"/>
  <c r="J89" i="13" s="1"/>
  <c r="D87" i="11"/>
  <c r="I90" i="1" l="1"/>
  <c r="X89" i="1"/>
  <c r="H90" i="1"/>
  <c r="A88" i="11"/>
  <c r="L90" i="13" s="1"/>
  <c r="C89" i="1"/>
  <c r="D90" i="13" s="1"/>
  <c r="C90" i="13"/>
  <c r="L89" i="1"/>
  <c r="Y89" i="1" s="1"/>
  <c r="E87" i="11"/>
  <c r="I89" i="13" s="1"/>
  <c r="H89" i="13"/>
  <c r="F88" i="31"/>
  <c r="P89" i="13" s="1"/>
  <c r="H88" i="31"/>
  <c r="Q89" i="13" s="1"/>
  <c r="B88" i="11" l="1"/>
  <c r="R89" i="1"/>
  <c r="Q89" i="1" s="1"/>
  <c r="P89" i="1" s="1"/>
  <c r="O89" i="1" s="1"/>
  <c r="N89" i="1" s="1"/>
  <c r="F90" i="13" s="1"/>
  <c r="AA89" i="1"/>
  <c r="F89" i="11"/>
  <c r="AD89" i="1"/>
  <c r="E90" i="13"/>
  <c r="M89" i="1" l="1"/>
  <c r="AB89" i="1" s="1"/>
  <c r="AC89" i="1" s="1"/>
  <c r="M90" i="13" s="1"/>
  <c r="AG89" i="1"/>
  <c r="E89" i="31" l="1"/>
  <c r="G90" i="13"/>
  <c r="F90" i="1"/>
  <c r="G90" i="1"/>
  <c r="C88" i="11"/>
  <c r="C89" i="31"/>
  <c r="B89" i="31"/>
  <c r="AF89" i="1"/>
  <c r="N90" i="13" s="1"/>
  <c r="E90" i="1" l="1"/>
  <c r="D90" i="1" s="1"/>
  <c r="C90" i="1" s="1"/>
  <c r="D91" i="13" s="1"/>
  <c r="D89" i="31"/>
  <c r="O90" i="13" s="1"/>
  <c r="K90" i="13"/>
  <c r="G88" i="11"/>
  <c r="H88" i="11" s="1"/>
  <c r="J90" i="13" s="1"/>
  <c r="D88" i="11"/>
  <c r="I91" i="1" l="1"/>
  <c r="A89" i="11"/>
  <c r="L91" i="13" s="1"/>
  <c r="H91" i="1"/>
  <c r="AA90" i="1" s="1"/>
  <c r="C91" i="13"/>
  <c r="L90" i="1"/>
  <c r="F90" i="11" s="1"/>
  <c r="X90" i="1"/>
  <c r="B91" i="13"/>
  <c r="H90" i="13"/>
  <c r="E88" i="11"/>
  <c r="I90" i="13" s="1"/>
  <c r="F89" i="31"/>
  <c r="P90" i="13" s="1"/>
  <c r="H89" i="31"/>
  <c r="Q90" i="13" s="1"/>
  <c r="B89" i="11" l="1"/>
  <c r="R90" i="1"/>
  <c r="Q90" i="1" s="1"/>
  <c r="P90" i="1" s="1"/>
  <c r="O90" i="1" s="1"/>
  <c r="N90" i="1" s="1"/>
  <c r="F91" i="13" s="1"/>
  <c r="AD90" i="1"/>
  <c r="E91" i="13"/>
  <c r="Y90" i="1"/>
  <c r="M90" i="1" l="1"/>
  <c r="G91" i="13" s="1"/>
  <c r="AG90" i="1"/>
  <c r="G91" i="1" l="1"/>
  <c r="E90" i="31"/>
  <c r="AB90" i="1"/>
  <c r="AC90" i="1" s="1"/>
  <c r="M91" i="13" s="1"/>
  <c r="F91" i="1"/>
  <c r="E91" i="1" s="1"/>
  <c r="D91" i="1" s="1"/>
  <c r="C89" i="11"/>
  <c r="B90" i="31" l="1"/>
  <c r="AF90" i="1"/>
  <c r="N91" i="13" s="1"/>
  <c r="C90" i="31"/>
  <c r="B92" i="13"/>
  <c r="C92" i="13"/>
  <c r="X91" i="1"/>
  <c r="C91" i="1"/>
  <c r="D92" i="13" s="1"/>
  <c r="A90" i="11"/>
  <c r="H92" i="1"/>
  <c r="L91" i="1"/>
  <c r="I92" i="1"/>
  <c r="K91" i="13"/>
  <c r="G89" i="11"/>
  <c r="H89" i="11" s="1"/>
  <c r="J91" i="13" s="1"/>
  <c r="D89" i="11"/>
  <c r="D90" i="31" l="1"/>
  <c r="O91" i="13" s="1"/>
  <c r="R91" i="1"/>
  <c r="Q91" i="1" s="1"/>
  <c r="P91" i="1" s="1"/>
  <c r="O91" i="1" s="1"/>
  <c r="N91" i="1" s="1"/>
  <c r="B90" i="11"/>
  <c r="L92" i="13"/>
  <c r="AA91" i="1"/>
  <c r="H91" i="13"/>
  <c r="E89" i="11"/>
  <c r="I91" i="13" s="1"/>
  <c r="Y91" i="1"/>
  <c r="E92" i="13"/>
  <c r="F91" i="11"/>
  <c r="AD91" i="1"/>
  <c r="F90" i="31" l="1"/>
  <c r="P91" i="13" s="1"/>
  <c r="H90" i="31"/>
  <c r="Q91" i="13" s="1"/>
  <c r="F92" i="13"/>
  <c r="M91" i="1"/>
  <c r="AB91" i="1" l="1"/>
  <c r="AC91" i="1" s="1"/>
  <c r="M92" i="13" s="1"/>
  <c r="G92" i="13"/>
  <c r="E91" i="31"/>
  <c r="F92" i="1" l="1"/>
  <c r="G92" i="1"/>
  <c r="B91" i="31"/>
  <c r="C91" i="31"/>
  <c r="AF91" i="1"/>
  <c r="N92" i="13" s="1"/>
  <c r="AG91" i="1"/>
  <c r="C90" i="11" l="1"/>
  <c r="E92" i="1"/>
  <c r="D92" i="1" s="1"/>
  <c r="D91" i="31"/>
  <c r="O92" i="13" s="1"/>
  <c r="K92" i="13" l="1"/>
  <c r="G90" i="11"/>
  <c r="H90" i="11" s="1"/>
  <c r="J92" i="13" s="1"/>
  <c r="D90" i="11"/>
  <c r="H91" i="31"/>
  <c r="Q92" i="13" s="1"/>
  <c r="F91" i="31"/>
  <c r="P92" i="13" s="1"/>
  <c r="A91" i="11"/>
  <c r="X92" i="1"/>
  <c r="B93" i="13"/>
  <c r="C92" i="1"/>
  <c r="D93" i="13" s="1"/>
  <c r="C93" i="13"/>
  <c r="L92" i="1"/>
  <c r="H93" i="1"/>
  <c r="I93" i="1"/>
  <c r="R92" i="1" l="1"/>
  <c r="Q92" i="1" s="1"/>
  <c r="P92" i="1" s="1"/>
  <c r="O92" i="1" s="1"/>
  <c r="N92" i="1" s="1"/>
  <c r="AA92" i="1"/>
  <c r="H92" i="13"/>
  <c r="E90" i="11"/>
  <c r="I92" i="13" s="1"/>
  <c r="Y92" i="1"/>
  <c r="E93" i="13"/>
  <c r="AD92" i="1"/>
  <c r="F92" i="11"/>
  <c r="B91" i="11"/>
  <c r="L93" i="13"/>
  <c r="F93" i="13" l="1"/>
  <c r="M92" i="1"/>
  <c r="AB92" i="1" l="1"/>
  <c r="AC92" i="1" s="1"/>
  <c r="M93" i="13" s="1"/>
  <c r="G93" i="13"/>
  <c r="E92" i="31"/>
  <c r="G93" i="1" l="1"/>
  <c r="F93" i="1"/>
  <c r="AG92" i="1"/>
  <c r="B92" i="31"/>
  <c r="C92" i="31"/>
  <c r="AF92" i="1"/>
  <c r="N93" i="13" s="1"/>
  <c r="D92" i="31" l="1"/>
  <c r="C91" i="11"/>
  <c r="E93" i="1"/>
  <c r="D93" i="1" s="1"/>
  <c r="H92" i="31" l="1"/>
  <c r="Q93" i="13" s="1"/>
  <c r="O93" i="13"/>
  <c r="F92" i="31"/>
  <c r="P93" i="13" s="1"/>
  <c r="C94" i="13"/>
  <c r="B94" i="13"/>
  <c r="A92" i="11"/>
  <c r="C93" i="1"/>
  <c r="D94" i="13" s="1"/>
  <c r="X93" i="1"/>
  <c r="L93" i="1"/>
  <c r="I94" i="1"/>
  <c r="H94" i="1"/>
  <c r="K93" i="13"/>
  <c r="G91" i="11"/>
  <c r="H91" i="11" s="1"/>
  <c r="J93" i="13" s="1"/>
  <c r="D91" i="11"/>
  <c r="E94" i="13" l="1"/>
  <c r="Y93" i="1"/>
  <c r="AD93" i="1"/>
  <c r="F93" i="11"/>
  <c r="L94" i="13"/>
  <c r="B92" i="11"/>
  <c r="H93" i="13"/>
  <c r="E91" i="11"/>
  <c r="I93" i="13" s="1"/>
  <c r="R93" i="1"/>
  <c r="Q93" i="1" s="1"/>
  <c r="P93" i="1" s="1"/>
  <c r="O93" i="1" s="1"/>
  <c r="N93" i="1" s="1"/>
  <c r="AA93" i="1"/>
  <c r="M93" i="1" l="1"/>
  <c r="AB93" i="1" s="1"/>
  <c r="AC93" i="1" s="1"/>
  <c r="F94" i="13"/>
  <c r="AF93" i="1" l="1"/>
  <c r="N94" i="13" s="1"/>
  <c r="M94" i="13"/>
  <c r="B93" i="31"/>
  <c r="C93" i="31"/>
  <c r="E93" i="31"/>
  <c r="G94" i="13"/>
  <c r="AG93" i="1"/>
  <c r="F94" i="1"/>
  <c r="G94" i="1"/>
  <c r="C92" i="11" l="1"/>
  <c r="E94" i="1"/>
  <c r="D94" i="1" s="1"/>
  <c r="D93" i="31"/>
  <c r="O94" i="13" s="1"/>
  <c r="K94" i="13" l="1"/>
  <c r="G92" i="11"/>
  <c r="H92" i="11" s="1"/>
  <c r="J94" i="13" s="1"/>
  <c r="D92" i="11"/>
  <c r="H93" i="31"/>
  <c r="Q94" i="13" s="1"/>
  <c r="F93" i="31"/>
  <c r="P94" i="13" s="1"/>
  <c r="X94" i="1"/>
  <c r="C94" i="1"/>
  <c r="D95" i="13" s="1"/>
  <c r="C95" i="13"/>
  <c r="A93" i="11"/>
  <c r="B95" i="13"/>
  <c r="I95" i="1"/>
  <c r="H95" i="1"/>
  <c r="L94" i="1"/>
  <c r="AA94" i="1" l="1"/>
  <c r="E92" i="11"/>
  <c r="I94" i="13" s="1"/>
  <c r="H94" i="13"/>
  <c r="E95" i="13"/>
  <c r="Y94" i="1"/>
  <c r="AD94" i="1"/>
  <c r="F94" i="11"/>
  <c r="R94" i="1"/>
  <c r="Q94" i="1" s="1"/>
  <c r="P94" i="1" s="1"/>
  <c r="O94" i="1" s="1"/>
  <c r="N94" i="1" s="1"/>
  <c r="L95" i="13"/>
  <c r="B93" i="11"/>
  <c r="M94" i="1" l="1"/>
  <c r="F95" i="13"/>
  <c r="AB94" i="1" l="1"/>
  <c r="AC94" i="1" s="1"/>
  <c r="M95" i="13" s="1"/>
  <c r="E94" i="31"/>
  <c r="G95" i="13"/>
  <c r="AG94" i="1"/>
  <c r="F95" i="1" l="1"/>
  <c r="G95" i="1"/>
  <c r="C93" i="11"/>
  <c r="B94" i="31"/>
  <c r="C94" i="31"/>
  <c r="AF94" i="1"/>
  <c r="N95" i="13" s="1"/>
  <c r="E95" i="1" l="1"/>
  <c r="D95" i="1" s="1"/>
  <c r="C95" i="1" s="1"/>
  <c r="D96" i="13" s="1"/>
  <c r="D94" i="31"/>
  <c r="K95" i="13"/>
  <c r="G93" i="11"/>
  <c r="H93" i="11" s="1"/>
  <c r="J95" i="13" s="1"/>
  <c r="D93" i="11"/>
  <c r="I96" i="1" l="1"/>
  <c r="C96" i="13"/>
  <c r="A94" i="11"/>
  <c r="L96" i="13" s="1"/>
  <c r="B96" i="13"/>
  <c r="X95" i="1"/>
  <c r="H96" i="1"/>
  <c r="L95" i="1"/>
  <c r="Y95" i="1" s="1"/>
  <c r="H94" i="31"/>
  <c r="Q95" i="13" s="1"/>
  <c r="O95" i="13"/>
  <c r="F94" i="31"/>
  <c r="P95" i="13" s="1"/>
  <c r="H95" i="13"/>
  <c r="E93" i="11"/>
  <c r="I95" i="13" s="1"/>
  <c r="AA95" i="1" l="1"/>
  <c r="B94" i="11"/>
  <c r="R95" i="1"/>
  <c r="Q95" i="1" s="1"/>
  <c r="P95" i="1" s="1"/>
  <c r="O95" i="1" s="1"/>
  <c r="N95" i="1" s="1"/>
  <c r="F96" i="13" s="1"/>
  <c r="AD95" i="1"/>
  <c r="F95" i="11"/>
  <c r="E96" i="13"/>
  <c r="M95" i="1" l="1"/>
  <c r="AB95" i="1" s="1"/>
  <c r="AC95" i="1" s="1"/>
  <c r="M96" i="13" s="1"/>
  <c r="AG95" i="1"/>
  <c r="E95" i="31" l="1"/>
  <c r="G96" i="13"/>
  <c r="G96" i="1"/>
  <c r="F96" i="1"/>
  <c r="C94" i="11"/>
  <c r="C95" i="31"/>
  <c r="B95" i="31"/>
  <c r="AF95" i="1"/>
  <c r="N96" i="13" s="1"/>
  <c r="E96" i="1" l="1"/>
  <c r="D96" i="1" s="1"/>
  <c r="B97" i="13" s="1"/>
  <c r="D95" i="31"/>
  <c r="O96" i="13" s="1"/>
  <c r="K96" i="13"/>
  <c r="G94" i="11"/>
  <c r="H94" i="11" s="1"/>
  <c r="J96" i="13" s="1"/>
  <c r="D94" i="11"/>
  <c r="I97" i="1" l="1"/>
  <c r="C96" i="1"/>
  <c r="D97" i="13" s="1"/>
  <c r="H97" i="1"/>
  <c r="C97" i="13"/>
  <c r="L96" i="1"/>
  <c r="Y96" i="1" s="1"/>
  <c r="A95" i="11"/>
  <c r="L97" i="13" s="1"/>
  <c r="X96" i="1"/>
  <c r="E94" i="11"/>
  <c r="I96" i="13" s="1"/>
  <c r="H96" i="13"/>
  <c r="H95" i="31"/>
  <c r="Q96" i="13" s="1"/>
  <c r="F95" i="31"/>
  <c r="P96" i="13" s="1"/>
  <c r="R96" i="1" l="1"/>
  <c r="Q96" i="1" s="1"/>
  <c r="P96" i="1" s="1"/>
  <c r="O96" i="1" s="1"/>
  <c r="N96" i="1" s="1"/>
  <c r="F97" i="13" s="1"/>
  <c r="AD96" i="1"/>
  <c r="B95" i="11"/>
  <c r="F96" i="11"/>
  <c r="E97" i="13"/>
  <c r="AA96" i="1"/>
  <c r="M96" i="1" l="1"/>
  <c r="AB96" i="1" s="1"/>
  <c r="AC96" i="1" s="1"/>
  <c r="M97" i="13" s="1"/>
  <c r="E96" i="31" l="1"/>
  <c r="G97" i="13"/>
  <c r="F97" i="1"/>
  <c r="G97" i="1"/>
  <c r="AG96" i="1"/>
  <c r="B96" i="31"/>
  <c r="C96" i="31"/>
  <c r="AF96" i="1"/>
  <c r="N97" i="13" s="1"/>
  <c r="D96" i="31" l="1"/>
  <c r="E97" i="1"/>
  <c r="D97" i="1" s="1"/>
  <c r="C95" i="11"/>
  <c r="F96" i="31" l="1"/>
  <c r="P97" i="13" s="1"/>
  <c r="O97" i="13"/>
  <c r="H96" i="31"/>
  <c r="Q97" i="13" s="1"/>
  <c r="K97" i="13"/>
  <c r="G95" i="11"/>
  <c r="H95" i="11" s="1"/>
  <c r="J97" i="13" s="1"/>
  <c r="D95" i="11"/>
  <c r="B98" i="13"/>
  <c r="C97" i="1"/>
  <c r="D98" i="13" s="1"/>
  <c r="A96" i="11"/>
  <c r="C98" i="13"/>
  <c r="X97" i="1"/>
  <c r="H98" i="1"/>
  <c r="L97" i="1"/>
  <c r="I98" i="1"/>
  <c r="AA97" i="1" l="1"/>
  <c r="E98" i="13"/>
  <c r="Y97" i="1"/>
  <c r="F97" i="11"/>
  <c r="AD97" i="1"/>
  <c r="E95" i="11"/>
  <c r="I97" i="13" s="1"/>
  <c r="H97" i="13"/>
  <c r="R97" i="1"/>
  <c r="Q97" i="1" s="1"/>
  <c r="P97" i="1" s="1"/>
  <c r="O97" i="1" s="1"/>
  <c r="N97" i="1" s="1"/>
  <c r="L98" i="13"/>
  <c r="B96" i="11"/>
  <c r="F98" i="13" l="1"/>
  <c r="M97" i="1"/>
  <c r="AB97" i="1" l="1"/>
  <c r="AC97" i="1" s="1"/>
  <c r="M98" i="13" s="1"/>
  <c r="E97" i="31"/>
  <c r="G98" i="13"/>
  <c r="F98" i="1"/>
  <c r="G98" i="1" l="1"/>
  <c r="C97" i="31"/>
  <c r="B97" i="31"/>
  <c r="AF97" i="1"/>
  <c r="N98" i="13" s="1"/>
  <c r="AG97" i="1"/>
  <c r="D97" i="31" l="1"/>
  <c r="C96" i="11"/>
  <c r="E98" i="1"/>
  <c r="D98" i="1" s="1"/>
  <c r="H97" i="31" l="1"/>
  <c r="Q98" i="13" s="1"/>
  <c r="O98" i="13"/>
  <c r="F97" i="31"/>
  <c r="P98" i="13" s="1"/>
  <c r="K98" i="13"/>
  <c r="G96" i="11"/>
  <c r="H96" i="11" s="1"/>
  <c r="J98" i="13" s="1"/>
  <c r="D96" i="11"/>
  <c r="X98" i="1"/>
  <c r="C98" i="1"/>
  <c r="D99" i="13" s="1"/>
  <c r="B99" i="13"/>
  <c r="C99" i="13"/>
  <c r="A97" i="11"/>
  <c r="L98" i="1"/>
  <c r="I99" i="1"/>
  <c r="H99" i="1"/>
  <c r="AA98" i="1" l="1"/>
  <c r="B97" i="11"/>
  <c r="L99" i="13"/>
  <c r="E96" i="11"/>
  <c r="I98" i="13" s="1"/>
  <c r="H98" i="13"/>
  <c r="R98" i="1"/>
  <c r="Q98" i="1" s="1"/>
  <c r="P98" i="1" s="1"/>
  <c r="O98" i="1" s="1"/>
  <c r="N98" i="1" s="1"/>
  <c r="Y98" i="1"/>
  <c r="E99" i="13"/>
  <c r="AD98" i="1"/>
  <c r="F98" i="11"/>
  <c r="F99" i="13" l="1"/>
  <c r="M98" i="1"/>
  <c r="AB98" i="1" s="1"/>
  <c r="AC98" i="1" s="1"/>
  <c r="M99" i="13" s="1"/>
  <c r="B98" i="31" l="1"/>
  <c r="C98" i="31"/>
  <c r="AF98" i="1"/>
  <c r="N99" i="13" s="1"/>
  <c r="G99" i="13"/>
  <c r="E98" i="31"/>
  <c r="AG98" i="1"/>
  <c r="F99" i="1"/>
  <c r="G99" i="1"/>
  <c r="E99" i="1" l="1"/>
  <c r="D99" i="1" s="1"/>
  <c r="C97" i="11"/>
  <c r="D98" i="31"/>
  <c r="O99" i="13" s="1"/>
  <c r="F98" i="31" l="1"/>
  <c r="P99" i="13" s="1"/>
  <c r="H98" i="31"/>
  <c r="Q99" i="13" s="1"/>
  <c r="G97" i="11"/>
  <c r="H97" i="11" s="1"/>
  <c r="J99" i="13" s="1"/>
  <c r="K99" i="13"/>
  <c r="D97" i="11"/>
  <c r="C99" i="1"/>
  <c r="D100" i="13" s="1"/>
  <c r="B100" i="13"/>
  <c r="A98" i="11"/>
  <c r="X99" i="1"/>
  <c r="C100" i="13"/>
  <c r="L99" i="1"/>
  <c r="I100" i="1"/>
  <c r="H100" i="1"/>
  <c r="AA99" i="1" l="1"/>
  <c r="E97" i="11"/>
  <c r="I99" i="13" s="1"/>
  <c r="H99" i="13"/>
  <c r="E100" i="13"/>
  <c r="Y99" i="1"/>
  <c r="F99" i="11"/>
  <c r="AD99" i="1"/>
  <c r="L100" i="13"/>
  <c r="B98" i="11"/>
  <c r="R99" i="1"/>
  <c r="Q99" i="1" s="1"/>
  <c r="P99" i="1" s="1"/>
  <c r="O99" i="1" s="1"/>
  <c r="N99" i="1" s="1"/>
  <c r="F100" i="13" l="1"/>
  <c r="M99" i="1"/>
  <c r="AB99" i="1" l="1"/>
  <c r="AC99" i="1" s="1"/>
  <c r="M100" i="13" s="1"/>
  <c r="G100" i="13"/>
  <c r="E99" i="31"/>
  <c r="AG99" i="1"/>
  <c r="G100" i="1" l="1"/>
  <c r="F100" i="1"/>
  <c r="C98" i="11"/>
  <c r="B99" i="31"/>
  <c r="C99" i="31"/>
  <c r="AF99" i="1"/>
  <c r="N100" i="13" s="1"/>
  <c r="E100" i="1" l="1"/>
  <c r="D100" i="1" s="1"/>
  <c r="C100" i="1" s="1"/>
  <c r="D101" i="13" s="1"/>
  <c r="D99" i="31"/>
  <c r="G98" i="11"/>
  <c r="H98" i="11" s="1"/>
  <c r="J100" i="13" s="1"/>
  <c r="K100" i="13"/>
  <c r="D98" i="11"/>
  <c r="B101" i="13" l="1"/>
  <c r="H101" i="1"/>
  <c r="A99" i="11"/>
  <c r="B99" i="11" s="1"/>
  <c r="L100" i="1"/>
  <c r="E101" i="13" s="1"/>
  <c r="X100" i="1"/>
  <c r="I101" i="1"/>
  <c r="C101" i="13"/>
  <c r="H99" i="31"/>
  <c r="Q100" i="13" s="1"/>
  <c r="O100" i="13"/>
  <c r="AA100" i="1"/>
  <c r="F99" i="31"/>
  <c r="P100" i="13" s="1"/>
  <c r="H100" i="13"/>
  <c r="E98" i="11"/>
  <c r="I100" i="13" s="1"/>
  <c r="F100" i="11" l="1"/>
  <c r="AD100" i="1"/>
  <c r="Y100" i="1"/>
  <c r="R100" i="1"/>
  <c r="Q100" i="1" s="1"/>
  <c r="P100" i="1" s="1"/>
  <c r="O100" i="1" s="1"/>
  <c r="N100" i="1" s="1"/>
  <c r="F101" i="13" s="1"/>
  <c r="L101" i="13"/>
  <c r="M100" i="1" l="1"/>
  <c r="AB100" i="1" s="1"/>
  <c r="AC100" i="1" s="1"/>
  <c r="M101" i="13" s="1"/>
  <c r="E100" i="31" l="1"/>
  <c r="G101" i="13"/>
  <c r="F101" i="1"/>
  <c r="G101" i="1"/>
  <c r="AG100" i="1"/>
  <c r="C100" i="31"/>
  <c r="B100" i="31"/>
  <c r="AF100" i="1"/>
  <c r="N101" i="13" s="1"/>
  <c r="D100" i="31" l="1"/>
  <c r="O101" i="13" s="1"/>
  <c r="C99" i="11"/>
  <c r="E101" i="1"/>
  <c r="D101" i="1" s="1"/>
  <c r="C102" i="13" l="1"/>
  <c r="C101" i="1"/>
  <c r="D102" i="13" s="1"/>
  <c r="B102" i="13"/>
  <c r="A100" i="11"/>
  <c r="X101" i="1"/>
  <c r="L101" i="1"/>
  <c r="I102" i="1"/>
  <c r="H102" i="1"/>
  <c r="K101" i="13"/>
  <c r="G99" i="11"/>
  <c r="H99" i="11" s="1"/>
  <c r="J101" i="13" s="1"/>
  <c r="D99" i="11"/>
  <c r="F100" i="31"/>
  <c r="P101" i="13" s="1"/>
  <c r="H100" i="31"/>
  <c r="Q101" i="13" s="1"/>
  <c r="R101" i="1" l="1"/>
  <c r="Q101" i="1" s="1"/>
  <c r="P101" i="1" s="1"/>
  <c r="O101" i="1" s="1"/>
  <c r="N101" i="1" s="1"/>
  <c r="Y101" i="1"/>
  <c r="E102" i="13"/>
  <c r="F101" i="11"/>
  <c r="AD101" i="1"/>
  <c r="E99" i="11"/>
  <c r="I101" i="13" s="1"/>
  <c r="H101" i="13"/>
  <c r="B100" i="11"/>
  <c r="L102" i="13"/>
  <c r="AA101" i="1"/>
  <c r="M101" i="1" l="1"/>
  <c r="F102" i="13"/>
  <c r="AB101" i="1" l="1"/>
  <c r="AC101" i="1" s="1"/>
  <c r="M102" i="13" s="1"/>
  <c r="E101" i="31"/>
  <c r="G102" i="13"/>
  <c r="G102" i="1" l="1"/>
  <c r="F102" i="1"/>
  <c r="AG101" i="1"/>
  <c r="B101" i="31"/>
  <c r="C101" i="31"/>
  <c r="AF101" i="1"/>
  <c r="N102" i="13" s="1"/>
  <c r="D101" i="31" l="1"/>
  <c r="E102" i="1"/>
  <c r="D102" i="1" s="1"/>
  <c r="C100" i="11"/>
  <c r="H101" i="31" l="1"/>
  <c r="Q102" i="13" s="1"/>
  <c r="O102" i="13"/>
  <c r="F101" i="31"/>
  <c r="P102" i="13" s="1"/>
  <c r="K102" i="13"/>
  <c r="G100" i="11"/>
  <c r="H100" i="11" s="1"/>
  <c r="J102" i="13" s="1"/>
  <c r="D100" i="11"/>
  <c r="C103" i="13"/>
  <c r="B103" i="13"/>
  <c r="C102" i="1"/>
  <c r="D103" i="13" s="1"/>
  <c r="A101" i="11"/>
  <c r="X102" i="1"/>
  <c r="I103" i="1"/>
  <c r="L102" i="1"/>
  <c r="H103" i="1"/>
  <c r="AA102" i="1" l="1"/>
  <c r="E103" i="13"/>
  <c r="Y102" i="1"/>
  <c r="AD102" i="1"/>
  <c r="F102" i="11"/>
  <c r="L103" i="13"/>
  <c r="E100" i="11"/>
  <c r="I102" i="13" s="1"/>
  <c r="H102" i="13"/>
  <c r="R102" i="1"/>
  <c r="Q102" i="1" s="1"/>
  <c r="P102" i="1" s="1"/>
  <c r="O102" i="1" s="1"/>
  <c r="N102" i="1" s="1"/>
  <c r="M102" i="1" l="1"/>
  <c r="F103" i="13"/>
  <c r="AB102" i="1" l="1"/>
  <c r="AC102" i="1" s="1"/>
  <c r="M103" i="13" s="1"/>
  <c r="G103" i="13"/>
  <c r="E102" i="31"/>
  <c r="F103" i="1" l="1"/>
  <c r="G103" i="1"/>
  <c r="AG102" i="1"/>
  <c r="C102" i="31"/>
  <c r="B102" i="31"/>
  <c r="AF102" i="1"/>
  <c r="N103" i="13" s="1"/>
  <c r="C101" i="11" l="1"/>
  <c r="E103" i="1"/>
  <c r="D103" i="1" s="1"/>
  <c r="D102" i="31"/>
  <c r="O103" i="13" s="1"/>
  <c r="F102" i="31" l="1"/>
  <c r="P103" i="13" s="1"/>
  <c r="H102" i="31"/>
  <c r="Q103" i="13" s="1"/>
  <c r="X103" i="1"/>
  <c r="C104" i="13"/>
  <c r="C103" i="1"/>
  <c r="D104" i="13" s="1"/>
  <c r="A102" i="11"/>
  <c r="B104" i="13"/>
  <c r="H104" i="1"/>
  <c r="L103" i="1"/>
  <c r="I104" i="1"/>
  <c r="K103" i="13"/>
  <c r="G101" i="11"/>
  <c r="H101" i="11" s="1"/>
  <c r="J103" i="13" s="1"/>
  <c r="D101" i="11"/>
  <c r="AA103" i="1" l="1"/>
  <c r="H103" i="13"/>
  <c r="E101" i="11"/>
  <c r="I103" i="13" s="1"/>
  <c r="Y103" i="1"/>
  <c r="E104" i="13"/>
  <c r="F103" i="11"/>
  <c r="AD103" i="1"/>
  <c r="L104" i="13"/>
  <c r="R103" i="1"/>
  <c r="Q103" i="1" s="1"/>
  <c r="P103" i="1" s="1"/>
  <c r="O103" i="1" s="1"/>
  <c r="N103" i="1" s="1"/>
  <c r="M103" i="1" l="1"/>
  <c r="AB103" i="1" s="1"/>
  <c r="AC103" i="1" s="1"/>
  <c r="M104" i="13" s="1"/>
  <c r="F104" i="13"/>
  <c r="C103" i="31" l="1"/>
  <c r="B103" i="31"/>
  <c r="AF103" i="1"/>
  <c r="N104" i="13" s="1"/>
  <c r="E103" i="31"/>
  <c r="G104" i="13"/>
  <c r="AG103" i="1"/>
  <c r="G104" i="1"/>
  <c r="F104" i="1"/>
  <c r="D103" i="31" l="1"/>
  <c r="E104" i="1"/>
  <c r="D104" i="1" s="1"/>
  <c r="C102" i="11"/>
  <c r="F103" i="31" l="1"/>
  <c r="P104" i="13" s="1"/>
  <c r="O104" i="13"/>
  <c r="H103" i="31"/>
  <c r="Q104" i="13" s="1"/>
  <c r="A103" i="11"/>
  <c r="X104" i="1"/>
  <c r="C104" i="1"/>
  <c r="D105" i="13" s="1"/>
  <c r="B105" i="13"/>
  <c r="C105" i="13"/>
  <c r="I105" i="1"/>
  <c r="H105" i="1"/>
  <c r="L104" i="1"/>
  <c r="G102" i="11"/>
  <c r="H102" i="11" s="1"/>
  <c r="J104" i="13" s="1"/>
  <c r="K104" i="13"/>
  <c r="D102" i="11"/>
  <c r="H104" i="13" l="1"/>
  <c r="E102" i="11"/>
  <c r="I104" i="13" s="1"/>
  <c r="R104" i="1"/>
  <c r="Q104" i="1" s="1"/>
  <c r="P104" i="1" s="1"/>
  <c r="O104" i="1" s="1"/>
  <c r="N104" i="1" s="1"/>
  <c r="AA104" i="1"/>
  <c r="Y104" i="1"/>
  <c r="E105" i="13"/>
  <c r="AD104" i="1"/>
  <c r="F104" i="11"/>
  <c r="L105" i="13"/>
  <c r="F105" i="13" l="1"/>
  <c r="M104" i="1"/>
  <c r="AB104" i="1" l="1"/>
  <c r="AC104" i="1" s="1"/>
  <c r="M105" i="13" s="1"/>
  <c r="E104" i="31"/>
  <c r="G105" i="13"/>
  <c r="F105" i="1"/>
  <c r="G105" i="1" l="1"/>
  <c r="B104" i="31"/>
  <c r="C104" i="31"/>
  <c r="AF104" i="1"/>
  <c r="N105" i="13" s="1"/>
  <c r="AG104" i="1"/>
  <c r="C103" i="11" s="1"/>
  <c r="E105" i="1" l="1"/>
  <c r="D105" i="1" s="1"/>
  <c r="K105" i="13"/>
  <c r="G103" i="11"/>
  <c r="H103" i="11" s="1"/>
  <c r="J105" i="13" s="1"/>
  <c r="D103" i="11"/>
  <c r="D104" i="31"/>
  <c r="O105" i="13" s="1"/>
  <c r="H104" i="31" l="1"/>
  <c r="Q105" i="13" s="1"/>
  <c r="F104" i="31"/>
  <c r="P105" i="13" s="1"/>
  <c r="C106" i="13"/>
  <c r="X105" i="1"/>
  <c r="C105" i="1"/>
  <c r="D106" i="13" s="1"/>
  <c r="B106" i="13"/>
  <c r="A104" i="11"/>
  <c r="I106" i="1"/>
  <c r="H106" i="1"/>
  <c r="L105" i="1"/>
  <c r="H105" i="13"/>
  <c r="E103" i="11"/>
  <c r="I105" i="13" s="1"/>
  <c r="AA105" i="1" l="1"/>
  <c r="L106" i="13"/>
  <c r="E106" i="13"/>
  <c r="Y105" i="1"/>
  <c r="AD105" i="1"/>
  <c r="F105" i="11"/>
  <c r="R105" i="1"/>
  <c r="Q105" i="1" s="1"/>
  <c r="P105" i="1" s="1"/>
  <c r="O105" i="1" s="1"/>
  <c r="N105" i="1" s="1"/>
  <c r="M105" i="1" l="1"/>
  <c r="AB105" i="1" s="1"/>
  <c r="AC105" i="1" s="1"/>
  <c r="M106" i="13" s="1"/>
  <c r="F106" i="13"/>
  <c r="B105" i="31" l="1"/>
  <c r="C105" i="31"/>
  <c r="E105" i="31"/>
  <c r="G106" i="13"/>
  <c r="AG105" i="1"/>
  <c r="G106" i="1"/>
  <c r="F106" i="1"/>
  <c r="AF105" i="1"/>
  <c r="N106" i="13" s="1"/>
  <c r="E106" i="1" l="1"/>
  <c r="D106" i="1" s="1"/>
  <c r="C104" i="11"/>
  <c r="D105" i="31"/>
  <c r="H105" i="31" l="1"/>
  <c r="Q106" i="13" s="1"/>
  <c r="O106" i="13"/>
  <c r="K106" i="13"/>
  <c r="G104" i="11"/>
  <c r="H104" i="11" s="1"/>
  <c r="J106" i="13" s="1"/>
  <c r="D104" i="11"/>
  <c r="C106" i="1"/>
  <c r="D107" i="13" s="1"/>
  <c r="X106" i="1"/>
  <c r="A105" i="11"/>
  <c r="B107" i="13"/>
  <c r="C107" i="13"/>
  <c r="H107" i="1"/>
  <c r="L106" i="1"/>
  <c r="I107" i="1"/>
  <c r="F105" i="31"/>
  <c r="P106" i="13" s="1"/>
  <c r="AA106" i="1" l="1"/>
  <c r="Y106" i="1"/>
  <c r="E107" i="13"/>
  <c r="F106" i="11"/>
  <c r="AD106" i="1"/>
  <c r="H106" i="13"/>
  <c r="E104" i="11"/>
  <c r="I106" i="13" s="1"/>
  <c r="R106" i="1"/>
  <c r="Q106" i="1" s="1"/>
  <c r="P106" i="1" s="1"/>
  <c r="O106" i="1" s="1"/>
  <c r="N106" i="1" s="1"/>
  <c r="L107" i="13"/>
  <c r="M106" i="1" l="1"/>
  <c r="F107" i="13"/>
  <c r="AB106" i="1" l="1"/>
  <c r="AC106" i="1" s="1"/>
  <c r="M107" i="13" s="1"/>
  <c r="G107" i="13"/>
  <c r="E106" i="31"/>
  <c r="F107" i="1"/>
  <c r="G107" i="1" l="1"/>
  <c r="C106" i="31"/>
  <c r="B106" i="31"/>
  <c r="AF106" i="1"/>
  <c r="N107" i="13" s="1"/>
  <c r="AG106" i="1"/>
  <c r="D106" i="31" l="1"/>
  <c r="E107" i="1"/>
  <c r="D107" i="1" s="1"/>
  <c r="C105" i="11"/>
  <c r="F106" i="31" l="1"/>
  <c r="P107" i="13" s="1"/>
  <c r="O107" i="13"/>
  <c r="H106" i="31"/>
  <c r="Q107" i="13" s="1"/>
  <c r="C108" i="13"/>
  <c r="A106" i="11"/>
  <c r="X107" i="1"/>
  <c r="C107" i="1"/>
  <c r="D108" i="13" s="1"/>
  <c r="B108" i="13"/>
  <c r="L107" i="1"/>
  <c r="I108" i="1"/>
  <c r="H108" i="1"/>
  <c r="K107" i="13"/>
  <c r="G105" i="11"/>
  <c r="H105" i="11" s="1"/>
  <c r="J107" i="13" s="1"/>
  <c r="D105" i="11"/>
  <c r="R107" i="1" l="1"/>
  <c r="Q107" i="1" s="1"/>
  <c r="P107" i="1" s="1"/>
  <c r="O107" i="1" s="1"/>
  <c r="N107" i="1" s="1"/>
  <c r="E105" i="11"/>
  <c r="I107" i="13" s="1"/>
  <c r="H107" i="13"/>
  <c r="Y107" i="1"/>
  <c r="E108" i="13"/>
  <c r="AD107" i="1"/>
  <c r="F107" i="11"/>
  <c r="AA107" i="1"/>
  <c r="L108" i="13"/>
  <c r="F108" i="13" l="1"/>
  <c r="M107" i="1"/>
  <c r="AB107" i="1" l="1"/>
  <c r="AC107" i="1" s="1"/>
  <c r="M108" i="13" s="1"/>
  <c r="E107" i="31"/>
  <c r="G108" i="13"/>
  <c r="G108" i="1" l="1"/>
  <c r="F108" i="1"/>
  <c r="AG107" i="1"/>
  <c r="B107" i="31"/>
  <c r="C107" i="31"/>
  <c r="AF107" i="1"/>
  <c r="N108" i="13" s="1"/>
  <c r="D107" i="31" l="1"/>
  <c r="C106" i="11"/>
  <c r="E108" i="1"/>
  <c r="D108" i="1" s="1"/>
  <c r="F107" i="31" l="1"/>
  <c r="P108" i="13" s="1"/>
  <c r="O108" i="13"/>
  <c r="H107" i="31"/>
  <c r="Q108" i="13" s="1"/>
  <c r="C108" i="1"/>
  <c r="D109" i="13" s="1"/>
  <c r="X108" i="1"/>
  <c r="B109" i="13"/>
  <c r="A107" i="11"/>
  <c r="C109" i="13"/>
  <c r="L108" i="1"/>
  <c r="H109" i="1"/>
  <c r="I109" i="1"/>
  <c r="K108" i="13"/>
  <c r="G106" i="11"/>
  <c r="H106" i="11" s="1"/>
  <c r="J108" i="13" s="1"/>
  <c r="D106" i="11"/>
  <c r="R108" i="1" l="1"/>
  <c r="Q108" i="1" s="1"/>
  <c r="P108" i="1" s="1"/>
  <c r="O108" i="1" s="1"/>
  <c r="N108" i="1" s="1"/>
  <c r="L109" i="13"/>
  <c r="Y108" i="1"/>
  <c r="E109" i="13"/>
  <c r="AD108" i="1"/>
  <c r="F108" i="11"/>
  <c r="H108" i="13"/>
  <c r="E106" i="11"/>
  <c r="I108" i="13" s="1"/>
  <c r="AA108" i="1"/>
  <c r="F109" i="13" l="1"/>
  <c r="M108" i="1"/>
  <c r="AB108" i="1" l="1"/>
  <c r="AC108" i="1" s="1"/>
  <c r="M109" i="13" s="1"/>
  <c r="G109" i="13"/>
  <c r="E108" i="31"/>
  <c r="F109" i="1"/>
  <c r="G109" i="1" l="1"/>
  <c r="AG108" i="1"/>
  <c r="C108" i="31"/>
  <c r="B108" i="31"/>
  <c r="AF108" i="1"/>
  <c r="N109" i="13" s="1"/>
  <c r="C107" i="11" l="1"/>
  <c r="E109" i="1"/>
  <c r="D109" i="1" s="1"/>
  <c r="D108" i="31"/>
  <c r="O109" i="13" s="1"/>
  <c r="K109" i="13" l="1"/>
  <c r="G107" i="11"/>
  <c r="H107" i="11" s="1"/>
  <c r="J109" i="13" s="1"/>
  <c r="D107" i="11"/>
  <c r="F108" i="31"/>
  <c r="P109" i="13" s="1"/>
  <c r="H108" i="31"/>
  <c r="Q109" i="13" s="1"/>
  <c r="B110" i="13"/>
  <c r="C110" i="13"/>
  <c r="X109" i="1"/>
  <c r="A108" i="11"/>
  <c r="C109" i="1"/>
  <c r="D110" i="13" s="1"/>
  <c r="H110" i="1"/>
  <c r="I110" i="1"/>
  <c r="L109" i="1"/>
  <c r="AA109" i="1" l="1"/>
  <c r="E107" i="11"/>
  <c r="I109" i="13" s="1"/>
  <c r="H109" i="13"/>
  <c r="R109" i="1"/>
  <c r="Q109" i="1" s="1"/>
  <c r="P109" i="1" s="1"/>
  <c r="O109" i="1" s="1"/>
  <c r="N109" i="1" s="1"/>
  <c r="E110" i="13"/>
  <c r="Y109" i="1"/>
  <c r="F109" i="11"/>
  <c r="AD109" i="1"/>
  <c r="L110" i="13"/>
  <c r="M109" i="1" l="1"/>
  <c r="F110" i="13"/>
  <c r="AB109" i="1" l="1"/>
  <c r="AC109" i="1" s="1"/>
  <c r="M110" i="13" s="1"/>
  <c r="E109" i="31"/>
  <c r="G110" i="13"/>
  <c r="AG109" i="1"/>
  <c r="G110" i="1" l="1"/>
  <c r="F110" i="1"/>
  <c r="C109" i="31"/>
  <c r="B109" i="31"/>
  <c r="AF109" i="1"/>
  <c r="N110" i="13" s="1"/>
  <c r="C108" i="11"/>
  <c r="E110" i="1" l="1"/>
  <c r="D110" i="1" s="1"/>
  <c r="A109" i="11" s="1"/>
  <c r="D109" i="31"/>
  <c r="G108" i="11"/>
  <c r="H108" i="11" s="1"/>
  <c r="J110" i="13" s="1"/>
  <c r="K110" i="13"/>
  <c r="D108" i="11"/>
  <c r="C110" i="1" l="1"/>
  <c r="D111" i="13" s="1"/>
  <c r="B111" i="13"/>
  <c r="H111" i="1"/>
  <c r="X110" i="1"/>
  <c r="L110" i="1"/>
  <c r="E111" i="13" s="1"/>
  <c r="C111" i="13"/>
  <c r="I111" i="1"/>
  <c r="AA110" i="1" s="1"/>
  <c r="H109" i="31"/>
  <c r="Q110" i="13" s="1"/>
  <c r="O110" i="13"/>
  <c r="F109" i="31"/>
  <c r="P110" i="13" s="1"/>
  <c r="L111" i="13"/>
  <c r="H110" i="13"/>
  <c r="E108" i="11"/>
  <c r="I110" i="13" s="1"/>
  <c r="R110" i="1" l="1"/>
  <c r="Q110" i="1" s="1"/>
  <c r="P110" i="1" s="1"/>
  <c r="O110" i="1" s="1"/>
  <c r="N110" i="1" s="1"/>
  <c r="F111" i="13" s="1"/>
  <c r="F110" i="11"/>
  <c r="AD110" i="1"/>
  <c r="Y110" i="1"/>
  <c r="M110" i="1" l="1"/>
  <c r="AB110" i="1" s="1"/>
  <c r="AC110" i="1" s="1"/>
  <c r="M111" i="13" s="1"/>
  <c r="AG110" i="1"/>
  <c r="E110" i="31" l="1"/>
  <c r="G111" i="13"/>
  <c r="G111" i="1"/>
  <c r="F111" i="1"/>
  <c r="C109" i="11"/>
  <c r="C110" i="31"/>
  <c r="B110" i="31"/>
  <c r="AF110" i="1"/>
  <c r="N111" i="13" s="1"/>
  <c r="E111" i="1" l="1"/>
  <c r="D111" i="1" s="1"/>
  <c r="C112" i="13" s="1"/>
  <c r="D110" i="31"/>
  <c r="O111" i="13" s="1"/>
  <c r="K111" i="13"/>
  <c r="G109" i="11"/>
  <c r="H109" i="11" s="1"/>
  <c r="J111" i="13" s="1"/>
  <c r="D109" i="11"/>
  <c r="I112" i="1" l="1"/>
  <c r="L111" i="1"/>
  <c r="Y111" i="1" s="1"/>
  <c r="H112" i="1"/>
  <c r="A110" i="11"/>
  <c r="L112" i="13" s="1"/>
  <c r="X111" i="1"/>
  <c r="B112" i="13"/>
  <c r="C111" i="1"/>
  <c r="D112" i="13" s="1"/>
  <c r="H111" i="13"/>
  <c r="E109" i="11"/>
  <c r="I111" i="13" s="1"/>
  <c r="F110" i="31"/>
  <c r="P111" i="13" s="1"/>
  <c r="H110" i="31"/>
  <c r="Q111" i="13" s="1"/>
  <c r="R111" i="1" l="1"/>
  <c r="Q111" i="1" s="1"/>
  <c r="P111" i="1" s="1"/>
  <c r="O111" i="1" s="1"/>
  <c r="N111" i="1" s="1"/>
  <c r="M111" i="1" s="1"/>
  <c r="AD111" i="1"/>
  <c r="AA111" i="1"/>
  <c r="F111" i="11"/>
  <c r="E112" i="13"/>
  <c r="F112" i="13" l="1"/>
  <c r="AB111" i="1"/>
  <c r="AC111" i="1" s="1"/>
  <c r="M112" i="13" s="1"/>
  <c r="E111" i="31"/>
  <c r="G112" i="13"/>
  <c r="AG111" i="1"/>
  <c r="F112" i="1" l="1"/>
  <c r="G112" i="1"/>
  <c r="C110" i="11"/>
  <c r="C111" i="31"/>
  <c r="B111" i="31"/>
  <c r="AF111" i="1"/>
  <c r="N112" i="13" s="1"/>
  <c r="E112" i="1" l="1"/>
  <c r="D112" i="1" s="1"/>
  <c r="B113" i="13" s="1"/>
  <c r="D111" i="31"/>
  <c r="O112" i="13" s="1"/>
  <c r="K112" i="13"/>
  <c r="G110" i="11"/>
  <c r="H110" i="11" s="1"/>
  <c r="J112" i="13" s="1"/>
  <c r="D110" i="11"/>
  <c r="L112" i="1" l="1"/>
  <c r="F112" i="11" s="1"/>
  <c r="C113" i="13"/>
  <c r="H113" i="1"/>
  <c r="A111" i="11"/>
  <c r="L113" i="13" s="1"/>
  <c r="I113" i="1"/>
  <c r="C112" i="1"/>
  <c r="D113" i="13" s="1"/>
  <c r="X112" i="1"/>
  <c r="E110" i="11"/>
  <c r="I112" i="13" s="1"/>
  <c r="H112" i="13"/>
  <c r="F111" i="31"/>
  <c r="P112" i="13" s="1"/>
  <c r="H111" i="31"/>
  <c r="Q112" i="13" s="1"/>
  <c r="AA112" i="1" l="1"/>
  <c r="Y112" i="1"/>
  <c r="R112" i="1"/>
  <c r="Q112" i="1" s="1"/>
  <c r="P112" i="1" s="1"/>
  <c r="O112" i="1" s="1"/>
  <c r="N112" i="1" s="1"/>
  <c r="F113" i="13" s="1"/>
  <c r="AD112" i="1"/>
  <c r="E113" i="13"/>
  <c r="M112" i="1" l="1"/>
  <c r="AB112" i="1" s="1"/>
  <c r="AC112" i="1" s="1"/>
  <c r="M113" i="13" s="1"/>
  <c r="G113" i="13" l="1"/>
  <c r="F113" i="1"/>
  <c r="E112" i="31"/>
  <c r="G113" i="1"/>
  <c r="B112" i="31"/>
  <c r="C112" i="31"/>
  <c r="AF112" i="1"/>
  <c r="N113" i="13" s="1"/>
  <c r="AG112" i="1"/>
  <c r="C111" i="11" l="1"/>
  <c r="E113" i="1"/>
  <c r="D113" i="1" s="1"/>
  <c r="D112" i="31"/>
  <c r="O113" i="13" s="1"/>
  <c r="G111" i="11" l="1"/>
  <c r="H111" i="11" s="1"/>
  <c r="J113" i="13" s="1"/>
  <c r="K113" i="13"/>
  <c r="D111" i="11"/>
  <c r="H112" i="31"/>
  <c r="Q113" i="13" s="1"/>
  <c r="F112" i="31"/>
  <c r="P113" i="13" s="1"/>
  <c r="C114" i="13"/>
  <c r="B114" i="13"/>
  <c r="X113" i="1"/>
  <c r="C113" i="1"/>
  <c r="D114" i="13" s="1"/>
  <c r="A112" i="11"/>
  <c r="I114" i="1"/>
  <c r="L113" i="1"/>
  <c r="H114" i="1"/>
  <c r="AA113" i="1" l="1"/>
  <c r="E114" i="13"/>
  <c r="Y113" i="1"/>
  <c r="AD113" i="1"/>
  <c r="F113" i="11"/>
  <c r="H113" i="13"/>
  <c r="E111" i="11"/>
  <c r="I113" i="13" s="1"/>
  <c r="R113" i="1"/>
  <c r="Q113" i="1" s="1"/>
  <c r="P113" i="1" s="1"/>
  <c r="O113" i="1" s="1"/>
  <c r="N113" i="1" s="1"/>
  <c r="L114" i="13"/>
  <c r="M113" i="1" l="1"/>
  <c r="F114" i="13"/>
  <c r="E113" i="31" l="1"/>
  <c r="G114" i="13"/>
  <c r="AG113" i="1"/>
  <c r="AB113" i="1"/>
  <c r="AC113" i="1" s="1"/>
  <c r="M114" i="13" s="1"/>
  <c r="G114" i="1" l="1"/>
  <c r="F114" i="1"/>
  <c r="C112" i="11"/>
  <c r="C113" i="31"/>
  <c r="B113" i="31"/>
  <c r="AF113" i="1"/>
  <c r="N114" i="13" s="1"/>
  <c r="E114" i="1" l="1"/>
  <c r="D114" i="1" s="1"/>
  <c r="C114" i="1" s="1"/>
  <c r="D115" i="13" s="1"/>
  <c r="D113" i="31"/>
  <c r="O114" i="13" s="1"/>
  <c r="K114" i="13"/>
  <c r="G112" i="11"/>
  <c r="H112" i="11" s="1"/>
  <c r="J114" i="13" s="1"/>
  <c r="D112" i="11"/>
  <c r="C115" i="13" l="1"/>
  <c r="X114" i="1"/>
  <c r="I115" i="1"/>
  <c r="H115" i="1"/>
  <c r="A113" i="11"/>
  <c r="L115" i="13" s="1"/>
  <c r="L114" i="1"/>
  <c r="E115" i="13" s="1"/>
  <c r="B115" i="13"/>
  <c r="H114" i="13"/>
  <c r="E112" i="11"/>
  <c r="I114" i="13" s="1"/>
  <c r="F113" i="31"/>
  <c r="P114" i="13" s="1"/>
  <c r="H113" i="31"/>
  <c r="Q114" i="13" s="1"/>
  <c r="AA114" i="1" l="1"/>
  <c r="F114" i="11"/>
  <c r="AD114" i="1"/>
  <c r="Y114" i="1"/>
  <c r="R114" i="1"/>
  <c r="Q114" i="1" s="1"/>
  <c r="P114" i="1" s="1"/>
  <c r="O114" i="1" s="1"/>
  <c r="N114" i="1" s="1"/>
  <c r="F115" i="13" s="1"/>
  <c r="M114" i="1" l="1"/>
  <c r="G115" i="13" s="1"/>
  <c r="F115" i="1" l="1"/>
  <c r="E114" i="31"/>
  <c r="AB114" i="1"/>
  <c r="AC114" i="1" s="1"/>
  <c r="M115" i="13" s="1"/>
  <c r="G115" i="1"/>
  <c r="AG114" i="1"/>
  <c r="AF114" i="1" l="1"/>
  <c r="N115" i="13" s="1"/>
  <c r="B114" i="31"/>
  <c r="C114" i="31"/>
  <c r="C113" i="11"/>
  <c r="E115" i="1"/>
  <c r="D115" i="1" s="1"/>
  <c r="D114" i="31" l="1"/>
  <c r="O115" i="13" s="1"/>
  <c r="B116" i="13"/>
  <c r="X115" i="1"/>
  <c r="C115" i="1"/>
  <c r="D116" i="13" s="1"/>
  <c r="C116" i="13"/>
  <c r="A114" i="11"/>
  <c r="L115" i="1"/>
  <c r="I116" i="1"/>
  <c r="H116" i="1"/>
  <c r="G113" i="11"/>
  <c r="H113" i="11" s="1"/>
  <c r="J115" i="13" s="1"/>
  <c r="K115" i="13"/>
  <c r="D113" i="11"/>
  <c r="F114" i="31" l="1"/>
  <c r="P115" i="13" s="1"/>
  <c r="H114" i="31"/>
  <c r="Q115" i="13" s="1"/>
  <c r="AA115" i="1"/>
  <c r="R115" i="1"/>
  <c r="Q115" i="1" s="1"/>
  <c r="P115" i="1" s="1"/>
  <c r="O115" i="1" s="1"/>
  <c r="N115" i="1" s="1"/>
  <c r="L116" i="13"/>
  <c r="E113" i="11"/>
  <c r="I115" i="13" s="1"/>
  <c r="H115" i="13"/>
  <c r="Y115" i="1"/>
  <c r="E116" i="13"/>
  <c r="AD115" i="1"/>
  <c r="F115" i="11"/>
  <c r="F116" i="13" l="1"/>
  <c r="M115" i="1"/>
  <c r="AB115" i="1" l="1"/>
  <c r="AC115" i="1" s="1"/>
  <c r="M116" i="13" s="1"/>
  <c r="G116" i="13"/>
  <c r="E115" i="31"/>
  <c r="F116" i="1" l="1"/>
  <c r="G116" i="1"/>
  <c r="C115" i="31"/>
  <c r="B115" i="31"/>
  <c r="AF115" i="1"/>
  <c r="N116" i="13" s="1"/>
  <c r="AG115" i="1"/>
  <c r="D115" i="31" l="1"/>
  <c r="C114" i="11"/>
  <c r="E116" i="1"/>
  <c r="D116" i="1" s="1"/>
  <c r="H115" i="31" l="1"/>
  <c r="Q116" i="13" s="1"/>
  <c r="O116" i="13"/>
  <c r="F115" i="31"/>
  <c r="P116" i="13" s="1"/>
  <c r="G114" i="11"/>
  <c r="H114" i="11" s="1"/>
  <c r="J116" i="13" s="1"/>
  <c r="K116" i="13"/>
  <c r="D114" i="11"/>
  <c r="A115" i="11"/>
  <c r="C117" i="13"/>
  <c r="B117" i="13"/>
  <c r="C116" i="1"/>
  <c r="D117" i="13" s="1"/>
  <c r="X116" i="1"/>
  <c r="I117" i="1"/>
  <c r="L116" i="1"/>
  <c r="H117" i="1"/>
  <c r="AA116" i="1" l="1"/>
  <c r="R116" i="1"/>
  <c r="Q116" i="1" s="1"/>
  <c r="P116" i="1" s="1"/>
  <c r="O116" i="1" s="1"/>
  <c r="N116" i="1" s="1"/>
  <c r="L117" i="13"/>
  <c r="Y116" i="1"/>
  <c r="E117" i="13"/>
  <c r="F116" i="11"/>
  <c r="AD116" i="1"/>
  <c r="H116" i="13"/>
  <c r="E114" i="11"/>
  <c r="I116" i="13" s="1"/>
  <c r="M116" i="1" l="1"/>
  <c r="F117" i="13"/>
  <c r="AB116" i="1" l="1"/>
  <c r="AC116" i="1" s="1"/>
  <c r="M117" i="13" s="1"/>
  <c r="E116" i="31"/>
  <c r="G117" i="13"/>
  <c r="F117" i="1"/>
  <c r="AG116" i="1"/>
  <c r="G117" i="1" l="1"/>
  <c r="E117" i="1" s="1"/>
  <c r="D117" i="1" s="1"/>
  <c r="C115" i="11"/>
  <c r="B116" i="31"/>
  <c r="C116" i="31"/>
  <c r="AF116" i="1"/>
  <c r="N117" i="13" s="1"/>
  <c r="D116" i="31" l="1"/>
  <c r="C118" i="13"/>
  <c r="B118" i="13"/>
  <c r="C117" i="1"/>
  <c r="D118" i="13" s="1"/>
  <c r="X117" i="1"/>
  <c r="A116" i="11"/>
  <c r="I118" i="1"/>
  <c r="H118" i="1"/>
  <c r="L117" i="1"/>
  <c r="K117" i="13"/>
  <c r="G115" i="11"/>
  <c r="H115" i="11" s="1"/>
  <c r="J117" i="13" s="1"/>
  <c r="D115" i="11"/>
  <c r="H116" i="31" l="1"/>
  <c r="Q117" i="13" s="1"/>
  <c r="O117" i="13"/>
  <c r="AA117" i="1"/>
  <c r="F116" i="31"/>
  <c r="P117" i="13" s="1"/>
  <c r="E115" i="11"/>
  <c r="I117" i="13" s="1"/>
  <c r="H117" i="13"/>
  <c r="R117" i="1"/>
  <c r="Q117" i="1" s="1"/>
  <c r="P117" i="1" s="1"/>
  <c r="O117" i="1" s="1"/>
  <c r="N117" i="1" s="1"/>
  <c r="E118" i="13"/>
  <c r="Y117" i="1"/>
  <c r="AD117" i="1"/>
  <c r="F117" i="11"/>
  <c r="L118" i="13"/>
  <c r="F118" i="13" l="1"/>
  <c r="M117" i="1"/>
  <c r="G118" i="13" l="1"/>
  <c r="E117" i="31"/>
  <c r="AB117" i="1"/>
  <c r="AC117" i="1" s="1"/>
  <c r="M118" i="13" s="1"/>
  <c r="G118" i="1" l="1"/>
  <c r="F118" i="1"/>
  <c r="C117" i="31"/>
  <c r="B117" i="31"/>
  <c r="AF117" i="1"/>
  <c r="N118" i="13" s="1"/>
  <c r="AG117" i="1"/>
  <c r="E118" i="1" l="1"/>
  <c r="D118" i="1" s="1"/>
  <c r="C116" i="11"/>
  <c r="D117" i="31"/>
  <c r="O118" i="13" s="1"/>
  <c r="F117" i="31" l="1"/>
  <c r="P118" i="13" s="1"/>
  <c r="H117" i="31"/>
  <c r="Q118" i="13" s="1"/>
  <c r="K118" i="13"/>
  <c r="G116" i="11"/>
  <c r="H116" i="11" s="1"/>
  <c r="J118" i="13" s="1"/>
  <c r="D116" i="11"/>
  <c r="B119" i="13"/>
  <c r="C118" i="1"/>
  <c r="D119" i="13" s="1"/>
  <c r="X118" i="1"/>
  <c r="A117" i="11"/>
  <c r="C119" i="13"/>
  <c r="I119" i="1"/>
  <c r="L118" i="1"/>
  <c r="H119" i="1"/>
  <c r="AA118" i="1" l="1"/>
  <c r="R118" i="1"/>
  <c r="Q118" i="1" s="1"/>
  <c r="P118" i="1" s="1"/>
  <c r="O118" i="1" s="1"/>
  <c r="N118" i="1" s="1"/>
  <c r="E119" i="13"/>
  <c r="Y118" i="1"/>
  <c r="F118" i="11"/>
  <c r="AD118" i="1"/>
  <c r="L119" i="13"/>
  <c r="H118" i="13"/>
  <c r="E116" i="11"/>
  <c r="I118" i="13" s="1"/>
  <c r="F119" i="13" l="1"/>
  <c r="M118" i="1"/>
  <c r="E118" i="31" l="1"/>
  <c r="G119" i="13"/>
  <c r="AG118" i="1"/>
  <c r="C117" i="11" s="1"/>
  <c r="AB118" i="1"/>
  <c r="AC118" i="1" s="1"/>
  <c r="M119" i="13" s="1"/>
  <c r="F119" i="1" l="1"/>
  <c r="G119" i="1"/>
  <c r="B118" i="31"/>
  <c r="C118" i="31"/>
  <c r="AF118" i="1"/>
  <c r="N119" i="13" s="1"/>
  <c r="K119" i="13"/>
  <c r="G117" i="11"/>
  <c r="H117" i="11" s="1"/>
  <c r="J119" i="13" s="1"/>
  <c r="D117" i="11"/>
  <c r="E119" i="1" l="1"/>
  <c r="D119" i="1" s="1"/>
  <c r="C120" i="13" s="1"/>
  <c r="E117" i="11"/>
  <c r="I119" i="13" s="1"/>
  <c r="H119" i="13"/>
  <c r="D118" i="31"/>
  <c r="O119" i="13" s="1"/>
  <c r="I120" i="1" l="1"/>
  <c r="B120" i="13"/>
  <c r="H120" i="1"/>
  <c r="C119" i="1"/>
  <c r="D120" i="13" s="1"/>
  <c r="L119" i="1"/>
  <c r="E120" i="13" s="1"/>
  <c r="X119" i="1"/>
  <c r="A118" i="11"/>
  <c r="L120" i="13" s="1"/>
  <c r="F118" i="31"/>
  <c r="P119" i="13" s="1"/>
  <c r="H118" i="31"/>
  <c r="Q119" i="13" s="1"/>
  <c r="R119" i="1" l="1"/>
  <c r="Q119" i="1" s="1"/>
  <c r="P119" i="1" s="1"/>
  <c r="O119" i="1" s="1"/>
  <c r="N119" i="1" s="1"/>
  <c r="F120" i="13" s="1"/>
  <c r="AA119" i="1"/>
  <c r="Y119" i="1"/>
  <c r="AD119" i="1"/>
  <c r="F119" i="11"/>
  <c r="M119" i="1" l="1"/>
  <c r="G120" i="13" s="1"/>
  <c r="AG119" i="1"/>
  <c r="G120" i="1" l="1"/>
  <c r="E119" i="31"/>
  <c r="F120" i="1"/>
  <c r="E120" i="1" s="1"/>
  <c r="D120" i="1" s="1"/>
  <c r="AB119" i="1"/>
  <c r="AC119" i="1" s="1"/>
  <c r="M120" i="13" s="1"/>
  <c r="C118" i="11"/>
  <c r="C119" i="31" l="1"/>
  <c r="B119" i="31"/>
  <c r="AF119" i="1"/>
  <c r="N120" i="13" s="1"/>
  <c r="K120" i="13"/>
  <c r="G118" i="11"/>
  <c r="H118" i="11" s="1"/>
  <c r="J120" i="13" s="1"/>
  <c r="D118" i="11"/>
  <c r="C120" i="1"/>
  <c r="D121" i="13" s="1"/>
  <c r="B121" i="13"/>
  <c r="A119" i="11"/>
  <c r="X120" i="1"/>
  <c r="C121" i="13"/>
  <c r="I121" i="1"/>
  <c r="H121" i="1"/>
  <c r="L120" i="1"/>
  <c r="D119" i="31" l="1"/>
  <c r="F119" i="31" s="1"/>
  <c r="P120" i="13" s="1"/>
  <c r="O120" i="13"/>
  <c r="AA120" i="1"/>
  <c r="L121" i="13"/>
  <c r="E121" i="13"/>
  <c r="Y120" i="1"/>
  <c r="F120" i="11"/>
  <c r="AD120" i="1"/>
  <c r="R120" i="1"/>
  <c r="Q120" i="1" s="1"/>
  <c r="P120" i="1" s="1"/>
  <c r="O120" i="1" s="1"/>
  <c r="N120" i="1" s="1"/>
  <c r="H120" i="13"/>
  <c r="E118" i="11"/>
  <c r="I120" i="13" s="1"/>
  <c r="H119" i="31" l="1"/>
  <c r="Q120" i="13" s="1"/>
  <c r="M120" i="1"/>
  <c r="F121" i="13"/>
  <c r="AB120" i="1" l="1"/>
  <c r="AC120" i="1" s="1"/>
  <c r="M121" i="13" s="1"/>
  <c r="E120" i="31"/>
  <c r="G121" i="13"/>
  <c r="F121" i="1" l="1"/>
  <c r="G121" i="1"/>
  <c r="C120" i="31"/>
  <c r="B120" i="31"/>
  <c r="AF120" i="1"/>
  <c r="N121" i="13" s="1"/>
  <c r="AG120" i="1"/>
  <c r="C119" i="11" s="1"/>
  <c r="K121" i="13" l="1"/>
  <c r="G119" i="11"/>
  <c r="H119" i="11" s="1"/>
  <c r="J121" i="13" s="1"/>
  <c r="D119" i="11"/>
  <c r="D120" i="31"/>
  <c r="O121" i="13" s="1"/>
  <c r="E121" i="1"/>
  <c r="D121" i="1" s="1"/>
  <c r="F120" i="31" l="1"/>
  <c r="P121" i="13" s="1"/>
  <c r="H120" i="31"/>
  <c r="Q121" i="13" s="1"/>
  <c r="E119" i="11"/>
  <c r="I121" i="13" s="1"/>
  <c r="H121" i="13"/>
  <c r="C121" i="1"/>
  <c r="D122" i="13" s="1"/>
  <c r="A120" i="11"/>
  <c r="C122" i="13"/>
  <c r="B122" i="13"/>
  <c r="X121" i="1"/>
  <c r="H122" i="1"/>
  <c r="I122" i="1"/>
  <c r="L121" i="1"/>
  <c r="AA121" i="1" l="1"/>
  <c r="R121" i="1"/>
  <c r="Q121" i="1" s="1"/>
  <c r="P121" i="1" s="1"/>
  <c r="O121" i="1" s="1"/>
  <c r="N121" i="1" s="1"/>
  <c r="L122" i="13"/>
  <c r="Y121" i="1"/>
  <c r="E122" i="13"/>
  <c r="F121" i="11"/>
  <c r="AD121" i="1"/>
  <c r="F122" i="13" l="1"/>
  <c r="M121" i="1"/>
  <c r="AB121" i="1" l="1"/>
  <c r="AC121" i="1" s="1"/>
  <c r="M122" i="13" s="1"/>
  <c r="E121" i="31"/>
  <c r="G122" i="13"/>
  <c r="AG121" i="1"/>
  <c r="F122" i="1" l="1"/>
  <c r="G122" i="1"/>
  <c r="C120" i="11"/>
  <c r="C121" i="31"/>
  <c r="B121" i="31"/>
  <c r="AF121" i="1"/>
  <c r="N122" i="13" s="1"/>
  <c r="E122" i="1" l="1"/>
  <c r="D122" i="1" s="1"/>
  <c r="C122" i="1" s="1"/>
  <c r="D123" i="13" s="1"/>
  <c r="D121" i="31"/>
  <c r="O122" i="13" s="1"/>
  <c r="K122" i="13"/>
  <c r="G120" i="11"/>
  <c r="H120" i="11" s="1"/>
  <c r="J122" i="13" s="1"/>
  <c r="D120" i="11"/>
  <c r="A121" i="11" l="1"/>
  <c r="L123" i="13" s="1"/>
  <c r="H123" i="1"/>
  <c r="AA122" i="1" s="1"/>
  <c r="I123" i="1"/>
  <c r="X122" i="1"/>
  <c r="L122" i="1"/>
  <c r="F122" i="11" s="1"/>
  <c r="B123" i="13"/>
  <c r="C123" i="13"/>
  <c r="E120" i="11"/>
  <c r="I122" i="13" s="1"/>
  <c r="H122" i="13"/>
  <c r="F121" i="31"/>
  <c r="P122" i="13" s="1"/>
  <c r="H121" i="31"/>
  <c r="Q122" i="13" s="1"/>
  <c r="R122" i="1" l="1"/>
  <c r="Q122" i="1" s="1"/>
  <c r="P122" i="1" s="1"/>
  <c r="O122" i="1" s="1"/>
  <c r="N122" i="1" s="1"/>
  <c r="F123" i="13" s="1"/>
  <c r="Y122" i="1"/>
  <c r="E123" i="13"/>
  <c r="AD122" i="1"/>
  <c r="M122" i="1" l="1"/>
  <c r="AB122" i="1" s="1"/>
  <c r="AC122" i="1" s="1"/>
  <c r="M123" i="13" s="1"/>
  <c r="AG122" i="1"/>
  <c r="G123" i="13" l="1"/>
  <c r="E122" i="31"/>
  <c r="G123" i="1"/>
  <c r="F123" i="1"/>
  <c r="C121" i="11"/>
  <c r="C122" i="31"/>
  <c r="B122" i="31"/>
  <c r="AF122" i="1"/>
  <c r="N123" i="13" s="1"/>
  <c r="E123" i="1" l="1"/>
  <c r="D123" i="1" s="1"/>
  <c r="C123" i="1" s="1"/>
  <c r="D124" i="13" s="1"/>
  <c r="D122" i="31"/>
  <c r="O123" i="13" s="1"/>
  <c r="K123" i="13"/>
  <c r="G121" i="11"/>
  <c r="H121" i="11" s="1"/>
  <c r="J123" i="13" s="1"/>
  <c r="D121" i="11"/>
  <c r="H124" i="1" l="1"/>
  <c r="L123" i="1"/>
  <c r="F123" i="11" s="1"/>
  <c r="X123" i="1"/>
  <c r="B124" i="13"/>
  <c r="C124" i="13"/>
  <c r="A122" i="11"/>
  <c r="L124" i="13" s="1"/>
  <c r="I124" i="1"/>
  <c r="E121" i="11"/>
  <c r="I123" i="13" s="1"/>
  <c r="H123" i="13"/>
  <c r="F122" i="31"/>
  <c r="P123" i="13" s="1"/>
  <c r="H122" i="31"/>
  <c r="Q123" i="13" s="1"/>
  <c r="AA123" i="1" l="1"/>
  <c r="R123" i="1"/>
  <c r="Q123" i="1" s="1"/>
  <c r="P123" i="1" s="1"/>
  <c r="O123" i="1" s="1"/>
  <c r="N123" i="1" s="1"/>
  <c r="F124" i="13" s="1"/>
  <c r="E124" i="13"/>
  <c r="AD123" i="1"/>
  <c r="Y123" i="1"/>
  <c r="M123" i="1" l="1"/>
  <c r="E123" i="31" s="1"/>
  <c r="AG123" i="1"/>
  <c r="G124" i="13" l="1"/>
  <c r="AB123" i="1"/>
  <c r="AC123" i="1" s="1"/>
  <c r="M124" i="13" s="1"/>
  <c r="F124" i="1"/>
  <c r="G124" i="1"/>
  <c r="C122" i="11"/>
  <c r="AF123" i="1" l="1"/>
  <c r="N124" i="13" s="1"/>
  <c r="C123" i="31"/>
  <c r="B123" i="31"/>
  <c r="E124" i="1"/>
  <c r="D124" i="1" s="1"/>
  <c r="X124" i="1" s="1"/>
  <c r="G122" i="11"/>
  <c r="H122" i="11" s="1"/>
  <c r="J124" i="13" s="1"/>
  <c r="K124" i="13"/>
  <c r="D122" i="11"/>
  <c r="D123" i="31" l="1"/>
  <c r="O124" i="13" s="1"/>
  <c r="H125" i="1"/>
  <c r="C124" i="1"/>
  <c r="D125" i="13" s="1"/>
  <c r="C125" i="13"/>
  <c r="L124" i="1"/>
  <c r="E125" i="13" s="1"/>
  <c r="B125" i="13"/>
  <c r="I125" i="1"/>
  <c r="A123" i="11"/>
  <c r="L125" i="13" s="1"/>
  <c r="E122" i="11"/>
  <c r="I124" i="13" s="1"/>
  <c r="H124" i="13"/>
  <c r="H123" i="31" l="1"/>
  <c r="Q124" i="13" s="1"/>
  <c r="F123" i="31"/>
  <c r="P124" i="13" s="1"/>
  <c r="AA124" i="1"/>
  <c r="R124" i="1"/>
  <c r="Q124" i="1" s="1"/>
  <c r="P124" i="1" s="1"/>
  <c r="O124" i="1" s="1"/>
  <c r="N124" i="1" s="1"/>
  <c r="M124" i="1" s="1"/>
  <c r="F124" i="11"/>
  <c r="AD124" i="1"/>
  <c r="Y124" i="1"/>
  <c r="F125" i="13" l="1"/>
  <c r="AB124" i="1"/>
  <c r="AC124" i="1" s="1"/>
  <c r="M125" i="13" s="1"/>
  <c r="G125" i="13"/>
  <c r="E124" i="31"/>
  <c r="G125" i="1" l="1"/>
  <c r="F125" i="1"/>
  <c r="AG124" i="1"/>
  <c r="C124" i="31"/>
  <c r="B124" i="31"/>
  <c r="AF124" i="1"/>
  <c r="N125" i="13" s="1"/>
  <c r="D124" i="31" l="1"/>
  <c r="O125" i="13" s="1"/>
  <c r="C123" i="11"/>
  <c r="E125" i="1"/>
  <c r="D125" i="1" s="1"/>
  <c r="H124" i="31" l="1"/>
  <c r="Q125" i="13" s="1"/>
  <c r="F124" i="31"/>
  <c r="P125" i="13" s="1"/>
  <c r="A124" i="11"/>
  <c r="C125" i="1"/>
  <c r="D126" i="13" s="1"/>
  <c r="B126" i="13"/>
  <c r="C126" i="13"/>
  <c r="X125" i="1"/>
  <c r="I126" i="1"/>
  <c r="H126" i="1"/>
  <c r="L125" i="1"/>
  <c r="K125" i="13"/>
  <c r="G123" i="11"/>
  <c r="H123" i="11" s="1"/>
  <c r="J125" i="13" s="1"/>
  <c r="D123" i="11"/>
  <c r="AA125" i="1" l="1"/>
  <c r="E126" i="13"/>
  <c r="Y125" i="1"/>
  <c r="AD125" i="1"/>
  <c r="F125" i="11"/>
  <c r="L126" i="13"/>
  <c r="E123" i="11"/>
  <c r="I125" i="13" s="1"/>
  <c r="H125" i="13"/>
  <c r="R125" i="1"/>
  <c r="Q125" i="1" s="1"/>
  <c r="P125" i="1" s="1"/>
  <c r="O125" i="1" s="1"/>
  <c r="N125" i="1" s="1"/>
  <c r="M125" i="1" l="1"/>
  <c r="AB125" i="1" s="1"/>
  <c r="AC125" i="1" s="1"/>
  <c r="F126" i="13"/>
  <c r="AF125" i="1" l="1"/>
  <c r="N126" i="13" s="1"/>
  <c r="M126" i="13"/>
  <c r="C125" i="31"/>
  <c r="B125" i="31"/>
  <c r="E125" i="31"/>
  <c r="G126" i="13"/>
  <c r="AG125" i="1"/>
  <c r="G126" i="1"/>
  <c r="F126" i="1"/>
  <c r="D125" i="31" l="1"/>
  <c r="C124" i="11"/>
  <c r="E126" i="1"/>
  <c r="D126" i="1" s="1"/>
  <c r="H125" i="31" l="1"/>
  <c r="Q126" i="13" s="1"/>
  <c r="O126" i="13"/>
  <c r="F125" i="31"/>
  <c r="P126" i="13" s="1"/>
  <c r="K126" i="13"/>
  <c r="G124" i="11"/>
  <c r="H124" i="11" s="1"/>
  <c r="J126" i="13" s="1"/>
  <c r="D124" i="11"/>
  <c r="C126" i="1"/>
  <c r="D127" i="13" s="1"/>
  <c r="B127" i="13"/>
  <c r="X126" i="1"/>
  <c r="C127" i="13"/>
  <c r="A125" i="11"/>
  <c r="I127" i="1"/>
  <c r="L126" i="1"/>
  <c r="H127" i="1"/>
  <c r="L127" i="13" l="1"/>
  <c r="Y126" i="1"/>
  <c r="E127" i="13"/>
  <c r="AD126" i="1"/>
  <c r="F126" i="11"/>
  <c r="E124" i="11"/>
  <c r="I126" i="13" s="1"/>
  <c r="H126" i="13"/>
  <c r="R126" i="1"/>
  <c r="Q126" i="1" s="1"/>
  <c r="P126" i="1" s="1"/>
  <c r="O126" i="1" s="1"/>
  <c r="N126" i="1" s="1"/>
  <c r="AA126" i="1"/>
  <c r="M126" i="1" l="1"/>
  <c r="F127" i="13"/>
  <c r="AB126" i="1" l="1"/>
  <c r="AC126" i="1" s="1"/>
  <c r="M127" i="13" s="1"/>
  <c r="G127" i="13"/>
  <c r="E126" i="31"/>
  <c r="F127" i="1"/>
  <c r="AG126" i="1"/>
  <c r="G127" i="1" l="1"/>
  <c r="E127" i="1" s="1"/>
  <c r="D127" i="1" s="1"/>
  <c r="C125" i="11"/>
  <c r="B126" i="31"/>
  <c r="C126" i="31"/>
  <c r="AF126" i="1"/>
  <c r="N127" i="13" s="1"/>
  <c r="D126" i="31" l="1"/>
  <c r="B128" i="13"/>
  <c r="C128" i="13"/>
  <c r="A126" i="11"/>
  <c r="X127" i="1"/>
  <c r="C127" i="1"/>
  <c r="D128" i="13" s="1"/>
  <c r="I128" i="1"/>
  <c r="H128" i="1"/>
  <c r="L127" i="1"/>
  <c r="K127" i="13"/>
  <c r="G125" i="11"/>
  <c r="H125" i="11" s="1"/>
  <c r="J127" i="13" s="1"/>
  <c r="D125" i="11"/>
  <c r="F126" i="31" l="1"/>
  <c r="P127" i="13" s="1"/>
  <c r="O127" i="13"/>
  <c r="AA127" i="1"/>
  <c r="H126" i="31"/>
  <c r="Q127" i="13" s="1"/>
  <c r="E128" i="13"/>
  <c r="Y127" i="1"/>
  <c r="AD127" i="1"/>
  <c r="F127" i="11"/>
  <c r="H127" i="13"/>
  <c r="E125" i="11"/>
  <c r="I127" i="13" s="1"/>
  <c r="R127" i="1"/>
  <c r="Q127" i="1" s="1"/>
  <c r="P127" i="1" s="1"/>
  <c r="O127" i="1" s="1"/>
  <c r="N127" i="1" s="1"/>
  <c r="L128" i="13"/>
  <c r="M127" i="1" l="1"/>
  <c r="AB127" i="1" s="1"/>
  <c r="AC127" i="1" s="1"/>
  <c r="M128" i="13" s="1"/>
  <c r="F128" i="13"/>
  <c r="B127" i="31" l="1"/>
  <c r="C127" i="31"/>
  <c r="AF127" i="1"/>
  <c r="N128" i="13" s="1"/>
  <c r="E127" i="31"/>
  <c r="G128" i="13"/>
  <c r="AG127" i="1"/>
  <c r="G128" i="1"/>
  <c r="F128" i="1"/>
  <c r="E128" i="1" l="1"/>
  <c r="D128" i="1" s="1"/>
  <c r="C126" i="11"/>
  <c r="D127" i="31"/>
  <c r="H127" i="31" l="1"/>
  <c r="Q128" i="13" s="1"/>
  <c r="O128" i="13"/>
  <c r="G126" i="11"/>
  <c r="H126" i="11" s="1"/>
  <c r="J128" i="13" s="1"/>
  <c r="K128" i="13"/>
  <c r="D126" i="11"/>
  <c r="X128" i="1"/>
  <c r="C129" i="13"/>
  <c r="A127" i="11"/>
  <c r="B129" i="13"/>
  <c r="C128" i="1"/>
  <c r="D129" i="13" s="1"/>
  <c r="I129" i="1"/>
  <c r="L128" i="1"/>
  <c r="H129" i="1"/>
  <c r="F127" i="31"/>
  <c r="P128" i="13" s="1"/>
  <c r="AA128" i="1" l="1"/>
  <c r="Y128" i="1"/>
  <c r="E129" i="13"/>
  <c r="AD128" i="1"/>
  <c r="F128" i="11"/>
  <c r="H128" i="13"/>
  <c r="E126" i="11"/>
  <c r="I128" i="13" s="1"/>
  <c r="R128" i="1"/>
  <c r="Q128" i="1" s="1"/>
  <c r="P128" i="1" s="1"/>
  <c r="O128" i="1" s="1"/>
  <c r="N128" i="1" s="1"/>
  <c r="L129" i="13"/>
  <c r="M128" i="1" l="1"/>
  <c r="F129" i="13"/>
  <c r="AB128" i="1" l="1"/>
  <c r="AC128" i="1" s="1"/>
  <c r="M129" i="13" s="1"/>
  <c r="E128" i="31"/>
  <c r="G129" i="13"/>
  <c r="AG128" i="1"/>
  <c r="G129" i="1" l="1"/>
  <c r="F129" i="1"/>
  <c r="C127" i="11"/>
  <c r="B128" i="31"/>
  <c r="C128" i="31"/>
  <c r="AF128" i="1"/>
  <c r="N129" i="13" s="1"/>
  <c r="E129" i="1" l="1"/>
  <c r="D129" i="1" s="1"/>
  <c r="X129" i="1" s="1"/>
  <c r="D128" i="31"/>
  <c r="G127" i="11"/>
  <c r="H127" i="11" s="1"/>
  <c r="J129" i="13" s="1"/>
  <c r="K129" i="13"/>
  <c r="D127" i="11"/>
  <c r="L129" i="1" l="1"/>
  <c r="AD129" i="1" s="1"/>
  <c r="H130" i="1"/>
  <c r="R129" i="1" s="1"/>
  <c r="A128" i="11"/>
  <c r="L130" i="13" s="1"/>
  <c r="I130" i="1"/>
  <c r="C130" i="13"/>
  <c r="B130" i="13"/>
  <c r="C129" i="1"/>
  <c r="D130" i="13" s="1"/>
  <c r="F128" i="31"/>
  <c r="P129" i="13" s="1"/>
  <c r="O129" i="13"/>
  <c r="H128" i="31"/>
  <c r="Q129" i="13" s="1"/>
  <c r="H129" i="13"/>
  <c r="E127" i="11"/>
  <c r="I129" i="13" s="1"/>
  <c r="Y129" i="1" l="1"/>
  <c r="E130" i="13"/>
  <c r="F129" i="11"/>
  <c r="Q129" i="1"/>
  <c r="P129" i="1" s="1"/>
  <c r="O129" i="1" s="1"/>
  <c r="N129" i="1" s="1"/>
  <c r="M129" i="1" s="1"/>
  <c r="AA129" i="1"/>
  <c r="F130" i="13" l="1"/>
  <c r="AB129" i="1"/>
  <c r="AC129" i="1" s="1"/>
  <c r="M130" i="13" s="1"/>
  <c r="E129" i="31"/>
  <c r="G130" i="13"/>
  <c r="G130" i="1"/>
  <c r="AG129" i="1"/>
  <c r="F130" i="1" l="1"/>
  <c r="E130" i="1" s="1"/>
  <c r="D130" i="1" s="1"/>
  <c r="C128" i="11"/>
  <c r="B129" i="31"/>
  <c r="C129" i="31"/>
  <c r="AF129" i="1"/>
  <c r="N130" i="13" s="1"/>
  <c r="D129" i="31" l="1"/>
  <c r="K130" i="13"/>
  <c r="G128" i="11"/>
  <c r="H128" i="11" s="1"/>
  <c r="J130" i="13" s="1"/>
  <c r="D128" i="11"/>
  <c r="C131" i="13"/>
  <c r="X130" i="1"/>
  <c r="A129" i="11"/>
  <c r="B131" i="13"/>
  <c r="C130" i="1"/>
  <c r="D131" i="13" s="1"/>
  <c r="L130" i="1"/>
  <c r="H131" i="1"/>
  <c r="I131" i="1"/>
  <c r="F129" i="31" l="1"/>
  <c r="P130" i="13" s="1"/>
  <c r="O130" i="13"/>
  <c r="AA130" i="1"/>
  <c r="H129" i="31"/>
  <c r="Q130" i="13" s="1"/>
  <c r="L131" i="13"/>
  <c r="E131" i="13"/>
  <c r="Y130" i="1"/>
  <c r="AD130" i="1"/>
  <c r="F130" i="11"/>
  <c r="R130" i="1"/>
  <c r="Q130" i="1" s="1"/>
  <c r="P130" i="1" s="1"/>
  <c r="O130" i="1" s="1"/>
  <c r="N130" i="1" s="1"/>
  <c r="H130" i="13"/>
  <c r="E128" i="11"/>
  <c r="I130" i="13" s="1"/>
  <c r="F131" i="13" l="1"/>
  <c r="M130" i="1"/>
  <c r="AB130" i="1" l="1"/>
  <c r="AC130" i="1" s="1"/>
  <c r="M131" i="13" s="1"/>
  <c r="G131" i="13"/>
  <c r="E130" i="31"/>
  <c r="AG130" i="1"/>
  <c r="C129" i="11" s="1"/>
  <c r="G131" i="1" l="1"/>
  <c r="F131" i="1"/>
  <c r="K131" i="13"/>
  <c r="G129" i="11"/>
  <c r="H129" i="11" s="1"/>
  <c r="J131" i="13" s="1"/>
  <c r="D129" i="11"/>
  <c r="B130" i="31"/>
  <c r="C130" i="31"/>
  <c r="AF130" i="1"/>
  <c r="N131" i="13" s="1"/>
  <c r="E131" i="1" l="1"/>
  <c r="D131" i="1" s="1"/>
  <c r="C132" i="13" s="1"/>
  <c r="D130" i="31"/>
  <c r="H131" i="13"/>
  <c r="E129" i="11"/>
  <c r="I131" i="13" s="1"/>
  <c r="C131" i="1" l="1"/>
  <c r="D132" i="13" s="1"/>
  <c r="A130" i="11"/>
  <c r="L132" i="13" s="1"/>
  <c r="X131" i="1"/>
  <c r="H132" i="1"/>
  <c r="AA131" i="1" s="1"/>
  <c r="B132" i="13"/>
  <c r="I132" i="1"/>
  <c r="L131" i="1"/>
  <c r="F131" i="11" s="1"/>
  <c r="F130" i="31"/>
  <c r="P131" i="13" s="1"/>
  <c r="O131" i="13"/>
  <c r="H130" i="31"/>
  <c r="Q131" i="13" s="1"/>
  <c r="R131" i="1" l="1"/>
  <c r="Q131" i="1" s="1"/>
  <c r="P131" i="1" s="1"/>
  <c r="O131" i="1" s="1"/>
  <c r="N131" i="1" s="1"/>
  <c r="M131" i="1" s="1"/>
  <c r="E131" i="31" s="1"/>
  <c r="AD131" i="1"/>
  <c r="Y131" i="1"/>
  <c r="E132" i="13"/>
  <c r="AG131" i="1"/>
  <c r="G132" i="13" l="1"/>
  <c r="AB131" i="1"/>
  <c r="AC131" i="1" s="1"/>
  <c r="M132" i="13" s="1"/>
  <c r="F132" i="13"/>
  <c r="F132" i="1"/>
  <c r="G132" i="1"/>
  <c r="C130" i="11"/>
  <c r="C131" i="31" l="1"/>
  <c r="B131" i="31"/>
  <c r="AF131" i="1"/>
  <c r="N132" i="13" s="1"/>
  <c r="E132" i="1"/>
  <c r="D132" i="1" s="1"/>
  <c r="X132" i="1" s="1"/>
  <c r="K132" i="13"/>
  <c r="G130" i="11"/>
  <c r="H130" i="11" s="1"/>
  <c r="J132" i="13" s="1"/>
  <c r="D130" i="11"/>
  <c r="D131" i="31" l="1"/>
  <c r="O132" i="13" s="1"/>
  <c r="C133" i="13"/>
  <c r="H133" i="1"/>
  <c r="A131" i="11"/>
  <c r="L133" i="13" s="1"/>
  <c r="C132" i="1"/>
  <c r="D133" i="13" s="1"/>
  <c r="L132" i="1"/>
  <c r="F132" i="11" s="1"/>
  <c r="B133" i="13"/>
  <c r="I133" i="1"/>
  <c r="E130" i="11"/>
  <c r="I132" i="13" s="1"/>
  <c r="H132" i="13"/>
  <c r="H131" i="31" l="1"/>
  <c r="Q132" i="13" s="1"/>
  <c r="F131" i="31"/>
  <c r="P132" i="13" s="1"/>
  <c r="AA132" i="1"/>
  <c r="R132" i="1"/>
  <c r="Q132" i="1" s="1"/>
  <c r="P132" i="1" s="1"/>
  <c r="O132" i="1" s="1"/>
  <c r="N132" i="1" s="1"/>
  <c r="M132" i="1" s="1"/>
  <c r="E133" i="13"/>
  <c r="Y132" i="1"/>
  <c r="AD132" i="1"/>
  <c r="F133" i="13" l="1"/>
  <c r="E132" i="31"/>
  <c r="G133" i="13"/>
  <c r="AG132" i="1"/>
  <c r="AB132" i="1"/>
  <c r="AC132" i="1" s="1"/>
  <c r="M133" i="13" s="1"/>
  <c r="G133" i="1" l="1"/>
  <c r="F133" i="1"/>
  <c r="C132" i="31"/>
  <c r="B132" i="31"/>
  <c r="AF132" i="1"/>
  <c r="N133" i="13" s="1"/>
  <c r="C131" i="11"/>
  <c r="E133" i="1" l="1"/>
  <c r="D133" i="1" s="1"/>
  <c r="C133" i="1" s="1"/>
  <c r="D134" i="13" s="1"/>
  <c r="D132" i="31"/>
  <c r="K133" i="13"/>
  <c r="G131" i="11"/>
  <c r="H131" i="11" s="1"/>
  <c r="J133" i="13" s="1"/>
  <c r="D131" i="11"/>
  <c r="I134" i="1" l="1"/>
  <c r="A132" i="11"/>
  <c r="L133" i="1"/>
  <c r="AD133" i="1" s="1"/>
  <c r="X133" i="1"/>
  <c r="B134" i="13"/>
  <c r="C134" i="13"/>
  <c r="H134" i="1"/>
  <c r="AA133" i="1" s="1"/>
  <c r="H132" i="31"/>
  <c r="Q133" i="13" s="1"/>
  <c r="O133" i="13"/>
  <c r="F132" i="31"/>
  <c r="P133" i="13" s="1"/>
  <c r="H133" i="13"/>
  <c r="E131" i="11"/>
  <c r="I133" i="13" s="1"/>
  <c r="L134" i="13"/>
  <c r="R133" i="1" l="1"/>
  <c r="Q133" i="1" s="1"/>
  <c r="P133" i="1" s="1"/>
  <c r="O133" i="1" s="1"/>
  <c r="N133" i="1" s="1"/>
  <c r="F134" i="13" s="1"/>
  <c r="F133" i="11"/>
  <c r="Y133" i="1"/>
  <c r="E134" i="13"/>
  <c r="M133" i="1" l="1"/>
  <c r="AB133" i="1" s="1"/>
  <c r="AC133" i="1" s="1"/>
  <c r="M134" i="13" s="1"/>
  <c r="E133" i="31"/>
  <c r="AG133" i="1"/>
  <c r="G134" i="1"/>
  <c r="G134" i="13" l="1"/>
  <c r="F134" i="1"/>
  <c r="E134" i="1" s="1"/>
  <c r="D134" i="1" s="1"/>
  <c r="C132" i="11"/>
  <c r="B133" i="31"/>
  <c r="C133" i="31"/>
  <c r="AF133" i="1"/>
  <c r="N134" i="13" s="1"/>
  <c r="D133" i="31" l="1"/>
  <c r="G132" i="11"/>
  <c r="H132" i="11" s="1"/>
  <c r="J134" i="13" s="1"/>
  <c r="K134" i="13"/>
  <c r="D132" i="11"/>
  <c r="A133" i="11"/>
  <c r="C135" i="13"/>
  <c r="C134" i="1"/>
  <c r="D135" i="13" s="1"/>
  <c r="X134" i="1"/>
  <c r="B135" i="13"/>
  <c r="L134" i="1"/>
  <c r="I135" i="1"/>
  <c r="H135" i="1"/>
  <c r="H133" i="31" l="1"/>
  <c r="Q134" i="13" s="1"/>
  <c r="O134" i="13"/>
  <c r="AA134" i="1"/>
  <c r="F133" i="31"/>
  <c r="P134" i="13" s="1"/>
  <c r="E135" i="13"/>
  <c r="Y134" i="1"/>
  <c r="F134" i="11"/>
  <c r="AD134" i="1"/>
  <c r="R134" i="1"/>
  <c r="Q134" i="1" s="1"/>
  <c r="P134" i="1" s="1"/>
  <c r="O134" i="1" s="1"/>
  <c r="N134" i="1" s="1"/>
  <c r="L135" i="13"/>
  <c r="E132" i="11"/>
  <c r="I134" i="13" s="1"/>
  <c r="H134" i="13"/>
  <c r="F135" i="13" l="1"/>
  <c r="M134" i="1"/>
  <c r="AB134" i="1" l="1"/>
  <c r="AC134" i="1" s="1"/>
  <c r="M135" i="13" s="1"/>
  <c r="G135" i="13"/>
  <c r="E134" i="31"/>
  <c r="G135" i="1"/>
  <c r="F135" i="1" l="1"/>
  <c r="B134" i="31"/>
  <c r="C134" i="31"/>
  <c r="AF134" i="1"/>
  <c r="N135" i="13" s="1"/>
  <c r="AG134" i="1"/>
  <c r="D134" i="31" l="1"/>
  <c r="C133" i="11"/>
  <c r="E135" i="1"/>
  <c r="D135" i="1" s="1"/>
  <c r="F134" i="31" l="1"/>
  <c r="P135" i="13" s="1"/>
  <c r="O135" i="13"/>
  <c r="H134" i="31"/>
  <c r="Q135" i="13" s="1"/>
  <c r="K135" i="13"/>
  <c r="G133" i="11"/>
  <c r="H133" i="11" s="1"/>
  <c r="J135" i="13" s="1"/>
  <c r="D133" i="11"/>
  <c r="C135" i="1"/>
  <c r="D136" i="13" s="1"/>
  <c r="C136" i="13"/>
  <c r="X135" i="1"/>
  <c r="B136" i="13"/>
  <c r="A134" i="11"/>
  <c r="H136" i="1"/>
  <c r="L135" i="1"/>
  <c r="I136" i="1"/>
  <c r="L136" i="13" l="1"/>
  <c r="Y135" i="1"/>
  <c r="E136" i="13"/>
  <c r="AD135" i="1"/>
  <c r="F135" i="11"/>
  <c r="E133" i="11"/>
  <c r="I135" i="13" s="1"/>
  <c r="H135" i="13"/>
  <c r="R135" i="1"/>
  <c r="Q135" i="1" s="1"/>
  <c r="P135" i="1" s="1"/>
  <c r="O135" i="1" s="1"/>
  <c r="N135" i="1" s="1"/>
  <c r="AA135" i="1"/>
  <c r="M135" i="1" l="1"/>
  <c r="F136" i="13"/>
  <c r="AB135" i="1" l="1"/>
  <c r="AC135" i="1" s="1"/>
  <c r="M136" i="13" s="1"/>
  <c r="E135" i="31"/>
  <c r="G136" i="13"/>
  <c r="AG135" i="1"/>
  <c r="G136" i="1" l="1"/>
  <c r="F136" i="1"/>
  <c r="C134" i="11"/>
  <c r="C135" i="31"/>
  <c r="B135" i="31"/>
  <c r="AF135" i="1"/>
  <c r="N136" i="13" s="1"/>
  <c r="E136" i="1" l="1"/>
  <c r="D136" i="1" s="1"/>
  <c r="B137" i="13" s="1"/>
  <c r="D135" i="31"/>
  <c r="O136" i="13" s="1"/>
  <c r="K136" i="13"/>
  <c r="G134" i="11"/>
  <c r="H134" i="11" s="1"/>
  <c r="J136" i="13" s="1"/>
  <c r="D134" i="11"/>
  <c r="I137" i="1" l="1"/>
  <c r="L136" i="1"/>
  <c r="F136" i="11" s="1"/>
  <c r="C136" i="1"/>
  <c r="D137" i="13" s="1"/>
  <c r="C137" i="13"/>
  <c r="A135" i="11"/>
  <c r="L137" i="13" s="1"/>
  <c r="X136" i="1"/>
  <c r="H137" i="1"/>
  <c r="AA136" i="1" s="1"/>
  <c r="H136" i="13"/>
  <c r="E134" i="11"/>
  <c r="I136" i="13" s="1"/>
  <c r="F135" i="31"/>
  <c r="P136" i="13" s="1"/>
  <c r="H135" i="31"/>
  <c r="Q136" i="13" s="1"/>
  <c r="R136" i="1" l="1"/>
  <c r="Q136" i="1" s="1"/>
  <c r="P136" i="1" s="1"/>
  <c r="O136" i="1" s="1"/>
  <c r="N136" i="1" s="1"/>
  <c r="F137" i="13" s="1"/>
  <c r="Y136" i="1"/>
  <c r="E137" i="13"/>
  <c r="AD136" i="1"/>
  <c r="M136" i="1" l="1"/>
  <c r="AB136" i="1" s="1"/>
  <c r="AC136" i="1" s="1"/>
  <c r="M137" i="13" s="1"/>
  <c r="AG136" i="1"/>
  <c r="G137" i="13" l="1"/>
  <c r="E136" i="31"/>
  <c r="F137" i="1"/>
  <c r="G137" i="1"/>
  <c r="C135" i="11"/>
  <c r="B136" i="31"/>
  <c r="C136" i="31"/>
  <c r="AF136" i="1"/>
  <c r="N137" i="13" s="1"/>
  <c r="E137" i="1" l="1"/>
  <c r="D137" i="1" s="1"/>
  <c r="X137" i="1" s="1"/>
  <c r="D136" i="31"/>
  <c r="K137" i="13"/>
  <c r="G135" i="11"/>
  <c r="H135" i="11" s="1"/>
  <c r="J137" i="13" s="1"/>
  <c r="D135" i="11"/>
  <c r="L137" i="1" l="1"/>
  <c r="F137" i="11" s="1"/>
  <c r="I138" i="1"/>
  <c r="C138" i="13"/>
  <c r="H138" i="1"/>
  <c r="B138" i="13"/>
  <c r="C137" i="1"/>
  <c r="D138" i="13" s="1"/>
  <c r="A136" i="11"/>
  <c r="L138" i="13" s="1"/>
  <c r="F136" i="31"/>
  <c r="P137" i="13" s="1"/>
  <c r="O137" i="13"/>
  <c r="H136" i="31"/>
  <c r="Q137" i="13" s="1"/>
  <c r="H137" i="13"/>
  <c r="E135" i="11"/>
  <c r="I137" i="13" s="1"/>
  <c r="AD137" i="1" l="1"/>
  <c r="Y137" i="1"/>
  <c r="E138" i="13"/>
  <c r="R137" i="1"/>
  <c r="Q137" i="1" s="1"/>
  <c r="P137" i="1" s="1"/>
  <c r="O137" i="1" s="1"/>
  <c r="N137" i="1" s="1"/>
  <c r="F138" i="13" s="1"/>
  <c r="AA137" i="1"/>
  <c r="M137" i="1" l="1"/>
  <c r="E137" i="31" s="1"/>
  <c r="AG137" i="1"/>
  <c r="C136" i="11" s="1"/>
  <c r="G138" i="13" l="1"/>
  <c r="AB137" i="1"/>
  <c r="AC137" i="1" s="1"/>
  <c r="M138" i="13" s="1"/>
  <c r="F138" i="1"/>
  <c r="G138" i="1"/>
  <c r="G136" i="11"/>
  <c r="H136" i="11" s="1"/>
  <c r="J138" i="13" s="1"/>
  <c r="K138" i="13"/>
  <c r="D136" i="11"/>
  <c r="C137" i="31" l="1"/>
  <c r="AF137" i="1"/>
  <c r="N138" i="13" s="1"/>
  <c r="B137" i="31"/>
  <c r="E138" i="1"/>
  <c r="D138" i="1" s="1"/>
  <c r="C139" i="13" s="1"/>
  <c r="H138" i="13"/>
  <c r="E136" i="11"/>
  <c r="I138" i="13" s="1"/>
  <c r="D137" i="31" l="1"/>
  <c r="O138" i="13" s="1"/>
  <c r="L138" i="1"/>
  <c r="Y138" i="1" s="1"/>
  <c r="I139" i="1"/>
  <c r="B139" i="13"/>
  <c r="C138" i="1"/>
  <c r="D139" i="13" s="1"/>
  <c r="A137" i="11"/>
  <c r="L139" i="13" s="1"/>
  <c r="H139" i="1"/>
  <c r="R138" i="1" s="1"/>
  <c r="X138" i="1"/>
  <c r="AD138" i="1" l="1"/>
  <c r="F137" i="31"/>
  <c r="P138" i="13" s="1"/>
  <c r="H137" i="31"/>
  <c r="Q138" i="13" s="1"/>
  <c r="E139" i="13"/>
  <c r="F138" i="11"/>
  <c r="Q138" i="1"/>
  <c r="P138" i="1" s="1"/>
  <c r="O138" i="1" s="1"/>
  <c r="N138" i="1" s="1"/>
  <c r="M138" i="1" s="1"/>
  <c r="AB138" i="1" s="1"/>
  <c r="AC138" i="1" s="1"/>
  <c r="M139" i="13" s="1"/>
  <c r="AA138" i="1"/>
  <c r="F139" i="13" l="1"/>
  <c r="E138" i="31"/>
  <c r="G139" i="13"/>
  <c r="F139" i="1"/>
  <c r="G139" i="1"/>
  <c r="AG138" i="1"/>
  <c r="B138" i="31"/>
  <c r="C138" i="31"/>
  <c r="AF138" i="1"/>
  <c r="N139" i="13" s="1"/>
  <c r="C137" i="11" l="1"/>
  <c r="E139" i="1"/>
  <c r="D139" i="1" s="1"/>
  <c r="D138" i="31"/>
  <c r="O139" i="13" s="1"/>
  <c r="H138" i="31" l="1"/>
  <c r="Q139" i="13" s="1"/>
  <c r="F138" i="31"/>
  <c r="P139" i="13" s="1"/>
  <c r="A138" i="11"/>
  <c r="B140" i="13"/>
  <c r="X139" i="1"/>
  <c r="C139" i="1"/>
  <c r="D140" i="13" s="1"/>
  <c r="C140" i="13"/>
  <c r="I140" i="1"/>
  <c r="H140" i="1"/>
  <c r="L139" i="1"/>
  <c r="K139" i="13"/>
  <c r="G137" i="11"/>
  <c r="H137" i="11" s="1"/>
  <c r="J139" i="13" s="1"/>
  <c r="D137" i="11"/>
  <c r="AA139" i="1" l="1"/>
  <c r="Y139" i="1"/>
  <c r="E140" i="13"/>
  <c r="F139" i="11"/>
  <c r="AD139" i="1"/>
  <c r="L140" i="13"/>
  <c r="H139" i="13"/>
  <c r="E137" i="11"/>
  <c r="I139" i="13" s="1"/>
  <c r="R139" i="1"/>
  <c r="Q139" i="1" s="1"/>
  <c r="P139" i="1" s="1"/>
  <c r="O139" i="1" s="1"/>
  <c r="N139" i="1" s="1"/>
  <c r="M139" i="1" l="1"/>
  <c r="F140" i="13"/>
  <c r="AB139" i="1" l="1"/>
  <c r="AC139" i="1" s="1"/>
  <c r="M140" i="13" s="1"/>
  <c r="G140" i="13"/>
  <c r="E139" i="31"/>
  <c r="AG139" i="1"/>
  <c r="F140" i="1" l="1"/>
  <c r="G140" i="1"/>
  <c r="C138" i="11"/>
  <c r="B139" i="31"/>
  <c r="C139" i="31"/>
  <c r="AF139" i="1"/>
  <c r="N140" i="13" s="1"/>
  <c r="E140" i="1" l="1"/>
  <c r="D140" i="1" s="1"/>
  <c r="A139" i="11" s="1"/>
  <c r="D139" i="31"/>
  <c r="G138" i="11"/>
  <c r="H138" i="11" s="1"/>
  <c r="J140" i="13" s="1"/>
  <c r="K140" i="13"/>
  <c r="D138" i="11"/>
  <c r="L140" i="1" l="1"/>
  <c r="AD140" i="1" s="1"/>
  <c r="H141" i="1"/>
  <c r="R140" i="1" s="1"/>
  <c r="X140" i="1"/>
  <c r="C141" i="13"/>
  <c r="C140" i="1"/>
  <c r="D141" i="13" s="1"/>
  <c r="B141" i="13"/>
  <c r="I141" i="1"/>
  <c r="F139" i="31"/>
  <c r="P140" i="13" s="1"/>
  <c r="O140" i="13"/>
  <c r="H139" i="31"/>
  <c r="Q140" i="13" s="1"/>
  <c r="H140" i="13"/>
  <c r="E138" i="11"/>
  <c r="I140" i="13" s="1"/>
  <c r="L141" i="13"/>
  <c r="AA140" i="1" l="1"/>
  <c r="F140" i="11"/>
  <c r="E141" i="13"/>
  <c r="Y140" i="1"/>
  <c r="Q140" i="1"/>
  <c r="P140" i="1" s="1"/>
  <c r="O140" i="1" s="1"/>
  <c r="N140" i="1" s="1"/>
  <c r="F141" i="13" s="1"/>
  <c r="M140" i="1" l="1"/>
  <c r="AB140" i="1" s="1"/>
  <c r="AC140" i="1" s="1"/>
  <c r="M141" i="13" s="1"/>
  <c r="G141" i="13" l="1"/>
  <c r="E140" i="31"/>
  <c r="G141" i="1"/>
  <c r="F141" i="1"/>
  <c r="C140" i="31"/>
  <c r="B140" i="31"/>
  <c r="AF140" i="1"/>
  <c r="N141" i="13" s="1"/>
  <c r="AG140" i="1"/>
  <c r="D140" i="31" l="1"/>
  <c r="E141" i="1"/>
  <c r="D141" i="1" s="1"/>
  <c r="C139" i="11"/>
  <c r="H140" i="31" l="1"/>
  <c r="Q141" i="13" s="1"/>
  <c r="O141" i="13"/>
  <c r="F140" i="31"/>
  <c r="P141" i="13" s="1"/>
  <c r="K141" i="13"/>
  <c r="G139" i="11"/>
  <c r="H139" i="11" s="1"/>
  <c r="J141" i="13" s="1"/>
  <c r="D139" i="11"/>
  <c r="B142" i="13"/>
  <c r="X141" i="1"/>
  <c r="C141" i="1"/>
  <c r="D142" i="13" s="1"/>
  <c r="A140" i="11"/>
  <c r="C142" i="13"/>
  <c r="I142" i="1"/>
  <c r="L141" i="1"/>
  <c r="H142" i="1"/>
  <c r="AA141" i="1" l="1"/>
  <c r="Y141" i="1"/>
  <c r="E142" i="13"/>
  <c r="F141" i="11"/>
  <c r="AD141" i="1"/>
  <c r="L142" i="13"/>
  <c r="E139" i="11"/>
  <c r="I141" i="13" s="1"/>
  <c r="H141" i="13"/>
  <c r="R141" i="1"/>
  <c r="Q141" i="1" s="1"/>
  <c r="P141" i="1" s="1"/>
  <c r="O141" i="1" s="1"/>
  <c r="N141" i="1" s="1"/>
  <c r="M141" i="1" l="1"/>
  <c r="F142" i="13"/>
  <c r="AB141" i="1" l="1"/>
  <c r="AC141" i="1" s="1"/>
  <c r="M142" i="13" s="1"/>
  <c r="G142" i="13"/>
  <c r="E141" i="31"/>
  <c r="F142" i="1"/>
  <c r="G142" i="1" l="1"/>
  <c r="B141" i="31"/>
  <c r="C141" i="31"/>
  <c r="AF141" i="1"/>
  <c r="N142" i="13" s="1"/>
  <c r="AG141" i="1"/>
  <c r="C140" i="11" l="1"/>
  <c r="E142" i="1"/>
  <c r="D142" i="1" s="1"/>
  <c r="D141" i="31"/>
  <c r="O142" i="13" s="1"/>
  <c r="H141" i="31" l="1"/>
  <c r="Q142" i="13" s="1"/>
  <c r="F141" i="31"/>
  <c r="P142" i="13" s="1"/>
  <c r="K142" i="13"/>
  <c r="G140" i="11"/>
  <c r="H140" i="11" s="1"/>
  <c r="J142" i="13" s="1"/>
  <c r="D140" i="11"/>
  <c r="A141" i="11"/>
  <c r="X142" i="1"/>
  <c r="C143" i="13"/>
  <c r="B143" i="13"/>
  <c r="C142" i="1"/>
  <c r="D143" i="13" s="1"/>
  <c r="L142" i="1"/>
  <c r="I143" i="1"/>
  <c r="H143" i="1"/>
  <c r="AA142" i="1" l="1"/>
  <c r="E140" i="11"/>
  <c r="I142" i="13" s="1"/>
  <c r="H142" i="13"/>
  <c r="E143" i="13"/>
  <c r="Y142" i="1"/>
  <c r="F142" i="11"/>
  <c r="AD142" i="1"/>
  <c r="R142" i="1"/>
  <c r="Q142" i="1" s="1"/>
  <c r="P142" i="1" s="1"/>
  <c r="O142" i="1" s="1"/>
  <c r="N142" i="1" s="1"/>
  <c r="L143" i="13"/>
  <c r="F143" i="13" l="1"/>
  <c r="M142" i="1"/>
  <c r="AB142" i="1" l="1"/>
  <c r="AC142" i="1" s="1"/>
  <c r="M143" i="13" s="1"/>
  <c r="G143" i="13"/>
  <c r="E142" i="31"/>
  <c r="AG142" i="1"/>
  <c r="F143" i="1"/>
  <c r="G143" i="1" l="1"/>
  <c r="E143" i="1" s="1"/>
  <c r="D143" i="1" s="1"/>
  <c r="C141" i="11"/>
  <c r="B142" i="31"/>
  <c r="C142" i="31"/>
  <c r="AF142" i="1"/>
  <c r="N143" i="13" s="1"/>
  <c r="D142" i="31" l="1"/>
  <c r="G141" i="11"/>
  <c r="H141" i="11" s="1"/>
  <c r="J143" i="13" s="1"/>
  <c r="K143" i="13"/>
  <c r="D141" i="11"/>
  <c r="C144" i="13"/>
  <c r="X143" i="1"/>
  <c r="C143" i="1"/>
  <c r="D144" i="13" s="1"/>
  <c r="A142" i="11"/>
  <c r="B144" i="13"/>
  <c r="I144" i="1"/>
  <c r="L143" i="1"/>
  <c r="H144" i="1"/>
  <c r="H142" i="31" l="1"/>
  <c r="Q143" i="13" s="1"/>
  <c r="O143" i="13"/>
  <c r="AA143" i="1"/>
  <c r="F142" i="31"/>
  <c r="P143" i="13" s="1"/>
  <c r="L144" i="13"/>
  <c r="H143" i="13"/>
  <c r="E141" i="11"/>
  <c r="I143" i="13" s="1"/>
  <c r="Y143" i="1"/>
  <c r="E144" i="13"/>
  <c r="AD143" i="1"/>
  <c r="F143" i="11"/>
  <c r="R143" i="1"/>
  <c r="Q143" i="1" s="1"/>
  <c r="P143" i="1" s="1"/>
  <c r="O143" i="1" s="1"/>
  <c r="N143" i="1" s="1"/>
  <c r="F144" i="13" l="1"/>
  <c r="M143" i="1"/>
  <c r="AB143" i="1" l="1"/>
  <c r="AC143" i="1" s="1"/>
  <c r="M144" i="13" s="1"/>
  <c r="E143" i="31"/>
  <c r="G144" i="13"/>
  <c r="F144" i="1"/>
  <c r="G144" i="1" l="1"/>
  <c r="AG143" i="1"/>
  <c r="B143" i="31"/>
  <c r="C143" i="31"/>
  <c r="AF143" i="1"/>
  <c r="N144" i="13" s="1"/>
  <c r="C142" i="11" l="1"/>
  <c r="E144" i="1"/>
  <c r="D144" i="1" s="1"/>
  <c r="D143" i="31"/>
  <c r="O144" i="13" s="1"/>
  <c r="H143" i="31" l="1"/>
  <c r="Q144" i="13" s="1"/>
  <c r="F143" i="31"/>
  <c r="P144" i="13" s="1"/>
  <c r="K144" i="13"/>
  <c r="G142" i="11"/>
  <c r="H142" i="11" s="1"/>
  <c r="J144" i="13" s="1"/>
  <c r="D142" i="11"/>
  <c r="C145" i="13"/>
  <c r="B145" i="13"/>
  <c r="X144" i="1"/>
  <c r="A143" i="11"/>
  <c r="C144" i="1"/>
  <c r="D145" i="13" s="1"/>
  <c r="L144" i="1"/>
  <c r="I145" i="1"/>
  <c r="H145" i="1"/>
  <c r="AA144" i="1" l="1"/>
  <c r="L145" i="13"/>
  <c r="H144" i="13"/>
  <c r="E142" i="11"/>
  <c r="I144" i="13" s="1"/>
  <c r="E145" i="13"/>
  <c r="Y144" i="1"/>
  <c r="AD144" i="1"/>
  <c r="F144" i="11"/>
  <c r="R144" i="1"/>
  <c r="Q144" i="1" s="1"/>
  <c r="P144" i="1" s="1"/>
  <c r="O144" i="1" s="1"/>
  <c r="N144" i="1" s="1"/>
  <c r="F145" i="13" l="1"/>
  <c r="M144" i="1"/>
  <c r="AB144" i="1" l="1"/>
  <c r="AC144" i="1" s="1"/>
  <c r="M145" i="13" s="1"/>
  <c r="E144" i="31"/>
  <c r="G145" i="13"/>
  <c r="AG144" i="1"/>
  <c r="C143" i="11" s="1"/>
  <c r="F145" i="1" l="1"/>
  <c r="G145" i="1"/>
  <c r="K145" i="13"/>
  <c r="G143" i="11"/>
  <c r="H143" i="11" s="1"/>
  <c r="J145" i="13" s="1"/>
  <c r="D143" i="11"/>
  <c r="B144" i="31"/>
  <c r="C144" i="31"/>
  <c r="AF144" i="1"/>
  <c r="N145" i="13" s="1"/>
  <c r="E145" i="1" l="1"/>
  <c r="D145" i="1" s="1"/>
  <c r="C145" i="1" s="1"/>
  <c r="D146" i="13" s="1"/>
  <c r="D144" i="31"/>
  <c r="H145" i="13"/>
  <c r="E143" i="11"/>
  <c r="I145" i="13" s="1"/>
  <c r="L145" i="1" l="1"/>
  <c r="Y145" i="1" s="1"/>
  <c r="C146" i="13"/>
  <c r="X145" i="1"/>
  <c r="A144" i="11"/>
  <c r="L146" i="13" s="1"/>
  <c r="H146" i="1"/>
  <c r="B146" i="13"/>
  <c r="I146" i="1"/>
  <c r="F144" i="31"/>
  <c r="P145" i="13" s="1"/>
  <c r="O145" i="13"/>
  <c r="H144" i="31"/>
  <c r="Q145" i="13" s="1"/>
  <c r="AA145" i="1" l="1"/>
  <c r="AD145" i="1"/>
  <c r="E146" i="13"/>
  <c r="F145" i="11"/>
  <c r="R145" i="1"/>
  <c r="Q145" i="1" s="1"/>
  <c r="P145" i="1" s="1"/>
  <c r="O145" i="1" s="1"/>
  <c r="N145" i="1" s="1"/>
  <c r="F146" i="13" s="1"/>
  <c r="AG145" i="1"/>
  <c r="M145" i="1" l="1"/>
  <c r="E145" i="31" s="1"/>
  <c r="C144" i="11"/>
  <c r="G146" i="13" l="1"/>
  <c r="AB145" i="1"/>
  <c r="AC145" i="1" s="1"/>
  <c r="B145" i="31" s="1"/>
  <c r="G146" i="1"/>
  <c r="M146" i="13"/>
  <c r="F146" i="1"/>
  <c r="K146" i="13"/>
  <c r="G144" i="11"/>
  <c r="H144" i="11" s="1"/>
  <c r="J146" i="13" s="1"/>
  <c r="D144" i="11"/>
  <c r="AF145" i="1" l="1"/>
  <c r="N146" i="13" s="1"/>
  <c r="C145" i="31"/>
  <c r="D145" i="31" s="1"/>
  <c r="F145" i="31" s="1"/>
  <c r="P146" i="13" s="1"/>
  <c r="E146" i="1"/>
  <c r="D146" i="1" s="1"/>
  <c r="A145" i="11" s="1"/>
  <c r="L147" i="13" s="1"/>
  <c r="O146" i="13"/>
  <c r="E144" i="11"/>
  <c r="I146" i="13" s="1"/>
  <c r="H146" i="13"/>
  <c r="B147" i="13" l="1"/>
  <c r="C147" i="13"/>
  <c r="I147" i="1"/>
  <c r="L146" i="1"/>
  <c r="F146" i="11" s="1"/>
  <c r="X146" i="1"/>
  <c r="H147" i="1"/>
  <c r="C146" i="1"/>
  <c r="D147" i="13" s="1"/>
  <c r="H145" i="31"/>
  <c r="Q146" i="13" s="1"/>
  <c r="R146" i="1" l="1"/>
  <c r="Q146" i="1" s="1"/>
  <c r="P146" i="1" s="1"/>
  <c r="O146" i="1" s="1"/>
  <c r="N146" i="1" s="1"/>
  <c r="M146" i="1" s="1"/>
  <c r="AB146" i="1" s="1"/>
  <c r="AC146" i="1" s="1"/>
  <c r="M147" i="13" s="1"/>
  <c r="AA146" i="1"/>
  <c r="E147" i="13"/>
  <c r="AD146" i="1"/>
  <c r="Y146" i="1"/>
  <c r="AG146" i="1"/>
  <c r="F147" i="13" l="1"/>
  <c r="E146" i="31"/>
  <c r="G147" i="13"/>
  <c r="F147" i="1"/>
  <c r="G147" i="1"/>
  <c r="C145" i="11"/>
  <c r="C146" i="31"/>
  <c r="B146" i="31"/>
  <c r="AF146" i="1"/>
  <c r="N147" i="13" s="1"/>
  <c r="E147" i="1" l="1"/>
  <c r="D147" i="1" s="1"/>
  <c r="X147" i="1" s="1"/>
  <c r="D146" i="31"/>
  <c r="O147" i="13" s="1"/>
  <c r="K147" i="13"/>
  <c r="G145" i="11"/>
  <c r="H145" i="11" s="1"/>
  <c r="J147" i="13" s="1"/>
  <c r="D145" i="11"/>
  <c r="L147" i="1" l="1"/>
  <c r="E148" i="13" s="1"/>
  <c r="C147" i="1"/>
  <c r="D148" i="13" s="1"/>
  <c r="A146" i="11"/>
  <c r="L148" i="13" s="1"/>
  <c r="I148" i="1"/>
  <c r="H148" i="1"/>
  <c r="B148" i="13"/>
  <c r="C148" i="13"/>
  <c r="H147" i="13"/>
  <c r="E145" i="11"/>
  <c r="I147" i="13" s="1"/>
  <c r="H146" i="31"/>
  <c r="Q147" i="13" s="1"/>
  <c r="F146" i="31"/>
  <c r="P147" i="13" s="1"/>
  <c r="AA147" i="1" l="1"/>
  <c r="F147" i="11"/>
  <c r="AD147" i="1"/>
  <c r="R147" i="1"/>
  <c r="Q147" i="1" s="1"/>
  <c r="P147" i="1" s="1"/>
  <c r="O147" i="1" s="1"/>
  <c r="N147" i="1" s="1"/>
  <c r="F148" i="13" s="1"/>
  <c r="Y147" i="1"/>
  <c r="M147" i="1" l="1"/>
  <c r="AB147" i="1" s="1"/>
  <c r="AC147" i="1" s="1"/>
  <c r="M148" i="13" s="1"/>
  <c r="AG147" i="1"/>
  <c r="G148" i="13" l="1"/>
  <c r="E147" i="31"/>
  <c r="G148" i="1"/>
  <c r="F148" i="1"/>
  <c r="C146" i="11"/>
  <c r="C147" i="31"/>
  <c r="B147" i="31"/>
  <c r="AF147" i="1"/>
  <c r="N148" i="13" s="1"/>
  <c r="E148" i="1" l="1"/>
  <c r="D148" i="1" s="1"/>
  <c r="C149" i="13" s="1"/>
  <c r="D147" i="31"/>
  <c r="O148" i="13" s="1"/>
  <c r="K148" i="13"/>
  <c r="G146" i="11"/>
  <c r="H146" i="11" s="1"/>
  <c r="J148" i="13" s="1"/>
  <c r="D146" i="11"/>
  <c r="I149" i="1" l="1"/>
  <c r="C148" i="1"/>
  <c r="D149" i="13" s="1"/>
  <c r="L148" i="1"/>
  <c r="E149" i="13" s="1"/>
  <c r="X148" i="1"/>
  <c r="A147" i="11"/>
  <c r="L149" i="13" s="1"/>
  <c r="B149" i="13"/>
  <c r="H149" i="1"/>
  <c r="R148" i="1" s="1"/>
  <c r="E146" i="11"/>
  <c r="I148" i="13" s="1"/>
  <c r="H148" i="13"/>
  <c r="H147" i="31"/>
  <c r="Q148" i="13" s="1"/>
  <c r="F147" i="31"/>
  <c r="P148" i="13" s="1"/>
  <c r="AA148" i="1" l="1"/>
  <c r="AD148" i="1"/>
  <c r="F148" i="11"/>
  <c r="Q148" i="1"/>
  <c r="P148" i="1" s="1"/>
  <c r="O148" i="1" s="1"/>
  <c r="N148" i="1" s="1"/>
  <c r="F149" i="13" s="1"/>
  <c r="Y148" i="1"/>
  <c r="M148" i="1" l="1"/>
  <c r="E148" i="31" s="1"/>
  <c r="AB148" i="1" l="1"/>
  <c r="AC148" i="1" s="1"/>
  <c r="M149" i="13" s="1"/>
  <c r="G149" i="13"/>
  <c r="G149" i="1"/>
  <c r="F149" i="1"/>
  <c r="AG148" i="1"/>
  <c r="AF148" i="1" l="1"/>
  <c r="N149" i="13" s="1"/>
  <c r="B148" i="31"/>
  <c r="C148" i="31"/>
  <c r="C147" i="11"/>
  <c r="E149" i="1"/>
  <c r="D149" i="1" s="1"/>
  <c r="D148" i="31" l="1"/>
  <c r="H148" i="31" s="1"/>
  <c r="Q149" i="13" s="1"/>
  <c r="O149" i="13"/>
  <c r="K149" i="13"/>
  <c r="G147" i="11"/>
  <c r="H147" i="11" s="1"/>
  <c r="J149" i="13" s="1"/>
  <c r="D147" i="11"/>
  <c r="B150" i="13"/>
  <c r="C149" i="1"/>
  <c r="D150" i="13" s="1"/>
  <c r="X149" i="1"/>
  <c r="C150" i="13"/>
  <c r="A148" i="11"/>
  <c r="L149" i="1"/>
  <c r="I150" i="1"/>
  <c r="H150" i="1"/>
  <c r="F148" i="31" l="1"/>
  <c r="P149" i="13" s="1"/>
  <c r="R149" i="1"/>
  <c r="Q149" i="1" s="1"/>
  <c r="P149" i="1" s="1"/>
  <c r="O149" i="1" s="1"/>
  <c r="N149" i="1" s="1"/>
  <c r="H149" i="13"/>
  <c r="E147" i="11"/>
  <c r="I149" i="13" s="1"/>
  <c r="L150" i="13"/>
  <c r="E150" i="13"/>
  <c r="Y149" i="1"/>
  <c r="AD149" i="1"/>
  <c r="F149" i="11"/>
  <c r="AA149" i="1"/>
  <c r="M149" i="1" l="1"/>
  <c r="F150" i="13"/>
  <c r="AB149" i="1" l="1"/>
  <c r="AC149" i="1" s="1"/>
  <c r="M150" i="13" s="1"/>
  <c r="G150" i="13"/>
  <c r="E149" i="31"/>
  <c r="AG149" i="1"/>
  <c r="G150" i="1" l="1"/>
  <c r="F150" i="1"/>
  <c r="C148" i="11"/>
  <c r="C149" i="31"/>
  <c r="B149" i="31"/>
  <c r="AF149" i="1"/>
  <c r="N150" i="13" s="1"/>
  <c r="E150" i="1" l="1"/>
  <c r="D150" i="1" s="1"/>
  <c r="B151" i="13" s="1"/>
  <c r="D149" i="31"/>
  <c r="O150" i="13" s="1"/>
  <c r="G148" i="11"/>
  <c r="H148" i="11" s="1"/>
  <c r="J150" i="13" s="1"/>
  <c r="K150" i="13"/>
  <c r="D148" i="11"/>
  <c r="I151" i="1" l="1"/>
  <c r="A149" i="11"/>
  <c r="L151" i="13" s="1"/>
  <c r="L150" i="1"/>
  <c r="E151" i="13" s="1"/>
  <c r="C150" i="1"/>
  <c r="D151" i="13" s="1"/>
  <c r="C151" i="13"/>
  <c r="X150" i="1"/>
  <c r="H151" i="1"/>
  <c r="E148" i="11"/>
  <c r="I150" i="13" s="1"/>
  <c r="H150" i="13"/>
  <c r="F149" i="31"/>
  <c r="P150" i="13" s="1"/>
  <c r="H149" i="31"/>
  <c r="Q150" i="13" s="1"/>
  <c r="R150" i="1" l="1"/>
  <c r="Q150" i="1" s="1"/>
  <c r="P150" i="1" s="1"/>
  <c r="O150" i="1" s="1"/>
  <c r="N150" i="1" s="1"/>
  <c r="M150" i="1" s="1"/>
  <c r="AA150" i="1"/>
  <c r="AD150" i="1"/>
  <c r="F150" i="11"/>
  <c r="Y150" i="1"/>
  <c r="F151" i="13" l="1"/>
  <c r="AB150" i="1"/>
  <c r="AC150" i="1" s="1"/>
  <c r="M151" i="13" s="1"/>
  <c r="G151" i="13"/>
  <c r="E150" i="31"/>
  <c r="AG150" i="1"/>
  <c r="G151" i="1" l="1"/>
  <c r="F151" i="1"/>
  <c r="C149" i="11"/>
  <c r="B150" i="31"/>
  <c r="C150" i="31"/>
  <c r="AF150" i="1"/>
  <c r="N151" i="13" s="1"/>
  <c r="E151" i="1" l="1"/>
  <c r="D151" i="1" s="1"/>
  <c r="A150" i="11" s="1"/>
  <c r="D150" i="31"/>
  <c r="K151" i="13"/>
  <c r="G149" i="11"/>
  <c r="H149" i="11" s="1"/>
  <c r="J151" i="13" s="1"/>
  <c r="D149" i="11"/>
  <c r="I152" i="1" l="1"/>
  <c r="H152" i="1"/>
  <c r="B152" i="13"/>
  <c r="X151" i="1"/>
  <c r="L151" i="1"/>
  <c r="Y151" i="1" s="1"/>
  <c r="C151" i="1"/>
  <c r="D152" i="13" s="1"/>
  <c r="C152" i="13"/>
  <c r="H150" i="31"/>
  <c r="Q151" i="13" s="1"/>
  <c r="O151" i="13"/>
  <c r="F150" i="31"/>
  <c r="P151" i="13" s="1"/>
  <c r="H151" i="13"/>
  <c r="E149" i="11"/>
  <c r="I151" i="13" s="1"/>
  <c r="L152" i="13"/>
  <c r="AA151" i="1" l="1"/>
  <c r="AD151" i="1"/>
  <c r="F151" i="11"/>
  <c r="E152" i="13"/>
  <c r="R151" i="1"/>
  <c r="Q151" i="1" s="1"/>
  <c r="P151" i="1" s="1"/>
  <c r="O151" i="1" s="1"/>
  <c r="N151" i="1" s="1"/>
  <c r="F152" i="13" s="1"/>
  <c r="M151" i="1" l="1"/>
  <c r="AB151" i="1" s="1"/>
  <c r="AC151" i="1" s="1"/>
  <c r="M152" i="13" s="1"/>
  <c r="AG151" i="1"/>
  <c r="G152" i="13" l="1"/>
  <c r="E151" i="31"/>
  <c r="F152" i="1"/>
  <c r="G152" i="1"/>
  <c r="C150" i="11"/>
  <c r="B151" i="31"/>
  <c r="C151" i="31"/>
  <c r="AF151" i="1"/>
  <c r="N152" i="13" s="1"/>
  <c r="E152" i="1" l="1"/>
  <c r="D152" i="1" s="1"/>
  <c r="C152" i="1" s="1"/>
  <c r="D153" i="13" s="1"/>
  <c r="D151" i="31"/>
  <c r="G150" i="11"/>
  <c r="H150" i="11" s="1"/>
  <c r="J152" i="13" s="1"/>
  <c r="K152" i="13"/>
  <c r="D150" i="11"/>
  <c r="H153" i="1" l="1"/>
  <c r="A151" i="11"/>
  <c r="L153" i="13" s="1"/>
  <c r="X152" i="1"/>
  <c r="L152" i="1"/>
  <c r="E153" i="13" s="1"/>
  <c r="I153" i="1"/>
  <c r="C153" i="13"/>
  <c r="B153" i="13"/>
  <c r="F151" i="31"/>
  <c r="P152" i="13" s="1"/>
  <c r="O152" i="13"/>
  <c r="H151" i="31"/>
  <c r="Q152" i="13" s="1"/>
  <c r="H152" i="13"/>
  <c r="E150" i="11"/>
  <c r="I152" i="13" s="1"/>
  <c r="F152" i="11" l="1"/>
  <c r="AD152" i="1"/>
  <c r="AA152" i="1"/>
  <c r="Y152" i="1"/>
  <c r="R152" i="1"/>
  <c r="Q152" i="1" s="1"/>
  <c r="P152" i="1" s="1"/>
  <c r="O152" i="1" s="1"/>
  <c r="N152" i="1" s="1"/>
  <c r="M152" i="1" s="1"/>
  <c r="F153" i="13" l="1"/>
  <c r="AB152" i="1"/>
  <c r="AC152" i="1" s="1"/>
  <c r="M153" i="13" s="1"/>
  <c r="E152" i="31"/>
  <c r="G153" i="13"/>
  <c r="AG152" i="1"/>
  <c r="F153" i="1" l="1"/>
  <c r="G153" i="1"/>
  <c r="C151" i="11"/>
  <c r="B152" i="31"/>
  <c r="C152" i="31"/>
  <c r="AF152" i="1"/>
  <c r="N153" i="13" s="1"/>
  <c r="E153" i="1" l="1"/>
  <c r="D153" i="1" s="1"/>
  <c r="B154" i="13" s="1"/>
  <c r="D152" i="31"/>
  <c r="G151" i="11"/>
  <c r="H151" i="11" s="1"/>
  <c r="J153" i="13" s="1"/>
  <c r="K153" i="13"/>
  <c r="D151" i="11"/>
  <c r="A152" i="11" l="1"/>
  <c r="L154" i="13" s="1"/>
  <c r="H154" i="1"/>
  <c r="I154" i="1"/>
  <c r="AA153" i="1" s="1"/>
  <c r="X153" i="1"/>
  <c r="C154" i="13"/>
  <c r="C153" i="1"/>
  <c r="D154" i="13" s="1"/>
  <c r="L153" i="1"/>
  <c r="Y153" i="1" s="1"/>
  <c r="F152" i="31"/>
  <c r="P153" i="13" s="1"/>
  <c r="O153" i="13"/>
  <c r="H152" i="31"/>
  <c r="Q153" i="13" s="1"/>
  <c r="H153" i="13"/>
  <c r="E151" i="11"/>
  <c r="I153" i="13" s="1"/>
  <c r="R153" i="1" l="1"/>
  <c r="Q153" i="1" s="1"/>
  <c r="P153" i="1" s="1"/>
  <c r="O153" i="1" s="1"/>
  <c r="N153" i="1" s="1"/>
  <c r="F154" i="13" s="1"/>
  <c r="E154" i="13"/>
  <c r="F153" i="11"/>
  <c r="AD153" i="1"/>
  <c r="M153" i="1" l="1"/>
  <c r="AB153" i="1" s="1"/>
  <c r="AC153" i="1" s="1"/>
  <c r="M154" i="13" s="1"/>
  <c r="AG153" i="1"/>
  <c r="F154" i="1" l="1"/>
  <c r="G154" i="13"/>
  <c r="E153" i="31"/>
  <c r="G154" i="1"/>
  <c r="C152" i="11"/>
  <c r="C153" i="31"/>
  <c r="B153" i="31"/>
  <c r="AF153" i="1"/>
  <c r="N154" i="13" s="1"/>
  <c r="E154" i="1" l="1"/>
  <c r="D154" i="1" s="1"/>
  <c r="X154" i="1" s="1"/>
  <c r="D153" i="31"/>
  <c r="O154" i="13" s="1"/>
  <c r="G152" i="11"/>
  <c r="H152" i="11" s="1"/>
  <c r="J154" i="13" s="1"/>
  <c r="K154" i="13"/>
  <c r="D152" i="11"/>
  <c r="L154" i="1" l="1"/>
  <c r="F154" i="11" s="1"/>
  <c r="C154" i="1"/>
  <c r="D155" i="13" s="1"/>
  <c r="H155" i="1"/>
  <c r="C155" i="13"/>
  <c r="I155" i="1"/>
  <c r="A153" i="11"/>
  <c r="L155" i="13" s="1"/>
  <c r="B155" i="13"/>
  <c r="E152" i="11"/>
  <c r="I154" i="13" s="1"/>
  <c r="H154" i="13"/>
  <c r="F153" i="31"/>
  <c r="P154" i="13" s="1"/>
  <c r="H153" i="31"/>
  <c r="Q154" i="13" s="1"/>
  <c r="AA154" i="1" l="1"/>
  <c r="R154" i="1"/>
  <c r="Q154" i="1" s="1"/>
  <c r="P154" i="1" s="1"/>
  <c r="O154" i="1" s="1"/>
  <c r="N154" i="1" s="1"/>
  <c r="F155" i="13" s="1"/>
  <c r="Y154" i="1"/>
  <c r="E155" i="13"/>
  <c r="AD154" i="1"/>
  <c r="M154" i="1" l="1"/>
  <c r="AB154" i="1" s="1"/>
  <c r="AC154" i="1" s="1"/>
  <c r="M155" i="13" s="1"/>
  <c r="G155" i="13" l="1"/>
  <c r="E154" i="31"/>
  <c r="F155" i="1"/>
  <c r="G155" i="1"/>
  <c r="AG154" i="1"/>
  <c r="B154" i="31"/>
  <c r="C154" i="31"/>
  <c r="AF154" i="1"/>
  <c r="N155" i="13" s="1"/>
  <c r="D154" i="31" l="1"/>
  <c r="C153" i="11"/>
  <c r="E155" i="1"/>
  <c r="D155" i="1" s="1"/>
  <c r="F154" i="31" l="1"/>
  <c r="P155" i="13" s="1"/>
  <c r="O155" i="13"/>
  <c r="H154" i="31"/>
  <c r="Q155" i="13" s="1"/>
  <c r="G153" i="11"/>
  <c r="H153" i="11" s="1"/>
  <c r="J155" i="13" s="1"/>
  <c r="K155" i="13"/>
  <c r="D153" i="11"/>
  <c r="C156" i="13"/>
  <c r="X155" i="1"/>
  <c r="B156" i="13"/>
  <c r="A154" i="11"/>
  <c r="C155" i="1"/>
  <c r="D156" i="13" s="1"/>
  <c r="L155" i="1"/>
  <c r="I156" i="1"/>
  <c r="H156" i="1"/>
  <c r="AA155" i="1" l="1"/>
  <c r="L156" i="13"/>
  <c r="E153" i="11"/>
  <c r="I155" i="13" s="1"/>
  <c r="H155" i="13"/>
  <c r="R155" i="1"/>
  <c r="Q155" i="1" s="1"/>
  <c r="P155" i="1" s="1"/>
  <c r="O155" i="1" s="1"/>
  <c r="N155" i="1" s="1"/>
  <c r="Y155" i="1"/>
  <c r="E156" i="13"/>
  <c r="AD155" i="1"/>
  <c r="F155" i="11"/>
  <c r="M155" i="1" l="1"/>
  <c r="F156" i="13"/>
  <c r="AB155" i="1" l="1"/>
  <c r="AC155" i="1" s="1"/>
  <c r="M156" i="13" s="1"/>
  <c r="E155" i="31"/>
  <c r="G156" i="13"/>
  <c r="G156" i="1" l="1"/>
  <c r="F156" i="1"/>
  <c r="B155" i="31"/>
  <c r="C155" i="31"/>
  <c r="AF155" i="1"/>
  <c r="N156" i="13" s="1"/>
  <c r="AG155" i="1"/>
  <c r="D155" i="31" l="1"/>
  <c r="E156" i="1"/>
  <c r="D156" i="1" s="1"/>
  <c r="C154" i="11"/>
  <c r="F155" i="31" l="1"/>
  <c r="P156" i="13" s="1"/>
  <c r="O156" i="13"/>
  <c r="H155" i="31"/>
  <c r="Q156" i="13" s="1"/>
  <c r="K156" i="13"/>
  <c r="G154" i="11"/>
  <c r="H154" i="11" s="1"/>
  <c r="J156" i="13" s="1"/>
  <c r="D154" i="11"/>
  <c r="B157" i="13"/>
  <c r="X156" i="1"/>
  <c r="C156" i="1"/>
  <c r="D157" i="13" s="1"/>
  <c r="C157" i="13"/>
  <c r="A155" i="11"/>
  <c r="I157" i="1"/>
  <c r="H157" i="1"/>
  <c r="L156" i="1"/>
  <c r="AA156" i="1" l="1"/>
  <c r="E157" i="13"/>
  <c r="Y156" i="1"/>
  <c r="F156" i="11"/>
  <c r="AD156" i="1"/>
  <c r="R156" i="1"/>
  <c r="Q156" i="1" s="1"/>
  <c r="P156" i="1" s="1"/>
  <c r="O156" i="1" s="1"/>
  <c r="N156" i="1" s="1"/>
  <c r="H156" i="13"/>
  <c r="E154" i="11"/>
  <c r="I156" i="13" s="1"/>
  <c r="L157" i="13"/>
  <c r="F157" i="13" l="1"/>
  <c r="M156" i="1"/>
  <c r="AB156" i="1" s="1"/>
  <c r="AC156" i="1" s="1"/>
  <c r="M157" i="13" s="1"/>
  <c r="B156" i="31" l="1"/>
  <c r="C156" i="31"/>
  <c r="E156" i="31"/>
  <c r="G157" i="13"/>
  <c r="AG156" i="1"/>
  <c r="G157" i="1"/>
  <c r="F157" i="1"/>
  <c r="AF156" i="1"/>
  <c r="N157" i="13" s="1"/>
  <c r="C155" i="11" l="1"/>
  <c r="E157" i="1"/>
  <c r="D157" i="1" s="1"/>
  <c r="D156" i="31"/>
  <c r="O157" i="13" s="1"/>
  <c r="G155" i="11" l="1"/>
  <c r="H155" i="11" s="1"/>
  <c r="J157" i="13" s="1"/>
  <c r="K157" i="13"/>
  <c r="D155" i="11"/>
  <c r="H156" i="31"/>
  <c r="Q157" i="13" s="1"/>
  <c r="F156" i="31"/>
  <c r="P157" i="13" s="1"/>
  <c r="A156" i="11"/>
  <c r="C158" i="13"/>
  <c r="X157" i="1"/>
  <c r="C157" i="1"/>
  <c r="D158" i="13" s="1"/>
  <c r="B158" i="13"/>
  <c r="H158" i="1"/>
  <c r="L157" i="1"/>
  <c r="I158" i="1"/>
  <c r="AA157" i="1" l="1"/>
  <c r="Y157" i="1"/>
  <c r="E158" i="13"/>
  <c r="AD157" i="1"/>
  <c r="F157" i="11"/>
  <c r="H157" i="13"/>
  <c r="E155" i="11"/>
  <c r="I157" i="13" s="1"/>
  <c r="R157" i="1"/>
  <c r="Q157" i="1" s="1"/>
  <c r="P157" i="1" s="1"/>
  <c r="O157" i="1" s="1"/>
  <c r="N157" i="1" s="1"/>
  <c r="L158" i="13"/>
  <c r="F158" i="13" l="1"/>
  <c r="M157" i="1"/>
  <c r="AB157" i="1" l="1"/>
  <c r="AC157" i="1" s="1"/>
  <c r="M158" i="13" s="1"/>
  <c r="E157" i="31"/>
  <c r="G158" i="13"/>
  <c r="G158" i="1" l="1"/>
  <c r="F158" i="1"/>
  <c r="B157" i="31"/>
  <c r="C157" i="31"/>
  <c r="AF157" i="1"/>
  <c r="N158" i="13" s="1"/>
  <c r="AG157" i="1"/>
  <c r="D157" i="31" l="1"/>
  <c r="C156" i="11"/>
  <c r="E158" i="1"/>
  <c r="D158" i="1" s="1"/>
  <c r="F157" i="31" l="1"/>
  <c r="P158" i="13" s="1"/>
  <c r="O158" i="13"/>
  <c r="H157" i="31"/>
  <c r="Q158" i="13" s="1"/>
  <c r="K158" i="13"/>
  <c r="G156" i="11"/>
  <c r="H156" i="11" s="1"/>
  <c r="J158" i="13" s="1"/>
  <c r="D156" i="11"/>
  <c r="X158" i="1"/>
  <c r="B159" i="13"/>
  <c r="C159" i="13"/>
  <c r="C158" i="1"/>
  <c r="D159" i="13" s="1"/>
  <c r="A157" i="11"/>
  <c r="I159" i="1"/>
  <c r="L158" i="1"/>
  <c r="H159" i="1"/>
  <c r="R158" i="1" l="1"/>
  <c r="Q158" i="1" s="1"/>
  <c r="P158" i="1" s="1"/>
  <c r="O158" i="1" s="1"/>
  <c r="N158" i="1" s="1"/>
  <c r="L159" i="13"/>
  <c r="Y158" i="1"/>
  <c r="E159" i="13"/>
  <c r="F158" i="11"/>
  <c r="AD158" i="1"/>
  <c r="H158" i="13"/>
  <c r="E156" i="11"/>
  <c r="I158" i="13" s="1"/>
  <c r="AA158" i="1"/>
  <c r="F159" i="13" l="1"/>
  <c r="M158" i="1"/>
  <c r="AB158" i="1" l="1"/>
  <c r="AC158" i="1" s="1"/>
  <c r="M159" i="13" s="1"/>
  <c r="G159" i="13"/>
  <c r="E158" i="31"/>
  <c r="F159" i="1" l="1"/>
  <c r="G159" i="1"/>
  <c r="B158" i="31"/>
  <c r="C158" i="31"/>
  <c r="AF158" i="1"/>
  <c r="N159" i="13" s="1"/>
  <c r="AG158" i="1"/>
  <c r="C157" i="11" l="1"/>
  <c r="E159" i="1"/>
  <c r="D159" i="1" s="1"/>
  <c r="D158" i="31"/>
  <c r="O159" i="13" s="1"/>
  <c r="F158" i="31" l="1"/>
  <c r="P159" i="13" s="1"/>
  <c r="H158" i="31"/>
  <c r="Q159" i="13" s="1"/>
  <c r="K159" i="13"/>
  <c r="G157" i="11"/>
  <c r="H157" i="11" s="1"/>
  <c r="J159" i="13" s="1"/>
  <c r="D157" i="11"/>
  <c r="X159" i="1"/>
  <c r="C160" i="13"/>
  <c r="B160" i="13"/>
  <c r="A158" i="11"/>
  <c r="C159" i="1"/>
  <c r="D160" i="13" s="1"/>
  <c r="L159" i="1"/>
  <c r="I160" i="1"/>
  <c r="H160" i="1"/>
  <c r="AA159" i="1" l="1"/>
  <c r="Y159" i="1"/>
  <c r="E160" i="13"/>
  <c r="AD159" i="1"/>
  <c r="F159" i="11"/>
  <c r="R159" i="1"/>
  <c r="Q159" i="1" s="1"/>
  <c r="P159" i="1" s="1"/>
  <c r="O159" i="1" s="1"/>
  <c r="N159" i="1" s="1"/>
  <c r="L160" i="13"/>
  <c r="E157" i="11"/>
  <c r="I159" i="13" s="1"/>
  <c r="H159" i="13"/>
  <c r="F160" i="13" l="1"/>
  <c r="M159" i="1"/>
  <c r="AB159" i="1" l="1"/>
  <c r="AC159" i="1" s="1"/>
  <c r="M160" i="13" s="1"/>
  <c r="E159" i="31"/>
  <c r="G160" i="13"/>
  <c r="AG159" i="1"/>
  <c r="G160" i="1" l="1"/>
  <c r="F160" i="1"/>
  <c r="C158" i="11"/>
  <c r="B159" i="31"/>
  <c r="C159" i="31"/>
  <c r="AF159" i="1"/>
  <c r="N160" i="13" s="1"/>
  <c r="E160" i="1" l="1"/>
  <c r="D160" i="1" s="1"/>
  <c r="C160" i="1" s="1"/>
  <c r="D161" i="13" s="1"/>
  <c r="D159" i="31"/>
  <c r="K160" i="13"/>
  <c r="G158" i="11"/>
  <c r="H158" i="11" s="1"/>
  <c r="J160" i="13" s="1"/>
  <c r="D158" i="11"/>
  <c r="H161" i="1" l="1"/>
  <c r="X160" i="1"/>
  <c r="I161" i="1"/>
  <c r="B161" i="13"/>
  <c r="L160" i="1"/>
  <c r="E161" i="13" s="1"/>
  <c r="C161" i="13"/>
  <c r="A159" i="11"/>
  <c r="L161" i="13" s="1"/>
  <c r="H159" i="31"/>
  <c r="Q160" i="13" s="1"/>
  <c r="O160" i="13"/>
  <c r="F159" i="31"/>
  <c r="P160" i="13" s="1"/>
  <c r="H160" i="13"/>
  <c r="E158" i="11"/>
  <c r="I160" i="13" s="1"/>
  <c r="AA160" i="1" l="1"/>
  <c r="AD160" i="1"/>
  <c r="R160" i="1"/>
  <c r="Q160" i="1" s="1"/>
  <c r="P160" i="1" s="1"/>
  <c r="O160" i="1" s="1"/>
  <c r="N160" i="1" s="1"/>
  <c r="F161" i="13" s="1"/>
  <c r="F160" i="11"/>
  <c r="Y160" i="1"/>
  <c r="M160" i="1" l="1"/>
  <c r="AB160" i="1" s="1"/>
  <c r="AC160" i="1" s="1"/>
  <c r="M161" i="13" s="1"/>
  <c r="E160" i="31" l="1"/>
  <c r="G161" i="13"/>
  <c r="F161" i="1"/>
  <c r="G161" i="1"/>
  <c r="AG160" i="1"/>
  <c r="C160" i="31"/>
  <c r="B160" i="31"/>
  <c r="AF160" i="1"/>
  <c r="N161" i="13" s="1"/>
  <c r="D160" i="31" l="1"/>
  <c r="C159" i="11"/>
  <c r="E161" i="1"/>
  <c r="D161" i="1" s="1"/>
  <c r="F160" i="31" l="1"/>
  <c r="P161" i="13" s="1"/>
  <c r="O161" i="13"/>
  <c r="H160" i="31"/>
  <c r="Q161" i="13" s="1"/>
  <c r="A160" i="11"/>
  <c r="C161" i="1"/>
  <c r="D162" i="13" s="1"/>
  <c r="B162" i="13"/>
  <c r="C162" i="13"/>
  <c r="X161" i="1"/>
  <c r="L161" i="1"/>
  <c r="I162" i="1"/>
  <c r="H162" i="1"/>
  <c r="G159" i="11"/>
  <c r="H159" i="11" s="1"/>
  <c r="J161" i="13" s="1"/>
  <c r="K161" i="13"/>
  <c r="D159" i="11"/>
  <c r="R161" i="1" l="1"/>
  <c r="Q161" i="1" s="1"/>
  <c r="P161" i="1" s="1"/>
  <c r="O161" i="1" s="1"/>
  <c r="N161" i="1" s="1"/>
  <c r="E159" i="11"/>
  <c r="I161" i="13" s="1"/>
  <c r="H161" i="13"/>
  <c r="Y161" i="1"/>
  <c r="E162" i="13"/>
  <c r="AD161" i="1"/>
  <c r="F161" i="11"/>
  <c r="AA161" i="1"/>
  <c r="L162" i="13"/>
  <c r="F162" i="13" l="1"/>
  <c r="M161" i="1"/>
  <c r="AB161" i="1" l="1"/>
  <c r="AC161" i="1" s="1"/>
  <c r="M162" i="13" s="1"/>
  <c r="E161" i="31"/>
  <c r="G162" i="13"/>
  <c r="G162" i="1"/>
  <c r="F162" i="1" l="1"/>
  <c r="AG161" i="1"/>
  <c r="C161" i="31"/>
  <c r="B161" i="31"/>
  <c r="AF161" i="1"/>
  <c r="N162" i="13" s="1"/>
  <c r="C160" i="11" l="1"/>
  <c r="E162" i="1"/>
  <c r="D162" i="1" s="1"/>
  <c r="D161" i="31"/>
  <c r="O162" i="13" s="1"/>
  <c r="H161" i="31" l="1"/>
  <c r="Q162" i="13" s="1"/>
  <c r="F161" i="31"/>
  <c r="P162" i="13" s="1"/>
  <c r="C163" i="13"/>
  <c r="C162" i="1"/>
  <c r="D163" i="13" s="1"/>
  <c r="A161" i="11"/>
  <c r="B163" i="13"/>
  <c r="X162" i="1"/>
  <c r="I163" i="1"/>
  <c r="H163" i="1"/>
  <c r="L162" i="1"/>
  <c r="G160" i="11"/>
  <c r="H160" i="11" s="1"/>
  <c r="J162" i="13" s="1"/>
  <c r="K162" i="13"/>
  <c r="D160" i="11"/>
  <c r="AA162" i="1" l="1"/>
  <c r="Y162" i="1"/>
  <c r="E163" i="13"/>
  <c r="AD162" i="1"/>
  <c r="F162" i="11"/>
  <c r="H162" i="13"/>
  <c r="E160" i="11"/>
  <c r="I162" i="13" s="1"/>
  <c r="R162" i="1"/>
  <c r="Q162" i="1" s="1"/>
  <c r="P162" i="1" s="1"/>
  <c r="O162" i="1" s="1"/>
  <c r="N162" i="1" s="1"/>
  <c r="L163" i="13"/>
  <c r="M162" i="1" l="1"/>
  <c r="F163" i="13"/>
  <c r="AB162" i="1" l="1"/>
  <c r="AC162" i="1" s="1"/>
  <c r="M163" i="13" s="1"/>
  <c r="E162" i="31"/>
  <c r="G163" i="13"/>
  <c r="F163" i="1" l="1"/>
  <c r="G163" i="1"/>
  <c r="AG162" i="1"/>
  <c r="C162" i="31"/>
  <c r="B162" i="31"/>
  <c r="AF162" i="1"/>
  <c r="N163" i="13" s="1"/>
  <c r="D162" i="31" l="1"/>
  <c r="C161" i="11"/>
  <c r="E163" i="1"/>
  <c r="D163" i="1" s="1"/>
  <c r="H162" i="31" l="1"/>
  <c r="Q163" i="13" s="1"/>
  <c r="O163" i="13"/>
  <c r="F162" i="31"/>
  <c r="P163" i="13" s="1"/>
  <c r="K163" i="13"/>
  <c r="G161" i="11"/>
  <c r="H161" i="11" s="1"/>
  <c r="J163" i="13" s="1"/>
  <c r="D161" i="11"/>
  <c r="X163" i="1"/>
  <c r="B164" i="13"/>
  <c r="C164" i="13"/>
  <c r="A162" i="11"/>
  <c r="C163" i="1"/>
  <c r="D164" i="13" s="1"/>
  <c r="L163" i="1"/>
  <c r="H164" i="1"/>
  <c r="I164" i="1"/>
  <c r="AA163" i="1" l="1"/>
  <c r="R163" i="1"/>
  <c r="Q163" i="1" s="1"/>
  <c r="P163" i="1" s="1"/>
  <c r="O163" i="1" s="1"/>
  <c r="N163" i="1" s="1"/>
  <c r="L164" i="13"/>
  <c r="H163" i="13"/>
  <c r="E161" i="11"/>
  <c r="I163" i="13" s="1"/>
  <c r="E164" i="13"/>
  <c r="Y163" i="1"/>
  <c r="F163" i="11"/>
  <c r="AD163" i="1"/>
  <c r="F164" i="13" l="1"/>
  <c r="M163" i="1"/>
  <c r="AB163" i="1" l="1"/>
  <c r="AC163" i="1" s="1"/>
  <c r="M164" i="13" s="1"/>
  <c r="G164" i="13"/>
  <c r="E163" i="31"/>
  <c r="F164" i="1" l="1"/>
  <c r="G164" i="1"/>
  <c r="B163" i="31"/>
  <c r="C163" i="31"/>
  <c r="AF163" i="1"/>
  <c r="N164" i="13" s="1"/>
  <c r="AG163" i="1"/>
  <c r="E164" i="1" l="1"/>
  <c r="D164" i="1" s="1"/>
  <c r="C162" i="11"/>
  <c r="D163" i="31"/>
  <c r="O164" i="13" s="1"/>
  <c r="X164" i="1" l="1"/>
  <c r="C164" i="1"/>
  <c r="D165" i="13" s="1"/>
  <c r="B165" i="13"/>
  <c r="A163" i="11"/>
  <c r="C165" i="13"/>
  <c r="L164" i="1"/>
  <c r="I165" i="1"/>
  <c r="H165" i="1"/>
  <c r="H163" i="31"/>
  <c r="Q164" i="13" s="1"/>
  <c r="F163" i="31"/>
  <c r="P164" i="13" s="1"/>
  <c r="K164" i="13"/>
  <c r="G162" i="11"/>
  <c r="H162" i="11" s="1"/>
  <c r="J164" i="13" s="1"/>
  <c r="D162" i="11"/>
  <c r="AA164" i="1" l="1"/>
  <c r="E165" i="13"/>
  <c r="Y164" i="1"/>
  <c r="AD164" i="1"/>
  <c r="F164" i="11"/>
  <c r="L165" i="13"/>
  <c r="H164" i="13"/>
  <c r="E162" i="11"/>
  <c r="I164" i="13" s="1"/>
  <c r="R164" i="1"/>
  <c r="Q164" i="1" s="1"/>
  <c r="P164" i="1" s="1"/>
  <c r="O164" i="1" s="1"/>
  <c r="N164" i="1" s="1"/>
  <c r="F165" i="13" l="1"/>
  <c r="M164" i="1"/>
  <c r="AB164" i="1" l="1"/>
  <c r="AC164" i="1" s="1"/>
  <c r="M165" i="13" s="1"/>
  <c r="G165" i="13"/>
  <c r="E164" i="31"/>
  <c r="AG164" i="1"/>
  <c r="G165" i="1"/>
  <c r="F165" i="1" l="1"/>
  <c r="E165" i="1" s="1"/>
  <c r="D165" i="1" s="1"/>
  <c r="C163" i="11"/>
  <c r="B164" i="31"/>
  <c r="C164" i="31"/>
  <c r="AF164" i="1"/>
  <c r="N165" i="13" s="1"/>
  <c r="D164" i="31" l="1"/>
  <c r="C166" i="13"/>
  <c r="A164" i="11"/>
  <c r="B166" i="13"/>
  <c r="C165" i="1"/>
  <c r="D166" i="13" s="1"/>
  <c r="X165" i="1"/>
  <c r="I166" i="1"/>
  <c r="L165" i="1"/>
  <c r="H166" i="1"/>
  <c r="K165" i="13"/>
  <c r="G163" i="11"/>
  <c r="H163" i="11" s="1"/>
  <c r="J165" i="13" s="1"/>
  <c r="D163" i="11"/>
  <c r="AA165" i="1" l="1"/>
  <c r="H164" i="31"/>
  <c r="Q165" i="13" s="1"/>
  <c r="O165" i="13"/>
  <c r="F164" i="31"/>
  <c r="P165" i="13" s="1"/>
  <c r="L166" i="13"/>
  <c r="R165" i="1"/>
  <c r="Q165" i="1" s="1"/>
  <c r="P165" i="1" s="1"/>
  <c r="O165" i="1" s="1"/>
  <c r="N165" i="1" s="1"/>
  <c r="E163" i="11"/>
  <c r="I165" i="13" s="1"/>
  <c r="H165" i="13"/>
  <c r="Y165" i="1"/>
  <c r="E166" i="13"/>
  <c r="AD165" i="1"/>
  <c r="F165" i="11"/>
  <c r="M165" i="1" l="1"/>
  <c r="AB165" i="1" s="1"/>
  <c r="AC165" i="1" s="1"/>
  <c r="F166" i="13"/>
  <c r="AF165" i="1" l="1"/>
  <c r="N166" i="13" s="1"/>
  <c r="M166" i="13"/>
  <c r="B165" i="31"/>
  <c r="C165" i="31"/>
  <c r="E165" i="31"/>
  <c r="G166" i="13"/>
  <c r="G166" i="1"/>
  <c r="AG165" i="1"/>
  <c r="F166" i="1"/>
  <c r="C164" i="11" l="1"/>
  <c r="E166" i="1"/>
  <c r="D166" i="1" s="1"/>
  <c r="D165" i="31"/>
  <c r="O166" i="13" s="1"/>
  <c r="H165" i="31" l="1"/>
  <c r="Q166" i="13" s="1"/>
  <c r="F165" i="31"/>
  <c r="P166" i="13" s="1"/>
  <c r="K166" i="13"/>
  <c r="G164" i="11"/>
  <c r="H164" i="11" s="1"/>
  <c r="J166" i="13" s="1"/>
  <c r="D164" i="11"/>
  <c r="C167" i="13"/>
  <c r="B167" i="13"/>
  <c r="A165" i="11"/>
  <c r="X166" i="1"/>
  <c r="C166" i="1"/>
  <c r="D167" i="13" s="1"/>
  <c r="H167" i="1"/>
  <c r="L166" i="1"/>
  <c r="I167" i="1"/>
  <c r="E167" i="13" l="1"/>
  <c r="Y166" i="1"/>
  <c r="AD166" i="1"/>
  <c r="F166" i="11"/>
  <c r="H166" i="13"/>
  <c r="E164" i="11"/>
  <c r="I166" i="13" s="1"/>
  <c r="R166" i="1"/>
  <c r="Q166" i="1" s="1"/>
  <c r="P166" i="1" s="1"/>
  <c r="O166" i="1" s="1"/>
  <c r="N166" i="1" s="1"/>
  <c r="L167" i="13"/>
  <c r="AA166" i="1"/>
  <c r="F167" i="13" l="1"/>
  <c r="M166" i="1"/>
  <c r="AB166" i="1" l="1"/>
  <c r="AC166" i="1" s="1"/>
  <c r="M167" i="13" s="1"/>
  <c r="E166" i="31"/>
  <c r="G167" i="13"/>
  <c r="AG166" i="1"/>
  <c r="F167" i="1"/>
  <c r="G167" i="1" l="1"/>
  <c r="E167" i="1" s="1"/>
  <c r="D167" i="1" s="1"/>
  <c r="C165" i="11"/>
  <c r="C166" i="31"/>
  <c r="B166" i="31"/>
  <c r="AF166" i="1"/>
  <c r="N167" i="13" s="1"/>
  <c r="G165" i="11" l="1"/>
  <c r="H165" i="11" s="1"/>
  <c r="J167" i="13" s="1"/>
  <c r="K167" i="13"/>
  <c r="D165" i="11"/>
  <c r="D166" i="31"/>
  <c r="O167" i="13" s="1"/>
  <c r="X167" i="1"/>
  <c r="C168" i="13"/>
  <c r="A166" i="11"/>
  <c r="B168" i="13"/>
  <c r="C167" i="1"/>
  <c r="D168" i="13" s="1"/>
  <c r="L167" i="1"/>
  <c r="H168" i="1"/>
  <c r="I168" i="1"/>
  <c r="R167" i="1" l="1"/>
  <c r="Q167" i="1" s="1"/>
  <c r="P167" i="1" s="1"/>
  <c r="O167" i="1" s="1"/>
  <c r="N167" i="1" s="1"/>
  <c r="Y167" i="1"/>
  <c r="E168" i="13"/>
  <c r="AD167" i="1"/>
  <c r="F167" i="11"/>
  <c r="L168" i="13"/>
  <c r="H167" i="13"/>
  <c r="E165" i="11"/>
  <c r="I167" i="13" s="1"/>
  <c r="H166" i="31"/>
  <c r="Q167" i="13" s="1"/>
  <c r="F166" i="31"/>
  <c r="P167" i="13" s="1"/>
  <c r="AA167" i="1"/>
  <c r="M167" i="1" l="1"/>
  <c r="F168" i="13"/>
  <c r="AB167" i="1" l="1"/>
  <c r="AC167" i="1" s="1"/>
  <c r="M168" i="13" s="1"/>
  <c r="E167" i="31"/>
  <c r="G168" i="13"/>
  <c r="G168" i="1" l="1"/>
  <c r="F168" i="1"/>
  <c r="AG167" i="1"/>
  <c r="B167" i="31"/>
  <c r="C167" i="31"/>
  <c r="AF167" i="1"/>
  <c r="N168" i="13" s="1"/>
  <c r="D167" i="31" l="1"/>
  <c r="C166" i="11"/>
  <c r="E168" i="1"/>
  <c r="D168" i="1" s="1"/>
  <c r="H167" i="31" l="1"/>
  <c r="Q168" i="13" s="1"/>
  <c r="O168" i="13"/>
  <c r="F167" i="31"/>
  <c r="P168" i="13" s="1"/>
  <c r="X168" i="1"/>
  <c r="C168" i="1"/>
  <c r="D169" i="13" s="1"/>
  <c r="C169" i="13"/>
  <c r="A167" i="11"/>
  <c r="B169" i="13"/>
  <c r="I169" i="1"/>
  <c r="H169" i="1"/>
  <c r="L168" i="1"/>
  <c r="K168" i="13"/>
  <c r="G166" i="11"/>
  <c r="H166" i="11" s="1"/>
  <c r="J168" i="13" s="1"/>
  <c r="D166" i="11"/>
  <c r="E166" i="11" l="1"/>
  <c r="I168" i="13" s="1"/>
  <c r="H168" i="13"/>
  <c r="R168" i="1"/>
  <c r="Q168" i="1" s="1"/>
  <c r="P168" i="1" s="1"/>
  <c r="O168" i="1" s="1"/>
  <c r="N168" i="1" s="1"/>
  <c r="L169" i="13"/>
  <c r="AA168" i="1"/>
  <c r="Y168" i="1"/>
  <c r="E169" i="13"/>
  <c r="F168" i="11"/>
  <c r="AD168" i="1"/>
  <c r="M168" i="1" l="1"/>
  <c r="F169" i="13"/>
  <c r="AB168" i="1" l="1"/>
  <c r="AC168" i="1" s="1"/>
  <c r="M169" i="13" s="1"/>
  <c r="E168" i="31"/>
  <c r="G169" i="13"/>
  <c r="G169" i="1" l="1"/>
  <c r="F169" i="1"/>
  <c r="AG168" i="1"/>
  <c r="C168" i="31"/>
  <c r="B168" i="31"/>
  <c r="AF168" i="1"/>
  <c r="N169" i="13" s="1"/>
  <c r="D168" i="31" l="1"/>
  <c r="O169" i="13" s="1"/>
  <c r="C167" i="11"/>
  <c r="E169" i="1"/>
  <c r="D169" i="1" s="1"/>
  <c r="B170" i="13" l="1"/>
  <c r="C169" i="1"/>
  <c r="D170" i="13" s="1"/>
  <c r="X169" i="1"/>
  <c r="C170" i="13"/>
  <c r="A168" i="11"/>
  <c r="L169" i="1"/>
  <c r="I170" i="1"/>
  <c r="H170" i="1"/>
  <c r="F168" i="31"/>
  <c r="P169" i="13" s="1"/>
  <c r="H168" i="31"/>
  <c r="Q169" i="13" s="1"/>
  <c r="G167" i="11"/>
  <c r="H167" i="11" s="1"/>
  <c r="J169" i="13" s="1"/>
  <c r="K169" i="13"/>
  <c r="D167" i="11"/>
  <c r="R169" i="1" l="1"/>
  <c r="Q169" i="1" s="1"/>
  <c r="P169" i="1" s="1"/>
  <c r="O169" i="1" s="1"/>
  <c r="N169" i="1" s="1"/>
  <c r="E170" i="13"/>
  <c r="Y169" i="1"/>
  <c r="AD169" i="1"/>
  <c r="F169" i="11"/>
  <c r="L170" i="13"/>
  <c r="H169" i="13"/>
  <c r="E167" i="11"/>
  <c r="I169" i="13" s="1"/>
  <c r="AA169" i="1"/>
  <c r="F170" i="13" l="1"/>
  <c r="M169" i="1"/>
  <c r="E169" i="31" l="1"/>
  <c r="G170" i="13"/>
  <c r="AG169" i="1"/>
  <c r="AB169" i="1"/>
  <c r="AC169" i="1" s="1"/>
  <c r="M170" i="13" s="1"/>
  <c r="G170" i="1" l="1"/>
  <c r="F170" i="1"/>
  <c r="C168" i="11"/>
  <c r="C169" i="31"/>
  <c r="B169" i="31"/>
  <c r="AF169" i="1"/>
  <c r="N170" i="13" s="1"/>
  <c r="E170" i="1" l="1"/>
  <c r="D170" i="1" s="1"/>
  <c r="A169" i="11" s="1"/>
  <c r="D169" i="31"/>
  <c r="O170" i="13" s="1"/>
  <c r="G168" i="11"/>
  <c r="H168" i="11" s="1"/>
  <c r="J170" i="13" s="1"/>
  <c r="K170" i="13"/>
  <c r="D168" i="11"/>
  <c r="L170" i="1" l="1"/>
  <c r="AD170" i="1" s="1"/>
  <c r="X170" i="1"/>
  <c r="H171" i="1"/>
  <c r="C170" i="1"/>
  <c r="D171" i="13" s="1"/>
  <c r="I171" i="1"/>
  <c r="B171" i="13"/>
  <c r="C171" i="13"/>
  <c r="L171" i="13"/>
  <c r="H169" i="31"/>
  <c r="Q170" i="13" s="1"/>
  <c r="F169" i="31"/>
  <c r="P170" i="13" s="1"/>
  <c r="H170" i="13"/>
  <c r="E168" i="11"/>
  <c r="I170" i="13" s="1"/>
  <c r="AA170" i="1" l="1"/>
  <c r="R170" i="1"/>
  <c r="Q170" i="1" s="1"/>
  <c r="P170" i="1" s="1"/>
  <c r="O170" i="1" s="1"/>
  <c r="N170" i="1" s="1"/>
  <c r="M170" i="1" s="1"/>
  <c r="E171" i="13"/>
  <c r="Y170" i="1"/>
  <c r="F170" i="11"/>
  <c r="F171" i="13" l="1"/>
  <c r="AB170" i="1"/>
  <c r="AC170" i="1" s="1"/>
  <c r="M171" i="13" s="1"/>
  <c r="E170" i="31"/>
  <c r="G171" i="13"/>
  <c r="AG170" i="1"/>
  <c r="F171" i="1" l="1"/>
  <c r="G171" i="1"/>
  <c r="C169" i="11"/>
  <c r="C170" i="31"/>
  <c r="B170" i="31"/>
  <c r="AF170" i="1"/>
  <c r="N171" i="13" s="1"/>
  <c r="E171" i="1" l="1"/>
  <c r="D171" i="1" s="1"/>
  <c r="C172" i="13" s="1"/>
  <c r="D170" i="31"/>
  <c r="O171" i="13" s="1"/>
  <c r="K171" i="13"/>
  <c r="G169" i="11"/>
  <c r="H169" i="11" s="1"/>
  <c r="J171" i="13" s="1"/>
  <c r="D169" i="11"/>
  <c r="H172" i="1" l="1"/>
  <c r="B172" i="13"/>
  <c r="I172" i="1"/>
  <c r="C171" i="1"/>
  <c r="D172" i="13" s="1"/>
  <c r="X171" i="1"/>
  <c r="A170" i="11"/>
  <c r="L172" i="13" s="1"/>
  <c r="L171" i="1"/>
  <c r="Y171" i="1" s="1"/>
  <c r="E169" i="11"/>
  <c r="I171" i="13" s="1"/>
  <c r="H171" i="13"/>
  <c r="H170" i="31"/>
  <c r="Q171" i="13" s="1"/>
  <c r="F170" i="31"/>
  <c r="P171" i="13" s="1"/>
  <c r="R171" i="1" l="1"/>
  <c r="Q171" i="1" s="1"/>
  <c r="P171" i="1" s="1"/>
  <c r="O171" i="1" s="1"/>
  <c r="N171" i="1" s="1"/>
  <c r="F172" i="13" s="1"/>
  <c r="AA171" i="1"/>
  <c r="F171" i="11"/>
  <c r="AD171" i="1"/>
  <c r="E172" i="13"/>
  <c r="M171" i="1" l="1"/>
  <c r="AB171" i="1" s="1"/>
  <c r="AC171" i="1" s="1"/>
  <c r="M172" i="13" s="1"/>
  <c r="AG171" i="1"/>
  <c r="G172" i="13" l="1"/>
  <c r="E171" i="31"/>
  <c r="F172" i="1"/>
  <c r="G172" i="1"/>
  <c r="C170" i="11"/>
  <c r="B171" i="31"/>
  <c r="C171" i="31"/>
  <c r="AF171" i="1"/>
  <c r="N172" i="13" s="1"/>
  <c r="E172" i="1" l="1"/>
  <c r="D172" i="1" s="1"/>
  <c r="A171" i="11" s="1"/>
  <c r="D171" i="31"/>
  <c r="G170" i="11"/>
  <c r="H170" i="11" s="1"/>
  <c r="J172" i="13" s="1"/>
  <c r="K172" i="13"/>
  <c r="D170" i="11"/>
  <c r="L172" i="1" l="1"/>
  <c r="Y172" i="1" s="1"/>
  <c r="X172" i="1"/>
  <c r="B173" i="13"/>
  <c r="H173" i="1"/>
  <c r="AA172" i="1" s="1"/>
  <c r="C173" i="13"/>
  <c r="I173" i="1"/>
  <c r="C172" i="1"/>
  <c r="D173" i="13" s="1"/>
  <c r="H171" i="31"/>
  <c r="Q172" i="13" s="1"/>
  <c r="O172" i="13"/>
  <c r="F171" i="31"/>
  <c r="P172" i="13" s="1"/>
  <c r="L173" i="13"/>
  <c r="E170" i="11"/>
  <c r="I172" i="13" s="1"/>
  <c r="H172" i="13"/>
  <c r="R172" i="1" l="1"/>
  <c r="Q172" i="1" s="1"/>
  <c r="P172" i="1" s="1"/>
  <c r="O172" i="1" s="1"/>
  <c r="N172" i="1" s="1"/>
  <c r="M172" i="1" s="1"/>
  <c r="AD172" i="1"/>
  <c r="E173" i="13"/>
  <c r="F172" i="11"/>
  <c r="F173" i="13" l="1"/>
  <c r="AB172" i="1"/>
  <c r="AC172" i="1" s="1"/>
  <c r="M173" i="13" s="1"/>
  <c r="E172" i="31"/>
  <c r="G173" i="13"/>
  <c r="AG172" i="1"/>
  <c r="G173" i="1" l="1"/>
  <c r="F173" i="1"/>
  <c r="C171" i="11"/>
  <c r="B172" i="31"/>
  <c r="C172" i="31"/>
  <c r="AF172" i="1"/>
  <c r="N173" i="13" s="1"/>
  <c r="E173" i="1" l="1"/>
  <c r="D173" i="1" s="1"/>
  <c r="C173" i="1" s="1"/>
  <c r="D174" i="13" s="1"/>
  <c r="D172" i="31"/>
  <c r="G171" i="11"/>
  <c r="H171" i="11" s="1"/>
  <c r="J173" i="13" s="1"/>
  <c r="K173" i="13"/>
  <c r="D171" i="11"/>
  <c r="H174" i="1" l="1"/>
  <c r="X173" i="1"/>
  <c r="I174" i="1"/>
  <c r="A172" i="11"/>
  <c r="L174" i="13" s="1"/>
  <c r="L173" i="1"/>
  <c r="AD173" i="1" s="1"/>
  <c r="C174" i="13"/>
  <c r="B174" i="13"/>
  <c r="H172" i="31"/>
  <c r="Q173" i="13" s="1"/>
  <c r="O173" i="13"/>
  <c r="F172" i="31"/>
  <c r="P173" i="13" s="1"/>
  <c r="H173" i="13"/>
  <c r="E171" i="11"/>
  <c r="I173" i="13" s="1"/>
  <c r="AA173" i="1" l="1"/>
  <c r="R173" i="1"/>
  <c r="Q173" i="1" s="1"/>
  <c r="P173" i="1" s="1"/>
  <c r="O173" i="1" s="1"/>
  <c r="N173" i="1" s="1"/>
  <c r="M173" i="1" s="1"/>
  <c r="F173" i="11"/>
  <c r="E174" i="13"/>
  <c r="Y173" i="1"/>
  <c r="F174" i="13" l="1"/>
  <c r="AB173" i="1"/>
  <c r="AC173" i="1" s="1"/>
  <c r="M174" i="13" s="1"/>
  <c r="E173" i="31"/>
  <c r="G174" i="13"/>
  <c r="AG173" i="1"/>
  <c r="C172" i="11" s="1"/>
  <c r="F174" i="1" l="1"/>
  <c r="G174" i="1"/>
  <c r="K174" i="13"/>
  <c r="G172" i="11"/>
  <c r="H172" i="11" s="1"/>
  <c r="J174" i="13" s="1"/>
  <c r="D172" i="11"/>
  <c r="C173" i="31"/>
  <c r="B173" i="31"/>
  <c r="AF173" i="1"/>
  <c r="N174" i="13" s="1"/>
  <c r="E174" i="1" l="1"/>
  <c r="D174" i="1" s="1"/>
  <c r="C174" i="1" s="1"/>
  <c r="D175" i="13" s="1"/>
  <c r="E172" i="11"/>
  <c r="I174" i="13" s="1"/>
  <c r="H174" i="13"/>
  <c r="D173" i="31"/>
  <c r="O174" i="13" s="1"/>
  <c r="I175" i="1" l="1"/>
  <c r="A173" i="11"/>
  <c r="L175" i="13" s="1"/>
  <c r="X174" i="1"/>
  <c r="B175" i="13"/>
  <c r="H175" i="1"/>
  <c r="L174" i="1"/>
  <c r="Y174" i="1" s="1"/>
  <c r="C175" i="13"/>
  <c r="H173" i="31"/>
  <c r="Q174" i="13" s="1"/>
  <c r="F173" i="31"/>
  <c r="P174" i="13" s="1"/>
  <c r="AA174" i="1" l="1"/>
  <c r="E175" i="13"/>
  <c r="F174" i="11"/>
  <c r="AD174" i="1"/>
  <c r="R174" i="1"/>
  <c r="Q174" i="1" s="1"/>
  <c r="P174" i="1" s="1"/>
  <c r="O174" i="1" s="1"/>
  <c r="N174" i="1" s="1"/>
  <c r="M174" i="1" s="1"/>
  <c r="F175" i="13" l="1"/>
  <c r="AB174" i="1"/>
  <c r="AC174" i="1" s="1"/>
  <c r="M175" i="13" s="1"/>
  <c r="E174" i="31"/>
  <c r="G175" i="13"/>
  <c r="AG174" i="1"/>
  <c r="G175" i="1" l="1"/>
  <c r="F175" i="1"/>
  <c r="C173" i="11"/>
  <c r="B174" i="31"/>
  <c r="C174" i="31"/>
  <c r="AF174" i="1"/>
  <c r="N175" i="13" s="1"/>
  <c r="E175" i="1" l="1"/>
  <c r="D175" i="1" s="1"/>
  <c r="B176" i="13" s="1"/>
  <c r="D174" i="31"/>
  <c r="G173" i="11"/>
  <c r="H173" i="11" s="1"/>
  <c r="J175" i="13" s="1"/>
  <c r="K175" i="13"/>
  <c r="D173" i="11"/>
  <c r="L175" i="1" l="1"/>
  <c r="Y175" i="1" s="1"/>
  <c r="H176" i="1"/>
  <c r="C176" i="13"/>
  <c r="X175" i="1"/>
  <c r="A174" i="11"/>
  <c r="L176" i="13" s="1"/>
  <c r="C175" i="1"/>
  <c r="D176" i="13" s="1"/>
  <c r="I176" i="1"/>
  <c r="H174" i="31"/>
  <c r="Q175" i="13" s="1"/>
  <c r="O175" i="13"/>
  <c r="F174" i="31"/>
  <c r="P175" i="13" s="1"/>
  <c r="H175" i="13"/>
  <c r="E173" i="11"/>
  <c r="I175" i="13" s="1"/>
  <c r="AA175" i="1" l="1"/>
  <c r="R175" i="1"/>
  <c r="Q175" i="1" s="1"/>
  <c r="P175" i="1" s="1"/>
  <c r="O175" i="1" s="1"/>
  <c r="N175" i="1" s="1"/>
  <c r="M175" i="1" s="1"/>
  <c r="AD175" i="1"/>
  <c r="F175" i="11"/>
  <c r="E176" i="13"/>
  <c r="F176" i="13" l="1"/>
  <c r="AB175" i="1"/>
  <c r="AC175" i="1" s="1"/>
  <c r="M176" i="13" s="1"/>
  <c r="E175" i="31"/>
  <c r="G176" i="13"/>
  <c r="AG175" i="1"/>
  <c r="F176" i="1"/>
  <c r="G176" i="1" l="1"/>
  <c r="E176" i="1" s="1"/>
  <c r="D176" i="1" s="1"/>
  <c r="C174" i="11"/>
  <c r="C175" i="31"/>
  <c r="B175" i="31"/>
  <c r="AF175" i="1"/>
  <c r="N176" i="13" s="1"/>
  <c r="D175" i="31" l="1"/>
  <c r="O176" i="13" s="1"/>
  <c r="G174" i="11"/>
  <c r="H174" i="11" s="1"/>
  <c r="J176" i="13" s="1"/>
  <c r="K176" i="13"/>
  <c r="D174" i="11"/>
  <c r="C177" i="13"/>
  <c r="B177" i="13"/>
  <c r="X176" i="1"/>
  <c r="A175" i="11"/>
  <c r="C176" i="1"/>
  <c r="D177" i="13" s="1"/>
  <c r="I177" i="1"/>
  <c r="L176" i="1"/>
  <c r="H177" i="1"/>
  <c r="AA176" i="1" l="1"/>
  <c r="E177" i="13"/>
  <c r="Y176" i="1"/>
  <c r="F176" i="11"/>
  <c r="AD176" i="1"/>
  <c r="E174" i="11"/>
  <c r="I176" i="13" s="1"/>
  <c r="H176" i="13"/>
  <c r="L177" i="13"/>
  <c r="R176" i="1"/>
  <c r="Q176" i="1" s="1"/>
  <c r="P176" i="1" s="1"/>
  <c r="O176" i="1" s="1"/>
  <c r="N176" i="1" s="1"/>
  <c r="H175" i="31"/>
  <c r="Q176" i="13" s="1"/>
  <c r="F175" i="31"/>
  <c r="P176" i="13" s="1"/>
  <c r="F177" i="13" l="1"/>
  <c r="M176" i="1"/>
  <c r="AB176" i="1" l="1"/>
  <c r="AC176" i="1" s="1"/>
  <c r="M177" i="13" s="1"/>
  <c r="E176" i="31"/>
  <c r="G177" i="13"/>
  <c r="F177" i="1"/>
  <c r="G177" i="1" l="1"/>
  <c r="AG176" i="1"/>
  <c r="C176" i="31"/>
  <c r="B176" i="31"/>
  <c r="AF176" i="1"/>
  <c r="N177" i="13" s="1"/>
  <c r="D176" i="31" l="1"/>
  <c r="E177" i="1"/>
  <c r="D177" i="1" s="1"/>
  <c r="C175" i="11"/>
  <c r="H176" i="31" l="1"/>
  <c r="Q177" i="13" s="1"/>
  <c r="O177" i="13"/>
  <c r="F176" i="31"/>
  <c r="P177" i="13" s="1"/>
  <c r="A176" i="11"/>
  <c r="C177" i="1"/>
  <c r="D178" i="13" s="1"/>
  <c r="X177" i="1"/>
  <c r="B178" i="13"/>
  <c r="C178" i="13"/>
  <c r="L177" i="1"/>
  <c r="I178" i="1"/>
  <c r="H178" i="1"/>
  <c r="K177" i="13"/>
  <c r="G175" i="11"/>
  <c r="H175" i="11" s="1"/>
  <c r="J177" i="13" s="1"/>
  <c r="D175" i="11"/>
  <c r="AA177" i="1" l="1"/>
  <c r="Y177" i="1"/>
  <c r="E178" i="13"/>
  <c r="AD177" i="1"/>
  <c r="F177" i="11"/>
  <c r="E175" i="11"/>
  <c r="I177" i="13" s="1"/>
  <c r="H177" i="13"/>
  <c r="R177" i="1"/>
  <c r="Q177" i="1" s="1"/>
  <c r="P177" i="1" s="1"/>
  <c r="O177" i="1" s="1"/>
  <c r="N177" i="1" s="1"/>
  <c r="L178" i="13"/>
  <c r="F178" i="13" l="1"/>
  <c r="M177" i="1"/>
  <c r="AB177" i="1" l="1"/>
  <c r="AC177" i="1" s="1"/>
  <c r="M178" i="13" s="1"/>
  <c r="E177" i="31"/>
  <c r="G178" i="13"/>
  <c r="F178" i="1"/>
  <c r="AG177" i="1"/>
  <c r="G178" i="1" l="1"/>
  <c r="E178" i="1" s="1"/>
  <c r="D178" i="1" s="1"/>
  <c r="C176" i="11"/>
  <c r="B177" i="31"/>
  <c r="C177" i="31"/>
  <c r="AF177" i="1"/>
  <c r="N178" i="13" s="1"/>
  <c r="D177" i="31" l="1"/>
  <c r="K178" i="13"/>
  <c r="G176" i="11"/>
  <c r="H176" i="11" s="1"/>
  <c r="J178" i="13" s="1"/>
  <c r="D176" i="11"/>
  <c r="B179" i="13"/>
  <c r="A177" i="11"/>
  <c r="C179" i="13"/>
  <c r="X178" i="1"/>
  <c r="C178" i="1"/>
  <c r="D179" i="13" s="1"/>
  <c r="L178" i="1"/>
  <c r="H179" i="1"/>
  <c r="I179" i="1"/>
  <c r="H177" i="31" l="1"/>
  <c r="Q178" i="13" s="1"/>
  <c r="O178" i="13"/>
  <c r="AA178" i="1"/>
  <c r="F177" i="31"/>
  <c r="P178" i="13" s="1"/>
  <c r="L179" i="13"/>
  <c r="E179" i="13"/>
  <c r="Y178" i="1"/>
  <c r="F178" i="11"/>
  <c r="AD178" i="1"/>
  <c r="R178" i="1"/>
  <c r="Q178" i="1" s="1"/>
  <c r="P178" i="1" s="1"/>
  <c r="O178" i="1" s="1"/>
  <c r="N178" i="1" s="1"/>
  <c r="E176" i="11"/>
  <c r="I178" i="13" s="1"/>
  <c r="H178" i="13"/>
  <c r="M178" i="1" l="1"/>
  <c r="F179" i="13"/>
  <c r="AB178" i="1" l="1"/>
  <c r="AC178" i="1" s="1"/>
  <c r="M179" i="13" s="1"/>
  <c r="G179" i="13"/>
  <c r="E178" i="31"/>
  <c r="AG178" i="1"/>
  <c r="G179" i="1" l="1"/>
  <c r="F179" i="1"/>
  <c r="C177" i="11"/>
  <c r="B178" i="31"/>
  <c r="C178" i="31"/>
  <c r="AF178" i="1"/>
  <c r="N179" i="13" s="1"/>
  <c r="E179" i="1" l="1"/>
  <c r="D179" i="1" s="1"/>
  <c r="C179" i="1" s="1"/>
  <c r="D180" i="13" s="1"/>
  <c r="D178" i="31"/>
  <c r="K179" i="13"/>
  <c r="G177" i="11"/>
  <c r="H177" i="11" s="1"/>
  <c r="J179" i="13" s="1"/>
  <c r="D177" i="11"/>
  <c r="I180" i="1" l="1"/>
  <c r="A178" i="11"/>
  <c r="L180" i="13" s="1"/>
  <c r="B180" i="13"/>
  <c r="X179" i="1"/>
  <c r="L179" i="1"/>
  <c r="Y179" i="1" s="1"/>
  <c r="C180" i="13"/>
  <c r="H180" i="1"/>
  <c r="F178" i="31"/>
  <c r="P179" i="13" s="1"/>
  <c r="O179" i="13"/>
  <c r="H178" i="31"/>
  <c r="Q179" i="13" s="1"/>
  <c r="H179" i="13"/>
  <c r="E177" i="11"/>
  <c r="I179" i="13" s="1"/>
  <c r="AA179" i="1" l="1"/>
  <c r="E180" i="13"/>
  <c r="AD179" i="1"/>
  <c r="F179" i="11"/>
  <c r="R179" i="1"/>
  <c r="Q179" i="1" s="1"/>
  <c r="P179" i="1" s="1"/>
  <c r="O179" i="1" s="1"/>
  <c r="N179" i="1" s="1"/>
  <c r="M179" i="1" s="1"/>
  <c r="F180" i="13" l="1"/>
  <c r="AB179" i="1"/>
  <c r="AC179" i="1" s="1"/>
  <c r="M180" i="13" s="1"/>
  <c r="E179" i="31"/>
  <c r="G180" i="13"/>
  <c r="AG179" i="1"/>
  <c r="G180" i="1"/>
  <c r="F180" i="1" l="1"/>
  <c r="E180" i="1" s="1"/>
  <c r="D180" i="1" s="1"/>
  <c r="C178" i="11"/>
  <c r="C179" i="31"/>
  <c r="B179" i="31"/>
  <c r="AF179" i="1"/>
  <c r="N180" i="13" s="1"/>
  <c r="D179" i="31" l="1"/>
  <c r="O180" i="13" s="1"/>
  <c r="X180" i="1"/>
  <c r="B181" i="13"/>
  <c r="C180" i="1"/>
  <c r="D181" i="13" s="1"/>
  <c r="A179" i="11"/>
  <c r="C181" i="13"/>
  <c r="I181" i="1"/>
  <c r="H181" i="1"/>
  <c r="L180" i="1"/>
  <c r="K180" i="13"/>
  <c r="G178" i="11"/>
  <c r="H178" i="11" s="1"/>
  <c r="J180" i="13" s="1"/>
  <c r="D178" i="11"/>
  <c r="AA180" i="1" l="1"/>
  <c r="Y180" i="1"/>
  <c r="E181" i="13"/>
  <c r="AD180" i="1"/>
  <c r="F180" i="11"/>
  <c r="H180" i="13"/>
  <c r="E178" i="11"/>
  <c r="I180" i="13" s="1"/>
  <c r="R180" i="1"/>
  <c r="Q180" i="1" s="1"/>
  <c r="P180" i="1" s="1"/>
  <c r="O180" i="1" s="1"/>
  <c r="N180" i="1" s="1"/>
  <c r="L181" i="13"/>
  <c r="H179" i="31"/>
  <c r="Q180" i="13" s="1"/>
  <c r="F179" i="31"/>
  <c r="P180" i="13" s="1"/>
  <c r="F181" i="13" l="1"/>
  <c r="M180" i="1"/>
  <c r="AB180" i="1" l="1"/>
  <c r="AC180" i="1" s="1"/>
  <c r="M181" i="13" s="1"/>
  <c r="E180" i="31"/>
  <c r="G181" i="13"/>
  <c r="F181" i="1"/>
  <c r="AG180" i="1"/>
  <c r="G181" i="1" l="1"/>
  <c r="E181" i="1" s="1"/>
  <c r="D181" i="1" s="1"/>
  <c r="C179" i="11"/>
  <c r="B180" i="31"/>
  <c r="C180" i="31"/>
  <c r="AF180" i="1"/>
  <c r="N181" i="13" s="1"/>
  <c r="D180" i="31" l="1"/>
  <c r="B182" i="13"/>
  <c r="X181" i="1"/>
  <c r="A180" i="11"/>
  <c r="C181" i="1"/>
  <c r="D182" i="13" s="1"/>
  <c r="C182" i="13"/>
  <c r="L181" i="1"/>
  <c r="H182" i="1"/>
  <c r="I182" i="1"/>
  <c r="K181" i="13"/>
  <c r="G179" i="11"/>
  <c r="H179" i="11" s="1"/>
  <c r="J181" i="13" s="1"/>
  <c r="D179" i="11"/>
  <c r="H180" i="31" l="1"/>
  <c r="Q181" i="13" s="1"/>
  <c r="O181" i="13"/>
  <c r="AA181" i="1"/>
  <c r="F180" i="31"/>
  <c r="P181" i="13" s="1"/>
  <c r="E179" i="11"/>
  <c r="I181" i="13" s="1"/>
  <c r="H181" i="13"/>
  <c r="R181" i="1"/>
  <c r="Q181" i="1" s="1"/>
  <c r="P181" i="1" s="1"/>
  <c r="O181" i="1" s="1"/>
  <c r="N181" i="1" s="1"/>
  <c r="Y181" i="1"/>
  <c r="E182" i="13"/>
  <c r="F181" i="11"/>
  <c r="AD181" i="1"/>
  <c r="L182" i="13"/>
  <c r="F182" i="13" l="1"/>
  <c r="M181" i="1"/>
  <c r="AB181" i="1" l="1"/>
  <c r="AC181" i="1" s="1"/>
  <c r="M182" i="13" s="1"/>
  <c r="G182" i="13"/>
  <c r="E181" i="31"/>
  <c r="AG181" i="1"/>
  <c r="F182" i="1" l="1"/>
  <c r="G182" i="1"/>
  <c r="C180" i="11"/>
  <c r="B181" i="31"/>
  <c r="C181" i="31"/>
  <c r="AF181" i="1"/>
  <c r="N182" i="13" s="1"/>
  <c r="E182" i="1" l="1"/>
  <c r="D182" i="1" s="1"/>
  <c r="C182" i="1" s="1"/>
  <c r="D183" i="13" s="1"/>
  <c r="D181" i="31"/>
  <c r="K182" i="13"/>
  <c r="G180" i="11"/>
  <c r="H180" i="11" s="1"/>
  <c r="J182" i="13" s="1"/>
  <c r="D180" i="11"/>
  <c r="L182" i="1" l="1"/>
  <c r="E183" i="13" s="1"/>
  <c r="C183" i="13"/>
  <c r="H183" i="1"/>
  <c r="A181" i="11"/>
  <c r="L183" i="13" s="1"/>
  <c r="X182" i="1"/>
  <c r="I183" i="1"/>
  <c r="B183" i="13"/>
  <c r="F181" i="31"/>
  <c r="P182" i="13" s="1"/>
  <c r="O182" i="13"/>
  <c r="H181" i="31"/>
  <c r="Q182" i="13" s="1"/>
  <c r="E180" i="11"/>
  <c r="I182" i="13" s="1"/>
  <c r="H182" i="13"/>
  <c r="R182" i="1" l="1"/>
  <c r="Q182" i="1" s="1"/>
  <c r="P182" i="1" s="1"/>
  <c r="O182" i="1" s="1"/>
  <c r="N182" i="1" s="1"/>
  <c r="M182" i="1" s="1"/>
  <c r="AD182" i="1"/>
  <c r="Y182" i="1"/>
  <c r="F182" i="11"/>
  <c r="AA182" i="1"/>
  <c r="F183" i="13" l="1"/>
  <c r="AB182" i="1"/>
  <c r="AC182" i="1" s="1"/>
  <c r="M183" i="13" s="1"/>
  <c r="G183" i="13"/>
  <c r="E182" i="31"/>
  <c r="AG182" i="1"/>
  <c r="G183" i="1" l="1"/>
  <c r="F183" i="1"/>
  <c r="C181" i="11"/>
  <c r="B182" i="31"/>
  <c r="C182" i="31"/>
  <c r="AF182" i="1"/>
  <c r="N183" i="13" s="1"/>
  <c r="E183" i="1" l="1"/>
  <c r="D183" i="1" s="1"/>
  <c r="X183" i="1" s="1"/>
  <c r="D182" i="31"/>
  <c r="K183" i="13"/>
  <c r="G181" i="11"/>
  <c r="H181" i="11" s="1"/>
  <c r="J183" i="13" s="1"/>
  <c r="D181" i="11"/>
  <c r="I184" i="1" l="1"/>
  <c r="A182" i="11"/>
  <c r="L184" i="13" s="1"/>
  <c r="H184" i="1"/>
  <c r="L183" i="1"/>
  <c r="E184" i="13" s="1"/>
  <c r="C184" i="13"/>
  <c r="B184" i="13"/>
  <c r="C183" i="1"/>
  <c r="D184" i="13" s="1"/>
  <c r="H182" i="31"/>
  <c r="Q183" i="13" s="1"/>
  <c r="O183" i="13"/>
  <c r="F182" i="31"/>
  <c r="P183" i="13" s="1"/>
  <c r="E181" i="11"/>
  <c r="I183" i="13" s="1"/>
  <c r="H183" i="13"/>
  <c r="AA183" i="1" l="1"/>
  <c r="R183" i="1"/>
  <c r="Q183" i="1" s="1"/>
  <c r="P183" i="1" s="1"/>
  <c r="O183" i="1" s="1"/>
  <c r="N183" i="1" s="1"/>
  <c r="F184" i="13" s="1"/>
  <c r="F183" i="11"/>
  <c r="Y183" i="1"/>
  <c r="AD183" i="1"/>
  <c r="M183" i="1" l="1"/>
  <c r="AB183" i="1" s="1"/>
  <c r="AC183" i="1" s="1"/>
  <c r="M184" i="13" s="1"/>
  <c r="E183" i="31" l="1"/>
  <c r="G184" i="13"/>
  <c r="G184" i="1"/>
  <c r="F184" i="1"/>
  <c r="B183" i="31"/>
  <c r="C183" i="31"/>
  <c r="AF183" i="1"/>
  <c r="N184" i="13" s="1"/>
  <c r="AG183" i="1"/>
  <c r="D183" i="31" l="1"/>
  <c r="E184" i="1"/>
  <c r="D184" i="1" s="1"/>
  <c r="C182" i="11"/>
  <c r="H183" i="31" l="1"/>
  <c r="Q184" i="13" s="1"/>
  <c r="O184" i="13"/>
  <c r="F183" i="31"/>
  <c r="P184" i="13" s="1"/>
  <c r="G182" i="11"/>
  <c r="H182" i="11" s="1"/>
  <c r="J184" i="13" s="1"/>
  <c r="K184" i="13"/>
  <c r="D182" i="11"/>
  <c r="C184" i="1"/>
  <c r="D185" i="13" s="1"/>
  <c r="A183" i="11"/>
  <c r="X184" i="1"/>
  <c r="C185" i="13"/>
  <c r="B185" i="13"/>
  <c r="I185" i="1"/>
  <c r="H185" i="1"/>
  <c r="L184" i="1"/>
  <c r="AA184" i="1" l="1"/>
  <c r="L185" i="13"/>
  <c r="Y184" i="1"/>
  <c r="E185" i="13"/>
  <c r="F184" i="11"/>
  <c r="AD184" i="1"/>
  <c r="R184" i="1"/>
  <c r="Q184" i="1" s="1"/>
  <c r="P184" i="1" s="1"/>
  <c r="O184" i="1" s="1"/>
  <c r="N184" i="1" s="1"/>
  <c r="E182" i="11"/>
  <c r="I184" i="13" s="1"/>
  <c r="H184" i="13"/>
  <c r="M184" i="1" l="1"/>
  <c r="F185" i="13"/>
  <c r="AB184" i="1" l="1"/>
  <c r="AC184" i="1" s="1"/>
  <c r="M185" i="13" s="1"/>
  <c r="E184" i="31"/>
  <c r="G185" i="13"/>
  <c r="G185" i="1" l="1"/>
  <c r="F185" i="1"/>
  <c r="C184" i="31"/>
  <c r="B184" i="31"/>
  <c r="AF184" i="1"/>
  <c r="N185" i="13" s="1"/>
  <c r="AG184" i="1"/>
  <c r="D184" i="31" l="1"/>
  <c r="C183" i="11"/>
  <c r="E185" i="1"/>
  <c r="D185" i="1" s="1"/>
  <c r="H184" i="31" l="1"/>
  <c r="Q185" i="13" s="1"/>
  <c r="O185" i="13"/>
  <c r="F184" i="31"/>
  <c r="P185" i="13" s="1"/>
  <c r="K185" i="13"/>
  <c r="G183" i="11"/>
  <c r="H183" i="11" s="1"/>
  <c r="J185" i="13" s="1"/>
  <c r="D183" i="11"/>
  <c r="B186" i="13"/>
  <c r="C185" i="1"/>
  <c r="D186" i="13" s="1"/>
  <c r="X185" i="1"/>
  <c r="C186" i="13"/>
  <c r="A184" i="11"/>
  <c r="L185" i="1"/>
  <c r="H186" i="1"/>
  <c r="I186" i="1"/>
  <c r="R185" i="1" l="1"/>
  <c r="Q185" i="1" s="1"/>
  <c r="P185" i="1" s="1"/>
  <c r="O185" i="1" s="1"/>
  <c r="N185" i="1" s="1"/>
  <c r="AA185" i="1"/>
  <c r="H185" i="13"/>
  <c r="E183" i="11"/>
  <c r="I185" i="13" s="1"/>
  <c r="Y185" i="1"/>
  <c r="E186" i="13"/>
  <c r="AD185" i="1"/>
  <c r="F185" i="11"/>
  <c r="L186" i="13"/>
  <c r="M185" i="1" l="1"/>
  <c r="F186" i="13"/>
  <c r="AB185" i="1" l="1"/>
  <c r="AC185" i="1" s="1"/>
  <c r="M186" i="13" s="1"/>
  <c r="G186" i="13"/>
  <c r="E185" i="31"/>
  <c r="AG185" i="1"/>
  <c r="G186" i="1" l="1"/>
  <c r="F186" i="1"/>
  <c r="C184" i="11"/>
  <c r="B185" i="31"/>
  <c r="C185" i="31"/>
  <c r="AF185" i="1"/>
  <c r="N186" i="13" s="1"/>
  <c r="E186" i="1" l="1"/>
  <c r="D186" i="1" s="1"/>
  <c r="C187" i="13" s="1"/>
  <c r="D185" i="31"/>
  <c r="K186" i="13"/>
  <c r="G184" i="11"/>
  <c r="H184" i="11" s="1"/>
  <c r="J186" i="13" s="1"/>
  <c r="D184" i="11"/>
  <c r="I187" i="1" l="1"/>
  <c r="A185" i="11"/>
  <c r="L187" i="13" s="1"/>
  <c r="H187" i="1"/>
  <c r="X186" i="1"/>
  <c r="B187" i="13"/>
  <c r="C186" i="1"/>
  <c r="D187" i="13" s="1"/>
  <c r="L186" i="1"/>
  <c r="Y186" i="1" s="1"/>
  <c r="F185" i="31"/>
  <c r="P186" i="13" s="1"/>
  <c r="O186" i="13"/>
  <c r="H185" i="31"/>
  <c r="Q186" i="13" s="1"/>
  <c r="H186" i="13"/>
  <c r="E184" i="11"/>
  <c r="I186" i="13" s="1"/>
  <c r="AA186" i="1" l="1"/>
  <c r="R186" i="1"/>
  <c r="Q186" i="1" s="1"/>
  <c r="P186" i="1" s="1"/>
  <c r="O186" i="1" s="1"/>
  <c r="N186" i="1" s="1"/>
  <c r="M186" i="1" s="1"/>
  <c r="E187" i="13"/>
  <c r="F186" i="11"/>
  <c r="AD186" i="1"/>
  <c r="F187" i="13" l="1"/>
  <c r="AB186" i="1"/>
  <c r="AC186" i="1" s="1"/>
  <c r="M187" i="13" s="1"/>
  <c r="E186" i="31"/>
  <c r="G187" i="13"/>
  <c r="AG186" i="1"/>
  <c r="F187" i="1" l="1"/>
  <c r="G187" i="1"/>
  <c r="C185" i="11"/>
  <c r="B186" i="31"/>
  <c r="C186" i="31"/>
  <c r="AF186" i="1"/>
  <c r="N187" i="13" s="1"/>
  <c r="E187" i="1" l="1"/>
  <c r="D187" i="1" s="1"/>
  <c r="B188" i="13" s="1"/>
  <c r="D186" i="31"/>
  <c r="K187" i="13"/>
  <c r="G185" i="11"/>
  <c r="H185" i="11" s="1"/>
  <c r="J187" i="13" s="1"/>
  <c r="D185" i="11"/>
  <c r="L187" i="1" l="1"/>
  <c r="E188" i="13" s="1"/>
  <c r="X187" i="1"/>
  <c r="A186" i="11"/>
  <c r="L188" i="13" s="1"/>
  <c r="I188" i="1"/>
  <c r="C187" i="1"/>
  <c r="D188" i="13" s="1"/>
  <c r="H188" i="1"/>
  <c r="C188" i="13"/>
  <c r="F186" i="31"/>
  <c r="P187" i="13" s="1"/>
  <c r="O187" i="13"/>
  <c r="H186" i="31"/>
  <c r="Q187" i="13" s="1"/>
  <c r="H187" i="13"/>
  <c r="E185" i="11"/>
  <c r="I187" i="13" s="1"/>
  <c r="AD187" i="1" l="1"/>
  <c r="AA187" i="1"/>
  <c r="R187" i="1"/>
  <c r="Q187" i="1" s="1"/>
  <c r="P187" i="1" s="1"/>
  <c r="O187" i="1" s="1"/>
  <c r="N187" i="1" s="1"/>
  <c r="M187" i="1" s="1"/>
  <c r="F187" i="11"/>
  <c r="Y187" i="1"/>
  <c r="F188" i="13" l="1"/>
  <c r="AB187" i="1"/>
  <c r="AC187" i="1" s="1"/>
  <c r="M188" i="13" s="1"/>
  <c r="G188" i="13"/>
  <c r="E187" i="31"/>
  <c r="AG187" i="1"/>
  <c r="F188" i="1" l="1"/>
  <c r="G188" i="1"/>
  <c r="C186" i="11"/>
  <c r="B187" i="31"/>
  <c r="C187" i="31"/>
  <c r="AF187" i="1"/>
  <c r="N188" i="13" s="1"/>
  <c r="E188" i="1" l="1"/>
  <c r="D188" i="1" s="1"/>
  <c r="A187" i="11" s="1"/>
  <c r="D187" i="31"/>
  <c r="K188" i="13"/>
  <c r="G186" i="11"/>
  <c r="H186" i="11" s="1"/>
  <c r="J188" i="13" s="1"/>
  <c r="D186" i="11"/>
  <c r="I189" i="1" l="1"/>
  <c r="B189" i="13"/>
  <c r="X188" i="1"/>
  <c r="L188" i="1"/>
  <c r="Y188" i="1" s="1"/>
  <c r="C189" i="13"/>
  <c r="H189" i="1"/>
  <c r="C188" i="1"/>
  <c r="D189" i="13" s="1"/>
  <c r="F187" i="31"/>
  <c r="P188" i="13" s="1"/>
  <c r="O188" i="13"/>
  <c r="H187" i="31"/>
  <c r="Q188" i="13" s="1"/>
  <c r="H188" i="13"/>
  <c r="E186" i="11"/>
  <c r="I188" i="13" s="1"/>
  <c r="L189" i="13"/>
  <c r="AA188" i="1" l="1"/>
  <c r="R188" i="1"/>
  <c r="Q188" i="1" s="1"/>
  <c r="P188" i="1" s="1"/>
  <c r="O188" i="1" s="1"/>
  <c r="N188" i="1" s="1"/>
  <c r="F189" i="13" s="1"/>
  <c r="E189" i="13"/>
  <c r="F188" i="11"/>
  <c r="AD188" i="1"/>
  <c r="M188" i="1" l="1"/>
  <c r="AB188" i="1" s="1"/>
  <c r="AC188" i="1" s="1"/>
  <c r="M189" i="13" s="1"/>
  <c r="AG188" i="1"/>
  <c r="G189" i="13" l="1"/>
  <c r="E188" i="31"/>
  <c r="F189" i="1"/>
  <c r="G189" i="1"/>
  <c r="C187" i="11"/>
  <c r="B188" i="31"/>
  <c r="C188" i="31"/>
  <c r="AF188" i="1"/>
  <c r="N189" i="13" s="1"/>
  <c r="E189" i="1" l="1"/>
  <c r="D189" i="1" s="1"/>
  <c r="C190" i="13" s="1"/>
  <c r="D188" i="31"/>
  <c r="K189" i="13"/>
  <c r="G187" i="11"/>
  <c r="H187" i="11" s="1"/>
  <c r="J189" i="13" s="1"/>
  <c r="D187" i="11"/>
  <c r="I190" i="1" l="1"/>
  <c r="C189" i="1"/>
  <c r="D190" i="13" s="1"/>
  <c r="H190" i="1"/>
  <c r="AA189" i="1" s="1"/>
  <c r="B190" i="13"/>
  <c r="A188" i="11"/>
  <c r="L190" i="13" s="1"/>
  <c r="X189" i="1"/>
  <c r="L189" i="1"/>
  <c r="Y189" i="1" s="1"/>
  <c r="H188" i="31"/>
  <c r="Q189" i="13" s="1"/>
  <c r="O189" i="13"/>
  <c r="F188" i="31"/>
  <c r="P189" i="13" s="1"/>
  <c r="H189" i="13"/>
  <c r="E187" i="11"/>
  <c r="I189" i="13" s="1"/>
  <c r="R189" i="1" l="1"/>
  <c r="Q189" i="1" s="1"/>
  <c r="P189" i="1" s="1"/>
  <c r="O189" i="1" s="1"/>
  <c r="N189" i="1" s="1"/>
  <c r="M189" i="1" s="1"/>
  <c r="E190" i="13"/>
  <c r="F189" i="11"/>
  <c r="AD189" i="1"/>
  <c r="F190" i="13" l="1"/>
  <c r="AB189" i="1"/>
  <c r="AC189" i="1" s="1"/>
  <c r="M190" i="13" s="1"/>
  <c r="G190" i="13"/>
  <c r="E189" i="31"/>
  <c r="AG189" i="1"/>
  <c r="G190" i="1" l="1"/>
  <c r="F190" i="1"/>
  <c r="C188" i="11"/>
  <c r="C189" i="31"/>
  <c r="B189" i="31"/>
  <c r="AF189" i="1"/>
  <c r="N190" i="13" s="1"/>
  <c r="E190" i="1" l="1"/>
  <c r="D190" i="1" s="1"/>
  <c r="B191" i="13" s="1"/>
  <c r="D189" i="31"/>
  <c r="O190" i="13" s="1"/>
  <c r="K190" i="13"/>
  <c r="G188" i="11"/>
  <c r="H188" i="11" s="1"/>
  <c r="J190" i="13" s="1"/>
  <c r="D188" i="11"/>
  <c r="L190" i="1" l="1"/>
  <c r="AD190" i="1" s="1"/>
  <c r="I191" i="1"/>
  <c r="C191" i="13"/>
  <c r="C190" i="1"/>
  <c r="D191" i="13" s="1"/>
  <c r="A189" i="11"/>
  <c r="L191" i="13" s="1"/>
  <c r="X190" i="1"/>
  <c r="H191" i="1"/>
  <c r="H190" i="13"/>
  <c r="E188" i="11"/>
  <c r="I190" i="13" s="1"/>
  <c r="H189" i="31"/>
  <c r="Q190" i="13" s="1"/>
  <c r="F189" i="31"/>
  <c r="P190" i="13" s="1"/>
  <c r="R190" i="1" l="1"/>
  <c r="Q190" i="1" s="1"/>
  <c r="P190" i="1" s="1"/>
  <c r="O190" i="1" s="1"/>
  <c r="N190" i="1" s="1"/>
  <c r="F191" i="13" s="1"/>
  <c r="Y190" i="1"/>
  <c r="AA190" i="1"/>
  <c r="E191" i="13"/>
  <c r="F190" i="11"/>
  <c r="M190" i="1" l="1"/>
  <c r="G191" i="13" s="1"/>
  <c r="AG190" i="1"/>
  <c r="AB190" i="1" l="1"/>
  <c r="AC190" i="1" s="1"/>
  <c r="M191" i="13" s="1"/>
  <c r="E190" i="31"/>
  <c r="F191" i="1"/>
  <c r="G191" i="1"/>
  <c r="C189" i="11"/>
  <c r="AF190" i="1" l="1"/>
  <c r="N191" i="13" s="1"/>
  <c r="C190" i="31"/>
  <c r="B190" i="31"/>
  <c r="E191" i="1"/>
  <c r="D191" i="1" s="1"/>
  <c r="A190" i="11" s="1"/>
  <c r="K191" i="13"/>
  <c r="G189" i="11"/>
  <c r="H189" i="11" s="1"/>
  <c r="J191" i="13" s="1"/>
  <c r="D189" i="11"/>
  <c r="D190" i="31" l="1"/>
  <c r="H190" i="31" s="1"/>
  <c r="Q191" i="13" s="1"/>
  <c r="H192" i="1"/>
  <c r="C191" i="1"/>
  <c r="D192" i="13" s="1"/>
  <c r="L191" i="1"/>
  <c r="E192" i="13" s="1"/>
  <c r="C192" i="13"/>
  <c r="I192" i="1"/>
  <c r="B192" i="13"/>
  <c r="X191" i="1"/>
  <c r="O191" i="13"/>
  <c r="E189" i="11"/>
  <c r="I191" i="13" s="1"/>
  <c r="H191" i="13"/>
  <c r="L192" i="13"/>
  <c r="F190" i="31" l="1"/>
  <c r="P191" i="13" s="1"/>
  <c r="AA191" i="1"/>
  <c r="Y191" i="1"/>
  <c r="F191" i="11"/>
  <c r="AD191" i="1"/>
  <c r="R191" i="1"/>
  <c r="Q191" i="1" s="1"/>
  <c r="P191" i="1" s="1"/>
  <c r="O191" i="1" s="1"/>
  <c r="N191" i="1" s="1"/>
  <c r="F192" i="13" s="1"/>
  <c r="M191" i="1" l="1"/>
  <c r="G192" i="13" s="1"/>
  <c r="AG191" i="1"/>
  <c r="E191" i="31" l="1"/>
  <c r="AB191" i="1"/>
  <c r="AC191" i="1" s="1"/>
  <c r="M192" i="13" s="1"/>
  <c r="F192" i="1"/>
  <c r="G192" i="1"/>
  <c r="C190" i="11"/>
  <c r="AF191" i="1" l="1"/>
  <c r="N192" i="13" s="1"/>
  <c r="B191" i="31"/>
  <c r="C191" i="31"/>
  <c r="E192" i="1"/>
  <c r="D192" i="1" s="1"/>
  <c r="C193" i="13" s="1"/>
  <c r="G190" i="11"/>
  <c r="H190" i="11" s="1"/>
  <c r="J192" i="13" s="1"/>
  <c r="K192" i="13"/>
  <c r="D190" i="11"/>
  <c r="D191" i="31" l="1"/>
  <c r="H191" i="31" s="1"/>
  <c r="Q192" i="13" s="1"/>
  <c r="X192" i="1"/>
  <c r="L192" i="1"/>
  <c r="F192" i="11" s="1"/>
  <c r="A191" i="11"/>
  <c r="L193" i="13" s="1"/>
  <c r="H193" i="1"/>
  <c r="B193" i="13"/>
  <c r="C192" i="1"/>
  <c r="D193" i="13" s="1"/>
  <c r="I193" i="1"/>
  <c r="O192" i="13"/>
  <c r="H192" i="13"/>
  <c r="E190" i="11"/>
  <c r="I192" i="13" s="1"/>
  <c r="R192" i="1" l="1"/>
  <c r="Q192" i="1" s="1"/>
  <c r="P192" i="1" s="1"/>
  <c r="O192" i="1" s="1"/>
  <c r="N192" i="1" s="1"/>
  <c r="M192" i="1" s="1"/>
  <c r="F191" i="31"/>
  <c r="P192" i="13" s="1"/>
  <c r="AA192" i="1"/>
  <c r="Y192" i="1"/>
  <c r="E193" i="13"/>
  <c r="AD192" i="1"/>
  <c r="F193" i="13" l="1"/>
  <c r="AB192" i="1"/>
  <c r="AC192" i="1" s="1"/>
  <c r="M193" i="13" s="1"/>
  <c r="E192" i="31"/>
  <c r="G193" i="13"/>
  <c r="AG192" i="1"/>
  <c r="G193" i="1" l="1"/>
  <c r="F193" i="1"/>
  <c r="C191" i="11"/>
  <c r="C192" i="31"/>
  <c r="B192" i="31"/>
  <c r="AF192" i="1"/>
  <c r="N193" i="13" s="1"/>
  <c r="E193" i="1" l="1"/>
  <c r="D193" i="1" s="1"/>
  <c r="C194" i="13" s="1"/>
  <c r="D192" i="31"/>
  <c r="G191" i="11"/>
  <c r="H191" i="11" s="1"/>
  <c r="J193" i="13" s="1"/>
  <c r="K193" i="13"/>
  <c r="D191" i="11"/>
  <c r="H194" i="1" l="1"/>
  <c r="X193" i="1"/>
  <c r="I194" i="1"/>
  <c r="C193" i="1"/>
  <c r="D194" i="13" s="1"/>
  <c r="B194" i="13"/>
  <c r="L193" i="1"/>
  <c r="Y193" i="1" s="1"/>
  <c r="A192" i="11"/>
  <c r="L194" i="13" s="1"/>
  <c r="H192" i="31"/>
  <c r="Q193" i="13" s="1"/>
  <c r="O193" i="13"/>
  <c r="F192" i="31"/>
  <c r="P193" i="13" s="1"/>
  <c r="E191" i="11"/>
  <c r="I193" i="13" s="1"/>
  <c r="H193" i="13"/>
  <c r="R193" i="1" l="1"/>
  <c r="Q193" i="1" s="1"/>
  <c r="P193" i="1" s="1"/>
  <c r="O193" i="1" s="1"/>
  <c r="N193" i="1" s="1"/>
  <c r="F194" i="13" s="1"/>
  <c r="AA193" i="1"/>
  <c r="E194" i="13"/>
  <c r="AD193" i="1"/>
  <c r="F193" i="11"/>
  <c r="M193" i="1" l="1"/>
  <c r="E193" i="31" s="1"/>
  <c r="AG193" i="1"/>
  <c r="AB193" i="1" l="1"/>
  <c r="AC193" i="1" s="1"/>
  <c r="M194" i="13" s="1"/>
  <c r="G194" i="13"/>
  <c r="G194" i="1"/>
  <c r="F194" i="1"/>
  <c r="C192" i="11"/>
  <c r="AF193" i="1" l="1"/>
  <c r="N194" i="13" s="1"/>
  <c r="C193" i="31"/>
  <c r="B193" i="31"/>
  <c r="E194" i="1"/>
  <c r="D194" i="1" s="1"/>
  <c r="C195" i="13" s="1"/>
  <c r="G192" i="11"/>
  <c r="H192" i="11" s="1"/>
  <c r="J194" i="13" s="1"/>
  <c r="K194" i="13"/>
  <c r="D192" i="11"/>
  <c r="X194" i="1" l="1"/>
  <c r="L194" i="1"/>
  <c r="E195" i="13" s="1"/>
  <c r="I195" i="1"/>
  <c r="B195" i="13"/>
  <c r="A193" i="11"/>
  <c r="L195" i="13" s="1"/>
  <c r="D193" i="31"/>
  <c r="F193" i="31" s="1"/>
  <c r="P194" i="13" s="1"/>
  <c r="H195" i="1"/>
  <c r="R194" i="1" s="1"/>
  <c r="C194" i="1"/>
  <c r="D195" i="13" s="1"/>
  <c r="O194" i="13"/>
  <c r="H194" i="13"/>
  <c r="E192" i="11"/>
  <c r="I194" i="13" s="1"/>
  <c r="Y194" i="1" l="1"/>
  <c r="F194" i="11"/>
  <c r="AD194" i="1"/>
  <c r="Q194" i="1"/>
  <c r="P194" i="1" s="1"/>
  <c r="O194" i="1" s="1"/>
  <c r="N194" i="1" s="1"/>
  <c r="F195" i="13" s="1"/>
  <c r="H193" i="31"/>
  <c r="Q194" i="13" s="1"/>
  <c r="AA194" i="1"/>
  <c r="M194" i="1" l="1"/>
  <c r="AB194" i="1" s="1"/>
  <c r="AC194" i="1" s="1"/>
  <c r="M195" i="13" s="1"/>
  <c r="AG194" i="1"/>
  <c r="G195" i="13" l="1"/>
  <c r="E194" i="31"/>
  <c r="F195" i="1"/>
  <c r="G195" i="1"/>
  <c r="C193" i="11"/>
  <c r="B194" i="31"/>
  <c r="C194" i="31"/>
  <c r="AF194" i="1"/>
  <c r="N195" i="13" s="1"/>
  <c r="E195" i="1" l="1"/>
  <c r="D195" i="1" s="1"/>
  <c r="A194" i="11" s="1"/>
  <c r="D194" i="31"/>
  <c r="G193" i="11"/>
  <c r="H193" i="11" s="1"/>
  <c r="J195" i="13" s="1"/>
  <c r="K195" i="13"/>
  <c r="D193" i="11"/>
  <c r="H196" i="1" l="1"/>
  <c r="X195" i="1"/>
  <c r="L195" i="1"/>
  <c r="Y195" i="1" s="1"/>
  <c r="B196" i="13"/>
  <c r="C196" i="13"/>
  <c r="C195" i="1"/>
  <c r="D196" i="13" s="1"/>
  <c r="I196" i="1"/>
  <c r="F194" i="31"/>
  <c r="P195" i="13" s="1"/>
  <c r="O195" i="13"/>
  <c r="H194" i="31"/>
  <c r="Q195" i="13" s="1"/>
  <c r="E193" i="11"/>
  <c r="I195" i="13" s="1"/>
  <c r="H195" i="13"/>
  <c r="L196" i="13"/>
  <c r="AA195" i="1" l="1"/>
  <c r="AD195" i="1"/>
  <c r="R195" i="1"/>
  <c r="Q195" i="1" s="1"/>
  <c r="P195" i="1" s="1"/>
  <c r="O195" i="1" s="1"/>
  <c r="N195" i="1" s="1"/>
  <c r="F196" i="13" s="1"/>
  <c r="E196" i="13"/>
  <c r="F195" i="11"/>
  <c r="M195" i="1" l="1"/>
  <c r="AB195" i="1" s="1"/>
  <c r="AC195" i="1" s="1"/>
  <c r="M196" i="13" s="1"/>
  <c r="AG195" i="1"/>
  <c r="E195" i="31" l="1"/>
  <c r="G196" i="13"/>
  <c r="G196" i="1"/>
  <c r="F196" i="1"/>
  <c r="C194" i="11"/>
  <c r="C195" i="31"/>
  <c r="B195" i="31"/>
  <c r="AF195" i="1"/>
  <c r="N196" i="13" s="1"/>
  <c r="E196" i="1" l="1"/>
  <c r="D196" i="1" s="1"/>
  <c r="C196" i="1" s="1"/>
  <c r="D197" i="13" s="1"/>
  <c r="D195" i="31"/>
  <c r="O196" i="13" s="1"/>
  <c r="G194" i="11"/>
  <c r="H194" i="11" s="1"/>
  <c r="J196" i="13" s="1"/>
  <c r="K196" i="13"/>
  <c r="D194" i="11"/>
  <c r="A195" i="11" l="1"/>
  <c r="L197" i="13" s="1"/>
  <c r="X196" i="1"/>
  <c r="I197" i="1"/>
  <c r="B197" i="13"/>
  <c r="L196" i="1"/>
  <c r="AD196" i="1" s="1"/>
  <c r="C197" i="13"/>
  <c r="H197" i="1"/>
  <c r="R196" i="1" s="1"/>
  <c r="H196" i="13"/>
  <c r="E194" i="11"/>
  <c r="I196" i="13" s="1"/>
  <c r="F195" i="31"/>
  <c r="P196" i="13" s="1"/>
  <c r="H195" i="31"/>
  <c r="Q196" i="13" s="1"/>
  <c r="AA196" i="1" l="1"/>
  <c r="Q196" i="1"/>
  <c r="P196" i="1" s="1"/>
  <c r="O196" i="1" s="1"/>
  <c r="N196" i="1" s="1"/>
  <c r="F197" i="13" s="1"/>
  <c r="E197" i="13"/>
  <c r="F196" i="11"/>
  <c r="Y196" i="1"/>
  <c r="M196" i="1" l="1"/>
  <c r="AB196" i="1" s="1"/>
  <c r="AC196" i="1" s="1"/>
  <c r="M197" i="13" s="1"/>
  <c r="AG196" i="1"/>
  <c r="G197" i="1" l="1"/>
  <c r="F197" i="1"/>
  <c r="G197" i="13"/>
  <c r="E196" i="31"/>
  <c r="C196" i="31"/>
  <c r="AF196" i="1"/>
  <c r="N197" i="13" s="1"/>
  <c r="B196" i="31"/>
  <c r="C195" i="11"/>
  <c r="E197" i="1" l="1"/>
  <c r="D197" i="1" s="1"/>
  <c r="C197" i="1" s="1"/>
  <c r="D198" i="13" s="1"/>
  <c r="D196" i="31"/>
  <c r="H196" i="31" s="1"/>
  <c r="Q197" i="13" s="1"/>
  <c r="O197" i="13"/>
  <c r="K197" i="13"/>
  <c r="G195" i="11"/>
  <c r="H195" i="11" s="1"/>
  <c r="J197" i="13" s="1"/>
  <c r="D195" i="11"/>
  <c r="I198" i="1" l="1"/>
  <c r="H198" i="1"/>
  <c r="R197" i="1" s="1"/>
  <c r="X197" i="1"/>
  <c r="L197" i="1"/>
  <c r="Y197" i="1" s="1"/>
  <c r="B198" i="13"/>
  <c r="C198" i="13"/>
  <c r="A196" i="11"/>
  <c r="L198" i="13" s="1"/>
  <c r="F196" i="31"/>
  <c r="P197" i="13" s="1"/>
  <c r="H197" i="13"/>
  <c r="E195" i="11"/>
  <c r="I197" i="13" s="1"/>
  <c r="AA197" i="1" l="1"/>
  <c r="F197" i="11"/>
  <c r="AD197" i="1"/>
  <c r="E198" i="13"/>
  <c r="Q197" i="1"/>
  <c r="P197" i="1" s="1"/>
  <c r="O197" i="1" s="1"/>
  <c r="N197" i="1" s="1"/>
  <c r="M197" i="1" s="1"/>
  <c r="F198" i="13" l="1"/>
  <c r="AB197" i="1"/>
  <c r="AC197" i="1" s="1"/>
  <c r="M198" i="13" s="1"/>
  <c r="G198" i="13"/>
  <c r="E197" i="31"/>
  <c r="F198" i="1"/>
  <c r="AG197" i="1"/>
  <c r="G198" i="1" l="1"/>
  <c r="E198" i="1" s="1"/>
  <c r="D198" i="1" s="1"/>
  <c r="C196" i="11"/>
  <c r="C197" i="31"/>
  <c r="B197" i="31"/>
  <c r="AF197" i="1"/>
  <c r="N198" i="13" s="1"/>
  <c r="D197" i="31" l="1"/>
  <c r="G196" i="11"/>
  <c r="H196" i="11" s="1"/>
  <c r="J198" i="13" s="1"/>
  <c r="K198" i="13"/>
  <c r="D196" i="11"/>
  <c r="A197" i="11"/>
  <c r="C199" i="13"/>
  <c r="X198" i="1"/>
  <c r="C198" i="1"/>
  <c r="D199" i="13" s="1"/>
  <c r="B199" i="13"/>
  <c r="L198" i="1"/>
  <c r="I199" i="1"/>
  <c r="H199" i="1"/>
  <c r="H197" i="31" l="1"/>
  <c r="Q198" i="13" s="1"/>
  <c r="O198" i="13"/>
  <c r="AA198" i="1"/>
  <c r="F197" i="31"/>
  <c r="P198" i="13" s="1"/>
  <c r="R198" i="1"/>
  <c r="Q198" i="1" s="1"/>
  <c r="P198" i="1" s="1"/>
  <c r="O198" i="1" s="1"/>
  <c r="N198" i="1" s="1"/>
  <c r="L199" i="13"/>
  <c r="E199" i="13"/>
  <c r="Y198" i="1"/>
  <c r="F198" i="11"/>
  <c r="AD198" i="1"/>
  <c r="E196" i="11"/>
  <c r="I198" i="13" s="1"/>
  <c r="H198" i="13"/>
  <c r="M198" i="1" l="1"/>
  <c r="F199" i="13"/>
  <c r="AB198" i="1" l="1"/>
  <c r="AC198" i="1" s="1"/>
  <c r="M199" i="13" s="1"/>
  <c r="G199" i="13"/>
  <c r="E198" i="31"/>
  <c r="AG198" i="1"/>
  <c r="G199" i="1" l="1"/>
  <c r="F199" i="1"/>
  <c r="C197" i="11"/>
  <c r="C198" i="31"/>
  <c r="B198" i="31"/>
  <c r="AF198" i="1"/>
  <c r="N199" i="13" s="1"/>
  <c r="E199" i="1" l="1"/>
  <c r="D199" i="1" s="1"/>
  <c r="A198" i="11" s="1"/>
  <c r="D198" i="31"/>
  <c r="O199" i="13" s="1"/>
  <c r="G197" i="11"/>
  <c r="H197" i="11" s="1"/>
  <c r="J199" i="13" s="1"/>
  <c r="K199" i="13"/>
  <c r="D197" i="11"/>
  <c r="H200" i="1" l="1"/>
  <c r="L199" i="1"/>
  <c r="E200" i="13" s="1"/>
  <c r="C199" i="1"/>
  <c r="D200" i="13" s="1"/>
  <c r="X199" i="1"/>
  <c r="I200" i="1"/>
  <c r="C200" i="13"/>
  <c r="B200" i="13"/>
  <c r="H199" i="13"/>
  <c r="E197" i="11"/>
  <c r="I199" i="13" s="1"/>
  <c r="L200" i="13"/>
  <c r="H198" i="31"/>
  <c r="Q199" i="13" s="1"/>
  <c r="F198" i="31"/>
  <c r="P199" i="13" s="1"/>
  <c r="R199" i="1" l="1"/>
  <c r="Q199" i="1" s="1"/>
  <c r="P199" i="1" s="1"/>
  <c r="O199" i="1" s="1"/>
  <c r="N199" i="1" s="1"/>
  <c r="M199" i="1" s="1"/>
  <c r="AA199" i="1"/>
  <c r="F199" i="11"/>
  <c r="AD199" i="1"/>
  <c r="Y199" i="1"/>
  <c r="F200" i="13" l="1"/>
  <c r="AB199" i="1"/>
  <c r="AC199" i="1" s="1"/>
  <c r="M200" i="13" s="1"/>
  <c r="E199" i="31"/>
  <c r="G200" i="13"/>
  <c r="AG199" i="1"/>
  <c r="F200" i="1" l="1"/>
  <c r="G200" i="1"/>
  <c r="C198" i="11"/>
  <c r="C199" i="31"/>
  <c r="B199" i="31"/>
  <c r="AF199" i="1"/>
  <c r="N200" i="13" s="1"/>
  <c r="E200" i="1" l="1"/>
  <c r="D200" i="1" s="1"/>
  <c r="A199" i="11" s="1"/>
  <c r="D199" i="31"/>
  <c r="O200" i="13" s="1"/>
  <c r="G198" i="11"/>
  <c r="H198" i="11" s="1"/>
  <c r="J200" i="13" s="1"/>
  <c r="K200" i="13"/>
  <c r="D198" i="11"/>
  <c r="L200" i="1" l="1"/>
  <c r="Y200" i="1" s="1"/>
  <c r="C201" i="13"/>
  <c r="B201" i="13"/>
  <c r="X200" i="1"/>
  <c r="I201" i="1"/>
  <c r="C200" i="1"/>
  <c r="D201" i="13" s="1"/>
  <c r="H201" i="1"/>
  <c r="H200" i="13"/>
  <c r="E198" i="11"/>
  <c r="I200" i="13" s="1"/>
  <c r="L201" i="13"/>
  <c r="H199" i="31"/>
  <c r="Q200" i="13" s="1"/>
  <c r="F199" i="31"/>
  <c r="P200" i="13" s="1"/>
  <c r="R200" i="1" l="1"/>
  <c r="Q200" i="1" s="1"/>
  <c r="P200" i="1" s="1"/>
  <c r="O200" i="1" s="1"/>
  <c r="N200" i="1" s="1"/>
  <c r="M200" i="1" s="1"/>
  <c r="AA200" i="1"/>
  <c r="E201" i="13"/>
  <c r="F200" i="11"/>
  <c r="AD200" i="1"/>
  <c r="F201" i="13" l="1"/>
  <c r="AB200" i="1"/>
  <c r="AC200" i="1" s="1"/>
  <c r="M201" i="13" s="1"/>
  <c r="E200" i="31"/>
  <c r="G201" i="13"/>
  <c r="F201" i="1"/>
  <c r="AG200" i="1"/>
  <c r="G201" i="1" l="1"/>
  <c r="E201" i="1" s="1"/>
  <c r="D201" i="1" s="1"/>
  <c r="C199" i="11"/>
  <c r="C200" i="31"/>
  <c r="B200" i="31"/>
  <c r="AF200" i="1"/>
  <c r="N201" i="13" s="1"/>
  <c r="D200" i="31" l="1"/>
  <c r="O201" i="13" s="1"/>
  <c r="A200" i="11"/>
  <c r="X201" i="1"/>
  <c r="B202" i="13"/>
  <c r="C201" i="1"/>
  <c r="D202" i="13" s="1"/>
  <c r="C202" i="13"/>
  <c r="H202" i="1"/>
  <c r="I202" i="1"/>
  <c r="L201" i="1"/>
  <c r="K201" i="13"/>
  <c r="G199" i="11"/>
  <c r="H199" i="11" s="1"/>
  <c r="J201" i="13" s="1"/>
  <c r="D199" i="11"/>
  <c r="AA201" i="1" l="1"/>
  <c r="R201" i="1"/>
  <c r="Q201" i="1" s="1"/>
  <c r="P201" i="1" s="1"/>
  <c r="O201" i="1" s="1"/>
  <c r="N201" i="1" s="1"/>
  <c r="E202" i="13"/>
  <c r="Y201" i="1"/>
  <c r="F201" i="11"/>
  <c r="AD201" i="1"/>
  <c r="L202" i="13"/>
  <c r="H201" i="13"/>
  <c r="E199" i="11"/>
  <c r="I201" i="13" s="1"/>
  <c r="H200" i="31"/>
  <c r="Q201" i="13" s="1"/>
  <c r="F200" i="31"/>
  <c r="P201" i="13" s="1"/>
  <c r="F202" i="13" l="1"/>
  <c r="M201" i="1"/>
  <c r="AB201" i="1" l="1"/>
  <c r="AC201" i="1" s="1"/>
  <c r="M202" i="13" s="1"/>
  <c r="E201" i="31"/>
  <c r="G202" i="13"/>
  <c r="G202" i="1"/>
  <c r="AG201" i="1"/>
  <c r="F202" i="1" l="1"/>
  <c r="E202" i="1" s="1"/>
  <c r="D202" i="1" s="1"/>
  <c r="C200" i="11"/>
  <c r="B201" i="31"/>
  <c r="C201" i="31"/>
  <c r="AF201" i="1"/>
  <c r="N202" i="13" s="1"/>
  <c r="D201" i="31" l="1"/>
  <c r="A201" i="11"/>
  <c r="C202" i="1"/>
  <c r="D203" i="13" s="1"/>
  <c r="C203" i="13"/>
  <c r="B203" i="13"/>
  <c r="X202" i="1"/>
  <c r="H203" i="1"/>
  <c r="L202" i="1"/>
  <c r="I203" i="1"/>
  <c r="K202" i="13"/>
  <c r="G200" i="11"/>
  <c r="H200" i="11" s="1"/>
  <c r="J202" i="13" s="1"/>
  <c r="D200" i="11"/>
  <c r="F201" i="31" l="1"/>
  <c r="P202" i="13" s="1"/>
  <c r="O202" i="13"/>
  <c r="H201" i="31"/>
  <c r="Q202" i="13" s="1"/>
  <c r="R202" i="1"/>
  <c r="Q202" i="1" s="1"/>
  <c r="P202" i="1" s="1"/>
  <c r="O202" i="1" s="1"/>
  <c r="N202" i="1" s="1"/>
  <c r="Y202" i="1"/>
  <c r="E203" i="13"/>
  <c r="F202" i="11"/>
  <c r="AD202" i="1"/>
  <c r="H202" i="13"/>
  <c r="E200" i="11"/>
  <c r="I202" i="13" s="1"/>
  <c r="AA202" i="1"/>
  <c r="L203" i="13"/>
  <c r="F203" i="13" l="1"/>
  <c r="M202" i="1"/>
  <c r="AB202" i="1" l="1"/>
  <c r="AC202" i="1" s="1"/>
  <c r="M203" i="13" s="1"/>
  <c r="G203" i="13"/>
  <c r="E202" i="31"/>
  <c r="AG202" i="1"/>
  <c r="G203" i="1" l="1"/>
  <c r="F203" i="1"/>
  <c r="C201" i="11"/>
  <c r="C202" i="31"/>
  <c r="B202" i="31"/>
  <c r="AF202" i="1"/>
  <c r="N203" i="13" s="1"/>
  <c r="E203" i="1" l="1"/>
  <c r="D203" i="1" s="1"/>
  <c r="X203" i="1" s="1"/>
  <c r="D202" i="31"/>
  <c r="O203" i="13" s="1"/>
  <c r="K203" i="13"/>
  <c r="G201" i="11"/>
  <c r="H201" i="11" s="1"/>
  <c r="J203" i="13" s="1"/>
  <c r="D201" i="11"/>
  <c r="L203" i="1" l="1"/>
  <c r="E204" i="13" s="1"/>
  <c r="B204" i="13"/>
  <c r="H204" i="1"/>
  <c r="C204" i="13"/>
  <c r="I204" i="1"/>
  <c r="A202" i="11"/>
  <c r="L204" i="13" s="1"/>
  <c r="C203" i="1"/>
  <c r="D204" i="13" s="1"/>
  <c r="H203" i="13"/>
  <c r="E201" i="11"/>
  <c r="I203" i="13" s="1"/>
  <c r="F202" i="31"/>
  <c r="P203" i="13" s="1"/>
  <c r="H202" i="31"/>
  <c r="Q203" i="13" s="1"/>
  <c r="R203" i="1" l="1"/>
  <c r="Q203" i="1" s="1"/>
  <c r="P203" i="1" s="1"/>
  <c r="O203" i="1" s="1"/>
  <c r="N203" i="1" s="1"/>
  <c r="F204" i="13" s="1"/>
  <c r="AA203" i="1"/>
  <c r="Y203" i="1"/>
  <c r="AD203" i="1"/>
  <c r="F203" i="11"/>
  <c r="M203" i="1" l="1"/>
  <c r="AB203" i="1" s="1"/>
  <c r="AC203" i="1" s="1"/>
  <c r="M204" i="13" s="1"/>
  <c r="AG203" i="1"/>
  <c r="E203" i="31" l="1"/>
  <c r="G204" i="13"/>
  <c r="G204" i="1"/>
  <c r="F204" i="1"/>
  <c r="C202" i="11"/>
  <c r="C203" i="31"/>
  <c r="B203" i="31"/>
  <c r="AF203" i="1"/>
  <c r="N204" i="13" s="1"/>
  <c r="E204" i="1" l="1"/>
  <c r="D204" i="1" s="1"/>
  <c r="B205" i="13" s="1"/>
  <c r="D203" i="31"/>
  <c r="O204" i="13" s="1"/>
  <c r="G202" i="11"/>
  <c r="H202" i="11" s="1"/>
  <c r="J204" i="13" s="1"/>
  <c r="K204" i="13"/>
  <c r="D202" i="11"/>
  <c r="H205" i="1" l="1"/>
  <c r="A203" i="11"/>
  <c r="L205" i="13" s="1"/>
  <c r="L204" i="1"/>
  <c r="AD204" i="1" s="1"/>
  <c r="C204" i="1"/>
  <c r="D205" i="13" s="1"/>
  <c r="I205" i="1"/>
  <c r="C205" i="13"/>
  <c r="X204" i="1"/>
  <c r="H204" i="13"/>
  <c r="E202" i="11"/>
  <c r="I204" i="13" s="1"/>
  <c r="F203" i="31"/>
  <c r="P204" i="13" s="1"/>
  <c r="H203" i="31"/>
  <c r="Q204" i="13" s="1"/>
  <c r="AA204" i="1" l="1"/>
  <c r="R204" i="1"/>
  <c r="Q204" i="1" s="1"/>
  <c r="P204" i="1" s="1"/>
  <c r="O204" i="1" s="1"/>
  <c r="N204" i="1" s="1"/>
  <c r="F205" i="13" s="1"/>
  <c r="F204" i="11"/>
  <c r="E205" i="13"/>
  <c r="Y204" i="1"/>
  <c r="M204" i="1" l="1"/>
  <c r="AB204" i="1" s="1"/>
  <c r="AC204" i="1" s="1"/>
  <c r="M205" i="13" s="1"/>
  <c r="AG204" i="1"/>
  <c r="G205" i="13" l="1"/>
  <c r="E204" i="31"/>
  <c r="G205" i="1"/>
  <c r="F205" i="1"/>
  <c r="C203" i="11"/>
  <c r="B204" i="31"/>
  <c r="C204" i="31"/>
  <c r="AF204" i="1"/>
  <c r="N205" i="13" s="1"/>
  <c r="E205" i="1" l="1"/>
  <c r="D205" i="1" s="1"/>
  <c r="C206" i="13" s="1"/>
  <c r="D204" i="31"/>
  <c r="G203" i="11"/>
  <c r="H203" i="11" s="1"/>
  <c r="J205" i="13" s="1"/>
  <c r="K205" i="13"/>
  <c r="D203" i="11"/>
  <c r="B206" i="13" l="1"/>
  <c r="I206" i="1"/>
  <c r="X205" i="1"/>
  <c r="L205" i="1"/>
  <c r="Y205" i="1" s="1"/>
  <c r="C205" i="1"/>
  <c r="D206" i="13" s="1"/>
  <c r="H206" i="1"/>
  <c r="AA205" i="1" s="1"/>
  <c r="A204" i="11"/>
  <c r="L206" i="13" s="1"/>
  <c r="F204" i="31"/>
  <c r="P205" i="13" s="1"/>
  <c r="O205" i="13"/>
  <c r="H204" i="31"/>
  <c r="Q205" i="13" s="1"/>
  <c r="H205" i="13"/>
  <c r="E203" i="11"/>
  <c r="I205" i="13" s="1"/>
  <c r="R205" i="1" l="1"/>
  <c r="Q205" i="1" s="1"/>
  <c r="P205" i="1" s="1"/>
  <c r="O205" i="1" s="1"/>
  <c r="N205" i="1" s="1"/>
  <c r="F206" i="13" s="1"/>
  <c r="F205" i="11"/>
  <c r="E206" i="13"/>
  <c r="AD205" i="1"/>
  <c r="M205" i="1" l="1"/>
  <c r="AB205" i="1" s="1"/>
  <c r="AC205" i="1" s="1"/>
  <c r="M206" i="13" s="1"/>
  <c r="F206" i="1"/>
  <c r="AG205" i="1"/>
  <c r="G206" i="13" l="1"/>
  <c r="E205" i="31"/>
  <c r="G206" i="1"/>
  <c r="E206" i="1" s="1"/>
  <c r="D206" i="1" s="1"/>
  <c r="C204" i="11"/>
  <c r="B205" i="31"/>
  <c r="C205" i="31"/>
  <c r="AF205" i="1"/>
  <c r="N206" i="13" s="1"/>
  <c r="D205" i="31" l="1"/>
  <c r="B207" i="13"/>
  <c r="X206" i="1"/>
  <c r="A205" i="11"/>
  <c r="C207" i="13"/>
  <c r="C206" i="1"/>
  <c r="D207" i="13" s="1"/>
  <c r="L206" i="1"/>
  <c r="I207" i="1"/>
  <c r="H207" i="1"/>
  <c r="K206" i="13"/>
  <c r="G204" i="11"/>
  <c r="H204" i="11" s="1"/>
  <c r="J206" i="13" s="1"/>
  <c r="D204" i="11"/>
  <c r="F205" i="31" l="1"/>
  <c r="P206" i="13" s="1"/>
  <c r="O206" i="13"/>
  <c r="H205" i="31"/>
  <c r="Q206" i="13" s="1"/>
  <c r="Y206" i="1"/>
  <c r="E207" i="13"/>
  <c r="F206" i="11"/>
  <c r="AD206" i="1"/>
  <c r="L207" i="13"/>
  <c r="R206" i="1"/>
  <c r="Q206" i="1" s="1"/>
  <c r="P206" i="1" s="1"/>
  <c r="O206" i="1" s="1"/>
  <c r="N206" i="1" s="1"/>
  <c r="E204" i="11"/>
  <c r="I206" i="13" s="1"/>
  <c r="H206" i="13"/>
  <c r="AA206" i="1"/>
  <c r="F207" i="13" l="1"/>
  <c r="M206" i="1"/>
  <c r="AB206" i="1" l="1"/>
  <c r="AC206" i="1" s="1"/>
  <c r="M207" i="13" s="1"/>
  <c r="E206" i="31"/>
  <c r="G207" i="13"/>
  <c r="F207" i="1" l="1"/>
  <c r="G207" i="1"/>
  <c r="B206" i="31"/>
  <c r="C206" i="31"/>
  <c r="AF206" i="1"/>
  <c r="N207" i="13" s="1"/>
  <c r="AG206" i="1"/>
  <c r="E207" i="1" l="1"/>
  <c r="D207" i="1" s="1"/>
  <c r="C205" i="11"/>
  <c r="D206" i="31"/>
  <c r="O207" i="13" s="1"/>
  <c r="F206" i="31" l="1"/>
  <c r="P207" i="13" s="1"/>
  <c r="H206" i="31"/>
  <c r="Q207" i="13" s="1"/>
  <c r="A206" i="11"/>
  <c r="X207" i="1"/>
  <c r="B208" i="13"/>
  <c r="C207" i="1"/>
  <c r="D208" i="13" s="1"/>
  <c r="C208" i="13"/>
  <c r="L207" i="1"/>
  <c r="H208" i="1"/>
  <c r="I208" i="1"/>
  <c r="G205" i="11"/>
  <c r="H205" i="11" s="1"/>
  <c r="J207" i="13" s="1"/>
  <c r="K207" i="13"/>
  <c r="D205" i="11"/>
  <c r="AA207" i="1" l="1"/>
  <c r="L208" i="13"/>
  <c r="E208" i="13"/>
  <c r="Y207" i="1"/>
  <c r="AD207" i="1"/>
  <c r="F207" i="11"/>
  <c r="H207" i="13"/>
  <c r="E205" i="11"/>
  <c r="I207" i="13" s="1"/>
  <c r="R207" i="1"/>
  <c r="Q207" i="1" s="1"/>
  <c r="P207" i="1" s="1"/>
  <c r="O207" i="1" s="1"/>
  <c r="N207" i="1" s="1"/>
  <c r="M207" i="1" l="1"/>
  <c r="F208" i="13"/>
  <c r="AB207" i="1" l="1"/>
  <c r="AC207" i="1" s="1"/>
  <c r="M208" i="13" s="1"/>
  <c r="G208" i="13"/>
  <c r="E207" i="31"/>
  <c r="AG207" i="1"/>
  <c r="G208" i="1" l="1"/>
  <c r="F208" i="1"/>
  <c r="C206" i="11"/>
  <c r="B207" i="31"/>
  <c r="C207" i="31"/>
  <c r="AF207" i="1"/>
  <c r="N208" i="13" s="1"/>
  <c r="E208" i="1" l="1"/>
  <c r="D208" i="1" s="1"/>
  <c r="C208" i="1" s="1"/>
  <c r="D209" i="13" s="1"/>
  <c r="D207" i="31"/>
  <c r="G206" i="11"/>
  <c r="H206" i="11" s="1"/>
  <c r="J208" i="13" s="1"/>
  <c r="K208" i="13"/>
  <c r="D206" i="11"/>
  <c r="L208" i="1" l="1"/>
  <c r="Y208" i="1" s="1"/>
  <c r="H209" i="1"/>
  <c r="A207" i="11"/>
  <c r="L209" i="13" s="1"/>
  <c r="B209" i="13"/>
  <c r="I209" i="1"/>
  <c r="X208" i="1"/>
  <c r="C209" i="13"/>
  <c r="H207" i="31"/>
  <c r="Q208" i="13" s="1"/>
  <c r="O208" i="13"/>
  <c r="F207" i="31"/>
  <c r="P208" i="13" s="1"/>
  <c r="H208" i="13"/>
  <c r="E206" i="11"/>
  <c r="I208" i="13" s="1"/>
  <c r="AA208" i="1" l="1"/>
  <c r="AD208" i="1"/>
  <c r="R208" i="1"/>
  <c r="Q208" i="1" s="1"/>
  <c r="P208" i="1" s="1"/>
  <c r="O208" i="1" s="1"/>
  <c r="N208" i="1" s="1"/>
  <c r="M208" i="1" s="1"/>
  <c r="F208" i="11"/>
  <c r="E209" i="13"/>
  <c r="F209" i="13" l="1"/>
  <c r="AB208" i="1"/>
  <c r="AC208" i="1" s="1"/>
  <c r="M209" i="13" s="1"/>
  <c r="G209" i="13"/>
  <c r="E208" i="31"/>
  <c r="AG208" i="1"/>
  <c r="F209" i="1" l="1"/>
  <c r="G209" i="1"/>
  <c r="C207" i="11"/>
  <c r="C208" i="31"/>
  <c r="B208" i="31"/>
  <c r="AF208" i="1"/>
  <c r="N209" i="13" s="1"/>
  <c r="E209" i="1" l="1"/>
  <c r="D209" i="1" s="1"/>
  <c r="C209" i="1" s="1"/>
  <c r="D210" i="13" s="1"/>
  <c r="D208" i="31"/>
  <c r="O209" i="13" s="1"/>
  <c r="K209" i="13"/>
  <c r="G207" i="11"/>
  <c r="H207" i="11" s="1"/>
  <c r="J209" i="13" s="1"/>
  <c r="D207" i="11"/>
  <c r="I210" i="1" l="1"/>
  <c r="X209" i="1"/>
  <c r="H210" i="1"/>
  <c r="B210" i="13"/>
  <c r="A208" i="11"/>
  <c r="L210" i="13" s="1"/>
  <c r="L209" i="1"/>
  <c r="Y209" i="1" s="1"/>
  <c r="C210" i="13"/>
  <c r="E207" i="11"/>
  <c r="I209" i="13" s="1"/>
  <c r="H209" i="13"/>
  <c r="F208" i="31"/>
  <c r="P209" i="13" s="1"/>
  <c r="H208" i="31"/>
  <c r="Q209" i="13" s="1"/>
  <c r="AA209" i="1" l="1"/>
  <c r="R209" i="1"/>
  <c r="Q209" i="1" s="1"/>
  <c r="P209" i="1" s="1"/>
  <c r="O209" i="1" s="1"/>
  <c r="N209" i="1" s="1"/>
  <c r="F210" i="13" s="1"/>
  <c r="E210" i="13"/>
  <c r="AD209" i="1"/>
  <c r="F209" i="11"/>
  <c r="M209" i="1" l="1"/>
  <c r="AB209" i="1" s="1"/>
  <c r="AC209" i="1" s="1"/>
  <c r="M210" i="13" s="1"/>
  <c r="AG209" i="1"/>
  <c r="G210" i="1" l="1"/>
  <c r="G210" i="13"/>
  <c r="E209" i="31"/>
  <c r="F210" i="1"/>
  <c r="C208" i="11"/>
  <c r="C209" i="31"/>
  <c r="B209" i="31"/>
  <c r="AF209" i="1"/>
  <c r="N210" i="13" s="1"/>
  <c r="E210" i="1" l="1"/>
  <c r="D210" i="1" s="1"/>
  <c r="X210" i="1" s="1"/>
  <c r="D209" i="31"/>
  <c r="O210" i="13" s="1"/>
  <c r="K210" i="13"/>
  <c r="G208" i="11"/>
  <c r="H208" i="11" s="1"/>
  <c r="J210" i="13" s="1"/>
  <c r="D208" i="11"/>
  <c r="I211" i="1" l="1"/>
  <c r="B211" i="13"/>
  <c r="L210" i="1"/>
  <c r="E211" i="13" s="1"/>
  <c r="C210" i="1"/>
  <c r="D211" i="13" s="1"/>
  <c r="A209" i="11"/>
  <c r="L211" i="13" s="1"/>
  <c r="C211" i="13"/>
  <c r="H211" i="1"/>
  <c r="R210" i="1" s="1"/>
  <c r="E208" i="11"/>
  <c r="I210" i="13" s="1"/>
  <c r="H210" i="13"/>
  <c r="F209" i="31"/>
  <c r="P210" i="13" s="1"/>
  <c r="H209" i="31"/>
  <c r="Q210" i="13" s="1"/>
  <c r="AA210" i="1" l="1"/>
  <c r="Q210" i="1"/>
  <c r="P210" i="1" s="1"/>
  <c r="O210" i="1" s="1"/>
  <c r="N210" i="1" s="1"/>
  <c r="F211" i="13" s="1"/>
  <c r="F210" i="11"/>
  <c r="AD210" i="1"/>
  <c r="Y210" i="1"/>
  <c r="M210" i="1" l="1"/>
  <c r="AB210" i="1" s="1"/>
  <c r="AC210" i="1" s="1"/>
  <c r="M211" i="13" s="1"/>
  <c r="AG210" i="1"/>
  <c r="G211" i="13" l="1"/>
  <c r="E210" i="31"/>
  <c r="G211" i="1"/>
  <c r="F211" i="1"/>
  <c r="C209" i="11"/>
  <c r="B210" i="31"/>
  <c r="C210" i="31"/>
  <c r="AF210" i="1"/>
  <c r="N211" i="13" s="1"/>
  <c r="E211" i="1" l="1"/>
  <c r="D211" i="1" s="1"/>
  <c r="X211" i="1" s="1"/>
  <c r="D210" i="31"/>
  <c r="K211" i="13"/>
  <c r="G209" i="11"/>
  <c r="H209" i="11" s="1"/>
  <c r="J211" i="13" s="1"/>
  <c r="D209" i="11"/>
  <c r="I212" i="1" l="1"/>
  <c r="C212" i="13"/>
  <c r="L211" i="1"/>
  <c r="F211" i="11" s="1"/>
  <c r="B212" i="13"/>
  <c r="C211" i="1"/>
  <c r="D212" i="13" s="1"/>
  <c r="A210" i="11"/>
  <c r="L212" i="13" s="1"/>
  <c r="H212" i="1"/>
  <c r="F210" i="31"/>
  <c r="P211" i="13" s="1"/>
  <c r="O211" i="13"/>
  <c r="H210" i="31"/>
  <c r="Q211" i="13" s="1"/>
  <c r="E209" i="11"/>
  <c r="I211" i="13" s="1"/>
  <c r="H211" i="13"/>
  <c r="R211" i="1" l="1"/>
  <c r="Q211" i="1" s="1"/>
  <c r="P211" i="1" s="1"/>
  <c r="O211" i="1" s="1"/>
  <c r="N211" i="1" s="1"/>
  <c r="F212" i="13" s="1"/>
  <c r="AA211" i="1"/>
  <c r="AD211" i="1"/>
  <c r="E212" i="13"/>
  <c r="Y211" i="1"/>
  <c r="M211" i="1" l="1"/>
  <c r="AB211" i="1" s="1"/>
  <c r="AC211" i="1" s="1"/>
  <c r="M212" i="13" s="1"/>
  <c r="AG211" i="1"/>
  <c r="E211" i="31" l="1"/>
  <c r="G212" i="13"/>
  <c r="G212" i="1"/>
  <c r="F212" i="1"/>
  <c r="C210" i="11"/>
  <c r="C211" i="31"/>
  <c r="B211" i="31"/>
  <c r="AF211" i="1"/>
  <c r="N212" i="13" s="1"/>
  <c r="E212" i="1" l="1"/>
  <c r="D212" i="1" s="1"/>
  <c r="B213" i="13" s="1"/>
  <c r="D211" i="31"/>
  <c r="O212" i="13" s="1"/>
  <c r="G210" i="11"/>
  <c r="H210" i="11" s="1"/>
  <c r="J212" i="13" s="1"/>
  <c r="K212" i="13"/>
  <c r="D210" i="11"/>
  <c r="H213" i="1" l="1"/>
  <c r="I213" i="1"/>
  <c r="C213" i="13"/>
  <c r="L212" i="1"/>
  <c r="AD212" i="1" s="1"/>
  <c r="X212" i="1"/>
  <c r="C212" i="1"/>
  <c r="D213" i="13" s="1"/>
  <c r="A211" i="11"/>
  <c r="L213" i="13" s="1"/>
  <c r="H212" i="13"/>
  <c r="E210" i="11"/>
  <c r="I212" i="13" s="1"/>
  <c r="H211" i="31"/>
  <c r="Q212" i="13" s="1"/>
  <c r="F211" i="31"/>
  <c r="P212" i="13" s="1"/>
  <c r="AA212" i="1" l="1"/>
  <c r="R212" i="1"/>
  <c r="Q212" i="1" s="1"/>
  <c r="P212" i="1" s="1"/>
  <c r="O212" i="1" s="1"/>
  <c r="N212" i="1" s="1"/>
  <c r="F213" i="13" s="1"/>
  <c r="F212" i="11"/>
  <c r="Y212" i="1"/>
  <c r="E213" i="13"/>
  <c r="M212" i="1" l="1"/>
  <c r="AB212" i="1" s="1"/>
  <c r="AC212" i="1" s="1"/>
  <c r="M213" i="13" s="1"/>
  <c r="G213" i="1" l="1"/>
  <c r="G213" i="13"/>
  <c r="E212" i="31"/>
  <c r="F213" i="1"/>
  <c r="B212" i="31"/>
  <c r="C212" i="31"/>
  <c r="AF212" i="1"/>
  <c r="N213" i="13" s="1"/>
  <c r="AG212" i="1"/>
  <c r="E213" i="1" l="1"/>
  <c r="D213" i="1" s="1"/>
  <c r="C211" i="11"/>
  <c r="D212" i="31"/>
  <c r="O213" i="13" s="1"/>
  <c r="B214" i="13" l="1"/>
  <c r="A212" i="11"/>
  <c r="C214" i="13"/>
  <c r="C213" i="1"/>
  <c r="D214" i="13" s="1"/>
  <c r="X213" i="1"/>
  <c r="H214" i="1"/>
  <c r="I214" i="1"/>
  <c r="L213" i="1"/>
  <c r="F212" i="31"/>
  <c r="P213" i="13" s="1"/>
  <c r="H212" i="31"/>
  <c r="Q213" i="13" s="1"/>
  <c r="K213" i="13"/>
  <c r="G211" i="11"/>
  <c r="H211" i="11" s="1"/>
  <c r="J213" i="13" s="1"/>
  <c r="D211" i="11"/>
  <c r="E214" i="13" l="1"/>
  <c r="Y213" i="1"/>
  <c r="F213" i="11"/>
  <c r="AD213" i="1"/>
  <c r="R213" i="1"/>
  <c r="Q213" i="1" s="1"/>
  <c r="P213" i="1" s="1"/>
  <c r="O213" i="1" s="1"/>
  <c r="N213" i="1" s="1"/>
  <c r="H213" i="13"/>
  <c r="E211" i="11"/>
  <c r="I213" i="13" s="1"/>
  <c r="AA213" i="1"/>
  <c r="L214" i="13"/>
  <c r="F214" i="13" l="1"/>
  <c r="M213" i="1"/>
  <c r="G214" i="13" l="1"/>
  <c r="E213" i="31"/>
  <c r="AG213" i="1"/>
  <c r="AB213" i="1"/>
  <c r="AC213" i="1" s="1"/>
  <c r="M214" i="13" s="1"/>
  <c r="G214" i="1" l="1"/>
  <c r="F214" i="1"/>
  <c r="C212" i="11"/>
  <c r="C213" i="31"/>
  <c r="B213" i="31"/>
  <c r="AF213" i="1"/>
  <c r="N214" i="13" s="1"/>
  <c r="E214" i="1" l="1"/>
  <c r="D214" i="1" s="1"/>
  <c r="C214" i="1" s="1"/>
  <c r="D215" i="13" s="1"/>
  <c r="D213" i="31"/>
  <c r="O214" i="13" s="1"/>
  <c r="G212" i="11"/>
  <c r="H212" i="11" s="1"/>
  <c r="J214" i="13" s="1"/>
  <c r="K214" i="13"/>
  <c r="D212" i="11"/>
  <c r="L214" i="1" l="1"/>
  <c r="E215" i="13" s="1"/>
  <c r="H215" i="1"/>
  <c r="B215" i="13"/>
  <c r="X214" i="1"/>
  <c r="A213" i="11"/>
  <c r="L215" i="13" s="1"/>
  <c r="C215" i="13"/>
  <c r="I215" i="1"/>
  <c r="H214" i="13"/>
  <c r="E212" i="11"/>
  <c r="I214" i="13" s="1"/>
  <c r="F213" i="31"/>
  <c r="P214" i="13" s="1"/>
  <c r="H213" i="31"/>
  <c r="Q214" i="13" s="1"/>
  <c r="AD214" i="1" l="1"/>
  <c r="AA214" i="1"/>
  <c r="F214" i="11"/>
  <c r="Y214" i="1"/>
  <c r="R214" i="1"/>
  <c r="Q214" i="1" s="1"/>
  <c r="P214" i="1" s="1"/>
  <c r="O214" i="1" s="1"/>
  <c r="N214" i="1" s="1"/>
  <c r="F215" i="13" s="1"/>
  <c r="M214" i="1" l="1"/>
  <c r="AB214" i="1" s="1"/>
  <c r="AC214" i="1" s="1"/>
  <c r="M215" i="13" s="1"/>
  <c r="AG214" i="1"/>
  <c r="G215" i="13" l="1"/>
  <c r="F215" i="1"/>
  <c r="E214" i="31"/>
  <c r="G215" i="1"/>
  <c r="C213" i="11"/>
  <c r="B214" i="31"/>
  <c r="C214" i="31"/>
  <c r="AF214" i="1"/>
  <c r="N215" i="13" s="1"/>
  <c r="E215" i="1" l="1"/>
  <c r="D215" i="1" s="1"/>
  <c r="X215" i="1" s="1"/>
  <c r="D214" i="31"/>
  <c r="G213" i="11"/>
  <c r="H213" i="11" s="1"/>
  <c r="J215" i="13" s="1"/>
  <c r="K215" i="13"/>
  <c r="D213" i="11"/>
  <c r="H216" i="1" l="1"/>
  <c r="AA215" i="1" s="1"/>
  <c r="A214" i="11"/>
  <c r="L216" i="13" s="1"/>
  <c r="B216" i="13"/>
  <c r="I216" i="1"/>
  <c r="C215" i="1"/>
  <c r="D216" i="13" s="1"/>
  <c r="L215" i="1"/>
  <c r="E216" i="13" s="1"/>
  <c r="C216" i="13"/>
  <c r="H214" i="31"/>
  <c r="Q215" i="13" s="1"/>
  <c r="O215" i="13"/>
  <c r="F214" i="31"/>
  <c r="P215" i="13" s="1"/>
  <c r="E213" i="11"/>
  <c r="I215" i="13" s="1"/>
  <c r="H215" i="13"/>
  <c r="F215" i="11" l="1"/>
  <c r="AD215" i="1"/>
  <c r="Y215" i="1"/>
  <c r="R215" i="1"/>
  <c r="Q215" i="1" s="1"/>
  <c r="P215" i="1" s="1"/>
  <c r="O215" i="1" s="1"/>
  <c r="N215" i="1" s="1"/>
  <c r="F216" i="13" s="1"/>
  <c r="M215" i="1" l="1"/>
  <c r="AB215" i="1" s="1"/>
  <c r="AC215" i="1" s="1"/>
  <c r="M216" i="13" s="1"/>
  <c r="AG215" i="1"/>
  <c r="E215" i="31" l="1"/>
  <c r="G216" i="13"/>
  <c r="F216" i="1"/>
  <c r="G216" i="1"/>
  <c r="C214" i="11"/>
  <c r="B215" i="31"/>
  <c r="C215" i="31"/>
  <c r="AF215" i="1"/>
  <c r="N216" i="13" s="1"/>
  <c r="E216" i="1" l="1"/>
  <c r="D216" i="1" s="1"/>
  <c r="X216" i="1" s="1"/>
  <c r="D215" i="31"/>
  <c r="G214" i="11"/>
  <c r="H214" i="11" s="1"/>
  <c r="J216" i="13" s="1"/>
  <c r="K216" i="13"/>
  <c r="D214" i="11"/>
  <c r="H217" i="1" l="1"/>
  <c r="B217" i="13"/>
  <c r="I217" i="1"/>
  <c r="A215" i="11"/>
  <c r="L217" i="13" s="1"/>
  <c r="L216" i="1"/>
  <c r="Y216" i="1" s="1"/>
  <c r="C216" i="1"/>
  <c r="D217" i="13" s="1"/>
  <c r="C217" i="13"/>
  <c r="F215" i="31"/>
  <c r="P216" i="13" s="1"/>
  <c r="O216" i="13"/>
  <c r="H215" i="31"/>
  <c r="Q216" i="13" s="1"/>
  <c r="E214" i="11"/>
  <c r="I216" i="13" s="1"/>
  <c r="H216" i="13"/>
  <c r="AA216" i="1" l="1"/>
  <c r="R216" i="1"/>
  <c r="Q216" i="1" s="1"/>
  <c r="P216" i="1" s="1"/>
  <c r="O216" i="1" s="1"/>
  <c r="N216" i="1" s="1"/>
  <c r="M216" i="1" s="1"/>
  <c r="AD216" i="1"/>
  <c r="F216" i="11"/>
  <c r="E217" i="13"/>
  <c r="F217" i="13" l="1"/>
  <c r="AB216" i="1"/>
  <c r="AC216" i="1" s="1"/>
  <c r="M217" i="13" s="1"/>
  <c r="E216" i="31"/>
  <c r="G217" i="13"/>
  <c r="G217" i="1"/>
  <c r="AG216" i="1"/>
  <c r="F217" i="1" l="1"/>
  <c r="E217" i="1" s="1"/>
  <c r="D217" i="1" s="1"/>
  <c r="C215" i="11"/>
  <c r="B216" i="31"/>
  <c r="C216" i="31"/>
  <c r="AF216" i="1"/>
  <c r="N217" i="13" s="1"/>
  <c r="D216" i="31" l="1"/>
  <c r="B218" i="13"/>
  <c r="C218" i="13"/>
  <c r="A216" i="11"/>
  <c r="X217" i="1"/>
  <c r="C217" i="1"/>
  <c r="D218" i="13" s="1"/>
  <c r="I218" i="1"/>
  <c r="L217" i="1"/>
  <c r="H218" i="1"/>
  <c r="G215" i="11"/>
  <c r="H215" i="11" s="1"/>
  <c r="J217" i="13" s="1"/>
  <c r="K217" i="13"/>
  <c r="D215" i="11"/>
  <c r="H216" i="31" l="1"/>
  <c r="Q217" i="13" s="1"/>
  <c r="O217" i="13"/>
  <c r="F216" i="31"/>
  <c r="P217" i="13" s="1"/>
  <c r="AA217" i="1"/>
  <c r="R217" i="1"/>
  <c r="Q217" i="1" s="1"/>
  <c r="P217" i="1" s="1"/>
  <c r="O217" i="1" s="1"/>
  <c r="N217" i="1" s="1"/>
  <c r="E215" i="11"/>
  <c r="I217" i="13" s="1"/>
  <c r="H217" i="13"/>
  <c r="Y217" i="1"/>
  <c r="E218" i="13"/>
  <c r="F217" i="11"/>
  <c r="AD217" i="1"/>
  <c r="L218" i="13"/>
  <c r="M217" i="1" l="1"/>
  <c r="F218" i="13"/>
  <c r="AB217" i="1" l="1"/>
  <c r="AC217" i="1" s="1"/>
  <c r="M218" i="13" s="1"/>
  <c r="G218" i="13"/>
  <c r="E217" i="31"/>
  <c r="AG217" i="1"/>
  <c r="G218" i="1" l="1"/>
  <c r="F218" i="1"/>
  <c r="C216" i="11"/>
  <c r="B217" i="31"/>
  <c r="C217" i="31"/>
  <c r="AF217" i="1"/>
  <c r="N218" i="13" s="1"/>
  <c r="E218" i="1" l="1"/>
  <c r="D218" i="1" s="1"/>
  <c r="A217" i="11" s="1"/>
  <c r="D217" i="31"/>
  <c r="K218" i="13"/>
  <c r="G216" i="11"/>
  <c r="H216" i="11" s="1"/>
  <c r="J218" i="13" s="1"/>
  <c r="D216" i="11"/>
  <c r="L218" i="1" l="1"/>
  <c r="Y218" i="1" s="1"/>
  <c r="C219" i="13"/>
  <c r="H219" i="1"/>
  <c r="AA218" i="1" s="1"/>
  <c r="I219" i="1"/>
  <c r="B219" i="13"/>
  <c r="X218" i="1"/>
  <c r="C218" i="1"/>
  <c r="D219" i="13" s="1"/>
  <c r="F217" i="31"/>
  <c r="P218" i="13" s="1"/>
  <c r="O218" i="13"/>
  <c r="H217" i="31"/>
  <c r="Q218" i="13" s="1"/>
  <c r="H218" i="13"/>
  <c r="E216" i="11"/>
  <c r="I218" i="13" s="1"/>
  <c r="L219" i="13"/>
  <c r="R218" i="1" l="1"/>
  <c r="Q218" i="1" s="1"/>
  <c r="P218" i="1" s="1"/>
  <c r="O218" i="1" s="1"/>
  <c r="N218" i="1" s="1"/>
  <c r="F219" i="13" s="1"/>
  <c r="AD218" i="1"/>
  <c r="F218" i="11"/>
  <c r="E219" i="13"/>
  <c r="M218" i="1" l="1"/>
  <c r="G219" i="13" s="1"/>
  <c r="AG218" i="1"/>
  <c r="E218" i="31" l="1"/>
  <c r="AB218" i="1"/>
  <c r="AC218" i="1" s="1"/>
  <c r="M219" i="13" s="1"/>
  <c r="F219" i="1"/>
  <c r="G219" i="1"/>
  <c r="C217" i="11"/>
  <c r="C218" i="31" l="1"/>
  <c r="AF218" i="1"/>
  <c r="N219" i="13" s="1"/>
  <c r="B218" i="31"/>
  <c r="E219" i="1"/>
  <c r="D219" i="1" s="1"/>
  <c r="C219" i="1" s="1"/>
  <c r="D220" i="13" s="1"/>
  <c r="G217" i="11"/>
  <c r="H217" i="11" s="1"/>
  <c r="J219" i="13" s="1"/>
  <c r="K219" i="13"/>
  <c r="D217" i="11"/>
  <c r="D218" i="31" l="1"/>
  <c r="F218" i="31" s="1"/>
  <c r="P219" i="13" s="1"/>
  <c r="H220" i="1"/>
  <c r="B220" i="13"/>
  <c r="I220" i="1"/>
  <c r="A218" i="11"/>
  <c r="L220" i="13" s="1"/>
  <c r="C220" i="13"/>
  <c r="X219" i="1"/>
  <c r="L219" i="1"/>
  <c r="F219" i="11" s="1"/>
  <c r="O219" i="13"/>
  <c r="H219" i="13"/>
  <c r="E217" i="11"/>
  <c r="I219" i="13" s="1"/>
  <c r="H218" i="31" l="1"/>
  <c r="Q219" i="13" s="1"/>
  <c r="AA219" i="1"/>
  <c r="R219" i="1"/>
  <c r="Q219" i="1" s="1"/>
  <c r="P219" i="1" s="1"/>
  <c r="O219" i="1" s="1"/>
  <c r="N219" i="1" s="1"/>
  <c r="M219" i="1" s="1"/>
  <c r="Y219" i="1"/>
  <c r="E220" i="13"/>
  <c r="AD219" i="1"/>
  <c r="F220" i="13" l="1"/>
  <c r="AB219" i="1"/>
  <c r="AC219" i="1" s="1"/>
  <c r="M220" i="13" s="1"/>
  <c r="E219" i="31"/>
  <c r="G220" i="13"/>
  <c r="G220" i="1" l="1"/>
  <c r="F220" i="1"/>
  <c r="AG219" i="1"/>
  <c r="B219" i="31"/>
  <c r="C219" i="31"/>
  <c r="AF219" i="1"/>
  <c r="N220" i="13" s="1"/>
  <c r="D219" i="31" l="1"/>
  <c r="C218" i="11"/>
  <c r="E220" i="1"/>
  <c r="D220" i="1" s="1"/>
  <c r="F219" i="31" l="1"/>
  <c r="P220" i="13" s="1"/>
  <c r="O220" i="13"/>
  <c r="H219" i="31"/>
  <c r="Q220" i="13" s="1"/>
  <c r="A219" i="11"/>
  <c r="X220" i="1"/>
  <c r="B221" i="13"/>
  <c r="C220" i="1"/>
  <c r="D221" i="13" s="1"/>
  <c r="C221" i="13"/>
  <c r="H221" i="1"/>
  <c r="L220" i="1"/>
  <c r="I221" i="1"/>
  <c r="G218" i="11"/>
  <c r="H218" i="11" s="1"/>
  <c r="J220" i="13" s="1"/>
  <c r="K220" i="13"/>
  <c r="D218" i="11"/>
  <c r="AA220" i="1" l="1"/>
  <c r="L221" i="13"/>
  <c r="H220" i="13"/>
  <c r="E218" i="11"/>
  <c r="I220" i="13" s="1"/>
  <c r="E221" i="13"/>
  <c r="Y220" i="1"/>
  <c r="F220" i="11"/>
  <c r="AD220" i="1"/>
  <c r="R220" i="1"/>
  <c r="Q220" i="1" s="1"/>
  <c r="P220" i="1" s="1"/>
  <c r="O220" i="1" s="1"/>
  <c r="N220" i="1" s="1"/>
  <c r="M220" i="1" l="1"/>
  <c r="F221" i="13"/>
  <c r="AB220" i="1" l="1"/>
  <c r="AC220" i="1" s="1"/>
  <c r="M221" i="13" s="1"/>
  <c r="E220" i="31"/>
  <c r="G221" i="13"/>
  <c r="AG220" i="1"/>
  <c r="F221" i="1" l="1"/>
  <c r="G221" i="1"/>
  <c r="C219" i="11"/>
  <c r="C220" i="31"/>
  <c r="B220" i="31"/>
  <c r="AF220" i="1"/>
  <c r="N221" i="13" s="1"/>
  <c r="E221" i="1" l="1"/>
  <c r="D221" i="1" s="1"/>
  <c r="X221" i="1" s="1"/>
  <c r="D220" i="31"/>
  <c r="O221" i="13" s="1"/>
  <c r="K221" i="13"/>
  <c r="G219" i="11"/>
  <c r="H219" i="11" s="1"/>
  <c r="J221" i="13" s="1"/>
  <c r="D219" i="11"/>
  <c r="H222" i="1" l="1"/>
  <c r="I222" i="1"/>
  <c r="C221" i="1"/>
  <c r="D222" i="13" s="1"/>
  <c r="L221" i="1"/>
  <c r="Y221" i="1" s="1"/>
  <c r="B222" i="13"/>
  <c r="A220" i="11"/>
  <c r="L222" i="13" s="1"/>
  <c r="C222" i="13"/>
  <c r="H221" i="13"/>
  <c r="E219" i="11"/>
  <c r="I221" i="13" s="1"/>
  <c r="F220" i="31"/>
  <c r="P221" i="13" s="1"/>
  <c r="H220" i="31"/>
  <c r="Q221" i="13" s="1"/>
  <c r="AA221" i="1" l="1"/>
  <c r="R221" i="1"/>
  <c r="Q221" i="1" s="1"/>
  <c r="P221" i="1" s="1"/>
  <c r="O221" i="1" s="1"/>
  <c r="N221" i="1" s="1"/>
  <c r="F222" i="13" s="1"/>
  <c r="F221" i="11"/>
  <c r="E222" i="13"/>
  <c r="AD221" i="1"/>
  <c r="M221" i="1" l="1"/>
  <c r="AB221" i="1" s="1"/>
  <c r="AC221" i="1" s="1"/>
  <c r="M222" i="13" s="1"/>
  <c r="AG221" i="1"/>
  <c r="G222" i="13" l="1"/>
  <c r="E221" i="31"/>
  <c r="F222" i="1"/>
  <c r="G222" i="1"/>
  <c r="C220" i="11"/>
  <c r="B221" i="31"/>
  <c r="C221" i="31"/>
  <c r="AF221" i="1"/>
  <c r="N222" i="13" s="1"/>
  <c r="E222" i="1" l="1"/>
  <c r="D222" i="1" s="1"/>
  <c r="C222" i="1" s="1"/>
  <c r="D223" i="13" s="1"/>
  <c r="D221" i="31"/>
  <c r="K222" i="13"/>
  <c r="G220" i="11"/>
  <c r="H220" i="11" s="1"/>
  <c r="J222" i="13" s="1"/>
  <c r="D220" i="11"/>
  <c r="I223" i="1" l="1"/>
  <c r="C223" i="13"/>
  <c r="L222" i="1"/>
  <c r="AD222" i="1" s="1"/>
  <c r="X222" i="1"/>
  <c r="A221" i="11"/>
  <c r="L223" i="13" s="1"/>
  <c r="B223" i="13"/>
  <c r="H223" i="1"/>
  <c r="H221" i="31"/>
  <c r="Q222" i="13" s="1"/>
  <c r="O222" i="13"/>
  <c r="F221" i="31"/>
  <c r="P222" i="13" s="1"/>
  <c r="H222" i="13"/>
  <c r="E220" i="11"/>
  <c r="I222" i="13" s="1"/>
  <c r="AA222" i="1" l="1"/>
  <c r="F222" i="11"/>
  <c r="R222" i="1"/>
  <c r="Q222" i="1" s="1"/>
  <c r="P222" i="1" s="1"/>
  <c r="O222" i="1" s="1"/>
  <c r="N222" i="1" s="1"/>
  <c r="M222" i="1" s="1"/>
  <c r="Y222" i="1"/>
  <c r="E223" i="13"/>
  <c r="F223" i="13" l="1"/>
  <c r="G223" i="13"/>
  <c r="E222" i="31"/>
  <c r="AG222" i="1"/>
  <c r="AB222" i="1"/>
  <c r="AC222" i="1" s="1"/>
  <c r="M223" i="13" s="1"/>
  <c r="F223" i="1" l="1"/>
  <c r="G223" i="1"/>
  <c r="C221" i="11"/>
  <c r="B222" i="31"/>
  <c r="C222" i="31"/>
  <c r="AF222" i="1"/>
  <c r="N223" i="13" s="1"/>
  <c r="E223" i="1" l="1"/>
  <c r="D223" i="1" s="1"/>
  <c r="C223" i="1" s="1"/>
  <c r="D224" i="13" s="1"/>
  <c r="D222" i="31"/>
  <c r="G221" i="11"/>
  <c r="H221" i="11" s="1"/>
  <c r="J223" i="13" s="1"/>
  <c r="K223" i="13"/>
  <c r="D221" i="11"/>
  <c r="L223" i="1" l="1"/>
  <c r="AD223" i="1" s="1"/>
  <c r="I224" i="1"/>
  <c r="C224" i="13"/>
  <c r="A222" i="11"/>
  <c r="L224" i="13" s="1"/>
  <c r="X223" i="1"/>
  <c r="B224" i="13"/>
  <c r="H224" i="1"/>
  <c r="H222" i="31"/>
  <c r="Q223" i="13" s="1"/>
  <c r="O223" i="13"/>
  <c r="F222" i="31"/>
  <c r="P223" i="13" s="1"/>
  <c r="E221" i="11"/>
  <c r="I223" i="13" s="1"/>
  <c r="H223" i="13"/>
  <c r="AA223" i="1" l="1"/>
  <c r="F223" i="11"/>
  <c r="R223" i="1"/>
  <c r="Q223" i="1" s="1"/>
  <c r="P223" i="1" s="1"/>
  <c r="O223" i="1" s="1"/>
  <c r="N223" i="1" s="1"/>
  <c r="M223" i="1" s="1"/>
  <c r="E224" i="13"/>
  <c r="Y223" i="1"/>
  <c r="F224" i="13" l="1"/>
  <c r="AB223" i="1"/>
  <c r="AC223" i="1" s="1"/>
  <c r="M224" i="13" s="1"/>
  <c r="E223" i="31"/>
  <c r="G224" i="13"/>
  <c r="F224" i="1" l="1"/>
  <c r="G224" i="1"/>
  <c r="AG223" i="1"/>
  <c r="B223" i="31"/>
  <c r="C223" i="31"/>
  <c r="AF223" i="1"/>
  <c r="N224" i="13" s="1"/>
  <c r="D223" i="31" l="1"/>
  <c r="C222" i="11"/>
  <c r="E224" i="1"/>
  <c r="D224" i="1" s="1"/>
  <c r="F223" i="31" l="1"/>
  <c r="P224" i="13" s="1"/>
  <c r="O224" i="13"/>
  <c r="H223" i="31"/>
  <c r="Q224" i="13" s="1"/>
  <c r="G222" i="11"/>
  <c r="H222" i="11" s="1"/>
  <c r="J224" i="13" s="1"/>
  <c r="K224" i="13"/>
  <c r="D222" i="11"/>
  <c r="C224" i="1"/>
  <c r="D225" i="13" s="1"/>
  <c r="A223" i="11"/>
  <c r="X224" i="1"/>
  <c r="B225" i="13"/>
  <c r="C225" i="13"/>
  <c r="L224" i="1"/>
  <c r="I225" i="1"/>
  <c r="H225" i="1"/>
  <c r="AA224" i="1" l="1"/>
  <c r="R224" i="1"/>
  <c r="Q224" i="1" s="1"/>
  <c r="P224" i="1" s="1"/>
  <c r="O224" i="1" s="1"/>
  <c r="N224" i="1" s="1"/>
  <c r="H224" i="13"/>
  <c r="E222" i="11"/>
  <c r="I224" i="13" s="1"/>
  <c r="L225" i="13"/>
  <c r="E225" i="13"/>
  <c r="Y224" i="1"/>
  <c r="F224" i="11"/>
  <c r="AD224" i="1"/>
  <c r="F225" i="13" l="1"/>
  <c r="M224" i="1"/>
  <c r="AB224" i="1" l="1"/>
  <c r="AC224" i="1" s="1"/>
  <c r="M225" i="13" s="1"/>
  <c r="G225" i="13"/>
  <c r="E224" i="31"/>
  <c r="AG224" i="1"/>
  <c r="G225" i="1" l="1"/>
  <c r="F225" i="1"/>
  <c r="C223" i="11"/>
  <c r="B224" i="31"/>
  <c r="C224" i="31"/>
  <c r="AF224" i="1"/>
  <c r="N225" i="13" s="1"/>
  <c r="E225" i="1" l="1"/>
  <c r="D225" i="1" s="1"/>
  <c r="A224" i="11" s="1"/>
  <c r="D224" i="31"/>
  <c r="K225" i="13"/>
  <c r="G223" i="11"/>
  <c r="H223" i="11" s="1"/>
  <c r="J225" i="13" s="1"/>
  <c r="D223" i="11"/>
  <c r="L225" i="1" l="1"/>
  <c r="AD225" i="1" s="1"/>
  <c r="C226" i="13"/>
  <c r="I226" i="1"/>
  <c r="C225" i="1"/>
  <c r="D226" i="13" s="1"/>
  <c r="X225" i="1"/>
  <c r="B226" i="13"/>
  <c r="H226" i="1"/>
  <c r="R225" i="1" s="1"/>
  <c r="H224" i="31"/>
  <c r="Q225" i="13" s="1"/>
  <c r="O225" i="13"/>
  <c r="F224" i="31"/>
  <c r="P225" i="13" s="1"/>
  <c r="L226" i="13"/>
  <c r="H225" i="13"/>
  <c r="E223" i="11"/>
  <c r="I225" i="13" s="1"/>
  <c r="AA225" i="1" l="1"/>
  <c r="Y225" i="1"/>
  <c r="E226" i="13"/>
  <c r="Q225" i="1"/>
  <c r="P225" i="1" s="1"/>
  <c r="O225" i="1" s="1"/>
  <c r="N225" i="1" s="1"/>
  <c r="M225" i="1" s="1"/>
  <c r="F225" i="11"/>
  <c r="F226" i="13" l="1"/>
  <c r="AB225" i="1"/>
  <c r="AC225" i="1" s="1"/>
  <c r="M226" i="13" s="1"/>
  <c r="E225" i="31"/>
  <c r="G226" i="13"/>
  <c r="AG225" i="1"/>
  <c r="F226" i="1" l="1"/>
  <c r="G226" i="1"/>
  <c r="C224" i="11"/>
  <c r="B225" i="31"/>
  <c r="C225" i="31"/>
  <c r="AF225" i="1"/>
  <c r="N226" i="13" s="1"/>
  <c r="E226" i="1" l="1"/>
  <c r="D226" i="1" s="1"/>
  <c r="X226" i="1" s="1"/>
  <c r="D225" i="31"/>
  <c r="K226" i="13"/>
  <c r="G224" i="11"/>
  <c r="H224" i="11" s="1"/>
  <c r="J226" i="13" s="1"/>
  <c r="D224" i="11"/>
  <c r="L226" i="1" l="1"/>
  <c r="AD226" i="1" s="1"/>
  <c r="B227" i="13"/>
  <c r="C227" i="13"/>
  <c r="A225" i="11"/>
  <c r="L227" i="13" s="1"/>
  <c r="H227" i="1"/>
  <c r="I227" i="1"/>
  <c r="C226" i="1"/>
  <c r="D227" i="13" s="1"/>
  <c r="F225" i="31"/>
  <c r="P226" i="13" s="1"/>
  <c r="O226" i="13"/>
  <c r="H225" i="31"/>
  <c r="Q226" i="13" s="1"/>
  <c r="E224" i="11"/>
  <c r="I226" i="13" s="1"/>
  <c r="H226" i="13"/>
  <c r="R226" i="1" l="1"/>
  <c r="Q226" i="1" s="1"/>
  <c r="P226" i="1" s="1"/>
  <c r="O226" i="1" s="1"/>
  <c r="N226" i="1" s="1"/>
  <c r="F227" i="13" s="1"/>
  <c r="AA226" i="1"/>
  <c r="F226" i="11"/>
  <c r="E227" i="13"/>
  <c r="Y226" i="1"/>
  <c r="M226" i="1" l="1"/>
  <c r="AB226" i="1" s="1"/>
  <c r="AC226" i="1" s="1"/>
  <c r="M227" i="13" s="1"/>
  <c r="G227" i="13" l="1"/>
  <c r="E226" i="31"/>
  <c r="F227" i="1"/>
  <c r="G227" i="1"/>
  <c r="B226" i="31"/>
  <c r="C226" i="31"/>
  <c r="AF226" i="1"/>
  <c r="N227" i="13" s="1"/>
  <c r="AG226" i="1"/>
  <c r="C225" i="11" l="1"/>
  <c r="E227" i="1"/>
  <c r="D227" i="1" s="1"/>
  <c r="D226" i="31"/>
  <c r="O227" i="13" s="1"/>
  <c r="F226" i="31" l="1"/>
  <c r="P227" i="13" s="1"/>
  <c r="H226" i="31"/>
  <c r="Q227" i="13" s="1"/>
  <c r="X227" i="1"/>
  <c r="B228" i="13"/>
  <c r="C227" i="1"/>
  <c r="D228" i="13" s="1"/>
  <c r="A226" i="11"/>
  <c r="C228" i="13"/>
  <c r="I228" i="1"/>
  <c r="L227" i="1"/>
  <c r="H228" i="1"/>
  <c r="K227" i="13"/>
  <c r="G225" i="11"/>
  <c r="H225" i="11" s="1"/>
  <c r="J227" i="13" s="1"/>
  <c r="D225" i="11"/>
  <c r="AA227" i="1" l="1"/>
  <c r="R227" i="1"/>
  <c r="Q227" i="1" s="1"/>
  <c r="P227" i="1" s="1"/>
  <c r="O227" i="1" s="1"/>
  <c r="N227" i="1" s="1"/>
  <c r="H227" i="13"/>
  <c r="E225" i="11"/>
  <c r="I227" i="13" s="1"/>
  <c r="E228" i="13"/>
  <c r="Y227" i="1"/>
  <c r="AD227" i="1"/>
  <c r="F227" i="11"/>
  <c r="L228" i="13"/>
  <c r="F228" i="13" l="1"/>
  <c r="M227" i="1"/>
  <c r="AB227" i="1" l="1"/>
  <c r="AC227" i="1" s="1"/>
  <c r="M228" i="13" s="1"/>
  <c r="G228" i="13"/>
  <c r="E227" i="31"/>
  <c r="G228" i="1" l="1"/>
  <c r="F228" i="1"/>
  <c r="B227" i="31"/>
  <c r="C227" i="31"/>
  <c r="AF227" i="1"/>
  <c r="N228" i="13" s="1"/>
  <c r="AG227" i="1"/>
  <c r="E228" i="1" l="1"/>
  <c r="D228" i="1" s="1"/>
  <c r="C226" i="11"/>
  <c r="D227" i="31"/>
  <c r="O228" i="13" s="1"/>
  <c r="A227" i="11" l="1"/>
  <c r="X228" i="1"/>
  <c r="B229" i="13"/>
  <c r="C228" i="1"/>
  <c r="D229" i="13" s="1"/>
  <c r="C229" i="13"/>
  <c r="I229" i="1"/>
  <c r="L228" i="1"/>
  <c r="H229" i="1"/>
  <c r="F227" i="31"/>
  <c r="P228" i="13" s="1"/>
  <c r="H227" i="31"/>
  <c r="Q228" i="13" s="1"/>
  <c r="G226" i="11"/>
  <c r="H226" i="11" s="1"/>
  <c r="J228" i="13" s="1"/>
  <c r="K228" i="13"/>
  <c r="D226" i="11"/>
  <c r="AA228" i="1" l="1"/>
  <c r="Y228" i="1"/>
  <c r="E229" i="13"/>
  <c r="AD228" i="1"/>
  <c r="F228" i="11"/>
  <c r="E226" i="11"/>
  <c r="I228" i="13" s="1"/>
  <c r="H228" i="13"/>
  <c r="R228" i="1"/>
  <c r="Q228" i="1" s="1"/>
  <c r="P228" i="1" s="1"/>
  <c r="O228" i="1" s="1"/>
  <c r="N228" i="1" s="1"/>
  <c r="L229" i="13"/>
  <c r="M228" i="1" l="1"/>
  <c r="F229" i="13"/>
  <c r="AB228" i="1" l="1"/>
  <c r="AC228" i="1" s="1"/>
  <c r="M229" i="13" s="1"/>
  <c r="E228" i="31"/>
  <c r="G229" i="13"/>
  <c r="F229" i="1" l="1"/>
  <c r="G229" i="1"/>
  <c r="C228" i="31"/>
  <c r="B228" i="31"/>
  <c r="AF228" i="1"/>
  <c r="N229" i="13" s="1"/>
  <c r="AG228" i="1"/>
  <c r="D228" i="31" l="1"/>
  <c r="C227" i="11"/>
  <c r="E229" i="1"/>
  <c r="D229" i="1" s="1"/>
  <c r="F228" i="31" l="1"/>
  <c r="P229" i="13" s="1"/>
  <c r="O229" i="13"/>
  <c r="H228" i="31"/>
  <c r="Q229" i="13" s="1"/>
  <c r="G227" i="11"/>
  <c r="H227" i="11" s="1"/>
  <c r="J229" i="13" s="1"/>
  <c r="K229" i="13"/>
  <c r="D227" i="11"/>
  <c r="B230" i="13"/>
  <c r="C229" i="1"/>
  <c r="D230" i="13" s="1"/>
  <c r="A228" i="11"/>
  <c r="X229" i="1"/>
  <c r="C230" i="13"/>
  <c r="H230" i="1"/>
  <c r="L229" i="1"/>
  <c r="I230" i="1"/>
  <c r="AA229" i="1" l="1"/>
  <c r="H229" i="13"/>
  <c r="E227" i="11"/>
  <c r="I229" i="13" s="1"/>
  <c r="Y229" i="1"/>
  <c r="E230" i="13"/>
  <c r="F229" i="11"/>
  <c r="AD229" i="1"/>
  <c r="R229" i="1"/>
  <c r="Q229" i="1" s="1"/>
  <c r="P229" i="1" s="1"/>
  <c r="O229" i="1" s="1"/>
  <c r="N229" i="1" s="1"/>
  <c r="L230" i="13"/>
  <c r="F230" i="13" l="1"/>
  <c r="M229" i="1"/>
  <c r="AB229" i="1" l="1"/>
  <c r="AC229" i="1" s="1"/>
  <c r="M230" i="13" s="1"/>
  <c r="G230" i="13"/>
  <c r="E229" i="31"/>
  <c r="F230" i="1" l="1"/>
  <c r="G230" i="1"/>
  <c r="AG229" i="1"/>
  <c r="C229" i="31"/>
  <c r="B229" i="31"/>
  <c r="AF229" i="1"/>
  <c r="N230" i="13" s="1"/>
  <c r="D229" i="31" l="1"/>
  <c r="O230" i="13" s="1"/>
  <c r="C228" i="11"/>
  <c r="E230" i="1"/>
  <c r="D230" i="1" s="1"/>
  <c r="F229" i="31" l="1"/>
  <c r="P230" i="13" s="1"/>
  <c r="H229" i="31"/>
  <c r="Q230" i="13" s="1"/>
  <c r="X230" i="1"/>
  <c r="C231" i="13"/>
  <c r="A229" i="11"/>
  <c r="B231" i="13"/>
  <c r="C230" i="1"/>
  <c r="D231" i="13" s="1"/>
  <c r="H231" i="1"/>
  <c r="L230" i="1"/>
  <c r="I231" i="1"/>
  <c r="K230" i="13"/>
  <c r="G228" i="11"/>
  <c r="H228" i="11" s="1"/>
  <c r="J230" i="13" s="1"/>
  <c r="D228" i="11"/>
  <c r="AA230" i="1" l="1"/>
  <c r="L231" i="13"/>
  <c r="R230" i="1"/>
  <c r="Q230" i="1" s="1"/>
  <c r="P230" i="1" s="1"/>
  <c r="O230" i="1" s="1"/>
  <c r="N230" i="1" s="1"/>
  <c r="E228" i="11"/>
  <c r="I230" i="13" s="1"/>
  <c r="H230" i="13"/>
  <c r="E231" i="13"/>
  <c r="Y230" i="1"/>
  <c r="F230" i="11"/>
  <c r="AD230" i="1"/>
  <c r="M230" i="1" l="1"/>
  <c r="F231" i="13"/>
  <c r="AB230" i="1" l="1"/>
  <c r="AC230" i="1" s="1"/>
  <c r="M231" i="13" s="1"/>
  <c r="G231" i="13"/>
  <c r="E230" i="31"/>
  <c r="AG230" i="1"/>
  <c r="G231" i="1"/>
  <c r="F231" i="1" l="1"/>
  <c r="E231" i="1" s="1"/>
  <c r="D231" i="1" s="1"/>
  <c r="C229" i="11"/>
  <c r="C230" i="31"/>
  <c r="B230" i="31"/>
  <c r="AF230" i="1"/>
  <c r="N231" i="13" s="1"/>
  <c r="D230" i="31" l="1"/>
  <c r="O231" i="13" s="1"/>
  <c r="G229" i="11"/>
  <c r="H229" i="11" s="1"/>
  <c r="J231" i="13" s="1"/>
  <c r="K231" i="13"/>
  <c r="D229" i="11"/>
  <c r="X231" i="1"/>
  <c r="C232" i="13"/>
  <c r="A230" i="11"/>
  <c r="B232" i="13"/>
  <c r="C231" i="1"/>
  <c r="D232" i="13" s="1"/>
  <c r="I232" i="1"/>
  <c r="H232" i="1"/>
  <c r="L231" i="1"/>
  <c r="Y231" i="1" l="1"/>
  <c r="E232" i="13"/>
  <c r="AD231" i="1"/>
  <c r="F231" i="11"/>
  <c r="R231" i="1"/>
  <c r="Q231" i="1" s="1"/>
  <c r="P231" i="1" s="1"/>
  <c r="O231" i="1" s="1"/>
  <c r="N231" i="1" s="1"/>
  <c r="H231" i="13"/>
  <c r="E229" i="11"/>
  <c r="I231" i="13" s="1"/>
  <c r="L232" i="13"/>
  <c r="AA231" i="1"/>
  <c r="F230" i="31"/>
  <c r="P231" i="13" s="1"/>
  <c r="H230" i="31"/>
  <c r="Q231" i="13" s="1"/>
  <c r="M231" i="1" l="1"/>
  <c r="F232" i="13"/>
  <c r="AB231" i="1" l="1"/>
  <c r="AC231" i="1" s="1"/>
  <c r="M232" i="13" s="1"/>
  <c r="G232" i="13"/>
  <c r="E231" i="31"/>
  <c r="AG231" i="1"/>
  <c r="G232" i="1" l="1"/>
  <c r="F232" i="1"/>
  <c r="C230" i="11"/>
  <c r="C231" i="31"/>
  <c r="B231" i="31"/>
  <c r="AF231" i="1"/>
  <c r="N232" i="13" s="1"/>
  <c r="E232" i="1" l="1"/>
  <c r="D232" i="1" s="1"/>
  <c r="X232" i="1" s="1"/>
  <c r="G230" i="11"/>
  <c r="H230" i="11" s="1"/>
  <c r="J232" i="13" s="1"/>
  <c r="K232" i="13"/>
  <c r="D230" i="11"/>
  <c r="D231" i="31"/>
  <c r="O232" i="13" s="1"/>
  <c r="L232" i="1" l="1"/>
  <c r="F232" i="11" s="1"/>
  <c r="C233" i="13"/>
  <c r="I233" i="1"/>
  <c r="A231" i="11"/>
  <c r="L233" i="13" s="1"/>
  <c r="H233" i="1"/>
  <c r="R232" i="1" s="1"/>
  <c r="Q232" i="1" s="1"/>
  <c r="P232" i="1" s="1"/>
  <c r="O232" i="1" s="1"/>
  <c r="N232" i="1" s="1"/>
  <c r="B233" i="13"/>
  <c r="C232" i="1"/>
  <c r="D233" i="13" s="1"/>
  <c r="F231" i="31"/>
  <c r="P232" i="13" s="1"/>
  <c r="H231" i="31"/>
  <c r="Q232" i="13" s="1"/>
  <c r="H232" i="13"/>
  <c r="E230" i="11"/>
  <c r="I232" i="13" s="1"/>
  <c r="E233" i="13" l="1"/>
  <c r="AA232" i="1"/>
  <c r="Y232" i="1"/>
  <c r="AD232" i="1"/>
  <c r="F233" i="13"/>
  <c r="M232" i="1"/>
  <c r="AB232" i="1" l="1"/>
  <c r="AC232" i="1" s="1"/>
  <c r="M233" i="13" s="1"/>
  <c r="G233" i="13"/>
  <c r="E232" i="31"/>
  <c r="AG232" i="1"/>
  <c r="F233" i="1" l="1"/>
  <c r="G233" i="1"/>
  <c r="C231" i="11"/>
  <c r="C232" i="31"/>
  <c r="B232" i="31"/>
  <c r="AF232" i="1"/>
  <c r="N233" i="13" s="1"/>
  <c r="E233" i="1" l="1"/>
  <c r="D233" i="1" s="1"/>
  <c r="A232" i="11" s="1"/>
  <c r="D232" i="31"/>
  <c r="O233" i="13" s="1"/>
  <c r="G231" i="11"/>
  <c r="H231" i="11" s="1"/>
  <c r="J233" i="13" s="1"/>
  <c r="K233" i="13"/>
  <c r="D231" i="11"/>
  <c r="L233" i="1" l="1"/>
  <c r="F233" i="11" s="1"/>
  <c r="C233" i="1"/>
  <c r="D234" i="13" s="1"/>
  <c r="H234" i="1"/>
  <c r="C234" i="13"/>
  <c r="X233" i="1"/>
  <c r="B234" i="13"/>
  <c r="I234" i="1"/>
  <c r="E231" i="11"/>
  <c r="I233" i="13" s="1"/>
  <c r="H233" i="13"/>
  <c r="L234" i="13"/>
  <c r="H232" i="31"/>
  <c r="Q233" i="13" s="1"/>
  <c r="F232" i="31"/>
  <c r="P233" i="13" s="1"/>
  <c r="AA233" i="1" l="1"/>
  <c r="R233" i="1"/>
  <c r="Q233" i="1" s="1"/>
  <c r="P233" i="1" s="1"/>
  <c r="O233" i="1" s="1"/>
  <c r="N233" i="1" s="1"/>
  <c r="F234" i="13" s="1"/>
  <c r="E234" i="13"/>
  <c r="Y233" i="1"/>
  <c r="AD233" i="1"/>
  <c r="M233" i="1" l="1"/>
  <c r="AB233" i="1" s="1"/>
  <c r="AC233" i="1" s="1"/>
  <c r="M234" i="13" s="1"/>
  <c r="E233" i="31" l="1"/>
  <c r="G234" i="13"/>
  <c r="G234" i="1"/>
  <c r="F234" i="1"/>
  <c r="B233" i="31"/>
  <c r="C233" i="31"/>
  <c r="AF233" i="1"/>
  <c r="N234" i="13" s="1"/>
  <c r="AG233" i="1"/>
  <c r="D233" i="31" l="1"/>
  <c r="C232" i="11"/>
  <c r="E234" i="1"/>
  <c r="D234" i="1" s="1"/>
  <c r="F233" i="31" l="1"/>
  <c r="P234" i="13" s="1"/>
  <c r="O234" i="13"/>
  <c r="H233" i="31"/>
  <c r="Q234" i="13" s="1"/>
  <c r="C234" i="1"/>
  <c r="D235" i="13" s="1"/>
  <c r="X234" i="1"/>
  <c r="B235" i="13"/>
  <c r="A233" i="11"/>
  <c r="C235" i="13"/>
  <c r="I235" i="1"/>
  <c r="H235" i="1"/>
  <c r="L234" i="1"/>
  <c r="K234" i="13"/>
  <c r="G232" i="11"/>
  <c r="H232" i="11" s="1"/>
  <c r="J234" i="13" s="1"/>
  <c r="D232" i="11"/>
  <c r="R234" i="1" l="1"/>
  <c r="Q234" i="1" s="1"/>
  <c r="P234" i="1" s="1"/>
  <c r="O234" i="1" s="1"/>
  <c r="N234" i="1" s="1"/>
  <c r="L235" i="13"/>
  <c r="AA234" i="1"/>
  <c r="H234" i="13"/>
  <c r="E232" i="11"/>
  <c r="I234" i="13" s="1"/>
  <c r="Y234" i="1"/>
  <c r="E235" i="13"/>
  <c r="AD234" i="1"/>
  <c r="F234" i="11"/>
  <c r="M234" i="1" l="1"/>
  <c r="F235" i="13"/>
  <c r="AB234" i="1" l="1"/>
  <c r="AC234" i="1" s="1"/>
  <c r="M235" i="13" s="1"/>
  <c r="E234" i="31"/>
  <c r="G235" i="13"/>
  <c r="AG234" i="1"/>
  <c r="F235" i="1" l="1"/>
  <c r="G235" i="1"/>
  <c r="C233" i="11"/>
  <c r="C234" i="31"/>
  <c r="B234" i="31"/>
  <c r="AF234" i="1"/>
  <c r="N235" i="13" s="1"/>
  <c r="E235" i="1" l="1"/>
  <c r="D235" i="1" s="1"/>
  <c r="C236" i="13" s="1"/>
  <c r="D234" i="31"/>
  <c r="O235" i="13" s="1"/>
  <c r="K235" i="13"/>
  <c r="G233" i="11"/>
  <c r="H233" i="11" s="1"/>
  <c r="J235" i="13" s="1"/>
  <c r="D233" i="11"/>
  <c r="L235" i="1" l="1"/>
  <c r="Y235" i="1" s="1"/>
  <c r="I236" i="1"/>
  <c r="A234" i="11"/>
  <c r="L236" i="13" s="1"/>
  <c r="B236" i="13"/>
  <c r="X235" i="1"/>
  <c r="C235" i="1"/>
  <c r="D236" i="13" s="1"/>
  <c r="H236" i="1"/>
  <c r="R235" i="1" s="1"/>
  <c r="E233" i="11"/>
  <c r="I235" i="13" s="1"/>
  <c r="H235" i="13"/>
  <c r="H234" i="31"/>
  <c r="Q235" i="13" s="1"/>
  <c r="F234" i="31"/>
  <c r="P235" i="13" s="1"/>
  <c r="AA235" i="1" l="1"/>
  <c r="AD235" i="1"/>
  <c r="Q235" i="1"/>
  <c r="P235" i="1" s="1"/>
  <c r="O235" i="1" s="1"/>
  <c r="N235" i="1" s="1"/>
  <c r="M235" i="1" s="1"/>
  <c r="F235" i="11"/>
  <c r="E236" i="13"/>
  <c r="F236" i="13" l="1"/>
  <c r="AB235" i="1"/>
  <c r="AC235" i="1" s="1"/>
  <c r="M236" i="13" s="1"/>
  <c r="G236" i="13"/>
  <c r="E235" i="31"/>
  <c r="F236" i="1"/>
  <c r="G236" i="1" l="1"/>
  <c r="C235" i="31"/>
  <c r="B235" i="31"/>
  <c r="AF235" i="1"/>
  <c r="N236" i="13" s="1"/>
  <c r="AG235" i="1"/>
  <c r="D235" i="31" l="1"/>
  <c r="C234" i="11"/>
  <c r="E236" i="1"/>
  <c r="D236" i="1" s="1"/>
  <c r="H235" i="31" l="1"/>
  <c r="Q236" i="13" s="1"/>
  <c r="O236" i="13"/>
  <c r="F235" i="31"/>
  <c r="P236" i="13" s="1"/>
  <c r="G234" i="11"/>
  <c r="H234" i="11" s="1"/>
  <c r="J236" i="13" s="1"/>
  <c r="K236" i="13"/>
  <c r="D234" i="11"/>
  <c r="C237" i="13"/>
  <c r="A235" i="11"/>
  <c r="C236" i="1"/>
  <c r="D237" i="13" s="1"/>
  <c r="X236" i="1"/>
  <c r="B237" i="13"/>
  <c r="H237" i="1"/>
  <c r="I237" i="1"/>
  <c r="L236" i="1"/>
  <c r="AA236" i="1" l="1"/>
  <c r="H236" i="13"/>
  <c r="E234" i="11"/>
  <c r="I236" i="13" s="1"/>
  <c r="R236" i="1"/>
  <c r="Q236" i="1" s="1"/>
  <c r="P236" i="1" s="1"/>
  <c r="O236" i="1" s="1"/>
  <c r="N236" i="1" s="1"/>
  <c r="E237" i="13"/>
  <c r="Y236" i="1"/>
  <c r="AD236" i="1"/>
  <c r="F236" i="11"/>
  <c r="L237" i="13"/>
  <c r="M236" i="1" l="1"/>
  <c r="F237" i="13"/>
  <c r="AB236" i="1" l="1"/>
  <c r="AC236" i="1" s="1"/>
  <c r="M237" i="13" s="1"/>
  <c r="G237" i="13"/>
  <c r="E236" i="31"/>
  <c r="G237" i="1" l="1"/>
  <c r="F237" i="1"/>
  <c r="C236" i="31"/>
  <c r="B236" i="31"/>
  <c r="AF236" i="1"/>
  <c r="N237" i="13" s="1"/>
  <c r="AG236" i="1"/>
  <c r="D236" i="31" l="1"/>
  <c r="E237" i="1"/>
  <c r="D237" i="1" s="1"/>
  <c r="C235" i="11"/>
  <c r="F236" i="31" l="1"/>
  <c r="P237" i="13" s="1"/>
  <c r="O237" i="13"/>
  <c r="H236" i="31"/>
  <c r="Q237" i="13" s="1"/>
  <c r="K237" i="13"/>
  <c r="G235" i="11"/>
  <c r="H235" i="11" s="1"/>
  <c r="J237" i="13" s="1"/>
  <c r="D235" i="11"/>
  <c r="C237" i="1"/>
  <c r="D238" i="13" s="1"/>
  <c r="C238" i="13"/>
  <c r="X237" i="1"/>
  <c r="A236" i="11"/>
  <c r="B238" i="13"/>
  <c r="I238" i="1"/>
  <c r="L237" i="1"/>
  <c r="H238" i="1"/>
  <c r="R237" i="1" l="1"/>
  <c r="Q237" i="1" s="1"/>
  <c r="P237" i="1" s="1"/>
  <c r="O237" i="1" s="1"/>
  <c r="N237" i="1" s="1"/>
  <c r="E238" i="13"/>
  <c r="Y237" i="1"/>
  <c r="AD237" i="1"/>
  <c r="F237" i="11"/>
  <c r="L238" i="13"/>
  <c r="H237" i="13"/>
  <c r="E235" i="11"/>
  <c r="I237" i="13" s="1"/>
  <c r="AA237" i="1"/>
  <c r="F238" i="13" l="1"/>
  <c r="M237" i="1"/>
  <c r="AB237" i="1" l="1"/>
  <c r="AC237" i="1" s="1"/>
  <c r="M238" i="13" s="1"/>
  <c r="E237" i="31"/>
  <c r="G238" i="13"/>
  <c r="AG237" i="1"/>
  <c r="G238" i="1"/>
  <c r="F238" i="1" l="1"/>
  <c r="E238" i="1" s="1"/>
  <c r="D238" i="1" s="1"/>
  <c r="C236" i="11"/>
  <c r="B237" i="31"/>
  <c r="C237" i="31"/>
  <c r="AF237" i="1"/>
  <c r="N238" i="13" s="1"/>
  <c r="D237" i="31" l="1"/>
  <c r="A237" i="11"/>
  <c r="C238" i="1"/>
  <c r="D239" i="13" s="1"/>
  <c r="X238" i="1"/>
  <c r="C239" i="13"/>
  <c r="B239" i="13"/>
  <c r="L238" i="1"/>
  <c r="I239" i="1"/>
  <c r="H239" i="1"/>
  <c r="G236" i="11"/>
  <c r="H236" i="11" s="1"/>
  <c r="J238" i="13" s="1"/>
  <c r="K238" i="13"/>
  <c r="D236" i="11"/>
  <c r="F237" i="31" l="1"/>
  <c r="P238" i="13" s="1"/>
  <c r="O238" i="13"/>
  <c r="AA238" i="1"/>
  <c r="H237" i="31"/>
  <c r="Q238" i="13" s="1"/>
  <c r="E236" i="11"/>
  <c r="I238" i="13" s="1"/>
  <c r="H238" i="13"/>
  <c r="E239" i="13"/>
  <c r="Y238" i="1"/>
  <c r="AD238" i="1"/>
  <c r="F238" i="11"/>
  <c r="R238" i="1"/>
  <c r="Q238" i="1" s="1"/>
  <c r="P238" i="1" s="1"/>
  <c r="O238" i="1" s="1"/>
  <c r="N238" i="1" s="1"/>
  <c r="L239" i="13"/>
  <c r="M238" i="1" l="1"/>
  <c r="F239" i="13"/>
  <c r="AB238" i="1" l="1"/>
  <c r="AC238" i="1" s="1"/>
  <c r="M239" i="13" s="1"/>
  <c r="E238" i="31"/>
  <c r="G239" i="13"/>
  <c r="F239" i="1" l="1"/>
  <c r="G239" i="1"/>
  <c r="C238" i="31"/>
  <c r="B238" i="31"/>
  <c r="AF238" i="1"/>
  <c r="N239" i="13" s="1"/>
  <c r="AG238" i="1"/>
  <c r="D238" i="31" l="1"/>
  <c r="E239" i="1"/>
  <c r="D239" i="1" s="1"/>
  <c r="C237" i="11"/>
  <c r="H238" i="31" l="1"/>
  <c r="Q239" i="13" s="1"/>
  <c r="O239" i="13"/>
  <c r="F238" i="31"/>
  <c r="P239" i="13" s="1"/>
  <c r="C239" i="1"/>
  <c r="D240" i="13" s="1"/>
  <c r="B240" i="13"/>
  <c r="C240" i="13"/>
  <c r="X239" i="1"/>
  <c r="A238" i="11"/>
  <c r="H240" i="1"/>
  <c r="L239" i="1"/>
  <c r="I240" i="1"/>
  <c r="G237" i="11"/>
  <c r="H237" i="11" s="1"/>
  <c r="J239" i="13" s="1"/>
  <c r="K239" i="13"/>
  <c r="D237" i="11"/>
  <c r="AA239" i="1" l="1"/>
  <c r="E240" i="13"/>
  <c r="Y239" i="1"/>
  <c r="F239" i="11"/>
  <c r="AD239" i="1"/>
  <c r="R239" i="1"/>
  <c r="Q239" i="1" s="1"/>
  <c r="P239" i="1" s="1"/>
  <c r="O239" i="1" s="1"/>
  <c r="N239" i="1" s="1"/>
  <c r="E237" i="11"/>
  <c r="I239" i="13" s="1"/>
  <c r="H239" i="13"/>
  <c r="L240" i="13"/>
  <c r="F240" i="13" l="1"/>
  <c r="M239" i="1"/>
  <c r="AB239" i="1" l="1"/>
  <c r="AC239" i="1" s="1"/>
  <c r="M240" i="13" s="1"/>
  <c r="G240" i="13"/>
  <c r="E239" i="31"/>
  <c r="AG239" i="1"/>
  <c r="F240" i="1" l="1"/>
  <c r="G240" i="1"/>
  <c r="C238" i="11"/>
  <c r="B239" i="31"/>
  <c r="C239" i="31"/>
  <c r="AF239" i="1"/>
  <c r="N240" i="13" s="1"/>
  <c r="E240" i="1" l="1"/>
  <c r="D240" i="1" s="1"/>
  <c r="C241" i="13" s="1"/>
  <c r="D239" i="31"/>
  <c r="G238" i="11"/>
  <c r="H238" i="11" s="1"/>
  <c r="J240" i="13" s="1"/>
  <c r="K240" i="13"/>
  <c r="D238" i="11"/>
  <c r="X240" i="1" l="1"/>
  <c r="L240" i="1"/>
  <c r="F240" i="11" s="1"/>
  <c r="A239" i="11"/>
  <c r="L241" i="13" s="1"/>
  <c r="H241" i="1"/>
  <c r="B241" i="13"/>
  <c r="C240" i="1"/>
  <c r="D241" i="13" s="1"/>
  <c r="I241" i="1"/>
  <c r="H239" i="31"/>
  <c r="Q240" i="13" s="1"/>
  <c r="O240" i="13"/>
  <c r="F239" i="31"/>
  <c r="P240" i="13" s="1"/>
  <c r="E238" i="11"/>
  <c r="I240" i="13" s="1"/>
  <c r="H240" i="13"/>
  <c r="AA240" i="1" l="1"/>
  <c r="AD240" i="1"/>
  <c r="E241" i="13"/>
  <c r="Y240" i="1"/>
  <c r="R240" i="1"/>
  <c r="Q240" i="1" s="1"/>
  <c r="P240" i="1" s="1"/>
  <c r="O240" i="1" s="1"/>
  <c r="N240" i="1" s="1"/>
  <c r="F241" i="13" s="1"/>
  <c r="M240" i="1" l="1"/>
  <c r="E240" i="31" s="1"/>
  <c r="F241" i="1" l="1"/>
  <c r="AB240" i="1"/>
  <c r="AC240" i="1" s="1"/>
  <c r="M241" i="13" s="1"/>
  <c r="G241" i="13"/>
  <c r="G241" i="1"/>
  <c r="AG240" i="1"/>
  <c r="C240" i="31" l="1"/>
  <c r="AF240" i="1"/>
  <c r="N241" i="13" s="1"/>
  <c r="B240" i="31"/>
  <c r="C239" i="11"/>
  <c r="E241" i="1"/>
  <c r="D241" i="1" s="1"/>
  <c r="D240" i="31" l="1"/>
  <c r="O241" i="13" s="1"/>
  <c r="G239" i="11"/>
  <c r="H239" i="11" s="1"/>
  <c r="J241" i="13" s="1"/>
  <c r="K241" i="13"/>
  <c r="D239" i="11"/>
  <c r="X241" i="1"/>
  <c r="C242" i="13"/>
  <c r="B242" i="13"/>
  <c r="C241" i="1"/>
  <c r="D242" i="13" s="1"/>
  <c r="A240" i="11"/>
  <c r="L241" i="1"/>
  <c r="H242" i="1"/>
  <c r="I242" i="1"/>
  <c r="H240" i="31" l="1"/>
  <c r="Q241" i="13" s="1"/>
  <c r="F240" i="31"/>
  <c r="P241" i="13" s="1"/>
  <c r="AA241" i="1"/>
  <c r="E239" i="11"/>
  <c r="I241" i="13" s="1"/>
  <c r="H241" i="13"/>
  <c r="Y241" i="1"/>
  <c r="E242" i="13"/>
  <c r="AD241" i="1"/>
  <c r="F241" i="11"/>
  <c r="L242" i="13"/>
  <c r="R241" i="1"/>
  <c r="Q241" i="1" s="1"/>
  <c r="P241" i="1" s="1"/>
  <c r="O241" i="1" s="1"/>
  <c r="N241" i="1" s="1"/>
  <c r="F242" i="13" l="1"/>
  <c r="M241" i="1"/>
  <c r="AB241" i="1" l="1"/>
  <c r="AC241" i="1" s="1"/>
  <c r="M242" i="13" s="1"/>
  <c r="G242" i="13"/>
  <c r="E241" i="31"/>
  <c r="G242" i="1"/>
  <c r="F242" i="1"/>
  <c r="C241" i="31" l="1"/>
  <c r="B241" i="31"/>
  <c r="AF241" i="1"/>
  <c r="N242" i="13" s="1"/>
  <c r="AG241" i="1"/>
  <c r="D241" i="31" l="1"/>
  <c r="C240" i="11"/>
  <c r="E242" i="1"/>
  <c r="D242" i="1" s="1"/>
  <c r="F241" i="31" l="1"/>
  <c r="P242" i="13" s="1"/>
  <c r="O242" i="13"/>
  <c r="H241" i="31"/>
  <c r="Q242" i="13" s="1"/>
  <c r="K242" i="13"/>
  <c r="G240" i="11"/>
  <c r="H240" i="11" s="1"/>
  <c r="J242" i="13" s="1"/>
  <c r="D240" i="11"/>
  <c r="B243" i="13"/>
  <c r="C242" i="1"/>
  <c r="D243" i="13" s="1"/>
  <c r="A241" i="11"/>
  <c r="C243" i="13"/>
  <c r="X242" i="1"/>
  <c r="H243" i="1"/>
  <c r="L242" i="1"/>
  <c r="I243" i="1"/>
  <c r="AA242" i="1" l="1"/>
  <c r="E243" i="13"/>
  <c r="Y242" i="1"/>
  <c r="F242" i="11"/>
  <c r="AD242" i="1"/>
  <c r="E240" i="11"/>
  <c r="I242" i="13" s="1"/>
  <c r="H242" i="13"/>
  <c r="R242" i="1"/>
  <c r="Q242" i="1" s="1"/>
  <c r="P242" i="1" s="1"/>
  <c r="O242" i="1" s="1"/>
  <c r="N242" i="1" s="1"/>
  <c r="L243" i="13"/>
  <c r="F243" i="13" l="1"/>
  <c r="M242" i="1"/>
  <c r="AB242" i="1" l="1"/>
  <c r="AC242" i="1" s="1"/>
  <c r="M243" i="13" s="1"/>
  <c r="E242" i="31"/>
  <c r="G243" i="13"/>
  <c r="F243" i="1"/>
  <c r="G243" i="1" l="1"/>
  <c r="C242" i="31"/>
  <c r="B242" i="31"/>
  <c r="AF242" i="1"/>
  <c r="N243" i="13" s="1"/>
  <c r="AG242" i="1"/>
  <c r="D242" i="31" l="1"/>
  <c r="O243" i="13" s="1"/>
  <c r="E243" i="1"/>
  <c r="D243" i="1" s="1"/>
  <c r="C241" i="11"/>
  <c r="X243" i="1" l="1"/>
  <c r="A242" i="11"/>
  <c r="C243" i="1"/>
  <c r="D244" i="13" s="1"/>
  <c r="C244" i="13"/>
  <c r="B244" i="13"/>
  <c r="I244" i="1"/>
  <c r="H244" i="1"/>
  <c r="L243" i="1"/>
  <c r="H242" i="31"/>
  <c r="Q243" i="13" s="1"/>
  <c r="F242" i="31"/>
  <c r="P243" i="13" s="1"/>
  <c r="G241" i="11"/>
  <c r="H241" i="11" s="1"/>
  <c r="J243" i="13" s="1"/>
  <c r="K243" i="13"/>
  <c r="D241" i="11"/>
  <c r="AA243" i="1" l="1"/>
  <c r="E241" i="11"/>
  <c r="I243" i="13" s="1"/>
  <c r="H243" i="13"/>
  <c r="L244" i="13"/>
  <c r="Y243" i="1"/>
  <c r="E244" i="13"/>
  <c r="F243" i="11"/>
  <c r="AD243" i="1"/>
  <c r="R243" i="1"/>
  <c r="Q243" i="1" s="1"/>
  <c r="P243" i="1" s="1"/>
  <c r="O243" i="1" s="1"/>
  <c r="N243" i="1" s="1"/>
  <c r="M243" i="1" l="1"/>
  <c r="F244" i="13"/>
  <c r="AB243" i="1" l="1"/>
  <c r="AC243" i="1" s="1"/>
  <c r="M244" i="13" s="1"/>
  <c r="E243" i="31"/>
  <c r="G244" i="13"/>
  <c r="AG243" i="1"/>
  <c r="F244" i="1" l="1"/>
  <c r="G244" i="1"/>
  <c r="C242" i="11"/>
  <c r="C243" i="31"/>
  <c r="B243" i="31"/>
  <c r="AF243" i="1"/>
  <c r="N244" i="13" s="1"/>
  <c r="E244" i="1" l="1"/>
  <c r="D244" i="1" s="1"/>
  <c r="B245" i="13" s="1"/>
  <c r="G242" i="11"/>
  <c r="H242" i="11" s="1"/>
  <c r="J244" i="13" s="1"/>
  <c r="K244" i="13"/>
  <c r="D242" i="11"/>
  <c r="D243" i="31"/>
  <c r="O244" i="13" s="1"/>
  <c r="H245" i="1" l="1"/>
  <c r="I245" i="1"/>
  <c r="X244" i="1"/>
  <c r="L244" i="1"/>
  <c r="F244" i="11" s="1"/>
  <c r="C244" i="1"/>
  <c r="D245" i="13" s="1"/>
  <c r="C245" i="13"/>
  <c r="A243" i="11"/>
  <c r="L245" i="13" s="1"/>
  <c r="F243" i="31"/>
  <c r="P244" i="13" s="1"/>
  <c r="H243" i="31"/>
  <c r="Q244" i="13" s="1"/>
  <c r="H244" i="13"/>
  <c r="E242" i="11"/>
  <c r="I244" i="13" s="1"/>
  <c r="AD244" i="1" l="1"/>
  <c r="AA244" i="1"/>
  <c r="E245" i="13"/>
  <c r="R244" i="1"/>
  <c r="Q244" i="1" s="1"/>
  <c r="P244" i="1" s="1"/>
  <c r="O244" i="1" s="1"/>
  <c r="N244" i="1" s="1"/>
  <c r="F245" i="13" s="1"/>
  <c r="Y244" i="1"/>
  <c r="M244" i="1" l="1"/>
  <c r="AB244" i="1" s="1"/>
  <c r="AC244" i="1" s="1"/>
  <c r="M245" i="13" s="1"/>
  <c r="AG244" i="1"/>
  <c r="G245" i="13" l="1"/>
  <c r="E244" i="31"/>
  <c r="F245" i="1"/>
  <c r="G245" i="1"/>
  <c r="C243" i="11"/>
  <c r="B244" i="31"/>
  <c r="C244" i="31"/>
  <c r="AF244" i="1"/>
  <c r="N245" i="13" s="1"/>
  <c r="E245" i="1" l="1"/>
  <c r="D245" i="1" s="1"/>
  <c r="X245" i="1" s="1"/>
  <c r="D244" i="31"/>
  <c r="F244" i="31" s="1"/>
  <c r="P245" i="13" s="1"/>
  <c r="G243" i="11"/>
  <c r="H243" i="11" s="1"/>
  <c r="J245" i="13" s="1"/>
  <c r="K245" i="13"/>
  <c r="D243" i="11"/>
  <c r="L245" i="1" l="1"/>
  <c r="E246" i="13" s="1"/>
  <c r="H246" i="1"/>
  <c r="AA245" i="1" s="1"/>
  <c r="C246" i="13"/>
  <c r="I246" i="1"/>
  <c r="B246" i="13"/>
  <c r="A244" i="11"/>
  <c r="L246" i="13" s="1"/>
  <c r="C245" i="1"/>
  <c r="D246" i="13" s="1"/>
  <c r="H244" i="31"/>
  <c r="Q245" i="13" s="1"/>
  <c r="O245" i="13"/>
  <c r="H245" i="13"/>
  <c r="E243" i="11"/>
  <c r="I245" i="13" s="1"/>
  <c r="R245" i="1" l="1"/>
  <c r="Q245" i="1" s="1"/>
  <c r="P245" i="1" s="1"/>
  <c r="O245" i="1" s="1"/>
  <c r="N245" i="1" s="1"/>
  <c r="F246" i="13" s="1"/>
  <c r="AD245" i="1"/>
  <c r="F245" i="11"/>
  <c r="Y245" i="1"/>
  <c r="M245" i="1" l="1"/>
  <c r="AB245" i="1" s="1"/>
  <c r="AC245" i="1" s="1"/>
  <c r="M246" i="13" s="1"/>
  <c r="AG245" i="1"/>
  <c r="G246" i="13" l="1"/>
  <c r="F246" i="1"/>
  <c r="E245" i="31"/>
  <c r="G246" i="1"/>
  <c r="C244" i="11"/>
  <c r="C245" i="31"/>
  <c r="B245" i="31"/>
  <c r="AF245" i="1"/>
  <c r="N246" i="13" s="1"/>
  <c r="E246" i="1" l="1"/>
  <c r="D246" i="1" s="1"/>
  <c r="C247" i="13" s="1"/>
  <c r="G244" i="11"/>
  <c r="H244" i="11" s="1"/>
  <c r="J246" i="13" s="1"/>
  <c r="K246" i="13"/>
  <c r="D244" i="11"/>
  <c r="D245" i="31"/>
  <c r="O246" i="13" s="1"/>
  <c r="H247" i="1" l="1"/>
  <c r="R246" i="1" s="1"/>
  <c r="B247" i="13"/>
  <c r="L246" i="1"/>
  <c r="Y246" i="1" s="1"/>
  <c r="A245" i="11"/>
  <c r="L247" i="13" s="1"/>
  <c r="I247" i="1"/>
  <c r="C246" i="1"/>
  <c r="D247" i="13" s="1"/>
  <c r="X246" i="1"/>
  <c r="H245" i="31"/>
  <c r="Q246" i="13" s="1"/>
  <c r="F245" i="31"/>
  <c r="P246" i="13" s="1"/>
  <c r="E244" i="11"/>
  <c r="I246" i="13" s="1"/>
  <c r="H246" i="13"/>
  <c r="AA246" i="1" l="1"/>
  <c r="Q246" i="1"/>
  <c r="P246" i="1" s="1"/>
  <c r="O246" i="1" s="1"/>
  <c r="N246" i="1" s="1"/>
  <c r="F247" i="13" s="1"/>
  <c r="AD246" i="1"/>
  <c r="E247" i="13"/>
  <c r="F246" i="11"/>
  <c r="M246" i="1" l="1"/>
  <c r="G247" i="13" s="1"/>
  <c r="AG246" i="1"/>
  <c r="E246" i="31" l="1"/>
  <c r="AB246" i="1"/>
  <c r="AC246" i="1" s="1"/>
  <c r="M247" i="13" s="1"/>
  <c r="G247" i="1"/>
  <c r="F247" i="1"/>
  <c r="C245" i="11"/>
  <c r="AF246" i="1" l="1"/>
  <c r="N247" i="13" s="1"/>
  <c r="C246" i="31"/>
  <c r="B246" i="31"/>
  <c r="E247" i="1"/>
  <c r="D247" i="1" s="1"/>
  <c r="B248" i="13" s="1"/>
  <c r="G245" i="11"/>
  <c r="H245" i="11" s="1"/>
  <c r="J247" i="13" s="1"/>
  <c r="K247" i="13"/>
  <c r="D245" i="11"/>
  <c r="D246" i="31" l="1"/>
  <c r="O247" i="13" s="1"/>
  <c r="A246" i="11"/>
  <c r="L248" i="13" s="1"/>
  <c r="H248" i="1"/>
  <c r="I248" i="1"/>
  <c r="C247" i="1"/>
  <c r="D248" i="13" s="1"/>
  <c r="X247" i="1"/>
  <c r="L247" i="1"/>
  <c r="AD247" i="1" s="1"/>
  <c r="C248" i="13"/>
  <c r="E245" i="11"/>
  <c r="I247" i="13" s="1"/>
  <c r="H247" i="13"/>
  <c r="H246" i="31" l="1"/>
  <c r="Q247" i="13" s="1"/>
  <c r="F246" i="31"/>
  <c r="P247" i="13" s="1"/>
  <c r="R247" i="1"/>
  <c r="Q247" i="1" s="1"/>
  <c r="P247" i="1" s="1"/>
  <c r="O247" i="1" s="1"/>
  <c r="N247" i="1" s="1"/>
  <c r="F248" i="13" s="1"/>
  <c r="E248" i="13"/>
  <c r="Y247" i="1"/>
  <c r="F247" i="11"/>
  <c r="AA247" i="1"/>
  <c r="M247" i="1" l="1"/>
  <c r="AB247" i="1" s="1"/>
  <c r="AC247" i="1" s="1"/>
  <c r="M248" i="13" s="1"/>
  <c r="AG247" i="1"/>
  <c r="G248" i="13" l="1"/>
  <c r="E247" i="31"/>
  <c r="G248" i="1"/>
  <c r="F248" i="1"/>
  <c r="C246" i="11"/>
  <c r="C247" i="31"/>
  <c r="B247" i="31"/>
  <c r="AF247" i="1"/>
  <c r="N248" i="13" s="1"/>
  <c r="E248" i="1" l="1"/>
  <c r="D248" i="1" s="1"/>
  <c r="C249" i="13" s="1"/>
  <c r="D247" i="31"/>
  <c r="O248" i="13" s="1"/>
  <c r="G246" i="11"/>
  <c r="H246" i="11" s="1"/>
  <c r="J248" i="13" s="1"/>
  <c r="K248" i="13"/>
  <c r="D246" i="11"/>
  <c r="L248" i="1" l="1"/>
  <c r="F248" i="11" s="1"/>
  <c r="A247" i="11"/>
  <c r="L249" i="13" s="1"/>
  <c r="H249" i="1"/>
  <c r="X248" i="1"/>
  <c r="I249" i="1"/>
  <c r="B249" i="13"/>
  <c r="C248" i="1"/>
  <c r="D249" i="13" s="1"/>
  <c r="H248" i="13"/>
  <c r="E246" i="11"/>
  <c r="I248" i="13" s="1"/>
  <c r="F247" i="31"/>
  <c r="P248" i="13" s="1"/>
  <c r="H247" i="31"/>
  <c r="Q248" i="13" s="1"/>
  <c r="R248" i="1" l="1"/>
  <c r="Q248" i="1" s="1"/>
  <c r="P248" i="1" s="1"/>
  <c r="O248" i="1" s="1"/>
  <c r="N248" i="1" s="1"/>
  <c r="F249" i="13" s="1"/>
  <c r="AA248" i="1"/>
  <c r="Y248" i="1"/>
  <c r="E249" i="13"/>
  <c r="AD248" i="1"/>
  <c r="M248" i="1" l="1"/>
  <c r="AB248" i="1" s="1"/>
  <c r="AC248" i="1" s="1"/>
  <c r="M249" i="13" s="1"/>
  <c r="AG248" i="1"/>
  <c r="E248" i="31" l="1"/>
  <c r="G249" i="13"/>
  <c r="G249" i="1"/>
  <c r="F249" i="1"/>
  <c r="C247" i="11"/>
  <c r="C248" i="31"/>
  <c r="B248" i="31"/>
  <c r="AF248" i="1"/>
  <c r="N249" i="13" s="1"/>
  <c r="E249" i="1" l="1"/>
  <c r="D249" i="1" s="1"/>
  <c r="X249" i="1" s="1"/>
  <c r="D248" i="31"/>
  <c r="O249" i="13" s="1"/>
  <c r="K249" i="13"/>
  <c r="G247" i="11"/>
  <c r="H247" i="11" s="1"/>
  <c r="J249" i="13" s="1"/>
  <c r="D247" i="11"/>
  <c r="H250" i="1" l="1"/>
  <c r="C250" i="13"/>
  <c r="C249" i="1"/>
  <c r="D250" i="13" s="1"/>
  <c r="B250" i="13"/>
  <c r="I250" i="1"/>
  <c r="L249" i="1"/>
  <c r="Y249" i="1" s="1"/>
  <c r="A248" i="11"/>
  <c r="L250" i="13" s="1"/>
  <c r="H249" i="13"/>
  <c r="E247" i="11"/>
  <c r="I249" i="13" s="1"/>
  <c r="F248" i="31"/>
  <c r="P249" i="13" s="1"/>
  <c r="H248" i="31"/>
  <c r="Q249" i="13" s="1"/>
  <c r="AA249" i="1" l="1"/>
  <c r="AD249" i="1"/>
  <c r="F249" i="11"/>
  <c r="E250" i="13"/>
  <c r="R249" i="1"/>
  <c r="Q249" i="1" s="1"/>
  <c r="P249" i="1" s="1"/>
  <c r="O249" i="1" s="1"/>
  <c r="N249" i="1" s="1"/>
  <c r="M249" i="1" s="1"/>
  <c r="F250" i="13" l="1"/>
  <c r="AB249" i="1"/>
  <c r="AC249" i="1" s="1"/>
  <c r="M250" i="13" s="1"/>
  <c r="E249" i="31"/>
  <c r="G250" i="13"/>
  <c r="AG249" i="1"/>
  <c r="G250" i="1" l="1"/>
  <c r="F250" i="1"/>
  <c r="C248" i="11"/>
  <c r="B249" i="31"/>
  <c r="C249" i="31"/>
  <c r="AF249" i="1"/>
  <c r="N250" i="13" s="1"/>
  <c r="E250" i="1" l="1"/>
  <c r="D250" i="1" s="1"/>
  <c r="C251" i="13" s="1"/>
  <c r="D249" i="31"/>
  <c r="G248" i="11"/>
  <c r="H248" i="11" s="1"/>
  <c r="J250" i="13" s="1"/>
  <c r="K250" i="13"/>
  <c r="D248" i="11"/>
  <c r="L250" i="1" l="1"/>
  <c r="F250" i="11" s="1"/>
  <c r="C250" i="1"/>
  <c r="D251" i="13" s="1"/>
  <c r="I251" i="1"/>
  <c r="A249" i="11"/>
  <c r="L251" i="13" s="1"/>
  <c r="H251" i="1"/>
  <c r="B251" i="13"/>
  <c r="X250" i="1"/>
  <c r="H249" i="31"/>
  <c r="Q250" i="13" s="1"/>
  <c r="O250" i="13"/>
  <c r="F249" i="31"/>
  <c r="P250" i="13" s="1"/>
  <c r="E248" i="11"/>
  <c r="I250" i="13" s="1"/>
  <c r="H250" i="13"/>
  <c r="R250" i="1" l="1"/>
  <c r="Q250" i="1" s="1"/>
  <c r="P250" i="1" s="1"/>
  <c r="O250" i="1" s="1"/>
  <c r="N250" i="1" s="1"/>
  <c r="F251" i="13" s="1"/>
  <c r="AD250" i="1"/>
  <c r="Y250" i="1"/>
  <c r="E251" i="13"/>
  <c r="AA250" i="1"/>
  <c r="M250" i="1" l="1"/>
  <c r="E250" i="31" s="1"/>
  <c r="AB250" i="1" l="1"/>
  <c r="AC250" i="1" s="1"/>
  <c r="M251" i="13" s="1"/>
  <c r="G251" i="13"/>
  <c r="G251" i="1"/>
  <c r="F251" i="1"/>
  <c r="AG250" i="1"/>
  <c r="B250" i="31" l="1"/>
  <c r="AF250" i="1"/>
  <c r="N251" i="13" s="1"/>
  <c r="C250" i="31"/>
  <c r="E251" i="1"/>
  <c r="D251" i="1" s="1"/>
  <c r="C249" i="11"/>
  <c r="D250" i="31" l="1"/>
  <c r="H250" i="31" s="1"/>
  <c r="Q251" i="13" s="1"/>
  <c r="O251" i="13"/>
  <c r="K251" i="13"/>
  <c r="G249" i="11"/>
  <c r="H249" i="11" s="1"/>
  <c r="J251" i="13" s="1"/>
  <c r="D249" i="11"/>
  <c r="A250" i="11"/>
  <c r="X251" i="1"/>
  <c r="B252" i="13"/>
  <c r="C251" i="1"/>
  <c r="D252" i="13" s="1"/>
  <c r="C252" i="13"/>
  <c r="L251" i="1"/>
  <c r="H252" i="1"/>
  <c r="I252" i="1"/>
  <c r="F250" i="31" l="1"/>
  <c r="P251" i="13" s="1"/>
  <c r="E249" i="11"/>
  <c r="I251" i="13" s="1"/>
  <c r="H251" i="13"/>
  <c r="L252" i="13"/>
  <c r="E252" i="13"/>
  <c r="Y251" i="1"/>
  <c r="AD251" i="1"/>
  <c r="F251" i="11"/>
  <c r="R251" i="1"/>
  <c r="Q251" i="1" s="1"/>
  <c r="P251" i="1" s="1"/>
  <c r="O251" i="1" s="1"/>
  <c r="N251" i="1" s="1"/>
  <c r="AA251" i="1"/>
  <c r="M251" i="1" l="1"/>
  <c r="F252" i="13"/>
  <c r="AB251" i="1" l="1"/>
  <c r="AC251" i="1" s="1"/>
  <c r="M252" i="13" s="1"/>
  <c r="G252" i="13"/>
  <c r="E251" i="31"/>
  <c r="AG251" i="1"/>
  <c r="F252" i="1" l="1"/>
  <c r="G252" i="1"/>
  <c r="C251" i="31"/>
  <c r="B251" i="31"/>
  <c r="AF251" i="1"/>
  <c r="N252" i="13" s="1"/>
  <c r="C250" i="11"/>
  <c r="E252" i="1" l="1"/>
  <c r="D252" i="1" s="1"/>
  <c r="X252" i="1" s="1"/>
  <c r="D251" i="31"/>
  <c r="F251" i="31" s="1"/>
  <c r="P252" i="13" s="1"/>
  <c r="K252" i="13"/>
  <c r="G250" i="11"/>
  <c r="H250" i="11" s="1"/>
  <c r="J252" i="13" s="1"/>
  <c r="D250" i="11"/>
  <c r="L252" i="1" l="1"/>
  <c r="F252" i="11" s="1"/>
  <c r="B253" i="13"/>
  <c r="C252" i="1"/>
  <c r="D253" i="13" s="1"/>
  <c r="A251" i="11"/>
  <c r="L253" i="13" s="1"/>
  <c r="H253" i="1"/>
  <c r="C253" i="13"/>
  <c r="I253" i="1"/>
  <c r="H251" i="31"/>
  <c r="Q252" i="13" s="1"/>
  <c r="O252" i="13"/>
  <c r="E250" i="11"/>
  <c r="I252" i="13" s="1"/>
  <c r="H252" i="13"/>
  <c r="AA252" i="1" l="1"/>
  <c r="R252" i="1"/>
  <c r="Q252" i="1" s="1"/>
  <c r="P252" i="1" s="1"/>
  <c r="O252" i="1" s="1"/>
  <c r="N252" i="1" s="1"/>
  <c r="F253" i="13" s="1"/>
  <c r="AD252" i="1"/>
  <c r="Y252" i="1"/>
  <c r="E253" i="13"/>
  <c r="M252" i="1" l="1"/>
  <c r="AB252" i="1" s="1"/>
  <c r="AC252" i="1" s="1"/>
  <c r="M253" i="13" s="1"/>
  <c r="E252" i="31" l="1"/>
  <c r="G253" i="13"/>
  <c r="G253" i="1"/>
  <c r="F253" i="1"/>
  <c r="B252" i="31"/>
  <c r="C252" i="31"/>
  <c r="AF252" i="1"/>
  <c r="N253" i="13" s="1"/>
  <c r="AG252" i="1"/>
  <c r="E253" i="1" l="1"/>
  <c r="D253" i="1" s="1"/>
  <c r="C251" i="11"/>
  <c r="D252" i="31"/>
  <c r="O253" i="13" s="1"/>
  <c r="H252" i="31" l="1"/>
  <c r="Q253" i="13" s="1"/>
  <c r="F252" i="31"/>
  <c r="P253" i="13" s="1"/>
  <c r="C254" i="13"/>
  <c r="X253" i="1"/>
  <c r="A252" i="11"/>
  <c r="C253" i="1"/>
  <c r="D254" i="13" s="1"/>
  <c r="B254" i="13"/>
  <c r="H254" i="1"/>
  <c r="L253" i="1"/>
  <c r="I254" i="1"/>
  <c r="K253" i="13"/>
  <c r="G251" i="11"/>
  <c r="H251" i="11" s="1"/>
  <c r="J253" i="13" s="1"/>
  <c r="D251" i="11"/>
  <c r="AA253" i="1" l="1"/>
  <c r="E251" i="11"/>
  <c r="I253" i="13" s="1"/>
  <c r="H253" i="13"/>
  <c r="Y253" i="1"/>
  <c r="E254" i="13"/>
  <c r="AD253" i="1"/>
  <c r="F253" i="11"/>
  <c r="R253" i="1"/>
  <c r="Q253" i="1" s="1"/>
  <c r="P253" i="1" s="1"/>
  <c r="O253" i="1" s="1"/>
  <c r="N253" i="1" s="1"/>
  <c r="L254" i="13"/>
  <c r="F254" i="13" l="1"/>
  <c r="M253" i="1"/>
  <c r="AB253" i="1" l="1"/>
  <c r="AC253" i="1" s="1"/>
  <c r="M254" i="13" s="1"/>
  <c r="G254" i="13"/>
  <c r="E253" i="31"/>
  <c r="AG253" i="1"/>
  <c r="F254" i="1" l="1"/>
  <c r="G254" i="1"/>
  <c r="C252" i="11"/>
  <c r="B253" i="31"/>
  <c r="C253" i="31"/>
  <c r="AF253" i="1"/>
  <c r="N254" i="13" s="1"/>
  <c r="E254" i="1" l="1"/>
  <c r="D254" i="1" s="1"/>
  <c r="C254" i="1" s="1"/>
  <c r="D255" i="13" s="1"/>
  <c r="D253" i="31"/>
  <c r="G252" i="11"/>
  <c r="H252" i="11" s="1"/>
  <c r="J254" i="13" s="1"/>
  <c r="K254" i="13"/>
  <c r="D252" i="11"/>
  <c r="H255" i="1" l="1"/>
  <c r="X254" i="1"/>
  <c r="C255" i="13"/>
  <c r="L254" i="1"/>
  <c r="F254" i="11" s="1"/>
  <c r="I255" i="1"/>
  <c r="B255" i="13"/>
  <c r="A253" i="11"/>
  <c r="L255" i="13" s="1"/>
  <c r="F253" i="31"/>
  <c r="P254" i="13" s="1"/>
  <c r="O254" i="13"/>
  <c r="H253" i="31"/>
  <c r="Q254" i="13" s="1"/>
  <c r="E252" i="11"/>
  <c r="I254" i="13" s="1"/>
  <c r="H254" i="13"/>
  <c r="AA254" i="1" l="1"/>
  <c r="E255" i="13"/>
  <c r="R254" i="1"/>
  <c r="Q254" i="1" s="1"/>
  <c r="P254" i="1" s="1"/>
  <c r="O254" i="1" s="1"/>
  <c r="N254" i="1" s="1"/>
  <c r="M254" i="1" s="1"/>
  <c r="AD254" i="1"/>
  <c r="Y254" i="1"/>
  <c r="F255" i="13" l="1"/>
  <c r="AB254" i="1"/>
  <c r="AC254" i="1" s="1"/>
  <c r="M255" i="13" s="1"/>
  <c r="E254" i="31"/>
  <c r="G255" i="13"/>
  <c r="F255" i="1" l="1"/>
  <c r="G255" i="1"/>
  <c r="B254" i="31"/>
  <c r="C254" i="31"/>
  <c r="AF254" i="1"/>
  <c r="N255" i="13" s="1"/>
  <c r="AG254" i="1"/>
  <c r="C253" i="11" l="1"/>
  <c r="E255" i="1"/>
  <c r="D255" i="1" s="1"/>
  <c r="D254" i="31"/>
  <c r="O255" i="13" s="1"/>
  <c r="H254" i="31" l="1"/>
  <c r="Q255" i="13" s="1"/>
  <c r="F254" i="31"/>
  <c r="P255" i="13" s="1"/>
  <c r="G253" i="11"/>
  <c r="H253" i="11" s="1"/>
  <c r="J255" i="13" s="1"/>
  <c r="K255" i="13"/>
  <c r="D253" i="11"/>
  <c r="C256" i="13"/>
  <c r="C255" i="1"/>
  <c r="D256" i="13" s="1"/>
  <c r="A254" i="11"/>
  <c r="B256" i="13"/>
  <c r="X255" i="1"/>
  <c r="H256" i="1"/>
  <c r="I256" i="1"/>
  <c r="L255" i="1"/>
  <c r="H255" i="13" l="1"/>
  <c r="E253" i="11"/>
  <c r="I255" i="13" s="1"/>
  <c r="L256" i="13"/>
  <c r="R255" i="1"/>
  <c r="Q255" i="1" s="1"/>
  <c r="P255" i="1" s="1"/>
  <c r="O255" i="1" s="1"/>
  <c r="N255" i="1" s="1"/>
  <c r="AA255" i="1"/>
  <c r="E256" i="13"/>
  <c r="Y255" i="1"/>
  <c r="AD255" i="1"/>
  <c r="F255" i="11"/>
  <c r="M255" i="1" l="1"/>
  <c r="F256" i="13"/>
  <c r="AB255" i="1" l="1"/>
  <c r="AC255" i="1" s="1"/>
  <c r="M256" i="13" s="1"/>
  <c r="E255" i="31"/>
  <c r="G256" i="13"/>
  <c r="F256" i="1" l="1"/>
  <c r="G256" i="1"/>
  <c r="AG255" i="1"/>
  <c r="C255" i="31"/>
  <c r="B255" i="31"/>
  <c r="AF255" i="1"/>
  <c r="N256" i="13" s="1"/>
  <c r="E256" i="1" l="1"/>
  <c r="D256" i="1" s="1"/>
  <c r="C254" i="11"/>
  <c r="D255" i="31"/>
  <c r="O256" i="13" s="1"/>
  <c r="H255" i="31" l="1"/>
  <c r="Q256" i="13" s="1"/>
  <c r="F255" i="31"/>
  <c r="P256" i="13" s="1"/>
  <c r="K256" i="13"/>
  <c r="G254" i="11"/>
  <c r="H254" i="11" s="1"/>
  <c r="J256" i="13" s="1"/>
  <c r="D254" i="11"/>
  <c r="C257" i="13"/>
  <c r="B257" i="13"/>
  <c r="A255" i="11"/>
  <c r="C256" i="1"/>
  <c r="D257" i="13" s="1"/>
  <c r="X256" i="1"/>
  <c r="I257" i="1"/>
  <c r="H257" i="1"/>
  <c r="L256" i="1"/>
  <c r="R256" i="1" l="1"/>
  <c r="Q256" i="1" s="1"/>
  <c r="P256" i="1" s="1"/>
  <c r="O256" i="1" s="1"/>
  <c r="N256" i="1" s="1"/>
  <c r="H256" i="13"/>
  <c r="E254" i="11"/>
  <c r="I256" i="13" s="1"/>
  <c r="L257" i="13"/>
  <c r="AA256" i="1"/>
  <c r="E257" i="13"/>
  <c r="Y256" i="1"/>
  <c r="F256" i="11"/>
  <c r="AD256" i="1"/>
  <c r="M256" i="1" l="1"/>
  <c r="F257" i="13"/>
  <c r="AB256" i="1" l="1"/>
  <c r="AC256" i="1" s="1"/>
  <c r="M257" i="13" s="1"/>
  <c r="G257" i="13"/>
  <c r="E256" i="31"/>
  <c r="G257" i="1" l="1"/>
  <c r="F257" i="1"/>
  <c r="AG256" i="1"/>
  <c r="C256" i="31"/>
  <c r="B256" i="31"/>
  <c r="AF256" i="1"/>
  <c r="N257" i="13" s="1"/>
  <c r="C255" i="11" l="1"/>
  <c r="E257" i="1"/>
  <c r="D257" i="1" s="1"/>
  <c r="D256" i="31"/>
  <c r="O257" i="13" s="1"/>
  <c r="K257" i="13" l="1"/>
  <c r="G255" i="11"/>
  <c r="H255" i="11" s="1"/>
  <c r="J257" i="13" s="1"/>
  <c r="D255" i="11"/>
  <c r="F256" i="31"/>
  <c r="P257" i="13" s="1"/>
  <c r="H256" i="31"/>
  <c r="Q257" i="13" s="1"/>
  <c r="X257" i="1"/>
  <c r="C258" i="13"/>
  <c r="A256" i="11"/>
  <c r="B258" i="13"/>
  <c r="C257" i="1"/>
  <c r="D258" i="13" s="1"/>
  <c r="L257" i="1"/>
  <c r="I258" i="1"/>
  <c r="H258" i="1"/>
  <c r="L258" i="13" l="1"/>
  <c r="E258" i="13"/>
  <c r="Y257" i="1"/>
  <c r="F257" i="11"/>
  <c r="AD257" i="1"/>
  <c r="H257" i="13"/>
  <c r="E255" i="11"/>
  <c r="I257" i="13" s="1"/>
  <c r="AA257" i="1"/>
  <c r="R257" i="1"/>
  <c r="Q257" i="1" s="1"/>
  <c r="P257" i="1" s="1"/>
  <c r="O257" i="1" s="1"/>
  <c r="N257" i="1" s="1"/>
  <c r="M257" i="1" l="1"/>
  <c r="F258" i="13"/>
  <c r="AB257" i="1" l="1"/>
  <c r="AC257" i="1" s="1"/>
  <c r="M258" i="13" s="1"/>
  <c r="G258" i="13"/>
  <c r="E257" i="31"/>
  <c r="F258" i="1" l="1"/>
  <c r="G258" i="1"/>
  <c r="C257" i="31"/>
  <c r="B257" i="31"/>
  <c r="AF257" i="1"/>
  <c r="N258" i="13" s="1"/>
  <c r="AG257" i="1"/>
  <c r="D257" i="31" l="1"/>
  <c r="E258" i="1"/>
  <c r="D258" i="1" s="1"/>
  <c r="C256" i="11"/>
  <c r="F257" i="31" l="1"/>
  <c r="P258" i="13" s="1"/>
  <c r="O258" i="13"/>
  <c r="H257" i="31"/>
  <c r="Q258" i="13" s="1"/>
  <c r="K258" i="13"/>
  <c r="G256" i="11"/>
  <c r="H256" i="11" s="1"/>
  <c r="J258" i="13" s="1"/>
  <c r="D256" i="11"/>
  <c r="C259" i="13"/>
  <c r="A257" i="11"/>
  <c r="B259" i="13"/>
  <c r="X258" i="1"/>
  <c r="C258" i="1"/>
  <c r="D259" i="13" s="1"/>
  <c r="L258" i="1"/>
  <c r="H259" i="1"/>
  <c r="I259" i="1"/>
  <c r="AA258" i="1" l="1"/>
  <c r="R258" i="1"/>
  <c r="Q258" i="1" s="1"/>
  <c r="P258" i="1" s="1"/>
  <c r="O258" i="1" s="1"/>
  <c r="N258" i="1" s="1"/>
  <c r="H258" i="13"/>
  <c r="E256" i="11"/>
  <c r="I258" i="13" s="1"/>
  <c r="L259" i="13"/>
  <c r="Y258" i="1"/>
  <c r="E259" i="13"/>
  <c r="AD258" i="1"/>
  <c r="F258" i="11"/>
  <c r="F259" i="13" l="1"/>
  <c r="M258" i="1"/>
  <c r="AB258" i="1" l="1"/>
  <c r="AC258" i="1" s="1"/>
  <c r="M259" i="13" s="1"/>
  <c r="E258" i="31"/>
  <c r="G259" i="13"/>
  <c r="AG258" i="1"/>
  <c r="F259" i="1" l="1"/>
  <c r="G259" i="1"/>
  <c r="C257" i="11"/>
  <c r="B258" i="31"/>
  <c r="C258" i="31"/>
  <c r="AF258" i="1"/>
  <c r="N259" i="13" s="1"/>
  <c r="E259" i="1" l="1"/>
  <c r="D259" i="1" s="1"/>
  <c r="B260" i="13" s="1"/>
  <c r="D258" i="31"/>
  <c r="K259" i="13"/>
  <c r="G257" i="11"/>
  <c r="H257" i="11" s="1"/>
  <c r="J259" i="13" s="1"/>
  <c r="D257" i="11"/>
  <c r="L259" i="1" l="1"/>
  <c r="AD259" i="1" s="1"/>
  <c r="A258" i="11"/>
  <c r="L260" i="13" s="1"/>
  <c r="I260" i="1"/>
  <c r="C260" i="13"/>
  <c r="C259" i="1"/>
  <c r="D260" i="13" s="1"/>
  <c r="X259" i="1"/>
  <c r="H260" i="1"/>
  <c r="AA259" i="1" s="1"/>
  <c r="H258" i="31"/>
  <c r="Q259" i="13" s="1"/>
  <c r="O259" i="13"/>
  <c r="F258" i="31"/>
  <c r="P259" i="13" s="1"/>
  <c r="H259" i="13"/>
  <c r="E257" i="11"/>
  <c r="I259" i="13" s="1"/>
  <c r="R259" i="1" l="1"/>
  <c r="Q259" i="1" s="1"/>
  <c r="P259" i="1" s="1"/>
  <c r="O259" i="1" s="1"/>
  <c r="N259" i="1" s="1"/>
  <c r="F260" i="13" s="1"/>
  <c r="F259" i="11"/>
  <c r="E260" i="13"/>
  <c r="Y259" i="1"/>
  <c r="M259" i="1" l="1"/>
  <c r="AB259" i="1" s="1"/>
  <c r="AC259" i="1" s="1"/>
  <c r="M260" i="13" s="1"/>
  <c r="AG259" i="1"/>
  <c r="G260" i="13" l="1"/>
  <c r="E259" i="31"/>
  <c r="F260" i="1"/>
  <c r="G260" i="1"/>
  <c r="C258" i="11"/>
  <c r="C259" i="31"/>
  <c r="B259" i="31"/>
  <c r="AF259" i="1"/>
  <c r="N260" i="13" s="1"/>
  <c r="E260" i="1" l="1"/>
  <c r="D260" i="1" s="1"/>
  <c r="A259" i="11" s="1"/>
  <c r="K260" i="13"/>
  <c r="G258" i="11"/>
  <c r="H258" i="11" s="1"/>
  <c r="J260" i="13" s="1"/>
  <c r="D258" i="11"/>
  <c r="D259" i="31"/>
  <c r="O260" i="13" s="1"/>
  <c r="X260" i="1" l="1"/>
  <c r="B261" i="13"/>
  <c r="C261" i="13"/>
  <c r="L260" i="1"/>
  <c r="Y260" i="1" s="1"/>
  <c r="H261" i="1"/>
  <c r="C260" i="1"/>
  <c r="D261" i="13" s="1"/>
  <c r="I261" i="1"/>
  <c r="L261" i="13"/>
  <c r="E258" i="11"/>
  <c r="I260" i="13" s="1"/>
  <c r="H260" i="13"/>
  <c r="F259" i="31"/>
  <c r="P260" i="13" s="1"/>
  <c r="H259" i="31"/>
  <c r="Q260" i="13" s="1"/>
  <c r="AA260" i="1" l="1"/>
  <c r="R260" i="1"/>
  <c r="Q260" i="1" s="1"/>
  <c r="P260" i="1" s="1"/>
  <c r="O260" i="1" s="1"/>
  <c r="N260" i="1" s="1"/>
  <c r="F261" i="13" s="1"/>
  <c r="F260" i="11"/>
  <c r="AD260" i="1"/>
  <c r="E261" i="13"/>
  <c r="M260" i="1" l="1"/>
  <c r="G261" i="13" s="1"/>
  <c r="AG260" i="1"/>
  <c r="AB260" i="1" l="1"/>
  <c r="AC260" i="1" s="1"/>
  <c r="M261" i="13" s="1"/>
  <c r="E260" i="31"/>
  <c r="G261" i="1"/>
  <c r="F261" i="1"/>
  <c r="C259" i="11"/>
  <c r="AF260" i="1" l="1"/>
  <c r="N261" i="13" s="1"/>
  <c r="C260" i="31"/>
  <c r="B260" i="31"/>
  <c r="E261" i="1"/>
  <c r="D261" i="1" s="1"/>
  <c r="X261" i="1" s="1"/>
  <c r="K261" i="13"/>
  <c r="G259" i="11"/>
  <c r="H259" i="11" s="1"/>
  <c r="J261" i="13" s="1"/>
  <c r="D259" i="11"/>
  <c r="D260" i="31" l="1"/>
  <c r="F260" i="31" s="1"/>
  <c r="P261" i="13" s="1"/>
  <c r="L261" i="1"/>
  <c r="AD261" i="1" s="1"/>
  <c r="A260" i="11"/>
  <c r="L262" i="13" s="1"/>
  <c r="H262" i="1"/>
  <c r="R261" i="1" s="1"/>
  <c r="B262" i="13"/>
  <c r="C262" i="13"/>
  <c r="C261" i="1"/>
  <c r="D262" i="13" s="1"/>
  <c r="I262" i="1"/>
  <c r="O261" i="13"/>
  <c r="E259" i="11"/>
  <c r="I261" i="13" s="1"/>
  <c r="H261" i="13"/>
  <c r="H260" i="31" l="1"/>
  <c r="Q261" i="13" s="1"/>
  <c r="AA261" i="1"/>
  <c r="E262" i="13"/>
  <c r="Q261" i="1"/>
  <c r="P261" i="1" s="1"/>
  <c r="O261" i="1" s="1"/>
  <c r="N261" i="1" s="1"/>
  <c r="M261" i="1" s="1"/>
  <c r="F261" i="11"/>
  <c r="Y261" i="1"/>
  <c r="F262" i="13" l="1"/>
  <c r="AB261" i="1"/>
  <c r="AC261" i="1" s="1"/>
  <c r="M262" i="13" s="1"/>
  <c r="E261" i="31"/>
  <c r="G262" i="13"/>
  <c r="AG261" i="1"/>
  <c r="G262" i="1" l="1"/>
  <c r="F262" i="1"/>
  <c r="C260" i="11"/>
  <c r="C261" i="31"/>
  <c r="B261" i="31"/>
  <c r="AF261" i="1"/>
  <c r="N262" i="13" s="1"/>
  <c r="E262" i="1" l="1"/>
  <c r="D262" i="1" s="1"/>
  <c r="C262" i="1" s="1"/>
  <c r="D263" i="13" s="1"/>
  <c r="D261" i="31"/>
  <c r="H261" i="31" s="1"/>
  <c r="Q262" i="13" s="1"/>
  <c r="G260" i="11"/>
  <c r="H260" i="11" s="1"/>
  <c r="J262" i="13" s="1"/>
  <c r="K262" i="13"/>
  <c r="D260" i="11"/>
  <c r="I263" i="1" l="1"/>
  <c r="A261" i="11"/>
  <c r="L263" i="13" s="1"/>
  <c r="L262" i="1"/>
  <c r="AD262" i="1" s="1"/>
  <c r="X262" i="1"/>
  <c r="B263" i="13"/>
  <c r="C263" i="13"/>
  <c r="H263" i="1"/>
  <c r="AA262" i="1" s="1"/>
  <c r="F261" i="31"/>
  <c r="P262" i="13" s="1"/>
  <c r="O262" i="13"/>
  <c r="E260" i="11"/>
  <c r="I262" i="13" s="1"/>
  <c r="H262" i="13"/>
  <c r="F262" i="11" l="1"/>
  <c r="Y262" i="1"/>
  <c r="E263" i="13"/>
  <c r="R262" i="1"/>
  <c r="Q262" i="1" s="1"/>
  <c r="P262" i="1" s="1"/>
  <c r="O262" i="1" s="1"/>
  <c r="N262" i="1" s="1"/>
  <c r="F263" i="13" s="1"/>
  <c r="M262" i="1" l="1"/>
  <c r="AB262" i="1" s="1"/>
  <c r="AC262" i="1" s="1"/>
  <c r="M263" i="13" s="1"/>
  <c r="E262" i="31" l="1"/>
  <c r="G263" i="13"/>
  <c r="F263" i="1"/>
  <c r="G263" i="1"/>
  <c r="AG262" i="1"/>
  <c r="C261" i="11" s="1"/>
  <c r="C262" i="31"/>
  <c r="B262" i="31"/>
  <c r="AF262" i="1"/>
  <c r="N263" i="13" s="1"/>
  <c r="E263" i="1" l="1"/>
  <c r="D263" i="1" s="1"/>
  <c r="C263" i="1" s="1"/>
  <c r="D264" i="13" s="1"/>
  <c r="K263" i="13"/>
  <c r="G261" i="11"/>
  <c r="H261" i="11" s="1"/>
  <c r="J263" i="13" s="1"/>
  <c r="D261" i="11"/>
  <c r="D262" i="31"/>
  <c r="O263" i="13" s="1"/>
  <c r="X263" i="1" l="1"/>
  <c r="H264" i="1"/>
  <c r="C264" i="13"/>
  <c r="I264" i="1"/>
  <c r="B264" i="13"/>
  <c r="L263" i="1"/>
  <c r="E264" i="13" s="1"/>
  <c r="A262" i="11"/>
  <c r="L264" i="13" s="1"/>
  <c r="H262" i="31"/>
  <c r="Q263" i="13" s="1"/>
  <c r="F262" i="31"/>
  <c r="P263" i="13" s="1"/>
  <c r="H263" i="13"/>
  <c r="E261" i="11"/>
  <c r="I263" i="13" s="1"/>
  <c r="AA263" i="1" l="1"/>
  <c r="Y263" i="1"/>
  <c r="R263" i="1"/>
  <c r="Q263" i="1" s="1"/>
  <c r="P263" i="1" s="1"/>
  <c r="O263" i="1" s="1"/>
  <c r="N263" i="1" s="1"/>
  <c r="F264" i="13" s="1"/>
  <c r="AD263" i="1"/>
  <c r="F263" i="11"/>
  <c r="M263" i="1" l="1"/>
  <c r="G264" i="13" s="1"/>
  <c r="AB263" i="1" l="1"/>
  <c r="AC263" i="1" s="1"/>
  <c r="E263" i="31"/>
  <c r="AG263" i="1"/>
  <c r="F264" i="1" l="1"/>
  <c r="C263" i="31"/>
  <c r="M264" i="13"/>
  <c r="G264" i="1"/>
  <c r="AF263" i="1"/>
  <c r="N264" i="13" s="1"/>
  <c r="B263" i="31"/>
  <c r="C262" i="11"/>
  <c r="E264" i="1" l="1"/>
  <c r="D264" i="1" s="1"/>
  <c r="C264" i="1" s="1"/>
  <c r="D265" i="13" s="1"/>
  <c r="D263" i="31"/>
  <c r="O264" i="13" s="1"/>
  <c r="K264" i="13"/>
  <c r="G262" i="11"/>
  <c r="H262" i="11" s="1"/>
  <c r="J264" i="13" s="1"/>
  <c r="D262" i="11"/>
  <c r="I265" i="1" l="1"/>
  <c r="H265" i="1"/>
  <c r="A263" i="11"/>
  <c r="L265" i="13" s="1"/>
  <c r="L264" i="1"/>
  <c r="E265" i="13" s="1"/>
  <c r="C265" i="13"/>
  <c r="B265" i="13"/>
  <c r="X264" i="1"/>
  <c r="H263" i="31"/>
  <c r="Q264" i="13" s="1"/>
  <c r="F263" i="31"/>
  <c r="P264" i="13" s="1"/>
  <c r="H264" i="13"/>
  <c r="E262" i="11"/>
  <c r="I264" i="13" s="1"/>
  <c r="AA264" i="1" l="1"/>
  <c r="R264" i="1"/>
  <c r="Q264" i="1" s="1"/>
  <c r="P264" i="1" s="1"/>
  <c r="O264" i="1" s="1"/>
  <c r="N264" i="1" s="1"/>
  <c r="F265" i="13" s="1"/>
  <c r="F264" i="11"/>
  <c r="AD264" i="1"/>
  <c r="Y264" i="1"/>
  <c r="M264" i="1" l="1"/>
  <c r="E264" i="31" s="1"/>
  <c r="G265" i="13" l="1"/>
  <c r="AB264" i="1"/>
  <c r="AC264" i="1" s="1"/>
  <c r="M265" i="13" s="1"/>
  <c r="G265" i="1"/>
  <c r="F265" i="1"/>
  <c r="AG264" i="1"/>
  <c r="AF264" i="1" l="1"/>
  <c r="N265" i="13" s="1"/>
  <c r="C264" i="31"/>
  <c r="B264" i="31"/>
  <c r="C263" i="11"/>
  <c r="E265" i="1"/>
  <c r="D265" i="1" s="1"/>
  <c r="D264" i="31" l="1"/>
  <c r="O265" i="13" s="1"/>
  <c r="B266" i="13"/>
  <c r="X265" i="1"/>
  <c r="C265" i="1"/>
  <c r="D266" i="13" s="1"/>
  <c r="C266" i="13"/>
  <c r="A264" i="11"/>
  <c r="L265" i="1"/>
  <c r="I266" i="1"/>
  <c r="H266" i="1"/>
  <c r="K265" i="13"/>
  <c r="G263" i="11"/>
  <c r="H263" i="11" s="1"/>
  <c r="J265" i="13" s="1"/>
  <c r="D263" i="11"/>
  <c r="H264" i="31" l="1"/>
  <c r="Q265" i="13" s="1"/>
  <c r="F264" i="31"/>
  <c r="P265" i="13" s="1"/>
  <c r="AA265" i="1"/>
  <c r="R265" i="1"/>
  <c r="Q265" i="1" s="1"/>
  <c r="P265" i="1" s="1"/>
  <c r="O265" i="1" s="1"/>
  <c r="N265" i="1" s="1"/>
  <c r="H265" i="13"/>
  <c r="E263" i="11"/>
  <c r="I265" i="13" s="1"/>
  <c r="Y265" i="1"/>
  <c r="E266" i="13"/>
  <c r="F265" i="11"/>
  <c r="AD265" i="1"/>
  <c r="L266" i="13"/>
  <c r="M265" i="1" l="1"/>
  <c r="F266" i="13"/>
  <c r="AB265" i="1" l="1"/>
  <c r="AC265" i="1" s="1"/>
  <c r="M266" i="13" s="1"/>
  <c r="E265" i="31"/>
  <c r="G266" i="13"/>
  <c r="F266" i="1"/>
  <c r="G266" i="1" l="1"/>
  <c r="AG265" i="1"/>
  <c r="C265" i="31"/>
  <c r="B265" i="31"/>
  <c r="AF265" i="1"/>
  <c r="N266" i="13" s="1"/>
  <c r="C264" i="11" l="1"/>
  <c r="E266" i="1"/>
  <c r="D266" i="1" s="1"/>
  <c r="D265" i="31"/>
  <c r="O266" i="13" s="1"/>
  <c r="F265" i="31" l="1"/>
  <c r="P266" i="13" s="1"/>
  <c r="H265" i="31"/>
  <c r="Q266" i="13" s="1"/>
  <c r="K266" i="13"/>
  <c r="G264" i="11"/>
  <c r="H264" i="11" s="1"/>
  <c r="J266" i="13" s="1"/>
  <c r="D264" i="11"/>
  <c r="X266" i="1"/>
  <c r="C266" i="1"/>
  <c r="D267" i="13" s="1"/>
  <c r="C267" i="13"/>
  <c r="A265" i="11"/>
  <c r="B267" i="13"/>
  <c r="L266" i="1"/>
  <c r="H267" i="1"/>
  <c r="I267" i="1"/>
  <c r="AA266" i="1" l="1"/>
  <c r="Y266" i="1"/>
  <c r="E267" i="13"/>
  <c r="F266" i="11"/>
  <c r="AD266" i="1"/>
  <c r="R266" i="1"/>
  <c r="Q266" i="1" s="1"/>
  <c r="P266" i="1" s="1"/>
  <c r="O266" i="1" s="1"/>
  <c r="N266" i="1" s="1"/>
  <c r="L267" i="13"/>
  <c r="H266" i="13"/>
  <c r="E264" i="11"/>
  <c r="I266" i="13" s="1"/>
  <c r="F267" i="13" l="1"/>
  <c r="M266" i="1"/>
  <c r="AB266" i="1" l="1"/>
  <c r="AC266" i="1" s="1"/>
  <c r="M267" i="13" s="1"/>
  <c r="G267" i="13"/>
  <c r="E266" i="31"/>
  <c r="F267" i="1" l="1"/>
  <c r="G267" i="1"/>
  <c r="C266" i="31"/>
  <c r="B266" i="31"/>
  <c r="AF266" i="1"/>
  <c r="N267" i="13" s="1"/>
  <c r="AG266" i="1"/>
  <c r="D266" i="31" l="1"/>
  <c r="E267" i="1"/>
  <c r="D267" i="1" s="1"/>
  <c r="C265" i="11"/>
  <c r="H266" i="31" l="1"/>
  <c r="Q267" i="13" s="1"/>
  <c r="O267" i="13"/>
  <c r="F266" i="31"/>
  <c r="P267" i="13" s="1"/>
  <c r="K267" i="13"/>
  <c r="G265" i="11"/>
  <c r="H265" i="11" s="1"/>
  <c r="J267" i="13" s="1"/>
  <c r="D265" i="11"/>
  <c r="C267" i="1"/>
  <c r="D268" i="13" s="1"/>
  <c r="C268" i="13"/>
  <c r="B268" i="13"/>
  <c r="A266" i="11"/>
  <c r="X267" i="1"/>
  <c r="L267" i="1"/>
  <c r="I268" i="1"/>
  <c r="H268" i="1"/>
  <c r="AA267" i="1" l="1"/>
  <c r="R267" i="1"/>
  <c r="Q267" i="1" s="1"/>
  <c r="P267" i="1" s="1"/>
  <c r="O267" i="1" s="1"/>
  <c r="N267" i="1" s="1"/>
  <c r="E268" i="13"/>
  <c r="Y267" i="1"/>
  <c r="AD267" i="1"/>
  <c r="F267" i="11"/>
  <c r="L268" i="13"/>
  <c r="H267" i="13"/>
  <c r="E265" i="11"/>
  <c r="I267" i="13" s="1"/>
  <c r="F268" i="13" l="1"/>
  <c r="M267" i="1"/>
  <c r="AB267" i="1" l="1"/>
  <c r="AC267" i="1" s="1"/>
  <c r="M268" i="13" s="1"/>
  <c r="G268" i="13"/>
  <c r="E267" i="31"/>
  <c r="AG267" i="1"/>
  <c r="F268" i="1" l="1"/>
  <c r="G268" i="1"/>
  <c r="C266" i="11"/>
  <c r="C267" i="31"/>
  <c r="B267" i="31"/>
  <c r="AF267" i="1"/>
  <c r="N268" i="13" s="1"/>
  <c r="E268" i="1" l="1"/>
  <c r="D268" i="1" s="1"/>
  <c r="A267" i="11" s="1"/>
  <c r="D267" i="31"/>
  <c r="K268" i="13"/>
  <c r="G266" i="11"/>
  <c r="H266" i="11" s="1"/>
  <c r="J268" i="13" s="1"/>
  <c r="D266" i="11"/>
  <c r="B269" i="13" l="1"/>
  <c r="H269" i="1"/>
  <c r="AA268" i="1" s="1"/>
  <c r="X268" i="1"/>
  <c r="I269" i="1"/>
  <c r="L268" i="1"/>
  <c r="F268" i="11" s="1"/>
  <c r="C268" i="1"/>
  <c r="D269" i="13" s="1"/>
  <c r="C269" i="13"/>
  <c r="F267" i="31"/>
  <c r="P268" i="13" s="1"/>
  <c r="O268" i="13"/>
  <c r="H267" i="31"/>
  <c r="Q268" i="13" s="1"/>
  <c r="L269" i="13"/>
  <c r="H268" i="13"/>
  <c r="E266" i="11"/>
  <c r="I268" i="13" s="1"/>
  <c r="R268" i="1" l="1"/>
  <c r="Q268" i="1" s="1"/>
  <c r="P268" i="1" s="1"/>
  <c r="O268" i="1" s="1"/>
  <c r="N268" i="1" s="1"/>
  <c r="F269" i="13" s="1"/>
  <c r="AD268" i="1"/>
  <c r="Y268" i="1"/>
  <c r="E269" i="13"/>
  <c r="M268" i="1" l="1"/>
  <c r="AB268" i="1" s="1"/>
  <c r="AC268" i="1" s="1"/>
  <c r="M269" i="13" s="1"/>
  <c r="AG268" i="1"/>
  <c r="G269" i="13" l="1"/>
  <c r="E268" i="31"/>
  <c r="F269" i="1"/>
  <c r="G269" i="1"/>
  <c r="C267" i="11"/>
  <c r="C268" i="31"/>
  <c r="B268" i="31"/>
  <c r="AF268" i="1"/>
  <c r="N269" i="13" s="1"/>
  <c r="E269" i="1" l="1"/>
  <c r="D269" i="1" s="1"/>
  <c r="B270" i="13" s="1"/>
  <c r="D268" i="31"/>
  <c r="G267" i="11"/>
  <c r="H267" i="11" s="1"/>
  <c r="J269" i="13" s="1"/>
  <c r="K269" i="13"/>
  <c r="D267" i="11"/>
  <c r="L269" i="1" l="1"/>
  <c r="F269" i="11" s="1"/>
  <c r="X269" i="1"/>
  <c r="I270" i="1"/>
  <c r="C269" i="1"/>
  <c r="D270" i="13" s="1"/>
  <c r="H270" i="1"/>
  <c r="C270" i="13"/>
  <c r="A268" i="11"/>
  <c r="L270" i="13" s="1"/>
  <c r="H268" i="31"/>
  <c r="Q269" i="13" s="1"/>
  <c r="O269" i="13"/>
  <c r="F268" i="31"/>
  <c r="P269" i="13" s="1"/>
  <c r="H269" i="13"/>
  <c r="E267" i="11"/>
  <c r="I269" i="13" s="1"/>
  <c r="R269" i="1" l="1"/>
  <c r="Q269" i="1" s="1"/>
  <c r="P269" i="1" s="1"/>
  <c r="O269" i="1" s="1"/>
  <c r="N269" i="1" s="1"/>
  <c r="F270" i="13" s="1"/>
  <c r="AA269" i="1"/>
  <c r="Y269" i="1"/>
  <c r="E270" i="13"/>
  <c r="AD269" i="1"/>
  <c r="M269" i="1" l="1"/>
  <c r="AB269" i="1" s="1"/>
  <c r="AC269" i="1" s="1"/>
  <c r="M270" i="13" s="1"/>
  <c r="AG269" i="1"/>
  <c r="E269" i="31" l="1"/>
  <c r="G270" i="13"/>
  <c r="G270" i="1"/>
  <c r="F270" i="1"/>
  <c r="C268" i="11"/>
  <c r="C269" i="31"/>
  <c r="B269" i="31"/>
  <c r="AF269" i="1"/>
  <c r="N270" i="13" s="1"/>
  <c r="E270" i="1" l="1"/>
  <c r="D270" i="1" s="1"/>
  <c r="X270" i="1" s="1"/>
  <c r="D269" i="31"/>
  <c r="G268" i="11"/>
  <c r="H268" i="11" s="1"/>
  <c r="J270" i="13" s="1"/>
  <c r="K270" i="13"/>
  <c r="D268" i="11"/>
  <c r="L270" i="1" l="1"/>
  <c r="Y270" i="1" s="1"/>
  <c r="C270" i="1"/>
  <c r="D271" i="13" s="1"/>
  <c r="H271" i="1"/>
  <c r="AA270" i="1" s="1"/>
  <c r="A269" i="11"/>
  <c r="L271" i="13" s="1"/>
  <c r="I271" i="1"/>
  <c r="C271" i="13"/>
  <c r="B271" i="13"/>
  <c r="F269" i="31"/>
  <c r="P270" i="13" s="1"/>
  <c r="O270" i="13"/>
  <c r="H269" i="31"/>
  <c r="Q270" i="13" s="1"/>
  <c r="E268" i="11"/>
  <c r="I270" i="13" s="1"/>
  <c r="H270" i="13"/>
  <c r="R270" i="1" l="1"/>
  <c r="Q270" i="1" s="1"/>
  <c r="P270" i="1" s="1"/>
  <c r="O270" i="1" s="1"/>
  <c r="N270" i="1" s="1"/>
  <c r="F271" i="13" s="1"/>
  <c r="AD270" i="1"/>
  <c r="F270" i="11"/>
  <c r="E271" i="13"/>
  <c r="M270" i="1" l="1"/>
  <c r="G271" i="13" s="1"/>
  <c r="AG270" i="1"/>
  <c r="AB270" i="1" l="1"/>
  <c r="AC270" i="1" s="1"/>
  <c r="M271" i="13" s="1"/>
  <c r="E270" i="31"/>
  <c r="G271" i="1"/>
  <c r="F271" i="1"/>
  <c r="C269" i="11"/>
  <c r="AF270" i="1" l="1"/>
  <c r="N271" i="13" s="1"/>
  <c r="C270" i="31"/>
  <c r="B270" i="31"/>
  <c r="E271" i="1"/>
  <c r="D271" i="1" s="1"/>
  <c r="X271" i="1" s="1"/>
  <c r="G269" i="11"/>
  <c r="H269" i="11" s="1"/>
  <c r="J271" i="13" s="1"/>
  <c r="K271" i="13"/>
  <c r="D269" i="11"/>
  <c r="D270" i="31" l="1"/>
  <c r="O271" i="13" s="1"/>
  <c r="I272" i="1"/>
  <c r="L271" i="1"/>
  <c r="Y271" i="1" s="1"/>
  <c r="C272" i="13"/>
  <c r="B272" i="13"/>
  <c r="H272" i="1"/>
  <c r="R271" i="1" s="1"/>
  <c r="C271" i="1"/>
  <c r="D272" i="13" s="1"/>
  <c r="A270" i="11"/>
  <c r="L272" i="13" s="1"/>
  <c r="F270" i="31"/>
  <c r="P271" i="13" s="1"/>
  <c r="H271" i="13"/>
  <c r="E269" i="11"/>
  <c r="I271" i="13" s="1"/>
  <c r="H270" i="31" l="1"/>
  <c r="Q271" i="13" s="1"/>
  <c r="AA271" i="1"/>
  <c r="E272" i="13"/>
  <c r="AD271" i="1"/>
  <c r="F271" i="11"/>
  <c r="Q271" i="1"/>
  <c r="P271" i="1" s="1"/>
  <c r="O271" i="1" s="1"/>
  <c r="N271" i="1" s="1"/>
  <c r="M271" i="1" s="1"/>
  <c r="F272" i="13" l="1"/>
  <c r="AB271" i="1"/>
  <c r="AC271" i="1" s="1"/>
  <c r="M272" i="13" s="1"/>
  <c r="E271" i="31"/>
  <c r="G272" i="13"/>
  <c r="AG271" i="1"/>
  <c r="G272" i="1" l="1"/>
  <c r="F272" i="1"/>
  <c r="C270" i="11"/>
  <c r="B271" i="31"/>
  <c r="C271" i="31"/>
  <c r="AF271" i="1"/>
  <c r="N272" i="13" s="1"/>
  <c r="E272" i="1" l="1"/>
  <c r="D272" i="1" s="1"/>
  <c r="X272" i="1" s="1"/>
  <c r="K272" i="13"/>
  <c r="G270" i="11"/>
  <c r="H270" i="11" s="1"/>
  <c r="J272" i="13" s="1"/>
  <c r="D270" i="11"/>
  <c r="D271" i="31"/>
  <c r="O272" i="13" s="1"/>
  <c r="H273" i="1" l="1"/>
  <c r="B273" i="13"/>
  <c r="I273" i="1"/>
  <c r="A271" i="11"/>
  <c r="L273" i="13" s="1"/>
  <c r="L272" i="1"/>
  <c r="E273" i="13" s="1"/>
  <c r="C272" i="1"/>
  <c r="D273" i="13" s="1"/>
  <c r="C273" i="13"/>
  <c r="F271" i="31"/>
  <c r="P272" i="13" s="1"/>
  <c r="H271" i="31"/>
  <c r="Q272" i="13" s="1"/>
  <c r="H272" i="13"/>
  <c r="E270" i="11"/>
  <c r="I272" i="13" s="1"/>
  <c r="R272" i="1" l="1"/>
  <c r="Q272" i="1" s="1"/>
  <c r="P272" i="1" s="1"/>
  <c r="O272" i="1" s="1"/>
  <c r="N272" i="1" s="1"/>
  <c r="F273" i="13" s="1"/>
  <c r="AA272" i="1"/>
  <c r="F272" i="11"/>
  <c r="AD272" i="1"/>
  <c r="Y272" i="1"/>
  <c r="M272" i="1" l="1"/>
  <c r="G273" i="13" s="1"/>
  <c r="AG272" i="1"/>
  <c r="E272" i="31" l="1"/>
  <c r="AB272" i="1"/>
  <c r="AC272" i="1" s="1"/>
  <c r="M273" i="13" s="1"/>
  <c r="G273" i="1"/>
  <c r="F273" i="1"/>
  <c r="C271" i="11"/>
  <c r="C272" i="31" l="1"/>
  <c r="AF272" i="1"/>
  <c r="N273" i="13" s="1"/>
  <c r="B272" i="31"/>
  <c r="E273" i="1"/>
  <c r="D273" i="1" s="1"/>
  <c r="A272" i="11" s="1"/>
  <c r="G271" i="11"/>
  <c r="H271" i="11" s="1"/>
  <c r="J273" i="13" s="1"/>
  <c r="K273" i="13"/>
  <c r="D271" i="11"/>
  <c r="D272" i="31" l="1"/>
  <c r="F272" i="31" s="1"/>
  <c r="P273" i="13" s="1"/>
  <c r="I274" i="1"/>
  <c r="C274" i="13"/>
  <c r="H274" i="1"/>
  <c r="AA273" i="1" s="1"/>
  <c r="B274" i="13"/>
  <c r="X273" i="1"/>
  <c r="C273" i="1"/>
  <c r="D274" i="13" s="1"/>
  <c r="L273" i="1"/>
  <c r="Y273" i="1" s="1"/>
  <c r="O273" i="13"/>
  <c r="E271" i="11"/>
  <c r="I273" i="13" s="1"/>
  <c r="H273" i="13"/>
  <c r="L274" i="13"/>
  <c r="H272" i="31" l="1"/>
  <c r="Q273" i="13" s="1"/>
  <c r="R273" i="1"/>
  <c r="Q273" i="1" s="1"/>
  <c r="P273" i="1" s="1"/>
  <c r="O273" i="1" s="1"/>
  <c r="N273" i="1" s="1"/>
  <c r="F274" i="13" s="1"/>
  <c r="E274" i="13"/>
  <c r="F273" i="11"/>
  <c r="AD273" i="1"/>
  <c r="M273" i="1" l="1"/>
  <c r="E273" i="31" s="1"/>
  <c r="AG273" i="1"/>
  <c r="G274" i="13" l="1"/>
  <c r="AB273" i="1"/>
  <c r="AC273" i="1" s="1"/>
  <c r="M274" i="13" s="1"/>
  <c r="F274" i="1"/>
  <c r="G274" i="1"/>
  <c r="C272" i="11"/>
  <c r="B273" i="31" l="1"/>
  <c r="AF273" i="1"/>
  <c r="N274" i="13" s="1"/>
  <c r="C273" i="31"/>
  <c r="E274" i="1"/>
  <c r="D274" i="1" s="1"/>
  <c r="C275" i="13" s="1"/>
  <c r="G272" i="11"/>
  <c r="H272" i="11" s="1"/>
  <c r="J274" i="13" s="1"/>
  <c r="K274" i="13"/>
  <c r="D272" i="11"/>
  <c r="D273" i="31" l="1"/>
  <c r="O274" i="13" s="1"/>
  <c r="L274" i="1"/>
  <c r="Y274" i="1" s="1"/>
  <c r="B275" i="13"/>
  <c r="I275" i="1"/>
  <c r="X274" i="1"/>
  <c r="H275" i="1"/>
  <c r="A273" i="11"/>
  <c r="L275" i="13" s="1"/>
  <c r="C274" i="1"/>
  <c r="D275" i="13" s="1"/>
  <c r="E272" i="11"/>
  <c r="I274" i="13" s="1"/>
  <c r="H274" i="13"/>
  <c r="F273" i="31" l="1"/>
  <c r="P274" i="13" s="1"/>
  <c r="H273" i="31"/>
  <c r="Q274" i="13" s="1"/>
  <c r="R274" i="1"/>
  <c r="Q274" i="1" s="1"/>
  <c r="P274" i="1" s="1"/>
  <c r="O274" i="1" s="1"/>
  <c r="N274" i="1" s="1"/>
  <c r="F275" i="13" s="1"/>
  <c r="AD274" i="1"/>
  <c r="AA274" i="1"/>
  <c r="F274" i="11"/>
  <c r="E275" i="13"/>
  <c r="M274" i="1" l="1"/>
  <c r="E274" i="31" s="1"/>
  <c r="AG274" i="1"/>
  <c r="G275" i="13" l="1"/>
  <c r="AB274" i="1"/>
  <c r="AC274" i="1" s="1"/>
  <c r="M275" i="13" s="1"/>
  <c r="G275" i="1"/>
  <c r="F275" i="1"/>
  <c r="C273" i="11"/>
  <c r="AF274" i="1" l="1"/>
  <c r="N275" i="13" s="1"/>
  <c r="B274" i="31"/>
  <c r="C274" i="31"/>
  <c r="E275" i="1"/>
  <c r="D275" i="1" s="1"/>
  <c r="C275" i="1" s="1"/>
  <c r="D276" i="13" s="1"/>
  <c r="G273" i="11"/>
  <c r="H273" i="11" s="1"/>
  <c r="J275" i="13" s="1"/>
  <c r="K275" i="13"/>
  <c r="D273" i="11"/>
  <c r="D274" i="31" l="1"/>
  <c r="O275" i="13" s="1"/>
  <c r="L275" i="1"/>
  <c r="AD275" i="1" s="1"/>
  <c r="H276" i="1"/>
  <c r="C276" i="13"/>
  <c r="I276" i="1"/>
  <c r="B276" i="13"/>
  <c r="X275" i="1"/>
  <c r="A274" i="11"/>
  <c r="L276" i="13" s="1"/>
  <c r="E273" i="11"/>
  <c r="I275" i="13" s="1"/>
  <c r="H275" i="13"/>
  <c r="F274" i="31" l="1"/>
  <c r="P275" i="13" s="1"/>
  <c r="H274" i="31"/>
  <c r="Q275" i="13" s="1"/>
  <c r="R275" i="1"/>
  <c r="Q275" i="1" s="1"/>
  <c r="P275" i="1" s="1"/>
  <c r="O275" i="1" s="1"/>
  <c r="N275" i="1" s="1"/>
  <c r="M275" i="1" s="1"/>
  <c r="Y275" i="1"/>
  <c r="F275" i="11"/>
  <c r="E276" i="13"/>
  <c r="AA275" i="1"/>
  <c r="F276" i="13" l="1"/>
  <c r="AB275" i="1"/>
  <c r="AC275" i="1" s="1"/>
  <c r="M276" i="13" s="1"/>
  <c r="G276" i="13"/>
  <c r="E275" i="31"/>
  <c r="AG275" i="1"/>
  <c r="G276" i="1" l="1"/>
  <c r="F276" i="1"/>
  <c r="C274" i="11"/>
  <c r="B275" i="31"/>
  <c r="C275" i="31"/>
  <c r="AF275" i="1"/>
  <c r="N276" i="13" s="1"/>
  <c r="E276" i="1" l="1"/>
  <c r="D276" i="1" s="1"/>
  <c r="A275" i="11" s="1"/>
  <c r="G274" i="11"/>
  <c r="H274" i="11" s="1"/>
  <c r="J276" i="13" s="1"/>
  <c r="K276" i="13"/>
  <c r="D274" i="11"/>
  <c r="D275" i="31"/>
  <c r="O276" i="13" s="1"/>
  <c r="I277" i="1" l="1"/>
  <c r="C277" i="13"/>
  <c r="C276" i="1"/>
  <c r="D277" i="13" s="1"/>
  <c r="L276" i="1"/>
  <c r="F276" i="11" s="1"/>
  <c r="X276" i="1"/>
  <c r="B277" i="13"/>
  <c r="H277" i="1"/>
  <c r="E274" i="11"/>
  <c r="I276" i="13" s="1"/>
  <c r="H276" i="13"/>
  <c r="H275" i="31"/>
  <c r="Q276" i="13" s="1"/>
  <c r="F275" i="31"/>
  <c r="P276" i="13" s="1"/>
  <c r="L277" i="13"/>
  <c r="E277" i="13" l="1"/>
  <c r="R276" i="1"/>
  <c r="Q276" i="1" s="1"/>
  <c r="P276" i="1" s="1"/>
  <c r="O276" i="1" s="1"/>
  <c r="N276" i="1" s="1"/>
  <c r="M276" i="1" s="1"/>
  <c r="AA276" i="1"/>
  <c r="AD276" i="1"/>
  <c r="Y276" i="1"/>
  <c r="F277" i="13" l="1"/>
  <c r="AB276" i="1"/>
  <c r="AC276" i="1" s="1"/>
  <c r="M277" i="13" s="1"/>
  <c r="E276" i="31"/>
  <c r="G277" i="13"/>
  <c r="F277" i="1" l="1"/>
  <c r="G277" i="1"/>
  <c r="B276" i="31"/>
  <c r="C276" i="31"/>
  <c r="AF276" i="1"/>
  <c r="N277" i="13" s="1"/>
  <c r="AG276" i="1"/>
  <c r="D276" i="31" l="1"/>
  <c r="C275" i="11"/>
  <c r="E277" i="1"/>
  <c r="D277" i="1" s="1"/>
  <c r="F276" i="31" l="1"/>
  <c r="P277" i="13" s="1"/>
  <c r="O277" i="13"/>
  <c r="H276" i="31"/>
  <c r="Q277" i="13" s="1"/>
  <c r="A276" i="11"/>
  <c r="C278" i="13"/>
  <c r="X277" i="1"/>
  <c r="C277" i="1"/>
  <c r="D278" i="13" s="1"/>
  <c r="B278" i="13"/>
  <c r="I278" i="1"/>
  <c r="L277" i="1"/>
  <c r="H278" i="1"/>
  <c r="G275" i="11"/>
  <c r="H275" i="11" s="1"/>
  <c r="J277" i="13" s="1"/>
  <c r="K277" i="13"/>
  <c r="D275" i="11"/>
  <c r="AA277" i="1" l="1"/>
  <c r="R277" i="1"/>
  <c r="Q277" i="1" s="1"/>
  <c r="P277" i="1" s="1"/>
  <c r="O277" i="1" s="1"/>
  <c r="N277" i="1" s="1"/>
  <c r="L278" i="13"/>
  <c r="H277" i="13"/>
  <c r="E275" i="11"/>
  <c r="I277" i="13" s="1"/>
  <c r="E278" i="13"/>
  <c r="Y277" i="1"/>
  <c r="F277" i="11"/>
  <c r="AD277" i="1"/>
  <c r="M277" i="1" l="1"/>
  <c r="F278" i="13"/>
  <c r="AB277" i="1" l="1"/>
  <c r="AC277" i="1" s="1"/>
  <c r="M278" i="13" s="1"/>
  <c r="E277" i="31"/>
  <c r="G278" i="13"/>
  <c r="AG277" i="1"/>
  <c r="F278" i="1" l="1"/>
  <c r="G278" i="1"/>
  <c r="C276" i="11"/>
  <c r="B277" i="31"/>
  <c r="C277" i="31"/>
  <c r="AF277" i="1"/>
  <c r="N278" i="13" s="1"/>
  <c r="E278" i="1" l="1"/>
  <c r="D278" i="1" s="1"/>
  <c r="C278" i="1" s="1"/>
  <c r="D279" i="13" s="1"/>
  <c r="D277" i="31"/>
  <c r="G276" i="11"/>
  <c r="H276" i="11" s="1"/>
  <c r="J278" i="13" s="1"/>
  <c r="K278" i="13"/>
  <c r="D276" i="11"/>
  <c r="I279" i="1" l="1"/>
  <c r="B279" i="13"/>
  <c r="L278" i="1"/>
  <c r="F278" i="11" s="1"/>
  <c r="A277" i="11"/>
  <c r="L279" i="13" s="1"/>
  <c r="X278" i="1"/>
  <c r="C279" i="13"/>
  <c r="H279" i="1"/>
  <c r="H277" i="31"/>
  <c r="Q278" i="13" s="1"/>
  <c r="O278" i="13"/>
  <c r="F277" i="31"/>
  <c r="P278" i="13" s="1"/>
  <c r="H278" i="13"/>
  <c r="E276" i="11"/>
  <c r="I278" i="13" s="1"/>
  <c r="AA278" i="1" l="1"/>
  <c r="E279" i="13"/>
  <c r="Y278" i="1"/>
  <c r="R278" i="1"/>
  <c r="Q278" i="1" s="1"/>
  <c r="P278" i="1" s="1"/>
  <c r="O278" i="1" s="1"/>
  <c r="N278" i="1" s="1"/>
  <c r="F279" i="13" s="1"/>
  <c r="AD278" i="1"/>
  <c r="M278" i="1" l="1"/>
  <c r="G279" i="13" s="1"/>
  <c r="AG278" i="1"/>
  <c r="E278" i="31" l="1"/>
  <c r="AB278" i="1"/>
  <c r="AC278" i="1" s="1"/>
  <c r="M279" i="13" s="1"/>
  <c r="G279" i="1"/>
  <c r="F279" i="1"/>
  <c r="C277" i="11"/>
  <c r="C278" i="31" l="1"/>
  <c r="AF278" i="1"/>
  <c r="N279" i="13" s="1"/>
  <c r="B278" i="31"/>
  <c r="E279" i="1"/>
  <c r="D279" i="1" s="1"/>
  <c r="X279" i="1" s="1"/>
  <c r="K279" i="13"/>
  <c r="G277" i="11"/>
  <c r="H277" i="11" s="1"/>
  <c r="J279" i="13" s="1"/>
  <c r="D277" i="11"/>
  <c r="D278" i="31" l="1"/>
  <c r="H278" i="31" s="1"/>
  <c r="Q279" i="13" s="1"/>
  <c r="H280" i="1"/>
  <c r="B280" i="13"/>
  <c r="A278" i="11"/>
  <c r="L280" i="13" s="1"/>
  <c r="C280" i="13"/>
  <c r="C279" i="1"/>
  <c r="D280" i="13" s="1"/>
  <c r="L279" i="1"/>
  <c r="AD279" i="1" s="1"/>
  <c r="I280" i="1"/>
  <c r="O279" i="13"/>
  <c r="H279" i="13"/>
  <c r="E277" i="11"/>
  <c r="I279" i="13" s="1"/>
  <c r="F278" i="31" l="1"/>
  <c r="P279" i="13" s="1"/>
  <c r="AA279" i="1"/>
  <c r="F279" i="11"/>
  <c r="R279" i="1"/>
  <c r="Q279" i="1" s="1"/>
  <c r="P279" i="1" s="1"/>
  <c r="O279" i="1" s="1"/>
  <c r="N279" i="1" s="1"/>
  <c r="F280" i="13" s="1"/>
  <c r="Y279" i="1"/>
  <c r="E280" i="13"/>
  <c r="M279" i="1" l="1"/>
  <c r="AB279" i="1" s="1"/>
  <c r="AC279" i="1" s="1"/>
  <c r="M280" i="13" s="1"/>
  <c r="AG279" i="1"/>
  <c r="E279" i="31" l="1"/>
  <c r="G280" i="13"/>
  <c r="G280" i="1"/>
  <c r="F280" i="1"/>
  <c r="B279" i="31"/>
  <c r="C279" i="31"/>
  <c r="AF279" i="1"/>
  <c r="N280" i="13" s="1"/>
  <c r="C278" i="11"/>
  <c r="E280" i="1" l="1"/>
  <c r="D280" i="1" s="1"/>
  <c r="C281" i="13" s="1"/>
  <c r="D279" i="31"/>
  <c r="G278" i="11"/>
  <c r="H278" i="11" s="1"/>
  <c r="J280" i="13" s="1"/>
  <c r="K280" i="13"/>
  <c r="D278" i="11"/>
  <c r="I281" i="1" l="1"/>
  <c r="A279" i="11"/>
  <c r="L281" i="13" s="1"/>
  <c r="H281" i="1"/>
  <c r="B281" i="13"/>
  <c r="L280" i="1"/>
  <c r="AD280" i="1" s="1"/>
  <c r="C280" i="1"/>
  <c r="D281" i="13" s="1"/>
  <c r="X280" i="1"/>
  <c r="F279" i="31"/>
  <c r="P280" i="13" s="1"/>
  <c r="O280" i="13"/>
  <c r="H279" i="31"/>
  <c r="Q280" i="13" s="1"/>
  <c r="H280" i="13"/>
  <c r="E278" i="11"/>
  <c r="I280" i="13" s="1"/>
  <c r="R280" i="1" l="1"/>
  <c r="Q280" i="1" s="1"/>
  <c r="P280" i="1" s="1"/>
  <c r="O280" i="1" s="1"/>
  <c r="N280" i="1" s="1"/>
  <c r="F281" i="13" s="1"/>
  <c r="AA280" i="1"/>
  <c r="Y280" i="1"/>
  <c r="E281" i="13"/>
  <c r="F280" i="11"/>
  <c r="M280" i="1" l="1"/>
  <c r="AB280" i="1" s="1"/>
  <c r="AC280" i="1" s="1"/>
  <c r="M281" i="13" s="1"/>
  <c r="G281" i="13" l="1"/>
  <c r="E280" i="31"/>
  <c r="G281" i="1"/>
  <c r="F281" i="1"/>
  <c r="AG280" i="1"/>
  <c r="B280" i="31"/>
  <c r="C280" i="31"/>
  <c r="AF280" i="1"/>
  <c r="N281" i="13" s="1"/>
  <c r="D280" i="31" l="1"/>
  <c r="C279" i="11"/>
  <c r="E281" i="1"/>
  <c r="D281" i="1" s="1"/>
  <c r="H280" i="31" l="1"/>
  <c r="Q281" i="13" s="1"/>
  <c r="O281" i="13"/>
  <c r="F280" i="31"/>
  <c r="P281" i="13" s="1"/>
  <c r="A280" i="11"/>
  <c r="X281" i="1"/>
  <c r="B282" i="13"/>
  <c r="C282" i="13"/>
  <c r="C281" i="1"/>
  <c r="D282" i="13" s="1"/>
  <c r="I282" i="1"/>
  <c r="L281" i="1"/>
  <c r="H282" i="1"/>
  <c r="K281" i="13"/>
  <c r="G279" i="11"/>
  <c r="H279" i="11" s="1"/>
  <c r="J281" i="13" s="1"/>
  <c r="D279" i="11"/>
  <c r="AA281" i="1" l="1"/>
  <c r="R281" i="1"/>
  <c r="Q281" i="1" s="1"/>
  <c r="P281" i="1" s="1"/>
  <c r="O281" i="1" s="1"/>
  <c r="N281" i="1" s="1"/>
  <c r="E282" i="13"/>
  <c r="Y281" i="1"/>
  <c r="F281" i="11"/>
  <c r="AD281" i="1"/>
  <c r="H281" i="13"/>
  <c r="E279" i="11"/>
  <c r="I281" i="13" s="1"/>
  <c r="L282" i="13"/>
  <c r="M281" i="1" l="1"/>
  <c r="F282" i="13"/>
  <c r="AB281" i="1" l="1"/>
  <c r="AC281" i="1" s="1"/>
  <c r="M282" i="13" s="1"/>
  <c r="G282" i="13"/>
  <c r="E281" i="31"/>
  <c r="AG281" i="1"/>
  <c r="G282" i="1" l="1"/>
  <c r="F282" i="1"/>
  <c r="C280" i="11"/>
  <c r="B281" i="31"/>
  <c r="C281" i="31"/>
  <c r="AF281" i="1"/>
  <c r="N282" i="13" s="1"/>
  <c r="E282" i="1" l="1"/>
  <c r="D282" i="1" s="1"/>
  <c r="B283" i="13" s="1"/>
  <c r="D281" i="31"/>
  <c r="G280" i="11"/>
  <c r="H280" i="11" s="1"/>
  <c r="J282" i="13" s="1"/>
  <c r="K282" i="13"/>
  <c r="D280" i="11"/>
  <c r="I283" i="1" l="1"/>
  <c r="C283" i="13"/>
  <c r="L282" i="1"/>
  <c r="F282" i="11" s="1"/>
  <c r="C282" i="1"/>
  <c r="D283" i="13" s="1"/>
  <c r="H283" i="1"/>
  <c r="AA282" i="1" s="1"/>
  <c r="X282" i="1"/>
  <c r="A281" i="11"/>
  <c r="L283" i="13" s="1"/>
  <c r="H281" i="31"/>
  <c r="Q282" i="13" s="1"/>
  <c r="O282" i="13"/>
  <c r="F281" i="31"/>
  <c r="P282" i="13" s="1"/>
  <c r="H282" i="13"/>
  <c r="E280" i="11"/>
  <c r="I282" i="13" s="1"/>
  <c r="Y282" i="1" l="1"/>
  <c r="E283" i="13"/>
  <c r="AD282" i="1"/>
  <c r="R282" i="1"/>
  <c r="Q282" i="1" s="1"/>
  <c r="P282" i="1" s="1"/>
  <c r="O282" i="1" s="1"/>
  <c r="N282" i="1" s="1"/>
  <c r="F283" i="13" s="1"/>
  <c r="M282" i="1" l="1"/>
  <c r="AB282" i="1" s="1"/>
  <c r="AC282" i="1" s="1"/>
  <c r="M283" i="13" s="1"/>
  <c r="AG282" i="1"/>
  <c r="E282" i="31" l="1"/>
  <c r="G283" i="13"/>
  <c r="G283" i="1"/>
  <c r="F283" i="1"/>
  <c r="B282" i="31"/>
  <c r="C282" i="31"/>
  <c r="AF282" i="1"/>
  <c r="N283" i="13" s="1"/>
  <c r="C281" i="11"/>
  <c r="E283" i="1" l="1"/>
  <c r="D283" i="1" s="1"/>
  <c r="B284" i="13" s="1"/>
  <c r="G281" i="11"/>
  <c r="H281" i="11" s="1"/>
  <c r="J283" i="13" s="1"/>
  <c r="K283" i="13"/>
  <c r="D281" i="11"/>
  <c r="D282" i="31"/>
  <c r="O283" i="13" s="1"/>
  <c r="H284" i="1" l="1"/>
  <c r="C283" i="1"/>
  <c r="D284" i="13" s="1"/>
  <c r="I284" i="1"/>
  <c r="C284" i="13"/>
  <c r="L283" i="1"/>
  <c r="AD283" i="1" s="1"/>
  <c r="X283" i="1"/>
  <c r="A282" i="11"/>
  <c r="L284" i="13" s="1"/>
  <c r="F282" i="31"/>
  <c r="P283" i="13" s="1"/>
  <c r="H282" i="31"/>
  <c r="Q283" i="13" s="1"/>
  <c r="H283" i="13"/>
  <c r="E281" i="11"/>
  <c r="I283" i="13" s="1"/>
  <c r="R283" i="1" l="1"/>
  <c r="Q283" i="1" s="1"/>
  <c r="P283" i="1" s="1"/>
  <c r="O283" i="1" s="1"/>
  <c r="N283" i="1" s="1"/>
  <c r="F284" i="13" s="1"/>
  <c r="E284" i="13"/>
  <c r="AA283" i="1"/>
  <c r="F283" i="11"/>
  <c r="Y283" i="1"/>
  <c r="M283" i="1" l="1"/>
  <c r="AB283" i="1" s="1"/>
  <c r="AC283" i="1" s="1"/>
  <c r="M284" i="13" s="1"/>
  <c r="AG283" i="1"/>
  <c r="G284" i="13" l="1"/>
  <c r="E283" i="31"/>
  <c r="F284" i="1"/>
  <c r="G284" i="1"/>
  <c r="B283" i="31"/>
  <c r="C283" i="31"/>
  <c r="AF283" i="1"/>
  <c r="N284" i="13" s="1"/>
  <c r="C282" i="11"/>
  <c r="E284" i="1" l="1"/>
  <c r="D284" i="1" s="1"/>
  <c r="A283" i="11" s="1"/>
  <c r="D283" i="31"/>
  <c r="G282" i="11"/>
  <c r="H282" i="11" s="1"/>
  <c r="J284" i="13" s="1"/>
  <c r="K284" i="13"/>
  <c r="D282" i="11"/>
  <c r="I285" i="1" l="1"/>
  <c r="B285" i="13"/>
  <c r="L284" i="1"/>
  <c r="E285" i="13" s="1"/>
  <c r="C284" i="1"/>
  <c r="D285" i="13" s="1"/>
  <c r="C285" i="13"/>
  <c r="H285" i="1"/>
  <c r="X284" i="1"/>
  <c r="F283" i="31"/>
  <c r="P284" i="13" s="1"/>
  <c r="O284" i="13"/>
  <c r="H283" i="31"/>
  <c r="Q284" i="13" s="1"/>
  <c r="H284" i="13"/>
  <c r="E282" i="11"/>
  <c r="I284" i="13" s="1"/>
  <c r="L285" i="13"/>
  <c r="AA284" i="1" l="1"/>
  <c r="R284" i="1"/>
  <c r="Q284" i="1" s="1"/>
  <c r="P284" i="1" s="1"/>
  <c r="O284" i="1" s="1"/>
  <c r="N284" i="1" s="1"/>
  <c r="F285" i="13" s="1"/>
  <c r="Y284" i="1"/>
  <c r="AD284" i="1"/>
  <c r="F284" i="11"/>
  <c r="M284" i="1" l="1"/>
  <c r="G285" i="13" s="1"/>
  <c r="AB284" i="1" l="1"/>
  <c r="AC284" i="1" s="1"/>
  <c r="M285" i="13" s="1"/>
  <c r="E284" i="31"/>
  <c r="G285" i="1"/>
  <c r="F285" i="1"/>
  <c r="AG284" i="1"/>
  <c r="AF284" i="1" l="1"/>
  <c r="N285" i="13" s="1"/>
  <c r="C284" i="31"/>
  <c r="B284" i="31"/>
  <c r="E285" i="1"/>
  <c r="D285" i="1" s="1"/>
  <c r="C283" i="11"/>
  <c r="D284" i="31" l="1"/>
  <c r="O285" i="13" s="1"/>
  <c r="X285" i="1"/>
  <c r="C285" i="1"/>
  <c r="D286" i="13" s="1"/>
  <c r="A284" i="11"/>
  <c r="B286" i="13"/>
  <c r="C286" i="13"/>
  <c r="L285" i="1"/>
  <c r="H286" i="1"/>
  <c r="I286" i="1"/>
  <c r="K285" i="13"/>
  <c r="G283" i="11"/>
  <c r="H283" i="11" s="1"/>
  <c r="J285" i="13" s="1"/>
  <c r="D283" i="11"/>
  <c r="F284" i="31" l="1"/>
  <c r="P285" i="13" s="1"/>
  <c r="H284" i="31"/>
  <c r="Q285" i="13" s="1"/>
  <c r="AA285" i="1"/>
  <c r="R285" i="1"/>
  <c r="Q285" i="1" s="1"/>
  <c r="P285" i="1" s="1"/>
  <c r="O285" i="1" s="1"/>
  <c r="N285" i="1" s="1"/>
  <c r="L286" i="13"/>
  <c r="E286" i="13"/>
  <c r="Y285" i="1"/>
  <c r="F285" i="11"/>
  <c r="AD285" i="1"/>
  <c r="H285" i="13"/>
  <c r="E283" i="11"/>
  <c r="I285" i="13" s="1"/>
  <c r="M285" i="1" l="1"/>
  <c r="F286" i="13"/>
  <c r="AB285" i="1" l="1"/>
  <c r="AC285" i="1" s="1"/>
  <c r="M286" i="13" s="1"/>
  <c r="G286" i="13"/>
  <c r="E285" i="31"/>
  <c r="AG285" i="1"/>
  <c r="G286" i="1" l="1"/>
  <c r="F286" i="1"/>
  <c r="C284" i="11"/>
  <c r="C285" i="31"/>
  <c r="B285" i="31"/>
  <c r="AF285" i="1"/>
  <c r="N286" i="13" s="1"/>
  <c r="E286" i="1" l="1"/>
  <c r="D286" i="1" s="1"/>
  <c r="C287" i="13" s="1"/>
  <c r="D285" i="31"/>
  <c r="O286" i="13" s="1"/>
  <c r="K286" i="13"/>
  <c r="G284" i="11"/>
  <c r="H284" i="11" s="1"/>
  <c r="J286" i="13" s="1"/>
  <c r="D284" i="11"/>
  <c r="H287" i="1" l="1"/>
  <c r="L286" i="1"/>
  <c r="AD286" i="1" s="1"/>
  <c r="B287" i="13"/>
  <c r="X286" i="1"/>
  <c r="A285" i="11"/>
  <c r="L287" i="13" s="1"/>
  <c r="C286" i="1"/>
  <c r="D287" i="13" s="1"/>
  <c r="I287" i="1"/>
  <c r="E284" i="11"/>
  <c r="I286" i="13" s="1"/>
  <c r="H286" i="13"/>
  <c r="F285" i="31"/>
  <c r="P286" i="13" s="1"/>
  <c r="H285" i="31"/>
  <c r="Q286" i="13" s="1"/>
  <c r="AA286" i="1" l="1"/>
  <c r="E287" i="13"/>
  <c r="R286" i="1"/>
  <c r="Q286" i="1" s="1"/>
  <c r="P286" i="1" s="1"/>
  <c r="O286" i="1" s="1"/>
  <c r="N286" i="1" s="1"/>
  <c r="M286" i="1" s="1"/>
  <c r="Y286" i="1"/>
  <c r="F286" i="11"/>
  <c r="F287" i="13" l="1"/>
  <c r="AB286" i="1"/>
  <c r="AC286" i="1" s="1"/>
  <c r="M287" i="13" s="1"/>
  <c r="G287" i="13"/>
  <c r="E286" i="31"/>
  <c r="AG286" i="1"/>
  <c r="F287" i="1" l="1"/>
  <c r="G287" i="1"/>
  <c r="C285" i="11"/>
  <c r="B286" i="31"/>
  <c r="C286" i="31"/>
  <c r="AF286" i="1"/>
  <c r="N287" i="13" s="1"/>
  <c r="E287" i="1" l="1"/>
  <c r="D287" i="1" s="1"/>
  <c r="C288" i="13" s="1"/>
  <c r="D286" i="31"/>
  <c r="K287" i="13"/>
  <c r="G285" i="11"/>
  <c r="H285" i="11" s="1"/>
  <c r="J287" i="13" s="1"/>
  <c r="D285" i="11"/>
  <c r="H288" i="1" l="1"/>
  <c r="B288" i="13"/>
  <c r="L287" i="1"/>
  <c r="E288" i="13" s="1"/>
  <c r="I288" i="1"/>
  <c r="C287" i="1"/>
  <c r="D288" i="13" s="1"/>
  <c r="X287" i="1"/>
  <c r="A286" i="11"/>
  <c r="L288" i="13" s="1"/>
  <c r="F286" i="31"/>
  <c r="P287" i="13" s="1"/>
  <c r="O287" i="13"/>
  <c r="H286" i="31"/>
  <c r="Q287" i="13" s="1"/>
  <c r="H287" i="13"/>
  <c r="E285" i="11"/>
  <c r="I287" i="13" s="1"/>
  <c r="F287" i="11" l="1"/>
  <c r="R287" i="1"/>
  <c r="Q287" i="1" s="1"/>
  <c r="P287" i="1" s="1"/>
  <c r="O287" i="1" s="1"/>
  <c r="N287" i="1" s="1"/>
  <c r="M287" i="1" s="1"/>
  <c r="AD287" i="1"/>
  <c r="AA287" i="1"/>
  <c r="Y287" i="1"/>
  <c r="F288" i="13" l="1"/>
  <c r="AB287" i="1"/>
  <c r="AC287" i="1" s="1"/>
  <c r="M288" i="13" s="1"/>
  <c r="E287" i="31"/>
  <c r="G288" i="13"/>
  <c r="AG287" i="1"/>
  <c r="F288" i="1" l="1"/>
  <c r="G288" i="1"/>
  <c r="C286" i="11"/>
  <c r="C287" i="31"/>
  <c r="B287" i="31"/>
  <c r="AF287" i="1"/>
  <c r="N288" i="13" s="1"/>
  <c r="E288" i="1" l="1"/>
  <c r="D288" i="1" s="1"/>
  <c r="B289" i="13" s="1"/>
  <c r="D287" i="31"/>
  <c r="K288" i="13"/>
  <c r="G286" i="11"/>
  <c r="H286" i="11" s="1"/>
  <c r="J288" i="13" s="1"/>
  <c r="D286" i="11"/>
  <c r="L288" i="1" l="1"/>
  <c r="AD288" i="1" s="1"/>
  <c r="I289" i="1"/>
  <c r="C288" i="1"/>
  <c r="D289" i="13" s="1"/>
  <c r="A287" i="11"/>
  <c r="L289" i="13" s="1"/>
  <c r="C289" i="13"/>
  <c r="X288" i="1"/>
  <c r="H289" i="1"/>
  <c r="AA288" i="1" s="1"/>
  <c r="H287" i="31"/>
  <c r="Q288" i="13" s="1"/>
  <c r="O288" i="13"/>
  <c r="F287" i="31"/>
  <c r="P288" i="13" s="1"/>
  <c r="E286" i="11"/>
  <c r="I288" i="13" s="1"/>
  <c r="H288" i="13"/>
  <c r="R288" i="1" l="1"/>
  <c r="Q288" i="1" s="1"/>
  <c r="P288" i="1" s="1"/>
  <c r="O288" i="1" s="1"/>
  <c r="N288" i="1" s="1"/>
  <c r="F289" i="13" s="1"/>
  <c r="Y288" i="1"/>
  <c r="F288" i="11"/>
  <c r="E289" i="13"/>
  <c r="M288" i="1" l="1"/>
  <c r="AB288" i="1" s="1"/>
  <c r="AC288" i="1" s="1"/>
  <c r="M289" i="13" s="1"/>
  <c r="AG288" i="1"/>
  <c r="E288" i="31" l="1"/>
  <c r="G289" i="13"/>
  <c r="G289" i="1"/>
  <c r="F289" i="1"/>
  <c r="C287" i="11"/>
  <c r="B288" i="31"/>
  <c r="C288" i="31"/>
  <c r="AF288" i="1"/>
  <c r="N289" i="13" s="1"/>
  <c r="E289" i="1" l="1"/>
  <c r="D289" i="1" s="1"/>
  <c r="X289" i="1" s="1"/>
  <c r="D288" i="31"/>
  <c r="G287" i="11"/>
  <c r="H287" i="11" s="1"/>
  <c r="J289" i="13" s="1"/>
  <c r="K289" i="13"/>
  <c r="D287" i="11"/>
  <c r="I290" i="1" l="1"/>
  <c r="A288" i="11"/>
  <c r="L290" i="13" s="1"/>
  <c r="H290" i="1"/>
  <c r="C290" i="13"/>
  <c r="L289" i="1"/>
  <c r="F289" i="11" s="1"/>
  <c r="B290" i="13"/>
  <c r="C289" i="1"/>
  <c r="D290" i="13" s="1"/>
  <c r="H288" i="31"/>
  <c r="Q289" i="13" s="1"/>
  <c r="O289" i="13"/>
  <c r="F288" i="31"/>
  <c r="P289" i="13" s="1"/>
  <c r="H289" i="13"/>
  <c r="E287" i="11"/>
  <c r="I289" i="13" s="1"/>
  <c r="AA289" i="1" l="1"/>
  <c r="R289" i="1"/>
  <c r="Q289" i="1" s="1"/>
  <c r="P289" i="1" s="1"/>
  <c r="O289" i="1" s="1"/>
  <c r="N289" i="1" s="1"/>
  <c r="M289" i="1" s="1"/>
  <c r="Y289" i="1"/>
  <c r="E290" i="13"/>
  <c r="AD289" i="1"/>
  <c r="F290" i="13" l="1"/>
  <c r="AB289" i="1"/>
  <c r="AC289" i="1" s="1"/>
  <c r="M290" i="13" s="1"/>
  <c r="G290" i="13"/>
  <c r="E289" i="31"/>
  <c r="F290" i="1" l="1"/>
  <c r="G290" i="1"/>
  <c r="B289" i="31"/>
  <c r="C289" i="31"/>
  <c r="AF289" i="1"/>
  <c r="N290" i="13" s="1"/>
  <c r="AG289" i="1"/>
  <c r="D289" i="31" l="1"/>
  <c r="E290" i="1"/>
  <c r="D290" i="1" s="1"/>
  <c r="C288" i="11"/>
  <c r="F289" i="31" l="1"/>
  <c r="P290" i="13" s="1"/>
  <c r="O290" i="13"/>
  <c r="H289" i="31"/>
  <c r="Q290" i="13" s="1"/>
  <c r="K290" i="13"/>
  <c r="G288" i="11"/>
  <c r="H288" i="11" s="1"/>
  <c r="J290" i="13" s="1"/>
  <c r="D288" i="11"/>
  <c r="C291" i="13"/>
  <c r="A289" i="11"/>
  <c r="B291" i="13"/>
  <c r="C290" i="1"/>
  <c r="D291" i="13" s="1"/>
  <c r="X290" i="1"/>
  <c r="L290" i="1"/>
  <c r="I291" i="1"/>
  <c r="H291" i="1"/>
  <c r="AA290" i="1" l="1"/>
  <c r="Y290" i="1"/>
  <c r="E291" i="13"/>
  <c r="F290" i="11"/>
  <c r="AD290" i="1"/>
  <c r="R290" i="1"/>
  <c r="Q290" i="1" s="1"/>
  <c r="P290" i="1" s="1"/>
  <c r="O290" i="1" s="1"/>
  <c r="N290" i="1" s="1"/>
  <c r="L291" i="13"/>
  <c r="E288" i="11"/>
  <c r="I290" i="13" s="1"/>
  <c r="H290" i="13"/>
  <c r="M290" i="1" l="1"/>
  <c r="F291" i="13"/>
  <c r="AB290" i="1" l="1"/>
  <c r="AC290" i="1" s="1"/>
  <c r="M291" i="13" s="1"/>
  <c r="E290" i="31"/>
  <c r="G291" i="13"/>
  <c r="G291" i="1" l="1"/>
  <c r="F291" i="1"/>
  <c r="AG290" i="1"/>
  <c r="B290" i="31"/>
  <c r="C290" i="31"/>
  <c r="AF290" i="1"/>
  <c r="N291" i="13" s="1"/>
  <c r="E291" i="1" l="1"/>
  <c r="D291" i="1" s="1"/>
  <c r="C289" i="11"/>
  <c r="D290" i="31"/>
  <c r="O291" i="13" s="1"/>
  <c r="G289" i="11" l="1"/>
  <c r="H289" i="11" s="1"/>
  <c r="J291" i="13" s="1"/>
  <c r="K291" i="13"/>
  <c r="D289" i="11"/>
  <c r="A290" i="11"/>
  <c r="X291" i="1"/>
  <c r="C291" i="1"/>
  <c r="D292" i="13" s="1"/>
  <c r="B292" i="13"/>
  <c r="C292" i="13"/>
  <c r="L291" i="1"/>
  <c r="H292" i="1"/>
  <c r="I292" i="1"/>
  <c r="F290" i="31"/>
  <c r="P291" i="13" s="1"/>
  <c r="H290" i="31"/>
  <c r="Q291" i="13" s="1"/>
  <c r="AA291" i="1" l="1"/>
  <c r="R291" i="1"/>
  <c r="Q291" i="1" s="1"/>
  <c r="P291" i="1" s="1"/>
  <c r="O291" i="1" s="1"/>
  <c r="N291" i="1" s="1"/>
  <c r="L292" i="13"/>
  <c r="E292" i="13"/>
  <c r="Y291" i="1"/>
  <c r="F291" i="11"/>
  <c r="AD291" i="1"/>
  <c r="H291" i="13"/>
  <c r="E289" i="11"/>
  <c r="I291" i="13" s="1"/>
  <c r="F292" i="13" l="1"/>
  <c r="M291" i="1"/>
  <c r="AB291" i="1" l="1"/>
  <c r="AC291" i="1" s="1"/>
  <c r="M292" i="13" s="1"/>
  <c r="G292" i="13"/>
  <c r="E291" i="31"/>
  <c r="AG291" i="1"/>
  <c r="F292" i="1" l="1"/>
  <c r="G292" i="1"/>
  <c r="C290" i="11"/>
  <c r="B291" i="31"/>
  <c r="C291" i="31"/>
  <c r="AF291" i="1"/>
  <c r="N292" i="13" s="1"/>
  <c r="E292" i="1" l="1"/>
  <c r="D292" i="1" s="1"/>
  <c r="A291" i="11" s="1"/>
  <c r="D291" i="31"/>
  <c r="G290" i="11"/>
  <c r="H290" i="11" s="1"/>
  <c r="J292" i="13" s="1"/>
  <c r="K292" i="13"/>
  <c r="D290" i="11"/>
  <c r="L292" i="1" l="1"/>
  <c r="F292" i="11" s="1"/>
  <c r="C293" i="13"/>
  <c r="C292" i="1"/>
  <c r="D293" i="13" s="1"/>
  <c r="B293" i="13"/>
  <c r="X292" i="1"/>
  <c r="H293" i="1"/>
  <c r="I293" i="1"/>
  <c r="F291" i="31"/>
  <c r="P292" i="13" s="1"/>
  <c r="O292" i="13"/>
  <c r="H291" i="31"/>
  <c r="Q292" i="13" s="1"/>
  <c r="E290" i="11"/>
  <c r="I292" i="13" s="1"/>
  <c r="H292" i="13"/>
  <c r="L293" i="13"/>
  <c r="R292" i="1" l="1"/>
  <c r="Q292" i="1" s="1"/>
  <c r="P292" i="1" s="1"/>
  <c r="O292" i="1" s="1"/>
  <c r="N292" i="1" s="1"/>
  <c r="F293" i="13" s="1"/>
  <c r="AA292" i="1"/>
  <c r="AD292" i="1"/>
  <c r="Y292" i="1"/>
  <c r="E293" i="13"/>
  <c r="M292" i="1" l="1"/>
  <c r="E292" i="31" s="1"/>
  <c r="AB292" i="1" l="1"/>
  <c r="AC292" i="1" s="1"/>
  <c r="M293" i="13" s="1"/>
  <c r="G293" i="13"/>
  <c r="F293" i="1"/>
  <c r="G293" i="1"/>
  <c r="AG292" i="1"/>
  <c r="B292" i="31" l="1"/>
  <c r="AF292" i="1"/>
  <c r="N293" i="13" s="1"/>
  <c r="C292" i="31"/>
  <c r="C291" i="11"/>
  <c r="E293" i="1"/>
  <c r="D293" i="1" s="1"/>
  <c r="D292" i="31" l="1"/>
  <c r="H292" i="31" s="1"/>
  <c r="Q293" i="13" s="1"/>
  <c r="O293" i="13"/>
  <c r="X293" i="1"/>
  <c r="B294" i="13"/>
  <c r="C294" i="13"/>
  <c r="A292" i="11"/>
  <c r="C293" i="1"/>
  <c r="D294" i="13" s="1"/>
  <c r="L293" i="1"/>
  <c r="I294" i="1"/>
  <c r="H294" i="1"/>
  <c r="K293" i="13"/>
  <c r="G291" i="11"/>
  <c r="H291" i="11" s="1"/>
  <c r="J293" i="13" s="1"/>
  <c r="D291" i="11"/>
  <c r="F292" i="31" l="1"/>
  <c r="P293" i="13" s="1"/>
  <c r="AA293" i="1"/>
  <c r="E291" i="11"/>
  <c r="I293" i="13" s="1"/>
  <c r="H293" i="13"/>
  <c r="L294" i="13"/>
  <c r="R293" i="1"/>
  <c r="Q293" i="1" s="1"/>
  <c r="P293" i="1" s="1"/>
  <c r="O293" i="1" s="1"/>
  <c r="N293" i="1" s="1"/>
  <c r="E294" i="13"/>
  <c r="Y293" i="1"/>
  <c r="AD293" i="1"/>
  <c r="F293" i="11"/>
  <c r="F294" i="13" l="1"/>
  <c r="M293" i="1"/>
  <c r="AB293" i="1" l="1"/>
  <c r="AC293" i="1" s="1"/>
  <c r="M294" i="13" s="1"/>
  <c r="G294" i="13"/>
  <c r="E293" i="31"/>
  <c r="AG293" i="1"/>
  <c r="G294" i="1" l="1"/>
  <c r="F294" i="1"/>
  <c r="C292" i="11"/>
  <c r="B293" i="31"/>
  <c r="C293" i="31"/>
  <c r="AF293" i="1"/>
  <c r="N294" i="13" s="1"/>
  <c r="E294" i="1" l="1"/>
  <c r="D294" i="1" s="1"/>
  <c r="B295" i="13" s="1"/>
  <c r="D293" i="31"/>
  <c r="K294" i="13"/>
  <c r="G292" i="11"/>
  <c r="H292" i="11" s="1"/>
  <c r="J294" i="13" s="1"/>
  <c r="D292" i="11"/>
  <c r="L294" i="1" l="1"/>
  <c r="AD294" i="1" s="1"/>
  <c r="C295" i="13"/>
  <c r="I295" i="1"/>
  <c r="X294" i="1"/>
  <c r="A293" i="11"/>
  <c r="L295" i="13" s="1"/>
  <c r="C294" i="1"/>
  <c r="D295" i="13" s="1"/>
  <c r="H295" i="1"/>
  <c r="AA294" i="1" s="1"/>
  <c r="F293" i="31"/>
  <c r="P294" i="13" s="1"/>
  <c r="O294" i="13"/>
  <c r="H293" i="31"/>
  <c r="Q294" i="13" s="1"/>
  <c r="H294" i="13"/>
  <c r="E292" i="11"/>
  <c r="I294" i="13" s="1"/>
  <c r="R294" i="1" l="1"/>
  <c r="F294" i="11"/>
  <c r="E295" i="13"/>
  <c r="Q294" i="1"/>
  <c r="P294" i="1" s="1"/>
  <c r="O294" i="1" s="1"/>
  <c r="N294" i="1" s="1"/>
  <c r="F295" i="13" s="1"/>
  <c r="Y294" i="1"/>
  <c r="M294" i="1" l="1"/>
  <c r="AB294" i="1" s="1"/>
  <c r="AC294" i="1" s="1"/>
  <c r="M295" i="13" s="1"/>
  <c r="E294" i="31" l="1"/>
  <c r="G295" i="13"/>
  <c r="G295" i="1"/>
  <c r="F295" i="1"/>
  <c r="B294" i="31"/>
  <c r="C294" i="31"/>
  <c r="AF294" i="1"/>
  <c r="N295" i="13" s="1"/>
  <c r="AG294" i="1"/>
  <c r="C293" i="11" l="1"/>
  <c r="E295" i="1"/>
  <c r="D295" i="1" s="1"/>
  <c r="D294" i="31"/>
  <c r="O295" i="13" s="1"/>
  <c r="K295" i="13" l="1"/>
  <c r="G293" i="11"/>
  <c r="H293" i="11" s="1"/>
  <c r="J295" i="13" s="1"/>
  <c r="D293" i="11"/>
  <c r="H294" i="31"/>
  <c r="Q295" i="13" s="1"/>
  <c r="F294" i="31"/>
  <c r="P295" i="13" s="1"/>
  <c r="X295" i="1"/>
  <c r="C295" i="1"/>
  <c r="D296" i="13" s="1"/>
  <c r="A294" i="11"/>
  <c r="B296" i="13"/>
  <c r="C296" i="13"/>
  <c r="L295" i="1"/>
  <c r="H296" i="1"/>
  <c r="I296" i="1"/>
  <c r="AA295" i="1" l="1"/>
  <c r="R295" i="1"/>
  <c r="Q295" i="1" s="1"/>
  <c r="P295" i="1" s="1"/>
  <c r="O295" i="1" s="1"/>
  <c r="N295" i="1" s="1"/>
  <c r="Y295" i="1"/>
  <c r="E296" i="13"/>
  <c r="AD295" i="1"/>
  <c r="F295" i="11"/>
  <c r="L296" i="13"/>
  <c r="E293" i="11"/>
  <c r="I295" i="13" s="1"/>
  <c r="H295" i="13"/>
  <c r="M295" i="1" l="1"/>
  <c r="F296" i="13"/>
  <c r="AB295" i="1" l="1"/>
  <c r="AC295" i="1" s="1"/>
  <c r="M296" i="13" s="1"/>
  <c r="G296" i="13"/>
  <c r="E295" i="31"/>
  <c r="AG295" i="1"/>
  <c r="C294" i="11" s="1"/>
  <c r="G296" i="1" l="1"/>
  <c r="F296" i="1"/>
  <c r="G294" i="11"/>
  <c r="H294" i="11" s="1"/>
  <c r="J296" i="13" s="1"/>
  <c r="K296" i="13"/>
  <c r="D294" i="11"/>
  <c r="B295" i="31"/>
  <c r="C295" i="31"/>
  <c r="AF295" i="1"/>
  <c r="N296" i="13" s="1"/>
  <c r="E296" i="1" l="1"/>
  <c r="D296" i="1" s="1"/>
  <c r="B297" i="13" s="1"/>
  <c r="D295" i="31"/>
  <c r="H296" i="13"/>
  <c r="E294" i="11"/>
  <c r="I296" i="13" s="1"/>
  <c r="C297" i="13" l="1"/>
  <c r="X296" i="1"/>
  <c r="H297" i="1"/>
  <c r="I297" i="1"/>
  <c r="C296" i="1"/>
  <c r="D297" i="13" s="1"/>
  <c r="A295" i="11"/>
  <c r="L297" i="13" s="1"/>
  <c r="L296" i="1"/>
  <c r="AD296" i="1" s="1"/>
  <c r="F295" i="31"/>
  <c r="P296" i="13" s="1"/>
  <c r="O296" i="13"/>
  <c r="H295" i="31"/>
  <c r="Q296" i="13" s="1"/>
  <c r="R296" i="1" l="1"/>
  <c r="Q296" i="1" s="1"/>
  <c r="P296" i="1" s="1"/>
  <c r="O296" i="1" s="1"/>
  <c r="N296" i="1" s="1"/>
  <c r="M296" i="1" s="1"/>
  <c r="Y296" i="1"/>
  <c r="F296" i="11"/>
  <c r="AA296" i="1"/>
  <c r="E297" i="13"/>
  <c r="F297" i="13" l="1"/>
  <c r="AB296" i="1"/>
  <c r="AC296" i="1" s="1"/>
  <c r="M297" i="13" s="1"/>
  <c r="E296" i="31"/>
  <c r="G297" i="13"/>
  <c r="AG296" i="1"/>
  <c r="G297" i="1" l="1"/>
  <c r="F297" i="1"/>
  <c r="C296" i="31"/>
  <c r="B296" i="31"/>
  <c r="AF296" i="1"/>
  <c r="N297" i="13" s="1"/>
  <c r="C295" i="11"/>
  <c r="E297" i="1" l="1"/>
  <c r="D297" i="1" s="1"/>
  <c r="A296" i="11" s="1"/>
  <c r="K297" i="13"/>
  <c r="G295" i="11"/>
  <c r="H295" i="11" s="1"/>
  <c r="J297" i="13" s="1"/>
  <c r="D295" i="11"/>
  <c r="D296" i="31"/>
  <c r="O297" i="13" s="1"/>
  <c r="I298" i="1" l="1"/>
  <c r="C298" i="13"/>
  <c r="X297" i="1"/>
  <c r="H298" i="1"/>
  <c r="C297" i="1"/>
  <c r="D298" i="13" s="1"/>
  <c r="L297" i="1"/>
  <c r="E298" i="13" s="1"/>
  <c r="B298" i="13"/>
  <c r="H296" i="31"/>
  <c r="Q297" i="13" s="1"/>
  <c r="F296" i="31"/>
  <c r="P297" i="13" s="1"/>
  <c r="L298" i="13"/>
  <c r="H297" i="13"/>
  <c r="E295" i="11"/>
  <c r="I297" i="13" s="1"/>
  <c r="R297" i="1" l="1"/>
  <c r="Q297" i="1" s="1"/>
  <c r="P297" i="1" s="1"/>
  <c r="O297" i="1" s="1"/>
  <c r="N297" i="1" s="1"/>
  <c r="F298" i="13" s="1"/>
  <c r="AA297" i="1"/>
  <c r="Y297" i="1"/>
  <c r="AD297" i="1"/>
  <c r="F297" i="11"/>
  <c r="M297" i="1" l="1"/>
  <c r="AB297" i="1" s="1"/>
  <c r="AC297" i="1" s="1"/>
  <c r="M298" i="13" s="1"/>
  <c r="AG297" i="1"/>
  <c r="E297" i="31" l="1"/>
  <c r="G298" i="13"/>
  <c r="G298" i="1"/>
  <c r="F298" i="1"/>
  <c r="C297" i="31"/>
  <c r="B297" i="31"/>
  <c r="AF297" i="1"/>
  <c r="N298" i="13" s="1"/>
  <c r="C296" i="11"/>
  <c r="E298" i="1" l="1"/>
  <c r="D298" i="1" s="1"/>
  <c r="C299" i="13" s="1"/>
  <c r="D297" i="31"/>
  <c r="O298" i="13" s="1"/>
  <c r="K298" i="13"/>
  <c r="G296" i="11"/>
  <c r="H296" i="11" s="1"/>
  <c r="J298" i="13" s="1"/>
  <c r="D296" i="11"/>
  <c r="H299" i="1" l="1"/>
  <c r="C298" i="1"/>
  <c r="D299" i="13" s="1"/>
  <c r="X298" i="1"/>
  <c r="A297" i="11"/>
  <c r="L299" i="13" s="1"/>
  <c r="I299" i="1"/>
  <c r="L298" i="1"/>
  <c r="Y298" i="1" s="1"/>
  <c r="B299" i="13"/>
  <c r="H297" i="31"/>
  <c r="Q298" i="13" s="1"/>
  <c r="F297" i="31"/>
  <c r="P298" i="13" s="1"/>
  <c r="E296" i="11"/>
  <c r="I298" i="13" s="1"/>
  <c r="H298" i="13"/>
  <c r="AA298" i="1" l="1"/>
  <c r="R298" i="1"/>
  <c r="Q298" i="1" s="1"/>
  <c r="P298" i="1" s="1"/>
  <c r="O298" i="1" s="1"/>
  <c r="N298" i="1" s="1"/>
  <c r="M298" i="1" s="1"/>
  <c r="F298" i="11"/>
  <c r="AD298" i="1"/>
  <c r="E299" i="13"/>
  <c r="F299" i="13" l="1"/>
  <c r="AB298" i="1"/>
  <c r="AC298" i="1" s="1"/>
  <c r="M299" i="13" s="1"/>
  <c r="E298" i="31"/>
  <c r="G299" i="13"/>
  <c r="AG298" i="1"/>
  <c r="G299" i="1" l="1"/>
  <c r="F299" i="1"/>
  <c r="C297" i="11"/>
  <c r="C298" i="31"/>
  <c r="B298" i="31"/>
  <c r="AF298" i="1"/>
  <c r="N299" i="13" s="1"/>
  <c r="E299" i="1" l="1"/>
  <c r="D299" i="1" s="1"/>
  <c r="C299" i="1" s="1"/>
  <c r="D300" i="13" s="1"/>
  <c r="G297" i="11"/>
  <c r="H297" i="11" s="1"/>
  <c r="J299" i="13" s="1"/>
  <c r="K299" i="13"/>
  <c r="D297" i="11"/>
  <c r="D298" i="31"/>
  <c r="O299" i="13" s="1"/>
  <c r="I300" i="1" l="1"/>
  <c r="A298" i="11"/>
  <c r="L300" i="13" s="1"/>
  <c r="H300" i="1"/>
  <c r="X299" i="1"/>
  <c r="L299" i="1"/>
  <c r="F299" i="11" s="1"/>
  <c r="B300" i="13"/>
  <c r="C300" i="13"/>
  <c r="E297" i="11"/>
  <c r="I299" i="13" s="1"/>
  <c r="H299" i="13"/>
  <c r="H298" i="31"/>
  <c r="Q299" i="13" s="1"/>
  <c r="F298" i="31"/>
  <c r="P299" i="13" s="1"/>
  <c r="AA299" i="1" l="1"/>
  <c r="R299" i="1"/>
  <c r="Q299" i="1" s="1"/>
  <c r="P299" i="1" s="1"/>
  <c r="O299" i="1" s="1"/>
  <c r="N299" i="1" s="1"/>
  <c r="F300" i="13" s="1"/>
  <c r="AD299" i="1"/>
  <c r="E300" i="13"/>
  <c r="Y299" i="1"/>
  <c r="M299" i="1" l="1"/>
  <c r="AB299" i="1" s="1"/>
  <c r="AC299" i="1" s="1"/>
  <c r="M300" i="13" s="1"/>
  <c r="AG299" i="1"/>
  <c r="E299" i="31" l="1"/>
  <c r="G300" i="13"/>
  <c r="F300" i="1"/>
  <c r="G300" i="1"/>
  <c r="C299" i="31"/>
  <c r="B299" i="31"/>
  <c r="AF299" i="1"/>
  <c r="N300" i="13" s="1"/>
  <c r="C298" i="11"/>
  <c r="E300" i="1" l="1"/>
  <c r="D300" i="1" s="1"/>
  <c r="A299" i="11" s="1"/>
  <c r="D299" i="31"/>
  <c r="O300" i="13" s="1"/>
  <c r="G298" i="11"/>
  <c r="H298" i="11" s="1"/>
  <c r="J300" i="13" s="1"/>
  <c r="K300" i="13"/>
  <c r="D298" i="11"/>
  <c r="H301" i="1" l="1"/>
  <c r="I301" i="1"/>
  <c r="C301" i="13"/>
  <c r="B301" i="13"/>
  <c r="L300" i="1"/>
  <c r="F300" i="11" s="1"/>
  <c r="X300" i="1"/>
  <c r="C300" i="1"/>
  <c r="D301" i="13" s="1"/>
  <c r="L301" i="13"/>
  <c r="E298" i="11"/>
  <c r="I300" i="13" s="1"/>
  <c r="H300" i="13"/>
  <c r="H299" i="31"/>
  <c r="Q300" i="13" s="1"/>
  <c r="F299" i="31"/>
  <c r="P300" i="13" s="1"/>
  <c r="R300" i="1" l="1"/>
  <c r="Q300" i="1" s="1"/>
  <c r="P300" i="1" s="1"/>
  <c r="O300" i="1" s="1"/>
  <c r="N300" i="1" s="1"/>
  <c r="F301" i="13" s="1"/>
  <c r="AA300" i="1"/>
  <c r="E301" i="13"/>
  <c r="Y300" i="1"/>
  <c r="AD300" i="1"/>
  <c r="M300" i="1" l="1"/>
  <c r="AB300" i="1" s="1"/>
  <c r="AC300" i="1" s="1"/>
  <c r="M301" i="13" s="1"/>
  <c r="AG300" i="1"/>
  <c r="E300" i="31" l="1"/>
  <c r="G301" i="13"/>
  <c r="G301" i="1"/>
  <c r="F301" i="1"/>
  <c r="C299" i="11"/>
  <c r="B300" i="31"/>
  <c r="C300" i="31"/>
  <c r="AF300" i="1"/>
  <c r="N301" i="13" s="1"/>
  <c r="E301" i="1" l="1"/>
  <c r="D301" i="1" s="1"/>
  <c r="C301" i="1" s="1"/>
  <c r="D302" i="13" s="1"/>
  <c r="D300" i="31"/>
  <c r="G299" i="11"/>
  <c r="H299" i="11" s="1"/>
  <c r="J301" i="13" s="1"/>
  <c r="K301" i="13"/>
  <c r="D299" i="11"/>
  <c r="L301" i="1" l="1"/>
  <c r="AD301" i="1" s="1"/>
  <c r="X301" i="1"/>
  <c r="A300" i="11"/>
  <c r="L302" i="13" s="1"/>
  <c r="H302" i="1"/>
  <c r="B302" i="13"/>
  <c r="C302" i="13"/>
  <c r="I302" i="1"/>
  <c r="H300" i="31"/>
  <c r="Q301" i="13" s="1"/>
  <c r="O301" i="13"/>
  <c r="F300" i="31"/>
  <c r="P301" i="13" s="1"/>
  <c r="E299" i="11"/>
  <c r="I301" i="13" s="1"/>
  <c r="H301" i="13"/>
  <c r="R301" i="1" l="1"/>
  <c r="Q301" i="1" s="1"/>
  <c r="P301" i="1" s="1"/>
  <c r="O301" i="1" s="1"/>
  <c r="N301" i="1" s="1"/>
  <c r="F302" i="13" s="1"/>
  <c r="AA301" i="1"/>
  <c r="E302" i="13"/>
  <c r="Y301" i="1"/>
  <c r="F301" i="11"/>
  <c r="M301" i="1" l="1"/>
  <c r="AB301" i="1" s="1"/>
  <c r="AC301" i="1" s="1"/>
  <c r="M302" i="13" s="1"/>
  <c r="AG301" i="1"/>
  <c r="E301" i="31" l="1"/>
  <c r="G302" i="13"/>
  <c r="G302" i="1"/>
  <c r="F302" i="1"/>
  <c r="C301" i="31"/>
  <c r="B301" i="31"/>
  <c r="AF301" i="1"/>
  <c r="N302" i="13" s="1"/>
  <c r="C300" i="11"/>
  <c r="E302" i="1" l="1"/>
  <c r="D302" i="1" s="1"/>
  <c r="B303" i="13" s="1"/>
  <c r="G300" i="11"/>
  <c r="H300" i="11" s="1"/>
  <c r="J302" i="13" s="1"/>
  <c r="K302" i="13"/>
  <c r="D300" i="11"/>
  <c r="D301" i="31"/>
  <c r="O302" i="13" s="1"/>
  <c r="H303" i="1" l="1"/>
  <c r="A301" i="11"/>
  <c r="L303" i="13" s="1"/>
  <c r="I303" i="1"/>
  <c r="L302" i="1"/>
  <c r="E303" i="13" s="1"/>
  <c r="X302" i="1"/>
  <c r="C302" i="1"/>
  <c r="D303" i="13" s="1"/>
  <c r="C303" i="13"/>
  <c r="F301" i="31"/>
  <c r="P302" i="13" s="1"/>
  <c r="H301" i="31"/>
  <c r="Q302" i="13" s="1"/>
  <c r="H302" i="13"/>
  <c r="E300" i="11"/>
  <c r="I302" i="13" s="1"/>
  <c r="AA302" i="1" l="1"/>
  <c r="AD302" i="1"/>
  <c r="R302" i="1"/>
  <c r="Q302" i="1" s="1"/>
  <c r="P302" i="1" s="1"/>
  <c r="O302" i="1" s="1"/>
  <c r="N302" i="1" s="1"/>
  <c r="M302" i="1" s="1"/>
  <c r="F302" i="11"/>
  <c r="Y302" i="1"/>
  <c r="F303" i="13" l="1"/>
  <c r="AB302" i="1"/>
  <c r="AC302" i="1" s="1"/>
  <c r="M303" i="13" s="1"/>
  <c r="G303" i="13"/>
  <c r="E302" i="31"/>
  <c r="AG302" i="1"/>
  <c r="G303" i="1" l="1"/>
  <c r="F303" i="1"/>
  <c r="C302" i="31"/>
  <c r="B302" i="31"/>
  <c r="AF302" i="1"/>
  <c r="N303" i="13" s="1"/>
  <c r="C301" i="11"/>
  <c r="E303" i="1" l="1"/>
  <c r="D303" i="1" s="1"/>
  <c r="X303" i="1" s="1"/>
  <c r="G301" i="11"/>
  <c r="H301" i="11" s="1"/>
  <c r="J303" i="13" s="1"/>
  <c r="K303" i="13"/>
  <c r="D301" i="11"/>
  <c r="D302" i="31"/>
  <c r="O303" i="13" s="1"/>
  <c r="C304" i="13" l="1"/>
  <c r="A302" i="11"/>
  <c r="L304" i="13" s="1"/>
  <c r="L303" i="1"/>
  <c r="F303" i="11" s="1"/>
  <c r="C303" i="1"/>
  <c r="D304" i="13" s="1"/>
  <c r="H304" i="1"/>
  <c r="B304" i="13"/>
  <c r="I304" i="1"/>
  <c r="H303" i="13"/>
  <c r="E301" i="11"/>
  <c r="I303" i="13" s="1"/>
  <c r="H302" i="31"/>
  <c r="Q303" i="13" s="1"/>
  <c r="F302" i="31"/>
  <c r="P303" i="13" s="1"/>
  <c r="AA303" i="1" l="1"/>
  <c r="Y303" i="1"/>
  <c r="E304" i="13"/>
  <c r="AD303" i="1"/>
  <c r="R303" i="1"/>
  <c r="Q303" i="1" s="1"/>
  <c r="P303" i="1" s="1"/>
  <c r="O303" i="1" s="1"/>
  <c r="N303" i="1" s="1"/>
  <c r="M303" i="1" s="1"/>
  <c r="F304" i="13" l="1"/>
  <c r="AB303" i="1"/>
  <c r="AC303" i="1" s="1"/>
  <c r="M304" i="13" s="1"/>
  <c r="G304" i="13"/>
  <c r="E303" i="31"/>
  <c r="F304" i="1" l="1"/>
  <c r="G304" i="1"/>
  <c r="C303" i="31"/>
  <c r="B303" i="31"/>
  <c r="AF303" i="1"/>
  <c r="N304" i="13" s="1"/>
  <c r="AG303" i="1"/>
  <c r="C302" i="11" l="1"/>
  <c r="E304" i="1"/>
  <c r="D304" i="1" s="1"/>
  <c r="D303" i="31"/>
  <c r="O304" i="13" s="1"/>
  <c r="K304" i="13" l="1"/>
  <c r="G302" i="11"/>
  <c r="H302" i="11" s="1"/>
  <c r="J304" i="13" s="1"/>
  <c r="D302" i="11"/>
  <c r="B305" i="13"/>
  <c r="A303" i="11"/>
  <c r="X304" i="1"/>
  <c r="C304" i="1"/>
  <c r="D305" i="13" s="1"/>
  <c r="C305" i="13"/>
  <c r="L304" i="1"/>
  <c r="I305" i="1"/>
  <c r="H305" i="1"/>
  <c r="H303" i="31"/>
  <c r="Q304" i="13" s="1"/>
  <c r="F303" i="31"/>
  <c r="P304" i="13" s="1"/>
  <c r="AA304" i="1" l="1"/>
  <c r="L305" i="13"/>
  <c r="R304" i="1"/>
  <c r="Q304" i="1" s="1"/>
  <c r="P304" i="1" s="1"/>
  <c r="O304" i="1" s="1"/>
  <c r="N304" i="1" s="1"/>
  <c r="E305" i="13"/>
  <c r="Y304" i="1"/>
  <c r="F304" i="11"/>
  <c r="AD304" i="1"/>
  <c r="E302" i="11"/>
  <c r="I304" i="13" s="1"/>
  <c r="H304" i="13"/>
  <c r="M304" i="1" l="1"/>
  <c r="F305" i="13"/>
  <c r="AB304" i="1" l="1"/>
  <c r="AC304" i="1" s="1"/>
  <c r="M305" i="13" s="1"/>
  <c r="E304" i="31"/>
  <c r="G305" i="13"/>
  <c r="AG304" i="1"/>
  <c r="F305" i="1" l="1"/>
  <c r="G305" i="1"/>
  <c r="B304" i="31"/>
  <c r="C304" i="31"/>
  <c r="AF304" i="1"/>
  <c r="N305" i="13" s="1"/>
  <c r="C303" i="11"/>
  <c r="E305" i="1" l="1"/>
  <c r="D305" i="1" s="1"/>
  <c r="C305" i="1" s="1"/>
  <c r="D306" i="13" s="1"/>
  <c r="D304" i="31"/>
  <c r="H304" i="31" s="1"/>
  <c r="Q305" i="13" s="1"/>
  <c r="G303" i="11"/>
  <c r="H303" i="11" s="1"/>
  <c r="J305" i="13" s="1"/>
  <c r="K305" i="13"/>
  <c r="D303" i="11"/>
  <c r="L305" i="1" l="1"/>
  <c r="E306" i="13" s="1"/>
  <c r="C306" i="13"/>
  <c r="H306" i="1"/>
  <c r="A304" i="11"/>
  <c r="L306" i="13" s="1"/>
  <c r="B306" i="13"/>
  <c r="X305" i="1"/>
  <c r="I306" i="1"/>
  <c r="R305" i="1" s="1"/>
  <c r="F304" i="31"/>
  <c r="P305" i="13" s="1"/>
  <c r="O305" i="13"/>
  <c r="H305" i="13"/>
  <c r="E303" i="11"/>
  <c r="I305" i="13" s="1"/>
  <c r="AA305" i="1" l="1"/>
  <c r="AD305" i="1"/>
  <c r="Q305" i="1"/>
  <c r="P305" i="1" s="1"/>
  <c r="O305" i="1" s="1"/>
  <c r="N305" i="1" s="1"/>
  <c r="F306" i="13" s="1"/>
  <c r="F305" i="11"/>
  <c r="Y305" i="1"/>
  <c r="M305" i="1" l="1"/>
  <c r="AB305" i="1" s="1"/>
  <c r="AC305" i="1" s="1"/>
  <c r="M306" i="13" s="1"/>
  <c r="AG305" i="1"/>
  <c r="G306" i="13" l="1"/>
  <c r="E305" i="31"/>
  <c r="F306" i="1"/>
  <c r="G306" i="1"/>
  <c r="C304" i="11"/>
  <c r="B305" i="31"/>
  <c r="C305" i="31"/>
  <c r="AF305" i="1"/>
  <c r="N306" i="13" s="1"/>
  <c r="E306" i="1" l="1"/>
  <c r="D306" i="1" s="1"/>
  <c r="C306" i="1" s="1"/>
  <c r="D307" i="13" s="1"/>
  <c r="G304" i="11"/>
  <c r="H304" i="11" s="1"/>
  <c r="J306" i="13" s="1"/>
  <c r="K306" i="13"/>
  <c r="D304" i="11"/>
  <c r="D305" i="31"/>
  <c r="O306" i="13" s="1"/>
  <c r="I307" i="1" l="1"/>
  <c r="A305" i="11"/>
  <c r="L307" i="13" s="1"/>
  <c r="H307" i="1"/>
  <c r="AA306" i="1" s="1"/>
  <c r="L306" i="1"/>
  <c r="E307" i="13" s="1"/>
  <c r="C307" i="13"/>
  <c r="B307" i="13"/>
  <c r="X306" i="1"/>
  <c r="F305" i="31"/>
  <c r="P306" i="13" s="1"/>
  <c r="H305" i="31"/>
  <c r="Q306" i="13" s="1"/>
  <c r="H306" i="13"/>
  <c r="E304" i="11"/>
  <c r="I306" i="13" s="1"/>
  <c r="R306" i="1" l="1"/>
  <c r="Q306" i="1" s="1"/>
  <c r="P306" i="1" s="1"/>
  <c r="O306" i="1" s="1"/>
  <c r="N306" i="1" s="1"/>
  <c r="F307" i="13" s="1"/>
  <c r="F306" i="11"/>
  <c r="Y306" i="1"/>
  <c r="AD306" i="1"/>
  <c r="M306" i="1" l="1"/>
  <c r="AB306" i="1" s="1"/>
  <c r="AC306" i="1" s="1"/>
  <c r="M307" i="13" s="1"/>
  <c r="E306" i="31" l="1"/>
  <c r="G307" i="13"/>
  <c r="G307" i="1"/>
  <c r="F307" i="1"/>
  <c r="C306" i="31"/>
  <c r="B306" i="31"/>
  <c r="AF306" i="1"/>
  <c r="N307" i="13" s="1"/>
  <c r="AG306" i="1"/>
  <c r="D306" i="31" l="1"/>
  <c r="O307" i="13" s="1"/>
  <c r="C305" i="11"/>
  <c r="E307" i="1"/>
  <c r="D307" i="1" s="1"/>
  <c r="B308" i="13" l="1"/>
  <c r="X307" i="1"/>
  <c r="A306" i="11"/>
  <c r="C308" i="13"/>
  <c r="C307" i="1"/>
  <c r="D308" i="13" s="1"/>
  <c r="L307" i="1"/>
  <c r="H308" i="1"/>
  <c r="I308" i="1"/>
  <c r="G305" i="11"/>
  <c r="H305" i="11" s="1"/>
  <c r="J307" i="13" s="1"/>
  <c r="K307" i="13"/>
  <c r="D305" i="11"/>
  <c r="H306" i="31"/>
  <c r="Q307" i="13" s="1"/>
  <c r="F306" i="31"/>
  <c r="P307" i="13" s="1"/>
  <c r="AA307" i="1" l="1"/>
  <c r="H307" i="13"/>
  <c r="E305" i="11"/>
  <c r="I307" i="13" s="1"/>
  <c r="R307" i="1"/>
  <c r="Q307" i="1" s="1"/>
  <c r="P307" i="1" s="1"/>
  <c r="O307" i="1" s="1"/>
  <c r="N307" i="1" s="1"/>
  <c r="E308" i="13"/>
  <c r="Y307" i="1"/>
  <c r="AD307" i="1"/>
  <c r="F307" i="11"/>
  <c r="L308" i="13"/>
  <c r="M307" i="1" l="1"/>
  <c r="F308" i="13"/>
  <c r="AB307" i="1" l="1"/>
  <c r="AC307" i="1" s="1"/>
  <c r="M308" i="13" s="1"/>
  <c r="E307" i="31"/>
  <c r="G308" i="13"/>
  <c r="G308" i="1" l="1"/>
  <c r="F308" i="1"/>
  <c r="B307" i="31"/>
  <c r="C307" i="31"/>
  <c r="AF307" i="1"/>
  <c r="N308" i="13" s="1"/>
  <c r="AG307" i="1"/>
  <c r="D307" i="31" l="1"/>
  <c r="C306" i="11"/>
  <c r="E308" i="1"/>
  <c r="D308" i="1" s="1"/>
  <c r="F307" i="31" l="1"/>
  <c r="P308" i="13" s="1"/>
  <c r="O308" i="13"/>
  <c r="H307" i="31"/>
  <c r="Q308" i="13" s="1"/>
  <c r="K308" i="13"/>
  <c r="G306" i="11"/>
  <c r="H306" i="11" s="1"/>
  <c r="J308" i="13" s="1"/>
  <c r="D306" i="11"/>
  <c r="A307" i="11"/>
  <c r="C308" i="1"/>
  <c r="D309" i="13" s="1"/>
  <c r="C309" i="13"/>
  <c r="B309" i="13"/>
  <c r="X308" i="1"/>
  <c r="L308" i="1"/>
  <c r="H309" i="1"/>
  <c r="I309" i="1"/>
  <c r="R308" i="1" l="1"/>
  <c r="Q308" i="1" s="1"/>
  <c r="P308" i="1" s="1"/>
  <c r="O308" i="1" s="1"/>
  <c r="N308" i="1" s="1"/>
  <c r="E306" i="11"/>
  <c r="I308" i="13" s="1"/>
  <c r="H308" i="13"/>
  <c r="Y308" i="1"/>
  <c r="E309" i="13"/>
  <c r="AD308" i="1"/>
  <c r="F308" i="11"/>
  <c r="AA308" i="1"/>
  <c r="L309" i="13"/>
  <c r="M308" i="1" l="1"/>
  <c r="F309" i="13"/>
  <c r="AB308" i="1" l="1"/>
  <c r="AC308" i="1" s="1"/>
  <c r="M309" i="13" s="1"/>
  <c r="E308" i="31"/>
  <c r="G309" i="13"/>
  <c r="AG308" i="1"/>
  <c r="F309" i="1" l="1"/>
  <c r="G309" i="1"/>
  <c r="C307" i="11"/>
  <c r="B308" i="31"/>
  <c r="C308" i="31"/>
  <c r="AF308" i="1"/>
  <c r="N309" i="13" s="1"/>
  <c r="E309" i="1" l="1"/>
  <c r="D309" i="1" s="1"/>
  <c r="B310" i="13" s="1"/>
  <c r="G307" i="11"/>
  <c r="H307" i="11" s="1"/>
  <c r="J309" i="13" s="1"/>
  <c r="K309" i="13"/>
  <c r="D307" i="11"/>
  <c r="D308" i="31"/>
  <c r="O309" i="13" s="1"/>
  <c r="A308" i="11" l="1"/>
  <c r="L310" i="13" s="1"/>
  <c r="L309" i="1"/>
  <c r="Y309" i="1" s="1"/>
  <c r="C309" i="1"/>
  <c r="D310" i="13" s="1"/>
  <c r="C310" i="13"/>
  <c r="I310" i="1"/>
  <c r="X309" i="1"/>
  <c r="H310" i="1"/>
  <c r="E307" i="11"/>
  <c r="I309" i="13" s="1"/>
  <c r="H309" i="13"/>
  <c r="F308" i="31"/>
  <c r="P309" i="13" s="1"/>
  <c r="H308" i="31"/>
  <c r="Q309" i="13" s="1"/>
  <c r="AA309" i="1" l="1"/>
  <c r="R309" i="1"/>
  <c r="Q309" i="1" s="1"/>
  <c r="P309" i="1" s="1"/>
  <c r="O309" i="1" s="1"/>
  <c r="N309" i="1" s="1"/>
  <c r="F310" i="13" s="1"/>
  <c r="F309" i="11"/>
  <c r="E310" i="13"/>
  <c r="AD309" i="1"/>
  <c r="M309" i="1" l="1"/>
  <c r="G310" i="13" s="1"/>
  <c r="E309" i="31" l="1"/>
  <c r="AB309" i="1"/>
  <c r="AC309" i="1" s="1"/>
  <c r="M310" i="13" s="1"/>
  <c r="G310" i="1"/>
  <c r="F310" i="1"/>
  <c r="AG309" i="1"/>
  <c r="AF309" i="1" l="1"/>
  <c r="N310" i="13" s="1"/>
  <c r="C309" i="31"/>
  <c r="B309" i="31"/>
  <c r="C308" i="11"/>
  <c r="E310" i="1"/>
  <c r="D310" i="1" s="1"/>
  <c r="D309" i="31" l="1"/>
  <c r="H309" i="31" s="1"/>
  <c r="Q310" i="13" s="1"/>
  <c r="O310" i="13"/>
  <c r="K310" i="13"/>
  <c r="G308" i="11"/>
  <c r="H308" i="11" s="1"/>
  <c r="J310" i="13" s="1"/>
  <c r="D308" i="11"/>
  <c r="X310" i="1"/>
  <c r="C310" i="1"/>
  <c r="D311" i="13" s="1"/>
  <c r="C311" i="13"/>
  <c r="A309" i="11"/>
  <c r="B311" i="13"/>
  <c r="I311" i="1"/>
  <c r="L310" i="1"/>
  <c r="H311" i="1"/>
  <c r="F309" i="31" l="1"/>
  <c r="P310" i="13" s="1"/>
  <c r="AA310" i="1"/>
  <c r="E311" i="13"/>
  <c r="Y310" i="1"/>
  <c r="F310" i="11"/>
  <c r="AD310" i="1"/>
  <c r="L311" i="13"/>
  <c r="H310" i="13"/>
  <c r="E308" i="11"/>
  <c r="I310" i="13" s="1"/>
  <c r="R310" i="1"/>
  <c r="Q310" i="1" s="1"/>
  <c r="P310" i="1" s="1"/>
  <c r="O310" i="1" s="1"/>
  <c r="N310" i="1" s="1"/>
  <c r="F311" i="13" l="1"/>
  <c r="M310" i="1"/>
  <c r="AB310" i="1" l="1"/>
  <c r="AC310" i="1" s="1"/>
  <c r="M311" i="13" s="1"/>
  <c r="E310" i="31"/>
  <c r="G311" i="13"/>
  <c r="F311" i="1" l="1"/>
  <c r="G311" i="1"/>
  <c r="C310" i="31"/>
  <c r="B310" i="31"/>
  <c r="AF310" i="1"/>
  <c r="N311" i="13" s="1"/>
  <c r="AG310" i="1"/>
  <c r="D310" i="31" l="1"/>
  <c r="O311" i="13" s="1"/>
  <c r="C309" i="11"/>
  <c r="E311" i="1"/>
  <c r="D311" i="1" s="1"/>
  <c r="X311" i="1" l="1"/>
  <c r="A310" i="11"/>
  <c r="C312" i="13"/>
  <c r="C311" i="1"/>
  <c r="D312" i="13" s="1"/>
  <c r="B312" i="13"/>
  <c r="L311" i="1"/>
  <c r="I312" i="1"/>
  <c r="H312" i="1"/>
  <c r="K311" i="13"/>
  <c r="G309" i="11"/>
  <c r="H309" i="11" s="1"/>
  <c r="J311" i="13" s="1"/>
  <c r="D309" i="11"/>
  <c r="H310" i="31"/>
  <c r="Q311" i="13" s="1"/>
  <c r="F310" i="31"/>
  <c r="P311" i="13" s="1"/>
  <c r="AA311" i="1" l="1"/>
  <c r="E312" i="13"/>
  <c r="Y311" i="1"/>
  <c r="F311" i="11"/>
  <c r="AD311" i="1"/>
  <c r="L312" i="13"/>
  <c r="R311" i="1"/>
  <c r="Q311" i="1" s="1"/>
  <c r="P311" i="1" s="1"/>
  <c r="O311" i="1" s="1"/>
  <c r="N311" i="1" s="1"/>
  <c r="H311" i="13"/>
  <c r="E309" i="11"/>
  <c r="I311" i="13" s="1"/>
  <c r="F312" i="13" l="1"/>
  <c r="M311" i="1"/>
  <c r="AB311" i="1" l="1"/>
  <c r="AC311" i="1" s="1"/>
  <c r="M312" i="13" s="1"/>
  <c r="E311" i="31"/>
  <c r="G312" i="13"/>
  <c r="G312" i="1" l="1"/>
  <c r="F312" i="1"/>
  <c r="B311" i="31"/>
  <c r="C311" i="31"/>
  <c r="AF311" i="1"/>
  <c r="N312" i="13" s="1"/>
  <c r="AG311" i="1"/>
  <c r="D311" i="31" l="1"/>
  <c r="E312" i="1"/>
  <c r="D312" i="1" s="1"/>
  <c r="C310" i="11"/>
  <c r="F311" i="31" l="1"/>
  <c r="P312" i="13" s="1"/>
  <c r="O312" i="13"/>
  <c r="H311" i="31"/>
  <c r="Q312" i="13" s="1"/>
  <c r="A311" i="11"/>
  <c r="C312" i="1"/>
  <c r="D313" i="13" s="1"/>
  <c r="C313" i="13"/>
  <c r="X312" i="1"/>
  <c r="B313" i="13"/>
  <c r="L312" i="1"/>
  <c r="H313" i="1"/>
  <c r="I313" i="1"/>
  <c r="G310" i="11"/>
  <c r="H310" i="11" s="1"/>
  <c r="J312" i="13" s="1"/>
  <c r="K312" i="13"/>
  <c r="D310" i="11"/>
  <c r="AA312" i="1" l="1"/>
  <c r="E313" i="13"/>
  <c r="Y312" i="1"/>
  <c r="F312" i="11"/>
  <c r="AD312" i="1"/>
  <c r="L313" i="13"/>
  <c r="H312" i="13"/>
  <c r="E310" i="11"/>
  <c r="I312" i="13" s="1"/>
  <c r="R312" i="1"/>
  <c r="Q312" i="1" s="1"/>
  <c r="P312" i="1" s="1"/>
  <c r="O312" i="1" s="1"/>
  <c r="N312" i="1" s="1"/>
  <c r="F313" i="13" l="1"/>
  <c r="M312" i="1"/>
  <c r="AB312" i="1" l="1"/>
  <c r="AC312" i="1" s="1"/>
  <c r="M313" i="13" s="1"/>
  <c r="G313" i="13"/>
  <c r="E312" i="31"/>
  <c r="F313" i="1" l="1"/>
  <c r="G313" i="1"/>
  <c r="C312" i="31"/>
  <c r="B312" i="31"/>
  <c r="AF312" i="1"/>
  <c r="N313" i="13" s="1"/>
  <c r="AG312" i="1"/>
  <c r="D312" i="31" l="1"/>
  <c r="O313" i="13" s="1"/>
  <c r="C311" i="11"/>
  <c r="E313" i="1"/>
  <c r="D313" i="1" s="1"/>
  <c r="B314" i="13" l="1"/>
  <c r="C313" i="1"/>
  <c r="D314" i="13" s="1"/>
  <c r="X313" i="1"/>
  <c r="C314" i="13"/>
  <c r="A312" i="11"/>
  <c r="L313" i="1"/>
  <c r="I314" i="1"/>
  <c r="H314" i="1"/>
  <c r="K313" i="13"/>
  <c r="G311" i="11"/>
  <c r="H311" i="11" s="1"/>
  <c r="J313" i="13" s="1"/>
  <c r="D311" i="11"/>
  <c r="F312" i="31"/>
  <c r="P313" i="13" s="1"/>
  <c r="H312" i="31"/>
  <c r="Q313" i="13" s="1"/>
  <c r="AA313" i="1" l="1"/>
  <c r="Y313" i="1"/>
  <c r="E314" i="13"/>
  <c r="F313" i="11"/>
  <c r="AD313" i="1"/>
  <c r="R313" i="1"/>
  <c r="Q313" i="1" s="1"/>
  <c r="P313" i="1" s="1"/>
  <c r="O313" i="1" s="1"/>
  <c r="N313" i="1" s="1"/>
  <c r="L314" i="13"/>
  <c r="E311" i="11"/>
  <c r="I313" i="13" s="1"/>
  <c r="H313" i="13"/>
  <c r="M313" i="1" l="1"/>
  <c r="F314" i="13"/>
  <c r="AB313" i="1" l="1"/>
  <c r="AC313" i="1" s="1"/>
  <c r="M314" i="13" s="1"/>
  <c r="G314" i="13"/>
  <c r="E313" i="31"/>
  <c r="AG313" i="1"/>
  <c r="G314" i="1" l="1"/>
  <c r="F314" i="1"/>
  <c r="C312" i="11"/>
  <c r="C313" i="31"/>
  <c r="B313" i="31"/>
  <c r="AF313" i="1"/>
  <c r="N314" i="13" s="1"/>
  <c r="E314" i="1" l="1"/>
  <c r="D314" i="1" s="1"/>
  <c r="C315" i="13" s="1"/>
  <c r="D313" i="31"/>
  <c r="G312" i="11"/>
  <c r="H312" i="11" s="1"/>
  <c r="J314" i="13" s="1"/>
  <c r="K314" i="13"/>
  <c r="D312" i="11"/>
  <c r="H315" i="1" l="1"/>
  <c r="L314" i="1"/>
  <c r="E315" i="13" s="1"/>
  <c r="C314" i="1"/>
  <c r="D315" i="13" s="1"/>
  <c r="I315" i="1"/>
  <c r="X314" i="1"/>
  <c r="A313" i="11"/>
  <c r="L315" i="13" s="1"/>
  <c r="B315" i="13"/>
  <c r="F313" i="31"/>
  <c r="P314" i="13" s="1"/>
  <c r="O314" i="13"/>
  <c r="H313" i="31"/>
  <c r="Q314" i="13" s="1"/>
  <c r="E312" i="11"/>
  <c r="I314" i="13" s="1"/>
  <c r="H314" i="13"/>
  <c r="R314" i="1" l="1"/>
  <c r="Q314" i="1" s="1"/>
  <c r="P314" i="1" s="1"/>
  <c r="O314" i="1" s="1"/>
  <c r="N314" i="1" s="1"/>
  <c r="F315" i="13" s="1"/>
  <c r="AD314" i="1"/>
  <c r="F314" i="11"/>
  <c r="Y314" i="1"/>
  <c r="AA314" i="1"/>
  <c r="M314" i="1" l="1"/>
  <c r="AB314" i="1" s="1"/>
  <c r="AC314" i="1" s="1"/>
  <c r="M315" i="13" s="1"/>
  <c r="G315" i="13" l="1"/>
  <c r="E314" i="31"/>
  <c r="G315" i="1"/>
  <c r="F315" i="1"/>
  <c r="B314" i="31"/>
  <c r="C314" i="31"/>
  <c r="AF314" i="1"/>
  <c r="N315" i="13" s="1"/>
  <c r="AG314" i="1"/>
  <c r="D314" i="31" l="1"/>
  <c r="E315" i="1"/>
  <c r="D315" i="1" s="1"/>
  <c r="C313" i="11"/>
  <c r="F314" i="31" l="1"/>
  <c r="P315" i="13" s="1"/>
  <c r="O315" i="13"/>
  <c r="H314" i="31"/>
  <c r="Q315" i="13" s="1"/>
  <c r="A314" i="11"/>
  <c r="C315" i="1"/>
  <c r="D316" i="13" s="1"/>
  <c r="X315" i="1"/>
  <c r="B316" i="13"/>
  <c r="C316" i="13"/>
  <c r="I316" i="1"/>
  <c r="L315" i="1"/>
  <c r="H316" i="1"/>
  <c r="K315" i="13"/>
  <c r="G313" i="11"/>
  <c r="H313" i="11" s="1"/>
  <c r="J315" i="13" s="1"/>
  <c r="D313" i="11"/>
  <c r="AA315" i="1" l="1"/>
  <c r="R315" i="1"/>
  <c r="Q315" i="1" s="1"/>
  <c r="P315" i="1" s="1"/>
  <c r="O315" i="1" s="1"/>
  <c r="N315" i="1" s="1"/>
  <c r="L316" i="13"/>
  <c r="H315" i="13"/>
  <c r="E313" i="11"/>
  <c r="I315" i="13" s="1"/>
  <c r="Y315" i="1"/>
  <c r="E316" i="13"/>
  <c r="F315" i="11"/>
  <c r="AD315" i="1"/>
  <c r="F316" i="13" l="1"/>
  <c r="M315" i="1"/>
  <c r="AB315" i="1" l="1"/>
  <c r="AC315" i="1" s="1"/>
  <c r="M316" i="13" s="1"/>
  <c r="G316" i="13"/>
  <c r="E315" i="31"/>
  <c r="AG315" i="1"/>
  <c r="G316" i="1" l="1"/>
  <c r="F316" i="1"/>
  <c r="C314" i="11"/>
  <c r="C315" i="31"/>
  <c r="B315" i="31"/>
  <c r="AF315" i="1"/>
  <c r="N316" i="13" s="1"/>
  <c r="E316" i="1" l="1"/>
  <c r="D316" i="1" s="1"/>
  <c r="C316" i="1" s="1"/>
  <c r="D317" i="13" s="1"/>
  <c r="G314" i="11"/>
  <c r="H314" i="11" s="1"/>
  <c r="J316" i="13" s="1"/>
  <c r="K316" i="13"/>
  <c r="D314" i="11"/>
  <c r="D315" i="31"/>
  <c r="O316" i="13" s="1"/>
  <c r="B317" i="13" l="1"/>
  <c r="H317" i="1"/>
  <c r="C317" i="13"/>
  <c r="I317" i="1"/>
  <c r="X316" i="1"/>
  <c r="L316" i="1"/>
  <c r="F316" i="11" s="1"/>
  <c r="A315" i="11"/>
  <c r="L317" i="13" s="1"/>
  <c r="H316" i="13"/>
  <c r="E314" i="11"/>
  <c r="I316" i="13" s="1"/>
  <c r="H315" i="31"/>
  <c r="Q316" i="13" s="1"/>
  <c r="F315" i="31"/>
  <c r="P316" i="13" s="1"/>
  <c r="AA316" i="1" l="1"/>
  <c r="R316" i="1"/>
  <c r="Q316" i="1" s="1"/>
  <c r="P316" i="1" s="1"/>
  <c r="O316" i="1" s="1"/>
  <c r="N316" i="1" s="1"/>
  <c r="F317" i="13" s="1"/>
  <c r="AD316" i="1"/>
  <c r="Y316" i="1"/>
  <c r="E317" i="13"/>
  <c r="M316" i="1" l="1"/>
  <c r="AB316" i="1" s="1"/>
  <c r="AC316" i="1" s="1"/>
  <c r="M317" i="13" s="1"/>
  <c r="AG316" i="1"/>
  <c r="E316" i="31" l="1"/>
  <c r="G317" i="13"/>
  <c r="F317" i="1"/>
  <c r="G317" i="1"/>
  <c r="C315" i="11"/>
  <c r="B316" i="31"/>
  <c r="C316" i="31"/>
  <c r="AF316" i="1"/>
  <c r="N317" i="13" s="1"/>
  <c r="E317" i="1" l="1"/>
  <c r="D317" i="1" s="1"/>
  <c r="A316" i="11" s="1"/>
  <c r="D316" i="31"/>
  <c r="K317" i="13"/>
  <c r="G315" i="11"/>
  <c r="H315" i="11" s="1"/>
  <c r="J317" i="13" s="1"/>
  <c r="D315" i="11"/>
  <c r="L317" i="1" l="1"/>
  <c r="E318" i="13" s="1"/>
  <c r="C318" i="13"/>
  <c r="B318" i="13"/>
  <c r="C317" i="1"/>
  <c r="D318" i="13" s="1"/>
  <c r="X317" i="1"/>
  <c r="H318" i="1"/>
  <c r="I318" i="1"/>
  <c r="F316" i="31"/>
  <c r="P317" i="13" s="1"/>
  <c r="O317" i="13"/>
  <c r="H316" i="31"/>
  <c r="Q317" i="13" s="1"/>
  <c r="E315" i="11"/>
  <c r="I317" i="13" s="1"/>
  <c r="H317" i="13"/>
  <c r="L318" i="13"/>
  <c r="AA317" i="1" l="1"/>
  <c r="R317" i="1"/>
  <c r="Q317" i="1" s="1"/>
  <c r="P317" i="1" s="1"/>
  <c r="O317" i="1" s="1"/>
  <c r="N317" i="1" s="1"/>
  <c r="F318" i="13" s="1"/>
  <c r="F317" i="11"/>
  <c r="AD317" i="1"/>
  <c r="Y317" i="1"/>
  <c r="M317" i="1" l="1"/>
  <c r="AB317" i="1" s="1"/>
  <c r="AC317" i="1" s="1"/>
  <c r="M318" i="13" s="1"/>
  <c r="AG317" i="1"/>
  <c r="F318" i="1" l="1"/>
  <c r="G318" i="13"/>
  <c r="AF317" i="1"/>
  <c r="N318" i="13" s="1"/>
  <c r="C317" i="31"/>
  <c r="G318" i="1"/>
  <c r="E317" i="31"/>
  <c r="B317" i="31"/>
  <c r="C316" i="11"/>
  <c r="E318" i="1" l="1"/>
  <c r="D318" i="1" s="1"/>
  <c r="C319" i="13" s="1"/>
  <c r="D317" i="31"/>
  <c r="H317" i="31" s="1"/>
  <c r="Q318" i="13" s="1"/>
  <c r="O318" i="13"/>
  <c r="K318" i="13"/>
  <c r="G316" i="11"/>
  <c r="H316" i="11" s="1"/>
  <c r="J318" i="13" s="1"/>
  <c r="D316" i="11"/>
  <c r="H319" i="1" l="1"/>
  <c r="AA318" i="1" s="1"/>
  <c r="L318" i="1"/>
  <c r="AD318" i="1" s="1"/>
  <c r="X318" i="1"/>
  <c r="I319" i="1"/>
  <c r="B319" i="13"/>
  <c r="C318" i="1"/>
  <c r="D319" i="13" s="1"/>
  <c r="A317" i="11"/>
  <c r="L319" i="13" s="1"/>
  <c r="F317" i="31"/>
  <c r="P318" i="13" s="1"/>
  <c r="H318" i="13"/>
  <c r="E316" i="11"/>
  <c r="I318" i="13" s="1"/>
  <c r="Y318" i="1" l="1"/>
  <c r="F318" i="11"/>
  <c r="E319" i="13"/>
  <c r="R318" i="1"/>
  <c r="Q318" i="1" s="1"/>
  <c r="P318" i="1" s="1"/>
  <c r="O318" i="1" s="1"/>
  <c r="N318" i="1" s="1"/>
  <c r="F319" i="13" s="1"/>
  <c r="M318" i="1" l="1"/>
  <c r="AB318" i="1" s="1"/>
  <c r="AC318" i="1" s="1"/>
  <c r="M319" i="13" s="1"/>
  <c r="AG318" i="1"/>
  <c r="E318" i="31" l="1"/>
  <c r="G319" i="13"/>
  <c r="G319" i="1"/>
  <c r="F319" i="1"/>
  <c r="C317" i="11"/>
  <c r="C318" i="31"/>
  <c r="B318" i="31"/>
  <c r="AF318" i="1"/>
  <c r="N319" i="13" s="1"/>
  <c r="E319" i="1" l="1"/>
  <c r="D319" i="1" s="1"/>
  <c r="C319" i="1" s="1"/>
  <c r="D320" i="13" s="1"/>
  <c r="D318" i="31"/>
  <c r="K319" i="13"/>
  <c r="G317" i="11"/>
  <c r="H317" i="11" s="1"/>
  <c r="J319" i="13" s="1"/>
  <c r="D317" i="11"/>
  <c r="I320" i="1" l="1"/>
  <c r="C320" i="13"/>
  <c r="L319" i="1"/>
  <c r="E320" i="13" s="1"/>
  <c r="X319" i="1"/>
  <c r="A318" i="11"/>
  <c r="L320" i="13" s="1"/>
  <c r="B320" i="13"/>
  <c r="H320" i="1"/>
  <c r="F318" i="31"/>
  <c r="P319" i="13" s="1"/>
  <c r="O319" i="13"/>
  <c r="H318" i="31"/>
  <c r="Q319" i="13" s="1"/>
  <c r="H319" i="13"/>
  <c r="E317" i="11"/>
  <c r="I319" i="13" s="1"/>
  <c r="R319" i="1" l="1"/>
  <c r="Q319" i="1" s="1"/>
  <c r="P319" i="1" s="1"/>
  <c r="O319" i="1" s="1"/>
  <c r="N319" i="1" s="1"/>
  <c r="F320" i="13" s="1"/>
  <c r="AA319" i="1"/>
  <c r="AD319" i="1"/>
  <c r="F319" i="11"/>
  <c r="Y319" i="1"/>
  <c r="M319" i="1" l="1"/>
  <c r="AB319" i="1" s="1"/>
  <c r="AC319" i="1" s="1"/>
  <c r="M320" i="13" s="1"/>
  <c r="AG319" i="1"/>
  <c r="G320" i="13" l="1"/>
  <c r="E319" i="31"/>
  <c r="G320" i="1"/>
  <c r="F320" i="1"/>
  <c r="C318" i="11"/>
  <c r="B319" i="31"/>
  <c r="C319" i="31"/>
  <c r="AF319" i="1"/>
  <c r="N320" i="13" s="1"/>
  <c r="E320" i="1" l="1"/>
  <c r="D320" i="1" s="1"/>
  <c r="B321" i="13" s="1"/>
  <c r="K320" i="13"/>
  <c r="G318" i="11"/>
  <c r="H318" i="11" s="1"/>
  <c r="J320" i="13" s="1"/>
  <c r="D318" i="11"/>
  <c r="D319" i="31"/>
  <c r="O320" i="13" s="1"/>
  <c r="X320" i="1" l="1"/>
  <c r="L320" i="1"/>
  <c r="AD320" i="1" s="1"/>
  <c r="C320" i="1"/>
  <c r="D321" i="13" s="1"/>
  <c r="H321" i="1"/>
  <c r="C321" i="13"/>
  <c r="I321" i="1"/>
  <c r="A319" i="11"/>
  <c r="L321" i="13" s="1"/>
  <c r="H319" i="31"/>
  <c r="Q320" i="13" s="1"/>
  <c r="F319" i="31"/>
  <c r="P320" i="13" s="1"/>
  <c r="E318" i="11"/>
  <c r="I320" i="13" s="1"/>
  <c r="H320" i="13"/>
  <c r="AA320" i="1" l="1"/>
  <c r="R320" i="1"/>
  <c r="Q320" i="1" s="1"/>
  <c r="P320" i="1" s="1"/>
  <c r="O320" i="1" s="1"/>
  <c r="N320" i="1" s="1"/>
  <c r="M320" i="1" s="1"/>
  <c r="E321" i="13"/>
  <c r="Y320" i="1"/>
  <c r="F320" i="11"/>
  <c r="F321" i="13" l="1"/>
  <c r="AB320" i="1"/>
  <c r="AC320" i="1" s="1"/>
  <c r="M321" i="13" s="1"/>
  <c r="E320" i="31"/>
  <c r="G321" i="13"/>
  <c r="AG320" i="1"/>
  <c r="F321" i="1" l="1"/>
  <c r="G321" i="1"/>
  <c r="C319" i="11"/>
  <c r="B320" i="31"/>
  <c r="C320" i="31"/>
  <c r="AF320" i="1"/>
  <c r="N321" i="13" s="1"/>
  <c r="E321" i="1" l="1"/>
  <c r="D321" i="1" s="1"/>
  <c r="B322" i="13" s="1"/>
  <c r="K321" i="13"/>
  <c r="G319" i="11"/>
  <c r="H319" i="11" s="1"/>
  <c r="J321" i="13" s="1"/>
  <c r="D319" i="11"/>
  <c r="D320" i="31"/>
  <c r="O321" i="13" s="1"/>
  <c r="H322" i="1" l="1"/>
  <c r="R321" i="1" s="1"/>
  <c r="A320" i="11"/>
  <c r="L322" i="13" s="1"/>
  <c r="C322" i="13"/>
  <c r="I322" i="1"/>
  <c r="C321" i="1"/>
  <c r="D322" i="13" s="1"/>
  <c r="L321" i="1"/>
  <c r="E322" i="13" s="1"/>
  <c r="X321" i="1"/>
  <c r="F320" i="31"/>
  <c r="P321" i="13" s="1"/>
  <c r="H320" i="31"/>
  <c r="Q321" i="13" s="1"/>
  <c r="H321" i="13"/>
  <c r="E319" i="11"/>
  <c r="I321" i="13" s="1"/>
  <c r="AA321" i="1" l="1"/>
  <c r="F321" i="11"/>
  <c r="AD321" i="1"/>
  <c r="Q321" i="1"/>
  <c r="P321" i="1" s="1"/>
  <c r="O321" i="1" s="1"/>
  <c r="N321" i="1" s="1"/>
  <c r="M321" i="1" s="1"/>
  <c r="Y321" i="1"/>
  <c r="F322" i="13" l="1"/>
  <c r="AB321" i="1"/>
  <c r="AC321" i="1" s="1"/>
  <c r="M322" i="13" s="1"/>
  <c r="E321" i="31"/>
  <c r="G322" i="13"/>
  <c r="F322" i="1" l="1"/>
  <c r="G322" i="1"/>
  <c r="C321" i="31"/>
  <c r="B321" i="31"/>
  <c r="AF321" i="1"/>
  <c r="N322" i="13" s="1"/>
  <c r="AG321" i="1"/>
  <c r="D321" i="31" l="1"/>
  <c r="E322" i="1"/>
  <c r="D322" i="1" s="1"/>
  <c r="C320" i="11"/>
  <c r="H321" i="31" l="1"/>
  <c r="Q322" i="13" s="1"/>
  <c r="O322" i="13"/>
  <c r="F321" i="31"/>
  <c r="P322" i="13" s="1"/>
  <c r="G320" i="11"/>
  <c r="H320" i="11" s="1"/>
  <c r="J322" i="13" s="1"/>
  <c r="K322" i="13"/>
  <c r="D320" i="11"/>
  <c r="X322" i="1"/>
  <c r="A321" i="11"/>
  <c r="C322" i="1"/>
  <c r="D323" i="13" s="1"/>
  <c r="B323" i="13"/>
  <c r="C323" i="13"/>
  <c r="I323" i="1"/>
  <c r="H323" i="1"/>
  <c r="L322" i="1"/>
  <c r="AA322" i="1" l="1"/>
  <c r="E320" i="11"/>
  <c r="I322" i="13" s="1"/>
  <c r="H322" i="13"/>
  <c r="R322" i="1"/>
  <c r="Q322" i="1" s="1"/>
  <c r="P322" i="1" s="1"/>
  <c r="O322" i="1" s="1"/>
  <c r="N322" i="1" s="1"/>
  <c r="L323" i="13"/>
  <c r="E323" i="13"/>
  <c r="Y322" i="1"/>
  <c r="AD322" i="1"/>
  <c r="F322" i="11"/>
  <c r="M322" i="1" l="1"/>
  <c r="F323" i="13"/>
  <c r="AB322" i="1" l="1"/>
  <c r="AC322" i="1" s="1"/>
  <c r="M323" i="13" s="1"/>
  <c r="E322" i="31"/>
  <c r="G323" i="13"/>
  <c r="F323" i="1" l="1"/>
  <c r="G323" i="1"/>
  <c r="B322" i="31"/>
  <c r="C322" i="31"/>
  <c r="AF322" i="1"/>
  <c r="N323" i="13" s="1"/>
  <c r="AG322" i="1"/>
  <c r="C321" i="11" l="1"/>
  <c r="E323" i="1"/>
  <c r="D323" i="1" s="1"/>
  <c r="D322" i="31"/>
  <c r="O323" i="13" s="1"/>
  <c r="H322" i="31" l="1"/>
  <c r="Q323" i="13" s="1"/>
  <c r="F322" i="31"/>
  <c r="P323" i="13" s="1"/>
  <c r="B324" i="13"/>
  <c r="C324" i="13"/>
  <c r="C323" i="1"/>
  <c r="D324" i="13" s="1"/>
  <c r="X323" i="1"/>
  <c r="A322" i="11"/>
  <c r="L323" i="1"/>
  <c r="H324" i="1"/>
  <c r="I324" i="1"/>
  <c r="K323" i="13"/>
  <c r="G321" i="11"/>
  <c r="H321" i="11" s="1"/>
  <c r="J323" i="13" s="1"/>
  <c r="D321" i="11"/>
  <c r="AA323" i="1" l="1"/>
  <c r="L324" i="13"/>
  <c r="E321" i="11"/>
  <c r="I323" i="13" s="1"/>
  <c r="H323" i="13"/>
  <c r="R323" i="1"/>
  <c r="Q323" i="1" s="1"/>
  <c r="P323" i="1" s="1"/>
  <c r="O323" i="1" s="1"/>
  <c r="N323" i="1" s="1"/>
  <c r="Y323" i="1"/>
  <c r="E324" i="13"/>
  <c r="F323" i="11"/>
  <c r="AD323" i="1"/>
  <c r="M323" i="1" l="1"/>
  <c r="F324" i="13"/>
  <c r="AB323" i="1" l="1"/>
  <c r="AC323" i="1" s="1"/>
  <c r="M324" i="13" s="1"/>
  <c r="G324" i="13"/>
  <c r="E323" i="31"/>
  <c r="AG323" i="1"/>
  <c r="G324" i="1" l="1"/>
  <c r="F324" i="1"/>
  <c r="C322" i="11"/>
  <c r="C323" i="31"/>
  <c r="B323" i="31"/>
  <c r="AF323" i="1"/>
  <c r="N324" i="13" s="1"/>
  <c r="E324" i="1" l="1"/>
  <c r="D324" i="1" s="1"/>
  <c r="A323" i="11" s="1"/>
  <c r="D323" i="31"/>
  <c r="K324" i="13"/>
  <c r="G322" i="11"/>
  <c r="H322" i="11" s="1"/>
  <c r="J324" i="13" s="1"/>
  <c r="D322" i="11"/>
  <c r="I325" i="1" l="1"/>
  <c r="B325" i="13"/>
  <c r="L324" i="1"/>
  <c r="Y324" i="1" s="1"/>
  <c r="C325" i="13"/>
  <c r="C324" i="1"/>
  <c r="D325" i="13" s="1"/>
  <c r="X324" i="1"/>
  <c r="H325" i="1"/>
  <c r="H323" i="31"/>
  <c r="Q324" i="13" s="1"/>
  <c r="O324" i="13"/>
  <c r="F323" i="31"/>
  <c r="P324" i="13" s="1"/>
  <c r="E322" i="11"/>
  <c r="I324" i="13" s="1"/>
  <c r="H324" i="13"/>
  <c r="L325" i="13"/>
  <c r="AA324" i="1" l="1"/>
  <c r="F324" i="11"/>
  <c r="E325" i="13"/>
  <c r="R324" i="1"/>
  <c r="Q324" i="1" s="1"/>
  <c r="P324" i="1" s="1"/>
  <c r="O324" i="1" s="1"/>
  <c r="N324" i="1" s="1"/>
  <c r="M324" i="1" s="1"/>
  <c r="AD324" i="1"/>
  <c r="F325" i="13" l="1"/>
  <c r="E324" i="31"/>
  <c r="G325" i="13"/>
  <c r="AB324" i="1"/>
  <c r="AC324" i="1" s="1"/>
  <c r="M325" i="13" s="1"/>
  <c r="F325" i="1" l="1"/>
  <c r="G325" i="1"/>
  <c r="C324" i="31"/>
  <c r="B324" i="31"/>
  <c r="AF324" i="1"/>
  <c r="N325" i="13" s="1"/>
  <c r="AG324" i="1"/>
  <c r="D324" i="31" l="1"/>
  <c r="C323" i="11"/>
  <c r="E325" i="1"/>
  <c r="D325" i="1" s="1"/>
  <c r="H324" i="31" l="1"/>
  <c r="Q325" i="13" s="1"/>
  <c r="O325" i="13"/>
  <c r="F324" i="31"/>
  <c r="P325" i="13" s="1"/>
  <c r="X325" i="1"/>
  <c r="B326" i="13"/>
  <c r="C326" i="13"/>
  <c r="C325" i="1"/>
  <c r="D326" i="13" s="1"/>
  <c r="A324" i="11"/>
  <c r="L325" i="1"/>
  <c r="I326" i="1"/>
  <c r="H326" i="1"/>
  <c r="K325" i="13"/>
  <c r="G323" i="11"/>
  <c r="H323" i="11" s="1"/>
  <c r="J325" i="13" s="1"/>
  <c r="D323" i="11"/>
  <c r="H325" i="13" l="1"/>
  <c r="E323" i="11"/>
  <c r="I325" i="13" s="1"/>
  <c r="R325" i="1"/>
  <c r="Q325" i="1" s="1"/>
  <c r="P325" i="1" s="1"/>
  <c r="O325" i="1" s="1"/>
  <c r="N325" i="1" s="1"/>
  <c r="L326" i="13"/>
  <c r="Y325" i="1"/>
  <c r="E326" i="13"/>
  <c r="AD325" i="1"/>
  <c r="F325" i="11"/>
  <c r="AA325" i="1"/>
  <c r="F326" i="13" l="1"/>
  <c r="M325" i="1"/>
  <c r="AB325" i="1" l="1"/>
  <c r="AC325" i="1" s="1"/>
  <c r="M326" i="13" s="1"/>
  <c r="G326" i="13"/>
  <c r="E325" i="31"/>
  <c r="F326" i="1" l="1"/>
  <c r="G326" i="1"/>
  <c r="C325" i="31"/>
  <c r="B325" i="31"/>
  <c r="AF325" i="1"/>
  <c r="N326" i="13" s="1"/>
  <c r="AG325" i="1"/>
  <c r="D325" i="31" l="1"/>
  <c r="O326" i="13" s="1"/>
  <c r="C324" i="11"/>
  <c r="E326" i="1"/>
  <c r="D326" i="1" s="1"/>
  <c r="H325" i="31" l="1"/>
  <c r="Q326" i="13" s="1"/>
  <c r="F325" i="31"/>
  <c r="P326" i="13" s="1"/>
  <c r="C326" i="1"/>
  <c r="D327" i="13" s="1"/>
  <c r="A325" i="11"/>
  <c r="B327" i="13"/>
  <c r="C327" i="13"/>
  <c r="X326" i="1"/>
  <c r="L326" i="1"/>
  <c r="I327" i="1"/>
  <c r="H327" i="1"/>
  <c r="K326" i="13"/>
  <c r="G324" i="11"/>
  <c r="H324" i="11" s="1"/>
  <c r="J326" i="13" s="1"/>
  <c r="D324" i="11"/>
  <c r="AA326" i="1" l="1"/>
  <c r="E324" i="11"/>
  <c r="I326" i="13" s="1"/>
  <c r="H326" i="13"/>
  <c r="E327" i="13"/>
  <c r="Y326" i="1"/>
  <c r="F326" i="11"/>
  <c r="AD326" i="1"/>
  <c r="L327" i="13"/>
  <c r="R326" i="1"/>
  <c r="Q326" i="1" s="1"/>
  <c r="P326" i="1" s="1"/>
  <c r="O326" i="1" s="1"/>
  <c r="N326" i="1" s="1"/>
  <c r="F327" i="13" l="1"/>
  <c r="M326" i="1"/>
  <c r="AB326" i="1" l="1"/>
  <c r="AC326" i="1" s="1"/>
  <c r="M327" i="13" s="1"/>
  <c r="G327" i="13"/>
  <c r="E326" i="31"/>
  <c r="G327" i="1" l="1"/>
  <c r="F327" i="1"/>
  <c r="C326" i="31"/>
  <c r="B326" i="31"/>
  <c r="AF326" i="1"/>
  <c r="N327" i="13" s="1"/>
  <c r="AG326" i="1"/>
  <c r="E327" i="1" l="1"/>
  <c r="D327" i="1" s="1"/>
  <c r="C325" i="11"/>
  <c r="D326" i="31"/>
  <c r="O327" i="13" s="1"/>
  <c r="K327" i="13" l="1"/>
  <c r="G325" i="11"/>
  <c r="H325" i="11" s="1"/>
  <c r="J327" i="13" s="1"/>
  <c r="D325" i="11"/>
  <c r="C327" i="1"/>
  <c r="D328" i="13" s="1"/>
  <c r="A326" i="11"/>
  <c r="X327" i="1"/>
  <c r="C328" i="13"/>
  <c r="B328" i="13"/>
  <c r="L327" i="1"/>
  <c r="I328" i="1"/>
  <c r="H328" i="1"/>
  <c r="F326" i="31"/>
  <c r="P327" i="13" s="1"/>
  <c r="H326" i="31"/>
  <c r="Q327" i="13" s="1"/>
  <c r="AA327" i="1" l="1"/>
  <c r="E328" i="13"/>
  <c r="Y327" i="1"/>
  <c r="F327" i="11"/>
  <c r="AD327" i="1"/>
  <c r="L328" i="13"/>
  <c r="R327" i="1"/>
  <c r="Q327" i="1" s="1"/>
  <c r="P327" i="1" s="1"/>
  <c r="O327" i="1" s="1"/>
  <c r="N327" i="1" s="1"/>
  <c r="H327" i="13"/>
  <c r="E325" i="11"/>
  <c r="I327" i="13" s="1"/>
  <c r="F328" i="13" l="1"/>
  <c r="M327" i="1"/>
  <c r="AB327" i="1" l="1"/>
  <c r="AC327" i="1" s="1"/>
  <c r="M328" i="13" s="1"/>
  <c r="G328" i="13"/>
  <c r="E327" i="31"/>
  <c r="AG327" i="1"/>
  <c r="F328" i="1" l="1"/>
  <c r="G328" i="1"/>
  <c r="C326" i="11"/>
  <c r="C327" i="31"/>
  <c r="B327" i="31"/>
  <c r="AF327" i="1"/>
  <c r="N328" i="13" s="1"/>
  <c r="E328" i="1" l="1"/>
  <c r="D328" i="1" s="1"/>
  <c r="A327" i="11" s="1"/>
  <c r="D327" i="31"/>
  <c r="G326" i="11"/>
  <c r="H326" i="11" s="1"/>
  <c r="J328" i="13" s="1"/>
  <c r="K328" i="13"/>
  <c r="D326" i="11"/>
  <c r="H329" i="1" l="1"/>
  <c r="B329" i="13"/>
  <c r="L328" i="1"/>
  <c r="F328" i="11" s="1"/>
  <c r="C328" i="1"/>
  <c r="D329" i="13" s="1"/>
  <c r="I329" i="1"/>
  <c r="C329" i="13"/>
  <c r="X328" i="1"/>
  <c r="H327" i="31"/>
  <c r="Q328" i="13" s="1"/>
  <c r="O328" i="13"/>
  <c r="F327" i="31"/>
  <c r="P328" i="13" s="1"/>
  <c r="L329" i="13"/>
  <c r="E326" i="11"/>
  <c r="I328" i="13" s="1"/>
  <c r="H328" i="13"/>
  <c r="AA328" i="1" l="1"/>
  <c r="R328" i="1"/>
  <c r="Q328" i="1" s="1"/>
  <c r="P328" i="1" s="1"/>
  <c r="O328" i="1" s="1"/>
  <c r="N328" i="1" s="1"/>
  <c r="F329" i="13" s="1"/>
  <c r="E329" i="13"/>
  <c r="Y328" i="1"/>
  <c r="AD328" i="1"/>
  <c r="M328" i="1" l="1"/>
  <c r="AB328" i="1" s="1"/>
  <c r="AC328" i="1" s="1"/>
  <c r="M329" i="13" s="1"/>
  <c r="E328" i="31" l="1"/>
  <c r="G329" i="13"/>
  <c r="G329" i="1"/>
  <c r="F329" i="1"/>
  <c r="C328" i="31"/>
  <c r="B328" i="31"/>
  <c r="AF328" i="1"/>
  <c r="N329" i="13" s="1"/>
  <c r="AG328" i="1"/>
  <c r="D328" i="31" l="1"/>
  <c r="E329" i="1"/>
  <c r="D329" i="1" s="1"/>
  <c r="C327" i="11"/>
  <c r="H328" i="31" l="1"/>
  <c r="Q329" i="13" s="1"/>
  <c r="O329" i="13"/>
  <c r="F328" i="31"/>
  <c r="P329" i="13" s="1"/>
  <c r="G327" i="11"/>
  <c r="H327" i="11" s="1"/>
  <c r="J329" i="13" s="1"/>
  <c r="K329" i="13"/>
  <c r="D327" i="11"/>
  <c r="B330" i="13"/>
  <c r="A328" i="11"/>
  <c r="C330" i="13"/>
  <c r="C329" i="1"/>
  <c r="D330" i="13" s="1"/>
  <c r="X329" i="1"/>
  <c r="L329" i="1"/>
  <c r="H330" i="1"/>
  <c r="I330" i="1"/>
  <c r="R329" i="1" l="1"/>
  <c r="Q329" i="1" s="1"/>
  <c r="P329" i="1" s="1"/>
  <c r="O329" i="1" s="1"/>
  <c r="N329" i="1" s="1"/>
  <c r="E327" i="11"/>
  <c r="I329" i="13" s="1"/>
  <c r="H329" i="13"/>
  <c r="E330" i="13"/>
  <c r="Y329" i="1"/>
  <c r="AD329" i="1"/>
  <c r="F329" i="11"/>
  <c r="AA329" i="1"/>
  <c r="L330" i="13"/>
  <c r="M329" i="1" l="1"/>
  <c r="F330" i="13"/>
  <c r="AB329" i="1" l="1"/>
  <c r="AC329" i="1" s="1"/>
  <c r="M330" i="13" s="1"/>
  <c r="G330" i="13"/>
  <c r="E329" i="31"/>
  <c r="AG329" i="1"/>
  <c r="F330" i="1" l="1"/>
  <c r="G330" i="1"/>
  <c r="C328" i="11"/>
  <c r="B329" i="31"/>
  <c r="C329" i="31"/>
  <c r="AF329" i="1"/>
  <c r="N330" i="13" s="1"/>
  <c r="E330" i="1" l="1"/>
  <c r="D330" i="1" s="1"/>
  <c r="C331" i="13" s="1"/>
  <c r="K330" i="13"/>
  <c r="G328" i="11"/>
  <c r="H328" i="11" s="1"/>
  <c r="J330" i="13" s="1"/>
  <c r="D328" i="11"/>
  <c r="D329" i="31"/>
  <c r="O330" i="13" s="1"/>
  <c r="A329" i="11" l="1"/>
  <c r="L331" i="13" s="1"/>
  <c r="X330" i="1"/>
  <c r="B331" i="13"/>
  <c r="L330" i="1"/>
  <c r="E331" i="13" s="1"/>
  <c r="H331" i="1"/>
  <c r="C330" i="1"/>
  <c r="D331" i="13" s="1"/>
  <c r="I331" i="1"/>
  <c r="H330" i="13"/>
  <c r="E328" i="11"/>
  <c r="I330" i="13" s="1"/>
  <c r="H329" i="31"/>
  <c r="Q330" i="13" s="1"/>
  <c r="F329" i="31"/>
  <c r="P330" i="13" s="1"/>
  <c r="R330" i="1" l="1"/>
  <c r="Q330" i="1" s="1"/>
  <c r="P330" i="1" s="1"/>
  <c r="O330" i="1" s="1"/>
  <c r="N330" i="1" s="1"/>
  <c r="F331" i="13" s="1"/>
  <c r="AA330" i="1"/>
  <c r="AD330" i="1"/>
  <c r="Y330" i="1"/>
  <c r="F330" i="11"/>
  <c r="M330" i="1" l="1"/>
  <c r="AB330" i="1" s="1"/>
  <c r="AC330" i="1" s="1"/>
  <c r="M331" i="13" s="1"/>
  <c r="AG330" i="1"/>
  <c r="E330" i="31" l="1"/>
  <c r="G331" i="13"/>
  <c r="F331" i="1"/>
  <c r="G331" i="1"/>
  <c r="C329" i="11"/>
  <c r="C330" i="31"/>
  <c r="B330" i="31"/>
  <c r="AF330" i="1"/>
  <c r="N331" i="13" s="1"/>
  <c r="E331" i="1" l="1"/>
  <c r="D331" i="1" s="1"/>
  <c r="A330" i="11" s="1"/>
  <c r="D330" i="31"/>
  <c r="H330" i="31" s="1"/>
  <c r="Q331" i="13" s="1"/>
  <c r="K331" i="13"/>
  <c r="G329" i="11"/>
  <c r="H329" i="11" s="1"/>
  <c r="J331" i="13" s="1"/>
  <c r="D329" i="11"/>
  <c r="I332" i="1" l="1"/>
  <c r="X331" i="1"/>
  <c r="L331" i="1"/>
  <c r="E332" i="13" s="1"/>
  <c r="B332" i="13"/>
  <c r="H332" i="1"/>
  <c r="R331" i="1" s="1"/>
  <c r="C332" i="13"/>
  <c r="C331" i="1"/>
  <c r="D332" i="13" s="1"/>
  <c r="F330" i="31"/>
  <c r="P331" i="13" s="1"/>
  <c r="O331" i="13"/>
  <c r="L332" i="13"/>
  <c r="E329" i="11"/>
  <c r="I331" i="13" s="1"/>
  <c r="H331" i="13"/>
  <c r="AA331" i="1"/>
  <c r="Q331" i="1" l="1"/>
  <c r="P331" i="1" s="1"/>
  <c r="O331" i="1" s="1"/>
  <c r="N331" i="1" s="1"/>
  <c r="F332" i="13" s="1"/>
  <c r="AD331" i="1"/>
  <c r="F331" i="11"/>
  <c r="Y331" i="1"/>
  <c r="M331" i="1" l="1"/>
  <c r="E331" i="31" s="1"/>
  <c r="AG331" i="1"/>
  <c r="G332" i="13" l="1"/>
  <c r="AB331" i="1"/>
  <c r="AC331" i="1" s="1"/>
  <c r="M332" i="13" s="1"/>
  <c r="G332" i="1"/>
  <c r="F332" i="1"/>
  <c r="C330" i="11"/>
  <c r="AF331" i="1" l="1"/>
  <c r="N332" i="13" s="1"/>
  <c r="C331" i="31"/>
  <c r="B331" i="31"/>
  <c r="E332" i="1"/>
  <c r="D332" i="1" s="1"/>
  <c r="A331" i="11" s="1"/>
  <c r="K332" i="13"/>
  <c r="G330" i="11"/>
  <c r="H330" i="11" s="1"/>
  <c r="J332" i="13" s="1"/>
  <c r="D330" i="11"/>
  <c r="D331" i="31" l="1"/>
  <c r="H331" i="31" s="1"/>
  <c r="Q332" i="13" s="1"/>
  <c r="H333" i="1"/>
  <c r="I333" i="1"/>
  <c r="B333" i="13"/>
  <c r="X332" i="1"/>
  <c r="L332" i="1"/>
  <c r="AD332" i="1" s="1"/>
  <c r="C333" i="13"/>
  <c r="C332" i="1"/>
  <c r="D333" i="13" s="1"/>
  <c r="O332" i="13"/>
  <c r="H332" i="13"/>
  <c r="E330" i="11"/>
  <c r="I332" i="13" s="1"/>
  <c r="L333" i="13"/>
  <c r="F331" i="31" l="1"/>
  <c r="P332" i="13" s="1"/>
  <c r="AA332" i="1"/>
  <c r="F332" i="11"/>
  <c r="R332" i="1"/>
  <c r="Q332" i="1" s="1"/>
  <c r="P332" i="1" s="1"/>
  <c r="O332" i="1" s="1"/>
  <c r="N332" i="1" s="1"/>
  <c r="F333" i="13" s="1"/>
  <c r="E333" i="13"/>
  <c r="Y332" i="1"/>
  <c r="M332" i="1" l="1"/>
  <c r="G333" i="13" s="1"/>
  <c r="AB332" i="1" l="1"/>
  <c r="AC332" i="1" s="1"/>
  <c r="M333" i="13" s="1"/>
  <c r="E332" i="31"/>
  <c r="F333" i="1"/>
  <c r="G333" i="1"/>
  <c r="AG332" i="1"/>
  <c r="AF332" i="1" l="1"/>
  <c r="N333" i="13" s="1"/>
  <c r="B332" i="31"/>
  <c r="C332" i="31"/>
  <c r="C331" i="11"/>
  <c r="E333" i="1"/>
  <c r="D333" i="1" s="1"/>
  <c r="D332" i="31" l="1"/>
  <c r="H332" i="31" s="1"/>
  <c r="Q333" i="13" s="1"/>
  <c r="O333" i="13"/>
  <c r="B334" i="13"/>
  <c r="X333" i="1"/>
  <c r="C333" i="1"/>
  <c r="D334" i="13" s="1"/>
  <c r="A332" i="11"/>
  <c r="C334" i="13"/>
  <c r="I334" i="1"/>
  <c r="H334" i="1"/>
  <c r="L333" i="1"/>
  <c r="K333" i="13"/>
  <c r="G331" i="11"/>
  <c r="H331" i="11" s="1"/>
  <c r="J333" i="13" s="1"/>
  <c r="D331" i="11"/>
  <c r="F332" i="31" l="1"/>
  <c r="P333" i="13" s="1"/>
  <c r="AA333" i="1"/>
  <c r="E334" i="13"/>
  <c r="Y333" i="1"/>
  <c r="F333" i="11"/>
  <c r="AD333" i="1"/>
  <c r="E331" i="11"/>
  <c r="I333" i="13" s="1"/>
  <c r="H333" i="13"/>
  <c r="R333" i="1"/>
  <c r="Q333" i="1" s="1"/>
  <c r="P333" i="1" s="1"/>
  <c r="O333" i="1" s="1"/>
  <c r="N333" i="1" s="1"/>
  <c r="L334" i="13"/>
  <c r="M333" i="1" l="1"/>
  <c r="F334" i="13"/>
  <c r="AB333" i="1" l="1"/>
  <c r="AC333" i="1" s="1"/>
  <c r="M334" i="13" s="1"/>
  <c r="G334" i="13"/>
  <c r="E333" i="31"/>
  <c r="AG333" i="1"/>
  <c r="F334" i="1" l="1"/>
  <c r="G334" i="1"/>
  <c r="B333" i="31"/>
  <c r="C333" i="31"/>
  <c r="AF333" i="1"/>
  <c r="N334" i="13" s="1"/>
  <c r="C332" i="11"/>
  <c r="E334" i="1" l="1"/>
  <c r="D334" i="1" s="1"/>
  <c r="C335" i="13" s="1"/>
  <c r="D333" i="31"/>
  <c r="K334" i="13"/>
  <c r="G332" i="11"/>
  <c r="H332" i="11" s="1"/>
  <c r="J334" i="13" s="1"/>
  <c r="D332" i="11"/>
  <c r="X334" i="1" l="1"/>
  <c r="C334" i="1"/>
  <c r="D335" i="13" s="1"/>
  <c r="A333" i="11"/>
  <c r="L335" i="13" s="1"/>
  <c r="H335" i="1"/>
  <c r="B335" i="13"/>
  <c r="L334" i="1"/>
  <c r="AD334" i="1" s="1"/>
  <c r="I335" i="1"/>
  <c r="H333" i="31"/>
  <c r="Q334" i="13" s="1"/>
  <c r="O334" i="13"/>
  <c r="F333" i="31"/>
  <c r="P334" i="13" s="1"/>
  <c r="H334" i="13"/>
  <c r="E332" i="11"/>
  <c r="I334" i="13" s="1"/>
  <c r="R334" i="1" l="1"/>
  <c r="Q334" i="1" s="1"/>
  <c r="P334" i="1" s="1"/>
  <c r="O334" i="1" s="1"/>
  <c r="N334" i="1" s="1"/>
  <c r="F335" i="13" s="1"/>
  <c r="AA334" i="1"/>
  <c r="E335" i="13"/>
  <c r="Y334" i="1"/>
  <c r="F334" i="11"/>
  <c r="M334" i="1" l="1"/>
  <c r="AB334" i="1" s="1"/>
  <c r="AC334" i="1" s="1"/>
  <c r="M335" i="13" s="1"/>
  <c r="G335" i="13" l="1"/>
  <c r="E334" i="31"/>
  <c r="G335" i="1"/>
  <c r="F335" i="1"/>
  <c r="C334" i="31"/>
  <c r="B334" i="31"/>
  <c r="AF334" i="1"/>
  <c r="N335" i="13" s="1"/>
  <c r="AG334" i="1"/>
  <c r="D334" i="31" l="1"/>
  <c r="E335" i="1"/>
  <c r="D335" i="1" s="1"/>
  <c r="C333" i="11"/>
  <c r="F334" i="31" l="1"/>
  <c r="P335" i="13" s="1"/>
  <c r="O335" i="13"/>
  <c r="H334" i="31"/>
  <c r="Q335" i="13" s="1"/>
  <c r="C336" i="13"/>
  <c r="B336" i="13"/>
  <c r="C335" i="1"/>
  <c r="D336" i="13" s="1"/>
  <c r="A334" i="11"/>
  <c r="X335" i="1"/>
  <c r="H336" i="1"/>
  <c r="L335" i="1"/>
  <c r="I336" i="1"/>
  <c r="K335" i="13"/>
  <c r="G333" i="11"/>
  <c r="H333" i="11" s="1"/>
  <c r="J335" i="13" s="1"/>
  <c r="D333" i="11"/>
  <c r="AA335" i="1" l="1"/>
  <c r="L336" i="13"/>
  <c r="E333" i="11"/>
  <c r="I335" i="13" s="1"/>
  <c r="H335" i="13"/>
  <c r="E336" i="13"/>
  <c r="Y335" i="1"/>
  <c r="F335" i="11"/>
  <c r="AD335" i="1"/>
  <c r="R335" i="1"/>
  <c r="Q335" i="1" s="1"/>
  <c r="P335" i="1" s="1"/>
  <c r="O335" i="1" s="1"/>
  <c r="N335" i="1" s="1"/>
  <c r="M335" i="1" l="1"/>
  <c r="F336" i="13"/>
  <c r="AB335" i="1" l="1"/>
  <c r="AC335" i="1" s="1"/>
  <c r="M336" i="13" s="1"/>
  <c r="G336" i="13"/>
  <c r="E335" i="31"/>
  <c r="AG335" i="1"/>
  <c r="F336" i="1" l="1"/>
  <c r="G336" i="1"/>
  <c r="C334" i="11"/>
  <c r="B335" i="31"/>
  <c r="C335" i="31"/>
  <c r="AF335" i="1"/>
  <c r="N336" i="13" s="1"/>
  <c r="E336" i="1" l="1"/>
  <c r="D336" i="1" s="1"/>
  <c r="B337" i="13" s="1"/>
  <c r="D335" i="31"/>
  <c r="G334" i="11"/>
  <c r="H334" i="11" s="1"/>
  <c r="J336" i="13" s="1"/>
  <c r="K336" i="13"/>
  <c r="D334" i="11"/>
  <c r="H337" i="1" l="1"/>
  <c r="A335" i="11"/>
  <c r="L337" i="13" s="1"/>
  <c r="I337" i="1"/>
  <c r="C337" i="13"/>
  <c r="L336" i="1"/>
  <c r="AD336" i="1" s="1"/>
  <c r="C336" i="1"/>
  <c r="D337" i="13" s="1"/>
  <c r="X336" i="1"/>
  <c r="F335" i="31"/>
  <c r="P336" i="13" s="1"/>
  <c r="O336" i="13"/>
  <c r="H335" i="31"/>
  <c r="Q336" i="13" s="1"/>
  <c r="H336" i="13"/>
  <c r="E334" i="11"/>
  <c r="I336" i="13" s="1"/>
  <c r="AA336" i="1" l="1"/>
  <c r="R336" i="1"/>
  <c r="Q336" i="1" s="1"/>
  <c r="P336" i="1" s="1"/>
  <c r="O336" i="1" s="1"/>
  <c r="N336" i="1" s="1"/>
  <c r="F336" i="11"/>
  <c r="E337" i="13"/>
  <c r="Y336" i="1"/>
  <c r="F337" i="13" l="1"/>
  <c r="M336" i="1"/>
  <c r="AB336" i="1" s="1"/>
  <c r="AC336" i="1" s="1"/>
  <c r="M337" i="13" s="1"/>
  <c r="AG336" i="1"/>
  <c r="E336" i="31" l="1"/>
  <c r="G337" i="13"/>
  <c r="G337" i="1"/>
  <c r="F337" i="1"/>
  <c r="C335" i="11"/>
  <c r="C336" i="31"/>
  <c r="B336" i="31"/>
  <c r="AF336" i="1"/>
  <c r="N337" i="13" s="1"/>
  <c r="E337" i="1" l="1"/>
  <c r="D337" i="1" s="1"/>
  <c r="A336" i="11" s="1"/>
  <c r="D336" i="31"/>
  <c r="K337" i="13"/>
  <c r="G335" i="11"/>
  <c r="H335" i="11" s="1"/>
  <c r="J337" i="13" s="1"/>
  <c r="D335" i="11"/>
  <c r="H338" i="1" l="1"/>
  <c r="X337" i="1"/>
  <c r="L337" i="1"/>
  <c r="AD337" i="1" s="1"/>
  <c r="B338" i="13"/>
  <c r="I338" i="1"/>
  <c r="C337" i="1"/>
  <c r="D338" i="13" s="1"/>
  <c r="C338" i="13"/>
  <c r="H336" i="31"/>
  <c r="Q337" i="13" s="1"/>
  <c r="O337" i="13"/>
  <c r="F336" i="31"/>
  <c r="P337" i="13" s="1"/>
  <c r="L338" i="13"/>
  <c r="H337" i="13"/>
  <c r="E335" i="11"/>
  <c r="I337" i="13" s="1"/>
  <c r="AA337" i="1" l="1"/>
  <c r="E338" i="13"/>
  <c r="F337" i="11"/>
  <c r="R337" i="1"/>
  <c r="Q337" i="1" s="1"/>
  <c r="P337" i="1" s="1"/>
  <c r="O337" i="1" s="1"/>
  <c r="N337" i="1" s="1"/>
  <c r="M337" i="1" s="1"/>
  <c r="Y337" i="1"/>
  <c r="F338" i="13" l="1"/>
  <c r="AB337" i="1"/>
  <c r="AC337" i="1" s="1"/>
  <c r="M338" i="13" s="1"/>
  <c r="E337" i="31"/>
  <c r="G338" i="13"/>
  <c r="AG337" i="1"/>
  <c r="F338" i="1" l="1"/>
  <c r="G338" i="1"/>
  <c r="C336" i="11"/>
  <c r="B337" i="31"/>
  <c r="C337" i="31"/>
  <c r="AF337" i="1"/>
  <c r="N338" i="13" s="1"/>
  <c r="E338" i="1" l="1"/>
  <c r="D338" i="1" s="1"/>
  <c r="X338" i="1" s="1"/>
  <c r="D337" i="31"/>
  <c r="K338" i="13"/>
  <c r="G336" i="11"/>
  <c r="H336" i="11" s="1"/>
  <c r="J338" i="13" s="1"/>
  <c r="D336" i="11"/>
  <c r="H339" i="1" l="1"/>
  <c r="B339" i="13"/>
  <c r="L338" i="1"/>
  <c r="E339" i="13" s="1"/>
  <c r="C339" i="13"/>
  <c r="A337" i="11"/>
  <c r="L339" i="13" s="1"/>
  <c r="C338" i="1"/>
  <c r="D339" i="13" s="1"/>
  <c r="I339" i="1"/>
  <c r="H337" i="31"/>
  <c r="Q338" i="13" s="1"/>
  <c r="O338" i="13"/>
  <c r="F337" i="31"/>
  <c r="P338" i="13" s="1"/>
  <c r="E336" i="11"/>
  <c r="I338" i="13" s="1"/>
  <c r="H338" i="13"/>
  <c r="AA338" i="1" l="1"/>
  <c r="F338" i="11"/>
  <c r="AD338" i="1"/>
  <c r="Y338" i="1"/>
  <c r="R338" i="1"/>
  <c r="Q338" i="1" s="1"/>
  <c r="P338" i="1" s="1"/>
  <c r="O338" i="1" s="1"/>
  <c r="N338" i="1" s="1"/>
  <c r="M338" i="1" s="1"/>
  <c r="F339" i="13" l="1"/>
  <c r="AB338" i="1"/>
  <c r="AC338" i="1" s="1"/>
  <c r="M339" i="13" s="1"/>
  <c r="E338" i="31"/>
  <c r="G339" i="13"/>
  <c r="AG338" i="1"/>
  <c r="G339" i="1" l="1"/>
  <c r="F339" i="1"/>
  <c r="C337" i="11"/>
  <c r="B338" i="31"/>
  <c r="C338" i="31"/>
  <c r="AF338" i="1"/>
  <c r="N339" i="13" s="1"/>
  <c r="E339" i="1" l="1"/>
  <c r="D339" i="1" s="1"/>
  <c r="B340" i="13" s="1"/>
  <c r="D338" i="31"/>
  <c r="K339" i="13"/>
  <c r="G337" i="11"/>
  <c r="H337" i="11" s="1"/>
  <c r="J339" i="13" s="1"/>
  <c r="D337" i="11"/>
  <c r="I340" i="1" l="1"/>
  <c r="A338" i="11"/>
  <c r="L340" i="13" s="1"/>
  <c r="L339" i="1"/>
  <c r="AD339" i="1" s="1"/>
  <c r="H340" i="1"/>
  <c r="C339" i="1"/>
  <c r="D340" i="13" s="1"/>
  <c r="X339" i="1"/>
  <c r="C340" i="13"/>
  <c r="H338" i="31"/>
  <c r="Q339" i="13" s="1"/>
  <c r="O339" i="13"/>
  <c r="F338" i="31"/>
  <c r="P339" i="13" s="1"/>
  <c r="E337" i="11"/>
  <c r="I339" i="13" s="1"/>
  <c r="H339" i="13"/>
  <c r="E340" i="13" l="1"/>
  <c r="R339" i="1"/>
  <c r="Q339" i="1" s="1"/>
  <c r="P339" i="1" s="1"/>
  <c r="O339" i="1" s="1"/>
  <c r="N339" i="1" s="1"/>
  <c r="F340" i="13" s="1"/>
  <c r="Y339" i="1"/>
  <c r="F339" i="11"/>
  <c r="AA339" i="1"/>
  <c r="M339" i="1" l="1"/>
  <c r="AB339" i="1" s="1"/>
  <c r="AC339" i="1" s="1"/>
  <c r="M340" i="13" s="1"/>
  <c r="AG339" i="1"/>
  <c r="G340" i="13" l="1"/>
  <c r="E339" i="31"/>
  <c r="G340" i="1"/>
  <c r="F340" i="1"/>
  <c r="C338" i="11"/>
  <c r="B339" i="31"/>
  <c r="C339" i="31"/>
  <c r="AF339" i="1"/>
  <c r="N340" i="13" s="1"/>
  <c r="E340" i="1" l="1"/>
  <c r="D340" i="1" s="1"/>
  <c r="C341" i="13" s="1"/>
  <c r="D339" i="31"/>
  <c r="G338" i="11"/>
  <c r="H338" i="11" s="1"/>
  <c r="J340" i="13" s="1"/>
  <c r="K340" i="13"/>
  <c r="D338" i="11"/>
  <c r="I341" i="1" l="1"/>
  <c r="B341" i="13"/>
  <c r="X340" i="1"/>
  <c r="A339" i="11"/>
  <c r="L341" i="13" s="1"/>
  <c r="L340" i="1"/>
  <c r="AD340" i="1" s="1"/>
  <c r="C340" i="1"/>
  <c r="D341" i="13" s="1"/>
  <c r="H341" i="1"/>
  <c r="H339" i="31"/>
  <c r="Q340" i="13" s="1"/>
  <c r="O340" i="13"/>
  <c r="F339" i="31"/>
  <c r="P340" i="13" s="1"/>
  <c r="H340" i="13"/>
  <c r="E338" i="11"/>
  <c r="I340" i="13" s="1"/>
  <c r="R340" i="1" l="1"/>
  <c r="Q340" i="1" s="1"/>
  <c r="P340" i="1" s="1"/>
  <c r="O340" i="1" s="1"/>
  <c r="N340" i="1" s="1"/>
  <c r="M340" i="1" s="1"/>
  <c r="AA340" i="1"/>
  <c r="E341" i="13"/>
  <c r="Y340" i="1"/>
  <c r="F340" i="11"/>
  <c r="F341" i="13" l="1"/>
  <c r="AB340" i="1"/>
  <c r="AC340" i="1" s="1"/>
  <c r="M341" i="13" s="1"/>
  <c r="G341" i="13"/>
  <c r="E340" i="31"/>
  <c r="F341" i="1" l="1"/>
  <c r="G341" i="1"/>
  <c r="AG340" i="1"/>
  <c r="C340" i="31"/>
  <c r="B340" i="31"/>
  <c r="AF340" i="1"/>
  <c r="N341" i="13" s="1"/>
  <c r="D340" i="31" l="1"/>
  <c r="E341" i="1"/>
  <c r="D341" i="1" s="1"/>
  <c r="C339" i="11"/>
  <c r="F340" i="31" l="1"/>
  <c r="P341" i="13" s="1"/>
  <c r="O341" i="13"/>
  <c r="H340" i="31"/>
  <c r="Q341" i="13" s="1"/>
  <c r="G339" i="11"/>
  <c r="H339" i="11" s="1"/>
  <c r="J341" i="13" s="1"/>
  <c r="K341" i="13"/>
  <c r="D339" i="11"/>
  <c r="X341" i="1"/>
  <c r="B342" i="13"/>
  <c r="C341" i="1"/>
  <c r="D342" i="13" s="1"/>
  <c r="C342" i="13"/>
  <c r="A340" i="11"/>
  <c r="I342" i="1"/>
  <c r="L341" i="1"/>
  <c r="H342" i="1"/>
  <c r="AA341" i="1" l="1"/>
  <c r="R341" i="1"/>
  <c r="Q341" i="1" s="1"/>
  <c r="P341" i="1" s="1"/>
  <c r="O341" i="1" s="1"/>
  <c r="N341" i="1" s="1"/>
  <c r="L342" i="13"/>
  <c r="E342" i="13"/>
  <c r="Y341" i="1"/>
  <c r="AD341" i="1"/>
  <c r="F341" i="11"/>
  <c r="H341" i="13"/>
  <c r="E339" i="11"/>
  <c r="I341" i="13" s="1"/>
  <c r="M341" i="1" l="1"/>
  <c r="F342" i="13"/>
  <c r="AB341" i="1" l="1"/>
  <c r="AC341" i="1" s="1"/>
  <c r="M342" i="13" s="1"/>
  <c r="E341" i="31"/>
  <c r="G342" i="13"/>
  <c r="AG341" i="1"/>
  <c r="G342" i="1" l="1"/>
  <c r="F342" i="1"/>
  <c r="C340" i="11"/>
  <c r="C341" i="31"/>
  <c r="B341" i="31"/>
  <c r="AF341" i="1"/>
  <c r="N342" i="13" s="1"/>
  <c r="E342" i="1" l="1"/>
  <c r="D342" i="1" s="1"/>
  <c r="C343" i="13" s="1"/>
  <c r="D341" i="31"/>
  <c r="H341" i="31" s="1"/>
  <c r="Q342" i="13" s="1"/>
  <c r="G340" i="11"/>
  <c r="H340" i="11" s="1"/>
  <c r="J342" i="13" s="1"/>
  <c r="K342" i="13"/>
  <c r="D340" i="11"/>
  <c r="I343" i="1" l="1"/>
  <c r="A341" i="11"/>
  <c r="L343" i="13" s="1"/>
  <c r="C342" i="1"/>
  <c r="D343" i="13" s="1"/>
  <c r="X342" i="1"/>
  <c r="L342" i="1"/>
  <c r="Y342" i="1" s="1"/>
  <c r="B343" i="13"/>
  <c r="H343" i="1"/>
  <c r="F341" i="31"/>
  <c r="P342" i="13" s="1"/>
  <c r="O342" i="13"/>
  <c r="E340" i="11"/>
  <c r="I342" i="13" s="1"/>
  <c r="H342" i="13"/>
  <c r="AA342" i="1" l="1"/>
  <c r="R342" i="1"/>
  <c r="Q342" i="1" s="1"/>
  <c r="P342" i="1" s="1"/>
  <c r="O342" i="1" s="1"/>
  <c r="N342" i="1" s="1"/>
  <c r="M342" i="1" s="1"/>
  <c r="F342" i="11"/>
  <c r="E343" i="13"/>
  <c r="AD342" i="1"/>
  <c r="F343" i="13" l="1"/>
  <c r="AB342" i="1"/>
  <c r="AC342" i="1" s="1"/>
  <c r="M343" i="13" s="1"/>
  <c r="E342" i="31"/>
  <c r="G343" i="13"/>
  <c r="AG342" i="1"/>
  <c r="G343" i="1" l="1"/>
  <c r="F343" i="1"/>
  <c r="C341" i="11"/>
  <c r="C342" i="31"/>
  <c r="B342" i="31"/>
  <c r="AF342" i="1"/>
  <c r="N343" i="13" s="1"/>
  <c r="E343" i="1" l="1"/>
  <c r="D343" i="1" s="1"/>
  <c r="A342" i="11" s="1"/>
  <c r="D342" i="31"/>
  <c r="O343" i="13" s="1"/>
  <c r="K343" i="13"/>
  <c r="G341" i="11"/>
  <c r="H341" i="11" s="1"/>
  <c r="J343" i="13" s="1"/>
  <c r="D341" i="11"/>
  <c r="I344" i="1" l="1"/>
  <c r="X343" i="1"/>
  <c r="L343" i="1"/>
  <c r="Y343" i="1" s="1"/>
  <c r="C343" i="1"/>
  <c r="D344" i="13" s="1"/>
  <c r="B344" i="13"/>
  <c r="C344" i="13"/>
  <c r="H344" i="1"/>
  <c r="L344" i="13"/>
  <c r="H343" i="13"/>
  <c r="E341" i="11"/>
  <c r="I343" i="13" s="1"/>
  <c r="F342" i="31"/>
  <c r="P343" i="13" s="1"/>
  <c r="H342" i="31"/>
  <c r="Q343" i="13" s="1"/>
  <c r="R343" i="1" l="1"/>
  <c r="Q343" i="1" s="1"/>
  <c r="P343" i="1" s="1"/>
  <c r="O343" i="1" s="1"/>
  <c r="N343" i="1" s="1"/>
  <c r="M343" i="1" s="1"/>
  <c r="AA343" i="1"/>
  <c r="AD343" i="1"/>
  <c r="F343" i="11"/>
  <c r="E344" i="13"/>
  <c r="F344" i="13" l="1"/>
  <c r="AB343" i="1"/>
  <c r="AC343" i="1" s="1"/>
  <c r="M344" i="13" s="1"/>
  <c r="E343" i="31"/>
  <c r="G344" i="13"/>
  <c r="G344" i="1" l="1"/>
  <c r="F344" i="1"/>
  <c r="AG343" i="1"/>
  <c r="B343" i="31"/>
  <c r="C343" i="31"/>
  <c r="AF343" i="1"/>
  <c r="N344" i="13" s="1"/>
  <c r="C342" i="11" l="1"/>
  <c r="E344" i="1"/>
  <c r="D344" i="1" s="1"/>
  <c r="D343" i="31"/>
  <c r="O344" i="13" s="1"/>
  <c r="H343" i="31" l="1"/>
  <c r="Q344" i="13" s="1"/>
  <c r="F343" i="31"/>
  <c r="P344" i="13" s="1"/>
  <c r="X344" i="1"/>
  <c r="C344" i="1"/>
  <c r="D345" i="13" s="1"/>
  <c r="C345" i="13"/>
  <c r="A343" i="11"/>
  <c r="B345" i="13"/>
  <c r="L344" i="1"/>
  <c r="H345" i="1"/>
  <c r="I345" i="1"/>
  <c r="G342" i="11"/>
  <c r="H342" i="11" s="1"/>
  <c r="J344" i="13" s="1"/>
  <c r="K344" i="13"/>
  <c r="D342" i="11"/>
  <c r="AA344" i="1" l="1"/>
  <c r="E345" i="13"/>
  <c r="Y344" i="1"/>
  <c r="F344" i="11"/>
  <c r="AD344" i="1"/>
  <c r="E342" i="11"/>
  <c r="I344" i="13" s="1"/>
  <c r="H344" i="13"/>
  <c r="R344" i="1"/>
  <c r="Q344" i="1" s="1"/>
  <c r="P344" i="1" s="1"/>
  <c r="O344" i="1" s="1"/>
  <c r="N344" i="1" s="1"/>
  <c r="L345" i="13"/>
  <c r="F345" i="13" l="1"/>
  <c r="M344" i="1"/>
  <c r="AB344" i="1" l="1"/>
  <c r="AC344" i="1" s="1"/>
  <c r="M345" i="13" s="1"/>
  <c r="G345" i="13"/>
  <c r="E344" i="31"/>
  <c r="AG344" i="1"/>
  <c r="G345" i="1" l="1"/>
  <c r="F345" i="1"/>
  <c r="C343" i="11"/>
  <c r="B344" i="31"/>
  <c r="C344" i="31"/>
  <c r="AF344" i="1"/>
  <c r="N345" i="13" s="1"/>
  <c r="E345" i="1" l="1"/>
  <c r="D345" i="1" s="1"/>
  <c r="A344" i="11" s="1"/>
  <c r="D344" i="31"/>
  <c r="K345" i="13"/>
  <c r="G343" i="11"/>
  <c r="H343" i="11" s="1"/>
  <c r="J345" i="13" s="1"/>
  <c r="D343" i="11"/>
  <c r="H346" i="1" l="1"/>
  <c r="C345" i="1"/>
  <c r="D346" i="13" s="1"/>
  <c r="I346" i="1"/>
  <c r="X345" i="1"/>
  <c r="L345" i="1"/>
  <c r="F345" i="11" s="1"/>
  <c r="C346" i="13"/>
  <c r="B346" i="13"/>
  <c r="F344" i="31"/>
  <c r="P345" i="13" s="1"/>
  <c r="O345" i="13"/>
  <c r="H344" i="31"/>
  <c r="Q345" i="13" s="1"/>
  <c r="L346" i="13"/>
  <c r="H345" i="13"/>
  <c r="E343" i="11"/>
  <c r="I345" i="13" s="1"/>
  <c r="R345" i="1" l="1"/>
  <c r="Q345" i="1" s="1"/>
  <c r="P345" i="1" s="1"/>
  <c r="O345" i="1" s="1"/>
  <c r="N345" i="1" s="1"/>
  <c r="M345" i="1" s="1"/>
  <c r="AA345" i="1"/>
  <c r="E346" i="13"/>
  <c r="AD345" i="1"/>
  <c r="Y345" i="1"/>
  <c r="F346" i="13" l="1"/>
  <c r="AB345" i="1"/>
  <c r="AC345" i="1" s="1"/>
  <c r="M346" i="13" s="1"/>
  <c r="G346" i="13"/>
  <c r="E345" i="31"/>
  <c r="AG345" i="1"/>
  <c r="G346" i="1" l="1"/>
  <c r="F346" i="1"/>
  <c r="B345" i="31"/>
  <c r="C345" i="31"/>
  <c r="AF345" i="1"/>
  <c r="N346" i="13" s="1"/>
  <c r="C344" i="11"/>
  <c r="E346" i="1" l="1"/>
  <c r="D346" i="1" s="1"/>
  <c r="C346" i="1" s="1"/>
  <c r="D347" i="13" s="1"/>
  <c r="D345" i="31"/>
  <c r="G344" i="11"/>
  <c r="H344" i="11" s="1"/>
  <c r="J346" i="13" s="1"/>
  <c r="K346" i="13"/>
  <c r="D344" i="11"/>
  <c r="I347" i="1" l="1"/>
  <c r="A345" i="11"/>
  <c r="L347" i="13" s="1"/>
  <c r="L346" i="1"/>
  <c r="E347" i="13" s="1"/>
  <c r="B347" i="13"/>
  <c r="H347" i="1"/>
  <c r="R346" i="1" s="1"/>
  <c r="X346" i="1"/>
  <c r="C347" i="13"/>
  <c r="F345" i="31"/>
  <c r="P346" i="13" s="1"/>
  <c r="O346" i="13"/>
  <c r="H345" i="31"/>
  <c r="Q346" i="13" s="1"/>
  <c r="H346" i="13"/>
  <c r="E344" i="11"/>
  <c r="I346" i="13" s="1"/>
  <c r="Q346" i="1" l="1"/>
  <c r="P346" i="1" s="1"/>
  <c r="O346" i="1" s="1"/>
  <c r="N346" i="1" s="1"/>
  <c r="F347" i="13" s="1"/>
  <c r="AA346" i="1"/>
  <c r="F346" i="11"/>
  <c r="AD346" i="1"/>
  <c r="Y346" i="1"/>
  <c r="M346" i="1" l="1"/>
  <c r="AB346" i="1" s="1"/>
  <c r="AC346" i="1" s="1"/>
  <c r="M347" i="13" s="1"/>
  <c r="AG346" i="1"/>
  <c r="G347" i="1" l="1"/>
  <c r="E346" i="31"/>
  <c r="F347" i="1"/>
  <c r="E347" i="1" s="1"/>
  <c r="D347" i="1" s="1"/>
  <c r="G347" i="13"/>
  <c r="B346" i="31"/>
  <c r="AF346" i="1"/>
  <c r="N347" i="13" s="1"/>
  <c r="C346" i="31"/>
  <c r="C345" i="11"/>
  <c r="D346" i="31" l="1"/>
  <c r="F346" i="31" s="1"/>
  <c r="P347" i="13" s="1"/>
  <c r="O347" i="13"/>
  <c r="G345" i="11"/>
  <c r="H345" i="11" s="1"/>
  <c r="J347" i="13" s="1"/>
  <c r="K347" i="13"/>
  <c r="D345" i="11"/>
  <c r="X347" i="1"/>
  <c r="C348" i="13"/>
  <c r="B348" i="13"/>
  <c r="A346" i="11"/>
  <c r="C347" i="1"/>
  <c r="D348" i="13" s="1"/>
  <c r="L347" i="1"/>
  <c r="I348" i="1"/>
  <c r="H348" i="1"/>
  <c r="H346" i="31" l="1"/>
  <c r="Q347" i="13" s="1"/>
  <c r="L348" i="13"/>
  <c r="H347" i="13"/>
  <c r="E345" i="11"/>
  <c r="I347" i="13" s="1"/>
  <c r="R347" i="1"/>
  <c r="Q347" i="1" s="1"/>
  <c r="P347" i="1" s="1"/>
  <c r="O347" i="1" s="1"/>
  <c r="N347" i="1" s="1"/>
  <c r="Y347" i="1"/>
  <c r="E348" i="13"/>
  <c r="AD347" i="1"/>
  <c r="F347" i="11"/>
  <c r="AA347" i="1"/>
  <c r="M347" i="1" l="1"/>
  <c r="F348" i="13"/>
  <c r="AB347" i="1" l="1"/>
  <c r="AC347" i="1" s="1"/>
  <c r="M348" i="13" s="1"/>
  <c r="E347" i="31"/>
  <c r="G348" i="13"/>
  <c r="AG347" i="1"/>
  <c r="G348" i="1" l="1"/>
  <c r="F348" i="1"/>
  <c r="C346" i="11"/>
  <c r="B347" i="31"/>
  <c r="C347" i="31"/>
  <c r="AF347" i="1"/>
  <c r="N348" i="13" s="1"/>
  <c r="E348" i="1" l="1"/>
  <c r="D348" i="1" s="1"/>
  <c r="C348" i="1" s="1"/>
  <c r="D349" i="13" s="1"/>
  <c r="D347" i="31"/>
  <c r="G346" i="11"/>
  <c r="H346" i="11" s="1"/>
  <c r="J348" i="13" s="1"/>
  <c r="K348" i="13"/>
  <c r="D346" i="11"/>
  <c r="C349" i="13" l="1"/>
  <c r="A347" i="11"/>
  <c r="L349" i="13" s="1"/>
  <c r="I349" i="1"/>
  <c r="X348" i="1"/>
  <c r="B349" i="13"/>
  <c r="L348" i="1"/>
  <c r="F348" i="11" s="1"/>
  <c r="H349" i="1"/>
  <c r="R348" i="1" s="1"/>
  <c r="F347" i="31"/>
  <c r="P348" i="13" s="1"/>
  <c r="O348" i="13"/>
  <c r="H347" i="31"/>
  <c r="Q348" i="13" s="1"/>
  <c r="H348" i="13"/>
  <c r="E346" i="11"/>
  <c r="I348" i="13" s="1"/>
  <c r="E349" i="13" l="1"/>
  <c r="Y348" i="1"/>
  <c r="AD348" i="1"/>
  <c r="Q348" i="1"/>
  <c r="P348" i="1" s="1"/>
  <c r="O348" i="1" s="1"/>
  <c r="N348" i="1" s="1"/>
  <c r="F349" i="13" s="1"/>
  <c r="AA348" i="1"/>
  <c r="M348" i="1" l="1"/>
  <c r="AB348" i="1" s="1"/>
  <c r="AC348" i="1" s="1"/>
  <c r="M349" i="13" s="1"/>
  <c r="E348" i="31" l="1"/>
  <c r="G349" i="13"/>
  <c r="F349" i="1"/>
  <c r="G349" i="1"/>
  <c r="B348" i="31"/>
  <c r="C348" i="31"/>
  <c r="AF348" i="1"/>
  <c r="N349" i="13" s="1"/>
  <c r="AG348" i="1"/>
  <c r="D348" i="31" l="1"/>
  <c r="C347" i="11"/>
  <c r="E349" i="1"/>
  <c r="D349" i="1" s="1"/>
  <c r="H348" i="31" l="1"/>
  <c r="Q349" i="13" s="1"/>
  <c r="O349" i="13"/>
  <c r="F348" i="31"/>
  <c r="P349" i="13" s="1"/>
  <c r="C349" i="1"/>
  <c r="D350" i="13" s="1"/>
  <c r="B350" i="13"/>
  <c r="A348" i="11"/>
  <c r="C350" i="13"/>
  <c r="X349" i="1"/>
  <c r="H350" i="1"/>
  <c r="I350" i="1"/>
  <c r="L349" i="1"/>
  <c r="K349" i="13"/>
  <c r="G347" i="11"/>
  <c r="H347" i="11" s="1"/>
  <c r="J349" i="13" s="1"/>
  <c r="D347" i="11"/>
  <c r="AA349" i="1" l="1"/>
  <c r="E350" i="13"/>
  <c r="Y349" i="1"/>
  <c r="AD349" i="1"/>
  <c r="F349" i="11"/>
  <c r="E347" i="11"/>
  <c r="I349" i="13" s="1"/>
  <c r="H349" i="13"/>
  <c r="R349" i="1"/>
  <c r="Q349" i="1" s="1"/>
  <c r="P349" i="1" s="1"/>
  <c r="O349" i="1" s="1"/>
  <c r="N349" i="1" s="1"/>
  <c r="L350" i="13"/>
  <c r="M349" i="1" l="1"/>
  <c r="F350" i="13"/>
  <c r="AB349" i="1" l="1"/>
  <c r="AC349" i="1" s="1"/>
  <c r="M350" i="13" s="1"/>
  <c r="G350" i="13"/>
  <c r="E349" i="31"/>
  <c r="F350" i="1" l="1"/>
  <c r="G350" i="1"/>
  <c r="AG349" i="1"/>
  <c r="B349" i="31"/>
  <c r="C349" i="31"/>
  <c r="AF349" i="1"/>
  <c r="N350" i="13" s="1"/>
  <c r="C348" i="11" l="1"/>
  <c r="E350" i="1"/>
  <c r="D350" i="1" s="1"/>
  <c r="D349" i="31"/>
  <c r="O350" i="13" s="1"/>
  <c r="G348" i="11" l="1"/>
  <c r="H348" i="11" s="1"/>
  <c r="J350" i="13" s="1"/>
  <c r="K350" i="13"/>
  <c r="D348" i="11"/>
  <c r="A349" i="11"/>
  <c r="B351" i="13"/>
  <c r="C350" i="1"/>
  <c r="D351" i="13" s="1"/>
  <c r="X350" i="1"/>
  <c r="C351" i="13"/>
  <c r="L350" i="1"/>
  <c r="I351" i="1"/>
  <c r="H351" i="1"/>
  <c r="F349" i="31"/>
  <c r="P350" i="13" s="1"/>
  <c r="H349" i="31"/>
  <c r="Q350" i="13" s="1"/>
  <c r="AA350" i="1" l="1"/>
  <c r="R350" i="1"/>
  <c r="Q350" i="1" s="1"/>
  <c r="P350" i="1" s="1"/>
  <c r="O350" i="1" s="1"/>
  <c r="N350" i="1" s="1"/>
  <c r="L351" i="13"/>
  <c r="E351" i="13"/>
  <c r="Y350" i="1"/>
  <c r="F350" i="11"/>
  <c r="AD350" i="1"/>
  <c r="H350" i="13"/>
  <c r="E348" i="11"/>
  <c r="I350" i="13" s="1"/>
  <c r="F351" i="13" l="1"/>
  <c r="M350" i="1"/>
  <c r="AB350" i="1" l="1"/>
  <c r="AC350" i="1" s="1"/>
  <c r="M351" i="13" s="1"/>
  <c r="E350" i="31"/>
  <c r="G351" i="13"/>
  <c r="AG350" i="1"/>
  <c r="F351" i="1" l="1"/>
  <c r="G351" i="1"/>
  <c r="C349" i="11"/>
  <c r="C350" i="31"/>
  <c r="B350" i="31"/>
  <c r="AF350" i="1"/>
  <c r="N351" i="13" s="1"/>
  <c r="E351" i="1" l="1"/>
  <c r="D351" i="1" s="1"/>
  <c r="C352" i="13" s="1"/>
  <c r="D350" i="31"/>
  <c r="G349" i="11"/>
  <c r="H349" i="11" s="1"/>
  <c r="J351" i="13" s="1"/>
  <c r="K351" i="13"/>
  <c r="D349" i="11"/>
  <c r="H352" i="1" l="1"/>
  <c r="X351" i="1"/>
  <c r="I352" i="1"/>
  <c r="A350" i="11"/>
  <c r="L352" i="13" s="1"/>
  <c r="C351" i="1"/>
  <c r="D352" i="13" s="1"/>
  <c r="L351" i="1"/>
  <c r="E352" i="13" s="1"/>
  <c r="B352" i="13"/>
  <c r="H350" i="31"/>
  <c r="Q351" i="13" s="1"/>
  <c r="O351" i="13"/>
  <c r="F350" i="31"/>
  <c r="P351" i="13" s="1"/>
  <c r="E349" i="11"/>
  <c r="I351" i="13" s="1"/>
  <c r="H351" i="13"/>
  <c r="R351" i="1" l="1"/>
  <c r="Q351" i="1" s="1"/>
  <c r="P351" i="1" s="1"/>
  <c r="O351" i="1" s="1"/>
  <c r="N351" i="1" s="1"/>
  <c r="F352" i="13" s="1"/>
  <c r="AA351" i="1"/>
  <c r="AD351" i="1"/>
  <c r="Y351" i="1"/>
  <c r="F351" i="11"/>
  <c r="M351" i="1" l="1"/>
  <c r="AB351" i="1" s="1"/>
  <c r="AC351" i="1" s="1"/>
  <c r="M352" i="13" s="1"/>
  <c r="AG351" i="1"/>
  <c r="G352" i="13" l="1"/>
  <c r="E351" i="31"/>
  <c r="F352" i="1"/>
  <c r="G352" i="1"/>
  <c r="C350" i="11"/>
  <c r="C351" i="31"/>
  <c r="B351" i="31"/>
  <c r="AF351" i="1"/>
  <c r="N352" i="13" s="1"/>
  <c r="E352" i="1" l="1"/>
  <c r="D352" i="1" s="1"/>
  <c r="C353" i="13" s="1"/>
  <c r="D351" i="31"/>
  <c r="K352" i="13"/>
  <c r="G350" i="11"/>
  <c r="H350" i="11" s="1"/>
  <c r="J352" i="13" s="1"/>
  <c r="D350" i="11"/>
  <c r="I353" i="1" l="1"/>
  <c r="H353" i="1"/>
  <c r="C352" i="1"/>
  <c r="D353" i="13" s="1"/>
  <c r="A351" i="11"/>
  <c r="L353" i="13" s="1"/>
  <c r="L352" i="1"/>
  <c r="AD352" i="1" s="1"/>
  <c r="X352" i="1"/>
  <c r="B353" i="13"/>
  <c r="F351" i="31"/>
  <c r="P352" i="13" s="1"/>
  <c r="O352" i="13"/>
  <c r="AA352" i="1"/>
  <c r="H351" i="31"/>
  <c r="Q352" i="13" s="1"/>
  <c r="H352" i="13"/>
  <c r="E350" i="11"/>
  <c r="I352" i="13" s="1"/>
  <c r="R352" i="1" l="1"/>
  <c r="Q352" i="1" s="1"/>
  <c r="P352" i="1" s="1"/>
  <c r="O352" i="1" s="1"/>
  <c r="N352" i="1" s="1"/>
  <c r="M352" i="1" s="1"/>
  <c r="F352" i="11"/>
  <c r="Y352" i="1"/>
  <c r="E353" i="13"/>
  <c r="F353" i="13" l="1"/>
  <c r="AB352" i="1"/>
  <c r="AC352" i="1" s="1"/>
  <c r="M353" i="13" s="1"/>
  <c r="G353" i="13"/>
  <c r="E352" i="31"/>
  <c r="AG352" i="1"/>
  <c r="F353" i="1" l="1"/>
  <c r="G353" i="1"/>
  <c r="C352" i="31"/>
  <c r="B352" i="31"/>
  <c r="AF352" i="1"/>
  <c r="N353" i="13" s="1"/>
  <c r="C351" i="11"/>
  <c r="E353" i="1" l="1"/>
  <c r="D353" i="1" s="1"/>
  <c r="C354" i="13" s="1"/>
  <c r="D352" i="31"/>
  <c r="G351" i="11"/>
  <c r="H351" i="11" s="1"/>
  <c r="J353" i="13" s="1"/>
  <c r="K353" i="13"/>
  <c r="D351" i="11"/>
  <c r="B354" i="13" l="1"/>
  <c r="H354" i="1"/>
  <c r="AA353" i="1" s="1"/>
  <c r="A352" i="11"/>
  <c r="L354" i="13" s="1"/>
  <c r="I354" i="1"/>
  <c r="X353" i="1"/>
  <c r="L353" i="1"/>
  <c r="Y353" i="1" s="1"/>
  <c r="C353" i="1"/>
  <c r="D354" i="13" s="1"/>
  <c r="F352" i="31"/>
  <c r="P353" i="13" s="1"/>
  <c r="O353" i="13"/>
  <c r="H352" i="31"/>
  <c r="Q353" i="13" s="1"/>
  <c r="E351" i="11"/>
  <c r="I353" i="13" s="1"/>
  <c r="H353" i="13"/>
  <c r="R353" i="1" l="1"/>
  <c r="Q353" i="1" s="1"/>
  <c r="P353" i="1" s="1"/>
  <c r="O353" i="1" s="1"/>
  <c r="N353" i="1" s="1"/>
  <c r="F354" i="13" s="1"/>
  <c r="AD353" i="1"/>
  <c r="F353" i="11"/>
  <c r="E354" i="13"/>
  <c r="M353" i="1" l="1"/>
  <c r="AB353" i="1" s="1"/>
  <c r="AC353" i="1" s="1"/>
  <c r="M354" i="13" s="1"/>
  <c r="AG353" i="1"/>
  <c r="E353" i="31" l="1"/>
  <c r="G354" i="13"/>
  <c r="F354" i="1"/>
  <c r="G354" i="1"/>
  <c r="C352" i="11"/>
  <c r="C353" i="31"/>
  <c r="B353" i="31"/>
  <c r="AF353" i="1"/>
  <c r="N354" i="13" s="1"/>
  <c r="E354" i="1" l="1"/>
  <c r="D354" i="1" s="1"/>
  <c r="B355" i="13" s="1"/>
  <c r="D353" i="31"/>
  <c r="G352" i="11"/>
  <c r="H352" i="11" s="1"/>
  <c r="J354" i="13" s="1"/>
  <c r="K354" i="13"/>
  <c r="D352" i="11"/>
  <c r="H355" i="1" l="1"/>
  <c r="C355" i="13"/>
  <c r="L354" i="1"/>
  <c r="AD354" i="1" s="1"/>
  <c r="A353" i="11"/>
  <c r="L355" i="13" s="1"/>
  <c r="C354" i="1"/>
  <c r="D355" i="13" s="1"/>
  <c r="X354" i="1"/>
  <c r="I355" i="1"/>
  <c r="H353" i="31"/>
  <c r="Q354" i="13" s="1"/>
  <c r="O354" i="13"/>
  <c r="F353" i="31"/>
  <c r="P354" i="13" s="1"/>
  <c r="E352" i="11"/>
  <c r="I354" i="13" s="1"/>
  <c r="H354" i="13"/>
  <c r="F354" i="11" l="1"/>
  <c r="Y354" i="1"/>
  <c r="AA354" i="1"/>
  <c r="E355" i="13"/>
  <c r="R354" i="1"/>
  <c r="Q354" i="1" s="1"/>
  <c r="P354" i="1" s="1"/>
  <c r="O354" i="1" s="1"/>
  <c r="N354" i="1" s="1"/>
  <c r="F355" i="13" s="1"/>
  <c r="M354" i="1" l="1"/>
  <c r="AB354" i="1" s="1"/>
  <c r="AC354" i="1" s="1"/>
  <c r="M355" i="13" s="1"/>
  <c r="AG354" i="1"/>
  <c r="E354" i="31" l="1"/>
  <c r="G355" i="13"/>
  <c r="F355" i="1"/>
  <c r="G355" i="1"/>
  <c r="C353" i="11"/>
  <c r="B354" i="31"/>
  <c r="C354" i="31"/>
  <c r="AF354" i="1"/>
  <c r="N355" i="13" s="1"/>
  <c r="E355" i="1" l="1"/>
  <c r="D355" i="1" s="1"/>
  <c r="A354" i="11" s="1"/>
  <c r="D354" i="31"/>
  <c r="K355" i="13"/>
  <c r="G353" i="11"/>
  <c r="H353" i="11" s="1"/>
  <c r="J355" i="13" s="1"/>
  <c r="D353" i="11"/>
  <c r="H356" i="1" l="1"/>
  <c r="B356" i="13"/>
  <c r="X355" i="1"/>
  <c r="C356" i="13"/>
  <c r="I356" i="1"/>
  <c r="L355" i="1"/>
  <c r="Y355" i="1" s="1"/>
  <c r="C355" i="1"/>
  <c r="D356" i="13" s="1"/>
  <c r="F354" i="31"/>
  <c r="P355" i="13" s="1"/>
  <c r="O355" i="13"/>
  <c r="H354" i="31"/>
  <c r="Q355" i="13" s="1"/>
  <c r="L356" i="13"/>
  <c r="E353" i="11"/>
  <c r="I355" i="13" s="1"/>
  <c r="H355" i="13"/>
  <c r="AA355" i="1" l="1"/>
  <c r="R355" i="1"/>
  <c r="Q355" i="1" s="1"/>
  <c r="P355" i="1" s="1"/>
  <c r="O355" i="1" s="1"/>
  <c r="N355" i="1" s="1"/>
  <c r="F356" i="13" s="1"/>
  <c r="F355" i="11"/>
  <c r="AD355" i="1"/>
  <c r="E356" i="13"/>
  <c r="M355" i="1" l="1"/>
  <c r="AB355" i="1" s="1"/>
  <c r="AC355" i="1" s="1"/>
  <c r="M356" i="13" s="1"/>
  <c r="G356" i="13" l="1"/>
  <c r="E355" i="31"/>
  <c r="G356" i="1"/>
  <c r="F356" i="1"/>
  <c r="AG355" i="1"/>
  <c r="C355" i="31"/>
  <c r="B355" i="31"/>
  <c r="AF355" i="1"/>
  <c r="N356" i="13" s="1"/>
  <c r="D355" i="31" l="1"/>
  <c r="E356" i="1"/>
  <c r="D356" i="1" s="1"/>
  <c r="C354" i="11"/>
  <c r="F355" i="31" l="1"/>
  <c r="P356" i="13" s="1"/>
  <c r="O356" i="13"/>
  <c r="H355" i="31"/>
  <c r="Q356" i="13" s="1"/>
  <c r="X356" i="1"/>
  <c r="C356" i="1"/>
  <c r="D357" i="13" s="1"/>
  <c r="A355" i="11"/>
  <c r="B357" i="13"/>
  <c r="C357" i="13"/>
  <c r="H357" i="1"/>
  <c r="I357" i="1"/>
  <c r="L356" i="1"/>
  <c r="G354" i="11"/>
  <c r="H354" i="11" s="1"/>
  <c r="J356" i="13" s="1"/>
  <c r="K356" i="13"/>
  <c r="D354" i="11"/>
  <c r="AA356" i="1" l="1"/>
  <c r="E354" i="11"/>
  <c r="I356" i="13" s="1"/>
  <c r="H356" i="13"/>
  <c r="Y356" i="1"/>
  <c r="E357" i="13"/>
  <c r="F356" i="11"/>
  <c r="AD356" i="1"/>
  <c r="R356" i="1"/>
  <c r="Q356" i="1" s="1"/>
  <c r="P356" i="1" s="1"/>
  <c r="O356" i="1" s="1"/>
  <c r="N356" i="1" s="1"/>
  <c r="L357" i="13"/>
  <c r="F357" i="13" l="1"/>
  <c r="M356" i="1"/>
  <c r="AB356" i="1" l="1"/>
  <c r="AC356" i="1" s="1"/>
  <c r="M357" i="13" s="1"/>
  <c r="E356" i="31"/>
  <c r="G357" i="13"/>
  <c r="AG356" i="1"/>
  <c r="F357" i="1" l="1"/>
  <c r="G357" i="1"/>
  <c r="C355" i="11"/>
  <c r="B356" i="31"/>
  <c r="C356" i="31"/>
  <c r="AF356" i="1"/>
  <c r="N357" i="13" s="1"/>
  <c r="E357" i="1" l="1"/>
  <c r="D357" i="1" s="1"/>
  <c r="C357" i="1" s="1"/>
  <c r="D358" i="13" s="1"/>
  <c r="D356" i="31"/>
  <c r="K357" i="13"/>
  <c r="G355" i="11"/>
  <c r="H355" i="11" s="1"/>
  <c r="J357" i="13" s="1"/>
  <c r="D355" i="11"/>
  <c r="I358" i="1" l="1"/>
  <c r="A356" i="11"/>
  <c r="L358" i="13" s="1"/>
  <c r="L357" i="1"/>
  <c r="AD357" i="1" s="1"/>
  <c r="B358" i="13"/>
  <c r="C358" i="13"/>
  <c r="X357" i="1"/>
  <c r="H358" i="1"/>
  <c r="F356" i="31"/>
  <c r="P357" i="13" s="1"/>
  <c r="O357" i="13"/>
  <c r="H356" i="31"/>
  <c r="Q357" i="13" s="1"/>
  <c r="H357" i="13"/>
  <c r="E355" i="11"/>
  <c r="I357" i="13" s="1"/>
  <c r="AA357" i="1" l="1"/>
  <c r="Y357" i="1"/>
  <c r="F357" i="11"/>
  <c r="E358" i="13"/>
  <c r="R357" i="1"/>
  <c r="Q357" i="1" s="1"/>
  <c r="P357" i="1" s="1"/>
  <c r="O357" i="1" s="1"/>
  <c r="N357" i="1" s="1"/>
  <c r="F358" i="13" s="1"/>
  <c r="M357" i="1" l="1"/>
  <c r="AB357" i="1" s="1"/>
  <c r="AC357" i="1" s="1"/>
  <c r="M358" i="13" s="1"/>
  <c r="AG357" i="1"/>
  <c r="E357" i="31" l="1"/>
  <c r="G358" i="13"/>
  <c r="G358" i="1"/>
  <c r="F358" i="1"/>
  <c r="C356" i="11"/>
  <c r="C357" i="31"/>
  <c r="B357" i="31"/>
  <c r="AF357" i="1"/>
  <c r="N358" i="13" s="1"/>
  <c r="E358" i="1" l="1"/>
  <c r="D358" i="1" s="1"/>
  <c r="C359" i="13" s="1"/>
  <c r="D357" i="31"/>
  <c r="O358" i="13" s="1"/>
  <c r="G356" i="11"/>
  <c r="H356" i="11" s="1"/>
  <c r="J358" i="13" s="1"/>
  <c r="K358" i="13"/>
  <c r="D356" i="11"/>
  <c r="H359" i="1" l="1"/>
  <c r="B359" i="13"/>
  <c r="C358" i="1"/>
  <c r="D359" i="13" s="1"/>
  <c r="L358" i="1"/>
  <c r="F358" i="11" s="1"/>
  <c r="A357" i="11"/>
  <c r="L359" i="13" s="1"/>
  <c r="I359" i="1"/>
  <c r="X358" i="1"/>
  <c r="H358" i="13"/>
  <c r="E356" i="11"/>
  <c r="I358" i="13" s="1"/>
  <c r="F357" i="31"/>
  <c r="P358" i="13" s="1"/>
  <c r="H357" i="31"/>
  <c r="Q358" i="13" s="1"/>
  <c r="R358" i="1" l="1"/>
  <c r="Q358" i="1" s="1"/>
  <c r="P358" i="1" s="1"/>
  <c r="O358" i="1" s="1"/>
  <c r="N358" i="1" s="1"/>
  <c r="M358" i="1" s="1"/>
  <c r="AA358" i="1"/>
  <c r="E359" i="13"/>
  <c r="Y358" i="1"/>
  <c r="AD358" i="1"/>
  <c r="F359" i="13" l="1"/>
  <c r="AB358" i="1"/>
  <c r="AC358" i="1" s="1"/>
  <c r="M359" i="13" s="1"/>
  <c r="G359" i="13"/>
  <c r="E358" i="31"/>
  <c r="G359" i="1" l="1"/>
  <c r="F359" i="1"/>
  <c r="AG358" i="1"/>
  <c r="C358" i="31"/>
  <c r="B358" i="31"/>
  <c r="AF358" i="1"/>
  <c r="N359" i="13" s="1"/>
  <c r="D358" i="31" l="1"/>
  <c r="C357" i="11"/>
  <c r="E359" i="1"/>
  <c r="D359" i="1" s="1"/>
  <c r="H358" i="31" l="1"/>
  <c r="Q359" i="13" s="1"/>
  <c r="O359" i="13"/>
  <c r="F358" i="31"/>
  <c r="P359" i="13" s="1"/>
  <c r="X359" i="1"/>
  <c r="B360" i="13"/>
  <c r="C359" i="1"/>
  <c r="D360" i="13" s="1"/>
  <c r="A358" i="11"/>
  <c r="C360" i="13"/>
  <c r="H360" i="1"/>
  <c r="I360" i="1"/>
  <c r="L359" i="1"/>
  <c r="K359" i="13"/>
  <c r="G357" i="11"/>
  <c r="H357" i="11" s="1"/>
  <c r="J359" i="13" s="1"/>
  <c r="D357" i="11"/>
  <c r="AA359" i="1" l="1"/>
  <c r="E357" i="11"/>
  <c r="I359" i="13" s="1"/>
  <c r="H359" i="13"/>
  <c r="L360" i="13"/>
  <c r="E360" i="13"/>
  <c r="Y359" i="1"/>
  <c r="F359" i="11"/>
  <c r="AD359" i="1"/>
  <c r="R359" i="1"/>
  <c r="Q359" i="1" s="1"/>
  <c r="P359" i="1" s="1"/>
  <c r="O359" i="1" s="1"/>
  <c r="N359" i="1" s="1"/>
  <c r="M359" i="1" l="1"/>
  <c r="F360" i="13"/>
  <c r="AB359" i="1" l="1"/>
  <c r="AC359" i="1" s="1"/>
  <c r="M360" i="13" s="1"/>
  <c r="G360" i="13"/>
  <c r="E359" i="31"/>
  <c r="AG359" i="1"/>
  <c r="F360" i="1" l="1"/>
  <c r="G360" i="1"/>
  <c r="B359" i="31"/>
  <c r="C359" i="31"/>
  <c r="AF359" i="1"/>
  <c r="N360" i="13" s="1"/>
  <c r="C358" i="11"/>
  <c r="E360" i="1" l="1"/>
  <c r="D360" i="1" s="1"/>
  <c r="C360" i="1" s="1"/>
  <c r="D361" i="13" s="1"/>
  <c r="D359" i="31"/>
  <c r="G358" i="11"/>
  <c r="H358" i="11" s="1"/>
  <c r="J360" i="13" s="1"/>
  <c r="K360" i="13"/>
  <c r="D358" i="11"/>
  <c r="X360" i="1" l="1"/>
  <c r="I361" i="1"/>
  <c r="C361" i="13"/>
  <c r="L360" i="1"/>
  <c r="F360" i="11" s="1"/>
  <c r="B361" i="13"/>
  <c r="H361" i="1"/>
  <c r="R360" i="1" s="1"/>
  <c r="A359" i="11"/>
  <c r="L361" i="13" s="1"/>
  <c r="F359" i="31"/>
  <c r="P360" i="13" s="1"/>
  <c r="O360" i="13"/>
  <c r="H359" i="31"/>
  <c r="Q360" i="13" s="1"/>
  <c r="E358" i="11"/>
  <c r="I360" i="13" s="1"/>
  <c r="H360" i="13"/>
  <c r="AA360" i="1" l="1"/>
  <c r="E361" i="13"/>
  <c r="Q360" i="1"/>
  <c r="P360" i="1" s="1"/>
  <c r="O360" i="1" s="1"/>
  <c r="N360" i="1" s="1"/>
  <c r="F361" i="13" s="1"/>
  <c r="AD360" i="1"/>
  <c r="Y360" i="1"/>
  <c r="M360" i="1" l="1"/>
  <c r="E360" i="31" s="1"/>
  <c r="AG360" i="1"/>
  <c r="G361" i="13" l="1"/>
  <c r="AB360" i="1"/>
  <c r="AC360" i="1" s="1"/>
  <c r="M361" i="13" s="1"/>
  <c r="G361" i="1"/>
  <c r="F361" i="1"/>
  <c r="C359" i="11"/>
  <c r="B360" i="31" l="1"/>
  <c r="AF360" i="1"/>
  <c r="N361" i="13" s="1"/>
  <c r="C360" i="31"/>
  <c r="E361" i="1"/>
  <c r="D361" i="1" s="1"/>
  <c r="X361" i="1" s="1"/>
  <c r="G359" i="11"/>
  <c r="H359" i="11" s="1"/>
  <c r="J361" i="13" s="1"/>
  <c r="K361" i="13"/>
  <c r="D359" i="11"/>
  <c r="D360" i="31" l="1"/>
  <c r="F360" i="31" s="1"/>
  <c r="P361" i="13" s="1"/>
  <c r="H362" i="1"/>
  <c r="B362" i="13"/>
  <c r="L361" i="1"/>
  <c r="E362" i="13" s="1"/>
  <c r="C362" i="13"/>
  <c r="I362" i="1"/>
  <c r="C361" i="1"/>
  <c r="D362" i="13" s="1"/>
  <c r="A360" i="11"/>
  <c r="L362" i="13" s="1"/>
  <c r="O361" i="13"/>
  <c r="H361" i="13"/>
  <c r="E359" i="11"/>
  <c r="I361" i="13" s="1"/>
  <c r="H360" i="31" l="1"/>
  <c r="Q361" i="13" s="1"/>
  <c r="AA361" i="1"/>
  <c r="AD361" i="1"/>
  <c r="Y361" i="1"/>
  <c r="F361" i="11"/>
  <c r="R361" i="1"/>
  <c r="Q361" i="1" s="1"/>
  <c r="P361" i="1" s="1"/>
  <c r="O361" i="1" s="1"/>
  <c r="N361" i="1" s="1"/>
  <c r="M361" i="1" s="1"/>
  <c r="F362" i="13" l="1"/>
  <c r="AB361" i="1"/>
  <c r="AC361" i="1" s="1"/>
  <c r="M362" i="13" s="1"/>
  <c r="E361" i="31"/>
  <c r="G362" i="13"/>
  <c r="AG361" i="1"/>
  <c r="G362" i="1" l="1"/>
  <c r="F362" i="1"/>
  <c r="C360" i="11"/>
  <c r="B361" i="31"/>
  <c r="C361" i="31"/>
  <c r="AF361" i="1"/>
  <c r="N362" i="13" s="1"/>
  <c r="E362" i="1" l="1"/>
  <c r="D362" i="1" s="1"/>
  <c r="C362" i="1" s="1"/>
  <c r="D363" i="13" s="1"/>
  <c r="K362" i="13"/>
  <c r="G360" i="11"/>
  <c r="H360" i="11" s="1"/>
  <c r="J362" i="13" s="1"/>
  <c r="D360" i="11"/>
  <c r="D361" i="31"/>
  <c r="O362" i="13" s="1"/>
  <c r="L362" i="1" l="1"/>
  <c r="F362" i="11" s="1"/>
  <c r="C363" i="13"/>
  <c r="X362" i="1"/>
  <c r="H363" i="1"/>
  <c r="A361" i="11"/>
  <c r="L363" i="13" s="1"/>
  <c r="I363" i="1"/>
  <c r="B363" i="13"/>
  <c r="F361" i="31"/>
  <c r="P362" i="13" s="1"/>
  <c r="H361" i="31"/>
  <c r="Q362" i="13" s="1"/>
  <c r="E360" i="11"/>
  <c r="I362" i="13" s="1"/>
  <c r="H362" i="13"/>
  <c r="AA362" i="1" l="1"/>
  <c r="R362" i="1"/>
  <c r="Q362" i="1" s="1"/>
  <c r="P362" i="1" s="1"/>
  <c r="O362" i="1" s="1"/>
  <c r="N362" i="1" s="1"/>
  <c r="M362" i="1" s="1"/>
  <c r="E363" i="13"/>
  <c r="Y362" i="1"/>
  <c r="AD362" i="1"/>
  <c r="F363" i="13" l="1"/>
  <c r="AB362" i="1"/>
  <c r="AC362" i="1" s="1"/>
  <c r="M363" i="13" s="1"/>
  <c r="E362" i="31"/>
  <c r="G363" i="13"/>
  <c r="AG362" i="1"/>
  <c r="F363" i="1" l="1"/>
  <c r="G363" i="1"/>
  <c r="C361" i="11"/>
  <c r="B362" i="31"/>
  <c r="C362" i="31"/>
  <c r="AF362" i="1"/>
  <c r="N363" i="13" s="1"/>
  <c r="E363" i="1" l="1"/>
  <c r="D363" i="1" s="1"/>
  <c r="B364" i="13" s="1"/>
  <c r="G361" i="11"/>
  <c r="H361" i="11" s="1"/>
  <c r="J363" i="13" s="1"/>
  <c r="K363" i="13"/>
  <c r="D361" i="11"/>
  <c r="D362" i="31"/>
  <c r="O363" i="13" s="1"/>
  <c r="I364" i="1" l="1"/>
  <c r="H364" i="1"/>
  <c r="C364" i="13"/>
  <c r="C363" i="1"/>
  <c r="D364" i="13" s="1"/>
  <c r="L363" i="1"/>
  <c r="E364" i="13" s="1"/>
  <c r="A362" i="11"/>
  <c r="L364" i="13" s="1"/>
  <c r="X363" i="1"/>
  <c r="H362" i="31"/>
  <c r="Q363" i="13" s="1"/>
  <c r="F362" i="31"/>
  <c r="P363" i="13" s="1"/>
  <c r="E361" i="11"/>
  <c r="I363" i="13" s="1"/>
  <c r="H363" i="13"/>
  <c r="R363" i="1" l="1"/>
  <c r="Q363" i="1" s="1"/>
  <c r="P363" i="1" s="1"/>
  <c r="O363" i="1" s="1"/>
  <c r="N363" i="1" s="1"/>
  <c r="M363" i="1" s="1"/>
  <c r="AA363" i="1"/>
  <c r="F363" i="11"/>
  <c r="AD363" i="1"/>
  <c r="Y363" i="1"/>
  <c r="F364" i="13" l="1"/>
  <c r="AB363" i="1"/>
  <c r="AC363" i="1" s="1"/>
  <c r="M364" i="13" s="1"/>
  <c r="G364" i="13"/>
  <c r="E363" i="31"/>
  <c r="G364" i="1" l="1"/>
  <c r="F364" i="1"/>
  <c r="AG363" i="1"/>
  <c r="B363" i="31"/>
  <c r="C363" i="31"/>
  <c r="AF363" i="1"/>
  <c r="N364" i="13" s="1"/>
  <c r="E364" i="1" l="1"/>
  <c r="D364" i="1" s="1"/>
  <c r="C362" i="11"/>
  <c r="D363" i="31"/>
  <c r="O364" i="13" s="1"/>
  <c r="F363" i="31" l="1"/>
  <c r="P364" i="13" s="1"/>
  <c r="H363" i="31"/>
  <c r="Q364" i="13" s="1"/>
  <c r="G362" i="11"/>
  <c r="H362" i="11" s="1"/>
  <c r="J364" i="13" s="1"/>
  <c r="K364" i="13"/>
  <c r="D362" i="11"/>
  <c r="A363" i="11"/>
  <c r="C365" i="13"/>
  <c r="X364" i="1"/>
  <c r="B365" i="13"/>
  <c r="C364" i="1"/>
  <c r="D365" i="13" s="1"/>
  <c r="L364" i="1"/>
  <c r="H365" i="1"/>
  <c r="I365" i="1"/>
  <c r="AA364" i="1" l="1"/>
  <c r="L365" i="13"/>
  <c r="R364" i="1"/>
  <c r="Q364" i="1" s="1"/>
  <c r="P364" i="1" s="1"/>
  <c r="O364" i="1" s="1"/>
  <c r="N364" i="1" s="1"/>
  <c r="H364" i="13"/>
  <c r="E362" i="11"/>
  <c r="I364" i="13" s="1"/>
  <c r="E365" i="13"/>
  <c r="Y364" i="1"/>
  <c r="F364" i="11"/>
  <c r="AD364" i="1"/>
  <c r="M364" i="1" l="1"/>
  <c r="F365" i="13"/>
  <c r="AB364" i="1" l="1"/>
  <c r="AC364" i="1" s="1"/>
  <c r="M365" i="13" s="1"/>
  <c r="E364" i="31"/>
  <c r="G365" i="13"/>
  <c r="AG364" i="1"/>
  <c r="F365" i="1" l="1"/>
  <c r="G365" i="1"/>
  <c r="C363" i="11"/>
  <c r="C364" i="31"/>
  <c r="B364" i="31"/>
  <c r="AF364" i="1"/>
  <c r="N365" i="13" s="1"/>
  <c r="E365" i="1" l="1"/>
  <c r="D365" i="1" s="1"/>
  <c r="B366" i="13" s="1"/>
  <c r="D364" i="31"/>
  <c r="G363" i="11"/>
  <c r="H363" i="11" s="1"/>
  <c r="J365" i="13" s="1"/>
  <c r="K365" i="13"/>
  <c r="D363" i="11"/>
  <c r="L365" i="1" l="1"/>
  <c r="E366" i="13" s="1"/>
  <c r="H366" i="1"/>
  <c r="A364" i="11"/>
  <c r="L366" i="13" s="1"/>
  <c r="C366" i="13"/>
  <c r="X365" i="1"/>
  <c r="C365" i="1"/>
  <c r="D366" i="13" s="1"/>
  <c r="I366" i="1"/>
  <c r="F364" i="31"/>
  <c r="P365" i="13" s="1"/>
  <c r="O365" i="13"/>
  <c r="H364" i="31"/>
  <c r="Q365" i="13" s="1"/>
  <c r="E363" i="11"/>
  <c r="I365" i="13" s="1"/>
  <c r="H365" i="13"/>
  <c r="R365" i="1" l="1"/>
  <c r="Q365" i="1" s="1"/>
  <c r="P365" i="1" s="1"/>
  <c r="O365" i="1" s="1"/>
  <c r="N365" i="1" s="1"/>
  <c r="F366" i="13" s="1"/>
  <c r="AA365" i="1"/>
  <c r="F365" i="11"/>
  <c r="Y365" i="1"/>
  <c r="AD365" i="1"/>
  <c r="M365" i="1" l="1"/>
  <c r="AB365" i="1" s="1"/>
  <c r="AC365" i="1" s="1"/>
  <c r="M366" i="13" s="1"/>
  <c r="AG365" i="1"/>
  <c r="G366" i="13" l="1"/>
  <c r="E365" i="31"/>
  <c r="G366" i="1"/>
  <c r="F366" i="1"/>
  <c r="C364" i="11"/>
  <c r="B365" i="31"/>
  <c r="C365" i="31"/>
  <c r="AF365" i="1"/>
  <c r="N366" i="13" s="1"/>
  <c r="E366" i="1" l="1"/>
  <c r="D366" i="1" s="1"/>
  <c r="C366" i="1" s="1"/>
  <c r="D367" i="13" s="1"/>
  <c r="G364" i="11"/>
  <c r="H364" i="11" s="1"/>
  <c r="J366" i="13" s="1"/>
  <c r="K366" i="13"/>
  <c r="D364" i="11"/>
  <c r="D365" i="31"/>
  <c r="O366" i="13" s="1"/>
  <c r="X366" i="1" l="1"/>
  <c r="A365" i="11"/>
  <c r="L367" i="13" s="1"/>
  <c r="C367" i="13"/>
  <c r="L366" i="1"/>
  <c r="E367" i="13" s="1"/>
  <c r="I367" i="1"/>
  <c r="B367" i="13"/>
  <c r="H367" i="1"/>
  <c r="AA366" i="1" s="1"/>
  <c r="H366" i="13"/>
  <c r="E364" i="11"/>
  <c r="I366" i="13" s="1"/>
  <c r="F365" i="31"/>
  <c r="P366" i="13" s="1"/>
  <c r="H365" i="31"/>
  <c r="Q366" i="13" s="1"/>
  <c r="R366" i="1" l="1"/>
  <c r="Q366" i="1" s="1"/>
  <c r="P366" i="1" s="1"/>
  <c r="O366" i="1" s="1"/>
  <c r="N366" i="1" s="1"/>
  <c r="M366" i="1" s="1"/>
  <c r="Y366" i="1"/>
  <c r="F366" i="11"/>
  <c r="AD366" i="1"/>
  <c r="F367" i="13" l="1"/>
  <c r="AB366" i="1"/>
  <c r="AC366" i="1" s="1"/>
  <c r="M367" i="13" s="1"/>
  <c r="E366" i="31"/>
  <c r="G367" i="13"/>
  <c r="AG366" i="1"/>
  <c r="G367" i="1" l="1"/>
  <c r="F367" i="1"/>
  <c r="C365" i="11"/>
  <c r="C366" i="31"/>
  <c r="B366" i="31"/>
  <c r="AF366" i="1"/>
  <c r="N367" i="13" s="1"/>
  <c r="E367" i="1" l="1"/>
  <c r="D367" i="1" s="1"/>
  <c r="X367" i="1" s="1"/>
  <c r="D366" i="31"/>
  <c r="K367" i="13"/>
  <c r="G365" i="11"/>
  <c r="H365" i="11" s="1"/>
  <c r="J367" i="13" s="1"/>
  <c r="D365" i="11"/>
  <c r="I368" i="1" l="1"/>
  <c r="C368" i="13"/>
  <c r="A366" i="11"/>
  <c r="L368" i="13" s="1"/>
  <c r="B368" i="13"/>
  <c r="H368" i="1"/>
  <c r="R367" i="1" s="1"/>
  <c r="C367" i="1"/>
  <c r="D368" i="13" s="1"/>
  <c r="L367" i="1"/>
  <c r="F367" i="11" s="1"/>
  <c r="F366" i="31"/>
  <c r="P367" i="13" s="1"/>
  <c r="O367" i="13"/>
  <c r="H366" i="31"/>
  <c r="Q367" i="13" s="1"/>
  <c r="H367" i="13"/>
  <c r="E365" i="11"/>
  <c r="I367" i="13" s="1"/>
  <c r="AA367" i="1" l="1"/>
  <c r="AD367" i="1"/>
  <c r="Y367" i="1"/>
  <c r="Q367" i="1"/>
  <c r="P367" i="1" s="1"/>
  <c r="O367" i="1" s="1"/>
  <c r="N367" i="1" s="1"/>
  <c r="M367" i="1" s="1"/>
  <c r="E368" i="13"/>
  <c r="F368" i="13" l="1"/>
  <c r="AB367" i="1"/>
  <c r="AC367" i="1" s="1"/>
  <c r="M368" i="13" s="1"/>
  <c r="G368" i="13"/>
  <c r="E367" i="31"/>
  <c r="F368" i="1" l="1"/>
  <c r="G368" i="1"/>
  <c r="C367" i="31"/>
  <c r="B367" i="31"/>
  <c r="AF367" i="1"/>
  <c r="N368" i="13" s="1"/>
  <c r="AG367" i="1"/>
  <c r="D367" i="31" l="1"/>
  <c r="O368" i="13" s="1"/>
  <c r="C366" i="11"/>
  <c r="E368" i="1"/>
  <c r="D368" i="1" s="1"/>
  <c r="C369" i="13" l="1"/>
  <c r="C368" i="1"/>
  <c r="D369" i="13" s="1"/>
  <c r="B369" i="13"/>
  <c r="A367" i="11"/>
  <c r="X368" i="1"/>
  <c r="H369" i="1"/>
  <c r="L368" i="1"/>
  <c r="I369" i="1"/>
  <c r="K368" i="13"/>
  <c r="G366" i="11"/>
  <c r="H366" i="11" s="1"/>
  <c r="J368" i="13" s="1"/>
  <c r="D366" i="11"/>
  <c r="H367" i="31"/>
  <c r="Q368" i="13" s="1"/>
  <c r="F367" i="31"/>
  <c r="P368" i="13" s="1"/>
  <c r="AA368" i="1" l="1"/>
  <c r="E369" i="13"/>
  <c r="Y368" i="1"/>
  <c r="AD368" i="1"/>
  <c r="F368" i="11"/>
  <c r="L369" i="13"/>
  <c r="H368" i="13"/>
  <c r="E366" i="11"/>
  <c r="I368" i="13" s="1"/>
  <c r="R368" i="1"/>
  <c r="Q368" i="1" s="1"/>
  <c r="P368" i="1" s="1"/>
  <c r="O368" i="1" s="1"/>
  <c r="N368" i="1" s="1"/>
  <c r="M368" i="1" l="1"/>
  <c r="F369" i="13"/>
  <c r="AB368" i="1" l="1"/>
  <c r="AC368" i="1" s="1"/>
  <c r="M369" i="13" s="1"/>
  <c r="G369" i="13"/>
  <c r="E368" i="31"/>
  <c r="AG368" i="1"/>
  <c r="G369" i="1" l="1"/>
  <c r="F369" i="1"/>
  <c r="C367" i="11"/>
  <c r="B368" i="31"/>
  <c r="C368" i="31"/>
  <c r="AF368" i="1"/>
  <c r="N369" i="13" s="1"/>
  <c r="E369" i="1" l="1"/>
  <c r="D369" i="1" s="1"/>
  <c r="C370" i="13" s="1"/>
  <c r="D368" i="31"/>
  <c r="G367" i="11"/>
  <c r="H367" i="11" s="1"/>
  <c r="J369" i="13" s="1"/>
  <c r="K369" i="13"/>
  <c r="D367" i="11"/>
  <c r="I370" i="1" l="1"/>
  <c r="C369" i="1"/>
  <c r="D370" i="13" s="1"/>
  <c r="X369" i="1"/>
  <c r="A368" i="11"/>
  <c r="L370" i="13" s="1"/>
  <c r="L369" i="1"/>
  <c r="F369" i="11" s="1"/>
  <c r="B370" i="13"/>
  <c r="H370" i="1"/>
  <c r="AA369" i="1" s="1"/>
  <c r="H368" i="31"/>
  <c r="Q369" i="13" s="1"/>
  <c r="O369" i="13"/>
  <c r="F368" i="31"/>
  <c r="P369" i="13" s="1"/>
  <c r="H369" i="13"/>
  <c r="E367" i="11"/>
  <c r="I369" i="13" s="1"/>
  <c r="R369" i="1" l="1"/>
  <c r="Q369" i="1" s="1"/>
  <c r="P369" i="1" s="1"/>
  <c r="O369" i="1" s="1"/>
  <c r="N369" i="1" s="1"/>
  <c r="F370" i="13" s="1"/>
  <c r="E370" i="13"/>
  <c r="Y369" i="1"/>
  <c r="AD369" i="1"/>
  <c r="M369" i="1" l="1"/>
  <c r="AB369" i="1" s="1"/>
  <c r="AC369" i="1" s="1"/>
  <c r="M370" i="13" s="1"/>
  <c r="E369" i="31" l="1"/>
  <c r="G370" i="13"/>
  <c r="G370" i="1"/>
  <c r="F370" i="1"/>
  <c r="C369" i="31"/>
  <c r="B369" i="31"/>
  <c r="AF369" i="1"/>
  <c r="N370" i="13" s="1"/>
  <c r="AG369" i="1"/>
  <c r="D369" i="31" l="1"/>
  <c r="O370" i="13" s="1"/>
  <c r="E370" i="1"/>
  <c r="D370" i="1" s="1"/>
  <c r="C368" i="11"/>
  <c r="K370" i="13" l="1"/>
  <c r="G368" i="11"/>
  <c r="H368" i="11" s="1"/>
  <c r="J370" i="13" s="1"/>
  <c r="D368" i="11"/>
  <c r="X370" i="1"/>
  <c r="A369" i="11"/>
  <c r="C371" i="13"/>
  <c r="C370" i="1"/>
  <c r="D371" i="13" s="1"/>
  <c r="B371" i="13"/>
  <c r="L370" i="1"/>
  <c r="I371" i="1"/>
  <c r="H371" i="1"/>
  <c r="F369" i="31"/>
  <c r="P370" i="13" s="1"/>
  <c r="H369" i="31"/>
  <c r="Q370" i="13" s="1"/>
  <c r="AA370" i="1" l="1"/>
  <c r="H370" i="13"/>
  <c r="E368" i="11"/>
  <c r="I370" i="13" s="1"/>
  <c r="Y370" i="1"/>
  <c r="E371" i="13"/>
  <c r="AD370" i="1"/>
  <c r="F370" i="11"/>
  <c r="L371" i="13"/>
  <c r="R370" i="1"/>
  <c r="Q370" i="1" s="1"/>
  <c r="P370" i="1" s="1"/>
  <c r="O370" i="1" s="1"/>
  <c r="N370" i="1" s="1"/>
  <c r="F371" i="13" l="1"/>
  <c r="M370" i="1"/>
  <c r="AB370" i="1" l="1"/>
  <c r="AC370" i="1" s="1"/>
  <c r="M371" i="13" s="1"/>
  <c r="E370" i="31"/>
  <c r="G371" i="13"/>
  <c r="AG370" i="1"/>
  <c r="G371" i="1" l="1"/>
  <c r="F371" i="1"/>
  <c r="C369" i="11"/>
  <c r="C370" i="31"/>
  <c r="B370" i="31"/>
  <c r="AF370" i="1"/>
  <c r="N371" i="13" s="1"/>
  <c r="E371" i="1" l="1"/>
  <c r="D371" i="1" s="1"/>
  <c r="A370" i="11" s="1"/>
  <c r="D370" i="31"/>
  <c r="K371" i="13"/>
  <c r="G369" i="11"/>
  <c r="H369" i="11" s="1"/>
  <c r="J371" i="13" s="1"/>
  <c r="D369" i="11"/>
  <c r="B372" i="13" l="1"/>
  <c r="H372" i="1"/>
  <c r="C372" i="13"/>
  <c r="L371" i="1"/>
  <c r="Y371" i="1" s="1"/>
  <c r="X371" i="1"/>
  <c r="I372" i="1"/>
  <c r="C371" i="1"/>
  <c r="D372" i="13" s="1"/>
  <c r="F370" i="31"/>
  <c r="P371" i="13" s="1"/>
  <c r="O371" i="13"/>
  <c r="H370" i="31"/>
  <c r="Q371" i="13" s="1"/>
  <c r="H371" i="13"/>
  <c r="E369" i="11"/>
  <c r="I371" i="13" s="1"/>
  <c r="L372" i="13"/>
  <c r="AA371" i="1" l="1"/>
  <c r="F371" i="11"/>
  <c r="R371" i="1"/>
  <c r="Q371" i="1" s="1"/>
  <c r="P371" i="1" s="1"/>
  <c r="O371" i="1" s="1"/>
  <c r="N371" i="1" s="1"/>
  <c r="F372" i="13" s="1"/>
  <c r="E372" i="13"/>
  <c r="AD371" i="1"/>
  <c r="M371" i="1" l="1"/>
  <c r="AB371" i="1" s="1"/>
  <c r="AC371" i="1" s="1"/>
  <c r="M372" i="13" s="1"/>
  <c r="AG371" i="1"/>
  <c r="E371" i="31" l="1"/>
  <c r="G372" i="13"/>
  <c r="F372" i="1"/>
  <c r="G372" i="1"/>
  <c r="C370" i="11"/>
  <c r="B371" i="31"/>
  <c r="C371" i="31"/>
  <c r="AF371" i="1"/>
  <c r="N372" i="13" s="1"/>
  <c r="E372" i="1" l="1"/>
  <c r="D372" i="1" s="1"/>
  <c r="C372" i="1" s="1"/>
  <c r="D373" i="13" s="1"/>
  <c r="D371" i="31"/>
  <c r="G370" i="11"/>
  <c r="H370" i="11" s="1"/>
  <c r="J372" i="13" s="1"/>
  <c r="K372" i="13"/>
  <c r="D370" i="11"/>
  <c r="L372" i="1" l="1"/>
  <c r="AD372" i="1" s="1"/>
  <c r="C373" i="13"/>
  <c r="H373" i="1"/>
  <c r="B373" i="13"/>
  <c r="X372" i="1"/>
  <c r="A371" i="11"/>
  <c r="L373" i="13" s="1"/>
  <c r="I373" i="1"/>
  <c r="H371" i="31"/>
  <c r="Q372" i="13" s="1"/>
  <c r="O372" i="13"/>
  <c r="F371" i="31"/>
  <c r="P372" i="13" s="1"/>
  <c r="H372" i="13"/>
  <c r="E370" i="11"/>
  <c r="I372" i="13" s="1"/>
  <c r="AA372" i="1" l="1"/>
  <c r="F372" i="11"/>
  <c r="R372" i="1"/>
  <c r="Q372" i="1" s="1"/>
  <c r="P372" i="1" s="1"/>
  <c r="O372" i="1" s="1"/>
  <c r="N372" i="1" s="1"/>
  <c r="F373" i="13" s="1"/>
  <c r="E373" i="13"/>
  <c r="Y372" i="1"/>
  <c r="M372" i="1" l="1"/>
  <c r="G373" i="13" s="1"/>
  <c r="AB372" i="1" l="1"/>
  <c r="AC372" i="1" s="1"/>
  <c r="M373" i="13" s="1"/>
  <c r="E372" i="31"/>
  <c r="F373" i="1"/>
  <c r="G373" i="1"/>
  <c r="AG372" i="1"/>
  <c r="C372" i="31" l="1"/>
  <c r="AF372" i="1"/>
  <c r="N373" i="13" s="1"/>
  <c r="B372" i="31"/>
  <c r="C371" i="11"/>
  <c r="E373" i="1"/>
  <c r="D373" i="1" s="1"/>
  <c r="D372" i="31" l="1"/>
  <c r="H372" i="31" s="1"/>
  <c r="Q373" i="13" s="1"/>
  <c r="O373" i="13"/>
  <c r="K373" i="13"/>
  <c r="G371" i="11"/>
  <c r="H371" i="11" s="1"/>
  <c r="J373" i="13" s="1"/>
  <c r="D371" i="11"/>
  <c r="C374" i="13"/>
  <c r="X373" i="1"/>
  <c r="C373" i="1"/>
  <c r="D374" i="13" s="1"/>
  <c r="A372" i="11"/>
  <c r="B374" i="13"/>
  <c r="H374" i="1"/>
  <c r="I374" i="1"/>
  <c r="L373" i="1"/>
  <c r="F372" i="31" l="1"/>
  <c r="P373" i="13" s="1"/>
  <c r="AA373" i="1"/>
  <c r="E374" i="13"/>
  <c r="Y373" i="1"/>
  <c r="AD373" i="1"/>
  <c r="F373" i="11"/>
  <c r="L374" i="13"/>
  <c r="H373" i="13"/>
  <c r="E371" i="11"/>
  <c r="I373" i="13" s="1"/>
  <c r="R373" i="1"/>
  <c r="Q373" i="1" s="1"/>
  <c r="P373" i="1" s="1"/>
  <c r="O373" i="1" s="1"/>
  <c r="N373" i="1" s="1"/>
  <c r="F374" i="13" l="1"/>
  <c r="M373" i="1"/>
  <c r="AB373" i="1" l="1"/>
  <c r="AC373" i="1" s="1"/>
  <c r="M374" i="13" s="1"/>
  <c r="G374" i="13"/>
  <c r="E373" i="31"/>
  <c r="AG373" i="1"/>
  <c r="F374" i="1" l="1"/>
  <c r="G374" i="1"/>
  <c r="B373" i="31"/>
  <c r="C373" i="31"/>
  <c r="AF373" i="1"/>
  <c r="N374" i="13" s="1"/>
  <c r="C372" i="11"/>
  <c r="E374" i="1" l="1"/>
  <c r="D374" i="1" s="1"/>
  <c r="X374" i="1" s="1"/>
  <c r="D373" i="31"/>
  <c r="K374" i="13"/>
  <c r="G372" i="11"/>
  <c r="H372" i="11" s="1"/>
  <c r="J374" i="13" s="1"/>
  <c r="D372" i="11"/>
  <c r="I375" i="1" l="1"/>
  <c r="C375" i="13"/>
  <c r="H375" i="1"/>
  <c r="B375" i="13"/>
  <c r="A373" i="11"/>
  <c r="L375" i="13" s="1"/>
  <c r="L374" i="1"/>
  <c r="E375" i="13" s="1"/>
  <c r="C374" i="1"/>
  <c r="D375" i="13" s="1"/>
  <c r="F373" i="31"/>
  <c r="P374" i="13" s="1"/>
  <c r="O374" i="13"/>
  <c r="H373" i="31"/>
  <c r="Q374" i="13" s="1"/>
  <c r="E372" i="11"/>
  <c r="I374" i="13" s="1"/>
  <c r="H374" i="13"/>
  <c r="AA374" i="1" l="1"/>
  <c r="F374" i="11"/>
  <c r="AD374" i="1"/>
  <c r="Y374" i="1"/>
  <c r="R374" i="1"/>
  <c r="Q374" i="1" s="1"/>
  <c r="P374" i="1" s="1"/>
  <c r="O374" i="1" s="1"/>
  <c r="N374" i="1" s="1"/>
  <c r="M374" i="1" s="1"/>
  <c r="F375" i="13" l="1"/>
  <c r="AB374" i="1"/>
  <c r="AC374" i="1" s="1"/>
  <c r="M375" i="13" s="1"/>
  <c r="E374" i="31"/>
  <c r="G375" i="13"/>
  <c r="AG374" i="1"/>
  <c r="F375" i="1" l="1"/>
  <c r="G375" i="1"/>
  <c r="C373" i="11"/>
  <c r="B374" i="31"/>
  <c r="C374" i="31"/>
  <c r="AF374" i="1"/>
  <c r="N375" i="13" s="1"/>
  <c r="E375" i="1" l="1"/>
  <c r="D375" i="1" s="1"/>
  <c r="C375" i="1" s="1"/>
  <c r="D376" i="13" s="1"/>
  <c r="D374" i="31"/>
  <c r="K375" i="13"/>
  <c r="G373" i="11"/>
  <c r="H373" i="11" s="1"/>
  <c r="J375" i="13" s="1"/>
  <c r="D373" i="11"/>
  <c r="X375" i="1" l="1"/>
  <c r="B376" i="13"/>
  <c r="C376" i="13"/>
  <c r="H376" i="1"/>
  <c r="R375" i="1" s="1"/>
  <c r="A374" i="11"/>
  <c r="L376" i="13" s="1"/>
  <c r="L375" i="1"/>
  <c r="E376" i="13" s="1"/>
  <c r="I376" i="1"/>
  <c r="F374" i="31"/>
  <c r="P375" i="13" s="1"/>
  <c r="O375" i="13"/>
  <c r="H374" i="31"/>
  <c r="Q375" i="13" s="1"/>
  <c r="H375" i="13"/>
  <c r="E373" i="11"/>
  <c r="I375" i="13" s="1"/>
  <c r="AA375" i="1" l="1"/>
  <c r="Q375" i="1"/>
  <c r="P375" i="1" s="1"/>
  <c r="O375" i="1" s="1"/>
  <c r="N375" i="1" s="1"/>
  <c r="F376" i="13" s="1"/>
  <c r="AD375" i="1"/>
  <c r="F375" i="11"/>
  <c r="Y375" i="1"/>
  <c r="M375" i="1" l="1"/>
  <c r="AB375" i="1" s="1"/>
  <c r="AC375" i="1" s="1"/>
  <c r="M376" i="13" s="1"/>
  <c r="AG375" i="1"/>
  <c r="G376" i="13" l="1"/>
  <c r="E375" i="31"/>
  <c r="G376" i="1"/>
  <c r="F376" i="1"/>
  <c r="C374" i="11"/>
  <c r="B375" i="31"/>
  <c r="C375" i="31"/>
  <c r="AF375" i="1"/>
  <c r="N376" i="13" s="1"/>
  <c r="E376" i="1" l="1"/>
  <c r="D376" i="1" s="1"/>
  <c r="C376" i="1" s="1"/>
  <c r="D377" i="13" s="1"/>
  <c r="D375" i="31"/>
  <c r="K376" i="13"/>
  <c r="G374" i="11"/>
  <c r="H374" i="11" s="1"/>
  <c r="J376" i="13" s="1"/>
  <c r="D374" i="11"/>
  <c r="H377" i="1" l="1"/>
  <c r="A375" i="11"/>
  <c r="L377" i="13" s="1"/>
  <c r="L376" i="1"/>
  <c r="F376" i="11" s="1"/>
  <c r="X376" i="1"/>
  <c r="I377" i="1"/>
  <c r="C377" i="13"/>
  <c r="B377" i="13"/>
  <c r="H375" i="31"/>
  <c r="Q376" i="13" s="1"/>
  <c r="O376" i="13"/>
  <c r="F375" i="31"/>
  <c r="P376" i="13" s="1"/>
  <c r="E374" i="11"/>
  <c r="I376" i="13" s="1"/>
  <c r="H376" i="13"/>
  <c r="AA376" i="1" l="1"/>
  <c r="R376" i="1"/>
  <c r="Q376" i="1" s="1"/>
  <c r="P376" i="1" s="1"/>
  <c r="O376" i="1" s="1"/>
  <c r="N376" i="1" s="1"/>
  <c r="F377" i="13" s="1"/>
  <c r="E377" i="13"/>
  <c r="Y376" i="1"/>
  <c r="AD376" i="1"/>
  <c r="M376" i="1" l="1"/>
  <c r="AB376" i="1" s="1"/>
  <c r="AC376" i="1" s="1"/>
  <c r="M377" i="13" s="1"/>
  <c r="AG376" i="1"/>
  <c r="G377" i="13" l="1"/>
  <c r="E376" i="31"/>
  <c r="G377" i="1"/>
  <c r="F377" i="1"/>
  <c r="C375" i="11"/>
  <c r="B376" i="31"/>
  <c r="C376" i="31"/>
  <c r="AF376" i="1"/>
  <c r="N377" i="13" s="1"/>
  <c r="E377" i="1" l="1"/>
  <c r="D377" i="1" s="1"/>
  <c r="A376" i="11" s="1"/>
  <c r="D376" i="31"/>
  <c r="G375" i="11"/>
  <c r="H375" i="11" s="1"/>
  <c r="J377" i="13" s="1"/>
  <c r="K377" i="13"/>
  <c r="D375" i="11"/>
  <c r="X377" i="1" l="1"/>
  <c r="H378" i="1"/>
  <c r="L377" i="1"/>
  <c r="E378" i="13" s="1"/>
  <c r="C378" i="13"/>
  <c r="B378" i="13"/>
  <c r="C377" i="1"/>
  <c r="D378" i="13" s="1"/>
  <c r="I378" i="1"/>
  <c r="AA377" i="1" s="1"/>
  <c r="H376" i="31"/>
  <c r="Q377" i="13" s="1"/>
  <c r="O377" i="13"/>
  <c r="F376" i="31"/>
  <c r="P377" i="13" s="1"/>
  <c r="L378" i="13"/>
  <c r="H377" i="13"/>
  <c r="E375" i="11"/>
  <c r="I377" i="13" s="1"/>
  <c r="R377" i="1" l="1"/>
  <c r="Q377" i="1" s="1"/>
  <c r="P377" i="1" s="1"/>
  <c r="O377" i="1" s="1"/>
  <c r="N377" i="1" s="1"/>
  <c r="F378" i="13" s="1"/>
  <c r="F377" i="11"/>
  <c r="AD377" i="1"/>
  <c r="Y377" i="1"/>
  <c r="M377" i="1" l="1"/>
  <c r="G378" i="13" s="1"/>
  <c r="AG377" i="1"/>
  <c r="AB377" i="1" l="1"/>
  <c r="AC377" i="1" s="1"/>
  <c r="M378" i="13" s="1"/>
  <c r="E377" i="31"/>
  <c r="G378" i="1"/>
  <c r="F378" i="1"/>
  <c r="C376" i="11"/>
  <c r="AF377" i="1" l="1"/>
  <c r="N378" i="13" s="1"/>
  <c r="C377" i="31"/>
  <c r="B377" i="31"/>
  <c r="E378" i="1"/>
  <c r="D378" i="1" s="1"/>
  <c r="A377" i="11" s="1"/>
  <c r="K378" i="13"/>
  <c r="G376" i="11"/>
  <c r="H376" i="11" s="1"/>
  <c r="J378" i="13" s="1"/>
  <c r="D376" i="11"/>
  <c r="D377" i="31" l="1"/>
  <c r="F377" i="31" s="1"/>
  <c r="P378" i="13" s="1"/>
  <c r="L378" i="1"/>
  <c r="F378" i="11" s="1"/>
  <c r="C379" i="13"/>
  <c r="I379" i="1"/>
  <c r="C378" i="1"/>
  <c r="D379" i="13" s="1"/>
  <c r="B379" i="13"/>
  <c r="X378" i="1"/>
  <c r="H379" i="1"/>
  <c r="AA378" i="1" s="1"/>
  <c r="O378" i="13"/>
  <c r="H378" i="13"/>
  <c r="E376" i="11"/>
  <c r="I378" i="13" s="1"/>
  <c r="L379" i="13"/>
  <c r="R378" i="1" l="1"/>
  <c r="Q378" i="1" s="1"/>
  <c r="P378" i="1" s="1"/>
  <c r="O378" i="1" s="1"/>
  <c r="N378" i="1" s="1"/>
  <c r="F379" i="13" s="1"/>
  <c r="H377" i="31"/>
  <c r="Q378" i="13" s="1"/>
  <c r="Y378" i="1"/>
  <c r="AD378" i="1"/>
  <c r="E379" i="13"/>
  <c r="M378" i="1" l="1"/>
  <c r="AB378" i="1" s="1"/>
  <c r="AC378" i="1" s="1"/>
  <c r="M379" i="13" s="1"/>
  <c r="AG378" i="1"/>
  <c r="E378" i="31" l="1"/>
  <c r="G379" i="13"/>
  <c r="F379" i="1"/>
  <c r="G379" i="1"/>
  <c r="C377" i="11"/>
  <c r="B378" i="31"/>
  <c r="C378" i="31"/>
  <c r="AF378" i="1"/>
  <c r="N379" i="13" s="1"/>
  <c r="E379" i="1" l="1"/>
  <c r="D379" i="1" s="1"/>
  <c r="C380" i="13" s="1"/>
  <c r="K379" i="13"/>
  <c r="G377" i="11"/>
  <c r="H377" i="11" s="1"/>
  <c r="J379" i="13" s="1"/>
  <c r="D377" i="11"/>
  <c r="D378" i="31"/>
  <c r="O379" i="13" s="1"/>
  <c r="C379" i="1" l="1"/>
  <c r="D380" i="13" s="1"/>
  <c r="B380" i="13"/>
  <c r="X379" i="1"/>
  <c r="I380" i="1"/>
  <c r="H380" i="1"/>
  <c r="AA379" i="1" s="1"/>
  <c r="A378" i="11"/>
  <c r="L380" i="13" s="1"/>
  <c r="L379" i="1"/>
  <c r="AD379" i="1" s="1"/>
  <c r="E377" i="11"/>
  <c r="I379" i="13" s="1"/>
  <c r="H379" i="13"/>
  <c r="H378" i="31"/>
  <c r="Q379" i="13" s="1"/>
  <c r="F378" i="31"/>
  <c r="P379" i="13" s="1"/>
  <c r="F379" i="11" l="1"/>
  <c r="R379" i="1"/>
  <c r="Q379" i="1" s="1"/>
  <c r="P379" i="1" s="1"/>
  <c r="O379" i="1" s="1"/>
  <c r="N379" i="1" s="1"/>
  <c r="F380" i="13" s="1"/>
  <c r="E380" i="13"/>
  <c r="Y379" i="1"/>
  <c r="M379" i="1" l="1"/>
  <c r="AB379" i="1" s="1"/>
  <c r="AC379" i="1" s="1"/>
  <c r="M380" i="13" s="1"/>
  <c r="AG379" i="1"/>
  <c r="G380" i="13" l="1"/>
  <c r="E379" i="31"/>
  <c r="G380" i="1"/>
  <c r="F380" i="1"/>
  <c r="C378" i="11"/>
  <c r="C379" i="31"/>
  <c r="B379" i="31"/>
  <c r="AF379" i="1"/>
  <c r="N380" i="13" s="1"/>
  <c r="E380" i="1" l="1"/>
  <c r="D380" i="1" s="1"/>
  <c r="X380" i="1" s="1"/>
  <c r="D379" i="31"/>
  <c r="O380" i="13" s="1"/>
  <c r="G378" i="11"/>
  <c r="H378" i="11" s="1"/>
  <c r="J380" i="13" s="1"/>
  <c r="K380" i="13"/>
  <c r="D378" i="11"/>
  <c r="I381" i="1" l="1"/>
  <c r="A379" i="11"/>
  <c r="L381" i="13" s="1"/>
  <c r="L380" i="1"/>
  <c r="AD380" i="1" s="1"/>
  <c r="C381" i="13"/>
  <c r="H381" i="1"/>
  <c r="AA380" i="1" s="1"/>
  <c r="B381" i="13"/>
  <c r="C380" i="1"/>
  <c r="D381" i="13" s="1"/>
  <c r="E378" i="11"/>
  <c r="I380" i="13" s="1"/>
  <c r="H380" i="13"/>
  <c r="H379" i="31"/>
  <c r="Q380" i="13" s="1"/>
  <c r="F379" i="31"/>
  <c r="P380" i="13" s="1"/>
  <c r="R380" i="1" l="1"/>
  <c r="Q380" i="1" s="1"/>
  <c r="P380" i="1" s="1"/>
  <c r="O380" i="1" s="1"/>
  <c r="N380" i="1" s="1"/>
  <c r="M380" i="1" s="1"/>
  <c r="F380" i="11"/>
  <c r="Y380" i="1"/>
  <c r="E381" i="13"/>
  <c r="F381" i="13" l="1"/>
  <c r="AB380" i="1"/>
  <c r="AC380" i="1" s="1"/>
  <c r="M381" i="13" s="1"/>
  <c r="G381" i="13"/>
  <c r="E380" i="31"/>
  <c r="AG380" i="1"/>
  <c r="G381" i="1" l="1"/>
  <c r="F381" i="1"/>
  <c r="C379" i="11"/>
  <c r="C380" i="31"/>
  <c r="B380" i="31"/>
  <c r="AF380" i="1"/>
  <c r="N381" i="13" s="1"/>
  <c r="E381" i="1" l="1"/>
  <c r="D381" i="1" s="1"/>
  <c r="A380" i="11" s="1"/>
  <c r="D380" i="31"/>
  <c r="O381" i="13" s="1"/>
  <c r="G379" i="11"/>
  <c r="H379" i="11" s="1"/>
  <c r="J381" i="13" s="1"/>
  <c r="K381" i="13"/>
  <c r="D379" i="11"/>
  <c r="X381" i="1" l="1"/>
  <c r="L381" i="1"/>
  <c r="Y381" i="1" s="1"/>
  <c r="C381" i="1"/>
  <c r="D382" i="13" s="1"/>
  <c r="H382" i="1"/>
  <c r="C382" i="13"/>
  <c r="B382" i="13"/>
  <c r="I382" i="1"/>
  <c r="H381" i="13"/>
  <c r="E379" i="11"/>
  <c r="I381" i="13" s="1"/>
  <c r="L382" i="13"/>
  <c r="F380" i="31"/>
  <c r="P381" i="13" s="1"/>
  <c r="H380" i="31"/>
  <c r="Q381" i="13" s="1"/>
  <c r="AA381" i="1" l="1"/>
  <c r="R381" i="1"/>
  <c r="Q381" i="1" s="1"/>
  <c r="P381" i="1" s="1"/>
  <c r="O381" i="1" s="1"/>
  <c r="N381" i="1" s="1"/>
  <c r="F382" i="13" s="1"/>
  <c r="F381" i="11"/>
  <c r="AD381" i="1"/>
  <c r="E382" i="13"/>
  <c r="M381" i="1" l="1"/>
  <c r="G382" i="13" s="1"/>
  <c r="E381" i="31" l="1"/>
  <c r="AB381" i="1"/>
  <c r="AC381" i="1" s="1"/>
  <c r="M382" i="13" s="1"/>
  <c r="F382" i="1"/>
  <c r="G382" i="1"/>
  <c r="AG381" i="1"/>
  <c r="AF381" i="1" l="1"/>
  <c r="N382" i="13" s="1"/>
  <c r="B381" i="31"/>
  <c r="C381" i="31"/>
  <c r="E382" i="1"/>
  <c r="D382" i="1" s="1"/>
  <c r="C380" i="11"/>
  <c r="D381" i="31" l="1"/>
  <c r="O382" i="13" s="1"/>
  <c r="G380" i="11"/>
  <c r="H380" i="11" s="1"/>
  <c r="J382" i="13" s="1"/>
  <c r="K382" i="13"/>
  <c r="D380" i="11"/>
  <c r="B383" i="13"/>
  <c r="C383" i="13"/>
  <c r="C382" i="1"/>
  <c r="D383" i="13" s="1"/>
  <c r="X382" i="1"/>
  <c r="A381" i="11"/>
  <c r="L382" i="1"/>
  <c r="I383" i="1"/>
  <c r="H383" i="1"/>
  <c r="H381" i="31" l="1"/>
  <c r="Q382" i="13" s="1"/>
  <c r="F381" i="31"/>
  <c r="P382" i="13" s="1"/>
  <c r="R382" i="1"/>
  <c r="Q382" i="1" s="1"/>
  <c r="P382" i="1" s="1"/>
  <c r="O382" i="1" s="1"/>
  <c r="N382" i="1" s="1"/>
  <c r="AA382" i="1"/>
  <c r="E380" i="11"/>
  <c r="I382" i="13" s="1"/>
  <c r="H382" i="13"/>
  <c r="E383" i="13"/>
  <c r="Y382" i="1"/>
  <c r="AD382" i="1"/>
  <c r="F382" i="11"/>
  <c r="L383" i="13"/>
  <c r="M382" i="1" l="1"/>
  <c r="F383" i="13"/>
  <c r="AB382" i="1" l="1"/>
  <c r="AC382" i="1" s="1"/>
  <c r="M383" i="13" s="1"/>
  <c r="E382" i="31"/>
  <c r="G383" i="13"/>
  <c r="G383" i="1" l="1"/>
  <c r="F383" i="1"/>
  <c r="AG382" i="1"/>
  <c r="C382" i="31"/>
  <c r="B382" i="31"/>
  <c r="AF382" i="1"/>
  <c r="N383" i="13" s="1"/>
  <c r="D382" i="31" l="1"/>
  <c r="O383" i="13" s="1"/>
  <c r="C381" i="11"/>
  <c r="E383" i="1"/>
  <c r="D383" i="1" s="1"/>
  <c r="X383" i="1" l="1"/>
  <c r="B384" i="13"/>
  <c r="A382" i="11"/>
  <c r="C384" i="13"/>
  <c r="C383" i="1"/>
  <c r="D384" i="13" s="1"/>
  <c r="I384" i="1"/>
  <c r="H384" i="1"/>
  <c r="L383" i="1"/>
  <c r="K383" i="13"/>
  <c r="G381" i="11"/>
  <c r="H381" i="11" s="1"/>
  <c r="J383" i="13" s="1"/>
  <c r="D381" i="11"/>
  <c r="H382" i="31"/>
  <c r="Q383" i="13" s="1"/>
  <c r="F382" i="31"/>
  <c r="P383" i="13" s="1"/>
  <c r="L384" i="13" l="1"/>
  <c r="E381" i="11"/>
  <c r="I383" i="13" s="1"/>
  <c r="H383" i="13"/>
  <c r="R383" i="1"/>
  <c r="Q383" i="1" s="1"/>
  <c r="P383" i="1" s="1"/>
  <c r="O383" i="1" s="1"/>
  <c r="N383" i="1" s="1"/>
  <c r="Y383" i="1"/>
  <c r="E384" i="13"/>
  <c r="F383" i="11"/>
  <c r="AD383" i="1"/>
  <c r="AA383" i="1"/>
  <c r="M383" i="1" l="1"/>
  <c r="F384" i="13"/>
  <c r="AB383" i="1" l="1"/>
  <c r="AC383" i="1" s="1"/>
  <c r="M384" i="13" s="1"/>
  <c r="E383" i="31"/>
  <c r="G384" i="13"/>
  <c r="AG383" i="1"/>
  <c r="F384" i="1" l="1"/>
  <c r="G384" i="1"/>
  <c r="C382" i="11"/>
  <c r="C383" i="31"/>
  <c r="B383" i="31"/>
  <c r="AF383" i="1"/>
  <c r="N384" i="13" s="1"/>
  <c r="E384" i="1" l="1"/>
  <c r="D384" i="1" s="1"/>
  <c r="X384" i="1" s="1"/>
  <c r="D383" i="31"/>
  <c r="O384" i="13" s="1"/>
  <c r="K384" i="13"/>
  <c r="G382" i="11"/>
  <c r="H382" i="11" s="1"/>
  <c r="J384" i="13" s="1"/>
  <c r="D382" i="11"/>
  <c r="I385" i="1" l="1"/>
  <c r="C385" i="13"/>
  <c r="L384" i="1"/>
  <c r="Y384" i="1" s="1"/>
  <c r="B385" i="13"/>
  <c r="C384" i="1"/>
  <c r="D385" i="13" s="1"/>
  <c r="A383" i="11"/>
  <c r="L385" i="13" s="1"/>
  <c r="H385" i="1"/>
  <c r="AA384" i="1" s="1"/>
  <c r="H384" i="13"/>
  <c r="E382" i="11"/>
  <c r="I384" i="13" s="1"/>
  <c r="F383" i="31"/>
  <c r="P384" i="13" s="1"/>
  <c r="H383" i="31"/>
  <c r="Q384" i="13" s="1"/>
  <c r="R384" i="1" l="1"/>
  <c r="Q384" i="1" s="1"/>
  <c r="P384" i="1" s="1"/>
  <c r="O384" i="1" s="1"/>
  <c r="N384" i="1" s="1"/>
  <c r="F385" i="13" s="1"/>
  <c r="E385" i="13"/>
  <c r="F384" i="11"/>
  <c r="AD384" i="1"/>
  <c r="M384" i="1" l="1"/>
  <c r="AB384" i="1" s="1"/>
  <c r="AC384" i="1" s="1"/>
  <c r="M385" i="13" s="1"/>
  <c r="G385" i="13" l="1"/>
  <c r="E384" i="31"/>
  <c r="F385" i="1"/>
  <c r="G385" i="1"/>
  <c r="AG384" i="1"/>
  <c r="B384" i="31"/>
  <c r="C384" i="31"/>
  <c r="AF384" i="1"/>
  <c r="N385" i="13" s="1"/>
  <c r="D384" i="31" l="1"/>
  <c r="C383" i="11"/>
  <c r="E385" i="1"/>
  <c r="D385" i="1" s="1"/>
  <c r="F384" i="31" l="1"/>
  <c r="P385" i="13" s="1"/>
  <c r="O385" i="13"/>
  <c r="H384" i="31"/>
  <c r="Q385" i="13" s="1"/>
  <c r="A384" i="11"/>
  <c r="B386" i="13"/>
  <c r="C385" i="1"/>
  <c r="D386" i="13" s="1"/>
  <c r="C386" i="13"/>
  <c r="X385" i="1"/>
  <c r="I386" i="1"/>
  <c r="H386" i="1"/>
  <c r="L385" i="1"/>
  <c r="K385" i="13"/>
  <c r="G383" i="11"/>
  <c r="H383" i="11" s="1"/>
  <c r="J385" i="13" s="1"/>
  <c r="D383" i="11"/>
  <c r="H385" i="13" l="1"/>
  <c r="E383" i="11"/>
  <c r="I385" i="13" s="1"/>
  <c r="R385" i="1"/>
  <c r="Q385" i="1" s="1"/>
  <c r="P385" i="1" s="1"/>
  <c r="O385" i="1" s="1"/>
  <c r="N385" i="1" s="1"/>
  <c r="AA385" i="1"/>
  <c r="E386" i="13"/>
  <c r="Y385" i="1"/>
  <c r="AD385" i="1"/>
  <c r="F385" i="11"/>
  <c r="L386" i="13"/>
  <c r="F386" i="13" l="1"/>
  <c r="M385" i="1"/>
  <c r="AB385" i="1" l="1"/>
  <c r="AC385" i="1" s="1"/>
  <c r="M386" i="13" s="1"/>
  <c r="E385" i="31"/>
  <c r="G386" i="13"/>
  <c r="AG385" i="1"/>
  <c r="G386" i="1" l="1"/>
  <c r="F386" i="1"/>
  <c r="C384" i="11"/>
  <c r="C385" i="31"/>
  <c r="B385" i="31"/>
  <c r="AF385" i="1"/>
  <c r="N386" i="13" s="1"/>
  <c r="E386" i="1" l="1"/>
  <c r="D386" i="1" s="1"/>
  <c r="B387" i="13" s="1"/>
  <c r="D385" i="31"/>
  <c r="G384" i="11"/>
  <c r="H384" i="11" s="1"/>
  <c r="J386" i="13" s="1"/>
  <c r="K386" i="13"/>
  <c r="D384" i="11"/>
  <c r="L386" i="1" l="1"/>
  <c r="F386" i="11" s="1"/>
  <c r="C387" i="13"/>
  <c r="I387" i="1"/>
  <c r="C386" i="1"/>
  <c r="D387" i="13" s="1"/>
  <c r="H387" i="1"/>
  <c r="X386" i="1"/>
  <c r="A385" i="11"/>
  <c r="L387" i="13" s="1"/>
  <c r="H385" i="31"/>
  <c r="Q386" i="13" s="1"/>
  <c r="O386" i="13"/>
  <c r="F385" i="31"/>
  <c r="P386" i="13" s="1"/>
  <c r="H386" i="13"/>
  <c r="E384" i="11"/>
  <c r="I386" i="13" s="1"/>
  <c r="R386" i="1" l="1"/>
  <c r="Q386" i="1" s="1"/>
  <c r="P386" i="1" s="1"/>
  <c r="O386" i="1" s="1"/>
  <c r="N386" i="1" s="1"/>
  <c r="F387" i="13" s="1"/>
  <c r="Y386" i="1"/>
  <c r="AD386" i="1"/>
  <c r="AA386" i="1"/>
  <c r="E387" i="13"/>
  <c r="M386" i="1" l="1"/>
  <c r="E386" i="31" s="1"/>
  <c r="AG386" i="1"/>
  <c r="AB386" i="1" l="1"/>
  <c r="AC386" i="1" s="1"/>
  <c r="M387" i="13" s="1"/>
  <c r="G387" i="13"/>
  <c r="F387" i="1"/>
  <c r="G387" i="1"/>
  <c r="C385" i="11"/>
  <c r="C386" i="31" l="1"/>
  <c r="B386" i="31"/>
  <c r="AF386" i="1"/>
  <c r="N387" i="13" s="1"/>
  <c r="E387" i="1"/>
  <c r="D387" i="1" s="1"/>
  <c r="B388" i="13" s="1"/>
  <c r="K387" i="13"/>
  <c r="G385" i="11"/>
  <c r="H385" i="11" s="1"/>
  <c r="J387" i="13" s="1"/>
  <c r="D385" i="11"/>
  <c r="D386" i="31" l="1"/>
  <c r="O387" i="13" s="1"/>
  <c r="I388" i="1"/>
  <c r="C388" i="13"/>
  <c r="H388" i="1"/>
  <c r="A386" i="11"/>
  <c r="L388" i="13" s="1"/>
  <c r="L387" i="1"/>
  <c r="Y387" i="1" s="1"/>
  <c r="C387" i="1"/>
  <c r="D388" i="13" s="1"/>
  <c r="X387" i="1"/>
  <c r="H387" i="13"/>
  <c r="E385" i="11"/>
  <c r="I387" i="13" s="1"/>
  <c r="F386" i="31" l="1"/>
  <c r="P387" i="13" s="1"/>
  <c r="H386" i="31"/>
  <c r="Q387" i="13" s="1"/>
  <c r="R387" i="1"/>
  <c r="Q387" i="1" s="1"/>
  <c r="P387" i="1" s="1"/>
  <c r="O387" i="1" s="1"/>
  <c r="N387" i="1" s="1"/>
  <c r="M387" i="1" s="1"/>
  <c r="AD387" i="1"/>
  <c r="E388" i="13"/>
  <c r="F387" i="11"/>
  <c r="AA387" i="1"/>
  <c r="F388" i="13" l="1"/>
  <c r="AB387" i="1"/>
  <c r="AC387" i="1" s="1"/>
  <c r="M388" i="13" s="1"/>
  <c r="E387" i="31"/>
  <c r="G388" i="13"/>
  <c r="AG387" i="1"/>
  <c r="G388" i="1" l="1"/>
  <c r="F388" i="1"/>
  <c r="C386" i="11"/>
  <c r="C387" i="31"/>
  <c r="B387" i="31"/>
  <c r="AF387" i="1"/>
  <c r="N388" i="13" s="1"/>
  <c r="E388" i="1" l="1"/>
  <c r="D388" i="1" s="1"/>
  <c r="C388" i="1" s="1"/>
  <c r="D389" i="13" s="1"/>
  <c r="D387" i="31"/>
  <c r="K388" i="13"/>
  <c r="G386" i="11"/>
  <c r="H386" i="11" s="1"/>
  <c r="J388" i="13" s="1"/>
  <c r="D386" i="11"/>
  <c r="H389" i="1" l="1"/>
  <c r="A387" i="11"/>
  <c r="L389" i="13" s="1"/>
  <c r="I389" i="1"/>
  <c r="C389" i="13"/>
  <c r="X388" i="1"/>
  <c r="L388" i="1"/>
  <c r="AD388" i="1" s="1"/>
  <c r="B389" i="13"/>
  <c r="H387" i="31"/>
  <c r="Q388" i="13" s="1"/>
  <c r="O388" i="13"/>
  <c r="F387" i="31"/>
  <c r="P388" i="13" s="1"/>
  <c r="E386" i="11"/>
  <c r="I388" i="13" s="1"/>
  <c r="H388" i="13"/>
  <c r="R388" i="1" l="1"/>
  <c r="Q388" i="1" s="1"/>
  <c r="P388" i="1" s="1"/>
  <c r="O388" i="1" s="1"/>
  <c r="N388" i="1" s="1"/>
  <c r="F389" i="13" s="1"/>
  <c r="AA388" i="1"/>
  <c r="E389" i="13"/>
  <c r="F388" i="11"/>
  <c r="Y388" i="1"/>
  <c r="M388" i="1" l="1"/>
  <c r="AB388" i="1" s="1"/>
  <c r="AC388" i="1" s="1"/>
  <c r="M389" i="13" s="1"/>
  <c r="AG388" i="1"/>
  <c r="E388" i="31" l="1"/>
  <c r="G389" i="13"/>
  <c r="G389" i="1"/>
  <c r="F389" i="1"/>
  <c r="C387" i="11"/>
  <c r="B388" i="31"/>
  <c r="C388" i="31"/>
  <c r="AF388" i="1"/>
  <c r="N389" i="13" s="1"/>
  <c r="E389" i="1" l="1"/>
  <c r="D389" i="1" s="1"/>
  <c r="X389" i="1" s="1"/>
  <c r="D388" i="31"/>
  <c r="G387" i="11"/>
  <c r="H387" i="11" s="1"/>
  <c r="J389" i="13" s="1"/>
  <c r="K389" i="13"/>
  <c r="D387" i="11"/>
  <c r="H390" i="1" l="1"/>
  <c r="A388" i="11"/>
  <c r="L390" i="13" s="1"/>
  <c r="L389" i="1"/>
  <c r="Y389" i="1" s="1"/>
  <c r="C390" i="13"/>
  <c r="I390" i="1"/>
  <c r="B390" i="13"/>
  <c r="C389" i="1"/>
  <c r="D390" i="13" s="1"/>
  <c r="F388" i="31"/>
  <c r="P389" i="13" s="1"/>
  <c r="O389" i="13"/>
  <c r="H388" i="31"/>
  <c r="Q389" i="13" s="1"/>
  <c r="H389" i="13"/>
  <c r="E387" i="11"/>
  <c r="I389" i="13" s="1"/>
  <c r="AA389" i="1" l="1"/>
  <c r="F389" i="11"/>
  <c r="R389" i="1"/>
  <c r="Q389" i="1" s="1"/>
  <c r="P389" i="1" s="1"/>
  <c r="O389" i="1" s="1"/>
  <c r="N389" i="1" s="1"/>
  <c r="F390" i="13" s="1"/>
  <c r="AD389" i="1"/>
  <c r="E390" i="13"/>
  <c r="M389" i="1" l="1"/>
  <c r="AB389" i="1" s="1"/>
  <c r="AC389" i="1" s="1"/>
  <c r="M390" i="13" s="1"/>
  <c r="AG389" i="1"/>
  <c r="G390" i="13" l="1"/>
  <c r="E389" i="31"/>
  <c r="G390" i="1"/>
  <c r="F390" i="1"/>
  <c r="C388" i="11"/>
  <c r="C389" i="31"/>
  <c r="B389" i="31"/>
  <c r="AF389" i="1"/>
  <c r="N390" i="13" s="1"/>
  <c r="E390" i="1" l="1"/>
  <c r="D390" i="1" s="1"/>
  <c r="B391" i="13" s="1"/>
  <c r="D389" i="31"/>
  <c r="O390" i="13" s="1"/>
  <c r="K390" i="13"/>
  <c r="G388" i="11"/>
  <c r="H388" i="11" s="1"/>
  <c r="J390" i="13" s="1"/>
  <c r="D388" i="11"/>
  <c r="L390" i="1" l="1"/>
  <c r="Y390" i="1" s="1"/>
  <c r="C391" i="13"/>
  <c r="H391" i="1"/>
  <c r="A389" i="11"/>
  <c r="L391" i="13" s="1"/>
  <c r="I391" i="1"/>
  <c r="X390" i="1"/>
  <c r="C390" i="1"/>
  <c r="D391" i="13" s="1"/>
  <c r="E388" i="11"/>
  <c r="I390" i="13" s="1"/>
  <c r="H390" i="13"/>
  <c r="H389" i="31"/>
  <c r="Q390" i="13" s="1"/>
  <c r="F389" i="31"/>
  <c r="P390" i="13" s="1"/>
  <c r="R390" i="1" l="1"/>
  <c r="Q390" i="1" s="1"/>
  <c r="P390" i="1" s="1"/>
  <c r="O390" i="1" s="1"/>
  <c r="N390" i="1" s="1"/>
  <c r="M390" i="1" s="1"/>
  <c r="AA390" i="1"/>
  <c r="E391" i="13"/>
  <c r="F390" i="11"/>
  <c r="AD390" i="1"/>
  <c r="F391" i="13" l="1"/>
  <c r="AB390" i="1"/>
  <c r="AC390" i="1" s="1"/>
  <c r="M391" i="13" s="1"/>
  <c r="E390" i="31"/>
  <c r="G391" i="13"/>
  <c r="G391" i="1" l="1"/>
  <c r="F391" i="1"/>
  <c r="B390" i="31"/>
  <c r="C390" i="31"/>
  <c r="AF390" i="1"/>
  <c r="N391" i="13" s="1"/>
  <c r="AG390" i="1"/>
  <c r="D390" i="31" l="1"/>
  <c r="E391" i="1"/>
  <c r="D391" i="1" s="1"/>
  <c r="C389" i="11"/>
  <c r="F390" i="31" l="1"/>
  <c r="P391" i="13" s="1"/>
  <c r="O391" i="13"/>
  <c r="H390" i="31"/>
  <c r="Q391" i="13" s="1"/>
  <c r="K391" i="13"/>
  <c r="G389" i="11"/>
  <c r="H389" i="11" s="1"/>
  <c r="J391" i="13" s="1"/>
  <c r="D389" i="11"/>
  <c r="X391" i="1"/>
  <c r="C391" i="1"/>
  <c r="D392" i="13" s="1"/>
  <c r="C392" i="13"/>
  <c r="A390" i="11"/>
  <c r="B392" i="13"/>
  <c r="L391" i="1"/>
  <c r="H392" i="1"/>
  <c r="I392" i="1"/>
  <c r="R391" i="1" l="1"/>
  <c r="Q391" i="1" s="1"/>
  <c r="P391" i="1" s="1"/>
  <c r="O391" i="1" s="1"/>
  <c r="N391" i="1" s="1"/>
  <c r="L392" i="13"/>
  <c r="E389" i="11"/>
  <c r="I391" i="13" s="1"/>
  <c r="H391" i="13"/>
  <c r="Y391" i="1"/>
  <c r="E392" i="13"/>
  <c r="F391" i="11"/>
  <c r="AD391" i="1"/>
  <c r="AA391" i="1"/>
  <c r="F392" i="13" l="1"/>
  <c r="M391" i="1"/>
  <c r="AB391" i="1" l="1"/>
  <c r="AC391" i="1" s="1"/>
  <c r="M392" i="13" s="1"/>
  <c r="G392" i="13"/>
  <c r="E391" i="31"/>
  <c r="AG391" i="1"/>
  <c r="F392" i="1" l="1"/>
  <c r="G392" i="1"/>
  <c r="C390" i="11"/>
  <c r="B391" i="31"/>
  <c r="C391" i="31"/>
  <c r="AF391" i="1"/>
  <c r="N392" i="13" s="1"/>
  <c r="E392" i="1" l="1"/>
  <c r="D392" i="1" s="1"/>
  <c r="X392" i="1" s="1"/>
  <c r="D391" i="31"/>
  <c r="K392" i="13"/>
  <c r="G390" i="11"/>
  <c r="H390" i="11" s="1"/>
  <c r="J392" i="13" s="1"/>
  <c r="D390" i="11"/>
  <c r="I393" i="1" l="1"/>
  <c r="C392" i="1"/>
  <c r="D393" i="13" s="1"/>
  <c r="L392" i="1"/>
  <c r="E393" i="13" s="1"/>
  <c r="A391" i="11"/>
  <c r="L393" i="13" s="1"/>
  <c r="B393" i="13"/>
  <c r="C393" i="13"/>
  <c r="H393" i="1"/>
  <c r="AA392" i="1" s="1"/>
  <c r="F391" i="31"/>
  <c r="P392" i="13" s="1"/>
  <c r="O392" i="13"/>
  <c r="H391" i="31"/>
  <c r="Q392" i="13" s="1"/>
  <c r="E390" i="11"/>
  <c r="I392" i="13" s="1"/>
  <c r="H392" i="13"/>
  <c r="AD392" i="1" l="1"/>
  <c r="F392" i="11"/>
  <c r="R392" i="1"/>
  <c r="Q392" i="1" s="1"/>
  <c r="P392" i="1" s="1"/>
  <c r="O392" i="1" s="1"/>
  <c r="N392" i="1" s="1"/>
  <c r="M392" i="1" s="1"/>
  <c r="Y392" i="1"/>
  <c r="F393" i="13" l="1"/>
  <c r="AB392" i="1"/>
  <c r="AC392" i="1" s="1"/>
  <c r="M393" i="13" s="1"/>
  <c r="E392" i="31"/>
  <c r="G393" i="13"/>
  <c r="AG392" i="1"/>
  <c r="F393" i="1" l="1"/>
  <c r="G393" i="1"/>
  <c r="C391" i="11"/>
  <c r="C392" i="31"/>
  <c r="B392" i="31"/>
  <c r="AF392" i="1"/>
  <c r="N393" i="13" s="1"/>
  <c r="E393" i="1" l="1"/>
  <c r="D393" i="1" s="1"/>
  <c r="C393" i="1" s="1"/>
  <c r="D394" i="13" s="1"/>
  <c r="D392" i="31"/>
  <c r="O393" i="13" s="1"/>
  <c r="G391" i="11"/>
  <c r="H391" i="11" s="1"/>
  <c r="J393" i="13" s="1"/>
  <c r="K393" i="13"/>
  <c r="D391" i="11"/>
  <c r="L393" i="1" l="1"/>
  <c r="F393" i="11" s="1"/>
  <c r="A392" i="11"/>
  <c r="L394" i="13" s="1"/>
  <c r="I394" i="1"/>
  <c r="B394" i="13"/>
  <c r="C394" i="13"/>
  <c r="X393" i="1"/>
  <c r="H394" i="1"/>
  <c r="E391" i="11"/>
  <c r="I393" i="13" s="1"/>
  <c r="H393" i="13"/>
  <c r="F392" i="31"/>
  <c r="P393" i="13" s="1"/>
  <c r="H392" i="31"/>
  <c r="Q393" i="13" s="1"/>
  <c r="AA393" i="1" l="1"/>
  <c r="R393" i="1"/>
  <c r="Q393" i="1" s="1"/>
  <c r="P393" i="1" s="1"/>
  <c r="O393" i="1" s="1"/>
  <c r="N393" i="1" s="1"/>
  <c r="F394" i="13" s="1"/>
  <c r="Y393" i="1"/>
  <c r="E394" i="13"/>
  <c r="AD393" i="1"/>
  <c r="M393" i="1" l="1"/>
  <c r="E393" i="31" s="1"/>
  <c r="AB393" i="1" l="1"/>
  <c r="AC393" i="1" s="1"/>
  <c r="M394" i="13" s="1"/>
  <c r="G394" i="13"/>
  <c r="F394" i="1"/>
  <c r="G394" i="1"/>
  <c r="AG393" i="1"/>
  <c r="AF393" i="1" l="1"/>
  <c r="N394" i="13" s="1"/>
  <c r="B393" i="31"/>
  <c r="C393" i="31"/>
  <c r="C392" i="11"/>
  <c r="E394" i="1"/>
  <c r="D394" i="1" s="1"/>
  <c r="D393" i="31" l="1"/>
  <c r="F393" i="31" s="1"/>
  <c r="P394" i="13" s="1"/>
  <c r="O394" i="13"/>
  <c r="B395" i="13"/>
  <c r="C394" i="1"/>
  <c r="D395" i="13" s="1"/>
  <c r="C395" i="13"/>
  <c r="X394" i="1"/>
  <c r="A393" i="11"/>
  <c r="L394" i="1"/>
  <c r="H395" i="1"/>
  <c r="I395" i="1"/>
  <c r="K394" i="13"/>
  <c r="G392" i="11"/>
  <c r="H392" i="11" s="1"/>
  <c r="J394" i="13" s="1"/>
  <c r="D392" i="11"/>
  <c r="H393" i="31" l="1"/>
  <c r="Q394" i="13" s="1"/>
  <c r="AA394" i="1"/>
  <c r="E395" i="13"/>
  <c r="Y394" i="1"/>
  <c r="AD394" i="1"/>
  <c r="F394" i="11"/>
  <c r="H394" i="13"/>
  <c r="E392" i="11"/>
  <c r="I394" i="13" s="1"/>
  <c r="R394" i="1"/>
  <c r="Q394" i="1" s="1"/>
  <c r="P394" i="1" s="1"/>
  <c r="O394" i="1" s="1"/>
  <c r="N394" i="1" s="1"/>
  <c r="L395" i="13"/>
  <c r="F395" i="13" l="1"/>
  <c r="M394" i="1"/>
  <c r="AB394" i="1" l="1"/>
  <c r="AC394" i="1" s="1"/>
  <c r="M395" i="13" s="1"/>
  <c r="E394" i="31"/>
  <c r="G395" i="13"/>
  <c r="AG394" i="1"/>
  <c r="F395" i="1" l="1"/>
  <c r="G395" i="1"/>
  <c r="C393" i="11"/>
  <c r="C394" i="31"/>
  <c r="B394" i="31"/>
  <c r="AF394" i="1"/>
  <c r="N395" i="13" s="1"/>
  <c r="E395" i="1" l="1"/>
  <c r="D395" i="1" s="1"/>
  <c r="C396" i="13" s="1"/>
  <c r="D394" i="31"/>
  <c r="O395" i="13" s="1"/>
  <c r="G393" i="11"/>
  <c r="H393" i="11" s="1"/>
  <c r="J395" i="13" s="1"/>
  <c r="K395" i="13"/>
  <c r="D393" i="11"/>
  <c r="L395" i="1" l="1"/>
  <c r="E396" i="13" s="1"/>
  <c r="A394" i="11"/>
  <c r="L396" i="13" s="1"/>
  <c r="I396" i="1"/>
  <c r="C395" i="1"/>
  <c r="D396" i="13" s="1"/>
  <c r="B396" i="13"/>
  <c r="X395" i="1"/>
  <c r="H396" i="1"/>
  <c r="R395" i="1" s="1"/>
  <c r="H395" i="13"/>
  <c r="E393" i="11"/>
  <c r="I395" i="13" s="1"/>
  <c r="H394" i="31"/>
  <c r="Q395" i="13" s="1"/>
  <c r="F394" i="31"/>
  <c r="P395" i="13" s="1"/>
  <c r="AA395" i="1" l="1"/>
  <c r="Q395" i="1"/>
  <c r="P395" i="1" s="1"/>
  <c r="O395" i="1" s="1"/>
  <c r="N395" i="1" s="1"/>
  <c r="F396" i="13" s="1"/>
  <c r="Y395" i="1"/>
  <c r="AD395" i="1"/>
  <c r="F395" i="11"/>
  <c r="M395" i="1" l="1"/>
  <c r="AB395" i="1" s="1"/>
  <c r="AC395" i="1" s="1"/>
  <c r="M396" i="13" s="1"/>
  <c r="E395" i="31" l="1"/>
  <c r="G396" i="13"/>
  <c r="G396" i="1"/>
  <c r="F396" i="1"/>
  <c r="C395" i="31"/>
  <c r="B395" i="31"/>
  <c r="AF395" i="1"/>
  <c r="N396" i="13" s="1"/>
  <c r="AG395" i="1"/>
  <c r="D395" i="31" l="1"/>
  <c r="C394" i="11"/>
  <c r="E396" i="1"/>
  <c r="D396" i="1" s="1"/>
  <c r="H395" i="31" l="1"/>
  <c r="Q396" i="13" s="1"/>
  <c r="O396" i="13"/>
  <c r="F395" i="31"/>
  <c r="P396" i="13" s="1"/>
  <c r="B397" i="13"/>
  <c r="X396" i="1"/>
  <c r="C396" i="1"/>
  <c r="D397" i="13" s="1"/>
  <c r="A395" i="11"/>
  <c r="C397" i="13"/>
  <c r="I397" i="1"/>
  <c r="L396" i="1"/>
  <c r="H397" i="1"/>
  <c r="K396" i="13"/>
  <c r="G394" i="11"/>
  <c r="H394" i="11" s="1"/>
  <c r="J396" i="13" s="1"/>
  <c r="D394" i="11"/>
  <c r="AA396" i="1" l="1"/>
  <c r="Y396" i="1"/>
  <c r="E397" i="13"/>
  <c r="F396" i="11"/>
  <c r="AD396" i="1"/>
  <c r="L397" i="13"/>
  <c r="E394" i="11"/>
  <c r="I396" i="13" s="1"/>
  <c r="H396" i="13"/>
  <c r="R396" i="1"/>
  <c r="Q396" i="1" s="1"/>
  <c r="P396" i="1" s="1"/>
  <c r="O396" i="1" s="1"/>
  <c r="N396" i="1" s="1"/>
  <c r="M396" i="1" l="1"/>
  <c r="F397" i="13"/>
  <c r="AB396" i="1" l="1"/>
  <c r="AC396" i="1" s="1"/>
  <c r="M397" i="13" s="1"/>
  <c r="G397" i="13"/>
  <c r="E396" i="31"/>
  <c r="AG396" i="1"/>
  <c r="F397" i="1" l="1"/>
  <c r="G397" i="1"/>
  <c r="C395" i="11"/>
  <c r="C396" i="31"/>
  <c r="B396" i="31"/>
  <c r="AF396" i="1"/>
  <c r="N397" i="13" s="1"/>
  <c r="E397" i="1" l="1"/>
  <c r="D397" i="1" s="1"/>
  <c r="B398" i="13" s="1"/>
  <c r="D396" i="31"/>
  <c r="K397" i="13"/>
  <c r="G395" i="11"/>
  <c r="H395" i="11" s="1"/>
  <c r="J397" i="13" s="1"/>
  <c r="D395" i="11"/>
  <c r="L397" i="1" l="1"/>
  <c r="E398" i="13" s="1"/>
  <c r="I398" i="1"/>
  <c r="C397" i="1"/>
  <c r="D398" i="13" s="1"/>
  <c r="A396" i="11"/>
  <c r="L398" i="13" s="1"/>
  <c r="X397" i="1"/>
  <c r="C398" i="13"/>
  <c r="H398" i="1"/>
  <c r="R397" i="1" s="1"/>
  <c r="F396" i="31"/>
  <c r="P397" i="13" s="1"/>
  <c r="O397" i="13"/>
  <c r="H396" i="31"/>
  <c r="Q397" i="13" s="1"/>
  <c r="H397" i="13"/>
  <c r="E395" i="11"/>
  <c r="I397" i="13" s="1"/>
  <c r="AA397" i="1" l="1"/>
  <c r="Q397" i="1"/>
  <c r="P397" i="1" s="1"/>
  <c r="O397" i="1" s="1"/>
  <c r="N397" i="1" s="1"/>
  <c r="F398" i="13" s="1"/>
  <c r="AD397" i="1"/>
  <c r="F397" i="11"/>
  <c r="Y397" i="1"/>
  <c r="M397" i="1" l="1"/>
  <c r="AB397" i="1" s="1"/>
  <c r="AC397" i="1" s="1"/>
  <c r="M398" i="13" s="1"/>
  <c r="AG397" i="1"/>
  <c r="G398" i="13" l="1"/>
  <c r="E397" i="31"/>
  <c r="G398" i="1"/>
  <c r="F398" i="1"/>
  <c r="C396" i="11"/>
  <c r="C397" i="31"/>
  <c r="B397" i="31"/>
  <c r="AF397" i="1"/>
  <c r="N398" i="13" s="1"/>
  <c r="E398" i="1" l="1"/>
  <c r="D398" i="1" s="1"/>
  <c r="A397" i="11" s="1"/>
  <c r="D397" i="31"/>
  <c r="G396" i="11"/>
  <c r="H396" i="11" s="1"/>
  <c r="J398" i="13" s="1"/>
  <c r="K398" i="13"/>
  <c r="D396" i="11"/>
  <c r="I399" i="1" l="1"/>
  <c r="H399" i="1"/>
  <c r="AA398" i="1" s="1"/>
  <c r="B399" i="13"/>
  <c r="C399" i="13"/>
  <c r="C398" i="1"/>
  <c r="D399" i="13" s="1"/>
  <c r="L398" i="1"/>
  <c r="AD398" i="1" s="1"/>
  <c r="X398" i="1"/>
  <c r="F397" i="31"/>
  <c r="P398" i="13" s="1"/>
  <c r="O398" i="13"/>
  <c r="H397" i="31"/>
  <c r="Q398" i="13" s="1"/>
  <c r="L399" i="13"/>
  <c r="E396" i="11"/>
  <c r="I398" i="13" s="1"/>
  <c r="H398" i="13"/>
  <c r="Y398" i="1" l="1"/>
  <c r="R398" i="1"/>
  <c r="Q398" i="1" s="1"/>
  <c r="P398" i="1" s="1"/>
  <c r="O398" i="1" s="1"/>
  <c r="N398" i="1" s="1"/>
  <c r="M398" i="1" s="1"/>
  <c r="E399" i="13"/>
  <c r="F398" i="11"/>
  <c r="F399" i="13" l="1"/>
  <c r="AB398" i="1"/>
  <c r="AC398" i="1" s="1"/>
  <c r="M399" i="13" s="1"/>
  <c r="E398" i="31"/>
  <c r="G399" i="13"/>
  <c r="AG398" i="1"/>
  <c r="F399" i="1" l="1"/>
  <c r="G399" i="1"/>
  <c r="C397" i="11"/>
  <c r="C398" i="31"/>
  <c r="B398" i="31"/>
  <c r="AF398" i="1"/>
  <c r="N399" i="13" s="1"/>
  <c r="E399" i="1" l="1"/>
  <c r="D399" i="1" s="1"/>
  <c r="C399" i="1" s="1"/>
  <c r="D400" i="13" s="1"/>
  <c r="D398" i="31"/>
  <c r="G397" i="11"/>
  <c r="H397" i="11" s="1"/>
  <c r="J399" i="13" s="1"/>
  <c r="K399" i="13"/>
  <c r="D397" i="11"/>
  <c r="L399" i="1" l="1"/>
  <c r="E400" i="13" s="1"/>
  <c r="I400" i="1"/>
  <c r="A398" i="11"/>
  <c r="L400" i="13" s="1"/>
  <c r="X399" i="1"/>
  <c r="B400" i="13"/>
  <c r="C400" i="13"/>
  <c r="H400" i="1"/>
  <c r="AA399" i="1" s="1"/>
  <c r="F398" i="31"/>
  <c r="P399" i="13" s="1"/>
  <c r="O399" i="13"/>
  <c r="H398" i="31"/>
  <c r="Q399" i="13" s="1"/>
  <c r="E397" i="11"/>
  <c r="I399" i="13" s="1"/>
  <c r="H399" i="13"/>
  <c r="R399" i="1" l="1"/>
  <c r="Q399" i="1" s="1"/>
  <c r="P399" i="1" s="1"/>
  <c r="O399" i="1" s="1"/>
  <c r="N399" i="1" s="1"/>
  <c r="F400" i="13" s="1"/>
  <c r="F399" i="11"/>
  <c r="Y399" i="1"/>
  <c r="AD399" i="1"/>
  <c r="M399" i="1" l="1"/>
  <c r="AB399" i="1" s="1"/>
  <c r="AC399" i="1" s="1"/>
  <c r="M400" i="13" s="1"/>
  <c r="AG399" i="1"/>
  <c r="G400" i="13" l="1"/>
  <c r="E399" i="31"/>
  <c r="F400" i="1"/>
  <c r="G400" i="1"/>
  <c r="C399" i="31"/>
  <c r="B399" i="31"/>
  <c r="AF399" i="1"/>
  <c r="N400" i="13" s="1"/>
  <c r="C398" i="11"/>
  <c r="E400" i="1" l="1"/>
  <c r="D400" i="1" s="1"/>
  <c r="X400" i="1" s="1"/>
  <c r="K400" i="13"/>
  <c r="G398" i="11"/>
  <c r="H398" i="11" s="1"/>
  <c r="J400" i="13" s="1"/>
  <c r="D398" i="11"/>
  <c r="D399" i="31"/>
  <c r="O400" i="13" s="1"/>
  <c r="I401" i="1" l="1"/>
  <c r="C401" i="13"/>
  <c r="L400" i="1"/>
  <c r="Y400" i="1" s="1"/>
  <c r="B401" i="13"/>
  <c r="H401" i="1"/>
  <c r="R400" i="1" s="1"/>
  <c r="A399" i="11"/>
  <c r="L401" i="13" s="1"/>
  <c r="C400" i="1"/>
  <c r="D401" i="13" s="1"/>
  <c r="F399" i="31"/>
  <c r="P400" i="13" s="1"/>
  <c r="H399" i="31"/>
  <c r="Q400" i="13" s="1"/>
  <c r="H400" i="13"/>
  <c r="E398" i="11"/>
  <c r="I400" i="13" s="1"/>
  <c r="Q400" i="1" l="1"/>
  <c r="P400" i="1" s="1"/>
  <c r="O400" i="1" s="1"/>
  <c r="N400" i="1" s="1"/>
  <c r="F401" i="13" s="1"/>
  <c r="AA400" i="1"/>
  <c r="AD400" i="1"/>
  <c r="F400" i="11"/>
  <c r="E401" i="13"/>
  <c r="M400" i="1" l="1"/>
  <c r="AB400" i="1" s="1"/>
  <c r="AC400" i="1" s="1"/>
  <c r="M401" i="13" s="1"/>
  <c r="AG400" i="1"/>
  <c r="G401" i="13" l="1"/>
  <c r="E400" i="31"/>
  <c r="G401" i="1"/>
  <c r="F401" i="1"/>
  <c r="C399" i="11"/>
  <c r="C400" i="31"/>
  <c r="B400" i="31"/>
  <c r="AF400" i="1"/>
  <c r="N401" i="13" s="1"/>
  <c r="E401" i="1" l="1"/>
  <c r="D401" i="1" s="1"/>
  <c r="X401" i="1" s="1"/>
  <c r="D400" i="31"/>
  <c r="O401" i="13" s="1"/>
  <c r="K401" i="13"/>
  <c r="G399" i="11"/>
  <c r="H399" i="11" s="1"/>
  <c r="J401" i="13" s="1"/>
  <c r="D399" i="11"/>
  <c r="L401" i="1" l="1"/>
  <c r="Y401" i="1" s="1"/>
  <c r="A400" i="11"/>
  <c r="L402" i="13" s="1"/>
  <c r="H402" i="1"/>
  <c r="C401" i="1"/>
  <c r="D402" i="13" s="1"/>
  <c r="C402" i="13"/>
  <c r="B402" i="13"/>
  <c r="I402" i="1"/>
  <c r="H401" i="13"/>
  <c r="E399" i="11"/>
  <c r="I401" i="13" s="1"/>
  <c r="F400" i="31"/>
  <c r="P401" i="13" s="1"/>
  <c r="H400" i="31"/>
  <c r="Q401" i="13" s="1"/>
  <c r="AA401" i="1" l="1"/>
  <c r="R401" i="1"/>
  <c r="Q401" i="1" s="1"/>
  <c r="P401" i="1" s="1"/>
  <c r="O401" i="1" s="1"/>
  <c r="N401" i="1" s="1"/>
  <c r="F402" i="13" s="1"/>
  <c r="E402" i="13"/>
  <c r="F401" i="11"/>
  <c r="AD401" i="1"/>
  <c r="M401" i="1" l="1"/>
  <c r="AB401" i="1" s="1"/>
  <c r="AC401" i="1" s="1"/>
  <c r="M402" i="13" s="1"/>
  <c r="AG401" i="1"/>
  <c r="G402" i="13" l="1"/>
  <c r="E401" i="31"/>
  <c r="G402" i="1"/>
  <c r="F402" i="1"/>
  <c r="C400" i="11"/>
  <c r="B401" i="31"/>
  <c r="C401" i="31"/>
  <c r="AF401" i="1"/>
  <c r="N402" i="13" s="1"/>
  <c r="E402" i="1" l="1"/>
  <c r="D402" i="1" s="1"/>
  <c r="X402" i="1" s="1"/>
  <c r="D401" i="31"/>
  <c r="G400" i="11"/>
  <c r="H400" i="11" s="1"/>
  <c r="J402" i="13" s="1"/>
  <c r="K402" i="13"/>
  <c r="D400" i="11"/>
  <c r="L402" i="1" l="1"/>
  <c r="Y402" i="1" s="1"/>
  <c r="C403" i="13"/>
  <c r="H403" i="1"/>
  <c r="B403" i="13"/>
  <c r="C402" i="1"/>
  <c r="D403" i="13" s="1"/>
  <c r="A401" i="11"/>
  <c r="L403" i="13" s="1"/>
  <c r="I403" i="1"/>
  <c r="AA402" i="1" s="1"/>
  <c r="H401" i="31"/>
  <c r="Q402" i="13" s="1"/>
  <c r="O402" i="13"/>
  <c r="F401" i="31"/>
  <c r="P402" i="13" s="1"/>
  <c r="H402" i="13"/>
  <c r="E400" i="11"/>
  <c r="I402" i="13" s="1"/>
  <c r="R402" i="1" l="1"/>
  <c r="Q402" i="1" s="1"/>
  <c r="P402" i="1" s="1"/>
  <c r="O402" i="1" s="1"/>
  <c r="N402" i="1" s="1"/>
  <c r="M402" i="1" s="1"/>
  <c r="AD402" i="1"/>
  <c r="F402" i="11"/>
  <c r="E403" i="13"/>
  <c r="F403" i="13" l="1"/>
  <c r="AB402" i="1"/>
  <c r="AC402" i="1" s="1"/>
  <c r="M403" i="13" s="1"/>
  <c r="E402" i="31"/>
  <c r="G403" i="13"/>
  <c r="G403" i="1" l="1"/>
  <c r="F403" i="1"/>
  <c r="B402" i="31"/>
  <c r="C402" i="31"/>
  <c r="AF402" i="1"/>
  <c r="N403" i="13" s="1"/>
  <c r="AG402" i="1"/>
  <c r="D402" i="31" l="1"/>
  <c r="C401" i="11"/>
  <c r="E403" i="1"/>
  <c r="D403" i="1" s="1"/>
  <c r="F402" i="31" l="1"/>
  <c r="P403" i="13" s="1"/>
  <c r="O403" i="13"/>
  <c r="H402" i="31"/>
  <c r="Q403" i="13" s="1"/>
  <c r="G401" i="11"/>
  <c r="H401" i="11" s="1"/>
  <c r="J403" i="13" s="1"/>
  <c r="K403" i="13"/>
  <c r="D401" i="11"/>
  <c r="B404" i="13"/>
  <c r="C403" i="1"/>
  <c r="D404" i="13" s="1"/>
  <c r="A402" i="11"/>
  <c r="X403" i="1"/>
  <c r="C404" i="13"/>
  <c r="I404" i="1"/>
  <c r="L403" i="1"/>
  <c r="H404" i="1"/>
  <c r="AA403" i="1" l="1"/>
  <c r="E404" i="13"/>
  <c r="Y403" i="1"/>
  <c r="F403" i="11"/>
  <c r="AD403" i="1"/>
  <c r="E401" i="11"/>
  <c r="I403" i="13" s="1"/>
  <c r="H403" i="13"/>
  <c r="L404" i="13"/>
  <c r="R403" i="1"/>
  <c r="Q403" i="1" s="1"/>
  <c r="P403" i="1" s="1"/>
  <c r="O403" i="1" s="1"/>
  <c r="N403" i="1" s="1"/>
  <c r="F404" i="13" l="1"/>
  <c r="M403" i="1"/>
  <c r="AB403" i="1" l="1"/>
  <c r="AC403" i="1" s="1"/>
  <c r="M404" i="13" s="1"/>
  <c r="G404" i="13"/>
  <c r="E403" i="31"/>
  <c r="AG403" i="1"/>
  <c r="G404" i="1" l="1"/>
  <c r="F404" i="1"/>
  <c r="C402" i="11"/>
  <c r="B403" i="31"/>
  <c r="C403" i="31"/>
  <c r="AF403" i="1"/>
  <c r="N404" i="13" s="1"/>
  <c r="E404" i="1" l="1"/>
  <c r="D404" i="1" s="1"/>
  <c r="C405" i="13" s="1"/>
  <c r="K404" i="13"/>
  <c r="G402" i="11"/>
  <c r="H402" i="11" s="1"/>
  <c r="J404" i="13" s="1"/>
  <c r="D402" i="11"/>
  <c r="D403" i="31"/>
  <c r="O404" i="13" s="1"/>
  <c r="H405" i="1" l="1"/>
  <c r="X404" i="1"/>
  <c r="B405" i="13"/>
  <c r="A403" i="11"/>
  <c r="L405" i="13" s="1"/>
  <c r="L404" i="1"/>
  <c r="Y404" i="1" s="1"/>
  <c r="I405" i="1"/>
  <c r="C404" i="1"/>
  <c r="D405" i="13" s="1"/>
  <c r="F403" i="31"/>
  <c r="P404" i="13" s="1"/>
  <c r="H403" i="31"/>
  <c r="Q404" i="13" s="1"/>
  <c r="E402" i="11"/>
  <c r="I404" i="13" s="1"/>
  <c r="H404" i="13"/>
  <c r="R404" i="1" l="1"/>
  <c r="Q404" i="1" s="1"/>
  <c r="P404" i="1" s="1"/>
  <c r="O404" i="1" s="1"/>
  <c r="N404" i="1" s="1"/>
  <c r="F405" i="13" s="1"/>
  <c r="AA404" i="1"/>
  <c r="F404" i="11"/>
  <c r="AD404" i="1"/>
  <c r="E405" i="13"/>
  <c r="M404" i="1" l="1"/>
  <c r="G405" i="13" s="1"/>
  <c r="E404" i="31" l="1"/>
  <c r="AB404" i="1"/>
  <c r="AC404" i="1" s="1"/>
  <c r="M405" i="13" s="1"/>
  <c r="F405" i="1"/>
  <c r="G405" i="1"/>
  <c r="AG404" i="1"/>
  <c r="AF404" i="1" l="1"/>
  <c r="N405" i="13" s="1"/>
  <c r="B404" i="31"/>
  <c r="C404" i="31"/>
  <c r="C403" i="11"/>
  <c r="E405" i="1"/>
  <c r="D405" i="1" s="1"/>
  <c r="D404" i="31" l="1"/>
  <c r="O405" i="13" s="1"/>
  <c r="A404" i="11"/>
  <c r="B406" i="13"/>
  <c r="C405" i="1"/>
  <c r="D406" i="13" s="1"/>
  <c r="X405" i="1"/>
  <c r="C406" i="13"/>
  <c r="I406" i="1"/>
  <c r="H406" i="1"/>
  <c r="L405" i="1"/>
  <c r="G403" i="11"/>
  <c r="H403" i="11" s="1"/>
  <c r="J405" i="13" s="1"/>
  <c r="K405" i="13"/>
  <c r="D403" i="11"/>
  <c r="H404" i="31" l="1"/>
  <c r="Q405" i="13" s="1"/>
  <c r="F404" i="31"/>
  <c r="P405" i="13" s="1"/>
  <c r="AA405" i="1"/>
  <c r="E406" i="13"/>
  <c r="Y405" i="1"/>
  <c r="AD405" i="1"/>
  <c r="F405" i="11"/>
  <c r="L406" i="13"/>
  <c r="H405" i="13"/>
  <c r="E403" i="11"/>
  <c r="I405" i="13" s="1"/>
  <c r="R405" i="1"/>
  <c r="Q405" i="1" s="1"/>
  <c r="P405" i="1" s="1"/>
  <c r="O405" i="1" s="1"/>
  <c r="N405" i="1" s="1"/>
  <c r="F406" i="13" l="1"/>
  <c r="M405" i="1"/>
  <c r="AB405" i="1" l="1"/>
  <c r="AC405" i="1" s="1"/>
  <c r="M406" i="13" s="1"/>
  <c r="G406" i="13"/>
  <c r="E405" i="31"/>
  <c r="AG405" i="1"/>
  <c r="G406" i="1" l="1"/>
  <c r="F406" i="1"/>
  <c r="C404" i="11"/>
  <c r="B405" i="31"/>
  <c r="C405" i="31"/>
  <c r="AF405" i="1"/>
  <c r="N406" i="13" s="1"/>
  <c r="E406" i="1" l="1"/>
  <c r="D406" i="1" s="1"/>
  <c r="A405" i="11" s="1"/>
  <c r="K406" i="13"/>
  <c r="G404" i="11"/>
  <c r="H404" i="11" s="1"/>
  <c r="J406" i="13" s="1"/>
  <c r="D404" i="11"/>
  <c r="D405" i="31"/>
  <c r="O406" i="13" s="1"/>
  <c r="L406" i="1" l="1"/>
  <c r="AD406" i="1" s="1"/>
  <c r="C406" i="1"/>
  <c r="D407" i="13" s="1"/>
  <c r="I407" i="1"/>
  <c r="H407" i="1"/>
  <c r="X406" i="1"/>
  <c r="C407" i="13"/>
  <c r="B407" i="13"/>
  <c r="H405" i="31"/>
  <c r="Q406" i="13" s="1"/>
  <c r="F405" i="31"/>
  <c r="P406" i="13" s="1"/>
  <c r="L407" i="13"/>
  <c r="H406" i="13"/>
  <c r="E404" i="11"/>
  <c r="I406" i="13" s="1"/>
  <c r="AA406" i="1" l="1"/>
  <c r="R406" i="1"/>
  <c r="Q406" i="1" s="1"/>
  <c r="P406" i="1" s="1"/>
  <c r="O406" i="1" s="1"/>
  <c r="N406" i="1" s="1"/>
  <c r="M406" i="1" s="1"/>
  <c r="F406" i="11"/>
  <c r="E407" i="13"/>
  <c r="Y406" i="1"/>
  <c r="F407" i="13" l="1"/>
  <c r="AB406" i="1"/>
  <c r="AC406" i="1" s="1"/>
  <c r="M407" i="13" s="1"/>
  <c r="E406" i="31"/>
  <c r="G407" i="13"/>
  <c r="AG406" i="1"/>
  <c r="G407" i="1" l="1"/>
  <c r="F407" i="1"/>
  <c r="C405" i="11"/>
  <c r="C406" i="31"/>
  <c r="B406" i="31"/>
  <c r="AF406" i="1"/>
  <c r="N407" i="13" s="1"/>
  <c r="E407" i="1" l="1"/>
  <c r="D407" i="1" s="1"/>
  <c r="C408" i="13" s="1"/>
  <c r="G405" i="11"/>
  <c r="H405" i="11" s="1"/>
  <c r="J407" i="13" s="1"/>
  <c r="K407" i="13"/>
  <c r="D405" i="11"/>
  <c r="D406" i="31"/>
  <c r="O407" i="13" s="1"/>
  <c r="C407" i="1" l="1"/>
  <c r="D408" i="13" s="1"/>
  <c r="H408" i="1"/>
  <c r="A406" i="11"/>
  <c r="L408" i="13" s="1"/>
  <c r="L407" i="1"/>
  <c r="Y407" i="1" s="1"/>
  <c r="B408" i="13"/>
  <c r="I408" i="1"/>
  <c r="X407" i="1"/>
  <c r="H406" i="31"/>
  <c r="Q407" i="13" s="1"/>
  <c r="F406" i="31"/>
  <c r="P407" i="13" s="1"/>
  <c r="H407" i="13"/>
  <c r="E405" i="11"/>
  <c r="I407" i="13" s="1"/>
  <c r="R407" i="1" l="1"/>
  <c r="Q407" i="1" s="1"/>
  <c r="P407" i="1" s="1"/>
  <c r="O407" i="1" s="1"/>
  <c r="N407" i="1" s="1"/>
  <c r="M407" i="1" s="1"/>
  <c r="AD407" i="1"/>
  <c r="E408" i="13"/>
  <c r="F407" i="11"/>
  <c r="AA407" i="1"/>
  <c r="F408" i="13" l="1"/>
  <c r="AB407" i="1"/>
  <c r="AC407" i="1" s="1"/>
  <c r="M408" i="13" s="1"/>
  <c r="E407" i="31"/>
  <c r="G408" i="13"/>
  <c r="AG407" i="1"/>
  <c r="G408" i="1" l="1"/>
  <c r="F408" i="1"/>
  <c r="C406" i="11"/>
  <c r="C407" i="31"/>
  <c r="B407" i="31"/>
  <c r="AF407" i="1"/>
  <c r="N408" i="13" s="1"/>
  <c r="E408" i="1" l="1"/>
  <c r="D408" i="1" s="1"/>
  <c r="B409" i="13" s="1"/>
  <c r="D407" i="31"/>
  <c r="H407" i="31" s="1"/>
  <c r="Q408" i="13" s="1"/>
  <c r="G406" i="11"/>
  <c r="H406" i="11" s="1"/>
  <c r="J408" i="13" s="1"/>
  <c r="K408" i="13"/>
  <c r="D406" i="11"/>
  <c r="L408" i="1" l="1"/>
  <c r="E409" i="13" s="1"/>
  <c r="I409" i="1"/>
  <c r="C408" i="1"/>
  <c r="D409" i="13" s="1"/>
  <c r="A407" i="11"/>
  <c r="L409" i="13" s="1"/>
  <c r="C409" i="13"/>
  <c r="X408" i="1"/>
  <c r="H409" i="1"/>
  <c r="AA408" i="1" s="1"/>
  <c r="F407" i="31"/>
  <c r="P408" i="13" s="1"/>
  <c r="O408" i="13"/>
  <c r="H408" i="13"/>
  <c r="E406" i="11"/>
  <c r="I408" i="13" s="1"/>
  <c r="R408" i="1" l="1"/>
  <c r="Q408" i="1" s="1"/>
  <c r="P408" i="1" s="1"/>
  <c r="O408" i="1" s="1"/>
  <c r="N408" i="1" s="1"/>
  <c r="F409" i="13" s="1"/>
  <c r="F408" i="11"/>
  <c r="AD408" i="1"/>
  <c r="Y408" i="1"/>
  <c r="M408" i="1" l="1"/>
  <c r="AB408" i="1" s="1"/>
  <c r="AC408" i="1" s="1"/>
  <c r="M409" i="13" s="1"/>
  <c r="AG408" i="1"/>
  <c r="E408" i="31" l="1"/>
  <c r="G409" i="13"/>
  <c r="G409" i="1"/>
  <c r="F409" i="1"/>
  <c r="C407" i="11"/>
  <c r="B408" i="31"/>
  <c r="C408" i="31"/>
  <c r="AF408" i="1"/>
  <c r="N409" i="13" s="1"/>
  <c r="E409" i="1" l="1"/>
  <c r="D409" i="1" s="1"/>
  <c r="C410" i="13" s="1"/>
  <c r="D408" i="31"/>
  <c r="K409" i="13"/>
  <c r="G407" i="11"/>
  <c r="H407" i="11" s="1"/>
  <c r="J409" i="13" s="1"/>
  <c r="D407" i="11"/>
  <c r="L409" i="1" l="1"/>
  <c r="F409" i="11" s="1"/>
  <c r="B410" i="13"/>
  <c r="X409" i="1"/>
  <c r="I410" i="1"/>
  <c r="C409" i="1"/>
  <c r="D410" i="13" s="1"/>
  <c r="H410" i="1"/>
  <c r="R409" i="1" s="1"/>
  <c r="A408" i="11"/>
  <c r="L410" i="13" s="1"/>
  <c r="F408" i="31"/>
  <c r="P409" i="13" s="1"/>
  <c r="O409" i="13"/>
  <c r="H408" i="31"/>
  <c r="Q409" i="13" s="1"/>
  <c r="H409" i="13"/>
  <c r="E407" i="11"/>
  <c r="I409" i="13" s="1"/>
  <c r="AA409" i="1" l="1"/>
  <c r="Y409" i="1"/>
  <c r="E410" i="13"/>
  <c r="AD409" i="1"/>
  <c r="Q409" i="1"/>
  <c r="P409" i="1" s="1"/>
  <c r="O409" i="1" s="1"/>
  <c r="N409" i="1" s="1"/>
  <c r="M409" i="1" s="1"/>
  <c r="F410" i="13" l="1"/>
  <c r="AB409" i="1"/>
  <c r="AC409" i="1" s="1"/>
  <c r="M410" i="13" s="1"/>
  <c r="E409" i="31"/>
  <c r="G410" i="13"/>
  <c r="G410" i="1" l="1"/>
  <c r="F410" i="1"/>
  <c r="B409" i="31"/>
  <c r="C409" i="31"/>
  <c r="AF409" i="1"/>
  <c r="N410" i="13" s="1"/>
  <c r="AG409" i="1"/>
  <c r="D409" i="31" l="1"/>
  <c r="E410" i="1"/>
  <c r="D410" i="1" s="1"/>
  <c r="C408" i="11"/>
  <c r="H409" i="31" l="1"/>
  <c r="Q410" i="13" s="1"/>
  <c r="O410" i="13"/>
  <c r="F409" i="31"/>
  <c r="P410" i="13" s="1"/>
  <c r="K410" i="13"/>
  <c r="G408" i="11"/>
  <c r="H408" i="11" s="1"/>
  <c r="J410" i="13" s="1"/>
  <c r="D408" i="11"/>
  <c r="B411" i="13"/>
  <c r="A409" i="11"/>
  <c r="C411" i="13"/>
  <c r="X410" i="1"/>
  <c r="C410" i="1"/>
  <c r="D411" i="13" s="1"/>
  <c r="I411" i="1"/>
  <c r="L410" i="1"/>
  <c r="H411" i="1"/>
  <c r="R410" i="1" l="1"/>
  <c r="Q410" i="1" s="1"/>
  <c r="P410" i="1" s="1"/>
  <c r="O410" i="1" s="1"/>
  <c r="N410" i="1" s="1"/>
  <c r="Y410" i="1"/>
  <c r="E411" i="13"/>
  <c r="AD410" i="1"/>
  <c r="F410" i="11"/>
  <c r="H410" i="13"/>
  <c r="E408" i="11"/>
  <c r="I410" i="13" s="1"/>
  <c r="AA410" i="1"/>
  <c r="L411" i="13"/>
  <c r="M410" i="1" l="1"/>
  <c r="F411" i="13"/>
  <c r="AB410" i="1" l="1"/>
  <c r="AC410" i="1" s="1"/>
  <c r="M411" i="13" s="1"/>
  <c r="E410" i="31"/>
  <c r="G411" i="13"/>
  <c r="AG410" i="1"/>
  <c r="F411" i="1" l="1"/>
  <c r="G411" i="1"/>
  <c r="C409" i="11"/>
  <c r="B410" i="31"/>
  <c r="C410" i="31"/>
  <c r="AF410" i="1"/>
  <c r="N411" i="13" s="1"/>
  <c r="E411" i="1" l="1"/>
  <c r="D411" i="1" s="1"/>
  <c r="A410" i="11" s="1"/>
  <c r="G409" i="11"/>
  <c r="H409" i="11" s="1"/>
  <c r="J411" i="13" s="1"/>
  <c r="K411" i="13"/>
  <c r="D409" i="11"/>
  <c r="D410" i="31"/>
  <c r="O411" i="13" s="1"/>
  <c r="C412" i="13" l="1"/>
  <c r="C411" i="1"/>
  <c r="D412" i="13" s="1"/>
  <c r="H412" i="1"/>
  <c r="X411" i="1"/>
  <c r="L411" i="1"/>
  <c r="Y411" i="1" s="1"/>
  <c r="B412" i="13"/>
  <c r="I412" i="1"/>
  <c r="H410" i="31"/>
  <c r="Q411" i="13" s="1"/>
  <c r="F410" i="31"/>
  <c r="P411" i="13" s="1"/>
  <c r="L412" i="13"/>
  <c r="H411" i="13"/>
  <c r="E409" i="11"/>
  <c r="I411" i="13" s="1"/>
  <c r="AA411" i="1" l="1"/>
  <c r="R411" i="1"/>
  <c r="Q411" i="1" s="1"/>
  <c r="P411" i="1" s="1"/>
  <c r="O411" i="1" s="1"/>
  <c r="N411" i="1" s="1"/>
  <c r="M411" i="1" s="1"/>
  <c r="F411" i="11"/>
  <c r="AD411" i="1"/>
  <c r="E412" i="13"/>
  <c r="F412" i="13" l="1"/>
  <c r="AB411" i="1"/>
  <c r="AC411" i="1" s="1"/>
  <c r="M412" i="13" s="1"/>
  <c r="E411" i="31"/>
  <c r="G412" i="13"/>
  <c r="AG411" i="1"/>
  <c r="F412" i="1" l="1"/>
  <c r="G412" i="1"/>
  <c r="C410" i="11"/>
  <c r="B411" i="31"/>
  <c r="C411" i="31"/>
  <c r="AF411" i="1"/>
  <c r="N412" i="13" s="1"/>
  <c r="E412" i="1" l="1"/>
  <c r="D412" i="1" s="1"/>
  <c r="C412" i="1" s="1"/>
  <c r="D413" i="13" s="1"/>
  <c r="D411" i="31"/>
  <c r="G410" i="11"/>
  <c r="H410" i="11" s="1"/>
  <c r="J412" i="13" s="1"/>
  <c r="K412" i="13"/>
  <c r="D410" i="11"/>
  <c r="I413" i="1" l="1"/>
  <c r="B413" i="13"/>
  <c r="H413" i="1"/>
  <c r="X412" i="1"/>
  <c r="C413" i="13"/>
  <c r="A411" i="11"/>
  <c r="L413" i="13" s="1"/>
  <c r="L412" i="1"/>
  <c r="AD412" i="1" s="1"/>
  <c r="F411" i="31"/>
  <c r="P412" i="13" s="1"/>
  <c r="O412" i="13"/>
  <c r="H411" i="31"/>
  <c r="Q412" i="13" s="1"/>
  <c r="E410" i="11"/>
  <c r="I412" i="13" s="1"/>
  <c r="H412" i="13"/>
  <c r="R412" i="1" l="1"/>
  <c r="Q412" i="1" s="1"/>
  <c r="P412" i="1" s="1"/>
  <c r="O412" i="1" s="1"/>
  <c r="N412" i="1" s="1"/>
  <c r="F413" i="13" s="1"/>
  <c r="AA412" i="1"/>
  <c r="Y412" i="1"/>
  <c r="E413" i="13"/>
  <c r="F412" i="11"/>
  <c r="M412" i="1" l="1"/>
  <c r="AB412" i="1" s="1"/>
  <c r="AC412" i="1" s="1"/>
  <c r="M413" i="13" s="1"/>
  <c r="AG412" i="1"/>
  <c r="E412" i="31" l="1"/>
  <c r="G413" i="13"/>
  <c r="G413" i="1"/>
  <c r="F413" i="1"/>
  <c r="C411" i="11"/>
  <c r="C412" i="31"/>
  <c r="B412" i="31"/>
  <c r="AF412" i="1"/>
  <c r="N413" i="13" s="1"/>
  <c r="E413" i="1" l="1"/>
  <c r="D413" i="1" s="1"/>
  <c r="A412" i="11" s="1"/>
  <c r="D412" i="31"/>
  <c r="G411" i="11"/>
  <c r="H411" i="11" s="1"/>
  <c r="J413" i="13" s="1"/>
  <c r="K413" i="13"/>
  <c r="D411" i="11"/>
  <c r="L413" i="1" l="1"/>
  <c r="E414" i="13" s="1"/>
  <c r="C413" i="1"/>
  <c r="D414" i="13" s="1"/>
  <c r="X413" i="1"/>
  <c r="C414" i="13"/>
  <c r="B414" i="13"/>
  <c r="H414" i="1"/>
  <c r="I414" i="1"/>
  <c r="H412" i="31"/>
  <c r="Q413" i="13" s="1"/>
  <c r="O413" i="13"/>
  <c r="F412" i="31"/>
  <c r="P413" i="13" s="1"/>
  <c r="H413" i="13"/>
  <c r="E411" i="11"/>
  <c r="I413" i="13" s="1"/>
  <c r="L414" i="13"/>
  <c r="R413" i="1" l="1"/>
  <c r="Q413" i="1" s="1"/>
  <c r="P413" i="1" s="1"/>
  <c r="O413" i="1" s="1"/>
  <c r="N413" i="1" s="1"/>
  <c r="F414" i="13" s="1"/>
  <c r="F413" i="11"/>
  <c r="AD413" i="1"/>
  <c r="Y413" i="1"/>
  <c r="AA413" i="1"/>
  <c r="M413" i="1" l="1"/>
  <c r="AB413" i="1" s="1"/>
  <c r="AC413" i="1" s="1"/>
  <c r="M414" i="13" s="1"/>
  <c r="AG413" i="1"/>
  <c r="E413" i="31" l="1"/>
  <c r="G414" i="13"/>
  <c r="G414" i="1"/>
  <c r="F414" i="1"/>
  <c r="C412" i="11"/>
  <c r="B413" i="31"/>
  <c r="C413" i="31"/>
  <c r="AF413" i="1"/>
  <c r="N414" i="13" s="1"/>
  <c r="E414" i="1" l="1"/>
  <c r="D414" i="1" s="1"/>
  <c r="C414" i="1" s="1"/>
  <c r="D415" i="13" s="1"/>
  <c r="D413" i="31"/>
  <c r="K414" i="13"/>
  <c r="G412" i="11"/>
  <c r="H412" i="11" s="1"/>
  <c r="J414" i="13" s="1"/>
  <c r="D412" i="11"/>
  <c r="L414" i="1" l="1"/>
  <c r="F414" i="11" s="1"/>
  <c r="H415" i="1"/>
  <c r="A413" i="11"/>
  <c r="L415" i="13" s="1"/>
  <c r="I415" i="1"/>
  <c r="C415" i="13"/>
  <c r="B415" i="13"/>
  <c r="X414" i="1"/>
  <c r="F413" i="31"/>
  <c r="P414" i="13" s="1"/>
  <c r="O414" i="13"/>
  <c r="H413" i="31"/>
  <c r="Q414" i="13" s="1"/>
  <c r="H414" i="13"/>
  <c r="E412" i="11"/>
  <c r="I414" i="13" s="1"/>
  <c r="AA414" i="1" l="1"/>
  <c r="Y414" i="1"/>
  <c r="E415" i="13"/>
  <c r="AD414" i="1"/>
  <c r="R414" i="1"/>
  <c r="Q414" i="1" s="1"/>
  <c r="P414" i="1" s="1"/>
  <c r="O414" i="1" s="1"/>
  <c r="N414" i="1" s="1"/>
  <c r="F415" i="13" s="1"/>
  <c r="M414" i="1" l="1"/>
  <c r="E414" i="31" s="1"/>
  <c r="AB414" i="1" l="1"/>
  <c r="AC414" i="1" s="1"/>
  <c r="M415" i="13" s="1"/>
  <c r="G415" i="13"/>
  <c r="F415" i="1"/>
  <c r="G415" i="1"/>
  <c r="AG414" i="1"/>
  <c r="AF414" i="1" l="1"/>
  <c r="N415" i="13" s="1"/>
  <c r="B414" i="31"/>
  <c r="C414" i="31"/>
  <c r="E415" i="1"/>
  <c r="D415" i="1" s="1"/>
  <c r="C413" i="11"/>
  <c r="D414" i="31" l="1"/>
  <c r="F414" i="31" s="1"/>
  <c r="P415" i="13" s="1"/>
  <c r="O415" i="13"/>
  <c r="K415" i="13"/>
  <c r="G413" i="11"/>
  <c r="H413" i="11" s="1"/>
  <c r="J415" i="13" s="1"/>
  <c r="D413" i="11"/>
  <c r="X415" i="1"/>
  <c r="B416" i="13"/>
  <c r="A414" i="11"/>
  <c r="C415" i="1"/>
  <c r="D416" i="13" s="1"/>
  <c r="C416" i="13"/>
  <c r="L415" i="1"/>
  <c r="I416" i="1"/>
  <c r="H416" i="1"/>
  <c r="H414" i="31" l="1"/>
  <c r="Q415" i="13" s="1"/>
  <c r="Y415" i="1"/>
  <c r="E416" i="13"/>
  <c r="AD415" i="1"/>
  <c r="F415" i="11"/>
  <c r="L416" i="13"/>
  <c r="R415" i="1"/>
  <c r="Q415" i="1" s="1"/>
  <c r="P415" i="1" s="1"/>
  <c r="O415" i="1" s="1"/>
  <c r="N415" i="1" s="1"/>
  <c r="AA415" i="1"/>
  <c r="H415" i="13"/>
  <c r="E413" i="11"/>
  <c r="I415" i="13" s="1"/>
  <c r="M415" i="1" l="1"/>
  <c r="F416" i="13"/>
  <c r="AB415" i="1" l="1"/>
  <c r="AC415" i="1" s="1"/>
  <c r="M416" i="13" s="1"/>
  <c r="G416" i="13"/>
  <c r="E415" i="31"/>
  <c r="AG415" i="1"/>
  <c r="G416" i="1" l="1"/>
  <c r="F416" i="1"/>
  <c r="C414" i="11"/>
  <c r="C415" i="31"/>
  <c r="B415" i="31"/>
  <c r="AF415" i="1"/>
  <c r="N416" i="13" s="1"/>
  <c r="E416" i="1" l="1"/>
  <c r="D416" i="1" s="1"/>
  <c r="A415" i="11" s="1"/>
  <c r="G414" i="11"/>
  <c r="H414" i="11" s="1"/>
  <c r="J416" i="13" s="1"/>
  <c r="K416" i="13"/>
  <c r="D414" i="11"/>
  <c r="D415" i="31"/>
  <c r="O416" i="13" s="1"/>
  <c r="I417" i="1" l="1"/>
  <c r="X416" i="1"/>
  <c r="H417" i="1"/>
  <c r="AA416" i="1" s="1"/>
  <c r="B417" i="13"/>
  <c r="L416" i="1"/>
  <c r="AD416" i="1" s="1"/>
  <c r="C417" i="13"/>
  <c r="C416" i="1"/>
  <c r="D417" i="13" s="1"/>
  <c r="L417" i="13"/>
  <c r="H415" i="31"/>
  <c r="Q416" i="13" s="1"/>
  <c r="F415" i="31"/>
  <c r="P416" i="13" s="1"/>
  <c r="E414" i="11"/>
  <c r="I416" i="13" s="1"/>
  <c r="H416" i="13"/>
  <c r="E417" i="13" l="1"/>
  <c r="F416" i="11"/>
  <c r="Y416" i="1"/>
  <c r="R416" i="1"/>
  <c r="Q416" i="1" s="1"/>
  <c r="P416" i="1" s="1"/>
  <c r="O416" i="1" s="1"/>
  <c r="N416" i="1" s="1"/>
  <c r="M416" i="1" s="1"/>
  <c r="F417" i="13" l="1"/>
  <c r="AB416" i="1"/>
  <c r="AC416" i="1" s="1"/>
  <c r="M417" i="13" s="1"/>
  <c r="E416" i="31"/>
  <c r="G417" i="13"/>
  <c r="G417" i="1" l="1"/>
  <c r="F417" i="1"/>
  <c r="AG416" i="1"/>
  <c r="B416" i="31"/>
  <c r="C416" i="31"/>
  <c r="AF416" i="1"/>
  <c r="N417" i="13" s="1"/>
  <c r="C415" i="11" l="1"/>
  <c r="E417" i="1"/>
  <c r="D417" i="1" s="1"/>
  <c r="D416" i="31"/>
  <c r="O417" i="13" s="1"/>
  <c r="C417" i="1" l="1"/>
  <c r="D418" i="13" s="1"/>
  <c r="C418" i="13"/>
  <c r="X417" i="1"/>
  <c r="B418" i="13"/>
  <c r="A416" i="11"/>
  <c r="L417" i="1"/>
  <c r="H418" i="1"/>
  <c r="I418" i="1"/>
  <c r="K417" i="13"/>
  <c r="G415" i="11"/>
  <c r="H415" i="11" s="1"/>
  <c r="J417" i="13" s="1"/>
  <c r="D415" i="11"/>
  <c r="H416" i="31"/>
  <c r="Q417" i="13" s="1"/>
  <c r="F416" i="31"/>
  <c r="P417" i="13" s="1"/>
  <c r="AA417" i="1" l="1"/>
  <c r="H417" i="13"/>
  <c r="E415" i="11"/>
  <c r="I417" i="13" s="1"/>
  <c r="R417" i="1"/>
  <c r="Q417" i="1" s="1"/>
  <c r="P417" i="1" s="1"/>
  <c r="O417" i="1" s="1"/>
  <c r="N417" i="1" s="1"/>
  <c r="L418" i="13"/>
  <c r="Y417" i="1"/>
  <c r="E418" i="13"/>
  <c r="AD417" i="1"/>
  <c r="F417" i="11"/>
  <c r="M417" i="1" l="1"/>
  <c r="F418" i="13"/>
  <c r="AB417" i="1" l="1"/>
  <c r="AC417" i="1" s="1"/>
  <c r="M418" i="13" s="1"/>
  <c r="E417" i="31"/>
  <c r="G418" i="13"/>
  <c r="AG417" i="1"/>
  <c r="F418" i="1" l="1"/>
  <c r="G418" i="1"/>
  <c r="C416" i="11"/>
  <c r="B417" i="31"/>
  <c r="C417" i="31"/>
  <c r="AF417" i="1"/>
  <c r="N418" i="13" s="1"/>
  <c r="E418" i="1" l="1"/>
  <c r="D418" i="1" s="1"/>
  <c r="X418" i="1" s="1"/>
  <c r="D417" i="31"/>
  <c r="G416" i="11"/>
  <c r="H416" i="11" s="1"/>
  <c r="J418" i="13" s="1"/>
  <c r="K418" i="13"/>
  <c r="D416" i="11"/>
  <c r="L418" i="1" l="1"/>
  <c r="F418" i="11" s="1"/>
  <c r="I419" i="1"/>
  <c r="A417" i="11"/>
  <c r="L419" i="13" s="1"/>
  <c r="C419" i="13"/>
  <c r="H419" i="1"/>
  <c r="C418" i="1"/>
  <c r="D419" i="13" s="1"/>
  <c r="B419" i="13"/>
  <c r="H417" i="31"/>
  <c r="Q418" i="13" s="1"/>
  <c r="O418" i="13"/>
  <c r="F417" i="31"/>
  <c r="P418" i="13" s="1"/>
  <c r="H418" i="13"/>
  <c r="E416" i="11"/>
  <c r="I418" i="13" s="1"/>
  <c r="AA418" i="1" l="1"/>
  <c r="E419" i="13"/>
  <c r="Y418" i="1"/>
  <c r="R418" i="1"/>
  <c r="Q418" i="1" s="1"/>
  <c r="P418" i="1" s="1"/>
  <c r="O418" i="1" s="1"/>
  <c r="N418" i="1" s="1"/>
  <c r="M418" i="1" s="1"/>
  <c r="AD418" i="1"/>
  <c r="F419" i="13" l="1"/>
  <c r="AB418" i="1"/>
  <c r="AC418" i="1" s="1"/>
  <c r="M419" i="13" s="1"/>
  <c r="G419" i="13"/>
  <c r="E418" i="31"/>
  <c r="F419" i="1" l="1"/>
  <c r="G419" i="1"/>
  <c r="C418" i="31"/>
  <c r="B418" i="31"/>
  <c r="AF418" i="1"/>
  <c r="N419" i="13" s="1"/>
  <c r="AG418" i="1"/>
  <c r="D418" i="31" l="1"/>
  <c r="C417" i="11"/>
  <c r="E419" i="1"/>
  <c r="D419" i="1" s="1"/>
  <c r="H418" i="31" l="1"/>
  <c r="Q419" i="13" s="1"/>
  <c r="O419" i="13"/>
  <c r="F418" i="31"/>
  <c r="P419" i="13" s="1"/>
  <c r="K419" i="13"/>
  <c r="G417" i="11"/>
  <c r="H417" i="11" s="1"/>
  <c r="J419" i="13" s="1"/>
  <c r="D417" i="11"/>
  <c r="A418" i="11"/>
  <c r="C419" i="1"/>
  <c r="D420" i="13" s="1"/>
  <c r="X419" i="1"/>
  <c r="C420" i="13"/>
  <c r="B420" i="13"/>
  <c r="H420" i="1"/>
  <c r="I420" i="1"/>
  <c r="L419" i="1"/>
  <c r="AA419" i="1" l="1"/>
  <c r="Y419" i="1"/>
  <c r="E420" i="13"/>
  <c r="F419" i="11"/>
  <c r="AD419" i="1"/>
  <c r="L420" i="13"/>
  <c r="E417" i="11"/>
  <c r="I419" i="13" s="1"/>
  <c r="H419" i="13"/>
  <c r="R419" i="1"/>
  <c r="Q419" i="1" s="1"/>
  <c r="P419" i="1" s="1"/>
  <c r="O419" i="1" s="1"/>
  <c r="N419" i="1" s="1"/>
  <c r="F420" i="13" l="1"/>
  <c r="M419" i="1"/>
  <c r="AB419" i="1" l="1"/>
  <c r="AC419" i="1" s="1"/>
  <c r="M420" i="13" s="1"/>
  <c r="E419" i="31"/>
  <c r="G420" i="13"/>
  <c r="AG419" i="1"/>
  <c r="G420" i="1" l="1"/>
  <c r="F420" i="1"/>
  <c r="C418" i="11"/>
  <c r="B419" i="31"/>
  <c r="C419" i="31"/>
  <c r="AF419" i="1"/>
  <c r="N420" i="13" s="1"/>
  <c r="E420" i="1" l="1"/>
  <c r="D420" i="1" s="1"/>
  <c r="C421" i="13" s="1"/>
  <c r="D419" i="31"/>
  <c r="G418" i="11"/>
  <c r="H418" i="11" s="1"/>
  <c r="J420" i="13" s="1"/>
  <c r="K420" i="13"/>
  <c r="D418" i="11"/>
  <c r="H421" i="1" l="1"/>
  <c r="X420" i="1"/>
  <c r="L420" i="1"/>
  <c r="F420" i="11" s="1"/>
  <c r="A419" i="11"/>
  <c r="L421" i="13" s="1"/>
  <c r="B421" i="13"/>
  <c r="C420" i="1"/>
  <c r="D421" i="13" s="1"/>
  <c r="I421" i="1"/>
  <c r="H419" i="31"/>
  <c r="Q420" i="13" s="1"/>
  <c r="O420" i="13"/>
  <c r="F419" i="31"/>
  <c r="P420" i="13" s="1"/>
  <c r="E418" i="11"/>
  <c r="I420" i="13" s="1"/>
  <c r="H420" i="13"/>
  <c r="R420" i="1" l="1"/>
  <c r="Q420" i="1" s="1"/>
  <c r="P420" i="1" s="1"/>
  <c r="O420" i="1" s="1"/>
  <c r="N420" i="1" s="1"/>
  <c r="F421" i="13" s="1"/>
  <c r="Y420" i="1"/>
  <c r="AD420" i="1"/>
  <c r="E421" i="13"/>
  <c r="AA420" i="1"/>
  <c r="M420" i="1" l="1"/>
  <c r="AB420" i="1" s="1"/>
  <c r="AC420" i="1" s="1"/>
  <c r="M421" i="13" s="1"/>
  <c r="E420" i="31" l="1"/>
  <c r="G421" i="13"/>
  <c r="F421" i="1"/>
  <c r="G421" i="1"/>
  <c r="AG420" i="1"/>
  <c r="B420" i="31"/>
  <c r="C420" i="31"/>
  <c r="AF420" i="1"/>
  <c r="N421" i="13" s="1"/>
  <c r="C419" i="11" l="1"/>
  <c r="E421" i="1"/>
  <c r="D421" i="1" s="1"/>
  <c r="D420" i="31"/>
  <c r="O421" i="13" s="1"/>
  <c r="A420" i="11" l="1"/>
  <c r="C422" i="13"/>
  <c r="X421" i="1"/>
  <c r="B422" i="13"/>
  <c r="C421" i="1"/>
  <c r="D422" i="13" s="1"/>
  <c r="L421" i="1"/>
  <c r="H422" i="1"/>
  <c r="I422" i="1"/>
  <c r="G419" i="11"/>
  <c r="H419" i="11" s="1"/>
  <c r="J421" i="13" s="1"/>
  <c r="K421" i="13"/>
  <c r="D419" i="11"/>
  <c r="H420" i="31"/>
  <c r="Q421" i="13" s="1"/>
  <c r="F420" i="31"/>
  <c r="P421" i="13" s="1"/>
  <c r="AA421" i="1" l="1"/>
  <c r="E419" i="11"/>
  <c r="I421" i="13" s="1"/>
  <c r="H421" i="13"/>
  <c r="R421" i="1"/>
  <c r="Q421" i="1" s="1"/>
  <c r="P421" i="1" s="1"/>
  <c r="O421" i="1" s="1"/>
  <c r="N421" i="1" s="1"/>
  <c r="L422" i="13"/>
  <c r="E422" i="13"/>
  <c r="Y421" i="1"/>
  <c r="F421" i="11"/>
  <c r="AD421" i="1"/>
  <c r="F422" i="13" l="1"/>
  <c r="M421" i="1"/>
  <c r="AB421" i="1" l="1"/>
  <c r="AC421" i="1" s="1"/>
  <c r="M422" i="13" s="1"/>
  <c r="E421" i="31"/>
  <c r="G422" i="13"/>
  <c r="AG421" i="1"/>
  <c r="F422" i="1" l="1"/>
  <c r="G422" i="1"/>
  <c r="C420" i="11"/>
  <c r="C421" i="31"/>
  <c r="B421" i="31"/>
  <c r="AF421" i="1"/>
  <c r="N422" i="13" s="1"/>
  <c r="E422" i="1" l="1"/>
  <c r="D422" i="1" s="1"/>
  <c r="C423" i="13" s="1"/>
  <c r="D421" i="31"/>
  <c r="K422" i="13"/>
  <c r="G420" i="11"/>
  <c r="H420" i="11" s="1"/>
  <c r="J422" i="13" s="1"/>
  <c r="D420" i="11"/>
  <c r="I423" i="1" l="1"/>
  <c r="B423" i="13"/>
  <c r="H423" i="1"/>
  <c r="AA422" i="1" s="1"/>
  <c r="X422" i="1"/>
  <c r="A421" i="11"/>
  <c r="L423" i="13" s="1"/>
  <c r="C422" i="1"/>
  <c r="D423" i="13" s="1"/>
  <c r="L422" i="1"/>
  <c r="E423" i="13" s="1"/>
  <c r="H421" i="31"/>
  <c r="Q422" i="13" s="1"/>
  <c r="O422" i="13"/>
  <c r="F421" i="31"/>
  <c r="P422" i="13" s="1"/>
  <c r="H422" i="13"/>
  <c r="E420" i="11"/>
  <c r="I422" i="13" s="1"/>
  <c r="R422" i="1" l="1"/>
  <c r="Q422" i="1" s="1"/>
  <c r="P422" i="1" s="1"/>
  <c r="O422" i="1" s="1"/>
  <c r="N422" i="1" s="1"/>
  <c r="F423" i="13" s="1"/>
  <c r="F422" i="11"/>
  <c r="Y422" i="1"/>
  <c r="AD422" i="1"/>
  <c r="M422" i="1" l="1"/>
  <c r="AB422" i="1" s="1"/>
  <c r="AC422" i="1" s="1"/>
  <c r="M423" i="13" s="1"/>
  <c r="AG422" i="1"/>
  <c r="G423" i="13" l="1"/>
  <c r="E422" i="31"/>
  <c r="G423" i="1"/>
  <c r="F423" i="1"/>
  <c r="C422" i="31"/>
  <c r="B422" i="31"/>
  <c r="AF422" i="1"/>
  <c r="N423" i="13" s="1"/>
  <c r="C421" i="11"/>
  <c r="E423" i="1" l="1"/>
  <c r="D423" i="1" s="1"/>
  <c r="X423" i="1" s="1"/>
  <c r="G421" i="11"/>
  <c r="H421" i="11" s="1"/>
  <c r="J423" i="13" s="1"/>
  <c r="K423" i="13"/>
  <c r="D421" i="11"/>
  <c r="D422" i="31"/>
  <c r="O423" i="13" s="1"/>
  <c r="H424" i="1" l="1"/>
  <c r="C424" i="13"/>
  <c r="B424" i="13"/>
  <c r="C423" i="1"/>
  <c r="D424" i="13" s="1"/>
  <c r="I424" i="1"/>
  <c r="A422" i="11"/>
  <c r="L424" i="13" s="1"/>
  <c r="L423" i="1"/>
  <c r="E424" i="13" s="1"/>
  <c r="F422" i="31"/>
  <c r="P423" i="13" s="1"/>
  <c r="H422" i="31"/>
  <c r="Q423" i="13" s="1"/>
  <c r="H423" i="13"/>
  <c r="E421" i="11"/>
  <c r="I423" i="13" s="1"/>
  <c r="AA423" i="1" l="1"/>
  <c r="R423" i="1"/>
  <c r="Q423" i="1" s="1"/>
  <c r="P423" i="1" s="1"/>
  <c r="O423" i="1" s="1"/>
  <c r="N423" i="1" s="1"/>
  <c r="M423" i="1" s="1"/>
  <c r="Y423" i="1"/>
  <c r="AD423" i="1"/>
  <c r="F423" i="11"/>
  <c r="F424" i="13" l="1"/>
  <c r="AB423" i="1"/>
  <c r="AC423" i="1" s="1"/>
  <c r="M424" i="13" s="1"/>
  <c r="E423" i="31"/>
  <c r="G424" i="13"/>
  <c r="AG423" i="1"/>
  <c r="F424" i="1" l="1"/>
  <c r="G424" i="1"/>
  <c r="C422" i="11"/>
  <c r="C423" i="31"/>
  <c r="B423" i="31"/>
  <c r="AF423" i="1"/>
  <c r="N424" i="13" s="1"/>
  <c r="E424" i="1" l="1"/>
  <c r="D424" i="1" s="1"/>
  <c r="C425" i="13" s="1"/>
  <c r="D423" i="31"/>
  <c r="H423" i="31" s="1"/>
  <c r="Q424" i="13" s="1"/>
  <c r="G422" i="11"/>
  <c r="H422" i="11" s="1"/>
  <c r="J424" i="13" s="1"/>
  <c r="K424" i="13"/>
  <c r="D422" i="11"/>
  <c r="L424" i="1" l="1"/>
  <c r="E425" i="13" s="1"/>
  <c r="X424" i="1"/>
  <c r="B425" i="13"/>
  <c r="H425" i="1"/>
  <c r="A423" i="11"/>
  <c r="L425" i="13" s="1"/>
  <c r="I425" i="1"/>
  <c r="C424" i="1"/>
  <c r="D425" i="13" s="1"/>
  <c r="F423" i="31"/>
  <c r="P424" i="13" s="1"/>
  <c r="O424" i="13"/>
  <c r="E422" i="11"/>
  <c r="I424" i="13" s="1"/>
  <c r="H424" i="13"/>
  <c r="F424" i="11" l="1"/>
  <c r="Y424" i="1"/>
  <c r="AD424" i="1"/>
  <c r="AA424" i="1"/>
  <c r="R424" i="1"/>
  <c r="Q424" i="1" s="1"/>
  <c r="P424" i="1" s="1"/>
  <c r="O424" i="1" s="1"/>
  <c r="N424" i="1" s="1"/>
  <c r="M424" i="1" s="1"/>
  <c r="F425" i="13" l="1"/>
  <c r="AB424" i="1"/>
  <c r="AC424" i="1" s="1"/>
  <c r="M425" i="13" s="1"/>
  <c r="G425" i="13"/>
  <c r="E424" i="31"/>
  <c r="F425" i="1" l="1"/>
  <c r="G425" i="1"/>
  <c r="B424" i="31"/>
  <c r="C424" i="31"/>
  <c r="AF424" i="1"/>
  <c r="N425" i="13" s="1"/>
  <c r="AG424" i="1"/>
  <c r="D424" i="31" l="1"/>
  <c r="E425" i="1"/>
  <c r="D425" i="1" s="1"/>
  <c r="C423" i="11"/>
  <c r="H424" i="31" l="1"/>
  <c r="Q425" i="13" s="1"/>
  <c r="O425" i="13"/>
  <c r="F424" i="31"/>
  <c r="P425" i="13" s="1"/>
  <c r="K425" i="13"/>
  <c r="G423" i="11"/>
  <c r="H423" i="11" s="1"/>
  <c r="J425" i="13" s="1"/>
  <c r="D423" i="11"/>
  <c r="B426" i="13"/>
  <c r="C426" i="13"/>
  <c r="X425" i="1"/>
  <c r="A424" i="11"/>
  <c r="C425" i="1"/>
  <c r="D426" i="13" s="1"/>
  <c r="I426" i="1"/>
  <c r="L425" i="1"/>
  <c r="H426" i="1"/>
  <c r="AA425" i="1" l="1"/>
  <c r="R425" i="1"/>
  <c r="Q425" i="1" s="1"/>
  <c r="P425" i="1" s="1"/>
  <c r="O425" i="1" s="1"/>
  <c r="N425" i="1" s="1"/>
  <c r="E426" i="13"/>
  <c r="Y425" i="1"/>
  <c r="F425" i="11"/>
  <c r="AD425" i="1"/>
  <c r="L426" i="13"/>
  <c r="H425" i="13"/>
  <c r="E423" i="11"/>
  <c r="I425" i="13" s="1"/>
  <c r="M425" i="1" l="1"/>
  <c r="F426" i="13"/>
  <c r="AB425" i="1" l="1"/>
  <c r="AC425" i="1" s="1"/>
  <c r="M426" i="13" s="1"/>
  <c r="G426" i="13"/>
  <c r="E425" i="31"/>
  <c r="F426" i="1" l="1"/>
  <c r="G426" i="1"/>
  <c r="B425" i="31"/>
  <c r="C425" i="31"/>
  <c r="AF425" i="1"/>
  <c r="N426" i="13" s="1"/>
  <c r="AG425" i="1"/>
  <c r="D425" i="31" l="1"/>
  <c r="C424" i="11"/>
  <c r="E426" i="1"/>
  <c r="D426" i="1" s="1"/>
  <c r="F425" i="31" l="1"/>
  <c r="P426" i="13" s="1"/>
  <c r="O426" i="13"/>
  <c r="H425" i="31"/>
  <c r="Q426" i="13" s="1"/>
  <c r="X426" i="1"/>
  <c r="A425" i="11"/>
  <c r="B427" i="13"/>
  <c r="C426" i="1"/>
  <c r="D427" i="13" s="1"/>
  <c r="C427" i="13"/>
  <c r="H427" i="1"/>
  <c r="L426" i="1"/>
  <c r="I427" i="1"/>
  <c r="G424" i="11"/>
  <c r="H424" i="11" s="1"/>
  <c r="J426" i="13" s="1"/>
  <c r="K426" i="13"/>
  <c r="D424" i="11"/>
  <c r="AA426" i="1" l="1"/>
  <c r="L427" i="13"/>
  <c r="H426" i="13"/>
  <c r="E424" i="11"/>
  <c r="I426" i="13" s="1"/>
  <c r="E427" i="13"/>
  <c r="Y426" i="1"/>
  <c r="F426" i="11"/>
  <c r="AD426" i="1"/>
  <c r="R426" i="1"/>
  <c r="Q426" i="1" s="1"/>
  <c r="P426" i="1" s="1"/>
  <c r="O426" i="1" s="1"/>
  <c r="N426" i="1" s="1"/>
  <c r="M426" i="1" l="1"/>
  <c r="F427" i="13"/>
  <c r="AB426" i="1" l="1"/>
  <c r="AC426" i="1" s="1"/>
  <c r="M427" i="13" s="1"/>
  <c r="E426" i="31"/>
  <c r="G427" i="13"/>
  <c r="AG426" i="1"/>
  <c r="F427" i="1" l="1"/>
  <c r="G427" i="1"/>
  <c r="C425" i="11"/>
  <c r="C426" i="31"/>
  <c r="B426" i="31"/>
  <c r="AF426" i="1"/>
  <c r="N427" i="13" s="1"/>
  <c r="E427" i="1" l="1"/>
  <c r="D427" i="1" s="1"/>
  <c r="C427" i="1" s="1"/>
  <c r="D428" i="13" s="1"/>
  <c r="D426" i="31"/>
  <c r="G425" i="11"/>
  <c r="H425" i="11" s="1"/>
  <c r="J427" i="13" s="1"/>
  <c r="K427" i="13"/>
  <c r="D425" i="11"/>
  <c r="L427" i="1" l="1"/>
  <c r="AD427" i="1" s="1"/>
  <c r="C428" i="13"/>
  <c r="A426" i="11"/>
  <c r="L428" i="13" s="1"/>
  <c r="B428" i="13"/>
  <c r="I428" i="1"/>
  <c r="X427" i="1"/>
  <c r="H428" i="1"/>
  <c r="AA427" i="1" s="1"/>
  <c r="H426" i="31"/>
  <c r="Q427" i="13" s="1"/>
  <c r="O427" i="13"/>
  <c r="F426" i="31"/>
  <c r="P427" i="13" s="1"/>
  <c r="E425" i="11"/>
  <c r="I427" i="13" s="1"/>
  <c r="H427" i="13"/>
  <c r="R427" i="1" l="1"/>
  <c r="Y427" i="1"/>
  <c r="F427" i="11"/>
  <c r="Q427" i="1"/>
  <c r="P427" i="1" s="1"/>
  <c r="O427" i="1" s="1"/>
  <c r="N427" i="1" s="1"/>
  <c r="F428" i="13" s="1"/>
  <c r="E428" i="13"/>
  <c r="M427" i="1" l="1"/>
  <c r="AB427" i="1" s="1"/>
  <c r="AC427" i="1" s="1"/>
  <c r="M428" i="13" s="1"/>
  <c r="AG427" i="1"/>
  <c r="E427" i="31" l="1"/>
  <c r="G428" i="13"/>
  <c r="G428" i="1"/>
  <c r="F428" i="1"/>
  <c r="C426" i="11"/>
  <c r="C427" i="31"/>
  <c r="B427" i="31"/>
  <c r="AF427" i="1"/>
  <c r="N428" i="13" s="1"/>
  <c r="E428" i="1" l="1"/>
  <c r="D428" i="1" s="1"/>
  <c r="C428" i="1" s="1"/>
  <c r="D429" i="13" s="1"/>
  <c r="D427" i="31"/>
  <c r="G426" i="11"/>
  <c r="H426" i="11" s="1"/>
  <c r="J428" i="13" s="1"/>
  <c r="K428" i="13"/>
  <c r="D426" i="11"/>
  <c r="I429" i="1" l="1"/>
  <c r="B429" i="13"/>
  <c r="A427" i="11"/>
  <c r="L429" i="13" s="1"/>
  <c r="L428" i="1"/>
  <c r="Y428" i="1" s="1"/>
  <c r="X428" i="1"/>
  <c r="H429" i="1"/>
  <c r="C429" i="13"/>
  <c r="H427" i="31"/>
  <c r="Q428" i="13" s="1"/>
  <c r="O428" i="13"/>
  <c r="F427" i="31"/>
  <c r="P428" i="13" s="1"/>
  <c r="H428" i="13"/>
  <c r="E426" i="11"/>
  <c r="I428" i="13" s="1"/>
  <c r="AA428" i="1" l="1"/>
  <c r="AD428" i="1"/>
  <c r="F428" i="11"/>
  <c r="R428" i="1"/>
  <c r="Q428" i="1" s="1"/>
  <c r="P428" i="1" s="1"/>
  <c r="O428" i="1" s="1"/>
  <c r="N428" i="1" s="1"/>
  <c r="M428" i="1" s="1"/>
  <c r="E429" i="13"/>
  <c r="F429" i="13" l="1"/>
  <c r="AB428" i="1"/>
  <c r="AC428" i="1" s="1"/>
  <c r="M429" i="13" s="1"/>
  <c r="E428" i="31"/>
  <c r="G429" i="13"/>
  <c r="AG428" i="1"/>
  <c r="F429" i="1" l="1"/>
  <c r="G429" i="1"/>
  <c r="C427" i="11"/>
  <c r="C428" i="31"/>
  <c r="B428" i="31"/>
  <c r="AF428" i="1"/>
  <c r="N429" i="13" s="1"/>
  <c r="E429" i="1" l="1"/>
  <c r="D429" i="1" s="1"/>
  <c r="C430" i="13" s="1"/>
  <c r="D428" i="31"/>
  <c r="K429" i="13"/>
  <c r="G427" i="11"/>
  <c r="H427" i="11" s="1"/>
  <c r="J429" i="13" s="1"/>
  <c r="D427" i="11"/>
  <c r="I430" i="1" l="1"/>
  <c r="L429" i="1"/>
  <c r="E430" i="13" s="1"/>
  <c r="A428" i="11"/>
  <c r="L430" i="13" s="1"/>
  <c r="X429" i="1"/>
  <c r="C429" i="1"/>
  <c r="D430" i="13" s="1"/>
  <c r="B430" i="13"/>
  <c r="H430" i="1"/>
  <c r="AA429" i="1" s="1"/>
  <c r="F428" i="31"/>
  <c r="P429" i="13" s="1"/>
  <c r="O429" i="13"/>
  <c r="H428" i="31"/>
  <c r="Q429" i="13" s="1"/>
  <c r="H429" i="13"/>
  <c r="E427" i="11"/>
  <c r="I429" i="13" s="1"/>
  <c r="R429" i="1" l="1"/>
  <c r="Y429" i="1"/>
  <c r="F429" i="11"/>
  <c r="AD429" i="1"/>
  <c r="Q429" i="1"/>
  <c r="P429" i="1" s="1"/>
  <c r="O429" i="1" s="1"/>
  <c r="N429" i="1" s="1"/>
  <c r="F430" i="13" s="1"/>
  <c r="M429" i="1" l="1"/>
  <c r="E429" i="31" s="1"/>
  <c r="G430" i="13" l="1"/>
  <c r="AB429" i="1"/>
  <c r="AC429" i="1" s="1"/>
  <c r="M430" i="13" s="1"/>
  <c r="G430" i="1"/>
  <c r="F430" i="1"/>
  <c r="AG429" i="1"/>
  <c r="AF429" i="1" l="1"/>
  <c r="N430" i="13" s="1"/>
  <c r="C429" i="31"/>
  <c r="B429" i="31"/>
  <c r="C428" i="11"/>
  <c r="E430" i="1"/>
  <c r="D430" i="1" s="1"/>
  <c r="D429" i="31" l="1"/>
  <c r="H429" i="31" s="1"/>
  <c r="Q430" i="13" s="1"/>
  <c r="O430" i="13"/>
  <c r="K430" i="13"/>
  <c r="G428" i="11"/>
  <c r="H428" i="11" s="1"/>
  <c r="J430" i="13" s="1"/>
  <c r="D428" i="11"/>
  <c r="A429" i="11"/>
  <c r="C430" i="1"/>
  <c r="D431" i="13" s="1"/>
  <c r="B431" i="13"/>
  <c r="C431" i="13"/>
  <c r="X430" i="1"/>
  <c r="L430" i="1"/>
  <c r="H431" i="1"/>
  <c r="I431" i="1"/>
  <c r="F429" i="31" l="1"/>
  <c r="P430" i="13" s="1"/>
  <c r="R430" i="1"/>
  <c r="Q430" i="1" s="1"/>
  <c r="P430" i="1" s="1"/>
  <c r="O430" i="1" s="1"/>
  <c r="N430" i="1" s="1"/>
  <c r="E428" i="11"/>
  <c r="I430" i="13" s="1"/>
  <c r="H430" i="13"/>
  <c r="Y430" i="1"/>
  <c r="E431" i="13"/>
  <c r="F430" i="11"/>
  <c r="AD430" i="1"/>
  <c r="AA430" i="1"/>
  <c r="L431" i="13"/>
  <c r="F431" i="13" l="1"/>
  <c r="M430" i="1"/>
  <c r="AB430" i="1" l="1"/>
  <c r="AC430" i="1" s="1"/>
  <c r="M431" i="13" s="1"/>
  <c r="G431" i="13"/>
  <c r="E430" i="31"/>
  <c r="AG430" i="1"/>
  <c r="F431" i="1" l="1"/>
  <c r="G431" i="1"/>
  <c r="C429" i="11"/>
  <c r="B430" i="31"/>
  <c r="C430" i="31"/>
  <c r="AF430" i="1"/>
  <c r="N431" i="13" s="1"/>
  <c r="E431" i="1" l="1"/>
  <c r="D431" i="1" s="1"/>
  <c r="C431" i="1" s="1"/>
  <c r="D432" i="13" s="1"/>
  <c r="K431" i="13"/>
  <c r="G429" i="11"/>
  <c r="H429" i="11" s="1"/>
  <c r="J431" i="13" s="1"/>
  <c r="D429" i="11"/>
  <c r="D430" i="31"/>
  <c r="O431" i="13" s="1"/>
  <c r="A430" i="11" l="1"/>
  <c r="L432" i="13" s="1"/>
  <c r="I432" i="1"/>
  <c r="B432" i="13"/>
  <c r="C432" i="13"/>
  <c r="L431" i="1"/>
  <c r="F431" i="11" s="1"/>
  <c r="X431" i="1"/>
  <c r="H432" i="1"/>
  <c r="F430" i="31"/>
  <c r="P431" i="13" s="1"/>
  <c r="H430" i="31"/>
  <c r="Q431" i="13" s="1"/>
  <c r="E429" i="11"/>
  <c r="I431" i="13" s="1"/>
  <c r="H431" i="13"/>
  <c r="R431" i="1" l="1"/>
  <c r="Q431" i="1" s="1"/>
  <c r="P431" i="1" s="1"/>
  <c r="O431" i="1" s="1"/>
  <c r="N431" i="1" s="1"/>
  <c r="F432" i="13" s="1"/>
  <c r="AD431" i="1"/>
  <c r="AA431" i="1"/>
  <c r="E432" i="13"/>
  <c r="Y431" i="1"/>
  <c r="M431" i="1" l="1"/>
  <c r="E431" i="31" s="1"/>
  <c r="AG431" i="1"/>
  <c r="AB431" i="1" l="1"/>
  <c r="AC431" i="1" s="1"/>
  <c r="M432" i="13" s="1"/>
  <c r="G432" i="13"/>
  <c r="G432" i="1"/>
  <c r="F432" i="1"/>
  <c r="C430" i="11"/>
  <c r="AF431" i="1" l="1"/>
  <c r="N432" i="13" s="1"/>
  <c r="B431" i="31"/>
  <c r="C431" i="31"/>
  <c r="E432" i="1"/>
  <c r="D432" i="1" s="1"/>
  <c r="A431" i="11" s="1"/>
  <c r="K432" i="13"/>
  <c r="G430" i="11"/>
  <c r="H430" i="11" s="1"/>
  <c r="J432" i="13" s="1"/>
  <c r="D430" i="11"/>
  <c r="C432" i="1" l="1"/>
  <c r="D433" i="13" s="1"/>
  <c r="L432" i="1"/>
  <c r="AD432" i="1" s="1"/>
  <c r="I433" i="1"/>
  <c r="X432" i="1"/>
  <c r="D431" i="31"/>
  <c r="F431" i="31" s="1"/>
  <c r="P432" i="13" s="1"/>
  <c r="B433" i="13"/>
  <c r="H433" i="1"/>
  <c r="R432" i="1" s="1"/>
  <c r="C433" i="13"/>
  <c r="O432" i="13"/>
  <c r="L433" i="13"/>
  <c r="E430" i="11"/>
  <c r="I432" i="13" s="1"/>
  <c r="H432" i="13"/>
  <c r="AA432" i="1" l="1"/>
  <c r="H431" i="31"/>
  <c r="Q432" i="13" s="1"/>
  <c r="E433" i="13"/>
  <c r="Q432" i="1"/>
  <c r="P432" i="1" s="1"/>
  <c r="O432" i="1" s="1"/>
  <c r="N432" i="1" s="1"/>
  <c r="M432" i="1" s="1"/>
  <c r="F432" i="11"/>
  <c r="Y432" i="1"/>
  <c r="F433" i="13" l="1"/>
  <c r="AB432" i="1"/>
  <c r="AC432" i="1" s="1"/>
  <c r="M433" i="13" s="1"/>
  <c r="G433" i="13"/>
  <c r="E432" i="31"/>
  <c r="AG432" i="1"/>
  <c r="G433" i="1" l="1"/>
  <c r="F433" i="1"/>
  <c r="C431" i="11"/>
  <c r="C432" i="31"/>
  <c r="B432" i="31"/>
  <c r="AF432" i="1"/>
  <c r="N433" i="13" s="1"/>
  <c r="E433" i="1" l="1"/>
  <c r="D433" i="1" s="1"/>
  <c r="A432" i="11" s="1"/>
  <c r="D432" i="31"/>
  <c r="O433" i="13" s="1"/>
  <c r="G431" i="11"/>
  <c r="H431" i="11" s="1"/>
  <c r="J433" i="13" s="1"/>
  <c r="K433" i="13"/>
  <c r="D431" i="11"/>
  <c r="L433" i="1" l="1"/>
  <c r="Y433" i="1" s="1"/>
  <c r="B434" i="13"/>
  <c r="C434" i="13"/>
  <c r="X433" i="1"/>
  <c r="I434" i="1"/>
  <c r="C433" i="1"/>
  <c r="D434" i="13" s="1"/>
  <c r="H434" i="1"/>
  <c r="H433" i="13"/>
  <c r="E431" i="11"/>
  <c r="I433" i="13" s="1"/>
  <c r="L434" i="13"/>
  <c r="F432" i="31"/>
  <c r="P433" i="13" s="1"/>
  <c r="H432" i="31"/>
  <c r="Q433" i="13" s="1"/>
  <c r="R433" i="1" l="1"/>
  <c r="Q433" i="1" s="1"/>
  <c r="P433" i="1" s="1"/>
  <c r="O433" i="1" s="1"/>
  <c r="N433" i="1" s="1"/>
  <c r="M433" i="1" s="1"/>
  <c r="AA433" i="1"/>
  <c r="E434" i="13"/>
  <c r="AD433" i="1"/>
  <c r="F433" i="11"/>
  <c r="F434" i="13" l="1"/>
  <c r="E433" i="31"/>
  <c r="G434" i="13"/>
  <c r="AB433" i="1"/>
  <c r="AC433" i="1" s="1"/>
  <c r="M434" i="13" s="1"/>
  <c r="G434" i="1" l="1"/>
  <c r="F434" i="1"/>
  <c r="B433" i="31"/>
  <c r="C433" i="31"/>
  <c r="AF433" i="1"/>
  <c r="N434" i="13" s="1"/>
  <c r="AG433" i="1"/>
  <c r="D433" i="31" l="1"/>
  <c r="C432" i="11"/>
  <c r="E434" i="1"/>
  <c r="D434" i="1" s="1"/>
  <c r="H433" i="31" l="1"/>
  <c r="Q434" i="13" s="1"/>
  <c r="O434" i="13"/>
  <c r="F433" i="31"/>
  <c r="P434" i="13" s="1"/>
  <c r="X434" i="1"/>
  <c r="B435" i="13"/>
  <c r="C435" i="13"/>
  <c r="C434" i="1"/>
  <c r="D435" i="13" s="1"/>
  <c r="A433" i="11"/>
  <c r="H435" i="1"/>
  <c r="I435" i="1"/>
  <c r="L434" i="1"/>
  <c r="K434" i="13"/>
  <c r="G432" i="11"/>
  <c r="H432" i="11" s="1"/>
  <c r="J434" i="13" s="1"/>
  <c r="D432" i="11"/>
  <c r="R434" i="1" l="1"/>
  <c r="Q434" i="1" s="1"/>
  <c r="P434" i="1" s="1"/>
  <c r="O434" i="1" s="1"/>
  <c r="N434" i="1" s="1"/>
  <c r="H434" i="13"/>
  <c r="E432" i="11"/>
  <c r="I434" i="13" s="1"/>
  <c r="L435" i="13"/>
  <c r="E435" i="13"/>
  <c r="Y434" i="1"/>
  <c r="F434" i="11"/>
  <c r="AD434" i="1"/>
  <c r="AA434" i="1"/>
  <c r="F435" i="13" l="1"/>
  <c r="M434" i="1"/>
  <c r="AB434" i="1" l="1"/>
  <c r="AC434" i="1" s="1"/>
  <c r="M435" i="13" s="1"/>
  <c r="G435" i="13"/>
  <c r="E434" i="31"/>
  <c r="F435" i="1" l="1"/>
  <c r="G435" i="1"/>
  <c r="AG434" i="1"/>
  <c r="B434" i="31"/>
  <c r="C434" i="31"/>
  <c r="AF434" i="1"/>
  <c r="N435" i="13" s="1"/>
  <c r="D434" i="31" l="1"/>
  <c r="O435" i="13" s="1"/>
  <c r="E435" i="1"/>
  <c r="D435" i="1" s="1"/>
  <c r="C433" i="11"/>
  <c r="X435" i="1" l="1"/>
  <c r="C435" i="1"/>
  <c r="D436" i="13" s="1"/>
  <c r="C436" i="13"/>
  <c r="B436" i="13"/>
  <c r="A434" i="11"/>
  <c r="L435" i="1"/>
  <c r="I436" i="1"/>
  <c r="H436" i="1"/>
  <c r="H434" i="31"/>
  <c r="Q435" i="13" s="1"/>
  <c r="F434" i="31"/>
  <c r="P435" i="13" s="1"/>
  <c r="K435" i="13"/>
  <c r="G433" i="11"/>
  <c r="H433" i="11" s="1"/>
  <c r="J435" i="13" s="1"/>
  <c r="D433" i="11"/>
  <c r="AA435" i="1" l="1"/>
  <c r="E433" i="11"/>
  <c r="I435" i="13" s="1"/>
  <c r="H435" i="13"/>
  <c r="R435" i="1"/>
  <c r="Q435" i="1" s="1"/>
  <c r="P435" i="1" s="1"/>
  <c r="O435" i="1" s="1"/>
  <c r="N435" i="1" s="1"/>
  <c r="L436" i="13"/>
  <c r="E436" i="13"/>
  <c r="Y435" i="1"/>
  <c r="AD435" i="1"/>
  <c r="F435" i="11"/>
  <c r="M435" i="1" l="1"/>
  <c r="F436" i="13"/>
  <c r="AB435" i="1" l="1"/>
  <c r="AC435" i="1" s="1"/>
  <c r="M436" i="13" s="1"/>
  <c r="E435" i="31"/>
  <c r="G436" i="13"/>
  <c r="G436" i="1" l="1"/>
  <c r="F436" i="1"/>
  <c r="AG435" i="1"/>
  <c r="B435" i="31"/>
  <c r="C435" i="31"/>
  <c r="AF435" i="1"/>
  <c r="N436" i="13" s="1"/>
  <c r="C434" i="11" l="1"/>
  <c r="E436" i="1"/>
  <c r="D436" i="1" s="1"/>
  <c r="D435" i="31"/>
  <c r="O436" i="13" s="1"/>
  <c r="C437" i="13" l="1"/>
  <c r="C436" i="1"/>
  <c r="D437" i="13" s="1"/>
  <c r="B437" i="13"/>
  <c r="X436" i="1"/>
  <c r="A435" i="11"/>
  <c r="H437" i="1"/>
  <c r="L436" i="1"/>
  <c r="I437" i="1"/>
  <c r="K436" i="13"/>
  <c r="G434" i="11"/>
  <c r="H434" i="11" s="1"/>
  <c r="J436" i="13" s="1"/>
  <c r="D434" i="11"/>
  <c r="F435" i="31"/>
  <c r="P436" i="13" s="1"/>
  <c r="H435" i="31"/>
  <c r="Q436" i="13" s="1"/>
  <c r="R436" i="1" l="1"/>
  <c r="Q436" i="1" s="1"/>
  <c r="P436" i="1" s="1"/>
  <c r="O436" i="1" s="1"/>
  <c r="N436" i="1" s="1"/>
  <c r="AA436" i="1"/>
  <c r="L437" i="13"/>
  <c r="E434" i="11"/>
  <c r="I436" i="13" s="1"/>
  <c r="H436" i="13"/>
  <c r="Y436" i="1"/>
  <c r="E437" i="13"/>
  <c r="F436" i="11"/>
  <c r="AD436" i="1"/>
  <c r="M436" i="1" l="1"/>
  <c r="F437" i="13"/>
  <c r="AB436" i="1" l="1"/>
  <c r="AC436" i="1" s="1"/>
  <c r="M437" i="13" s="1"/>
  <c r="G437" i="13"/>
  <c r="E436" i="31"/>
  <c r="AG436" i="1"/>
  <c r="G437" i="1" l="1"/>
  <c r="F437" i="1"/>
  <c r="C435" i="11"/>
  <c r="C436" i="31"/>
  <c r="B436" i="31"/>
  <c r="AF436" i="1"/>
  <c r="N437" i="13" s="1"/>
  <c r="E437" i="1" l="1"/>
  <c r="D437" i="1" s="1"/>
  <c r="C438" i="13" s="1"/>
  <c r="D436" i="31"/>
  <c r="O437" i="13" s="1"/>
  <c r="G435" i="11"/>
  <c r="H435" i="11" s="1"/>
  <c r="J437" i="13" s="1"/>
  <c r="K437" i="13"/>
  <c r="D435" i="11"/>
  <c r="I438" i="1" l="1"/>
  <c r="X437" i="1"/>
  <c r="L437" i="1"/>
  <c r="AD437" i="1" s="1"/>
  <c r="A436" i="11"/>
  <c r="L438" i="13" s="1"/>
  <c r="H438" i="1"/>
  <c r="AA437" i="1" s="1"/>
  <c r="C437" i="1"/>
  <c r="D438" i="13" s="1"/>
  <c r="B438" i="13"/>
  <c r="H437" i="13"/>
  <c r="E435" i="11"/>
  <c r="I437" i="13" s="1"/>
  <c r="F436" i="31"/>
  <c r="P437" i="13" s="1"/>
  <c r="H436" i="31"/>
  <c r="Q437" i="13" s="1"/>
  <c r="F437" i="11" l="1"/>
  <c r="R437" i="1"/>
  <c r="Q437" i="1" s="1"/>
  <c r="P437" i="1" s="1"/>
  <c r="O437" i="1" s="1"/>
  <c r="N437" i="1" s="1"/>
  <c r="F438" i="13" s="1"/>
  <c r="Y437" i="1"/>
  <c r="E438" i="13"/>
  <c r="M437" i="1" l="1"/>
  <c r="AB437" i="1" s="1"/>
  <c r="AC437" i="1" s="1"/>
  <c r="M438" i="13" s="1"/>
  <c r="E437" i="31" l="1"/>
  <c r="G438" i="13"/>
  <c r="G438" i="1"/>
  <c r="F438" i="1"/>
  <c r="AG437" i="1"/>
  <c r="C437" i="31"/>
  <c r="B437" i="31"/>
  <c r="AF437" i="1"/>
  <c r="N438" i="13" s="1"/>
  <c r="D437" i="31" l="1"/>
  <c r="C436" i="11"/>
  <c r="E438" i="1"/>
  <c r="D438" i="1" s="1"/>
  <c r="H437" i="31" l="1"/>
  <c r="Q438" i="13" s="1"/>
  <c r="O438" i="13"/>
  <c r="F437" i="31"/>
  <c r="P438" i="13" s="1"/>
  <c r="X438" i="1"/>
  <c r="A437" i="11"/>
  <c r="B439" i="13"/>
  <c r="C438" i="1"/>
  <c r="D439" i="13" s="1"/>
  <c r="C439" i="13"/>
  <c r="H439" i="1"/>
  <c r="I439" i="1"/>
  <c r="L438" i="1"/>
  <c r="G436" i="11"/>
  <c r="H436" i="11" s="1"/>
  <c r="J438" i="13" s="1"/>
  <c r="K438" i="13"/>
  <c r="D436" i="11"/>
  <c r="AA438" i="1" l="1"/>
  <c r="L439" i="13"/>
  <c r="E439" i="13"/>
  <c r="Y438" i="1"/>
  <c r="F438" i="11"/>
  <c r="AD438" i="1"/>
  <c r="H438" i="13"/>
  <c r="E436" i="11"/>
  <c r="I438" i="13" s="1"/>
  <c r="R438" i="1"/>
  <c r="Q438" i="1" s="1"/>
  <c r="P438" i="1" s="1"/>
  <c r="O438" i="1" s="1"/>
  <c r="N438" i="1" s="1"/>
  <c r="M438" i="1" l="1"/>
  <c r="F439" i="13"/>
  <c r="AB438" i="1" l="1"/>
  <c r="AC438" i="1" s="1"/>
  <c r="M439" i="13" s="1"/>
  <c r="G439" i="13"/>
  <c r="E438" i="31"/>
  <c r="F439" i="1" l="1"/>
  <c r="G439" i="1"/>
  <c r="AG438" i="1"/>
  <c r="B438" i="31"/>
  <c r="C438" i="31"/>
  <c r="AF438" i="1"/>
  <c r="N439" i="13" s="1"/>
  <c r="C437" i="11" l="1"/>
  <c r="E439" i="1"/>
  <c r="D439" i="1" s="1"/>
  <c r="D438" i="31"/>
  <c r="O439" i="13" s="1"/>
  <c r="C440" i="13" l="1"/>
  <c r="C439" i="1"/>
  <c r="D440" i="13" s="1"/>
  <c r="B440" i="13"/>
  <c r="A438" i="11"/>
  <c r="X439" i="1"/>
  <c r="L439" i="1"/>
  <c r="H440" i="1"/>
  <c r="I440" i="1"/>
  <c r="K439" i="13"/>
  <c r="G437" i="11"/>
  <c r="H437" i="11" s="1"/>
  <c r="J439" i="13" s="1"/>
  <c r="D437" i="11"/>
  <c r="H438" i="31"/>
  <c r="Q439" i="13" s="1"/>
  <c r="F438" i="31"/>
  <c r="P439" i="13" s="1"/>
  <c r="AA439" i="1" l="1"/>
  <c r="H439" i="13"/>
  <c r="E437" i="11"/>
  <c r="I439" i="13" s="1"/>
  <c r="R439" i="1"/>
  <c r="Q439" i="1" s="1"/>
  <c r="P439" i="1" s="1"/>
  <c r="O439" i="1" s="1"/>
  <c r="N439" i="1" s="1"/>
  <c r="L440" i="13"/>
  <c r="E440" i="13"/>
  <c r="Y439" i="1"/>
  <c r="F439" i="11"/>
  <c r="AD439" i="1"/>
  <c r="F440" i="13" l="1"/>
  <c r="M439" i="1"/>
  <c r="AB439" i="1" l="1"/>
  <c r="AC439" i="1" s="1"/>
  <c r="M440" i="13" s="1"/>
  <c r="G440" i="13"/>
  <c r="E439" i="31"/>
  <c r="AG439" i="1"/>
  <c r="F440" i="1" l="1"/>
  <c r="G440" i="1"/>
  <c r="C439" i="31"/>
  <c r="B439" i="31"/>
  <c r="AF439" i="1"/>
  <c r="N440" i="13" s="1"/>
  <c r="C438" i="11"/>
  <c r="E440" i="1" l="1"/>
  <c r="D440" i="1" s="1"/>
  <c r="A439" i="11" s="1"/>
  <c r="G438" i="11"/>
  <c r="H438" i="11" s="1"/>
  <c r="J440" i="13" s="1"/>
  <c r="K440" i="13"/>
  <c r="D438" i="11"/>
  <c r="D439" i="31"/>
  <c r="O440" i="13" s="1"/>
  <c r="B441" i="13" l="1"/>
  <c r="C440" i="1"/>
  <c r="D441" i="13" s="1"/>
  <c r="C441" i="13"/>
  <c r="I441" i="1"/>
  <c r="X440" i="1"/>
  <c r="L440" i="1"/>
  <c r="E441" i="13" s="1"/>
  <c r="H441" i="1"/>
  <c r="L441" i="13"/>
  <c r="F439" i="31"/>
  <c r="P440" i="13" s="1"/>
  <c r="H439" i="31"/>
  <c r="Q440" i="13" s="1"/>
  <c r="H440" i="13"/>
  <c r="E438" i="11"/>
  <c r="I440" i="13" s="1"/>
  <c r="AA440" i="1" l="1"/>
  <c r="R440" i="1"/>
  <c r="Q440" i="1" s="1"/>
  <c r="P440" i="1" s="1"/>
  <c r="O440" i="1" s="1"/>
  <c r="N440" i="1" s="1"/>
  <c r="F441" i="13" s="1"/>
  <c r="Y440" i="1"/>
  <c r="AD440" i="1"/>
  <c r="F440" i="11"/>
  <c r="M440" i="1" l="1"/>
  <c r="AB440" i="1" s="1"/>
  <c r="AC440" i="1" s="1"/>
  <c r="M441" i="13" s="1"/>
  <c r="AG440" i="1"/>
  <c r="G441" i="13" l="1"/>
  <c r="E440" i="31"/>
  <c r="G441" i="1"/>
  <c r="F441" i="1"/>
  <c r="C439" i="11"/>
  <c r="B440" i="31"/>
  <c r="C440" i="31"/>
  <c r="AF440" i="1"/>
  <c r="N441" i="13" s="1"/>
  <c r="E441" i="1" l="1"/>
  <c r="D441" i="1" s="1"/>
  <c r="C441" i="1" s="1"/>
  <c r="D442" i="13" s="1"/>
  <c r="D440" i="31"/>
  <c r="K441" i="13"/>
  <c r="G439" i="11"/>
  <c r="H439" i="11" s="1"/>
  <c r="J441" i="13" s="1"/>
  <c r="D439" i="11"/>
  <c r="I442" i="1" l="1"/>
  <c r="B442" i="13"/>
  <c r="L441" i="1"/>
  <c r="AD441" i="1" s="1"/>
  <c r="A440" i="11"/>
  <c r="L442" i="13" s="1"/>
  <c r="X441" i="1"/>
  <c r="H442" i="1"/>
  <c r="C442" i="13"/>
  <c r="H440" i="31"/>
  <c r="Q441" i="13" s="1"/>
  <c r="O441" i="13"/>
  <c r="F440" i="31"/>
  <c r="P441" i="13" s="1"/>
  <c r="H441" i="13"/>
  <c r="E439" i="11"/>
  <c r="I441" i="13" s="1"/>
  <c r="R441" i="1" l="1"/>
  <c r="Q441" i="1" s="1"/>
  <c r="P441" i="1" s="1"/>
  <c r="O441" i="1" s="1"/>
  <c r="N441" i="1" s="1"/>
  <c r="F442" i="13" s="1"/>
  <c r="E442" i="13"/>
  <c r="Y441" i="1"/>
  <c r="F441" i="11"/>
  <c r="AA441" i="1"/>
  <c r="M441" i="1" l="1"/>
  <c r="G442" i="13" s="1"/>
  <c r="AG441" i="1"/>
  <c r="E441" i="31" l="1"/>
  <c r="AB441" i="1"/>
  <c r="AC441" i="1" s="1"/>
  <c r="M442" i="13" s="1"/>
  <c r="G442" i="1"/>
  <c r="F442" i="1"/>
  <c r="C440" i="11"/>
  <c r="AF441" i="1" l="1"/>
  <c r="N442" i="13" s="1"/>
  <c r="C441" i="31"/>
  <c r="B441" i="31"/>
  <c r="E442" i="1"/>
  <c r="D442" i="1" s="1"/>
  <c r="C443" i="13" s="1"/>
  <c r="G440" i="11"/>
  <c r="H440" i="11" s="1"/>
  <c r="J442" i="13" s="1"/>
  <c r="K442" i="13"/>
  <c r="D440" i="11"/>
  <c r="D441" i="31" l="1"/>
  <c r="F441" i="31" s="1"/>
  <c r="P442" i="13" s="1"/>
  <c r="H443" i="1"/>
  <c r="A441" i="11"/>
  <c r="L443" i="13" s="1"/>
  <c r="I443" i="1"/>
  <c r="B443" i="13"/>
  <c r="L442" i="1"/>
  <c r="F442" i="11" s="1"/>
  <c r="C442" i="1"/>
  <c r="D443" i="13" s="1"/>
  <c r="X442" i="1"/>
  <c r="O442" i="13"/>
  <c r="H442" i="13"/>
  <c r="E440" i="11"/>
  <c r="I442" i="13" s="1"/>
  <c r="H441" i="31" l="1"/>
  <c r="Q442" i="13" s="1"/>
  <c r="AA442" i="1"/>
  <c r="R442" i="1"/>
  <c r="Q442" i="1" s="1"/>
  <c r="P442" i="1" s="1"/>
  <c r="O442" i="1" s="1"/>
  <c r="N442" i="1" s="1"/>
  <c r="F443" i="13" s="1"/>
  <c r="AD442" i="1"/>
  <c r="Y442" i="1"/>
  <c r="E443" i="13"/>
  <c r="M442" i="1" l="1"/>
  <c r="E442" i="31" s="1"/>
  <c r="G443" i="13" l="1"/>
  <c r="AB442" i="1"/>
  <c r="AC442" i="1" s="1"/>
  <c r="M443" i="13" s="1"/>
  <c r="F443" i="1"/>
  <c r="G443" i="1"/>
  <c r="AG442" i="1"/>
  <c r="B442" i="31" l="1"/>
  <c r="AF442" i="1"/>
  <c r="N443" i="13" s="1"/>
  <c r="C442" i="31"/>
  <c r="C441" i="11"/>
  <c r="E443" i="1"/>
  <c r="D443" i="1" s="1"/>
  <c r="D442" i="31" l="1"/>
  <c r="O443" i="13" s="1"/>
  <c r="K443" i="13"/>
  <c r="G441" i="11"/>
  <c r="H441" i="11" s="1"/>
  <c r="J443" i="13" s="1"/>
  <c r="D441" i="11"/>
  <c r="X443" i="1"/>
  <c r="C443" i="1"/>
  <c r="D444" i="13" s="1"/>
  <c r="B444" i="13"/>
  <c r="C444" i="13"/>
  <c r="A442" i="11"/>
  <c r="L443" i="1"/>
  <c r="H444" i="1"/>
  <c r="I444" i="1"/>
  <c r="F442" i="31" l="1"/>
  <c r="P443" i="13" s="1"/>
  <c r="H442" i="31"/>
  <c r="Q443" i="13" s="1"/>
  <c r="AA443" i="1"/>
  <c r="L444" i="13"/>
  <c r="Y443" i="1"/>
  <c r="E444" i="13"/>
  <c r="F443" i="11"/>
  <c r="AD443" i="1"/>
  <c r="R443" i="1"/>
  <c r="Q443" i="1" s="1"/>
  <c r="P443" i="1" s="1"/>
  <c r="O443" i="1" s="1"/>
  <c r="N443" i="1" s="1"/>
  <c r="H443" i="13"/>
  <c r="E441" i="11"/>
  <c r="I443" i="13" s="1"/>
  <c r="F444" i="13" l="1"/>
  <c r="M443" i="1"/>
  <c r="AB443" i="1" l="1"/>
  <c r="AC443" i="1" s="1"/>
  <c r="M444" i="13" s="1"/>
  <c r="G444" i="13"/>
  <c r="E443" i="31"/>
  <c r="F444" i="1" l="1"/>
  <c r="G444" i="1"/>
  <c r="AG443" i="1"/>
  <c r="C442" i="11" s="1"/>
  <c r="C443" i="31"/>
  <c r="B443" i="31"/>
  <c r="AF443" i="1"/>
  <c r="N444" i="13" s="1"/>
  <c r="E444" i="1" l="1"/>
  <c r="D444" i="1" s="1"/>
  <c r="C444" i="1" s="1"/>
  <c r="D445" i="13" s="1"/>
  <c r="G442" i="11"/>
  <c r="H442" i="11" s="1"/>
  <c r="J444" i="13" s="1"/>
  <c r="K444" i="13"/>
  <c r="D442" i="11"/>
  <c r="D443" i="31"/>
  <c r="O444" i="13" s="1"/>
  <c r="B445" i="13" l="1"/>
  <c r="I445" i="1"/>
  <c r="H445" i="1"/>
  <c r="C445" i="13"/>
  <c r="L444" i="1"/>
  <c r="F444" i="11" s="1"/>
  <c r="X444" i="1"/>
  <c r="A443" i="11"/>
  <c r="L445" i="13" s="1"/>
  <c r="H444" i="13"/>
  <c r="E442" i="11"/>
  <c r="I444" i="13" s="1"/>
  <c r="F443" i="31"/>
  <c r="P444" i="13" s="1"/>
  <c r="H443" i="31"/>
  <c r="Q444" i="13" s="1"/>
  <c r="AA444" i="1" l="1"/>
  <c r="Y444" i="1"/>
  <c r="E445" i="13"/>
  <c r="AD444" i="1"/>
  <c r="R444" i="1"/>
  <c r="Q444" i="1" s="1"/>
  <c r="P444" i="1" s="1"/>
  <c r="O444" i="1" s="1"/>
  <c r="N444" i="1" s="1"/>
  <c r="F445" i="13" s="1"/>
  <c r="M444" i="1" l="1"/>
  <c r="AB444" i="1" s="1"/>
  <c r="AC444" i="1" s="1"/>
  <c r="M445" i="13" s="1"/>
  <c r="AG444" i="1"/>
  <c r="F445" i="1" l="1"/>
  <c r="G445" i="13"/>
  <c r="E444" i="31"/>
  <c r="G445" i="1"/>
  <c r="C443" i="11"/>
  <c r="B444" i="31"/>
  <c r="C444" i="31"/>
  <c r="AF444" i="1"/>
  <c r="N445" i="13" s="1"/>
  <c r="E445" i="1" l="1"/>
  <c r="D445" i="1" s="1"/>
  <c r="B446" i="13" s="1"/>
  <c r="D444" i="31"/>
  <c r="K445" i="13"/>
  <c r="G443" i="11"/>
  <c r="H443" i="11" s="1"/>
  <c r="J445" i="13" s="1"/>
  <c r="D443" i="11"/>
  <c r="H444" i="31" l="1"/>
  <c r="Q445" i="13" s="1"/>
  <c r="O445" i="13"/>
  <c r="H446" i="1"/>
  <c r="C445" i="1"/>
  <c r="D446" i="13" s="1"/>
  <c r="A444" i="11"/>
  <c r="L446" i="13" s="1"/>
  <c r="X445" i="1"/>
  <c r="I446" i="1"/>
  <c r="AA445" i="1" s="1"/>
  <c r="C446" i="13"/>
  <c r="L445" i="1"/>
  <c r="AD445" i="1" s="1"/>
  <c r="F444" i="31"/>
  <c r="P445" i="13" s="1"/>
  <c r="H445" i="13"/>
  <c r="E443" i="11"/>
  <c r="I445" i="13" s="1"/>
  <c r="R445" i="1" l="1"/>
  <c r="Q445" i="1" s="1"/>
  <c r="P445" i="1" s="1"/>
  <c r="O445" i="1" s="1"/>
  <c r="N445" i="1" s="1"/>
  <c r="M445" i="1" s="1"/>
  <c r="F445" i="11"/>
  <c r="Y445" i="1"/>
  <c r="E446" i="13"/>
  <c r="F446" i="13" l="1"/>
  <c r="AB445" i="1"/>
  <c r="AC445" i="1" s="1"/>
  <c r="M446" i="13" s="1"/>
  <c r="E445" i="31"/>
  <c r="G446" i="13"/>
  <c r="G446" i="1" l="1"/>
  <c r="F446" i="1"/>
  <c r="C445" i="31"/>
  <c r="B445" i="31"/>
  <c r="AF445" i="1"/>
  <c r="N446" i="13" s="1"/>
  <c r="AG445" i="1"/>
  <c r="D445" i="31" l="1"/>
  <c r="C444" i="11"/>
  <c r="E446" i="1"/>
  <c r="D446" i="1" s="1"/>
  <c r="F445" i="31" l="1"/>
  <c r="P446" i="13" s="1"/>
  <c r="O446" i="13"/>
  <c r="H445" i="31"/>
  <c r="Q446" i="13" s="1"/>
  <c r="A445" i="11"/>
  <c r="B447" i="13"/>
  <c r="C446" i="1"/>
  <c r="D447" i="13" s="1"/>
  <c r="X446" i="1"/>
  <c r="C447" i="13"/>
  <c r="I447" i="1"/>
  <c r="H447" i="1"/>
  <c r="L446" i="1"/>
  <c r="K446" i="13"/>
  <c r="G444" i="11"/>
  <c r="H444" i="11" s="1"/>
  <c r="J446" i="13" s="1"/>
  <c r="D444" i="11"/>
  <c r="AA446" i="1" l="1"/>
  <c r="E447" i="13"/>
  <c r="Y446" i="1"/>
  <c r="F446" i="11"/>
  <c r="AD446" i="1"/>
  <c r="L447" i="13"/>
  <c r="H446" i="13"/>
  <c r="E444" i="11"/>
  <c r="I446" i="13" s="1"/>
  <c r="R446" i="1"/>
  <c r="Q446" i="1" s="1"/>
  <c r="P446" i="1" s="1"/>
  <c r="O446" i="1" s="1"/>
  <c r="N446" i="1" s="1"/>
  <c r="F447" i="13" l="1"/>
  <c r="M446" i="1"/>
  <c r="AB446" i="1" l="1"/>
  <c r="AC446" i="1" s="1"/>
  <c r="M447" i="13" s="1"/>
  <c r="G447" i="13"/>
  <c r="E446" i="31"/>
  <c r="AG446" i="1"/>
  <c r="C445" i="11" s="1"/>
  <c r="G447" i="1" l="1"/>
  <c r="F447" i="1"/>
  <c r="K447" i="13"/>
  <c r="G445" i="11"/>
  <c r="H445" i="11" s="1"/>
  <c r="J447" i="13" s="1"/>
  <c r="D445" i="11"/>
  <c r="B446" i="31"/>
  <c r="C446" i="31"/>
  <c r="AF446" i="1"/>
  <c r="N447" i="13" s="1"/>
  <c r="E447" i="1" l="1"/>
  <c r="D447" i="1" s="1"/>
  <c r="A446" i="11" s="1"/>
  <c r="D446" i="31"/>
  <c r="H447" i="13"/>
  <c r="E445" i="11"/>
  <c r="I447" i="13" s="1"/>
  <c r="I448" i="1" l="1"/>
  <c r="X447" i="1"/>
  <c r="C448" i="13"/>
  <c r="L447" i="1"/>
  <c r="E448" i="13" s="1"/>
  <c r="B448" i="13"/>
  <c r="H448" i="1"/>
  <c r="C447" i="1"/>
  <c r="D448" i="13" s="1"/>
  <c r="F446" i="31"/>
  <c r="P447" i="13" s="1"/>
  <c r="O447" i="13"/>
  <c r="H446" i="31"/>
  <c r="Q447" i="13" s="1"/>
  <c r="L448" i="13"/>
  <c r="AA447" i="1" l="1"/>
  <c r="F447" i="11"/>
  <c r="Y447" i="1"/>
  <c r="R447" i="1"/>
  <c r="Q447" i="1" s="1"/>
  <c r="P447" i="1" s="1"/>
  <c r="O447" i="1" s="1"/>
  <c r="N447" i="1" s="1"/>
  <c r="F448" i="13" s="1"/>
  <c r="AD447" i="1"/>
  <c r="M447" i="1" l="1"/>
  <c r="AB447" i="1" s="1"/>
  <c r="AC447" i="1" s="1"/>
  <c r="M448" i="13" s="1"/>
  <c r="G448" i="13" l="1"/>
  <c r="E447" i="31"/>
  <c r="F448" i="1"/>
  <c r="G448" i="1"/>
  <c r="B447" i="31"/>
  <c r="C447" i="31"/>
  <c r="AF447" i="1"/>
  <c r="N448" i="13" s="1"/>
  <c r="AG447" i="1"/>
  <c r="D447" i="31" l="1"/>
  <c r="E448" i="1"/>
  <c r="D448" i="1" s="1"/>
  <c r="C446" i="11"/>
  <c r="H447" i="31" l="1"/>
  <c r="Q448" i="13" s="1"/>
  <c r="O448" i="13"/>
  <c r="F447" i="31"/>
  <c r="P448" i="13" s="1"/>
  <c r="K448" i="13"/>
  <c r="G446" i="11"/>
  <c r="H446" i="11" s="1"/>
  <c r="J448" i="13" s="1"/>
  <c r="D446" i="11"/>
  <c r="C449" i="13"/>
  <c r="B449" i="13"/>
  <c r="A447" i="11"/>
  <c r="C448" i="1"/>
  <c r="D449" i="13" s="1"/>
  <c r="X448" i="1"/>
  <c r="H449" i="1"/>
  <c r="L448" i="1"/>
  <c r="I449" i="1"/>
  <c r="R448" i="1" l="1"/>
  <c r="Q448" i="1" s="1"/>
  <c r="P448" i="1" s="1"/>
  <c r="O448" i="1" s="1"/>
  <c r="N448" i="1" s="1"/>
  <c r="L449" i="13"/>
  <c r="AA448" i="1"/>
  <c r="Y448" i="1"/>
  <c r="E449" i="13"/>
  <c r="F448" i="11"/>
  <c r="AD448" i="1"/>
  <c r="E446" i="11"/>
  <c r="I448" i="13" s="1"/>
  <c r="H448" i="13"/>
  <c r="M448" i="1" l="1"/>
  <c r="F449" i="13"/>
  <c r="AB448" i="1" l="1"/>
  <c r="AC448" i="1" s="1"/>
  <c r="M449" i="13" s="1"/>
  <c r="E448" i="31"/>
  <c r="G449" i="13"/>
  <c r="AG448" i="1"/>
  <c r="F449" i="1" l="1"/>
  <c r="G449" i="1"/>
  <c r="C447" i="11"/>
  <c r="B448" i="31"/>
  <c r="C448" i="31"/>
  <c r="AF448" i="1"/>
  <c r="N449" i="13" s="1"/>
  <c r="E449" i="1" l="1"/>
  <c r="D449" i="1" s="1"/>
  <c r="C450" i="13" s="1"/>
  <c r="K449" i="13"/>
  <c r="G447" i="11"/>
  <c r="H447" i="11" s="1"/>
  <c r="J449" i="13" s="1"/>
  <c r="D447" i="11"/>
  <c r="D448" i="31"/>
  <c r="O449" i="13" s="1"/>
  <c r="L449" i="1" l="1"/>
  <c r="Y449" i="1" s="1"/>
  <c r="A448" i="11"/>
  <c r="H450" i="1"/>
  <c r="B450" i="13"/>
  <c r="I450" i="1"/>
  <c r="X449" i="1"/>
  <c r="C449" i="1"/>
  <c r="D450" i="13" s="1"/>
  <c r="H449" i="13"/>
  <c r="E447" i="11"/>
  <c r="I449" i="13" s="1"/>
  <c r="L450" i="13"/>
  <c r="H448" i="31"/>
  <c r="Q449" i="13" s="1"/>
  <c r="F448" i="31"/>
  <c r="P449" i="13" s="1"/>
  <c r="AA449" i="1" l="1"/>
  <c r="R449" i="1"/>
  <c r="Q449" i="1" s="1"/>
  <c r="P449" i="1" s="1"/>
  <c r="O449" i="1" s="1"/>
  <c r="N449" i="1" s="1"/>
  <c r="F450" i="13" s="1"/>
  <c r="F449" i="11"/>
  <c r="AD449" i="1"/>
  <c r="E450" i="13"/>
  <c r="M449" i="1" l="1"/>
  <c r="AB449" i="1" s="1"/>
  <c r="AC449" i="1" s="1"/>
  <c r="M450" i="13" s="1"/>
  <c r="G450" i="13" l="1"/>
  <c r="E449" i="31"/>
  <c r="F450" i="1"/>
  <c r="G450" i="1"/>
  <c r="B449" i="31"/>
  <c r="C449" i="31"/>
  <c r="AF449" i="1"/>
  <c r="N450" i="13" s="1"/>
  <c r="AG449" i="1"/>
  <c r="D449" i="31" l="1"/>
  <c r="C448" i="11"/>
  <c r="E450" i="1"/>
  <c r="D450" i="1" s="1"/>
  <c r="F449" i="31" l="1"/>
  <c r="P450" i="13" s="1"/>
  <c r="O450" i="13"/>
  <c r="H449" i="31"/>
  <c r="Q450" i="13" s="1"/>
  <c r="K450" i="13"/>
  <c r="G448" i="11"/>
  <c r="H448" i="11" s="1"/>
  <c r="J450" i="13" s="1"/>
  <c r="D448" i="11"/>
  <c r="A449" i="11"/>
  <c r="C451" i="13"/>
  <c r="C450" i="1"/>
  <c r="D451" i="13" s="1"/>
  <c r="X450" i="1"/>
  <c r="B451" i="13"/>
  <c r="L450" i="1"/>
  <c r="H451" i="1"/>
  <c r="I451" i="1"/>
  <c r="R450" i="1" l="1"/>
  <c r="Q450" i="1" s="1"/>
  <c r="P450" i="1" s="1"/>
  <c r="O450" i="1" s="1"/>
  <c r="N450" i="1" s="1"/>
  <c r="AA450" i="1"/>
  <c r="H450" i="13"/>
  <c r="E448" i="11"/>
  <c r="I450" i="13" s="1"/>
  <c r="Y450" i="1"/>
  <c r="E451" i="13"/>
  <c r="AD450" i="1"/>
  <c r="F450" i="11"/>
  <c r="L451" i="13"/>
  <c r="F451" i="13" l="1"/>
  <c r="M450" i="1"/>
  <c r="AB450" i="1" l="1"/>
  <c r="AC450" i="1" s="1"/>
  <c r="M451" i="13" s="1"/>
  <c r="E450" i="31"/>
  <c r="G451" i="13"/>
  <c r="AG450" i="1"/>
  <c r="G451" i="1" l="1"/>
  <c r="F451" i="1"/>
  <c r="C449" i="11"/>
  <c r="B450" i="31"/>
  <c r="C450" i="31"/>
  <c r="AF450" i="1"/>
  <c r="N451" i="13" s="1"/>
  <c r="E451" i="1" l="1"/>
  <c r="D451" i="1" s="1"/>
  <c r="X451" i="1" s="1"/>
  <c r="G449" i="11"/>
  <c r="H449" i="11" s="1"/>
  <c r="J451" i="13" s="1"/>
  <c r="K451" i="13"/>
  <c r="D449" i="11"/>
  <c r="D450" i="31"/>
  <c r="O451" i="13" s="1"/>
  <c r="C452" i="13" l="1"/>
  <c r="B452" i="13"/>
  <c r="A450" i="11"/>
  <c r="L452" i="13" s="1"/>
  <c r="I452" i="1"/>
  <c r="L451" i="1"/>
  <c r="F451" i="11" s="1"/>
  <c r="C451" i="1"/>
  <c r="D452" i="13" s="1"/>
  <c r="H452" i="1"/>
  <c r="R451" i="1" s="1"/>
  <c r="H451" i="13"/>
  <c r="E449" i="11"/>
  <c r="I451" i="13" s="1"/>
  <c r="H450" i="31"/>
  <c r="Q451" i="13" s="1"/>
  <c r="F450" i="31"/>
  <c r="P451" i="13" s="1"/>
  <c r="AA451" i="1" l="1"/>
  <c r="Y451" i="1"/>
  <c r="E452" i="13"/>
  <c r="AD451" i="1"/>
  <c r="Q451" i="1"/>
  <c r="P451" i="1" s="1"/>
  <c r="O451" i="1" s="1"/>
  <c r="N451" i="1" s="1"/>
  <c r="F452" i="13" s="1"/>
  <c r="M451" i="1" l="1"/>
  <c r="AB451" i="1" s="1"/>
  <c r="AC451" i="1" s="1"/>
  <c r="M452" i="13" s="1"/>
  <c r="AG451" i="1"/>
  <c r="G452" i="13" l="1"/>
  <c r="E451" i="31"/>
  <c r="F452" i="1"/>
  <c r="G452" i="1"/>
  <c r="C450" i="11"/>
  <c r="B451" i="31"/>
  <c r="C451" i="31"/>
  <c r="AF451" i="1"/>
  <c r="N452" i="13" s="1"/>
  <c r="E452" i="1" l="1"/>
  <c r="D452" i="1" s="1"/>
  <c r="A451" i="11" s="1"/>
  <c r="G450" i="11"/>
  <c r="H450" i="11" s="1"/>
  <c r="J452" i="13" s="1"/>
  <c r="K452" i="13"/>
  <c r="D450" i="11"/>
  <c r="D451" i="31"/>
  <c r="O452" i="13" s="1"/>
  <c r="L452" i="1" l="1"/>
  <c r="Y452" i="1" s="1"/>
  <c r="B453" i="13"/>
  <c r="H453" i="1"/>
  <c r="I453" i="1"/>
  <c r="C453" i="13"/>
  <c r="X452" i="1"/>
  <c r="C452" i="1"/>
  <c r="D453" i="13" s="1"/>
  <c r="H451" i="31"/>
  <c r="Q452" i="13" s="1"/>
  <c r="F451" i="31"/>
  <c r="P452" i="13" s="1"/>
  <c r="L453" i="13"/>
  <c r="H452" i="13"/>
  <c r="E450" i="11"/>
  <c r="I452" i="13" s="1"/>
  <c r="AA452" i="1" l="1"/>
  <c r="E453" i="13"/>
  <c r="AD452" i="1"/>
  <c r="F452" i="11"/>
  <c r="R452" i="1"/>
  <c r="Q452" i="1" s="1"/>
  <c r="P452" i="1" s="1"/>
  <c r="O452" i="1" s="1"/>
  <c r="N452" i="1" s="1"/>
  <c r="M452" i="1" s="1"/>
  <c r="F453" i="13" l="1"/>
  <c r="AB452" i="1"/>
  <c r="AC452" i="1" s="1"/>
  <c r="M453" i="13" s="1"/>
  <c r="E452" i="31"/>
  <c r="G453" i="13"/>
  <c r="AG452" i="1"/>
  <c r="F453" i="1" l="1"/>
  <c r="G453" i="1"/>
  <c r="C451" i="11"/>
  <c r="C452" i="31"/>
  <c r="B452" i="31"/>
  <c r="AF452" i="1"/>
  <c r="N453" i="13" s="1"/>
  <c r="E453" i="1" l="1"/>
  <c r="D453" i="1" s="1"/>
  <c r="X453" i="1" s="1"/>
  <c r="D452" i="31"/>
  <c r="G451" i="11"/>
  <c r="H451" i="11" s="1"/>
  <c r="J453" i="13" s="1"/>
  <c r="K453" i="13"/>
  <c r="D451" i="11"/>
  <c r="I454" i="1" l="1"/>
  <c r="H454" i="1"/>
  <c r="R453" i="1" s="1"/>
  <c r="A452" i="11"/>
  <c r="L454" i="13" s="1"/>
  <c r="C453" i="1"/>
  <c r="D454" i="13" s="1"/>
  <c r="B454" i="13"/>
  <c r="C454" i="13"/>
  <c r="L453" i="1"/>
  <c r="F453" i="11" s="1"/>
  <c r="H452" i="31"/>
  <c r="Q453" i="13" s="1"/>
  <c r="O453" i="13"/>
  <c r="F452" i="31"/>
  <c r="P453" i="13" s="1"/>
  <c r="H453" i="13"/>
  <c r="E451" i="11"/>
  <c r="I453" i="13" s="1"/>
  <c r="AA453" i="1" l="1"/>
  <c r="AD453" i="1"/>
  <c r="Y453" i="1"/>
  <c r="Q453" i="1"/>
  <c r="P453" i="1" s="1"/>
  <c r="O453" i="1" s="1"/>
  <c r="N453" i="1" s="1"/>
  <c r="M453" i="1" s="1"/>
  <c r="E454" i="13"/>
  <c r="F454" i="13" l="1"/>
  <c r="AB453" i="1"/>
  <c r="AC453" i="1" s="1"/>
  <c r="M454" i="13" s="1"/>
  <c r="E453" i="31"/>
  <c r="G454" i="13"/>
  <c r="AG453" i="1"/>
  <c r="G454" i="1" l="1"/>
  <c r="F454" i="1"/>
  <c r="C452" i="11"/>
  <c r="B453" i="31"/>
  <c r="C453" i="31"/>
  <c r="AF453" i="1"/>
  <c r="N454" i="13" s="1"/>
  <c r="E454" i="1" l="1"/>
  <c r="D454" i="1" s="1"/>
  <c r="B455" i="13" s="1"/>
  <c r="K454" i="13"/>
  <c r="G452" i="11"/>
  <c r="H452" i="11" s="1"/>
  <c r="J454" i="13" s="1"/>
  <c r="D452" i="11"/>
  <c r="D453" i="31"/>
  <c r="O454" i="13" s="1"/>
  <c r="C455" i="13" l="1"/>
  <c r="X454" i="1"/>
  <c r="H455" i="1"/>
  <c r="A453" i="11"/>
  <c r="L455" i="13" s="1"/>
  <c r="L454" i="1"/>
  <c r="E455" i="13" s="1"/>
  <c r="I455" i="1"/>
  <c r="C454" i="1"/>
  <c r="D455" i="13" s="1"/>
  <c r="F453" i="31"/>
  <c r="P454" i="13" s="1"/>
  <c r="H453" i="31"/>
  <c r="Q454" i="13" s="1"/>
  <c r="E452" i="11"/>
  <c r="I454" i="13" s="1"/>
  <c r="H454" i="13"/>
  <c r="AA454" i="1" l="1"/>
  <c r="R454" i="1"/>
  <c r="Q454" i="1" s="1"/>
  <c r="P454" i="1" s="1"/>
  <c r="O454" i="1" s="1"/>
  <c r="N454" i="1" s="1"/>
  <c r="M454" i="1" s="1"/>
  <c r="AD454" i="1"/>
  <c r="F454" i="11"/>
  <c r="Y454" i="1"/>
  <c r="F455" i="13" l="1"/>
  <c r="AB454" i="1"/>
  <c r="AC454" i="1" s="1"/>
  <c r="M455" i="13" s="1"/>
  <c r="G455" i="13"/>
  <c r="E454" i="31"/>
  <c r="AG454" i="1"/>
  <c r="F455" i="1" l="1"/>
  <c r="G455" i="1"/>
  <c r="C453" i="11"/>
  <c r="B454" i="31"/>
  <c r="C454" i="31"/>
  <c r="AF454" i="1"/>
  <c r="N455" i="13" s="1"/>
  <c r="E455" i="1" l="1"/>
  <c r="D455" i="1" s="1"/>
  <c r="A454" i="11" s="1"/>
  <c r="K455" i="13"/>
  <c r="G453" i="11"/>
  <c r="H453" i="11" s="1"/>
  <c r="J455" i="13" s="1"/>
  <c r="D453" i="11"/>
  <c r="D454" i="31"/>
  <c r="O455" i="13" s="1"/>
  <c r="C456" i="13" l="1"/>
  <c r="X455" i="1"/>
  <c r="C455" i="1"/>
  <c r="D456" i="13" s="1"/>
  <c r="L455" i="1"/>
  <c r="Y455" i="1" s="1"/>
  <c r="B456" i="13"/>
  <c r="H456" i="1"/>
  <c r="AA455" i="1" s="1"/>
  <c r="I456" i="1"/>
  <c r="E453" i="11"/>
  <c r="I455" i="13" s="1"/>
  <c r="H455" i="13"/>
  <c r="F454" i="31"/>
  <c r="P455" i="13" s="1"/>
  <c r="H454" i="31"/>
  <c r="Q455" i="13" s="1"/>
  <c r="L456" i="13"/>
  <c r="R455" i="1" l="1"/>
  <c r="Q455" i="1" s="1"/>
  <c r="P455" i="1" s="1"/>
  <c r="O455" i="1" s="1"/>
  <c r="N455" i="1" s="1"/>
  <c r="M455" i="1" s="1"/>
  <c r="AD455" i="1"/>
  <c r="F455" i="11"/>
  <c r="E456" i="13"/>
  <c r="F456" i="13" l="1"/>
  <c r="AB455" i="1"/>
  <c r="AC455" i="1" s="1"/>
  <c r="M456" i="13" s="1"/>
  <c r="E455" i="31"/>
  <c r="G456" i="13"/>
  <c r="AG455" i="1"/>
  <c r="G456" i="1" l="1"/>
  <c r="F456" i="1"/>
  <c r="C454" i="11"/>
  <c r="B455" i="31"/>
  <c r="C455" i="31"/>
  <c r="AF455" i="1"/>
  <c r="N456" i="13" s="1"/>
  <c r="E456" i="1" l="1"/>
  <c r="D456" i="1" s="1"/>
  <c r="C456" i="1" s="1"/>
  <c r="D457" i="13" s="1"/>
  <c r="G454" i="11"/>
  <c r="H454" i="11" s="1"/>
  <c r="J456" i="13" s="1"/>
  <c r="K456" i="13"/>
  <c r="D454" i="11"/>
  <c r="D455" i="31"/>
  <c r="O456" i="13" s="1"/>
  <c r="L456" i="1" l="1"/>
  <c r="E457" i="13" s="1"/>
  <c r="X456" i="1"/>
  <c r="H457" i="1"/>
  <c r="B457" i="13"/>
  <c r="I457" i="1"/>
  <c r="C457" i="13"/>
  <c r="A455" i="11"/>
  <c r="L457" i="13" s="1"/>
  <c r="H455" i="31"/>
  <c r="Q456" i="13" s="1"/>
  <c r="F455" i="31"/>
  <c r="P456" i="13" s="1"/>
  <c r="H456" i="13"/>
  <c r="E454" i="11"/>
  <c r="I456" i="13" s="1"/>
  <c r="R456" i="1" l="1"/>
  <c r="Q456" i="1" s="1"/>
  <c r="P456" i="1" s="1"/>
  <c r="O456" i="1" s="1"/>
  <c r="N456" i="1" s="1"/>
  <c r="F457" i="13" s="1"/>
  <c r="AA456" i="1"/>
  <c r="F456" i="11"/>
  <c r="AD456" i="1"/>
  <c r="Y456" i="1"/>
  <c r="M456" i="1" l="1"/>
  <c r="E456" i="31" s="1"/>
  <c r="G457" i="13" l="1"/>
  <c r="AB456" i="1"/>
  <c r="AC456" i="1" s="1"/>
  <c r="M457" i="13" s="1"/>
  <c r="F457" i="1"/>
  <c r="G457" i="1"/>
  <c r="AG456" i="1"/>
  <c r="AF456" i="1" l="1"/>
  <c r="N457" i="13" s="1"/>
  <c r="C456" i="31"/>
  <c r="B456" i="31"/>
  <c r="E457" i="1"/>
  <c r="D457" i="1" s="1"/>
  <c r="C455" i="11"/>
  <c r="D456" i="31" l="1"/>
  <c r="F456" i="31" s="1"/>
  <c r="P457" i="13" s="1"/>
  <c r="O457" i="13"/>
  <c r="K457" i="13"/>
  <c r="G455" i="11"/>
  <c r="H455" i="11" s="1"/>
  <c r="J457" i="13" s="1"/>
  <c r="D455" i="11"/>
  <c r="C457" i="1"/>
  <c r="D458" i="13" s="1"/>
  <c r="B458" i="13"/>
  <c r="X457" i="1"/>
  <c r="A456" i="11"/>
  <c r="C458" i="13"/>
  <c r="H458" i="1"/>
  <c r="I458" i="1"/>
  <c r="L457" i="1"/>
  <c r="H456" i="31" l="1"/>
  <c r="Q457" i="13" s="1"/>
  <c r="E458" i="13"/>
  <c r="Y457" i="1"/>
  <c r="AD457" i="1"/>
  <c r="F457" i="11"/>
  <c r="L458" i="13"/>
  <c r="H457" i="13"/>
  <c r="E455" i="11"/>
  <c r="I457" i="13" s="1"/>
  <c r="R457" i="1"/>
  <c r="Q457" i="1" s="1"/>
  <c r="P457" i="1" s="1"/>
  <c r="O457" i="1" s="1"/>
  <c r="N457" i="1" s="1"/>
  <c r="AA457" i="1"/>
  <c r="M457" i="1" l="1"/>
  <c r="F458" i="13"/>
  <c r="AB457" i="1" l="1"/>
  <c r="AC457" i="1" s="1"/>
  <c r="M458" i="13" s="1"/>
  <c r="E457" i="31"/>
  <c r="G458" i="13"/>
  <c r="AG457" i="1"/>
  <c r="G458" i="1" l="1"/>
  <c r="F458" i="1"/>
  <c r="B457" i="31"/>
  <c r="C457" i="31"/>
  <c r="AF457" i="1"/>
  <c r="N458" i="13" s="1"/>
  <c r="C456" i="11"/>
  <c r="E458" i="1" l="1"/>
  <c r="D458" i="1" s="1"/>
  <c r="B459" i="13" s="1"/>
  <c r="D457" i="31"/>
  <c r="K458" i="13"/>
  <c r="G456" i="11"/>
  <c r="H456" i="11" s="1"/>
  <c r="J458" i="13" s="1"/>
  <c r="D456" i="11"/>
  <c r="L458" i="1" l="1"/>
  <c r="AD458" i="1" s="1"/>
  <c r="X458" i="1"/>
  <c r="A457" i="11"/>
  <c r="L459" i="13" s="1"/>
  <c r="C458" i="1"/>
  <c r="D459" i="13" s="1"/>
  <c r="I459" i="1"/>
  <c r="C459" i="13"/>
  <c r="H459" i="1"/>
  <c r="R458" i="1" s="1"/>
  <c r="F457" i="31"/>
  <c r="P458" i="13" s="1"/>
  <c r="O458" i="13"/>
  <c r="H457" i="31"/>
  <c r="Q458" i="13" s="1"/>
  <c r="E456" i="11"/>
  <c r="I458" i="13" s="1"/>
  <c r="H458" i="13"/>
  <c r="AA458" i="1" l="1"/>
  <c r="E459" i="13"/>
  <c r="Y458" i="1"/>
  <c r="F458" i="11"/>
  <c r="Q458" i="1"/>
  <c r="P458" i="1" s="1"/>
  <c r="O458" i="1" s="1"/>
  <c r="N458" i="1" s="1"/>
  <c r="M458" i="1" s="1"/>
  <c r="F459" i="13" l="1"/>
  <c r="AB458" i="1"/>
  <c r="AC458" i="1" s="1"/>
  <c r="M459" i="13" s="1"/>
  <c r="G459" i="13"/>
  <c r="E458" i="31"/>
  <c r="AG458" i="1"/>
  <c r="G459" i="1" l="1"/>
  <c r="F459" i="1"/>
  <c r="C457" i="11"/>
  <c r="C458" i="31"/>
  <c r="B458" i="31"/>
  <c r="AF458" i="1"/>
  <c r="N459" i="13" s="1"/>
  <c r="E459" i="1" l="1"/>
  <c r="D459" i="1" s="1"/>
  <c r="C459" i="1" s="1"/>
  <c r="D460" i="13" s="1"/>
  <c r="D458" i="31"/>
  <c r="K459" i="13"/>
  <c r="G457" i="11"/>
  <c r="H457" i="11" s="1"/>
  <c r="J459" i="13" s="1"/>
  <c r="D457" i="11"/>
  <c r="L459" i="1" l="1"/>
  <c r="F459" i="11" s="1"/>
  <c r="X459" i="1"/>
  <c r="I460" i="1"/>
  <c r="C460" i="13"/>
  <c r="H460" i="1"/>
  <c r="A458" i="11"/>
  <c r="L460" i="13" s="1"/>
  <c r="B460" i="13"/>
  <c r="F458" i="31"/>
  <c r="P459" i="13" s="1"/>
  <c r="O459" i="13"/>
  <c r="H458" i="31"/>
  <c r="Q459" i="13" s="1"/>
  <c r="E457" i="11"/>
  <c r="I459" i="13" s="1"/>
  <c r="H459" i="13"/>
  <c r="AA459" i="1" l="1"/>
  <c r="E460" i="13"/>
  <c r="AD459" i="1"/>
  <c r="R459" i="1"/>
  <c r="Q459" i="1" s="1"/>
  <c r="P459" i="1" s="1"/>
  <c r="O459" i="1" s="1"/>
  <c r="N459" i="1" s="1"/>
  <c r="F460" i="13" s="1"/>
  <c r="Y459" i="1"/>
  <c r="M459" i="1" l="1"/>
  <c r="E459" i="31" s="1"/>
  <c r="AG459" i="1"/>
  <c r="AB459" i="1" l="1"/>
  <c r="AC459" i="1" s="1"/>
  <c r="M460" i="13" s="1"/>
  <c r="G460" i="13"/>
  <c r="G460" i="1"/>
  <c r="F460" i="1"/>
  <c r="C458" i="11"/>
  <c r="AF459" i="1" l="1"/>
  <c r="N460" i="13" s="1"/>
  <c r="B459" i="31"/>
  <c r="C459" i="31"/>
  <c r="E460" i="1"/>
  <c r="D460" i="1" s="1"/>
  <c r="C460" i="1" s="1"/>
  <c r="D461" i="13" s="1"/>
  <c r="G458" i="11"/>
  <c r="H458" i="11" s="1"/>
  <c r="J460" i="13" s="1"/>
  <c r="K460" i="13"/>
  <c r="D458" i="11"/>
  <c r="D459" i="31" l="1"/>
  <c r="O460" i="13" s="1"/>
  <c r="A459" i="11"/>
  <c r="L461" i="13" s="1"/>
  <c r="X460" i="1"/>
  <c r="I461" i="1"/>
  <c r="C461" i="13"/>
  <c r="L460" i="1"/>
  <c r="Y460" i="1" s="1"/>
  <c r="B461" i="13"/>
  <c r="H461" i="1"/>
  <c r="R460" i="1" s="1"/>
  <c r="H460" i="13"/>
  <c r="E458" i="11"/>
  <c r="I460" i="13" s="1"/>
  <c r="H459" i="31" l="1"/>
  <c r="Q460" i="13" s="1"/>
  <c r="F459" i="31"/>
  <c r="P460" i="13" s="1"/>
  <c r="AA460" i="1"/>
  <c r="Q460" i="1"/>
  <c r="P460" i="1" s="1"/>
  <c r="O460" i="1" s="1"/>
  <c r="N460" i="1" s="1"/>
  <c r="F461" i="13" s="1"/>
  <c r="E461" i="13"/>
  <c r="AD460" i="1"/>
  <c r="F460" i="11"/>
  <c r="M460" i="1" l="1"/>
  <c r="AB460" i="1" s="1"/>
  <c r="AC460" i="1" s="1"/>
  <c r="M461" i="13" s="1"/>
  <c r="AG460" i="1"/>
  <c r="G461" i="13" l="1"/>
  <c r="E460" i="31"/>
  <c r="F461" i="1"/>
  <c r="G461" i="1"/>
  <c r="C459" i="11"/>
  <c r="B460" i="31"/>
  <c r="C460" i="31"/>
  <c r="AF460" i="1"/>
  <c r="N461" i="13" s="1"/>
  <c r="E461" i="1" l="1"/>
  <c r="D461" i="1" s="1"/>
  <c r="B462" i="13" s="1"/>
  <c r="D460" i="31"/>
  <c r="K461" i="13"/>
  <c r="G459" i="11"/>
  <c r="H459" i="11" s="1"/>
  <c r="J461" i="13" s="1"/>
  <c r="D459" i="11"/>
  <c r="I462" i="1" l="1"/>
  <c r="A460" i="11"/>
  <c r="L462" i="13" s="1"/>
  <c r="L461" i="1"/>
  <c r="F461" i="11" s="1"/>
  <c r="H462" i="1"/>
  <c r="AA461" i="1" s="1"/>
  <c r="C461" i="1"/>
  <c r="D462" i="13" s="1"/>
  <c r="X461" i="1"/>
  <c r="C462" i="13"/>
  <c r="F460" i="31"/>
  <c r="P461" i="13" s="1"/>
  <c r="O461" i="13"/>
  <c r="H460" i="31"/>
  <c r="Q461" i="13" s="1"/>
  <c r="H461" i="13"/>
  <c r="E459" i="11"/>
  <c r="I461" i="13" s="1"/>
  <c r="R461" i="1" l="1"/>
  <c r="Q461" i="1" s="1"/>
  <c r="P461" i="1" s="1"/>
  <c r="O461" i="1" s="1"/>
  <c r="N461" i="1" s="1"/>
  <c r="F462" i="13" s="1"/>
  <c r="Y461" i="1"/>
  <c r="E462" i="13"/>
  <c r="AD461" i="1"/>
  <c r="M461" i="1" l="1"/>
  <c r="AB461" i="1" s="1"/>
  <c r="AC461" i="1" s="1"/>
  <c r="M462" i="13" s="1"/>
  <c r="AG461" i="1"/>
  <c r="E461" i="31" l="1"/>
  <c r="G462" i="13"/>
  <c r="G462" i="1"/>
  <c r="F462" i="1"/>
  <c r="C460" i="11"/>
  <c r="C461" i="31"/>
  <c r="B461" i="31"/>
  <c r="AF461" i="1"/>
  <c r="N462" i="13" s="1"/>
  <c r="E462" i="1" l="1"/>
  <c r="D462" i="1" s="1"/>
  <c r="C462" i="1" s="1"/>
  <c r="D463" i="13" s="1"/>
  <c r="G460" i="11"/>
  <c r="H460" i="11" s="1"/>
  <c r="J462" i="13" s="1"/>
  <c r="K462" i="13"/>
  <c r="D460" i="11"/>
  <c r="D461" i="31"/>
  <c r="O462" i="13" s="1"/>
  <c r="L462" i="1" l="1"/>
  <c r="Y462" i="1" s="1"/>
  <c r="X462" i="1"/>
  <c r="C463" i="13"/>
  <c r="I463" i="1"/>
  <c r="B463" i="13"/>
  <c r="H463" i="1"/>
  <c r="A461" i="11"/>
  <c r="L463" i="13" s="1"/>
  <c r="F461" i="31"/>
  <c r="P462" i="13" s="1"/>
  <c r="H461" i="31"/>
  <c r="Q462" i="13" s="1"/>
  <c r="E460" i="11"/>
  <c r="I462" i="13" s="1"/>
  <c r="H462" i="13"/>
  <c r="AA462" i="1" l="1"/>
  <c r="R462" i="1"/>
  <c r="Q462" i="1" s="1"/>
  <c r="P462" i="1" s="1"/>
  <c r="O462" i="1" s="1"/>
  <c r="N462" i="1" s="1"/>
  <c r="M462" i="1" s="1"/>
  <c r="F462" i="11"/>
  <c r="AD462" i="1"/>
  <c r="E463" i="13"/>
  <c r="F463" i="13" l="1"/>
  <c r="AB462" i="1"/>
  <c r="AC462" i="1" s="1"/>
  <c r="M463" i="13" s="1"/>
  <c r="E462" i="31"/>
  <c r="G463" i="13"/>
  <c r="AG462" i="1"/>
  <c r="F463" i="1" l="1"/>
  <c r="G463" i="1"/>
  <c r="C461" i="11"/>
  <c r="B462" i="31"/>
  <c r="C462" i="31"/>
  <c r="AF462" i="1"/>
  <c r="N463" i="13" s="1"/>
  <c r="E463" i="1" l="1"/>
  <c r="D463" i="1" s="1"/>
  <c r="C463" i="1" s="1"/>
  <c r="D464" i="13" s="1"/>
  <c r="D462" i="31"/>
  <c r="G461" i="11"/>
  <c r="H461" i="11" s="1"/>
  <c r="J463" i="13" s="1"/>
  <c r="K463" i="13"/>
  <c r="D461" i="11"/>
  <c r="L463" i="1" l="1"/>
  <c r="F463" i="11" s="1"/>
  <c r="B464" i="13"/>
  <c r="C464" i="13"/>
  <c r="X463" i="1"/>
  <c r="A462" i="11"/>
  <c r="L464" i="13" s="1"/>
  <c r="H464" i="1"/>
  <c r="I464" i="1"/>
  <c r="F462" i="31"/>
  <c r="P463" i="13" s="1"/>
  <c r="O463" i="13"/>
  <c r="H462" i="31"/>
  <c r="Q463" i="13" s="1"/>
  <c r="H463" i="13"/>
  <c r="E461" i="11"/>
  <c r="I463" i="13" s="1"/>
  <c r="AA463" i="1" l="1"/>
  <c r="AD463" i="1"/>
  <c r="R463" i="1"/>
  <c r="Q463" i="1" s="1"/>
  <c r="P463" i="1" s="1"/>
  <c r="O463" i="1" s="1"/>
  <c r="N463" i="1" s="1"/>
  <c r="M463" i="1" s="1"/>
  <c r="AB463" i="1" s="1"/>
  <c r="AC463" i="1" s="1"/>
  <c r="M464" i="13" s="1"/>
  <c r="Y463" i="1"/>
  <c r="E464" i="13"/>
  <c r="F464" i="13" l="1"/>
  <c r="B463" i="31"/>
  <c r="C463" i="31"/>
  <c r="AF463" i="1"/>
  <c r="N464" i="13" s="1"/>
  <c r="E463" i="31"/>
  <c r="G464" i="13"/>
  <c r="F464" i="1"/>
  <c r="G464" i="1"/>
  <c r="AG463" i="1"/>
  <c r="D463" i="31" l="1"/>
  <c r="C462" i="11"/>
  <c r="E464" i="1"/>
  <c r="D464" i="1" s="1"/>
  <c r="H463" i="31" l="1"/>
  <c r="Q464" i="13" s="1"/>
  <c r="O464" i="13"/>
  <c r="F463" i="31"/>
  <c r="P464" i="13" s="1"/>
  <c r="C464" i="1"/>
  <c r="D465" i="13" s="1"/>
  <c r="X464" i="1"/>
  <c r="B465" i="13"/>
  <c r="C465" i="13"/>
  <c r="A463" i="11"/>
  <c r="L464" i="1"/>
  <c r="I465" i="1"/>
  <c r="H465" i="1"/>
  <c r="K464" i="13"/>
  <c r="G462" i="11"/>
  <c r="H462" i="11" s="1"/>
  <c r="J464" i="13" s="1"/>
  <c r="D462" i="11"/>
  <c r="AA464" i="1" l="1"/>
  <c r="L465" i="13"/>
  <c r="H464" i="13"/>
  <c r="E462" i="11"/>
  <c r="I464" i="13" s="1"/>
  <c r="R464" i="1"/>
  <c r="Q464" i="1" s="1"/>
  <c r="P464" i="1" s="1"/>
  <c r="O464" i="1" s="1"/>
  <c r="N464" i="1" s="1"/>
  <c r="E465" i="13"/>
  <c r="Y464" i="1"/>
  <c r="AD464" i="1"/>
  <c r="F464" i="11"/>
  <c r="M464" i="1" l="1"/>
  <c r="AB464" i="1" s="1"/>
  <c r="AC464" i="1" s="1"/>
  <c r="M465" i="13" s="1"/>
  <c r="F465" i="13"/>
  <c r="B464" i="31" l="1"/>
  <c r="C464" i="31"/>
  <c r="AF464" i="1"/>
  <c r="N465" i="13" s="1"/>
  <c r="G465" i="13"/>
  <c r="E464" i="31"/>
  <c r="AG464" i="1"/>
  <c r="G465" i="1"/>
  <c r="F465" i="1"/>
  <c r="D464" i="31" l="1"/>
  <c r="E465" i="1"/>
  <c r="D465" i="1" s="1"/>
  <c r="C463" i="11"/>
  <c r="H464" i="31" l="1"/>
  <c r="Q465" i="13" s="1"/>
  <c r="O465" i="13"/>
  <c r="F464" i="31"/>
  <c r="P465" i="13" s="1"/>
  <c r="X465" i="1"/>
  <c r="C466" i="13"/>
  <c r="B466" i="13"/>
  <c r="A464" i="11"/>
  <c r="C465" i="1"/>
  <c r="D466" i="13" s="1"/>
  <c r="H466" i="1"/>
  <c r="L465" i="1"/>
  <c r="I466" i="1"/>
  <c r="K465" i="13"/>
  <c r="G463" i="11"/>
  <c r="H463" i="11" s="1"/>
  <c r="J465" i="13" s="1"/>
  <c r="D463" i="11"/>
  <c r="AA465" i="1" l="1"/>
  <c r="E463" i="11"/>
  <c r="I465" i="13" s="1"/>
  <c r="H465" i="13"/>
  <c r="E466" i="13"/>
  <c r="Y465" i="1"/>
  <c r="AD465" i="1"/>
  <c r="F465" i="11"/>
  <c r="L466" i="13"/>
  <c r="R465" i="1"/>
  <c r="Q465" i="1" s="1"/>
  <c r="P465" i="1" s="1"/>
  <c r="O465" i="1" s="1"/>
  <c r="N465" i="1" s="1"/>
  <c r="F466" i="13" l="1"/>
  <c r="M465" i="1"/>
  <c r="AB465" i="1" l="1"/>
  <c r="AC465" i="1" s="1"/>
  <c r="M466" i="13" s="1"/>
  <c r="E465" i="31"/>
  <c r="G466" i="13"/>
  <c r="AG465" i="1"/>
  <c r="G466" i="1" l="1"/>
  <c r="F466" i="1"/>
  <c r="C464" i="11"/>
  <c r="C465" i="31"/>
  <c r="B465" i="31"/>
  <c r="AF465" i="1"/>
  <c r="N466" i="13" s="1"/>
  <c r="E466" i="1" l="1"/>
  <c r="D466" i="1" s="1"/>
  <c r="A465" i="11" s="1"/>
  <c r="K466" i="13"/>
  <c r="G464" i="11"/>
  <c r="H464" i="11" s="1"/>
  <c r="J466" i="13" s="1"/>
  <c r="D464" i="11"/>
  <c r="D465" i="31"/>
  <c r="O466" i="13" s="1"/>
  <c r="B467" i="13" l="1"/>
  <c r="L466" i="1"/>
  <c r="Y466" i="1" s="1"/>
  <c r="C466" i="1"/>
  <c r="D467" i="13" s="1"/>
  <c r="H467" i="1"/>
  <c r="X466" i="1"/>
  <c r="I467" i="1"/>
  <c r="C467" i="13"/>
  <c r="L467" i="13"/>
  <c r="E464" i="11"/>
  <c r="I466" i="13" s="1"/>
  <c r="H466" i="13"/>
  <c r="F465" i="31"/>
  <c r="P466" i="13" s="1"/>
  <c r="H465" i="31"/>
  <c r="Q466" i="13" s="1"/>
  <c r="AA466" i="1" l="1"/>
  <c r="R466" i="1"/>
  <c r="Q466" i="1" s="1"/>
  <c r="P466" i="1" s="1"/>
  <c r="O466" i="1" s="1"/>
  <c r="N466" i="1" s="1"/>
  <c r="F467" i="13" s="1"/>
  <c r="E467" i="13"/>
  <c r="AD466" i="1"/>
  <c r="F466" i="11"/>
  <c r="M466" i="1" l="1"/>
  <c r="AB466" i="1" s="1"/>
  <c r="AC466" i="1" s="1"/>
  <c r="M467" i="13" s="1"/>
  <c r="AG466" i="1"/>
  <c r="E466" i="31" l="1"/>
  <c r="G467" i="13"/>
  <c r="F467" i="1"/>
  <c r="G467" i="1"/>
  <c r="C465" i="11"/>
  <c r="B466" i="31"/>
  <c r="C466" i="31"/>
  <c r="AF466" i="1"/>
  <c r="N467" i="13" s="1"/>
  <c r="E467" i="1" l="1"/>
  <c r="D467" i="1" s="1"/>
  <c r="C468" i="13" s="1"/>
  <c r="D466" i="31"/>
  <c r="K467" i="13"/>
  <c r="G465" i="11"/>
  <c r="H465" i="11" s="1"/>
  <c r="J467" i="13" s="1"/>
  <c r="D465" i="11"/>
  <c r="L467" i="1" l="1"/>
  <c r="E468" i="13" s="1"/>
  <c r="B468" i="13"/>
  <c r="H468" i="1"/>
  <c r="R467" i="1" s="1"/>
  <c r="A466" i="11"/>
  <c r="L468" i="13" s="1"/>
  <c r="I468" i="1"/>
  <c r="X467" i="1"/>
  <c r="C467" i="1"/>
  <c r="D468" i="13" s="1"/>
  <c r="H466" i="31"/>
  <c r="Q467" i="13" s="1"/>
  <c r="O467" i="13"/>
  <c r="F466" i="31"/>
  <c r="P467" i="13" s="1"/>
  <c r="H467" i="13"/>
  <c r="E465" i="11"/>
  <c r="I467" i="13" s="1"/>
  <c r="Q467" i="1" l="1"/>
  <c r="P467" i="1" s="1"/>
  <c r="O467" i="1" s="1"/>
  <c r="N467" i="1" s="1"/>
  <c r="F468" i="13" s="1"/>
  <c r="AA467" i="1"/>
  <c r="AD467" i="1"/>
  <c r="Y467" i="1"/>
  <c r="F467" i="11"/>
  <c r="M467" i="1" l="1"/>
  <c r="E467" i="31" s="1"/>
  <c r="AB467" i="1" l="1"/>
  <c r="AC467" i="1" s="1"/>
  <c r="M468" i="13" s="1"/>
  <c r="G468" i="13"/>
  <c r="F468" i="1"/>
  <c r="G468" i="1"/>
  <c r="AG467" i="1"/>
  <c r="B467" i="31" l="1"/>
  <c r="AF467" i="1"/>
  <c r="N468" i="13" s="1"/>
  <c r="C467" i="31"/>
  <c r="C466" i="11"/>
  <c r="E468" i="1"/>
  <c r="D468" i="1" s="1"/>
  <c r="D467" i="31" l="1"/>
  <c r="F467" i="31" s="1"/>
  <c r="P468" i="13" s="1"/>
  <c r="O468" i="13"/>
  <c r="B469" i="13"/>
  <c r="C469" i="13"/>
  <c r="X468" i="1"/>
  <c r="C468" i="1"/>
  <c r="D469" i="13" s="1"/>
  <c r="A467" i="11"/>
  <c r="H469" i="1"/>
  <c r="L468" i="1"/>
  <c r="I469" i="1"/>
  <c r="K468" i="13"/>
  <c r="G466" i="11"/>
  <c r="H466" i="11" s="1"/>
  <c r="J468" i="13" s="1"/>
  <c r="D466" i="11"/>
  <c r="H467" i="31" l="1"/>
  <c r="Q468" i="13" s="1"/>
  <c r="AA468" i="1"/>
  <c r="Y468" i="1"/>
  <c r="E469" i="13"/>
  <c r="F468" i="11"/>
  <c r="AD468" i="1"/>
  <c r="L469" i="13"/>
  <c r="H468" i="13"/>
  <c r="E466" i="11"/>
  <c r="I468" i="13" s="1"/>
  <c r="R468" i="1"/>
  <c r="Q468" i="1" s="1"/>
  <c r="P468" i="1" s="1"/>
  <c r="O468" i="1" s="1"/>
  <c r="N468" i="1" s="1"/>
  <c r="M468" i="1" l="1"/>
  <c r="F469" i="13"/>
  <c r="AB468" i="1" l="1"/>
  <c r="AC468" i="1" s="1"/>
  <c r="M469" i="13" s="1"/>
  <c r="E468" i="31"/>
  <c r="G469" i="13"/>
  <c r="AG468" i="1"/>
  <c r="F469" i="1" l="1"/>
  <c r="G469" i="1"/>
  <c r="C467" i="11"/>
  <c r="C468" i="31"/>
  <c r="B468" i="31"/>
  <c r="AF468" i="1"/>
  <c r="N469" i="13" s="1"/>
  <c r="E469" i="1" l="1"/>
  <c r="D469" i="1" s="1"/>
  <c r="B470" i="13" s="1"/>
  <c r="G467" i="11"/>
  <c r="H467" i="11" s="1"/>
  <c r="J469" i="13" s="1"/>
  <c r="K469" i="13"/>
  <c r="D467" i="11"/>
  <c r="D468" i="31"/>
  <c r="O469" i="13" s="1"/>
  <c r="X469" i="1" l="1"/>
  <c r="I470" i="1"/>
  <c r="C470" i="13"/>
  <c r="L469" i="1"/>
  <c r="AD469" i="1" s="1"/>
  <c r="C469" i="1"/>
  <c r="D470" i="13" s="1"/>
  <c r="H470" i="1"/>
  <c r="A468" i="11"/>
  <c r="L470" i="13" s="1"/>
  <c r="F468" i="31"/>
  <c r="P469" i="13" s="1"/>
  <c r="H468" i="31"/>
  <c r="Q469" i="13" s="1"/>
  <c r="E467" i="11"/>
  <c r="I469" i="13" s="1"/>
  <c r="H469" i="13"/>
  <c r="AA469" i="1" l="1"/>
  <c r="R469" i="1"/>
  <c r="Q469" i="1" s="1"/>
  <c r="P469" i="1" s="1"/>
  <c r="O469" i="1" s="1"/>
  <c r="N469" i="1" s="1"/>
  <c r="F470" i="13" s="1"/>
  <c r="Y469" i="1"/>
  <c r="F469" i="11"/>
  <c r="E470" i="13"/>
  <c r="M469" i="1" l="1"/>
  <c r="AB469" i="1" s="1"/>
  <c r="AC469" i="1" s="1"/>
  <c r="M470" i="13" s="1"/>
  <c r="G470" i="13" l="1"/>
  <c r="E469" i="31"/>
  <c r="G470" i="1"/>
  <c r="F470" i="1"/>
  <c r="AG469" i="1"/>
  <c r="C469" i="31"/>
  <c r="B469" i="31"/>
  <c r="AF469" i="1"/>
  <c r="N470" i="13" s="1"/>
  <c r="D469" i="31" l="1"/>
  <c r="C468" i="11"/>
  <c r="E470" i="1"/>
  <c r="D470" i="1" s="1"/>
  <c r="F469" i="31" l="1"/>
  <c r="P470" i="13" s="1"/>
  <c r="O470" i="13"/>
  <c r="H469" i="31"/>
  <c r="Q470" i="13" s="1"/>
  <c r="X470" i="1"/>
  <c r="C470" i="1"/>
  <c r="D471" i="13" s="1"/>
  <c r="C471" i="13"/>
  <c r="B471" i="13"/>
  <c r="A469" i="11"/>
  <c r="I471" i="1"/>
  <c r="L470" i="1"/>
  <c r="H471" i="1"/>
  <c r="G468" i="11"/>
  <c r="H468" i="11" s="1"/>
  <c r="J470" i="13" s="1"/>
  <c r="K470" i="13"/>
  <c r="D468" i="11"/>
  <c r="R470" i="1" l="1"/>
  <c r="Q470" i="1" s="1"/>
  <c r="P470" i="1" s="1"/>
  <c r="O470" i="1" s="1"/>
  <c r="N470" i="1" s="1"/>
  <c r="Y470" i="1"/>
  <c r="E471" i="13"/>
  <c r="F470" i="11"/>
  <c r="AD470" i="1"/>
  <c r="L471" i="13"/>
  <c r="AA470" i="1"/>
  <c r="H470" i="13"/>
  <c r="E468" i="11"/>
  <c r="I470" i="13" s="1"/>
  <c r="F471" i="13" l="1"/>
  <c r="M470" i="1"/>
  <c r="AB470" i="1" l="1"/>
  <c r="AC470" i="1" s="1"/>
  <c r="M471" i="13" s="1"/>
  <c r="E470" i="31"/>
  <c r="G471" i="13"/>
  <c r="F471" i="1" l="1"/>
  <c r="G471" i="1"/>
  <c r="AG470" i="1"/>
  <c r="B470" i="31"/>
  <c r="C470" i="31"/>
  <c r="AF470" i="1"/>
  <c r="N471" i="13" s="1"/>
  <c r="D470" i="31" l="1"/>
  <c r="C469" i="11"/>
  <c r="E471" i="1"/>
  <c r="D471" i="1" s="1"/>
  <c r="H470" i="31" l="1"/>
  <c r="Q471" i="13" s="1"/>
  <c r="O471" i="13"/>
  <c r="F470" i="31"/>
  <c r="P471" i="13" s="1"/>
  <c r="K471" i="13"/>
  <c r="G469" i="11"/>
  <c r="H469" i="11" s="1"/>
  <c r="J471" i="13" s="1"/>
  <c r="D469" i="11"/>
  <c r="B472" i="13"/>
  <c r="C472" i="13"/>
  <c r="A470" i="11"/>
  <c r="X471" i="1"/>
  <c r="C471" i="1"/>
  <c r="D472" i="13" s="1"/>
  <c r="L471" i="1"/>
  <c r="I472" i="1"/>
  <c r="H472" i="1"/>
  <c r="R471" i="1" l="1"/>
  <c r="Q471" i="1" s="1"/>
  <c r="P471" i="1" s="1"/>
  <c r="O471" i="1" s="1"/>
  <c r="N471" i="1" s="1"/>
  <c r="E469" i="11"/>
  <c r="I471" i="13" s="1"/>
  <c r="H471" i="13"/>
  <c r="Y471" i="1"/>
  <c r="E472" i="13"/>
  <c r="AD471" i="1"/>
  <c r="F471" i="11"/>
  <c r="L472" i="13"/>
  <c r="AA471" i="1"/>
  <c r="F472" i="13" l="1"/>
  <c r="M471" i="1"/>
  <c r="AB471" i="1" l="1"/>
  <c r="AC471" i="1" s="1"/>
  <c r="M472" i="13" s="1"/>
  <c r="E471" i="31"/>
  <c r="G472" i="13"/>
  <c r="AG471" i="1"/>
  <c r="G472" i="1" l="1"/>
  <c r="F472" i="1"/>
  <c r="C470" i="11"/>
  <c r="B471" i="31"/>
  <c r="C471" i="31"/>
  <c r="AF471" i="1"/>
  <c r="N472" i="13" s="1"/>
  <c r="E472" i="1" l="1"/>
  <c r="D472" i="1" s="1"/>
  <c r="A471" i="11" s="1"/>
  <c r="D471" i="31"/>
  <c r="G470" i="11"/>
  <c r="H470" i="11" s="1"/>
  <c r="J472" i="13" s="1"/>
  <c r="K472" i="13"/>
  <c r="D470" i="11"/>
  <c r="I473" i="1" l="1"/>
  <c r="X472" i="1"/>
  <c r="H473" i="1"/>
  <c r="B473" i="13"/>
  <c r="L472" i="1"/>
  <c r="E473" i="13" s="1"/>
  <c r="C473" i="13"/>
  <c r="C472" i="1"/>
  <c r="D473" i="13" s="1"/>
  <c r="H471" i="31"/>
  <c r="Q472" i="13" s="1"/>
  <c r="O472" i="13"/>
  <c r="F471" i="31"/>
  <c r="P472" i="13" s="1"/>
  <c r="E470" i="11"/>
  <c r="I472" i="13" s="1"/>
  <c r="H472" i="13"/>
  <c r="L473" i="13"/>
  <c r="R472" i="1" l="1"/>
  <c r="Q472" i="1" s="1"/>
  <c r="P472" i="1" s="1"/>
  <c r="O472" i="1" s="1"/>
  <c r="N472" i="1" s="1"/>
  <c r="M472" i="1" s="1"/>
  <c r="AA472" i="1"/>
  <c r="F472" i="11"/>
  <c r="AD472" i="1"/>
  <c r="Y472" i="1"/>
  <c r="F473" i="13" l="1"/>
  <c r="AB472" i="1"/>
  <c r="AC472" i="1" s="1"/>
  <c r="M473" i="13" s="1"/>
  <c r="E472" i="31"/>
  <c r="G473" i="13"/>
  <c r="AG472" i="1"/>
  <c r="G473" i="1" l="1"/>
  <c r="F473" i="1"/>
  <c r="C471" i="11"/>
  <c r="C472" i="31"/>
  <c r="B472" i="31"/>
  <c r="AF472" i="1"/>
  <c r="N473" i="13" s="1"/>
  <c r="E473" i="1" l="1"/>
  <c r="D473" i="1" s="1"/>
  <c r="B474" i="13" s="1"/>
  <c r="D472" i="31"/>
  <c r="G471" i="11"/>
  <c r="H471" i="11" s="1"/>
  <c r="J473" i="13" s="1"/>
  <c r="K473" i="13"/>
  <c r="D471" i="11"/>
  <c r="H474" i="1" l="1"/>
  <c r="A472" i="11"/>
  <c r="L474" i="13" s="1"/>
  <c r="I474" i="1"/>
  <c r="C473" i="1"/>
  <c r="D474" i="13" s="1"/>
  <c r="X473" i="1"/>
  <c r="L473" i="1"/>
  <c r="E474" i="13" s="1"/>
  <c r="C474" i="13"/>
  <c r="F472" i="31"/>
  <c r="P473" i="13" s="1"/>
  <c r="O473" i="13"/>
  <c r="H472" i="31"/>
  <c r="Q473" i="13" s="1"/>
  <c r="H473" i="13"/>
  <c r="E471" i="11"/>
  <c r="I473" i="13" s="1"/>
  <c r="AA473" i="1" l="1"/>
  <c r="R473" i="1"/>
  <c r="Q473" i="1" s="1"/>
  <c r="P473" i="1" s="1"/>
  <c r="O473" i="1" s="1"/>
  <c r="N473" i="1" s="1"/>
  <c r="M473" i="1" s="1"/>
  <c r="F473" i="11"/>
  <c r="AD473" i="1"/>
  <c r="Y473" i="1"/>
  <c r="F474" i="13" l="1"/>
  <c r="AB473" i="1"/>
  <c r="AC473" i="1" s="1"/>
  <c r="M474" i="13" s="1"/>
  <c r="G474" i="13"/>
  <c r="E473" i="31"/>
  <c r="AG473" i="1"/>
  <c r="F474" i="1" l="1"/>
  <c r="G474" i="1"/>
  <c r="B473" i="31"/>
  <c r="C473" i="31"/>
  <c r="AF473" i="1"/>
  <c r="N474" i="13" s="1"/>
  <c r="C472" i="11"/>
  <c r="E474" i="1" l="1"/>
  <c r="D474" i="1" s="1"/>
  <c r="X474" i="1" s="1"/>
  <c r="K474" i="13"/>
  <c r="G472" i="11"/>
  <c r="H472" i="11" s="1"/>
  <c r="J474" i="13" s="1"/>
  <c r="D472" i="11"/>
  <c r="D473" i="31"/>
  <c r="O474" i="13" s="1"/>
  <c r="I475" i="1" l="1"/>
  <c r="B475" i="13"/>
  <c r="H475" i="1"/>
  <c r="C475" i="13"/>
  <c r="A473" i="11"/>
  <c r="L475" i="13" s="1"/>
  <c r="L474" i="1"/>
  <c r="Y474" i="1" s="1"/>
  <c r="C474" i="1"/>
  <c r="D475" i="13" s="1"/>
  <c r="H474" i="13"/>
  <c r="E472" i="11"/>
  <c r="I474" i="13" s="1"/>
  <c r="F473" i="31"/>
  <c r="P474" i="13" s="1"/>
  <c r="H473" i="31"/>
  <c r="Q474" i="13" s="1"/>
  <c r="AA474" i="1" l="1"/>
  <c r="E475" i="13"/>
  <c r="F474" i="11"/>
  <c r="AD474" i="1"/>
  <c r="R474" i="1"/>
  <c r="Q474" i="1" s="1"/>
  <c r="P474" i="1" s="1"/>
  <c r="O474" i="1" s="1"/>
  <c r="N474" i="1" s="1"/>
  <c r="M474" i="1" s="1"/>
  <c r="F475" i="13" l="1"/>
  <c r="AB474" i="1"/>
  <c r="AC474" i="1" s="1"/>
  <c r="M475" i="13" s="1"/>
  <c r="G475" i="13"/>
  <c r="E474" i="31"/>
  <c r="AG474" i="1"/>
  <c r="G475" i="1" l="1"/>
  <c r="F475" i="1"/>
  <c r="C473" i="11"/>
  <c r="B474" i="31"/>
  <c r="C474" i="31"/>
  <c r="AF474" i="1"/>
  <c r="N475" i="13" s="1"/>
  <c r="E475" i="1" l="1"/>
  <c r="D475" i="1" s="1"/>
  <c r="B476" i="13" s="1"/>
  <c r="K475" i="13"/>
  <c r="G473" i="11"/>
  <c r="H473" i="11" s="1"/>
  <c r="J475" i="13" s="1"/>
  <c r="D473" i="11"/>
  <c r="D474" i="31"/>
  <c r="O475" i="13" s="1"/>
  <c r="L475" i="1" l="1"/>
  <c r="E476" i="13" s="1"/>
  <c r="C476" i="13"/>
  <c r="H476" i="1"/>
  <c r="X475" i="1"/>
  <c r="I476" i="1"/>
  <c r="C475" i="1"/>
  <c r="D476" i="13" s="1"/>
  <c r="A474" i="11"/>
  <c r="L476" i="13" s="1"/>
  <c r="E473" i="11"/>
  <c r="I475" i="13" s="1"/>
  <c r="H475" i="13"/>
  <c r="F474" i="31"/>
  <c r="P475" i="13" s="1"/>
  <c r="H474" i="31"/>
  <c r="Q475" i="13" s="1"/>
  <c r="AA475" i="1" l="1"/>
  <c r="R475" i="1"/>
  <c r="Q475" i="1" s="1"/>
  <c r="P475" i="1" s="1"/>
  <c r="O475" i="1" s="1"/>
  <c r="N475" i="1" s="1"/>
  <c r="M475" i="1" s="1"/>
  <c r="F475" i="11"/>
  <c r="AD475" i="1"/>
  <c r="Y475" i="1"/>
  <c r="F476" i="13" l="1"/>
  <c r="AB475" i="1"/>
  <c r="AC475" i="1" s="1"/>
  <c r="M476" i="13" s="1"/>
  <c r="E475" i="31"/>
  <c r="G476" i="13"/>
  <c r="AG475" i="1"/>
  <c r="C474" i="11" s="1"/>
  <c r="F476" i="1" l="1"/>
  <c r="G476" i="1"/>
  <c r="G474" i="11"/>
  <c r="H474" i="11" s="1"/>
  <c r="J476" i="13" s="1"/>
  <c r="K476" i="13"/>
  <c r="D474" i="11"/>
  <c r="C475" i="31"/>
  <c r="B475" i="31"/>
  <c r="AF475" i="1"/>
  <c r="N476" i="13" s="1"/>
  <c r="E476" i="1" l="1"/>
  <c r="D476" i="1" s="1"/>
  <c r="A475" i="11" s="1"/>
  <c r="D475" i="31"/>
  <c r="O476" i="13" s="1"/>
  <c r="E474" i="11"/>
  <c r="I476" i="13" s="1"/>
  <c r="H476" i="13"/>
  <c r="L476" i="1" l="1"/>
  <c r="E477" i="13" s="1"/>
  <c r="C477" i="13"/>
  <c r="B477" i="13"/>
  <c r="C476" i="1"/>
  <c r="D477" i="13" s="1"/>
  <c r="H477" i="1"/>
  <c r="X476" i="1"/>
  <c r="I477" i="1"/>
  <c r="L477" i="13"/>
  <c r="F475" i="31"/>
  <c r="P476" i="13" s="1"/>
  <c r="H475" i="31"/>
  <c r="Q476" i="13" s="1"/>
  <c r="AA476" i="1" l="1"/>
  <c r="R476" i="1"/>
  <c r="Q476" i="1" s="1"/>
  <c r="P476" i="1" s="1"/>
  <c r="O476" i="1" s="1"/>
  <c r="N476" i="1" s="1"/>
  <c r="F477" i="13" s="1"/>
  <c r="Y476" i="1"/>
  <c r="F476" i="11"/>
  <c r="AD476" i="1"/>
  <c r="M476" i="1" l="1"/>
  <c r="AB476" i="1" s="1"/>
  <c r="AC476" i="1" s="1"/>
  <c r="M477" i="13" s="1"/>
  <c r="G477" i="13" l="1"/>
  <c r="E476" i="31"/>
  <c r="F477" i="1"/>
  <c r="G477" i="1"/>
  <c r="C476" i="31"/>
  <c r="B476" i="31"/>
  <c r="AF476" i="1"/>
  <c r="N477" i="13" s="1"/>
  <c r="AG476" i="1"/>
  <c r="D476" i="31" l="1"/>
  <c r="O477" i="13" s="1"/>
  <c r="C475" i="11"/>
  <c r="E477" i="1"/>
  <c r="D477" i="1" s="1"/>
  <c r="X477" i="1" l="1"/>
  <c r="B478" i="13"/>
  <c r="C477" i="1"/>
  <c r="D478" i="13" s="1"/>
  <c r="A476" i="11"/>
  <c r="C478" i="13"/>
  <c r="L477" i="1"/>
  <c r="I478" i="1"/>
  <c r="H478" i="1"/>
  <c r="G475" i="11"/>
  <c r="H475" i="11" s="1"/>
  <c r="J477" i="13" s="1"/>
  <c r="K477" i="13"/>
  <c r="D475" i="11"/>
  <c r="H476" i="31"/>
  <c r="Q477" i="13" s="1"/>
  <c r="F476" i="31"/>
  <c r="P477" i="13" s="1"/>
  <c r="AA477" i="1" l="1"/>
  <c r="E478" i="13"/>
  <c r="Y477" i="1"/>
  <c r="F477" i="11"/>
  <c r="AD477" i="1"/>
  <c r="R477" i="1"/>
  <c r="Q477" i="1" s="1"/>
  <c r="P477" i="1" s="1"/>
  <c r="O477" i="1" s="1"/>
  <c r="N477" i="1" s="1"/>
  <c r="E475" i="11"/>
  <c r="I477" i="13" s="1"/>
  <c r="H477" i="13"/>
  <c r="L478" i="13"/>
  <c r="M477" i="1" l="1"/>
  <c r="F478" i="13"/>
  <c r="AB477" i="1" l="1"/>
  <c r="AC477" i="1" s="1"/>
  <c r="M478" i="13" s="1"/>
  <c r="E477" i="31"/>
  <c r="G478" i="13"/>
  <c r="F478" i="1" l="1"/>
  <c r="G478" i="1"/>
  <c r="C477" i="31"/>
  <c r="B477" i="31"/>
  <c r="AF477" i="1"/>
  <c r="N478" i="13" s="1"/>
  <c r="AG477" i="1"/>
  <c r="D477" i="31" l="1"/>
  <c r="O478" i="13" s="1"/>
  <c r="E478" i="1"/>
  <c r="D478" i="1" s="1"/>
  <c r="C476" i="11"/>
  <c r="G476" i="11" l="1"/>
  <c r="H476" i="11" s="1"/>
  <c r="J478" i="13" s="1"/>
  <c r="K478" i="13"/>
  <c r="D476" i="11"/>
  <c r="A477" i="11"/>
  <c r="B479" i="13"/>
  <c r="C478" i="1"/>
  <c r="D479" i="13" s="1"/>
  <c r="X478" i="1"/>
  <c r="C479" i="13"/>
  <c r="L478" i="1"/>
  <c r="H479" i="1"/>
  <c r="I479" i="1"/>
  <c r="F477" i="31"/>
  <c r="P478" i="13" s="1"/>
  <c r="H477" i="31"/>
  <c r="Q478" i="13" s="1"/>
  <c r="R478" i="1" l="1"/>
  <c r="Q478" i="1" s="1"/>
  <c r="P478" i="1" s="1"/>
  <c r="O478" i="1" s="1"/>
  <c r="N478" i="1" s="1"/>
  <c r="E476" i="11"/>
  <c r="I478" i="13" s="1"/>
  <c r="H478" i="13"/>
  <c r="Y478" i="1"/>
  <c r="E479" i="13"/>
  <c r="AD478" i="1"/>
  <c r="F478" i="11"/>
  <c r="AA478" i="1"/>
  <c r="L479" i="13"/>
  <c r="M478" i="1" l="1"/>
  <c r="F479" i="13"/>
  <c r="AB478" i="1" l="1"/>
  <c r="AC478" i="1" s="1"/>
  <c r="M479" i="13" s="1"/>
  <c r="E478" i="31"/>
  <c r="G479" i="13"/>
  <c r="AG478" i="1"/>
  <c r="F479" i="1" l="1"/>
  <c r="G479" i="1"/>
  <c r="C477" i="11"/>
  <c r="C478" i="31"/>
  <c r="B478" i="31"/>
  <c r="AF478" i="1"/>
  <c r="N479" i="13" s="1"/>
  <c r="E479" i="1" l="1"/>
  <c r="D479" i="1" s="1"/>
  <c r="C480" i="13" s="1"/>
  <c r="D478" i="31"/>
  <c r="G477" i="11"/>
  <c r="H477" i="11" s="1"/>
  <c r="J479" i="13" s="1"/>
  <c r="K479" i="13"/>
  <c r="D477" i="11"/>
  <c r="X479" i="1" l="1"/>
  <c r="I480" i="1"/>
  <c r="A478" i="11"/>
  <c r="L480" i="13" s="1"/>
  <c r="L479" i="1"/>
  <c r="Y479" i="1" s="1"/>
  <c r="H480" i="1"/>
  <c r="C479" i="1"/>
  <c r="D480" i="13" s="1"/>
  <c r="B480" i="13"/>
  <c r="F478" i="31"/>
  <c r="P479" i="13" s="1"/>
  <c r="O479" i="13"/>
  <c r="H478" i="31"/>
  <c r="Q479" i="13" s="1"/>
  <c r="H479" i="13"/>
  <c r="E477" i="11"/>
  <c r="I479" i="13" s="1"/>
  <c r="AA479" i="1" l="1"/>
  <c r="E480" i="13"/>
  <c r="R479" i="1"/>
  <c r="Q479" i="1" s="1"/>
  <c r="P479" i="1" s="1"/>
  <c r="O479" i="1" s="1"/>
  <c r="N479" i="1" s="1"/>
  <c r="F480" i="13" s="1"/>
  <c r="AD479" i="1"/>
  <c r="F479" i="11"/>
  <c r="M479" i="1" l="1"/>
  <c r="AB479" i="1" s="1"/>
  <c r="AC479" i="1" s="1"/>
  <c r="M480" i="13" s="1"/>
  <c r="AG479" i="1"/>
  <c r="G480" i="13" l="1"/>
  <c r="E479" i="31"/>
  <c r="F480" i="1"/>
  <c r="G480" i="1"/>
  <c r="C478" i="11"/>
  <c r="C479" i="31"/>
  <c r="B479" i="31"/>
  <c r="AF479" i="1"/>
  <c r="N480" i="13" s="1"/>
  <c r="E480" i="1" l="1"/>
  <c r="D480" i="1" s="1"/>
  <c r="A479" i="11" s="1"/>
  <c r="D479" i="31"/>
  <c r="K480" i="13"/>
  <c r="G478" i="11"/>
  <c r="H478" i="11" s="1"/>
  <c r="J480" i="13" s="1"/>
  <c r="D478" i="11"/>
  <c r="I481" i="1" l="1"/>
  <c r="X480" i="1"/>
  <c r="L480" i="1"/>
  <c r="F480" i="11" s="1"/>
  <c r="C480" i="1"/>
  <c r="D481" i="13" s="1"/>
  <c r="B481" i="13"/>
  <c r="C481" i="13"/>
  <c r="H481" i="1"/>
  <c r="AA480" i="1" s="1"/>
  <c r="H479" i="31"/>
  <c r="Q480" i="13" s="1"/>
  <c r="O480" i="13"/>
  <c r="F479" i="31"/>
  <c r="P480" i="13" s="1"/>
  <c r="L481" i="13"/>
  <c r="E478" i="11"/>
  <c r="I480" i="13" s="1"/>
  <c r="H480" i="13"/>
  <c r="R480" i="1" l="1"/>
  <c r="Q480" i="1" s="1"/>
  <c r="P480" i="1" s="1"/>
  <c r="O480" i="1" s="1"/>
  <c r="N480" i="1" s="1"/>
  <c r="F481" i="13" s="1"/>
  <c r="E481" i="13"/>
  <c r="AD480" i="1"/>
  <c r="Y480" i="1"/>
  <c r="M480" i="1" l="1"/>
  <c r="G481" i="13" s="1"/>
  <c r="AG480" i="1"/>
  <c r="E480" i="31" l="1"/>
  <c r="AB480" i="1"/>
  <c r="AC480" i="1" s="1"/>
  <c r="M481" i="13" s="1"/>
  <c r="G481" i="1"/>
  <c r="F481" i="1"/>
  <c r="C479" i="11"/>
  <c r="B480" i="31" l="1"/>
  <c r="AF480" i="1"/>
  <c r="N481" i="13" s="1"/>
  <c r="C480" i="31"/>
  <c r="E481" i="1"/>
  <c r="D481" i="1" s="1"/>
  <c r="A480" i="11" s="1"/>
  <c r="G479" i="11"/>
  <c r="H479" i="11" s="1"/>
  <c r="J481" i="13" s="1"/>
  <c r="K481" i="13"/>
  <c r="D479" i="11"/>
  <c r="D480" i="31" l="1"/>
  <c r="H480" i="31" s="1"/>
  <c r="Q481" i="13" s="1"/>
  <c r="L481" i="1"/>
  <c r="E482" i="13" s="1"/>
  <c r="C482" i="13"/>
  <c r="C481" i="1"/>
  <c r="D482" i="13" s="1"/>
  <c r="B482" i="13"/>
  <c r="X481" i="1"/>
  <c r="H482" i="1"/>
  <c r="I482" i="1"/>
  <c r="O481" i="13"/>
  <c r="H481" i="13"/>
  <c r="E479" i="11"/>
  <c r="I481" i="13" s="1"/>
  <c r="L482" i="13"/>
  <c r="R481" i="1" l="1"/>
  <c r="Q481" i="1" s="1"/>
  <c r="P481" i="1" s="1"/>
  <c r="O481" i="1" s="1"/>
  <c r="N481" i="1" s="1"/>
  <c r="F482" i="13" s="1"/>
  <c r="F480" i="31"/>
  <c r="P481" i="13" s="1"/>
  <c r="AA481" i="1"/>
  <c r="AD481" i="1"/>
  <c r="Y481" i="1"/>
  <c r="F481" i="11"/>
  <c r="M481" i="1" l="1"/>
  <c r="AB481" i="1" s="1"/>
  <c r="AC481" i="1" s="1"/>
  <c r="M482" i="13" s="1"/>
  <c r="AG481" i="1"/>
  <c r="E481" i="31" l="1"/>
  <c r="G482" i="13"/>
  <c r="G482" i="1"/>
  <c r="F482" i="1"/>
  <c r="C480" i="11"/>
  <c r="C481" i="31"/>
  <c r="B481" i="31"/>
  <c r="AF481" i="1"/>
  <c r="N482" i="13" s="1"/>
  <c r="E482" i="1" l="1"/>
  <c r="D482" i="1" s="1"/>
  <c r="B483" i="13" s="1"/>
  <c r="D481" i="31"/>
  <c r="G480" i="11"/>
  <c r="H480" i="11" s="1"/>
  <c r="J482" i="13" s="1"/>
  <c r="K482" i="13"/>
  <c r="D480" i="11"/>
  <c r="L482" i="1" l="1"/>
  <c r="AD482" i="1" s="1"/>
  <c r="X482" i="1"/>
  <c r="A481" i="11"/>
  <c r="L483" i="13" s="1"/>
  <c r="C483" i="13"/>
  <c r="I483" i="1"/>
  <c r="C482" i="1"/>
  <c r="D483" i="13" s="1"/>
  <c r="H483" i="1"/>
  <c r="F481" i="31"/>
  <c r="P482" i="13" s="1"/>
  <c r="O482" i="13"/>
  <c r="H481" i="31"/>
  <c r="Q482" i="13" s="1"/>
  <c r="E480" i="11"/>
  <c r="I482" i="13" s="1"/>
  <c r="H482" i="13"/>
  <c r="R482" i="1" l="1"/>
  <c r="Q482" i="1" s="1"/>
  <c r="P482" i="1" s="1"/>
  <c r="O482" i="1" s="1"/>
  <c r="N482" i="1" s="1"/>
  <c r="F483" i="13" s="1"/>
  <c r="AA482" i="1"/>
  <c r="F482" i="11"/>
  <c r="E483" i="13"/>
  <c r="Y482" i="1"/>
  <c r="M482" i="1" l="1"/>
  <c r="AB482" i="1" s="1"/>
  <c r="AC482" i="1" s="1"/>
  <c r="M483" i="13" s="1"/>
  <c r="AG482" i="1"/>
  <c r="G483" i="13" l="1"/>
  <c r="E482" i="31"/>
  <c r="G483" i="1"/>
  <c r="F483" i="1"/>
  <c r="C481" i="11"/>
  <c r="B482" i="31"/>
  <c r="C482" i="31"/>
  <c r="AF482" i="1"/>
  <c r="N483" i="13" s="1"/>
  <c r="E483" i="1" l="1"/>
  <c r="D483" i="1" s="1"/>
  <c r="A482" i="11" s="1"/>
  <c r="G481" i="11"/>
  <c r="H481" i="11" s="1"/>
  <c r="J483" i="13" s="1"/>
  <c r="K483" i="13"/>
  <c r="D481" i="11"/>
  <c r="D482" i="31"/>
  <c r="O483" i="13" s="1"/>
  <c r="C484" i="13" l="1"/>
  <c r="H484" i="1"/>
  <c r="I484" i="1"/>
  <c r="C483" i="1"/>
  <c r="D484" i="13" s="1"/>
  <c r="L483" i="1"/>
  <c r="F483" i="11" s="1"/>
  <c r="X483" i="1"/>
  <c r="B484" i="13"/>
  <c r="F482" i="31"/>
  <c r="P483" i="13" s="1"/>
  <c r="H482" i="31"/>
  <c r="Q483" i="13" s="1"/>
  <c r="L484" i="13"/>
  <c r="E481" i="11"/>
  <c r="I483" i="13" s="1"/>
  <c r="H483" i="13"/>
  <c r="AA483" i="1" l="1"/>
  <c r="AD483" i="1"/>
  <c r="R483" i="1"/>
  <c r="Q483" i="1" s="1"/>
  <c r="P483" i="1" s="1"/>
  <c r="O483" i="1" s="1"/>
  <c r="N483" i="1" s="1"/>
  <c r="F484" i="13" s="1"/>
  <c r="E484" i="13"/>
  <c r="Y483" i="1"/>
  <c r="M483" i="1" l="1"/>
  <c r="AB483" i="1" s="1"/>
  <c r="AC483" i="1" s="1"/>
  <c r="M484" i="13" s="1"/>
  <c r="AG483" i="1"/>
  <c r="G484" i="13" l="1"/>
  <c r="E483" i="31"/>
  <c r="F484" i="1"/>
  <c r="G484" i="1"/>
  <c r="C482" i="11"/>
  <c r="B483" i="31"/>
  <c r="C483" i="31"/>
  <c r="AF483" i="1"/>
  <c r="N484" i="13" s="1"/>
  <c r="E484" i="1" l="1"/>
  <c r="D484" i="1" s="1"/>
  <c r="B485" i="13" s="1"/>
  <c r="G482" i="11"/>
  <c r="H482" i="11" s="1"/>
  <c r="J484" i="13" s="1"/>
  <c r="K484" i="13"/>
  <c r="D482" i="11"/>
  <c r="D483" i="31"/>
  <c r="O484" i="13" s="1"/>
  <c r="C485" i="13" l="1"/>
  <c r="I485" i="1"/>
  <c r="C484" i="1"/>
  <c r="D485" i="13" s="1"/>
  <c r="X484" i="1"/>
  <c r="A483" i="11"/>
  <c r="L485" i="13" s="1"/>
  <c r="L484" i="1"/>
  <c r="E485" i="13" s="1"/>
  <c r="H485" i="1"/>
  <c r="AA484" i="1" s="1"/>
  <c r="E482" i="11"/>
  <c r="I484" i="13" s="1"/>
  <c r="H484" i="13"/>
  <c r="H483" i="31"/>
  <c r="Q484" i="13" s="1"/>
  <c r="F483" i="31"/>
  <c r="P484" i="13" s="1"/>
  <c r="R484" i="1" l="1"/>
  <c r="Q484" i="1" s="1"/>
  <c r="P484" i="1" s="1"/>
  <c r="O484" i="1" s="1"/>
  <c r="N484" i="1" s="1"/>
  <c r="F485" i="13" s="1"/>
  <c r="F484" i="11"/>
  <c r="Y484" i="1"/>
  <c r="AD484" i="1"/>
  <c r="M484" i="1" l="1"/>
  <c r="G485" i="13" s="1"/>
  <c r="AG484" i="1"/>
  <c r="AB484" i="1" l="1"/>
  <c r="AC484" i="1" s="1"/>
  <c r="M485" i="13" s="1"/>
  <c r="E484" i="31"/>
  <c r="F485" i="1"/>
  <c r="G485" i="1"/>
  <c r="C483" i="11"/>
  <c r="AF484" i="1" l="1"/>
  <c r="N485" i="13" s="1"/>
  <c r="C484" i="31"/>
  <c r="B484" i="31"/>
  <c r="E485" i="1"/>
  <c r="D485" i="1" s="1"/>
  <c r="A484" i="11" s="1"/>
  <c r="G483" i="11"/>
  <c r="H483" i="11" s="1"/>
  <c r="J485" i="13" s="1"/>
  <c r="K485" i="13"/>
  <c r="D483" i="11"/>
  <c r="D484" i="31" l="1"/>
  <c r="O485" i="13" s="1"/>
  <c r="H486" i="1"/>
  <c r="C486" i="13"/>
  <c r="L485" i="1"/>
  <c r="Y485" i="1" s="1"/>
  <c r="X485" i="1"/>
  <c r="C485" i="1"/>
  <c r="D486" i="13" s="1"/>
  <c r="B486" i="13"/>
  <c r="I486" i="1"/>
  <c r="E483" i="11"/>
  <c r="I485" i="13" s="1"/>
  <c r="H485" i="13"/>
  <c r="L486" i="13"/>
  <c r="R485" i="1" l="1"/>
  <c r="Q485" i="1" s="1"/>
  <c r="P485" i="1" s="1"/>
  <c r="O485" i="1" s="1"/>
  <c r="N485" i="1" s="1"/>
  <c r="M485" i="1" s="1"/>
  <c r="F484" i="31"/>
  <c r="P485" i="13" s="1"/>
  <c r="H484" i="31"/>
  <c r="Q485" i="13" s="1"/>
  <c r="AA485" i="1"/>
  <c r="AD485" i="1"/>
  <c r="F485" i="11"/>
  <c r="E486" i="13"/>
  <c r="F486" i="13" l="1"/>
  <c r="AB485" i="1"/>
  <c r="AC485" i="1" s="1"/>
  <c r="M486" i="13" s="1"/>
  <c r="E485" i="31"/>
  <c r="G486" i="13"/>
  <c r="AG485" i="1"/>
  <c r="G486" i="1" l="1"/>
  <c r="F486" i="1"/>
  <c r="C484" i="11"/>
  <c r="B485" i="31"/>
  <c r="C485" i="31"/>
  <c r="AF485" i="1"/>
  <c r="N486" i="13" s="1"/>
  <c r="E486" i="1" l="1"/>
  <c r="D486" i="1" s="1"/>
  <c r="B487" i="13" s="1"/>
  <c r="G484" i="11"/>
  <c r="H484" i="11" s="1"/>
  <c r="J486" i="13" s="1"/>
  <c r="K486" i="13"/>
  <c r="D484" i="11"/>
  <c r="D485" i="31"/>
  <c r="O486" i="13" s="1"/>
  <c r="C487" i="13" l="1"/>
  <c r="C486" i="1"/>
  <c r="D487" i="13" s="1"/>
  <c r="L486" i="1"/>
  <c r="Y486" i="1" s="1"/>
  <c r="X486" i="1"/>
  <c r="H487" i="1"/>
  <c r="I487" i="1"/>
  <c r="A485" i="11"/>
  <c r="L487" i="13" s="1"/>
  <c r="H485" i="31"/>
  <c r="Q486" i="13" s="1"/>
  <c r="F485" i="31"/>
  <c r="P486" i="13" s="1"/>
  <c r="E484" i="11"/>
  <c r="I486" i="13" s="1"/>
  <c r="H486" i="13"/>
  <c r="R486" i="1" l="1"/>
  <c r="Q486" i="1" s="1"/>
  <c r="P486" i="1" s="1"/>
  <c r="O486" i="1" s="1"/>
  <c r="N486" i="1" s="1"/>
  <c r="M486" i="1" s="1"/>
  <c r="F486" i="11"/>
  <c r="AD486" i="1"/>
  <c r="E487" i="13"/>
  <c r="AA486" i="1"/>
  <c r="F487" i="13" l="1"/>
  <c r="AB486" i="1"/>
  <c r="AC486" i="1" s="1"/>
  <c r="M487" i="13" s="1"/>
  <c r="G487" i="13"/>
  <c r="E486" i="31"/>
  <c r="AG486" i="1"/>
  <c r="G487" i="1" l="1"/>
  <c r="F487" i="1"/>
  <c r="C485" i="11"/>
  <c r="C486" i="31"/>
  <c r="B486" i="31"/>
  <c r="AF486" i="1"/>
  <c r="N487" i="13" s="1"/>
  <c r="E487" i="1" l="1"/>
  <c r="D487" i="1" s="1"/>
  <c r="C487" i="1" s="1"/>
  <c r="D488" i="13" s="1"/>
  <c r="D486" i="31"/>
  <c r="K487" i="13"/>
  <c r="G485" i="11"/>
  <c r="H485" i="11" s="1"/>
  <c r="J487" i="13" s="1"/>
  <c r="D485" i="11"/>
  <c r="L487" i="1" l="1"/>
  <c r="E488" i="13" s="1"/>
  <c r="A486" i="11"/>
  <c r="L488" i="13" s="1"/>
  <c r="B488" i="13"/>
  <c r="H488" i="1"/>
  <c r="C488" i="13"/>
  <c r="I488" i="1"/>
  <c r="X487" i="1"/>
  <c r="F486" i="31"/>
  <c r="P487" i="13" s="1"/>
  <c r="O487" i="13"/>
  <c r="H486" i="31"/>
  <c r="Q487" i="13" s="1"/>
  <c r="E485" i="11"/>
  <c r="I487" i="13" s="1"/>
  <c r="H487" i="13"/>
  <c r="R487" i="1" l="1"/>
  <c r="Q487" i="1" s="1"/>
  <c r="P487" i="1" s="1"/>
  <c r="O487" i="1" s="1"/>
  <c r="N487" i="1" s="1"/>
  <c r="F488" i="13" s="1"/>
  <c r="F487" i="11"/>
  <c r="Y487" i="1"/>
  <c r="AD487" i="1"/>
  <c r="AA487" i="1"/>
  <c r="M487" i="1" l="1"/>
  <c r="AB487" i="1" s="1"/>
  <c r="AC487" i="1" s="1"/>
  <c r="M488" i="13" s="1"/>
  <c r="E487" i="31" l="1"/>
  <c r="G488" i="13"/>
  <c r="F488" i="1"/>
  <c r="G488" i="1"/>
  <c r="C487" i="31"/>
  <c r="B487" i="31"/>
  <c r="AF487" i="1"/>
  <c r="N488" i="13" s="1"/>
  <c r="AG487" i="1"/>
  <c r="D487" i="31" l="1"/>
  <c r="O488" i="13" s="1"/>
  <c r="E488" i="1"/>
  <c r="D488" i="1" s="1"/>
  <c r="C486" i="11"/>
  <c r="K488" i="13" l="1"/>
  <c r="G486" i="11"/>
  <c r="H486" i="11" s="1"/>
  <c r="J488" i="13" s="1"/>
  <c r="D486" i="11"/>
  <c r="A487" i="11"/>
  <c r="B489" i="13"/>
  <c r="C488" i="1"/>
  <c r="D489" i="13" s="1"/>
  <c r="X488" i="1"/>
  <c r="C489" i="13"/>
  <c r="L488" i="1"/>
  <c r="I489" i="1"/>
  <c r="H489" i="1"/>
  <c r="H487" i="31"/>
  <c r="Q488" i="13" s="1"/>
  <c r="F487" i="31"/>
  <c r="P488" i="13" s="1"/>
  <c r="AA488" i="1" l="1"/>
  <c r="H488" i="13"/>
  <c r="E486" i="11"/>
  <c r="I488" i="13" s="1"/>
  <c r="Y488" i="1"/>
  <c r="E489" i="13"/>
  <c r="F488" i="11"/>
  <c r="AD488" i="1"/>
  <c r="R488" i="1"/>
  <c r="Q488" i="1" s="1"/>
  <c r="P488" i="1" s="1"/>
  <c r="O488" i="1" s="1"/>
  <c r="N488" i="1" s="1"/>
  <c r="L489" i="13"/>
  <c r="F489" i="13" l="1"/>
  <c r="M488" i="1"/>
  <c r="AB488" i="1" l="1"/>
  <c r="AC488" i="1" s="1"/>
  <c r="M489" i="13" s="1"/>
  <c r="G489" i="13"/>
  <c r="E488" i="31"/>
  <c r="AG488" i="1"/>
  <c r="F489" i="1" l="1"/>
  <c r="G489" i="1"/>
  <c r="C487" i="11"/>
  <c r="C488" i="31"/>
  <c r="B488" i="31"/>
  <c r="AF488" i="1"/>
  <c r="N489" i="13" s="1"/>
  <c r="E489" i="1" l="1"/>
  <c r="D489" i="1" s="1"/>
  <c r="A488" i="11" s="1"/>
  <c r="K489" i="13"/>
  <c r="G487" i="11"/>
  <c r="H487" i="11" s="1"/>
  <c r="J489" i="13" s="1"/>
  <c r="D487" i="11"/>
  <c r="D488" i="31"/>
  <c r="O489" i="13" s="1"/>
  <c r="L489" i="1" l="1"/>
  <c r="Y489" i="1" s="1"/>
  <c r="C490" i="13"/>
  <c r="I490" i="1"/>
  <c r="X489" i="1"/>
  <c r="H490" i="1"/>
  <c r="C489" i="1"/>
  <c r="D490" i="13" s="1"/>
  <c r="B490" i="13"/>
  <c r="H489" i="13"/>
  <c r="E487" i="11"/>
  <c r="I489" i="13" s="1"/>
  <c r="H488" i="31"/>
  <c r="Q489" i="13" s="1"/>
  <c r="F488" i="31"/>
  <c r="P489" i="13" s="1"/>
  <c r="L490" i="13"/>
  <c r="AA489" i="1" l="1"/>
  <c r="F489" i="11"/>
  <c r="R489" i="1"/>
  <c r="Q489" i="1" s="1"/>
  <c r="P489" i="1" s="1"/>
  <c r="O489" i="1" s="1"/>
  <c r="N489" i="1" s="1"/>
  <c r="F490" i="13" s="1"/>
  <c r="E490" i="13"/>
  <c r="AD489" i="1"/>
  <c r="M489" i="1" l="1"/>
  <c r="E489" i="31" s="1"/>
  <c r="AG489" i="1"/>
  <c r="G490" i="13" l="1"/>
  <c r="AB489" i="1"/>
  <c r="AC489" i="1" s="1"/>
  <c r="M490" i="13" s="1"/>
  <c r="G490" i="1"/>
  <c r="F490" i="1"/>
  <c r="C488" i="11"/>
  <c r="C489" i="31" l="1"/>
  <c r="AF489" i="1"/>
  <c r="N490" i="13" s="1"/>
  <c r="B489" i="31"/>
  <c r="E490" i="1"/>
  <c r="D490" i="1" s="1"/>
  <c r="X490" i="1" s="1"/>
  <c r="K490" i="13"/>
  <c r="G488" i="11"/>
  <c r="H488" i="11" s="1"/>
  <c r="J490" i="13" s="1"/>
  <c r="D488" i="11"/>
  <c r="D489" i="31" l="1"/>
  <c r="H489" i="31" s="1"/>
  <c r="Q490" i="13" s="1"/>
  <c r="H491" i="1"/>
  <c r="L490" i="1"/>
  <c r="F490" i="11" s="1"/>
  <c r="C490" i="1"/>
  <c r="D491" i="13" s="1"/>
  <c r="C491" i="13"/>
  <c r="A489" i="11"/>
  <c r="L491" i="13" s="1"/>
  <c r="B491" i="13"/>
  <c r="I491" i="1"/>
  <c r="R490" i="1" s="1"/>
  <c r="O490" i="13"/>
  <c r="H490" i="13"/>
  <c r="E488" i="11"/>
  <c r="I490" i="13" s="1"/>
  <c r="F489" i="31" l="1"/>
  <c r="P490" i="13" s="1"/>
  <c r="AA490" i="1"/>
  <c r="E491" i="13"/>
  <c r="AD490" i="1"/>
  <c r="Y490" i="1"/>
  <c r="Q490" i="1"/>
  <c r="P490" i="1" s="1"/>
  <c r="O490" i="1" s="1"/>
  <c r="N490" i="1" s="1"/>
  <c r="F491" i="13" s="1"/>
  <c r="M490" i="1" l="1"/>
  <c r="AB490" i="1" s="1"/>
  <c r="AC490" i="1" s="1"/>
  <c r="M491" i="13" s="1"/>
  <c r="AG490" i="1"/>
  <c r="G491" i="13" l="1"/>
  <c r="E490" i="31"/>
  <c r="F491" i="1"/>
  <c r="G491" i="1"/>
  <c r="C489" i="11"/>
  <c r="B490" i="31"/>
  <c r="C490" i="31"/>
  <c r="AF490" i="1"/>
  <c r="N491" i="13" s="1"/>
  <c r="E491" i="1" l="1"/>
  <c r="D491" i="1" s="1"/>
  <c r="C492" i="13" s="1"/>
  <c r="D490" i="31"/>
  <c r="K491" i="13"/>
  <c r="G489" i="11"/>
  <c r="H489" i="11" s="1"/>
  <c r="J491" i="13" s="1"/>
  <c r="D489" i="11"/>
  <c r="L491" i="1" l="1"/>
  <c r="AD491" i="1" s="1"/>
  <c r="I492" i="1"/>
  <c r="B492" i="13"/>
  <c r="A490" i="11"/>
  <c r="L492" i="13" s="1"/>
  <c r="C491" i="1"/>
  <c r="D492" i="13" s="1"/>
  <c r="X491" i="1"/>
  <c r="H492" i="1"/>
  <c r="H490" i="31"/>
  <c r="Q491" i="13" s="1"/>
  <c r="O491" i="13"/>
  <c r="F490" i="31"/>
  <c r="P491" i="13" s="1"/>
  <c r="E489" i="11"/>
  <c r="I491" i="13" s="1"/>
  <c r="H491" i="13"/>
  <c r="R491" i="1" l="1"/>
  <c r="Q491" i="1" s="1"/>
  <c r="P491" i="1" s="1"/>
  <c r="O491" i="1" s="1"/>
  <c r="N491" i="1" s="1"/>
  <c r="F492" i="13" s="1"/>
  <c r="AA491" i="1"/>
  <c r="E492" i="13"/>
  <c r="Y491" i="1"/>
  <c r="F491" i="11"/>
  <c r="M491" i="1" l="1"/>
  <c r="AB491" i="1" s="1"/>
  <c r="AC491" i="1" s="1"/>
  <c r="M492" i="13" s="1"/>
  <c r="G492" i="13" l="1"/>
  <c r="E491" i="31"/>
  <c r="F492" i="1"/>
  <c r="G492" i="1"/>
  <c r="C491" i="31"/>
  <c r="B491" i="31"/>
  <c r="AF491" i="1"/>
  <c r="N492" i="13" s="1"/>
  <c r="AG491" i="1"/>
  <c r="D491" i="31" l="1"/>
  <c r="O492" i="13" s="1"/>
  <c r="C490" i="11"/>
  <c r="E492" i="1"/>
  <c r="D492" i="1" s="1"/>
  <c r="K492" i="13" l="1"/>
  <c r="G490" i="11"/>
  <c r="H490" i="11" s="1"/>
  <c r="J492" i="13" s="1"/>
  <c r="D490" i="11"/>
  <c r="F491" i="31"/>
  <c r="P492" i="13" s="1"/>
  <c r="H491" i="31"/>
  <c r="Q492" i="13" s="1"/>
  <c r="B493" i="13"/>
  <c r="X492" i="1"/>
  <c r="C493" i="13"/>
  <c r="A491" i="11"/>
  <c r="C492" i="1"/>
  <c r="D493" i="13" s="1"/>
  <c r="I493" i="1"/>
  <c r="L492" i="1"/>
  <c r="H493" i="1"/>
  <c r="AA492" i="1" l="1"/>
  <c r="E490" i="11"/>
  <c r="I492" i="13" s="1"/>
  <c r="H492" i="13"/>
  <c r="R492" i="1"/>
  <c r="Q492" i="1" s="1"/>
  <c r="P492" i="1" s="1"/>
  <c r="O492" i="1" s="1"/>
  <c r="N492" i="1" s="1"/>
  <c r="L493" i="13"/>
  <c r="Y492" i="1"/>
  <c r="E493" i="13"/>
  <c r="F492" i="11"/>
  <c r="AD492" i="1"/>
  <c r="F493" i="13" l="1"/>
  <c r="M492" i="1"/>
  <c r="AB492" i="1" l="1"/>
  <c r="AC492" i="1" s="1"/>
  <c r="M493" i="13" s="1"/>
  <c r="E492" i="31"/>
  <c r="G493" i="13"/>
  <c r="AG492" i="1"/>
  <c r="F493" i="1" l="1"/>
  <c r="G493" i="1"/>
  <c r="C491" i="11"/>
  <c r="C492" i="31"/>
  <c r="B492" i="31"/>
  <c r="AF492" i="1"/>
  <c r="N493" i="13" s="1"/>
  <c r="E493" i="1" l="1"/>
  <c r="D493" i="1" s="1"/>
  <c r="B494" i="13" s="1"/>
  <c r="D492" i="31"/>
  <c r="G491" i="11"/>
  <c r="H491" i="11" s="1"/>
  <c r="J493" i="13" s="1"/>
  <c r="K493" i="13"/>
  <c r="D491" i="11"/>
  <c r="I494" i="1" l="1"/>
  <c r="A492" i="11"/>
  <c r="L494" i="13" s="1"/>
  <c r="L493" i="1"/>
  <c r="Y493" i="1" s="1"/>
  <c r="C494" i="13"/>
  <c r="H494" i="1"/>
  <c r="AA493" i="1" s="1"/>
  <c r="X493" i="1"/>
  <c r="C493" i="1"/>
  <c r="D494" i="13" s="1"/>
  <c r="F492" i="31"/>
  <c r="P493" i="13" s="1"/>
  <c r="O493" i="13"/>
  <c r="H492" i="31"/>
  <c r="Q493" i="13" s="1"/>
  <c r="H493" i="13"/>
  <c r="E491" i="11"/>
  <c r="I493" i="13" s="1"/>
  <c r="R493" i="1" l="1"/>
  <c r="Q493" i="1" s="1"/>
  <c r="P493" i="1" s="1"/>
  <c r="O493" i="1" s="1"/>
  <c r="N493" i="1" s="1"/>
  <c r="M493" i="1" s="1"/>
  <c r="AD493" i="1"/>
  <c r="F493" i="11"/>
  <c r="E494" i="13"/>
  <c r="F494" i="13" l="1"/>
  <c r="AB493" i="1"/>
  <c r="AC493" i="1" s="1"/>
  <c r="M494" i="13" s="1"/>
  <c r="G494" i="13"/>
  <c r="E493" i="31"/>
  <c r="F494" i="1" l="1"/>
  <c r="G494" i="1"/>
  <c r="AG493" i="1"/>
  <c r="B493" i="31"/>
  <c r="C493" i="31"/>
  <c r="AF493" i="1"/>
  <c r="N494" i="13" s="1"/>
  <c r="C492" i="11" l="1"/>
  <c r="E494" i="1"/>
  <c r="D494" i="1" s="1"/>
  <c r="D493" i="31"/>
  <c r="O494" i="13" s="1"/>
  <c r="G492" i="11" l="1"/>
  <c r="H492" i="11" s="1"/>
  <c r="J494" i="13" s="1"/>
  <c r="K494" i="13"/>
  <c r="D492" i="11"/>
  <c r="C494" i="1"/>
  <c r="D495" i="13" s="1"/>
  <c r="A493" i="11"/>
  <c r="B495" i="13"/>
  <c r="X494" i="1"/>
  <c r="C495" i="13"/>
  <c r="L494" i="1"/>
  <c r="I495" i="1"/>
  <c r="H495" i="1"/>
  <c r="F493" i="31"/>
  <c r="P494" i="13" s="1"/>
  <c r="H493" i="31"/>
  <c r="Q494" i="13" s="1"/>
  <c r="AA494" i="1" l="1"/>
  <c r="E495" i="13"/>
  <c r="Y494" i="1"/>
  <c r="AD494" i="1"/>
  <c r="F494" i="11"/>
  <c r="R494" i="1"/>
  <c r="Q494" i="1" s="1"/>
  <c r="P494" i="1" s="1"/>
  <c r="O494" i="1" s="1"/>
  <c r="N494" i="1" s="1"/>
  <c r="L495" i="13"/>
  <c r="H494" i="13"/>
  <c r="E492" i="11"/>
  <c r="I494" i="13" s="1"/>
  <c r="F495" i="13" l="1"/>
  <c r="M494" i="1"/>
  <c r="AB494" i="1" l="1"/>
  <c r="AC494" i="1" s="1"/>
  <c r="M495" i="13" s="1"/>
  <c r="E494" i="31"/>
  <c r="G495" i="13"/>
  <c r="AG494" i="1"/>
  <c r="F495" i="1" l="1"/>
  <c r="G495" i="1"/>
  <c r="C493" i="11"/>
  <c r="B494" i="31"/>
  <c r="C494" i="31"/>
  <c r="AF494" i="1"/>
  <c r="N495" i="13" s="1"/>
  <c r="E495" i="1" l="1"/>
  <c r="D495" i="1" s="1"/>
  <c r="C496" i="13" s="1"/>
  <c r="D494" i="31"/>
  <c r="G493" i="11"/>
  <c r="H493" i="11" s="1"/>
  <c r="J495" i="13" s="1"/>
  <c r="K495" i="13"/>
  <c r="D493" i="11"/>
  <c r="H496" i="1" l="1"/>
  <c r="I496" i="1"/>
  <c r="C495" i="1"/>
  <c r="D496" i="13" s="1"/>
  <c r="X495" i="1"/>
  <c r="L495" i="1"/>
  <c r="F495" i="11" s="1"/>
  <c r="B496" i="13"/>
  <c r="A494" i="11"/>
  <c r="L496" i="13" s="1"/>
  <c r="H494" i="31"/>
  <c r="Q495" i="13" s="1"/>
  <c r="O495" i="13"/>
  <c r="F494" i="31"/>
  <c r="P495" i="13" s="1"/>
  <c r="E493" i="11"/>
  <c r="I495" i="13" s="1"/>
  <c r="H495" i="13"/>
  <c r="AA495" i="1" l="1"/>
  <c r="Y495" i="1"/>
  <c r="R495" i="1"/>
  <c r="Q495" i="1" s="1"/>
  <c r="P495" i="1" s="1"/>
  <c r="O495" i="1" s="1"/>
  <c r="N495" i="1" s="1"/>
  <c r="M495" i="1" s="1"/>
  <c r="E496" i="13"/>
  <c r="AD495" i="1"/>
  <c r="F496" i="13" l="1"/>
  <c r="AB495" i="1"/>
  <c r="AC495" i="1" s="1"/>
  <c r="M496" i="13" s="1"/>
  <c r="G496" i="13"/>
  <c r="E495" i="31"/>
  <c r="G496" i="1" l="1"/>
  <c r="F496" i="1"/>
  <c r="AG495" i="1"/>
  <c r="B495" i="31"/>
  <c r="C495" i="31"/>
  <c r="AF495" i="1"/>
  <c r="N496" i="13" s="1"/>
  <c r="C494" i="11" l="1"/>
  <c r="E496" i="1"/>
  <c r="D496" i="1" s="1"/>
  <c r="D495" i="31"/>
  <c r="O496" i="13" s="1"/>
  <c r="F495" i="31" l="1"/>
  <c r="P496" i="13" s="1"/>
  <c r="H495" i="31"/>
  <c r="Q496" i="13" s="1"/>
  <c r="A495" i="11"/>
  <c r="B497" i="13"/>
  <c r="C497" i="13"/>
  <c r="C496" i="1"/>
  <c r="D497" i="13" s="1"/>
  <c r="X496" i="1"/>
  <c r="L496" i="1"/>
  <c r="H497" i="1"/>
  <c r="I497" i="1"/>
  <c r="K496" i="13"/>
  <c r="G494" i="11"/>
  <c r="H494" i="11" s="1"/>
  <c r="J496" i="13" s="1"/>
  <c r="D494" i="11"/>
  <c r="L497" i="13" l="1"/>
  <c r="E494" i="11"/>
  <c r="I496" i="13" s="1"/>
  <c r="H496" i="13"/>
  <c r="R496" i="1"/>
  <c r="Q496" i="1" s="1"/>
  <c r="P496" i="1" s="1"/>
  <c r="O496" i="1" s="1"/>
  <c r="N496" i="1" s="1"/>
  <c r="E497" i="13"/>
  <c r="Y496" i="1"/>
  <c r="F496" i="11"/>
  <c r="AD496" i="1"/>
  <c r="AA496" i="1"/>
  <c r="M496" i="1" l="1"/>
  <c r="F497" i="13"/>
  <c r="AB496" i="1" l="1"/>
  <c r="AC496" i="1" s="1"/>
  <c r="M497" i="13" s="1"/>
  <c r="E496" i="31"/>
  <c r="G497" i="13"/>
  <c r="F497" i="1" l="1"/>
  <c r="G497" i="1"/>
  <c r="B496" i="31"/>
  <c r="C496" i="31"/>
  <c r="AF496" i="1"/>
  <c r="N497" i="13" s="1"/>
  <c r="AG496" i="1"/>
  <c r="D496" i="31" l="1"/>
  <c r="C495" i="11"/>
  <c r="E497" i="1"/>
  <c r="D497" i="1" s="1"/>
  <c r="H496" i="31" l="1"/>
  <c r="Q497" i="13" s="1"/>
  <c r="O497" i="13"/>
  <c r="F496" i="31"/>
  <c r="P497" i="13" s="1"/>
  <c r="K497" i="13"/>
  <c r="G495" i="11"/>
  <c r="H495" i="11" s="1"/>
  <c r="J497" i="13" s="1"/>
  <c r="D495" i="11"/>
  <c r="A496" i="11"/>
  <c r="X497" i="1"/>
  <c r="C497" i="1"/>
  <c r="D498" i="13" s="1"/>
  <c r="C498" i="13"/>
  <c r="B498" i="13"/>
  <c r="H498" i="1"/>
  <c r="I498" i="1"/>
  <c r="L497" i="1"/>
  <c r="L498" i="13" l="1"/>
  <c r="E498" i="13"/>
  <c r="Y497" i="1"/>
  <c r="F497" i="11"/>
  <c r="AD497" i="1"/>
  <c r="E495" i="11"/>
  <c r="I497" i="13" s="1"/>
  <c r="H497" i="13"/>
  <c r="R497" i="1"/>
  <c r="Q497" i="1" s="1"/>
  <c r="P497" i="1" s="1"/>
  <c r="O497" i="1" s="1"/>
  <c r="N497" i="1" s="1"/>
  <c r="AA497" i="1"/>
  <c r="M497" i="1" l="1"/>
  <c r="F498" i="13"/>
  <c r="AB497" i="1" l="1"/>
  <c r="AC497" i="1" s="1"/>
  <c r="M498" i="13" s="1"/>
  <c r="E497" i="31"/>
  <c r="G498" i="13"/>
  <c r="AG497" i="1"/>
  <c r="C496" i="11" s="1"/>
  <c r="G498" i="1" l="1"/>
  <c r="F498" i="1"/>
  <c r="G496" i="11"/>
  <c r="H496" i="11" s="1"/>
  <c r="J498" i="13" s="1"/>
  <c r="K498" i="13"/>
  <c r="D496" i="11"/>
  <c r="B497" i="31"/>
  <c r="C497" i="31"/>
  <c r="AF497" i="1"/>
  <c r="N498" i="13" s="1"/>
  <c r="E498" i="1" l="1"/>
  <c r="D498" i="1" s="1"/>
  <c r="C498" i="1" s="1"/>
  <c r="D499" i="13" s="1"/>
  <c r="D497" i="31"/>
  <c r="E496" i="11"/>
  <c r="I498" i="13" s="1"/>
  <c r="H498" i="13"/>
  <c r="A497" i="11" l="1"/>
  <c r="L499" i="13" s="1"/>
  <c r="X498" i="1"/>
  <c r="I499" i="1"/>
  <c r="C499" i="13"/>
  <c r="H499" i="1"/>
  <c r="R498" i="1" s="1"/>
  <c r="B499" i="13"/>
  <c r="L498" i="1"/>
  <c r="Y498" i="1" s="1"/>
  <c r="H497" i="31"/>
  <c r="Q498" i="13" s="1"/>
  <c r="O498" i="13"/>
  <c r="F497" i="31"/>
  <c r="P498" i="13" s="1"/>
  <c r="AA498" i="1" l="1"/>
  <c r="Q498" i="1"/>
  <c r="P498" i="1" s="1"/>
  <c r="O498" i="1" s="1"/>
  <c r="N498" i="1" s="1"/>
  <c r="F499" i="13" s="1"/>
  <c r="F498" i="11"/>
  <c r="E499" i="13"/>
  <c r="AD498" i="1"/>
  <c r="M498" i="1" l="1"/>
  <c r="AB498" i="1" s="1"/>
  <c r="AC498" i="1" s="1"/>
  <c r="M499" i="13" s="1"/>
  <c r="AG498" i="1"/>
  <c r="E498" i="31" l="1"/>
  <c r="G499" i="13"/>
  <c r="F499" i="1"/>
  <c r="G499" i="1"/>
  <c r="C497" i="11"/>
  <c r="C498" i="31"/>
  <c r="B498" i="31"/>
  <c r="AF498" i="1"/>
  <c r="N499" i="13" s="1"/>
  <c r="E499" i="1" l="1"/>
  <c r="D499" i="1" s="1"/>
  <c r="B500" i="13" s="1"/>
  <c r="D498" i="31"/>
  <c r="H498" i="31" s="1"/>
  <c r="Q499" i="13" s="1"/>
  <c r="K499" i="13"/>
  <c r="G497" i="11"/>
  <c r="H497" i="11" s="1"/>
  <c r="J499" i="13" s="1"/>
  <c r="D497" i="11"/>
  <c r="H500" i="1" l="1"/>
  <c r="C500" i="13"/>
  <c r="L499" i="1"/>
  <c r="Y499" i="1" s="1"/>
  <c r="X499" i="1"/>
  <c r="A498" i="11"/>
  <c r="L500" i="13" s="1"/>
  <c r="C499" i="1"/>
  <c r="D500" i="13" s="1"/>
  <c r="I500" i="1"/>
  <c r="F498" i="31"/>
  <c r="P499" i="13" s="1"/>
  <c r="O499" i="13"/>
  <c r="H499" i="13"/>
  <c r="E497" i="11"/>
  <c r="I499" i="13" s="1"/>
  <c r="AA499" i="1" l="1"/>
  <c r="AD499" i="1"/>
  <c r="F499" i="11"/>
  <c r="E500" i="13"/>
  <c r="R499" i="1"/>
  <c r="Q499" i="1" s="1"/>
  <c r="P499" i="1" s="1"/>
  <c r="O499" i="1" s="1"/>
  <c r="N499" i="1" s="1"/>
  <c r="F500" i="13" s="1"/>
  <c r="M499" i="1" l="1"/>
  <c r="AB499" i="1" s="1"/>
  <c r="AC499" i="1" s="1"/>
  <c r="M500" i="13" s="1"/>
  <c r="E499" i="31" l="1"/>
  <c r="G500" i="13"/>
  <c r="G500" i="1"/>
  <c r="F500" i="1"/>
  <c r="B499" i="31"/>
  <c r="C499" i="31"/>
  <c r="AF499" i="1"/>
  <c r="N500" i="13" s="1"/>
  <c r="AG499" i="1"/>
  <c r="D499" i="31" l="1"/>
  <c r="E500" i="1"/>
  <c r="D500" i="1" s="1"/>
  <c r="C498" i="11"/>
  <c r="F499" i="31" l="1"/>
  <c r="P500" i="13" s="1"/>
  <c r="O500" i="13"/>
  <c r="H499" i="31"/>
  <c r="Q500" i="13" s="1"/>
  <c r="G498" i="11"/>
  <c r="H498" i="11" s="1"/>
  <c r="J500" i="13" s="1"/>
  <c r="K500" i="13"/>
  <c r="D498" i="11"/>
  <c r="X500" i="1"/>
  <c r="C501" i="13"/>
  <c r="A499" i="11"/>
  <c r="B501" i="13"/>
  <c r="C500" i="1"/>
  <c r="D501" i="13" s="1"/>
  <c r="L500" i="1"/>
  <c r="I501" i="1"/>
  <c r="H501" i="1"/>
  <c r="L501" i="13" l="1"/>
  <c r="Y500" i="1"/>
  <c r="E501" i="13"/>
  <c r="F500" i="11"/>
  <c r="AD500" i="1"/>
  <c r="AA500" i="1"/>
  <c r="R500" i="1"/>
  <c r="Q500" i="1" s="1"/>
  <c r="P500" i="1" s="1"/>
  <c r="O500" i="1" s="1"/>
  <c r="N500" i="1" s="1"/>
  <c r="H500" i="13"/>
  <c r="E498" i="11"/>
  <c r="I500" i="13" s="1"/>
  <c r="M500" i="1" l="1"/>
  <c r="F501" i="13"/>
  <c r="AB500" i="1" l="1"/>
  <c r="AC500" i="1" s="1"/>
  <c r="M501" i="13" s="1"/>
  <c r="E500" i="31"/>
  <c r="G501" i="13"/>
  <c r="AG500" i="1"/>
  <c r="G501" i="1" l="1"/>
  <c r="F501" i="1"/>
  <c r="C499" i="11"/>
  <c r="C500" i="31"/>
  <c r="B500" i="31"/>
  <c r="AF500" i="1"/>
  <c r="N501" i="13" s="1"/>
  <c r="E501" i="1" l="1"/>
  <c r="D501" i="1" s="1"/>
  <c r="C501" i="1" s="1"/>
  <c r="D500" i="31"/>
  <c r="G499" i="11"/>
  <c r="H499" i="11" s="1"/>
  <c r="J501" i="13" s="1"/>
  <c r="K501" i="13"/>
  <c r="D499" i="11"/>
  <c r="L501" i="1" l="1"/>
  <c r="Y501" i="1" s="1"/>
  <c r="X501" i="1"/>
  <c r="I502" i="1"/>
  <c r="A500" i="11"/>
  <c r="H502" i="1"/>
  <c r="H500" i="31"/>
  <c r="Q501" i="13" s="1"/>
  <c r="O501" i="13"/>
  <c r="F500" i="31"/>
  <c r="P501" i="13" s="1"/>
  <c r="E499" i="11"/>
  <c r="I501" i="13" s="1"/>
  <c r="H501" i="13"/>
  <c r="R501" i="1" l="1"/>
  <c r="Q501" i="1" s="1"/>
  <c r="P501" i="1" s="1"/>
  <c r="O501" i="1" s="1"/>
  <c r="N501" i="1" s="1"/>
  <c r="M501" i="1" s="1"/>
  <c r="E501" i="31" s="1"/>
  <c r="AA501" i="1"/>
  <c r="AD501" i="1"/>
  <c r="F501" i="11"/>
  <c r="AB501" i="1" l="1"/>
  <c r="AC501" i="1" s="1"/>
  <c r="AF501" i="1" s="1"/>
  <c r="F502" i="1"/>
  <c r="G502" i="1"/>
  <c r="AG501" i="1"/>
  <c r="B501" i="31" l="1"/>
  <c r="C501" i="31"/>
  <c r="E502" i="1"/>
  <c r="D502" i="1" s="1"/>
  <c r="C500" i="11"/>
  <c r="D501" i="31" l="1"/>
  <c r="H501" i="31" s="1"/>
  <c r="G500" i="11"/>
  <c r="H500" i="11" s="1"/>
  <c r="D500" i="11"/>
  <c r="AA502" i="1"/>
  <c r="A501" i="11"/>
  <c r="C502" i="1"/>
  <c r="X502" i="1"/>
  <c r="R502" i="1"/>
  <c r="L502" i="1"/>
  <c r="F501" i="31" l="1"/>
  <c r="E500" i="11"/>
  <c r="Y502" i="1"/>
  <c r="AD502" i="1"/>
  <c r="Q502" i="1"/>
  <c r="P502" i="1" s="1"/>
  <c r="O502" i="1" s="1"/>
  <c r="N502" i="1" s="1"/>
  <c r="M502" i="1" s="1"/>
  <c r="E502" i="31" l="1"/>
  <c r="AG502" i="1"/>
  <c r="C501" i="11" s="1"/>
  <c r="AB502" i="1"/>
  <c r="AC502" i="1" s="1"/>
  <c r="AF502" i="1" s="1"/>
  <c r="G501" i="11" l="1"/>
  <c r="H501" i="11" s="1"/>
  <c r="D501" i="11"/>
  <c r="C502" i="31"/>
  <c r="B502" i="31"/>
  <c r="E501" i="11" l="1"/>
  <c r="D502" i="31"/>
  <c r="F502" i="31" l="1"/>
  <c r="H50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usuario</author>
  </authors>
  <commentList>
    <comment ref="G8" authorId="0" shapeId="0" xr:uid="{00000000-0006-0000-0000-000001000000}">
      <text>
        <r>
          <rPr>
            <sz val="8"/>
            <color indexed="81"/>
            <rFont val="Tahoma"/>
            <family val="2"/>
          </rPr>
          <t>As % of equilibrium output level.</t>
        </r>
      </text>
    </comment>
    <comment ref="K8" authorId="0" shapeId="0" xr:uid="{00000000-0006-0000-0000-000002000000}">
      <text>
        <r>
          <rPr>
            <sz val="8"/>
            <color indexed="81"/>
            <rFont val="Tahoma"/>
            <family val="2"/>
          </rPr>
          <t>As % of total aggregate expenditure.</t>
        </r>
      </text>
    </comment>
    <comment ref="F9" authorId="0" shapeId="0" xr:uid="{00000000-0006-0000-0000-000003000000}">
      <text>
        <r>
          <rPr>
            <sz val="8"/>
            <color indexed="81"/>
            <rFont val="Tahoma"/>
            <family val="2"/>
          </rPr>
          <t>If temporary, it only lasts one period.</t>
        </r>
      </text>
    </comment>
    <comment ref="I9" authorId="0" shapeId="0" xr:uid="{00000000-0006-0000-0000-000004000000}">
      <text>
        <r>
          <rPr>
            <sz val="8"/>
            <color indexed="81"/>
            <rFont val="Tahoma"/>
            <family val="2"/>
          </rPr>
          <t>If temporary, it only lasts one period.</t>
        </r>
      </text>
    </comment>
    <comment ref="I10" authorId="0" shapeId="0" xr:uid="{00000000-0006-0000-0000-000005000000}">
      <text>
        <r>
          <rPr>
            <sz val="8"/>
            <color indexed="81"/>
            <rFont val="Tahoma"/>
            <family val="2"/>
          </rPr>
          <t>The risk premium is zero until period 5. The value chosen is then the size of the risk premium from period 5 on.</t>
        </r>
      </text>
    </comment>
    <comment ref="K11" authorId="1" shapeId="0" xr:uid="{0AAE4A96-654E-463F-95F5-1FEC1B5A5F4D}">
      <text>
        <r>
          <rPr>
            <sz val="8"/>
            <color indexed="81"/>
            <rFont val="Tahoma"/>
            <family val="2"/>
          </rPr>
          <t>Wedge between the central bank's policy rate and the lending rate of commercial banks.</t>
        </r>
      </text>
    </comment>
    <comment ref="U13" authorId="1" shapeId="0" xr:uid="{807CF3D1-5409-4B22-94DF-76A417336CB9}">
      <text>
        <r>
          <rPr>
            <sz val="8"/>
            <color indexed="81"/>
            <rFont val="Tahoma"/>
            <family val="2"/>
          </rPr>
          <t>Weight in central bank's preferences of deviations of inflation with respect to target.</t>
        </r>
      </text>
    </comment>
    <comment ref="U22" authorId="1" shapeId="0" xr:uid="{00000000-0006-0000-0000-000008000000}">
      <text>
        <r>
          <rPr>
            <sz val="8"/>
            <color indexed="81"/>
            <rFont val="Tahoma"/>
            <family val="2"/>
          </rPr>
          <t>Changes in public expenditure as % of autonomous aggregate expenditure. Useful to see how fiscal policy can curb a deflationary trap. It is assumed that the central bank does not expect this policy measure.</t>
        </r>
      </text>
    </comment>
    <comment ref="Q26" authorId="1" shapeId="0" xr:uid="{00000000-0006-0000-0000-000009000000}">
      <text>
        <r>
          <rPr>
            <sz val="8"/>
            <color indexed="81"/>
            <rFont val="Tahoma"/>
            <family val="2"/>
          </rPr>
          <t>If temporary, it only lasts one period.</t>
        </r>
      </text>
    </comment>
    <comment ref="K29" authorId="1" shapeId="0" xr:uid="{C383793C-433C-4A48-8840-59FF811171E5}">
      <text>
        <r>
          <rPr>
            <sz val="8"/>
            <color indexed="81"/>
            <rFont val="Tahoma"/>
            <family val="2"/>
          </rPr>
          <t>It weights lagged inflation and inflation target in the Phillips curve. Zero means full credibility in CB's inflation target, whereas one means that economic agents expect an inflation level equal to past inflation (full inertia). A value between zero and one considers both lagged inflation and inflation target as determinants of current inflation.</t>
        </r>
      </text>
    </comment>
    <comment ref="D78" authorId="0" shapeId="0" xr:uid="{00000000-0006-0000-0000-00000B000000}">
      <text>
        <r>
          <rPr>
            <sz val="8"/>
            <color indexed="81"/>
            <rFont val="Tahoma"/>
            <family val="2"/>
          </rPr>
          <t>This data has to be used to evaluate the long run sostenibility of fiscal policy. Results are display in the yellow figures. This analysis uses some data from the monetary policy part (specifically, the real interest rate and the economic growth rate) but does not feed-back into the monetary policy part.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pc</author>
    <author>usuario</author>
  </authors>
  <commentList>
    <comment ref="A10" authorId="0" shapeId="0" xr:uid="{00000000-0006-0000-0200-000001000000}">
      <text>
        <r>
          <rPr>
            <b/>
            <sz val="8"/>
            <color indexed="81"/>
            <rFont val="Tahoma"/>
            <family val="2"/>
          </rPr>
          <t>pc:</t>
        </r>
        <r>
          <rPr>
            <sz val="8"/>
            <color indexed="81"/>
            <rFont val="Tahoma"/>
            <family val="2"/>
          </rPr>
          <t xml:space="preserve">
he quitado el control, ya que esto está a extinguir. El valor de 2 significa "no"</t>
        </r>
      </text>
    </comment>
    <comment ref="U13" authorId="1" shapeId="0" xr:uid="{00000000-0006-0000-0200-000002000000}">
      <text>
        <r>
          <rPr>
            <sz val="9"/>
            <color indexed="81"/>
            <rFont val="Tahoma"/>
            <family val="2"/>
          </rPr>
          <t>Weight in government's preferences of deviations of inflation with respect to target.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R2" authorId="0" shapeId="0" xr:uid="{00000000-0006-0000-0300-000001000000}">
      <text>
        <r>
          <rPr>
            <b/>
            <sz val="8"/>
            <color indexed="81"/>
            <rFont val="Tahoma"/>
            <family val="2"/>
          </rPr>
          <t>pc:</t>
        </r>
        <r>
          <rPr>
            <sz val="8"/>
            <color indexed="81"/>
            <rFont val="Tahoma"/>
            <family val="2"/>
          </rPr>
          <t xml:space="preserve">
already considered the fact that random shocks are unexpected</t>
        </r>
      </text>
    </comment>
    <comment ref="AG2" authorId="0" shapeId="0" xr:uid="{00000000-0006-0000-0300-000002000000}">
      <text>
        <r>
          <rPr>
            <b/>
            <sz val="8"/>
            <color indexed="81"/>
            <rFont val="Tahoma"/>
            <family val="2"/>
          </rPr>
          <t>pc:</t>
        </r>
        <r>
          <rPr>
            <sz val="8"/>
            <color indexed="81"/>
            <rFont val="Tahoma"/>
            <family val="2"/>
          </rPr>
          <t xml:space="preserve">
to allow for unexpected shocks, it is assumed one lag in the effect of fiscal stabilization policy on output. Owever, the effect on fiscal budget balance is contemporaneous</t>
        </r>
      </text>
    </comment>
    <comment ref="AI3" authorId="0" shapeId="0" xr:uid="{00000000-0006-0000-0300-000003000000}">
      <text>
        <r>
          <rPr>
            <b/>
            <sz val="8"/>
            <color indexed="81"/>
            <rFont val="Tahoma"/>
            <family val="2"/>
          </rPr>
          <t>pc:</t>
        </r>
        <r>
          <rPr>
            <sz val="8"/>
            <color indexed="81"/>
            <rFont val="Tahoma"/>
            <family val="2"/>
          </rPr>
          <t xml:space="preserve">
esta calculado para que el tipo de cambio real inicial (de equilibrio) sea siempre cero.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S3" authorId="0" shapeId="0" xr:uid="{00000000-0006-0000-0900-000001000000}">
      <text>
        <r>
          <rPr>
            <b/>
            <sz val="8"/>
            <color indexed="81"/>
            <rFont val="Tahoma"/>
            <family val="2"/>
          </rPr>
          <t>pc:</t>
        </r>
        <r>
          <rPr>
            <sz val="8"/>
            <color indexed="81"/>
            <rFont val="Tahoma"/>
            <family val="2"/>
          </rPr>
          <t xml:space="preserve">
already considered the fact that random shocks are unexpected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Javier Lozano</author>
  </authors>
  <commentList>
    <comment ref="B3" authorId="0" shapeId="0" xr:uid="{00000000-0006-0000-0C00-000001000000}">
      <text>
        <r>
          <rPr>
            <sz val="8"/>
            <color indexed="81"/>
            <rFont val="Tahoma"/>
            <family val="2"/>
          </rPr>
          <t>As % of equilibrium income.</t>
        </r>
      </text>
    </comment>
    <comment ref="Y3" authorId="0" shapeId="0" xr:uid="{00000000-0006-0000-0C00-000002000000}">
      <text>
        <r>
          <rPr>
            <sz val="8"/>
            <color indexed="81"/>
            <rFont val="Tahoma"/>
            <family val="2"/>
          </rPr>
          <t>As % of equilibrium income.</t>
        </r>
      </text>
    </comment>
    <comment ref="A8" authorId="0" shapeId="0" xr:uid="{00000000-0006-0000-0C00-000003000000}">
      <text>
        <r>
          <rPr>
            <sz val="8"/>
            <color indexed="81"/>
            <rFont val="Tahoma"/>
            <family val="2"/>
          </rPr>
          <t>In this period there can happen:
1. A demand shock.
2. A  supply shock.
3. A financial shock.</t>
        </r>
      </text>
    </comment>
    <comment ref="A9" authorId="0" shapeId="0" xr:uid="{00000000-0006-0000-0C00-000004000000}">
      <text>
        <r>
          <rPr>
            <sz val="8"/>
            <color indexed="81"/>
            <rFont val="Tahoma"/>
            <family val="2"/>
          </rPr>
          <t>In this period temporary demand and supply shocks dissipate.</t>
        </r>
      </text>
    </comment>
    <comment ref="A13" authorId="0" shapeId="0" xr:uid="{00000000-0006-0000-0C00-000005000000}">
      <text>
        <r>
          <rPr>
            <sz val="8"/>
            <color indexed="81"/>
            <rFont val="Tahoma"/>
            <family val="2"/>
          </rPr>
          <t>In this period there can happen:
1. A change in inflation target.
2. Central bank's late recognition of a change in equilibrium output already happened in period 5.
3. An unexpected devaluation/revaluation of domestic currency.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K14" authorId="0" shapeId="0" xr:uid="{00000000-0006-0000-0D00-000001000000}">
      <text>
        <r>
          <rPr>
            <sz val="8"/>
            <color indexed="81"/>
            <rFont val="Tahoma"/>
            <family val="2"/>
          </rPr>
          <t xml:space="preserve">It weights lagged inflation and inflation target in the Phillips curve. Zero means full credibility in CB's inflation target, whereas one means that economic agents expect an inflation level equal to past inflation (full inertia). A value between zero and one considers both lagged inflation and inflation target as determinants of current inflation.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J2" authorId="0" shapeId="0" xr:uid="{00000000-0006-0000-0E00-000001000000}">
      <text>
        <r>
          <rPr>
            <b/>
            <sz val="8"/>
            <color indexed="81"/>
            <rFont val="Tahoma"/>
            <family val="2"/>
          </rPr>
          <t>pc:</t>
        </r>
        <r>
          <rPr>
            <sz val="8"/>
            <color indexed="81"/>
            <rFont val="Tahoma"/>
            <family val="2"/>
          </rPr>
          <t xml:space="preserve">
already considered the fact that random shocks are unexpected</t>
        </r>
      </text>
    </comment>
    <comment ref="I22" authorId="0" shapeId="0" xr:uid="{00000000-0006-0000-0E00-000002000000}">
      <text>
        <r>
          <rPr>
            <sz val="8"/>
            <color indexed="81"/>
            <rFont val="Tahoma"/>
            <family val="2"/>
          </rPr>
          <t>This is also the interest rate for the remaining periods.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J2" authorId="0" shapeId="0" xr:uid="{00000000-0006-0000-0F00-000001000000}">
      <text>
        <r>
          <rPr>
            <b/>
            <sz val="8"/>
            <color indexed="81"/>
            <rFont val="Tahoma"/>
            <family val="2"/>
          </rPr>
          <t>pc:</t>
        </r>
        <r>
          <rPr>
            <sz val="8"/>
            <color indexed="81"/>
            <rFont val="Tahoma"/>
            <family val="2"/>
          </rPr>
          <t xml:space="preserve">
already considered the fact that random shocks are unexpected</t>
        </r>
      </text>
    </comment>
    <comment ref="I22" authorId="0" shapeId="0" xr:uid="{00000000-0006-0000-0F00-000002000000}">
      <text>
        <r>
          <rPr>
            <sz val="8"/>
            <color indexed="81"/>
            <rFont val="Tahoma"/>
            <family val="2"/>
          </rPr>
          <t>This is also the interest rate for the remaining periods.</t>
        </r>
      </text>
    </comment>
    <comment ref="I26" authorId="0" shapeId="0" xr:uid="{00000000-0006-0000-0F00-000003000000}">
      <text>
        <r>
          <rPr>
            <b/>
            <sz val="8"/>
            <color indexed="81"/>
            <rFont val="Tahoma"/>
            <family val="2"/>
          </rPr>
          <t>pc:</t>
        </r>
        <r>
          <rPr>
            <sz val="8"/>
            <color indexed="81"/>
            <rFont val="Tahoma"/>
            <family val="2"/>
          </rPr>
          <t xml:space="preserve">
esta es la regla de tipo de interés sin el límite cero. Lo uso para incorporar un mensaje en la página de outputs que advierta de que si alguno de estos es negativo, la comparación no es fiable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Javier Lozano</author>
    <author>pc</author>
  </authors>
  <commentList>
    <comment ref="B3" authorId="0" shapeId="0" xr:uid="{00000000-0006-0000-1000-000001000000}">
      <text>
        <r>
          <rPr>
            <b/>
            <sz val="8"/>
            <color indexed="81"/>
            <rFont val="Tahoma"/>
            <family val="2"/>
          </rPr>
          <t>As % of equilibrium income</t>
        </r>
      </text>
    </comment>
    <comment ref="AEA3" authorId="1" shapeId="0" xr:uid="{00000000-0006-0000-1000-000002000000}">
      <text>
        <r>
          <rPr>
            <b/>
            <sz val="8"/>
            <color indexed="81"/>
            <rFont val="Tahoma"/>
            <family val="2"/>
          </rPr>
          <t>en estas dos columnas eliminamos los períodos en los que hay hiperinflación, ya que el modelo no es realista para estos casos</t>
        </r>
        <r>
          <rPr>
            <sz val="8"/>
            <color indexed="81"/>
            <rFont val="Tahoma"/>
            <family val="2"/>
          </rPr>
          <t xml:space="preserve">
</t>
        </r>
      </text>
    </comment>
    <comment ref="A13" authorId="0" shapeId="0" xr:uid="{00000000-0006-0000-1000-000003000000}">
      <text>
        <r>
          <rPr>
            <b/>
            <sz val="8"/>
            <color indexed="81"/>
            <rFont val="Tahoma"/>
            <family val="2"/>
          </rPr>
          <t>In this period:
1. Change in inflation target
2. CB realices the change in equilibrium output level when there is delay in perception.</t>
        </r>
      </text>
    </comment>
    <comment ref="C25" authorId="1" shapeId="0" xr:uid="{00000000-0006-0000-1000-000004000000}">
      <text>
        <r>
          <rPr>
            <b/>
            <sz val="8"/>
            <color indexed="81"/>
            <rFont val="Tahoma"/>
            <family val="2"/>
          </rPr>
          <t>pc:</t>
        </r>
        <r>
          <rPr>
            <sz val="8"/>
            <color indexed="81"/>
            <rFont val="Tahoma"/>
            <family val="2"/>
          </rPr>
          <t xml:space="preserve">
en esta columna están las diferencias y-ye de u política y, el la primera casilla, la suma</t>
        </r>
      </text>
    </comment>
    <comment ref="D25" authorId="1" shapeId="0" xr:uid="{00000000-0006-0000-1000-000005000000}">
      <text>
        <r>
          <rPr>
            <b/>
            <sz val="8"/>
            <color indexed="81"/>
            <rFont val="Tahoma"/>
            <family val="2"/>
          </rPr>
          <t>pc:</t>
        </r>
        <r>
          <rPr>
            <sz val="8"/>
            <color indexed="81"/>
            <rFont val="Tahoma"/>
            <family val="2"/>
          </rPr>
          <t xml:space="preserve">
en esta columna quitamos los períodos con shock de la columna de la izquierda</t>
        </r>
      </text>
    </comment>
    <comment ref="E25" authorId="1" shapeId="0" xr:uid="{00000000-0006-0000-1000-000006000000}">
      <text>
        <r>
          <rPr>
            <b/>
            <sz val="8"/>
            <color indexed="81"/>
            <rFont val="Tahoma"/>
            <family val="2"/>
          </rPr>
          <t>pc:</t>
        </r>
        <r>
          <rPr>
            <sz val="8"/>
            <color indexed="81"/>
            <rFont val="Tahoma"/>
            <family val="2"/>
          </rPr>
          <t xml:space="preserve">
en esta columna está la desviación de la inflación respecto al objetivo de tu política (multiplicado por alfa) y, en la primera casilla, la suma</t>
        </r>
      </text>
    </comment>
    <comment ref="F25" authorId="1" shapeId="0" xr:uid="{00000000-0006-0000-1000-000007000000}">
      <text>
        <r>
          <rPr>
            <b/>
            <sz val="8"/>
            <color indexed="81"/>
            <rFont val="Tahoma"/>
            <family val="2"/>
          </rPr>
          <t>pc:</t>
        </r>
        <r>
          <rPr>
            <sz val="8"/>
            <color indexed="81"/>
            <rFont val="Tahoma"/>
            <family val="2"/>
          </rPr>
          <t xml:space="preserve">
en esta columna quitamos los perídos con shock de la culumna de la izquierda</t>
        </r>
      </text>
    </comment>
    <comment ref="H25" authorId="1" shapeId="0" xr:uid="{00000000-0006-0000-1000-000008000000}">
      <text>
        <r>
          <rPr>
            <b/>
            <sz val="8"/>
            <color indexed="81"/>
            <rFont val="Tahoma"/>
            <family val="2"/>
          </rPr>
          <t>pc:</t>
        </r>
        <r>
          <rPr>
            <sz val="8"/>
            <color indexed="81"/>
            <rFont val="Tahoma"/>
            <family val="2"/>
          </rPr>
          <t xml:space="preserve">
y-ye en la política endógena. En la primera columna, la suma.</t>
        </r>
      </text>
    </comment>
    <comment ref="I25" authorId="1" shapeId="0" xr:uid="{00000000-0006-0000-1000-000009000000}">
      <text>
        <r>
          <rPr>
            <b/>
            <sz val="8"/>
            <color indexed="81"/>
            <rFont val="Tahoma"/>
            <family val="2"/>
          </rPr>
          <t>pc:</t>
        </r>
        <r>
          <rPr>
            <sz val="8"/>
            <color indexed="81"/>
            <rFont val="Tahoma"/>
            <family val="2"/>
          </rPr>
          <t xml:space="preserve">
en esta columna quitamos los perídos con shock de la culumna de la izquierda</t>
        </r>
      </text>
    </comment>
    <comment ref="J25" authorId="1" shapeId="0" xr:uid="{00000000-0006-0000-1000-00000A000000}">
      <text>
        <r>
          <rPr>
            <b/>
            <sz val="8"/>
            <color indexed="81"/>
            <rFont val="Tahoma"/>
            <family val="2"/>
          </rPr>
          <t>pc:</t>
        </r>
        <r>
          <rPr>
            <sz val="8"/>
            <color indexed="81"/>
            <rFont val="Tahoma"/>
            <family val="2"/>
          </rPr>
          <t xml:space="preserve">
desviaciones de la inflación respecto al objetivo en la política endógena. En la primera columna, la suma.</t>
        </r>
      </text>
    </comment>
    <comment ref="K25" authorId="1" shapeId="0" xr:uid="{00000000-0006-0000-1000-00000B000000}">
      <text>
        <r>
          <rPr>
            <b/>
            <sz val="8"/>
            <color indexed="81"/>
            <rFont val="Tahoma"/>
            <family val="2"/>
          </rPr>
          <t>pc:</t>
        </r>
        <r>
          <rPr>
            <sz val="8"/>
            <color indexed="81"/>
            <rFont val="Tahoma"/>
            <family val="2"/>
          </rPr>
          <t xml:space="preserve">
</t>
        </r>
      </text>
    </comment>
    <comment ref="L25" authorId="1" shapeId="0" xr:uid="{00000000-0006-0000-1000-00000C000000}">
      <text>
        <r>
          <rPr>
            <b/>
            <sz val="8"/>
            <color indexed="81"/>
            <rFont val="Tahoma"/>
            <family val="2"/>
          </rPr>
          <t>pc:</t>
        </r>
        <r>
          <rPr>
            <sz val="8"/>
            <color indexed="81"/>
            <rFont val="Tahoma"/>
            <family val="2"/>
          </rPr>
          <t xml:space="preserve">
en esta columna quitamos los perídos con shock de la culumna de la izquierda</t>
        </r>
      </text>
    </comment>
    <comment ref="L45" authorId="1" shapeId="0" xr:uid="{00000000-0006-0000-1000-00000D000000}">
      <text>
        <r>
          <rPr>
            <b/>
            <sz val="8"/>
            <color indexed="81"/>
            <rFont val="Tahoma"/>
            <family val="2"/>
          </rPr>
          <t>pc:</t>
        </r>
        <r>
          <rPr>
            <sz val="8"/>
            <color indexed="81"/>
            <rFont val="Tahoma"/>
            <family val="2"/>
          </rPr>
          <t xml:space="preserve">
esta tabla en realidad no se usa aquí</t>
        </r>
      </text>
    </comment>
    <comment ref="C47" authorId="1" shapeId="0" xr:uid="{00000000-0006-0000-1000-00000E000000}">
      <text>
        <r>
          <rPr>
            <b/>
            <sz val="8"/>
            <color indexed="81"/>
            <rFont val="Tahoma"/>
            <family val="2"/>
          </rPr>
          <t>pc:</t>
        </r>
        <r>
          <rPr>
            <sz val="8"/>
            <color indexed="81"/>
            <rFont val="Tahoma"/>
            <family val="2"/>
          </rPr>
          <t xml:space="preserve">
en esta tabla se toman los valores (sin las fórmulas) de la tabla de arriba</t>
        </r>
      </text>
    </comment>
    <comment ref="I50" authorId="1" shapeId="0" xr:uid="{00000000-0006-0000-1000-00000F000000}">
      <text>
        <r>
          <rPr>
            <b/>
            <sz val="8"/>
            <color indexed="81"/>
            <rFont val="Tahoma"/>
            <family val="2"/>
          </rPr>
          <t>pc:</t>
        </r>
        <r>
          <rPr>
            <sz val="8"/>
            <color indexed="81"/>
            <rFont val="Tahoma"/>
            <family val="2"/>
          </rPr>
          <t xml:space="preserve">
resultados de la estimación lineal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J2" authorId="0" shapeId="0" xr:uid="{00000000-0006-0000-1100-000001000000}">
      <text>
        <r>
          <rPr>
            <sz val="8"/>
            <color indexed="81"/>
            <rFont val="Tahoma"/>
            <family val="2"/>
          </rPr>
          <t>Excluding shock periods.</t>
        </r>
      </text>
    </comment>
    <comment ref="E4" authorId="0" shapeId="0" xr:uid="{00000000-0006-0000-1100-000002000000}">
      <text>
        <r>
          <rPr>
            <sz val="8"/>
            <color indexed="81"/>
            <rFont val="Tahoma"/>
            <family val="2"/>
          </rPr>
          <t>This is the estimated beta in a linear regression using the MR, that is (y-ye)=-</t>
        </r>
        <r>
          <rPr>
            <sz val="8"/>
            <color indexed="81"/>
            <rFont val="Calibri"/>
            <family val="2"/>
          </rPr>
          <t>β</t>
        </r>
        <r>
          <rPr>
            <sz val="8"/>
            <color indexed="81"/>
            <rFont val="Mathematica1"/>
            <charset val="2"/>
          </rPr>
          <t>a</t>
        </r>
        <r>
          <rPr>
            <sz val="8.4"/>
            <color indexed="81"/>
            <rFont val="Tahoma"/>
            <family val="2"/>
          </rPr>
          <t>(</t>
        </r>
        <r>
          <rPr>
            <sz val="8.4"/>
            <color indexed="81"/>
            <rFont val="Mathematica1"/>
            <charset val="2"/>
          </rPr>
          <t>p-p</t>
        </r>
        <r>
          <rPr>
            <sz val="8"/>
            <color indexed="81"/>
            <rFont val="Mathematica1"/>
            <charset val="2"/>
          </rPr>
          <t>T</t>
        </r>
        <r>
          <rPr>
            <sz val="8.4"/>
            <color indexed="81"/>
            <rFont val="Mathematica1"/>
            <charset val="2"/>
          </rPr>
          <t xml:space="preserve">).  </t>
        </r>
        <r>
          <rPr>
            <sz val="8"/>
            <color indexed="81"/>
            <rFont val="Tahoma"/>
            <family val="2"/>
          </rPr>
          <t>Shock periods have been excluded, since the economy is always out of the MR in a shock period.</t>
        </r>
      </text>
    </comment>
    <comment ref="K5" authorId="0" shapeId="0" xr:uid="{00000000-0006-0000-1100-000003000000}">
      <text>
        <r>
          <rPr>
            <sz val="8"/>
            <color indexed="81"/>
            <rFont val="Tahoma"/>
            <family val="2"/>
          </rPr>
          <t>This is how society weights output and inflation in both your policy and the automated central bank's policy outcomes.</t>
        </r>
      </text>
    </comment>
    <comment ref="L5" authorId="0" shapeId="0" xr:uid="{00000000-0006-0000-1100-000004000000}">
      <text>
        <r>
          <rPr>
            <sz val="8"/>
            <color indexed="81"/>
            <rFont val="Tahoma"/>
            <family val="2"/>
          </rPr>
          <t>This is how the automated central bank weights output and inflation when choosing the interest rate.</t>
        </r>
      </text>
    </comment>
    <comment ref="K8" authorId="0" shapeId="0" xr:uid="{00000000-0006-0000-1100-000005000000}">
      <text>
        <r>
          <rPr>
            <sz val="8"/>
            <color indexed="81"/>
            <rFont val="Tahoma"/>
            <family val="2"/>
          </rPr>
          <t>Sum of the squares of deviations of output with respect to equilibrium output in your policy outcome.</t>
        </r>
      </text>
    </comment>
    <comment ref="L8" authorId="0" shapeId="0" xr:uid="{00000000-0006-0000-1100-000006000000}">
      <text>
        <r>
          <rPr>
            <sz val="8"/>
            <color indexed="81"/>
            <rFont val="Tahoma"/>
            <family val="2"/>
          </rPr>
          <t>Sum of the squares of deviations of output with respect to equilibrium output in the automated central bank's policy outcome.</t>
        </r>
      </text>
    </comment>
    <comment ref="K9" authorId="0" shapeId="0" xr:uid="{00000000-0006-0000-1100-000007000000}">
      <text>
        <r>
          <rPr>
            <sz val="8"/>
            <color indexed="81"/>
            <rFont val="Tahoma"/>
            <family val="2"/>
          </rPr>
          <t>Sum of the squares of deviations of inflation with respect to inflation target in your policy outcome.</t>
        </r>
      </text>
    </comment>
    <comment ref="L9" authorId="0" shapeId="0" xr:uid="{00000000-0006-0000-1100-000008000000}">
      <text>
        <r>
          <rPr>
            <sz val="8"/>
            <color indexed="81"/>
            <rFont val="Tahoma"/>
            <family val="2"/>
          </rPr>
          <t>Sum of the squares of deviations of inflation with respect to inflation target in the automated central bank's policy outcome.</t>
        </r>
      </text>
    </comment>
    <comment ref="K10" authorId="0" shapeId="0" xr:uid="{00000000-0006-0000-1100-000009000000}">
      <text>
        <r>
          <rPr>
            <sz val="8"/>
            <color indexed="81"/>
            <rFont val="Tahoma"/>
            <family val="2"/>
          </rPr>
          <t xml:space="preserve">Weights results from your policy outcome (the two numbers above) </t>
        </r>
        <r>
          <rPr>
            <u/>
            <sz val="8"/>
            <color indexed="81"/>
            <rFont val="Tahoma"/>
            <family val="2"/>
          </rPr>
          <t>using the society's beta as weight</t>
        </r>
        <r>
          <rPr>
            <sz val="8"/>
            <color indexed="81"/>
            <rFont val="Tahoma"/>
            <family val="2"/>
          </rPr>
          <t>.</t>
        </r>
      </text>
    </comment>
    <comment ref="L10" authorId="0" shapeId="0" xr:uid="{00000000-0006-0000-1100-00000A000000}">
      <text>
        <r>
          <rPr>
            <sz val="8"/>
            <color indexed="81"/>
            <rFont val="Tahoma"/>
            <family val="2"/>
          </rPr>
          <t xml:space="preserve">Weights results from central bank's policy outcome (the two numbers above) </t>
        </r>
        <r>
          <rPr>
            <u/>
            <sz val="8"/>
            <color indexed="81"/>
            <rFont val="Tahoma"/>
            <family val="2"/>
          </rPr>
          <t>using the society's beta as weight</t>
        </r>
        <r>
          <rPr>
            <sz val="8"/>
            <color indexed="81"/>
            <rFont val="Tahoma"/>
            <family val="2"/>
          </rPr>
          <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Javier Lozano</author>
    <author>pc</author>
  </authors>
  <commentList>
    <comment ref="B3" authorId="0" shapeId="0" xr:uid="{00000000-0006-0000-1200-000001000000}">
      <text>
        <r>
          <rPr>
            <b/>
            <sz val="8"/>
            <color indexed="81"/>
            <rFont val="Tahoma"/>
            <family val="2"/>
          </rPr>
          <t>As % of equilibrium income</t>
        </r>
      </text>
    </comment>
    <comment ref="AEA3" authorId="1" shapeId="0" xr:uid="{00000000-0006-0000-1200-000002000000}">
      <text>
        <r>
          <rPr>
            <b/>
            <sz val="8"/>
            <color indexed="81"/>
            <rFont val="Tahoma"/>
            <family val="2"/>
          </rPr>
          <t>pc:</t>
        </r>
        <r>
          <rPr>
            <sz val="8"/>
            <color indexed="81"/>
            <rFont val="Tahoma"/>
            <family val="2"/>
          </rPr>
          <t xml:space="preserve">
en esta tabla quitamos los períodos con hiperinflación, ya que el modelo no es bueno para estos casos.</t>
        </r>
      </text>
    </comment>
    <comment ref="A13" authorId="0" shapeId="0" xr:uid="{00000000-0006-0000-1200-000003000000}">
      <text>
        <r>
          <rPr>
            <b/>
            <sz val="8"/>
            <color indexed="81"/>
            <rFont val="Tahoma"/>
            <family val="2"/>
          </rPr>
          <t>In this period:
1. Change in inflation target
2. CB realices the change in equilibrium output level when there is delay in perception.</t>
        </r>
      </text>
    </comment>
    <comment ref="C25" authorId="1" shapeId="0" xr:uid="{00000000-0006-0000-1200-000004000000}">
      <text>
        <r>
          <rPr>
            <b/>
            <sz val="8"/>
            <color indexed="81"/>
            <rFont val="Tahoma"/>
            <family val="2"/>
          </rPr>
          <t>pc:</t>
        </r>
        <r>
          <rPr>
            <sz val="8"/>
            <color indexed="81"/>
            <rFont val="Tahoma"/>
            <family val="2"/>
          </rPr>
          <t xml:space="preserve">
en esta columna están las diferencias (y-ye)^2 de tu política </t>
        </r>
      </text>
    </comment>
    <comment ref="D25" authorId="1" shapeId="0" xr:uid="{00000000-0006-0000-1200-000005000000}">
      <text>
        <r>
          <rPr>
            <b/>
            <sz val="8"/>
            <color indexed="81"/>
            <rFont val="Tahoma"/>
            <family val="2"/>
          </rPr>
          <t>pc:</t>
        </r>
        <r>
          <rPr>
            <sz val="8"/>
            <color indexed="81"/>
            <rFont val="Tahoma"/>
            <family val="2"/>
          </rPr>
          <t xml:space="preserve">
excluimos los períodos con shock y sumamos</t>
        </r>
      </text>
    </comment>
    <comment ref="E25" authorId="1" shapeId="0" xr:uid="{00000000-0006-0000-1200-000006000000}">
      <text>
        <r>
          <rPr>
            <b/>
            <sz val="8"/>
            <color indexed="81"/>
            <rFont val="Tahoma"/>
            <family val="2"/>
          </rPr>
          <t>pc:</t>
        </r>
        <r>
          <rPr>
            <sz val="8"/>
            <color indexed="81"/>
            <rFont val="Tahoma"/>
            <family val="2"/>
          </rPr>
          <t xml:space="preserve">
la desviación de la inflación respecto al objetivo, al cuadrado</t>
        </r>
      </text>
    </comment>
    <comment ref="F25" authorId="1" shapeId="0" xr:uid="{00000000-0006-0000-1200-000007000000}">
      <text>
        <r>
          <rPr>
            <b/>
            <sz val="8"/>
            <color indexed="81"/>
            <rFont val="Tahoma"/>
            <family val="2"/>
          </rPr>
          <t>pc:</t>
        </r>
        <r>
          <rPr>
            <sz val="8"/>
            <color indexed="81"/>
            <rFont val="Tahoma"/>
            <family val="2"/>
          </rPr>
          <t xml:space="preserve">
quitamos períodos con shocks y sumamos</t>
        </r>
      </text>
    </comment>
    <comment ref="H25" authorId="1" shapeId="0" xr:uid="{00000000-0006-0000-1200-000008000000}">
      <text>
        <r>
          <rPr>
            <b/>
            <sz val="8"/>
            <color indexed="81"/>
            <rFont val="Tahoma"/>
            <family val="2"/>
          </rPr>
          <t>pc:</t>
        </r>
        <r>
          <rPr>
            <sz val="8"/>
            <color indexed="81"/>
            <rFont val="Tahoma"/>
            <family val="2"/>
          </rPr>
          <t xml:space="preserve">
tabla simétrica a la de la izquierda, pero con la política endógena</t>
        </r>
      </text>
    </comment>
  </commentList>
</comments>
</file>

<file path=xl/sharedStrings.xml><?xml version="1.0" encoding="utf-8"?>
<sst xmlns="http://schemas.openxmlformats.org/spreadsheetml/2006/main" count="500" uniqueCount="247">
  <si>
    <t>pitarg</t>
  </si>
  <si>
    <t>shocks oferta</t>
  </si>
  <si>
    <t>shocks demanda</t>
  </si>
  <si>
    <t>tipo impositivo</t>
  </si>
  <si>
    <t>Precios</t>
  </si>
  <si>
    <t>%gasto público</t>
  </si>
  <si>
    <t>estabilizadores automáticos gto</t>
  </si>
  <si>
    <t>% inicial deuda</t>
  </si>
  <si>
    <t>no</t>
  </si>
  <si>
    <t>yes</t>
  </si>
  <si>
    <t>Initial public expenditures/GDP</t>
  </si>
  <si>
    <t>Initial public debt/GDP</t>
  </si>
  <si>
    <t>inflation</t>
  </si>
  <si>
    <t>GDP</t>
  </si>
  <si>
    <t>Periods</t>
  </si>
  <si>
    <t>Inflation</t>
  </si>
  <si>
    <t>Output gap</t>
  </si>
  <si>
    <t>Growth</t>
  </si>
  <si>
    <t>Nominal i.r.</t>
  </si>
  <si>
    <t>Real i.r.</t>
  </si>
  <si>
    <t>Baseline</t>
  </si>
  <si>
    <t>Delay in the perception of supply shokcs</t>
  </si>
  <si>
    <t>Hysteresis</t>
  </si>
  <si>
    <t>Public expenditure/GDP</t>
  </si>
  <si>
    <t>Tax revenues/GDP</t>
  </si>
  <si>
    <t>Primary budget balance/GDP</t>
  </si>
  <si>
    <t>Total budget balance/GDP</t>
  </si>
  <si>
    <t>Output gap according to CB</t>
  </si>
  <si>
    <t>True out put gap</t>
  </si>
  <si>
    <t>Saldo primarioreal/PIBreal</t>
  </si>
  <si>
    <t>Deuda pública real</t>
  </si>
  <si>
    <t>Deudareal/PIBreal</t>
  </si>
  <si>
    <t>Saldo realtotal/PIBreal</t>
  </si>
  <si>
    <t>Gasto real</t>
  </si>
  <si>
    <t>Impuestos reales</t>
  </si>
  <si>
    <t>Metrics for policy evaluation</t>
  </si>
  <si>
    <t>For accumulated GDP gain/loss</t>
  </si>
  <si>
    <t>For accumulated inflation deviation</t>
  </si>
  <si>
    <t>Random shocks</t>
  </si>
  <si>
    <t>For step-by-step figures</t>
  </si>
  <si>
    <t>For adding economic growth to demand and ye</t>
  </si>
  <si>
    <t>interest rate rule</t>
  </si>
  <si>
    <t>choose own policy</t>
  </si>
  <si>
    <t>accomodating m.p.</t>
  </si>
  <si>
    <t>to avoid negative values</t>
  </si>
  <si>
    <t>nominal interest rates</t>
  </si>
  <si>
    <t>real interest rate</t>
  </si>
  <si>
    <t>Initial (t=5) ye</t>
  </si>
  <si>
    <t>medium run income level</t>
  </si>
  <si>
    <t>Initial (t=5) y</t>
  </si>
  <si>
    <t>t=0 real interest rate</t>
  </si>
  <si>
    <t>to distinguish between growth and no-growth cases</t>
  </si>
  <si>
    <t>Aggregate expenditure</t>
  </si>
  <si>
    <t>case when there is long run growth</t>
  </si>
  <si>
    <t>true value</t>
  </si>
  <si>
    <t>believed by c.b.</t>
  </si>
  <si>
    <t>permanent</t>
  </si>
  <si>
    <t>temporary</t>
  </si>
  <si>
    <t>delay in shock perception</t>
  </si>
  <si>
    <t>hysteresis</t>
  </si>
  <si>
    <t>Shocks</t>
  </si>
  <si>
    <t>Deterministic but unexpected shocks</t>
  </si>
  <si>
    <t>Size</t>
  </si>
  <si>
    <t>Temp vs perm. demand shocks</t>
  </si>
  <si>
    <t>Temp vs perm. supply shocks</t>
  </si>
  <si>
    <t>Change in inflation target</t>
  </si>
  <si>
    <t>Inflation target after period 10</t>
  </si>
  <si>
    <t>Accomodating monetary policy</t>
  </si>
  <si>
    <t>for random shocks</t>
  </si>
  <si>
    <t>list of periods to control for fiscal policy</t>
  </si>
  <si>
    <t>value that results from the choice of period for fiscal policy</t>
  </si>
  <si>
    <t>for permanency of shocks and fiscal policy</t>
  </si>
  <si>
    <t>permanency of policy</t>
  </si>
  <si>
    <t>stabilizing real interest rate</t>
  </si>
  <si>
    <t>A post fiscal policy t=n, 9&lt;n</t>
  </si>
  <si>
    <t>A post demand shock t=n, 5&lt;n&lt;10</t>
  </si>
  <si>
    <t>Initial A t=n, 0&lt;n&lt;5</t>
  </si>
  <si>
    <t>Part not sensitive to interest rate (A) (growth)</t>
  </si>
  <si>
    <t>Part not sensitive to interest rate (A) (no growth)</t>
  </si>
  <si>
    <t>A post-demand shock, t=5</t>
  </si>
  <si>
    <t>case when there is no economic growth</t>
  </si>
  <si>
    <t>Fiscal policy (no growth)</t>
  </si>
  <si>
    <t>Fiscal policy (growth)</t>
  </si>
  <si>
    <t>Public finance</t>
  </si>
  <si>
    <t>Long run growth</t>
  </si>
  <si>
    <t>Growth rate</t>
  </si>
  <si>
    <t>for degree of inertia/credibility</t>
  </si>
  <si>
    <t>for controling long run growth</t>
  </si>
  <si>
    <t>stabilizing interest rate</t>
  </si>
  <si>
    <t>autocorrelation degree of random shocks</t>
  </si>
  <si>
    <t>demand shock</t>
  </si>
  <si>
    <t>supply shock</t>
  </si>
  <si>
    <t>case when there is no long run growth</t>
  </si>
  <si>
    <t>A</t>
  </si>
  <si>
    <t>for feeding shocks</t>
  </si>
  <si>
    <t>interest rate</t>
  </si>
  <si>
    <t>total expenditure</t>
  </si>
  <si>
    <t>Time</t>
  </si>
  <si>
    <t>control hints in own monetary policy</t>
  </si>
  <si>
    <t>For calculating deflationary trap</t>
  </si>
  <si>
    <t>Demand shock in t=5</t>
  </si>
  <si>
    <t>Supply shock in t=5</t>
  </si>
  <si>
    <t>Change in inflation target in t=10</t>
  </si>
  <si>
    <t>Random supply shocks everytime</t>
  </si>
  <si>
    <t>Random demand shocks everytime</t>
  </si>
  <si>
    <t>Tax rate (initial tax revenues/GDP)</t>
  </si>
  <si>
    <t xml:space="preserve">Fiscal policy </t>
  </si>
  <si>
    <t>time</t>
  </si>
  <si>
    <t>dsfsd</t>
  </si>
  <si>
    <t>change inflation target</t>
  </si>
  <si>
    <t>See results with current data</t>
  </si>
  <si>
    <t>controls to feed "compare results"</t>
  </si>
  <si>
    <t>GDP growth</t>
  </si>
  <si>
    <t>nom. i.r.</t>
  </si>
  <si>
    <t>real i.r.</t>
  </si>
  <si>
    <t>primary b./GDP</t>
  </si>
  <si>
    <t>total b./GDP</t>
  </si>
  <si>
    <t>public debt/GDP</t>
  </si>
  <si>
    <t>Long-run economic growth</t>
  </si>
  <si>
    <t>%</t>
  </si>
  <si>
    <t>Nominal interest rate (%)</t>
  </si>
  <si>
    <t>Real interest rate (%)</t>
  </si>
  <si>
    <t>Inflation (%)</t>
  </si>
  <si>
    <t>Your input data in "main page"</t>
  </si>
  <si>
    <t>OPEN/CLOSE ECONOMY</t>
  </si>
  <si>
    <t>open economy</t>
  </si>
  <si>
    <t>q</t>
  </si>
  <si>
    <t>lambda</t>
  </si>
  <si>
    <t>rho</t>
  </si>
  <si>
    <t>qbar</t>
  </si>
  <si>
    <t>t=0 real exchange rate</t>
  </si>
  <si>
    <t>t=0 real interest rate (close economy)</t>
  </si>
  <si>
    <t>t=0 real interest rate (open economy)</t>
  </si>
  <si>
    <t>P</t>
  </si>
  <si>
    <t>P*</t>
  </si>
  <si>
    <t>e</t>
  </si>
  <si>
    <t>exp(q)</t>
  </si>
  <si>
    <t>FIXED/FLEXIBLE EXCHANGE RATES</t>
  </si>
  <si>
    <t>to avoid negative values AND FLEX. VS FIX. E.R.</t>
  </si>
  <si>
    <t>ESTABILIZATION FISCAL POLICY</t>
  </si>
  <si>
    <t>0 means no fiscal stabilization policy</t>
  </si>
  <si>
    <t>stabilization fiscal policy</t>
  </si>
  <si>
    <t>g</t>
  </si>
  <si>
    <t>gasto pub. Inicial</t>
  </si>
  <si>
    <t>Stabilization Policy</t>
  </si>
  <si>
    <t>q(Imports/GDP)</t>
  </si>
  <si>
    <t>Exports/GDP</t>
  </si>
  <si>
    <t>Trade balance/GDP</t>
  </si>
  <si>
    <t>NIIP/GDP</t>
  </si>
  <si>
    <t>elasticity of exports with respect to q</t>
  </si>
  <si>
    <t>elasticity of imports with respect to q</t>
  </si>
  <si>
    <t>share of world income</t>
  </si>
  <si>
    <t>propensity to import</t>
  </si>
  <si>
    <t>initial world income</t>
  </si>
  <si>
    <t>growth rate of world income</t>
  </si>
  <si>
    <t>NIIP</t>
  </si>
  <si>
    <t>current account/GDP</t>
  </si>
  <si>
    <t>Income balance/GDP</t>
  </si>
  <si>
    <t>Initial stabilizing real int rate</t>
  </si>
  <si>
    <t>initial official exchange rate</t>
  </si>
  <si>
    <t>offcial exchange rate after change</t>
  </si>
  <si>
    <t>Real exchange rate</t>
  </si>
  <si>
    <t>Nominal exchange rate</t>
  </si>
  <si>
    <t>Current account/GDP</t>
  </si>
  <si>
    <t>Public debt/PIB</t>
  </si>
  <si>
    <t>t&lt;10</t>
  </si>
  <si>
    <t>inflación objetivo ahsta t=10</t>
  </si>
  <si>
    <t>to distinguish between growth and no-growth cases and add endogenous fiscal plicy</t>
  </si>
  <si>
    <t>Inflationary shock in t=5</t>
  </si>
  <si>
    <t>Parameters</t>
  </si>
  <si>
    <t>Degree of inflation inertia/credibility of central bank</t>
  </si>
  <si>
    <t>Inflation target</t>
  </si>
  <si>
    <t>A  in t=5</t>
  </si>
  <si>
    <t>Supply shock</t>
  </si>
  <si>
    <t>ye in t=5</t>
  </si>
  <si>
    <t>control type of exercise in own policy</t>
  </si>
  <si>
    <t>key:1=temporary random; 2=permanent randon; 3=deterministic</t>
  </si>
  <si>
    <t>control temporary/permanent deterministic demand shocks in own policy</t>
  </si>
  <si>
    <t>control temporary/permanent deterministic supply shocks in own policy</t>
  </si>
  <si>
    <t>inertia/credibility in own monetary policy</t>
  </si>
  <si>
    <t>rdm supply</t>
  </si>
  <si>
    <t>rdm demand</t>
  </si>
  <si>
    <t>random shocks</t>
  </si>
  <si>
    <t>Shock occurence</t>
  </si>
  <si>
    <t>Random shocks every three periods</t>
  </si>
  <si>
    <t>A in t=3 without random shocks</t>
  </si>
  <si>
    <t>ye in t=3 without random shocks</t>
  </si>
  <si>
    <t>nominal interest rate</t>
  </si>
  <si>
    <t>gdp</t>
  </si>
  <si>
    <t>growth</t>
  </si>
  <si>
    <t>Game level</t>
  </si>
  <si>
    <t>Controls</t>
  </si>
  <si>
    <t>Inflation deviations</t>
  </si>
  <si>
    <t>Output deviations</t>
  </si>
  <si>
    <t>Your policy</t>
  </si>
  <si>
    <t>Estimate how you weight inflation and output gap</t>
  </si>
  <si>
    <t>Goodness of fit</t>
  </si>
  <si>
    <r>
      <t xml:space="preserve">Estimated </t>
    </r>
    <r>
      <rPr>
        <b/>
        <i/>
        <sz val="14"/>
        <color theme="0"/>
        <rFont val="Calibri"/>
        <family val="2"/>
      </rPr>
      <t>β</t>
    </r>
  </si>
  <si>
    <t>Nomila interest rate</t>
  </si>
  <si>
    <t>data</t>
  </si>
  <si>
    <t/>
  </si>
  <si>
    <t>control</t>
  </si>
  <si>
    <t>Choose beta for</t>
  </si>
  <si>
    <t>Society</t>
  </si>
  <si>
    <t>Compare your policy choice with a central bank that follows the monetary rule</t>
  </si>
  <si>
    <t>C.B. policy</t>
  </si>
  <si>
    <t>Society's loss</t>
  </si>
  <si>
    <t>Central Bank</t>
  </si>
  <si>
    <t>&gt;0</t>
  </si>
  <si>
    <t>starting period for public debt figure</t>
  </si>
  <si>
    <t>starting period for primary budget figure</t>
  </si>
  <si>
    <t>end period for primary budget figure</t>
  </si>
  <si>
    <t>starting period for total budget figure</t>
  </si>
  <si>
    <t>end period for total budget figure</t>
  </si>
  <si>
    <t>end period for public debt figure</t>
  </si>
  <si>
    <t>Sensitivity of inflation wrt output gap</t>
  </si>
  <si>
    <t>Sensitivity of expenditure wrt interest rate</t>
  </si>
  <si>
    <t>Save results with
current data to
compare different
scenarios</t>
  </si>
  <si>
    <t>Public exp./GDP</t>
  </si>
  <si>
    <t>Tax rev-/GDP</t>
  </si>
  <si>
    <t>Nom. exchange rate</t>
  </si>
  <si>
    <t>Current acc./GDP</t>
  </si>
  <si>
    <t>Reset to a no-shocks, no-policy, baseline parameter values scenario</t>
  </si>
  <si>
    <t>Game's page</t>
  </si>
  <si>
    <t>Evaluation page</t>
  </si>
  <si>
    <t>whether shocks in easy level are expected/unexpected</t>
  </si>
  <si>
    <t>starting period for trade balance figure</t>
  </si>
  <si>
    <t>end period for trade balance figure</t>
  </si>
  <si>
    <t>starting period for current account figure</t>
  </si>
  <si>
    <t>end period for current account figure</t>
  </si>
  <si>
    <t>starting period for NIIP figure</t>
  </si>
  <si>
    <t>end period for NIIP figure</t>
  </si>
  <si>
    <t>Size of risk premium</t>
  </si>
  <si>
    <t>Lending real i.r.</t>
  </si>
  <si>
    <t>Lending nom. i.r.</t>
  </si>
  <si>
    <t>Lending nominal i.r.</t>
  </si>
  <si>
    <t>Permanence</t>
  </si>
  <si>
    <t>hysteresis (sin activeX)</t>
  </si>
  <si>
    <t>error perception (sin ActiveX)</t>
  </si>
  <si>
    <t>Time for fiscal policy</t>
  </si>
  <si>
    <t>duration fiscal policy</t>
  </si>
  <si>
    <t>Real stabilization interest rate in t=-1</t>
  </si>
  <si>
    <t>simulator</t>
  </si>
  <si>
    <t>None</t>
  </si>
  <si>
    <t>Temporary</t>
  </si>
  <si>
    <t>Show the effect of a change in inflation target or a demand shock when there is hysteresis</t>
  </si>
  <si>
    <t>ventanita hysteresis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</si>
</sst>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
    <numFmt numFmtId="165" formatCode="0.000"/>
    <numFmt numFmtId="166" formatCode="0.0"/>
    <numFmt numFmtId="167" formatCode="0.0000"/>
    <numFmt numFmtId="168" formatCode="0.00000"/>
    <numFmt numFmtId="169" formatCode="0.00000000"/>
    <numFmt numFmtId="170" formatCode="0.000000000000000000000000000000%"/>
    <numFmt numFmtId="171" formatCode="0.00000%"/>
    <numFmt numFmtId="172" formatCode="0.00000000000%"/>
    <numFmt numFmtId="173" formatCode="0.000000"/>
  </numFmts>
  <fonts count="85">
    <font>
      <sz val="10"/>
      <name val="Arial"/>
    </font>
    <font>
      <sz val="11"/>
      <color theme="1"/>
      <name val="Times New Roman"/>
      <family val="2"/>
      <scheme val="minor"/>
    </font>
    <font>
      <sz val="10"/>
      <name val="Arial"/>
      <family val="2"/>
    </font>
    <font>
      <sz val="8"/>
      <name val="Arial"/>
      <family val="2"/>
    </font>
    <font>
      <b/>
      <sz val="12"/>
      <name val="Arial"/>
      <family val="2"/>
    </font>
    <font>
      <b/>
      <sz val="10"/>
      <name val="Batang"/>
      <family val="1"/>
    </font>
    <font>
      <b/>
      <sz val="10"/>
      <name val="Arial"/>
      <family val="2"/>
    </font>
    <font>
      <b/>
      <sz val="8"/>
      <name val="Arial"/>
      <family val="2"/>
    </font>
    <font>
      <sz val="8"/>
      <name val="Times New Roman"/>
      <family val="1"/>
    </font>
    <font>
      <sz val="14"/>
      <name val="Arial"/>
      <family val="2"/>
    </font>
    <font>
      <sz val="8"/>
      <color indexed="81"/>
      <name val="Tahoma"/>
      <family val="2"/>
    </font>
    <font>
      <b/>
      <sz val="11"/>
      <color indexed="9"/>
      <name val="Arial"/>
      <family val="2"/>
    </font>
    <font>
      <sz val="10"/>
      <name val="Arial"/>
      <family val="2"/>
    </font>
    <font>
      <sz val="10"/>
      <color indexed="9"/>
      <name val="Arial"/>
      <family val="2"/>
    </font>
    <font>
      <sz val="20"/>
      <name val="Times New Roman"/>
      <family val="1"/>
    </font>
    <font>
      <sz val="20"/>
      <name val="Arial"/>
      <family val="2"/>
    </font>
    <font>
      <sz val="20"/>
      <name val="Impact"/>
      <family val="2"/>
    </font>
    <font>
      <sz val="10"/>
      <name val="Impact"/>
      <family val="2"/>
    </font>
    <font>
      <sz val="24"/>
      <name val="Impact"/>
      <family val="2"/>
    </font>
    <font>
      <sz val="12"/>
      <name val="Arial"/>
      <family val="2"/>
    </font>
    <font>
      <sz val="16"/>
      <name val="Times New Roman"/>
      <family val="1"/>
    </font>
    <font>
      <sz val="10"/>
      <name val="Times New Roman"/>
      <family val="1"/>
    </font>
    <font>
      <b/>
      <sz val="11"/>
      <name val="Arial"/>
      <family val="2"/>
    </font>
    <font>
      <sz val="10"/>
      <name val="Arial"/>
      <family val="2"/>
    </font>
    <font>
      <b/>
      <sz val="12"/>
      <name val="Times New Roman"/>
      <family val="1"/>
    </font>
    <font>
      <sz val="12"/>
      <name val="Times New Roman"/>
      <family val="1"/>
    </font>
    <font>
      <sz val="11"/>
      <name val="Times New Roman"/>
      <family val="1"/>
    </font>
    <font>
      <sz val="12"/>
      <color indexed="27"/>
      <name val="Times New Roman"/>
      <family val="1"/>
    </font>
    <font>
      <sz val="12"/>
      <color indexed="42"/>
      <name val="Times New Roman"/>
      <family val="1"/>
    </font>
    <font>
      <b/>
      <sz val="18"/>
      <name val="Times New Roman"/>
      <family val="1"/>
    </font>
    <font>
      <sz val="2"/>
      <color indexed="9"/>
      <name val="Arial"/>
      <family val="2"/>
    </font>
    <font>
      <sz val="1"/>
      <color indexed="47"/>
      <name val="Arial"/>
      <family val="2"/>
    </font>
    <font>
      <b/>
      <sz val="11"/>
      <name val="Times New Roman"/>
      <family val="1"/>
    </font>
    <font>
      <sz val="1"/>
      <color indexed="9"/>
      <name val="Arial"/>
      <family val="2"/>
    </font>
    <font>
      <b/>
      <sz val="16"/>
      <name val="Arial"/>
      <family val="2"/>
    </font>
    <font>
      <b/>
      <sz val="8"/>
      <color indexed="81"/>
      <name val="Tahoma"/>
      <family val="2"/>
    </font>
    <font>
      <sz val="10"/>
      <color rgb="FF000000"/>
      <name val="Arial"/>
      <family val="2"/>
    </font>
    <font>
      <i/>
      <sz val="10"/>
      <color rgb="FF000000"/>
      <name val="Arial"/>
      <family val="2"/>
    </font>
    <font>
      <b/>
      <sz val="12"/>
      <color rgb="FF000000"/>
      <name val="Times New Roman"/>
      <family val="1"/>
    </font>
    <font>
      <sz val="14"/>
      <name val="Times New Roman"/>
      <family val="1"/>
    </font>
    <font>
      <sz val="1"/>
      <color rgb="FFCCFFCC"/>
      <name val="Arial"/>
      <family val="2"/>
    </font>
    <font>
      <b/>
      <sz val="18"/>
      <color theme="3"/>
      <name val="Arial"/>
      <family val="2"/>
      <scheme val="major"/>
    </font>
    <font>
      <sz val="11"/>
      <color rgb="FF3F3F76"/>
      <name val="Times New Roman"/>
      <family val="2"/>
      <scheme val="minor"/>
    </font>
    <font>
      <b/>
      <sz val="11"/>
      <color rgb="FF3F3F3F"/>
      <name val="Times New Roman"/>
      <family val="2"/>
      <scheme val="minor"/>
    </font>
    <font>
      <b/>
      <sz val="11"/>
      <color theme="0"/>
      <name val="Times New Roman"/>
      <family val="2"/>
      <scheme val="minor"/>
    </font>
    <font>
      <b/>
      <sz val="14"/>
      <color theme="0"/>
      <name val="Times New Roman"/>
      <family val="2"/>
      <scheme val="minor"/>
    </font>
    <font>
      <b/>
      <sz val="14"/>
      <color rgb="FF3F3F3F"/>
      <name val="Times New Roman"/>
      <family val="2"/>
      <scheme val="minor"/>
    </font>
    <font>
      <sz val="14"/>
      <color rgb="FF3F3F76"/>
      <name val="Times New Roman"/>
      <family val="2"/>
      <scheme val="minor"/>
    </font>
    <font>
      <b/>
      <sz val="16"/>
      <color theme="3"/>
      <name val="Arial"/>
      <family val="2"/>
      <scheme val="major"/>
    </font>
    <font>
      <b/>
      <i/>
      <sz val="14"/>
      <color theme="0"/>
      <name val="Calibri"/>
      <family val="2"/>
    </font>
    <font>
      <sz val="11"/>
      <color rgb="FF006100"/>
      <name val="Times New Roman"/>
      <family val="2"/>
      <scheme val="minor"/>
    </font>
    <font>
      <sz val="11"/>
      <color theme="0"/>
      <name val="Times New Roman"/>
      <family val="2"/>
      <scheme val="minor"/>
    </font>
    <font>
      <sz val="10"/>
      <color rgb="FFFF0000"/>
      <name val="Arial"/>
      <family val="2"/>
    </font>
    <font>
      <u/>
      <sz val="8"/>
      <color indexed="81"/>
      <name val="Tahoma"/>
      <family val="2"/>
    </font>
    <font>
      <sz val="9"/>
      <color theme="0"/>
      <name val="Arial"/>
      <family val="2"/>
    </font>
    <font>
      <sz val="9"/>
      <name val="Arial"/>
      <family val="2"/>
    </font>
    <font>
      <sz val="24"/>
      <name val="Cambria"/>
      <family val="1"/>
    </font>
    <font>
      <sz val="20"/>
      <name val="Cambria"/>
      <family val="1"/>
    </font>
    <font>
      <b/>
      <sz val="10"/>
      <name val="Times New Roman"/>
      <family val="1"/>
    </font>
    <font>
      <sz val="8"/>
      <color rgb="FF000000"/>
      <name val="Arial"/>
      <family val="2"/>
    </font>
    <font>
      <sz val="11"/>
      <color indexed="8"/>
      <name val="Times New Roman"/>
      <family val="1"/>
    </font>
    <font>
      <b/>
      <sz val="10"/>
      <name val="Times New Roman"/>
      <family val="1"/>
      <scheme val="minor"/>
    </font>
    <font>
      <sz val="10"/>
      <name val="Times New Roman"/>
      <family val="1"/>
      <scheme val="minor"/>
    </font>
    <font>
      <sz val="10"/>
      <name val="Times New Roman"/>
      <family val="2"/>
      <scheme val="minor"/>
    </font>
    <font>
      <sz val="10"/>
      <color theme="1"/>
      <name val="Times New Roman"/>
      <family val="2"/>
      <scheme val="minor"/>
    </font>
    <font>
      <b/>
      <sz val="14"/>
      <color theme="1"/>
      <name val="Times New Roman"/>
      <family val="1"/>
      <scheme val="minor"/>
    </font>
    <font>
      <b/>
      <sz val="14"/>
      <color theme="0"/>
      <name val="Times New Roman"/>
      <family val="1"/>
      <scheme val="minor"/>
    </font>
    <font>
      <sz val="8"/>
      <color indexed="81"/>
      <name val="Calibri"/>
      <family val="2"/>
    </font>
    <font>
      <sz val="8"/>
      <color indexed="81"/>
      <name val="Mathematica1"/>
      <charset val="2"/>
    </font>
    <font>
      <sz val="8.4"/>
      <color indexed="81"/>
      <name val="Tahoma"/>
      <family val="2"/>
    </font>
    <font>
      <sz val="8.4"/>
      <color indexed="81"/>
      <name val="Mathematica1"/>
      <charset val="2"/>
    </font>
    <font>
      <sz val="10"/>
      <color rgb="FF006100"/>
      <name val="Times New Roman"/>
      <family val="2"/>
      <scheme val="minor"/>
    </font>
    <font>
      <sz val="16"/>
      <name val="Arial"/>
      <family val="2"/>
    </font>
    <font>
      <b/>
      <sz val="12"/>
      <color rgb="FF0066CC"/>
      <name val="Calibri"/>
      <family val="2"/>
    </font>
    <font>
      <b/>
      <sz val="12"/>
      <color rgb="FF0066CC"/>
      <name val="Arial"/>
      <family val="2"/>
    </font>
    <font>
      <b/>
      <sz val="10"/>
      <color rgb="FF000000"/>
      <name val="Arial"/>
      <family val="2"/>
    </font>
    <font>
      <sz val="12"/>
      <color rgb="FF000000"/>
      <name val="Times New Roman"/>
      <family val="1"/>
    </font>
    <font>
      <sz val="2"/>
      <color theme="0"/>
      <name val="Arial"/>
      <family val="2"/>
    </font>
    <font>
      <i/>
      <sz val="1"/>
      <name val="Times New Roman"/>
      <family val="1"/>
    </font>
    <font>
      <sz val="9"/>
      <color rgb="FF000000"/>
      <name val="Arial"/>
      <family val="2"/>
    </font>
    <font>
      <sz val="10"/>
      <color theme="0"/>
      <name val="Arial"/>
      <family val="2"/>
    </font>
    <font>
      <b/>
      <sz val="16"/>
      <color rgb="FF000000"/>
      <name val="Arial"/>
      <family val="2"/>
    </font>
    <font>
      <sz val="9"/>
      <color indexed="81"/>
      <name val="Tahoma"/>
      <family val="2"/>
    </font>
    <font>
      <sz val="16"/>
      <color rgb="FF000000"/>
      <name val="Arial"/>
      <family val="2"/>
    </font>
    <font>
      <sz val="4"/>
      <color theme="0"/>
      <name val="Arial"/>
      <family val="2"/>
    </font>
  </fonts>
  <fills count="55">
    <fill>
      <patternFill patternType="none"/>
    </fill>
    <fill>
      <patternFill patternType="gray125"/>
    </fill>
    <fill>
      <patternFill patternType="solid">
        <fgColor indexed="11"/>
        <bgColor indexed="64"/>
      </patternFill>
    </fill>
    <fill>
      <patternFill patternType="solid">
        <fgColor indexed="15"/>
        <bgColor indexed="64"/>
      </patternFill>
    </fill>
    <fill>
      <patternFill patternType="solid">
        <fgColor indexed="43"/>
        <bgColor indexed="64"/>
      </patternFill>
    </fill>
    <fill>
      <patternFill patternType="solid">
        <fgColor indexed="41"/>
        <bgColor indexed="64"/>
      </patternFill>
    </fill>
    <fill>
      <patternFill patternType="solid">
        <fgColor indexed="10"/>
        <bgColor indexed="64"/>
      </patternFill>
    </fill>
    <fill>
      <patternFill patternType="lightUp">
        <fgColor indexed="11"/>
      </patternFill>
    </fill>
    <fill>
      <patternFill patternType="gray125">
        <fgColor indexed="11"/>
        <bgColor indexed="9"/>
      </patternFill>
    </fill>
    <fill>
      <patternFill patternType="gray125">
        <fgColor indexed="11"/>
      </patternFill>
    </fill>
    <fill>
      <patternFill patternType="gray0625">
        <fgColor indexed="11"/>
        <bgColor indexed="9"/>
      </patternFill>
    </fill>
    <fill>
      <patternFill patternType="gray0625">
        <fgColor indexed="11"/>
      </patternFill>
    </fill>
    <fill>
      <patternFill patternType="solid">
        <fgColor indexed="42"/>
        <bgColor indexed="64"/>
      </patternFill>
    </fill>
    <fill>
      <patternFill patternType="solid">
        <fgColor indexed="26"/>
        <bgColor indexed="64"/>
      </patternFill>
    </fill>
    <fill>
      <patternFill patternType="solid">
        <fgColor indexed="22"/>
        <bgColor indexed="64"/>
      </patternFill>
    </fill>
    <fill>
      <patternFill patternType="solid">
        <fgColor indexed="31"/>
        <bgColor indexed="64"/>
      </patternFill>
    </fill>
    <fill>
      <patternFill patternType="gray125">
        <fgColor indexed="51"/>
        <bgColor indexed="9"/>
      </patternFill>
    </fill>
    <fill>
      <patternFill patternType="solid">
        <fgColor indexed="22"/>
        <bgColor indexed="51"/>
      </patternFill>
    </fill>
    <fill>
      <patternFill patternType="lightUp">
        <fgColor indexed="11"/>
        <bgColor indexed="47"/>
      </patternFill>
    </fill>
    <fill>
      <patternFill patternType="solid">
        <fgColor indexed="45"/>
        <bgColor indexed="64"/>
      </patternFill>
    </fill>
    <fill>
      <patternFill patternType="lightDown">
        <fgColor indexed="11"/>
        <bgColor indexed="9"/>
      </patternFill>
    </fill>
    <fill>
      <patternFill patternType="lightDown">
        <fgColor indexed="11"/>
      </patternFill>
    </fill>
    <fill>
      <patternFill patternType="solid">
        <fgColor indexed="45"/>
        <bgColor indexed="11"/>
      </patternFill>
    </fill>
    <fill>
      <patternFill patternType="solid">
        <fgColor indexed="47"/>
        <bgColor indexed="64"/>
      </patternFill>
    </fill>
    <fill>
      <patternFill patternType="solid">
        <fgColor indexed="47"/>
        <bgColor indexed="11"/>
      </patternFill>
    </fill>
    <fill>
      <patternFill patternType="solid">
        <fgColor indexed="9"/>
        <bgColor indexed="11"/>
      </patternFill>
    </fill>
    <fill>
      <patternFill patternType="solid">
        <fgColor indexed="9"/>
        <bgColor indexed="64"/>
      </patternFill>
    </fill>
    <fill>
      <patternFill patternType="solid">
        <fgColor rgb="FFCCFFCC"/>
        <bgColor indexed="64"/>
      </patternFill>
    </fill>
    <fill>
      <patternFill patternType="solid">
        <fgColor rgb="FFFFFF00"/>
        <bgColor indexed="64"/>
      </patternFill>
    </fill>
    <fill>
      <patternFill patternType="solid">
        <fgColor rgb="FF00FF00"/>
        <bgColor indexed="64"/>
      </patternFill>
    </fill>
    <fill>
      <patternFill patternType="solid">
        <fgColor theme="0"/>
        <bgColor indexed="64"/>
      </patternFill>
    </fill>
    <fill>
      <patternFill patternType="solid">
        <fgColor theme="0"/>
        <bgColor indexed="11"/>
      </patternFill>
    </fill>
    <fill>
      <patternFill patternType="solid">
        <fgColor rgb="FFFFCC99"/>
      </patternFill>
    </fill>
    <fill>
      <patternFill patternType="solid">
        <fgColor rgb="FFF2F2F2"/>
      </patternFill>
    </fill>
    <fill>
      <patternFill patternType="solid">
        <fgColor rgb="FFA5A5A5"/>
      </patternFill>
    </fill>
    <fill>
      <patternFill patternType="lightUp">
        <fgColor rgb="FF00FF00"/>
      </patternFill>
    </fill>
    <fill>
      <patternFill patternType="solid">
        <fgColor theme="5" tint="-0.249977111117893"/>
        <bgColor indexed="64"/>
      </patternFill>
    </fill>
    <fill>
      <patternFill patternType="solid">
        <fgColor theme="6" tint="-0.249977111117893"/>
        <bgColor indexed="64"/>
      </patternFill>
    </fill>
    <fill>
      <patternFill patternType="lightDown">
        <fgColor rgb="FF00FF00"/>
      </patternFill>
    </fill>
    <fill>
      <patternFill patternType="lightTrellis">
        <fgColor rgb="FF00FF00"/>
      </patternFill>
    </fill>
    <fill>
      <patternFill patternType="solid">
        <fgColor rgb="FFC6EFCE"/>
      </patternFill>
    </fill>
    <fill>
      <patternFill patternType="solid">
        <fgColor theme="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1" tint="0.34998626667073579"/>
        <bgColor indexed="64"/>
      </patternFill>
    </fill>
    <fill>
      <patternFill patternType="solid">
        <fgColor theme="4" tint="0.39997558519241921"/>
        <bgColor indexed="64"/>
      </patternFill>
    </fill>
    <fill>
      <patternFill patternType="lightUp">
        <fgColor rgb="FF00FF00"/>
        <bgColor rgb="FFFFCC99"/>
      </patternFill>
    </fill>
    <fill>
      <patternFill patternType="lightUp">
        <fgColor rgb="FF00FF00"/>
        <bgColor theme="0"/>
      </patternFill>
    </fill>
    <fill>
      <patternFill patternType="gray125">
        <fgColor indexed="11"/>
        <bgColor theme="0"/>
      </patternFill>
    </fill>
  </fills>
  <borders count="130">
    <border>
      <left/>
      <right/>
      <top/>
      <bottom/>
      <diagonal/>
    </border>
    <border>
      <left/>
      <right style="double">
        <color indexed="10"/>
      </right>
      <top/>
      <bottom style="double">
        <color indexed="64"/>
      </bottom>
      <diagonal/>
    </border>
    <border>
      <left style="double">
        <color indexed="10"/>
      </left>
      <right style="double">
        <color indexed="10"/>
      </right>
      <top style="double">
        <color indexed="10"/>
      </top>
      <bottom style="double">
        <color indexed="10"/>
      </bottom>
      <diagonal/>
    </border>
    <border>
      <left style="double">
        <color indexed="10"/>
      </left>
      <right style="thick">
        <color indexed="64"/>
      </right>
      <top style="double">
        <color indexed="10"/>
      </top>
      <bottom style="double">
        <color indexed="10"/>
      </bottom>
      <diagonal/>
    </border>
    <border>
      <left style="double">
        <color indexed="64"/>
      </left>
      <right style="double">
        <color indexed="64"/>
      </right>
      <top style="double">
        <color indexed="64"/>
      </top>
      <bottom style="double">
        <color indexed="64"/>
      </bottom>
      <diagonal/>
    </border>
    <border>
      <left style="double">
        <color indexed="64"/>
      </left>
      <right style="double">
        <color indexed="10"/>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style="double">
        <color indexed="64"/>
      </left>
      <right/>
      <top style="double">
        <color indexed="64"/>
      </top>
      <bottom style="double">
        <color indexed="64"/>
      </bottom>
      <diagonal/>
    </border>
    <border>
      <left style="medium">
        <color indexed="17"/>
      </left>
      <right style="medium">
        <color indexed="17"/>
      </right>
      <top/>
      <bottom style="medium">
        <color indexed="17"/>
      </bottom>
      <diagonal/>
    </border>
    <border>
      <left style="medium">
        <color indexed="17"/>
      </left>
      <right/>
      <top/>
      <bottom style="medium">
        <color indexed="17"/>
      </bottom>
      <diagonal/>
    </border>
    <border>
      <left style="medium">
        <color indexed="17"/>
      </left>
      <right style="thick">
        <color indexed="64"/>
      </right>
      <top/>
      <bottom style="medium">
        <color indexed="17"/>
      </bottom>
      <diagonal/>
    </border>
    <border>
      <left style="medium">
        <color indexed="17"/>
      </left>
      <right style="medium">
        <color indexed="17"/>
      </right>
      <top style="medium">
        <color indexed="17"/>
      </top>
      <bottom style="medium">
        <color indexed="17"/>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diagonal/>
    </border>
    <border>
      <left style="medium">
        <color indexed="17"/>
      </left>
      <right/>
      <top style="medium">
        <color indexed="17"/>
      </top>
      <bottom style="medium">
        <color indexed="17"/>
      </bottom>
      <diagonal/>
    </border>
    <border>
      <left style="medium">
        <color indexed="17"/>
      </left>
      <right style="medium">
        <color indexed="17"/>
      </right>
      <top style="double">
        <color indexed="10"/>
      </top>
      <bottom style="medium">
        <color indexed="17"/>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medium">
        <color indexed="64"/>
      </top>
      <bottom style="medium">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right/>
      <top style="thin">
        <color indexed="64"/>
      </top>
      <bottom/>
      <diagonal/>
    </border>
    <border>
      <left style="thin">
        <color indexed="57"/>
      </left>
      <right/>
      <top/>
      <bottom/>
      <diagonal/>
    </border>
    <border>
      <left/>
      <right style="thin">
        <color indexed="57"/>
      </right>
      <top/>
      <bottom/>
      <diagonal/>
    </border>
    <border>
      <left/>
      <right/>
      <top style="thin">
        <color indexed="57"/>
      </top>
      <bottom/>
      <diagonal/>
    </border>
    <border>
      <left style="thin">
        <color indexed="57"/>
      </left>
      <right/>
      <top/>
      <bottom style="thin">
        <color indexed="57"/>
      </bottom>
      <diagonal/>
    </border>
    <border>
      <left/>
      <right style="thin">
        <color indexed="57"/>
      </right>
      <top/>
      <bottom style="thin">
        <color indexed="57"/>
      </bottom>
      <diagonal/>
    </border>
    <border>
      <left style="thin">
        <color indexed="57"/>
      </left>
      <right/>
      <top style="thin">
        <color indexed="57"/>
      </top>
      <bottom/>
      <diagonal/>
    </border>
    <border>
      <left/>
      <right style="thin">
        <color indexed="57"/>
      </right>
      <top style="thin">
        <color indexed="57"/>
      </top>
      <bottom/>
      <diagonal/>
    </border>
    <border>
      <left/>
      <right/>
      <top style="double">
        <color indexed="10"/>
      </top>
      <bottom style="double">
        <color indexed="10"/>
      </bottom>
      <diagonal/>
    </border>
    <border>
      <left/>
      <right style="thick">
        <color indexed="64"/>
      </right>
      <top style="double">
        <color indexed="10"/>
      </top>
      <bottom style="double">
        <color indexed="10"/>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17"/>
      </left>
      <right/>
      <top style="double">
        <color indexed="10"/>
      </top>
      <bottom style="medium">
        <color indexed="17"/>
      </bottom>
      <diagonal/>
    </border>
    <border>
      <left style="thick">
        <color indexed="64"/>
      </left>
      <right style="double">
        <color indexed="10"/>
      </right>
      <top style="double">
        <color indexed="10"/>
      </top>
      <bottom style="double">
        <color indexed="10"/>
      </bottom>
      <diagonal/>
    </border>
    <border>
      <left style="thick">
        <color indexed="64"/>
      </left>
      <right style="medium">
        <color indexed="17"/>
      </right>
      <top/>
      <bottom style="medium">
        <color indexed="17"/>
      </bottom>
      <diagonal/>
    </border>
    <border>
      <left style="medium">
        <color indexed="57"/>
      </left>
      <right style="thick">
        <color indexed="64"/>
      </right>
      <top/>
      <bottom style="medium">
        <color indexed="17"/>
      </bottom>
      <diagonal/>
    </border>
    <border>
      <left style="medium">
        <color indexed="57"/>
      </left>
      <right style="medium">
        <color indexed="57"/>
      </right>
      <top/>
      <bottom style="medium">
        <color indexed="17"/>
      </bottom>
      <diagonal/>
    </border>
    <border>
      <left style="medium">
        <color indexed="57"/>
      </left>
      <right style="medium">
        <color indexed="57"/>
      </right>
      <top style="double">
        <color indexed="10"/>
      </top>
      <bottom style="medium">
        <color indexed="17"/>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thin">
        <color indexed="64"/>
      </left>
      <right/>
      <top style="double">
        <color indexed="64"/>
      </top>
      <bottom/>
      <diagonal/>
    </border>
    <border>
      <left/>
      <right style="thin">
        <color indexed="64"/>
      </right>
      <top style="double">
        <color indexed="64"/>
      </top>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right style="medium">
        <color indexed="64"/>
      </right>
      <top/>
      <bottom style="thin">
        <color indexed="64"/>
      </bottom>
      <diagonal/>
    </border>
    <border>
      <left style="thick">
        <color indexed="64"/>
      </left>
      <right/>
      <top style="double">
        <color indexed="10"/>
      </top>
      <bottom style="double">
        <color indexed="10"/>
      </bottom>
      <diagonal/>
    </border>
    <border>
      <left/>
      <right/>
      <top style="thick">
        <color indexed="64"/>
      </top>
      <bottom/>
      <diagonal/>
    </border>
    <border>
      <left/>
      <right style="thin">
        <color indexed="64"/>
      </right>
      <top style="thick">
        <color indexed="64"/>
      </top>
      <bottom/>
      <diagonal/>
    </border>
    <border>
      <left/>
      <right/>
      <top/>
      <bottom style="thin">
        <color auto="1"/>
      </bottom>
      <diagonal/>
    </border>
    <border>
      <left/>
      <right/>
      <top style="medium">
        <color indexed="17"/>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ck">
        <color rgb="FF339966"/>
      </left>
      <right/>
      <top style="thick">
        <color rgb="FF339966"/>
      </top>
      <bottom/>
      <diagonal/>
    </border>
    <border>
      <left/>
      <right/>
      <top style="thick">
        <color rgb="FF339966"/>
      </top>
      <bottom/>
      <diagonal/>
    </border>
    <border>
      <left/>
      <right style="thick">
        <color rgb="FF339966"/>
      </right>
      <top style="thick">
        <color rgb="FF339966"/>
      </top>
      <bottom/>
      <diagonal/>
    </border>
    <border>
      <left style="thick">
        <color rgb="FF339966"/>
      </left>
      <right/>
      <top/>
      <bottom/>
      <diagonal/>
    </border>
    <border>
      <left/>
      <right style="thick">
        <color rgb="FF339966"/>
      </right>
      <top/>
      <bottom/>
      <diagonal/>
    </border>
    <border>
      <left style="thick">
        <color rgb="FF339966"/>
      </left>
      <right/>
      <top/>
      <bottom style="thick">
        <color rgb="FF339966"/>
      </bottom>
      <diagonal/>
    </border>
    <border>
      <left/>
      <right/>
      <top/>
      <bottom style="thick">
        <color rgb="FF339966"/>
      </bottom>
      <diagonal/>
    </border>
    <border>
      <left/>
      <right style="thick">
        <color rgb="FF339966"/>
      </right>
      <top/>
      <bottom style="thick">
        <color rgb="FF339966"/>
      </bottom>
      <diagonal/>
    </border>
    <border>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style="thin">
        <color rgb="FF3F3F3F"/>
      </right>
      <top style="thin">
        <color rgb="FF3F3F3F"/>
      </top>
      <bottom/>
      <diagonal/>
    </border>
    <border>
      <left/>
      <right style="thin">
        <color rgb="FF3F3F3F"/>
      </right>
      <top/>
      <bottom style="thin">
        <color rgb="FF3F3F3F"/>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57"/>
      </left>
      <right/>
      <top style="thin">
        <color indexed="57"/>
      </top>
      <bottom/>
      <diagonal/>
    </border>
    <border>
      <left/>
      <right style="thin">
        <color indexed="57"/>
      </right>
      <top style="thin">
        <color indexed="57"/>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57"/>
      </left>
      <right/>
      <top/>
      <bottom style="thin">
        <color indexed="57"/>
      </bottom>
      <diagonal/>
    </border>
    <border>
      <left/>
      <right style="thin">
        <color indexed="57"/>
      </right>
      <top/>
      <bottom style="thin">
        <color indexed="57"/>
      </bottom>
      <diagonal/>
    </border>
    <border>
      <left style="thin">
        <color auto="1"/>
      </left>
      <right/>
      <top/>
      <bottom/>
      <diagonal/>
    </border>
    <border>
      <left/>
      <right style="thin">
        <color auto="1"/>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medium">
        <color auto="1"/>
      </top>
      <bottom style="thin">
        <color auto="1"/>
      </bottom>
      <diagonal/>
    </border>
    <border>
      <left/>
      <right/>
      <top/>
      <bottom style="thin">
        <color indexed="64"/>
      </bottom>
      <diagonal/>
    </border>
    <border>
      <left/>
      <right style="medium">
        <color indexed="64"/>
      </right>
      <top/>
      <bottom style="thin">
        <color indexed="64"/>
      </bottom>
      <diagonal/>
    </border>
    <border>
      <left/>
      <right/>
      <top style="medium">
        <color indexed="64"/>
      </top>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right style="medium">
        <color indexed="64"/>
      </right>
      <top/>
      <bottom/>
      <diagonal/>
    </border>
    <border>
      <left style="medium">
        <color rgb="FF339966"/>
      </left>
      <right style="medium">
        <color indexed="17"/>
      </right>
      <top style="double">
        <color indexed="10"/>
      </top>
      <bottom style="medium">
        <color indexed="17"/>
      </bottom>
      <diagonal/>
    </border>
    <border>
      <left style="medium">
        <color rgb="FF339966"/>
      </left>
      <right style="medium">
        <color indexed="17"/>
      </right>
      <top/>
      <bottom style="medium">
        <color indexed="17"/>
      </bottom>
      <diagonal/>
    </border>
  </borders>
  <cellStyleXfs count="11">
    <xf numFmtId="0" fontId="0" fillId="0" borderId="0"/>
    <xf numFmtId="0" fontId="41" fillId="0" borderId="0" applyNumberFormat="0" applyFill="0" applyBorder="0" applyAlignment="0" applyProtection="0"/>
    <xf numFmtId="0" fontId="42" fillId="32" borderId="84" applyNumberFormat="0" applyAlignment="0" applyProtection="0"/>
    <xf numFmtId="0" fontId="43" fillId="33" borderId="85" applyNumberFormat="0" applyAlignment="0" applyProtection="0"/>
    <xf numFmtId="0" fontId="44" fillId="34" borderId="86" applyNumberFormat="0" applyAlignment="0" applyProtection="0"/>
    <xf numFmtId="0" fontId="50" fillId="40" borderId="0" applyNumberFormat="0" applyBorder="0" applyAlignment="0" applyProtection="0"/>
    <xf numFmtId="0" fontId="51" fillId="41" borderId="0" applyNumberFormat="0" applyBorder="0" applyAlignment="0" applyProtection="0"/>
    <xf numFmtId="0" fontId="5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51" fillId="49" borderId="0" applyNumberFormat="0" applyBorder="0" applyAlignment="0" applyProtection="0"/>
  </cellStyleXfs>
  <cellXfs count="803">
    <xf numFmtId="0" fontId="0" fillId="0" borderId="0" xfId="0"/>
    <xf numFmtId="0" fontId="0" fillId="0" borderId="0" xfId="0" applyFill="1"/>
    <xf numFmtId="0" fontId="8" fillId="0" borderId="0" xfId="0" applyFont="1" applyFill="1"/>
    <xf numFmtId="0" fontId="0" fillId="0" borderId="0" xfId="0" applyAlignment="1">
      <alignment horizontal="center" vertical="center"/>
    </xf>
    <xf numFmtId="10" fontId="0" fillId="0" borderId="0" xfId="0" applyNumberFormat="1" applyAlignment="1">
      <alignment horizontal="center" vertical="center"/>
    </xf>
    <xf numFmtId="0" fontId="8" fillId="0" borderId="0" xfId="0" applyFont="1"/>
    <xf numFmtId="0" fontId="6" fillId="0" borderId="1" xfId="0" applyFont="1" applyBorder="1" applyAlignment="1" applyProtection="1">
      <alignment horizontal="center"/>
    </xf>
    <xf numFmtId="0" fontId="6" fillId="0" borderId="2" xfId="0" applyFont="1" applyBorder="1" applyAlignment="1" applyProtection="1">
      <alignment horizontal="center"/>
    </xf>
    <xf numFmtId="0" fontId="6" fillId="0" borderId="3" xfId="0" applyFont="1" applyBorder="1" applyAlignment="1" applyProtection="1">
      <alignment horizontal="center"/>
    </xf>
    <xf numFmtId="0" fontId="0" fillId="0" borderId="0" xfId="0" applyProtection="1"/>
    <xf numFmtId="0" fontId="6" fillId="0" borderId="4" xfId="0" applyFont="1" applyBorder="1" applyAlignment="1" applyProtection="1">
      <alignment horizontal="center"/>
    </xf>
    <xf numFmtId="10" fontId="6" fillId="0" borderId="5" xfId="0" applyNumberFormat="1" applyFont="1" applyBorder="1" applyAlignment="1" applyProtection="1">
      <alignment horizontal="center"/>
    </xf>
    <xf numFmtId="164" fontId="6" fillId="0" borderId="6" xfId="0" applyNumberFormat="1" applyFont="1" applyBorder="1" applyAlignment="1" applyProtection="1">
      <alignment horizontal="center"/>
    </xf>
    <xf numFmtId="2" fontId="6" fillId="0" borderId="2" xfId="0" applyNumberFormat="1" applyFont="1" applyBorder="1" applyAlignment="1" applyProtection="1">
      <alignment horizontal="center"/>
    </xf>
    <xf numFmtId="164" fontId="6" fillId="0" borderId="2" xfId="0" applyNumberFormat="1" applyFont="1" applyBorder="1" applyAlignment="1" applyProtection="1">
      <alignment horizontal="center"/>
    </xf>
    <xf numFmtId="164" fontId="6" fillId="0" borderId="7" xfId="0" applyNumberFormat="1" applyFont="1" applyBorder="1" applyAlignment="1" applyProtection="1">
      <alignment horizontal="center"/>
    </xf>
    <xf numFmtId="164" fontId="6" fillId="0" borderId="3" xfId="0" applyNumberFormat="1" applyFont="1" applyBorder="1" applyAlignment="1" applyProtection="1">
      <alignment horizontal="center"/>
    </xf>
    <xf numFmtId="10" fontId="7" fillId="0" borderId="6" xfId="0" applyNumberFormat="1" applyFont="1" applyBorder="1" applyAlignment="1" applyProtection="1">
      <alignment horizontal="center"/>
    </xf>
    <xf numFmtId="0" fontId="6" fillId="0" borderId="8" xfId="0" applyFont="1" applyBorder="1" applyAlignment="1" applyProtection="1">
      <alignment horizontal="center"/>
    </xf>
    <xf numFmtId="10" fontId="0" fillId="0" borderId="9" xfId="0" applyNumberFormat="1" applyBorder="1" applyAlignment="1" applyProtection="1">
      <alignment horizontal="center"/>
    </xf>
    <xf numFmtId="164" fontId="0" fillId="0" borderId="9" xfId="0" applyNumberFormat="1" applyBorder="1" applyAlignment="1" applyProtection="1">
      <alignment horizontal="center"/>
    </xf>
    <xf numFmtId="2" fontId="0" fillId="0" borderId="9" xfId="0" applyNumberFormat="1" applyBorder="1" applyAlignment="1" applyProtection="1">
      <alignment horizontal="center"/>
    </xf>
    <xf numFmtId="0" fontId="0" fillId="0" borderId="9" xfId="0" applyBorder="1" applyAlignment="1" applyProtection="1">
      <alignment horizontal="center"/>
    </xf>
    <xf numFmtId="164" fontId="0" fillId="0" borderId="10" xfId="0" applyNumberFormat="1" applyBorder="1" applyAlignment="1" applyProtection="1">
      <alignment horizontal="center"/>
    </xf>
    <xf numFmtId="164" fontId="0" fillId="0" borderId="11" xfId="0" applyNumberFormat="1" applyBorder="1" applyAlignment="1" applyProtection="1">
      <alignment horizontal="center"/>
    </xf>
    <xf numFmtId="10" fontId="0" fillId="0" borderId="12" xfId="0" applyNumberFormat="1" applyBorder="1" applyAlignment="1" applyProtection="1">
      <alignment horizontal="center"/>
    </xf>
    <xf numFmtId="2" fontId="0" fillId="0" borderId="12" xfId="0" applyNumberFormat="1" applyBorder="1" applyAlignment="1" applyProtection="1">
      <alignment horizontal="center"/>
    </xf>
    <xf numFmtId="9" fontId="0" fillId="0" borderId="12" xfId="0" applyNumberFormat="1" applyBorder="1" applyAlignment="1" applyProtection="1">
      <alignment horizontal="center"/>
    </xf>
    <xf numFmtId="164" fontId="0" fillId="0" borderId="12" xfId="0" applyNumberFormat="1" applyBorder="1" applyAlignment="1" applyProtection="1">
      <alignment horizontal="center"/>
    </xf>
    <xf numFmtId="0" fontId="6" fillId="2" borderId="8" xfId="0" applyFont="1" applyFill="1" applyBorder="1" applyAlignment="1" applyProtection="1">
      <alignment horizontal="center"/>
    </xf>
    <xf numFmtId="0" fontId="6" fillId="3" borderId="8" xfId="0" applyFont="1" applyFill="1" applyBorder="1" applyAlignment="1" applyProtection="1">
      <alignment horizontal="center"/>
    </xf>
    <xf numFmtId="0" fontId="6" fillId="4" borderId="8" xfId="0" applyFont="1" applyFill="1" applyBorder="1" applyAlignment="1" applyProtection="1">
      <alignment horizontal="center"/>
    </xf>
    <xf numFmtId="0" fontId="6" fillId="0" borderId="8" xfId="0" applyFont="1" applyFill="1" applyBorder="1" applyAlignment="1" applyProtection="1">
      <alignment horizontal="center"/>
    </xf>
    <xf numFmtId="0" fontId="6" fillId="0" borderId="0" xfId="0" applyFont="1" applyAlignment="1" applyProtection="1">
      <alignment horizontal="center"/>
    </xf>
    <xf numFmtId="10" fontId="0" fillId="0" borderId="0" xfId="0" applyNumberFormat="1" applyAlignment="1" applyProtection="1">
      <alignment horizontal="center"/>
    </xf>
    <xf numFmtId="164" fontId="0" fillId="0" borderId="0" xfId="0" applyNumberFormat="1" applyAlignment="1" applyProtection="1">
      <alignment horizontal="center"/>
    </xf>
    <xf numFmtId="2" fontId="0" fillId="0" borderId="0" xfId="0" applyNumberFormat="1" applyAlignment="1" applyProtection="1">
      <alignment horizontal="center"/>
    </xf>
    <xf numFmtId="0" fontId="0" fillId="0" borderId="0" xfId="0" applyAlignment="1" applyProtection="1">
      <alignment horizontal="center"/>
    </xf>
    <xf numFmtId="0" fontId="11" fillId="0" borderId="0" xfId="0" applyFont="1" applyFill="1" applyAlignment="1">
      <alignment horizontal="center"/>
    </xf>
    <xf numFmtId="10" fontId="0" fillId="0" borderId="0" xfId="0" applyNumberFormat="1" applyProtection="1"/>
    <xf numFmtId="10" fontId="2" fillId="0" borderId="0" xfId="0" applyNumberFormat="1" applyFont="1" applyFill="1"/>
    <xf numFmtId="0" fontId="0" fillId="0" borderId="0" xfId="0" applyProtection="1">
      <protection locked="0"/>
    </xf>
    <xf numFmtId="0" fontId="8" fillId="0" borderId="0" xfId="0" applyFont="1" applyFill="1" applyProtection="1">
      <protection locked="0"/>
    </xf>
    <xf numFmtId="0" fontId="0" fillId="0" borderId="0" xfId="0" applyFill="1" applyProtection="1">
      <protection locked="0"/>
    </xf>
    <xf numFmtId="0" fontId="0" fillId="0" borderId="0" xfId="0" applyBorder="1" applyAlignment="1" applyProtection="1">
      <alignment horizontal="center" vertical="center" wrapText="1"/>
      <protection locked="0"/>
    </xf>
    <xf numFmtId="10" fontId="9" fillId="0" borderId="0" xfId="0" applyNumberFormat="1" applyFont="1" applyAlignment="1" applyProtection="1">
      <alignment horizontal="left" vertical="center"/>
      <protection locked="0"/>
    </xf>
    <xf numFmtId="10"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2" fillId="0" borderId="0" xfId="0" applyFont="1" applyFill="1"/>
    <xf numFmtId="165" fontId="2" fillId="0" borderId="0" xfId="0" applyNumberFormat="1" applyFont="1" applyFill="1"/>
    <xf numFmtId="165" fontId="2" fillId="0" borderId="0" xfId="0" applyNumberFormat="1" applyFont="1" applyFill="1" applyProtection="1">
      <protection hidden="1"/>
    </xf>
    <xf numFmtId="0" fontId="2" fillId="0" borderId="0" xfId="0" applyFont="1" applyProtection="1">
      <protection hidden="1"/>
    </xf>
    <xf numFmtId="168" fontId="2" fillId="0" borderId="0" xfId="0" applyNumberFormat="1" applyFont="1" applyProtection="1">
      <protection hidden="1"/>
    </xf>
    <xf numFmtId="0" fontId="2" fillId="0" borderId="0" xfId="0" applyFont="1" applyFill="1" applyProtection="1">
      <protection hidden="1"/>
    </xf>
    <xf numFmtId="170" fontId="0" fillId="0" borderId="0" xfId="0" applyNumberFormat="1" applyBorder="1" applyAlignment="1" applyProtection="1">
      <alignment horizontal="center" vertical="center" wrapText="1"/>
      <protection locked="0"/>
    </xf>
    <xf numFmtId="171" fontId="2" fillId="0" borderId="0" xfId="0" applyNumberFormat="1" applyFont="1" applyProtection="1">
      <protection hidden="1"/>
    </xf>
    <xf numFmtId="0" fontId="6" fillId="0" borderId="0" xfId="0" applyFont="1" applyFill="1" applyBorder="1" applyAlignment="1" applyProtection="1">
      <alignment horizontal="center" vertical="center"/>
      <protection locked="0"/>
    </xf>
    <xf numFmtId="10" fontId="12" fillId="0" borderId="0" xfId="0" applyNumberFormat="1" applyFont="1" applyBorder="1" applyAlignment="1" applyProtection="1">
      <alignment horizontal="center"/>
      <protection locked="0"/>
    </xf>
    <xf numFmtId="0" fontId="12" fillId="0" borderId="0" xfId="0" applyFont="1"/>
    <xf numFmtId="10" fontId="12" fillId="0" borderId="0" xfId="0" applyNumberFormat="1" applyFont="1" applyFill="1"/>
    <xf numFmtId="0" fontId="12" fillId="0" borderId="0" xfId="0" applyFont="1" applyFill="1" applyProtection="1">
      <protection locked="0"/>
    </xf>
    <xf numFmtId="10" fontId="12" fillId="0" borderId="0" xfId="0" applyNumberFormat="1" applyFont="1"/>
    <xf numFmtId="0" fontId="12" fillId="0" borderId="0" xfId="0" applyFont="1" applyProtection="1">
      <protection locked="0"/>
    </xf>
    <xf numFmtId="0" fontId="12" fillId="0" borderId="0" xfId="0" applyFont="1" applyFill="1" applyAlignment="1"/>
    <xf numFmtId="0" fontId="12" fillId="0" borderId="0" xfId="0" applyFont="1" applyAlignment="1"/>
    <xf numFmtId="0" fontId="2" fillId="0" borderId="0" xfId="0" applyFont="1" applyFill="1" applyAlignment="1"/>
    <xf numFmtId="165" fontId="2" fillId="0" borderId="0" xfId="0" applyNumberFormat="1" applyFont="1" applyFill="1" applyAlignment="1"/>
    <xf numFmtId="0" fontId="12" fillId="0" borderId="13" xfId="0" applyFont="1" applyBorder="1" applyAlignment="1"/>
    <xf numFmtId="0" fontId="12" fillId="0" borderId="13" xfId="0" applyFont="1" applyFill="1" applyBorder="1" applyAlignment="1"/>
    <xf numFmtId="166" fontId="12" fillId="0" borderId="13" xfId="0" applyNumberFormat="1" applyFont="1" applyBorder="1" applyAlignment="1"/>
    <xf numFmtId="165" fontId="2" fillId="0" borderId="13" xfId="0" applyNumberFormat="1" applyFont="1" applyFill="1" applyBorder="1"/>
    <xf numFmtId="165" fontId="2" fillId="0" borderId="13" xfId="0" applyNumberFormat="1" applyFont="1" applyFill="1" applyBorder="1" applyProtection="1">
      <protection hidden="1"/>
    </xf>
    <xf numFmtId="1" fontId="2" fillId="0" borderId="13" xfId="0" applyNumberFormat="1" applyFont="1" applyFill="1" applyBorder="1"/>
    <xf numFmtId="1" fontId="2" fillId="0" borderId="13" xfId="0" applyNumberFormat="1" applyFont="1" applyFill="1" applyBorder="1" applyProtection="1">
      <protection hidden="1"/>
    </xf>
    <xf numFmtId="166" fontId="2" fillId="0" borderId="13" xfId="0" applyNumberFormat="1" applyFont="1" applyFill="1" applyBorder="1" applyProtection="1">
      <protection hidden="1"/>
    </xf>
    <xf numFmtId="166" fontId="2" fillId="0" borderId="13" xfId="0" applyNumberFormat="1" applyFont="1" applyFill="1" applyBorder="1"/>
    <xf numFmtId="0" fontId="2" fillId="0" borderId="13" xfId="0" applyFont="1" applyFill="1" applyBorder="1"/>
    <xf numFmtId="166" fontId="2" fillId="0" borderId="14" xfId="0" applyNumberFormat="1" applyFont="1" applyFill="1" applyBorder="1"/>
    <xf numFmtId="166" fontId="2" fillId="0" borderId="13" xfId="0" applyNumberFormat="1" applyFont="1" applyFill="1" applyBorder="1" applyAlignment="1">
      <alignment horizontal="center" vertical="center"/>
    </xf>
    <xf numFmtId="0" fontId="0" fillId="0" borderId="13" xfId="0" applyBorder="1" applyAlignment="1">
      <alignment horizontal="center" vertical="center"/>
    </xf>
    <xf numFmtId="10" fontId="2" fillId="0" borderId="13" xfId="0" applyNumberFormat="1" applyFont="1" applyFill="1" applyBorder="1"/>
    <xf numFmtId="0" fontId="12" fillId="0" borderId="0" xfId="0" applyFont="1" applyBorder="1"/>
    <xf numFmtId="0" fontId="13" fillId="0" borderId="0" xfId="0" applyFont="1" applyFill="1"/>
    <xf numFmtId="0" fontId="0" fillId="0" borderId="0" xfId="0" applyBorder="1"/>
    <xf numFmtId="0" fontId="0" fillId="0" borderId="17" xfId="0" applyBorder="1"/>
    <xf numFmtId="0" fontId="17" fillId="0" borderId="0" xfId="0" applyFont="1" applyAlignment="1">
      <alignment horizontal="center"/>
    </xf>
    <xf numFmtId="1" fontId="5" fillId="5" borderId="13" xfId="0" applyNumberFormat="1" applyFont="1" applyFill="1" applyBorder="1" applyAlignment="1" applyProtection="1">
      <alignment horizontal="center"/>
      <protection locked="0"/>
    </xf>
    <xf numFmtId="0" fontId="7" fillId="0" borderId="0" xfId="0" applyFont="1" applyFill="1" applyBorder="1" applyAlignment="1" applyProtection="1">
      <alignment horizontal="center" vertical="center"/>
      <protection locked="0"/>
    </xf>
    <xf numFmtId="0" fontId="0" fillId="0" borderId="18" xfId="0" applyBorder="1"/>
    <xf numFmtId="0" fontId="0" fillId="0" borderId="13" xfId="0" applyBorder="1"/>
    <xf numFmtId="1" fontId="5" fillId="5" borderId="13" xfId="0" applyNumberFormat="1" applyFont="1" applyFill="1" applyBorder="1" applyAlignment="1" applyProtection="1">
      <alignment horizontal="center" vertical="center"/>
      <protection locked="0"/>
    </xf>
    <xf numFmtId="0" fontId="22" fillId="0" borderId="13" xfId="0" applyFont="1" applyFill="1" applyBorder="1" applyAlignment="1">
      <alignment horizontal="center"/>
    </xf>
    <xf numFmtId="0" fontId="12" fillId="0" borderId="13" xfId="0" applyFont="1" applyFill="1" applyBorder="1"/>
    <xf numFmtId="10" fontId="2" fillId="0" borderId="13" xfId="0" applyNumberFormat="1" applyFont="1" applyFill="1" applyBorder="1" applyProtection="1">
      <protection hidden="1"/>
    </xf>
    <xf numFmtId="166" fontId="12" fillId="0" borderId="14" xfId="0" applyNumberFormat="1" applyFont="1" applyFill="1" applyBorder="1"/>
    <xf numFmtId="2" fontId="0" fillId="0" borderId="0" xfId="0" applyNumberFormat="1" applyBorder="1" applyAlignment="1">
      <alignment horizontal="center"/>
    </xf>
    <xf numFmtId="2" fontId="2" fillId="0" borderId="13" xfId="0" applyNumberFormat="1" applyFont="1" applyFill="1" applyBorder="1"/>
    <xf numFmtId="2" fontId="2" fillId="0" borderId="0" xfId="0" applyNumberFormat="1" applyFont="1" applyFill="1" applyBorder="1"/>
    <xf numFmtId="2" fontId="2" fillId="0" borderId="0" xfId="0" applyNumberFormat="1" applyFont="1" applyFill="1" applyBorder="1" applyProtection="1">
      <protection hidden="1"/>
    </xf>
    <xf numFmtId="169" fontId="2" fillId="0" borderId="13" xfId="0" applyNumberFormat="1" applyFont="1" applyFill="1" applyBorder="1"/>
    <xf numFmtId="169" fontId="2" fillId="0" borderId="13" xfId="0" applyNumberFormat="1" applyFont="1" applyFill="1" applyBorder="1" applyProtection="1">
      <protection hidden="1"/>
    </xf>
    <xf numFmtId="0" fontId="0" fillId="0" borderId="19" xfId="0" applyBorder="1"/>
    <xf numFmtId="0" fontId="0" fillId="0" borderId="13" xfId="0" applyBorder="1" applyAlignment="1">
      <alignment wrapText="1"/>
    </xf>
    <xf numFmtId="0" fontId="8" fillId="0" borderId="13" xfId="0" applyFont="1" applyFill="1" applyBorder="1" applyProtection="1">
      <protection locked="0"/>
    </xf>
    <xf numFmtId="2" fontId="2" fillId="6" borderId="13" xfId="0" applyNumberFormat="1" applyFont="1" applyFill="1" applyBorder="1" applyProtection="1">
      <protection hidden="1"/>
    </xf>
    <xf numFmtId="2" fontId="2" fillId="0" borderId="14" xfId="0" applyNumberFormat="1" applyFont="1" applyFill="1" applyBorder="1"/>
    <xf numFmtId="10" fontId="2" fillId="0" borderId="19" xfId="0" applyNumberFormat="1" applyFont="1" applyFill="1" applyBorder="1"/>
    <xf numFmtId="2" fontId="2" fillId="0" borderId="19" xfId="0" applyNumberFormat="1" applyFont="1" applyFill="1" applyBorder="1"/>
    <xf numFmtId="0" fontId="2" fillId="0" borderId="0" xfId="0" applyFont="1" applyFill="1" applyBorder="1"/>
    <xf numFmtId="166" fontId="2" fillId="0" borderId="0" xfId="0" applyNumberFormat="1" applyFont="1" applyFill="1" applyBorder="1"/>
    <xf numFmtId="10" fontId="2" fillId="0" borderId="0" xfId="0" applyNumberFormat="1" applyFont="1" applyFill="1" applyBorder="1"/>
    <xf numFmtId="165" fontId="2" fillId="0" borderId="0" xfId="0" applyNumberFormat="1" applyFont="1" applyFill="1" applyBorder="1"/>
    <xf numFmtId="0" fontId="2" fillId="0" borderId="20" xfId="0" applyFont="1" applyFill="1" applyBorder="1"/>
    <xf numFmtId="2" fontId="12" fillId="0" borderId="21" xfId="0" applyNumberFormat="1" applyFont="1" applyBorder="1" applyAlignment="1" applyProtection="1">
      <alignment horizontal="center"/>
      <protection locked="0"/>
    </xf>
    <xf numFmtId="0" fontId="12" fillId="0" borderId="22" xfId="0" applyFont="1" applyBorder="1" applyAlignment="1">
      <alignment wrapText="1"/>
    </xf>
    <xf numFmtId="0" fontId="12" fillId="0" borderId="22" xfId="0" applyFont="1" applyBorder="1"/>
    <xf numFmtId="164" fontId="0" fillId="0" borderId="0" xfId="0" applyNumberFormat="1"/>
    <xf numFmtId="2" fontId="0" fillId="0" borderId="0" xfId="0" applyNumberFormat="1"/>
    <xf numFmtId="0" fontId="0" fillId="0" borderId="13" xfId="0" applyFill="1" applyBorder="1"/>
    <xf numFmtId="0" fontId="12" fillId="0" borderId="0" xfId="0" applyFont="1" applyFill="1" applyBorder="1"/>
    <xf numFmtId="164" fontId="5" fillId="0" borderId="0" xfId="0" applyNumberFormat="1" applyFont="1" applyFill="1" applyBorder="1" applyAlignment="1" applyProtection="1">
      <alignment horizontal="center" vertical="center"/>
      <protection locked="0"/>
    </xf>
    <xf numFmtId="0" fontId="3" fillId="0" borderId="0" xfId="0" applyFont="1" applyFill="1" applyBorder="1" applyAlignment="1" applyProtection="1">
      <protection locked="0"/>
    </xf>
    <xf numFmtId="0" fontId="8" fillId="0" borderId="0" xfId="0" applyFont="1" applyFill="1" applyBorder="1" applyAlignment="1" applyProtection="1">
      <protection locked="0"/>
    </xf>
    <xf numFmtId="0" fontId="23" fillId="0" borderId="0" xfId="0" applyFont="1" applyFill="1" applyBorder="1" applyAlignment="1" applyProtection="1">
      <alignment horizontal="center" vertical="center" wrapText="1"/>
      <protection locked="0"/>
    </xf>
    <xf numFmtId="0" fontId="23" fillId="0" borderId="0" xfId="0" applyFont="1" applyFill="1" applyBorder="1" applyProtection="1">
      <protection locked="0"/>
    </xf>
    <xf numFmtId="10" fontId="12" fillId="0" borderId="0" xfId="0" applyNumberFormat="1" applyFont="1" applyFill="1" applyBorder="1"/>
    <xf numFmtId="0" fontId="23" fillId="0" borderId="0" xfId="0" applyFont="1" applyFill="1" applyBorder="1"/>
    <xf numFmtId="0" fontId="4" fillId="0" borderId="0" xfId="0" applyFont="1" applyFill="1" applyBorder="1" applyAlignment="1" applyProtection="1">
      <alignment horizontal="center"/>
      <protection locked="0"/>
    </xf>
    <xf numFmtId="0" fontId="8" fillId="0" borderId="0" xfId="0" applyFont="1" applyFill="1" applyBorder="1" applyProtection="1">
      <protection locked="0"/>
    </xf>
    <xf numFmtId="10" fontId="23" fillId="0" borderId="0" xfId="0" applyNumberFormat="1" applyFont="1" applyFill="1" applyBorder="1" applyAlignment="1">
      <alignment horizontal="center" vertical="center"/>
    </xf>
    <xf numFmtId="0" fontId="12" fillId="0" borderId="0" xfId="0" applyFont="1" applyFill="1" applyBorder="1" applyProtection="1">
      <protection locked="0"/>
    </xf>
    <xf numFmtId="0" fontId="23" fillId="0" borderId="0" xfId="0" applyFont="1" applyFill="1" applyBorder="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8" fillId="0" borderId="0" xfId="0" applyFont="1" applyFill="1" applyBorder="1"/>
    <xf numFmtId="0" fontId="7" fillId="0" borderId="0" xfId="0" applyFont="1" applyFill="1" applyBorder="1" applyAlignment="1" applyProtection="1">
      <alignment horizontal="center" vertical="center" wrapText="1"/>
      <protection locked="0"/>
    </xf>
    <xf numFmtId="168" fontId="2" fillId="0" borderId="13" xfId="0" applyNumberFormat="1" applyFont="1" applyBorder="1" applyProtection="1">
      <protection hidden="1"/>
    </xf>
    <xf numFmtId="171" fontId="2" fillId="0" borderId="13" xfId="0" applyNumberFormat="1" applyFont="1" applyBorder="1" applyProtection="1">
      <protection hidden="1"/>
    </xf>
    <xf numFmtId="0" fontId="2" fillId="0" borderId="13" xfId="0" applyFont="1" applyBorder="1" applyProtection="1">
      <protection hidden="1"/>
    </xf>
    <xf numFmtId="164" fontId="0" fillId="0" borderId="0" xfId="0" applyNumberFormat="1" applyProtection="1"/>
    <xf numFmtId="0" fontId="0" fillId="0" borderId="0" xfId="0" applyFill="1" applyBorder="1" applyAlignment="1" applyProtection="1">
      <alignment horizontal="center" vertical="center" wrapText="1"/>
      <protection locked="0"/>
    </xf>
    <xf numFmtId="0" fontId="0" fillId="0" borderId="0" xfId="0" applyFill="1" applyBorder="1" applyAlignment="1" applyProtection="1">
      <alignment horizontal="center" vertical="center"/>
      <protection locked="0"/>
    </xf>
    <xf numFmtId="0" fontId="0" fillId="0" borderId="0" xfId="0" applyFill="1" applyBorder="1" applyProtection="1">
      <protection locked="0"/>
    </xf>
    <xf numFmtId="0" fontId="0" fillId="0" borderId="0" xfId="0" applyFill="1" applyBorder="1" applyAlignment="1" applyProtection="1">
      <protection locked="0"/>
    </xf>
    <xf numFmtId="0" fontId="6" fillId="0" borderId="0" xfId="0" applyFont="1" applyFill="1" applyBorder="1" applyAlignment="1" applyProtection="1">
      <alignment horizontal="center" vertical="center" wrapText="1"/>
      <protection locked="0"/>
    </xf>
    <xf numFmtId="49" fontId="0" fillId="0" borderId="13" xfId="0" applyNumberFormat="1" applyBorder="1" applyAlignment="1">
      <alignment horizontal="center" vertical="center"/>
    </xf>
    <xf numFmtId="0" fontId="2" fillId="8" borderId="0" xfId="0" applyFont="1" applyFill="1"/>
    <xf numFmtId="0" fontId="0" fillId="9" borderId="0" xfId="0" applyFill="1" applyBorder="1"/>
    <xf numFmtId="0" fontId="0" fillId="9" borderId="0" xfId="0" applyFill="1"/>
    <xf numFmtId="0" fontId="0" fillId="10" borderId="0" xfId="0" applyFill="1"/>
    <xf numFmtId="0" fontId="0" fillId="11" borderId="0" xfId="0" applyFill="1"/>
    <xf numFmtId="164" fontId="13" fillId="0" borderId="0" xfId="0" applyNumberFormat="1" applyFont="1" applyFill="1"/>
    <xf numFmtId="10" fontId="0" fillId="0" borderId="0" xfId="0" applyNumberFormat="1" applyFill="1" applyBorder="1"/>
    <xf numFmtId="0" fontId="0" fillId="0" borderId="0" xfId="0" applyFill="1" applyBorder="1"/>
    <xf numFmtId="164" fontId="0" fillId="0" borderId="25" xfId="0" applyNumberFormat="1" applyBorder="1" applyAlignment="1" applyProtection="1">
      <alignment horizontal="center"/>
    </xf>
    <xf numFmtId="164" fontId="0" fillId="0" borderId="26" xfId="0" applyNumberFormat="1" applyBorder="1" applyAlignment="1" applyProtection="1">
      <alignment horizontal="center"/>
    </xf>
    <xf numFmtId="0" fontId="0" fillId="0" borderId="14" xfId="0" applyBorder="1"/>
    <xf numFmtId="0" fontId="0" fillId="0" borderId="27" xfId="0" applyBorder="1"/>
    <xf numFmtId="2" fontId="0" fillId="0" borderId="0" xfId="0" applyNumberFormat="1" applyFill="1" applyBorder="1"/>
    <xf numFmtId="0" fontId="17" fillId="7" borderId="0" xfId="0" applyFont="1" applyFill="1" applyBorder="1" applyAlignment="1">
      <alignment horizontal="center"/>
    </xf>
    <xf numFmtId="2" fontId="5" fillId="13" borderId="13" xfId="0" applyNumberFormat="1" applyFont="1" applyFill="1" applyBorder="1" applyAlignment="1" applyProtection="1">
      <alignment horizontal="center"/>
      <protection locked="0"/>
    </xf>
    <xf numFmtId="172" fontId="2" fillId="0" borderId="13" xfId="0" applyNumberFormat="1" applyFont="1" applyFill="1" applyBorder="1"/>
    <xf numFmtId="172" fontId="2" fillId="0" borderId="0" xfId="0" applyNumberFormat="1" applyFont="1" applyFill="1"/>
    <xf numFmtId="0" fontId="25" fillId="15" borderId="30" xfId="0" applyFont="1" applyFill="1" applyBorder="1" applyAlignment="1">
      <alignment horizontal="left" vertical="center"/>
    </xf>
    <xf numFmtId="0" fontId="25" fillId="15" borderId="29" xfId="0" applyFont="1" applyFill="1" applyBorder="1" applyAlignment="1">
      <alignment horizontal="left" vertical="center"/>
    </xf>
    <xf numFmtId="0" fontId="0" fillId="7" borderId="31" xfId="0" applyFill="1" applyBorder="1"/>
    <xf numFmtId="0" fontId="17" fillId="7" borderId="32" xfId="0" applyFont="1" applyFill="1" applyBorder="1" applyAlignment="1">
      <alignment horizontal="center"/>
    </xf>
    <xf numFmtId="0" fontId="17" fillId="7" borderId="33" xfId="0" applyFont="1" applyFill="1" applyBorder="1" applyAlignment="1">
      <alignment horizontal="center"/>
    </xf>
    <xf numFmtId="0" fontId="0" fillId="7" borderId="34" xfId="0" applyFill="1" applyBorder="1"/>
    <xf numFmtId="0" fontId="17" fillId="7" borderId="35" xfId="0" applyFont="1" applyFill="1" applyBorder="1" applyAlignment="1">
      <alignment horizontal="center"/>
    </xf>
    <xf numFmtId="0" fontId="0" fillId="7" borderId="35" xfId="0" applyFill="1" applyBorder="1"/>
    <xf numFmtId="0" fontId="0" fillId="7" borderId="36" xfId="0" applyFill="1" applyBorder="1"/>
    <xf numFmtId="0" fontId="0" fillId="7" borderId="38" xfId="0" applyFill="1" applyBorder="1"/>
    <xf numFmtId="0" fontId="0" fillId="7" borderId="33" xfId="0" applyFill="1" applyBorder="1"/>
    <xf numFmtId="0" fontId="18" fillId="7" borderId="34" xfId="0" applyFont="1" applyFill="1" applyBorder="1" applyAlignment="1">
      <alignment horizontal="center"/>
    </xf>
    <xf numFmtId="0" fontId="0" fillId="0" borderId="18" xfId="0" applyFill="1" applyBorder="1"/>
    <xf numFmtId="0" fontId="18" fillId="7" borderId="31" xfId="0" applyFont="1" applyFill="1" applyBorder="1" applyAlignment="1">
      <alignment horizontal="center"/>
    </xf>
    <xf numFmtId="2" fontId="2" fillId="0" borderId="0" xfId="0" applyNumberFormat="1" applyFont="1" applyFill="1"/>
    <xf numFmtId="0" fontId="0" fillId="16" borderId="0" xfId="0" applyFill="1"/>
    <xf numFmtId="0" fontId="0" fillId="10" borderId="0" xfId="0" applyFill="1" applyProtection="1">
      <protection locked="0"/>
    </xf>
    <xf numFmtId="2" fontId="2" fillId="0" borderId="0" xfId="0" applyNumberFormat="1" applyFont="1" applyProtection="1">
      <protection hidden="1"/>
    </xf>
    <xf numFmtId="10" fontId="0" fillId="0" borderId="0" xfId="0" applyNumberFormat="1"/>
    <xf numFmtId="0" fontId="2" fillId="0" borderId="0" xfId="0" applyFont="1" applyFill="1" applyBorder="1" applyAlignment="1"/>
    <xf numFmtId="0" fontId="24" fillId="8" borderId="0" xfId="0" applyFont="1" applyFill="1" applyBorder="1" applyAlignment="1">
      <alignment horizontal="center" vertical="center" wrapText="1"/>
    </xf>
    <xf numFmtId="0" fontId="2" fillId="8" borderId="35" xfId="0" applyFont="1" applyFill="1" applyBorder="1"/>
    <xf numFmtId="0" fontId="12" fillId="0" borderId="0" xfId="0" applyFont="1" applyFill="1" applyBorder="1" applyAlignment="1"/>
    <xf numFmtId="0" fontId="2" fillId="8" borderId="0" xfId="0" applyFont="1" applyFill="1" applyBorder="1"/>
    <xf numFmtId="0" fontId="2" fillId="20" borderId="40" xfId="0" applyFont="1" applyFill="1" applyBorder="1"/>
    <xf numFmtId="0" fontId="2" fillId="20" borderId="41" xfId="0" applyFont="1" applyFill="1" applyBorder="1"/>
    <xf numFmtId="0" fontId="2" fillId="8" borderId="42" xfId="0" applyFont="1" applyFill="1" applyBorder="1"/>
    <xf numFmtId="0" fontId="32" fillId="21" borderId="43" xfId="0" applyFont="1" applyFill="1" applyBorder="1" applyAlignment="1">
      <alignment horizontal="center" vertical="top" wrapText="1"/>
    </xf>
    <xf numFmtId="0" fontId="32" fillId="21" borderId="44" xfId="0" applyFont="1" applyFill="1" applyBorder="1" applyAlignment="1">
      <alignment horizontal="center" vertical="top" wrapText="1"/>
    </xf>
    <xf numFmtId="0" fontId="0" fillId="21" borderId="43" xfId="0" applyFill="1" applyBorder="1" applyAlignment="1">
      <alignment horizontal="center" vertical="center" wrapText="1"/>
    </xf>
    <xf numFmtId="0" fontId="0" fillId="21" borderId="44" xfId="0" applyFill="1" applyBorder="1" applyAlignment="1">
      <alignment horizontal="center" vertical="center" wrapText="1"/>
    </xf>
    <xf numFmtId="0" fontId="32" fillId="9" borderId="42" xfId="0" applyFont="1" applyFill="1" applyBorder="1" applyAlignment="1">
      <alignment horizontal="center" vertical="top" wrapText="1"/>
    </xf>
    <xf numFmtId="0" fontId="0" fillId="9" borderId="0" xfId="0" applyFill="1" applyBorder="1" applyAlignment="1">
      <alignment horizontal="center" vertical="center" wrapText="1"/>
    </xf>
    <xf numFmtId="0" fontId="0" fillId="0" borderId="47" xfId="0" applyBorder="1" applyAlignment="1">
      <alignment horizontal="center"/>
    </xf>
    <xf numFmtId="0" fontId="0" fillId="0" borderId="48" xfId="0" applyBorder="1" applyAlignment="1">
      <alignment horizontal="center"/>
    </xf>
    <xf numFmtId="0" fontId="25" fillId="15" borderId="51" xfId="0" applyFont="1" applyFill="1" applyBorder="1" applyAlignment="1">
      <alignment horizontal="left" vertical="center"/>
    </xf>
    <xf numFmtId="0" fontId="25" fillId="19" borderId="29" xfId="0" applyFont="1" applyFill="1" applyBorder="1" applyAlignment="1">
      <alignment horizontal="left" vertical="center"/>
    </xf>
    <xf numFmtId="164" fontId="0" fillId="0" borderId="54" xfId="0" applyNumberFormat="1" applyBorder="1" applyAlignment="1" applyProtection="1">
      <alignment horizontal="center"/>
    </xf>
    <xf numFmtId="10" fontId="6" fillId="0" borderId="55" xfId="0" applyNumberFormat="1" applyFont="1" applyBorder="1" applyAlignment="1" applyProtection="1">
      <alignment horizontal="center"/>
    </xf>
    <xf numFmtId="10" fontId="0" fillId="0" borderId="56" xfId="0" applyNumberFormat="1" applyBorder="1" applyAlignment="1" applyProtection="1">
      <alignment horizontal="center"/>
    </xf>
    <xf numFmtId="164" fontId="0" fillId="0" borderId="57" xfId="0" applyNumberFormat="1" applyBorder="1" applyAlignment="1" applyProtection="1">
      <alignment horizontal="center"/>
    </xf>
    <xf numFmtId="164" fontId="0" fillId="0" borderId="58" xfId="0" applyNumberFormat="1" applyBorder="1" applyAlignment="1" applyProtection="1">
      <alignment horizontal="center"/>
    </xf>
    <xf numFmtId="0" fontId="6" fillId="0" borderId="55" xfId="0" applyFont="1" applyBorder="1" applyAlignment="1" applyProtection="1">
      <alignment horizontal="center"/>
    </xf>
    <xf numFmtId="2" fontId="0" fillId="0" borderId="47" xfId="0" applyNumberFormat="1" applyBorder="1" applyAlignment="1">
      <alignment horizontal="center"/>
    </xf>
    <xf numFmtId="2" fontId="0" fillId="0" borderId="59" xfId="0" applyNumberFormat="1" applyBorder="1" applyAlignment="1" applyProtection="1">
      <alignment horizontal="center"/>
    </xf>
    <xf numFmtId="0" fontId="13" fillId="0" borderId="0" xfId="0" applyFont="1"/>
    <xf numFmtId="167" fontId="2" fillId="0" borderId="13" xfId="0" applyNumberFormat="1" applyFont="1" applyFill="1" applyBorder="1" applyProtection="1">
      <protection hidden="1"/>
    </xf>
    <xf numFmtId="0" fontId="33" fillId="8" borderId="0" xfId="0" applyFont="1" applyFill="1"/>
    <xf numFmtId="2" fontId="2" fillId="0" borderId="13" xfId="0" applyNumberFormat="1" applyFont="1" applyFill="1" applyBorder="1" applyProtection="1">
      <protection hidden="1"/>
    </xf>
    <xf numFmtId="0" fontId="12" fillId="0" borderId="18" xfId="0" applyFont="1" applyFill="1" applyBorder="1" applyAlignment="1"/>
    <xf numFmtId="0" fontId="2" fillId="8" borderId="39" xfId="0" applyFont="1" applyFill="1" applyBorder="1"/>
    <xf numFmtId="0" fontId="2" fillId="0" borderId="13" xfId="0" applyFont="1" applyFill="1" applyBorder="1" applyAlignment="1"/>
    <xf numFmtId="0" fontId="2" fillId="0" borderId="13" xfId="0" applyFont="1" applyBorder="1" applyAlignment="1"/>
    <xf numFmtId="0" fontId="2" fillId="0" borderId="19" xfId="0" applyFont="1" applyFill="1" applyBorder="1"/>
    <xf numFmtId="0" fontId="2" fillId="0" borderId="0" xfId="0" applyFont="1"/>
    <xf numFmtId="0" fontId="0" fillId="0" borderId="13" xfId="0" applyFont="1" applyFill="1" applyBorder="1" applyAlignment="1">
      <alignment wrapText="1"/>
    </xf>
    <xf numFmtId="0" fontId="2" fillId="0" borderId="13" xfId="0" applyFont="1" applyFill="1" applyBorder="1" applyAlignment="1">
      <alignment wrapText="1"/>
    </xf>
    <xf numFmtId="10" fontId="0" fillId="0" borderId="71" xfId="0" applyNumberFormat="1" applyBorder="1" applyAlignment="1" applyProtection="1">
      <alignment horizontal="center"/>
    </xf>
    <xf numFmtId="164" fontId="0" fillId="0" borderId="71" xfId="0" applyNumberFormat="1" applyBorder="1" applyAlignment="1" applyProtection="1">
      <alignment horizontal="center"/>
    </xf>
    <xf numFmtId="0" fontId="0" fillId="0" borderId="13" xfId="0" applyFont="1" applyFill="1" applyBorder="1"/>
    <xf numFmtId="2" fontId="0" fillId="0" borderId="0" xfId="0" applyNumberFormat="1" applyAlignment="1">
      <alignment horizontal="center"/>
    </xf>
    <xf numFmtId="164" fontId="0" fillId="0" borderId="0" xfId="0" applyNumberFormat="1" applyAlignment="1">
      <alignment horizontal="center"/>
    </xf>
    <xf numFmtId="165" fontId="2" fillId="0" borderId="0" xfId="0" applyNumberFormat="1" applyFont="1" applyFill="1" applyAlignment="1"/>
    <xf numFmtId="9" fontId="0" fillId="0" borderId="9" xfId="0" applyNumberFormat="1" applyBorder="1" applyAlignment="1" applyProtection="1">
      <alignment horizontal="center"/>
    </xf>
    <xf numFmtId="0" fontId="40" fillId="9" borderId="0" xfId="0" applyFont="1" applyFill="1" applyProtection="1">
      <protection hidden="1"/>
    </xf>
    <xf numFmtId="0" fontId="2" fillId="0" borderId="13" xfId="0" applyFont="1" applyBorder="1"/>
    <xf numFmtId="1" fontId="5" fillId="30" borderId="13" xfId="0" applyNumberFormat="1" applyFont="1" applyFill="1" applyBorder="1" applyAlignment="1" applyProtection="1">
      <alignment horizontal="center" vertical="center"/>
      <protection locked="0"/>
    </xf>
    <xf numFmtId="0" fontId="19" fillId="12" borderId="70" xfId="0" applyFont="1" applyFill="1" applyBorder="1" applyAlignment="1">
      <alignment horizontal="center" vertical="center"/>
    </xf>
    <xf numFmtId="0" fontId="2" fillId="0" borderId="72" xfId="0" applyFont="1" applyFill="1" applyBorder="1"/>
    <xf numFmtId="166" fontId="2" fillId="0" borderId="0" xfId="0" applyNumberFormat="1" applyFont="1" applyFill="1"/>
    <xf numFmtId="0" fontId="2" fillId="0" borderId="0" xfId="0" applyFont="1" applyProtection="1"/>
    <xf numFmtId="0" fontId="28" fillId="0" borderId="0" xfId="0" applyFont="1" applyFill="1" applyBorder="1" applyAlignment="1">
      <alignment horizontal="center" vertical="center" wrapText="1"/>
    </xf>
    <xf numFmtId="0" fontId="16" fillId="0" borderId="0" xfId="0" applyFont="1" applyFill="1" applyBorder="1" applyAlignment="1">
      <alignment horizontal="center"/>
    </xf>
    <xf numFmtId="0" fontId="34" fillId="0" borderId="0" xfId="0" applyFont="1" applyAlignment="1">
      <alignment horizontal="center" vertical="center" textRotation="90"/>
    </xf>
    <xf numFmtId="0" fontId="0" fillId="0" borderId="18" xfId="0" applyBorder="1" applyAlignment="1" applyProtection="1">
      <alignment horizontal="center" vertical="center"/>
    </xf>
    <xf numFmtId="0" fontId="18" fillId="31" borderId="0" xfId="0" applyFont="1" applyFill="1" applyBorder="1" applyAlignment="1">
      <alignment horizontal="center"/>
    </xf>
    <xf numFmtId="0" fontId="16" fillId="31" borderId="0" xfId="0" applyFont="1" applyFill="1" applyBorder="1" applyAlignment="1">
      <alignment horizontal="center"/>
    </xf>
    <xf numFmtId="0" fontId="15" fillId="30" borderId="0" xfId="0" applyFont="1" applyFill="1" applyBorder="1" applyAlignment="1">
      <alignment horizontal="center"/>
    </xf>
    <xf numFmtId="0" fontId="15" fillId="30" borderId="0" xfId="0" applyFont="1" applyFill="1" applyBorder="1" applyAlignment="1"/>
    <xf numFmtId="0" fontId="16" fillId="31" borderId="0" xfId="0" applyFont="1" applyFill="1" applyBorder="1" applyAlignment="1">
      <alignment horizontal="center"/>
    </xf>
    <xf numFmtId="0" fontId="45" fillId="36" borderId="86" xfId="4" applyFont="1" applyFill="1"/>
    <xf numFmtId="0" fontId="45" fillId="34" borderId="86" xfId="4" applyFont="1"/>
    <xf numFmtId="0" fontId="0" fillId="35" borderId="0" xfId="0" applyFill="1"/>
    <xf numFmtId="0" fontId="0" fillId="38" borderId="0" xfId="0" applyFill="1"/>
    <xf numFmtId="0" fontId="48" fillId="38" borderId="0" xfId="1" applyFont="1" applyFill="1" applyAlignment="1">
      <alignment horizontal="right" vertical="top" wrapText="1"/>
    </xf>
    <xf numFmtId="0" fontId="0" fillId="38" borderId="0" xfId="0" applyFill="1" applyAlignment="1">
      <alignment horizontal="center"/>
    </xf>
    <xf numFmtId="0" fontId="0" fillId="39" borderId="0" xfId="0" applyFill="1"/>
    <xf numFmtId="0" fontId="0" fillId="39" borderId="0" xfId="0" applyFill="1" applyAlignment="1">
      <alignment wrapText="1"/>
    </xf>
    <xf numFmtId="0" fontId="45" fillId="41" borderId="86" xfId="6" applyFont="1" applyBorder="1"/>
    <xf numFmtId="0" fontId="2" fillId="0" borderId="18" xfId="0" applyNumberFormat="1" applyFont="1" applyFill="1" applyBorder="1"/>
    <xf numFmtId="2" fontId="0" fillId="0" borderId="0" xfId="0" applyNumberFormat="1" applyFill="1" applyAlignment="1" applyProtection="1">
      <alignment horizontal="center"/>
    </xf>
    <xf numFmtId="2" fontId="2" fillId="0" borderId="0" xfId="0" applyNumberFormat="1" applyFont="1" applyFill="1" applyAlignment="1" applyProtection="1">
      <alignment horizontal="center"/>
    </xf>
    <xf numFmtId="0" fontId="2" fillId="0" borderId="0" xfId="0" applyFont="1" applyFill="1" applyAlignment="1" applyProtection="1">
      <alignment horizontal="center"/>
    </xf>
    <xf numFmtId="2" fontId="0" fillId="0" borderId="0" xfId="0" applyNumberFormat="1" applyFill="1" applyBorder="1" applyAlignment="1" applyProtection="1">
      <alignment horizontal="center"/>
    </xf>
    <xf numFmtId="164" fontId="52" fillId="0" borderId="0" xfId="0" applyNumberFormat="1" applyFont="1" applyAlignment="1" applyProtection="1">
      <alignment horizontal="center"/>
    </xf>
    <xf numFmtId="0" fontId="0" fillId="0" borderId="0" xfId="0"/>
    <xf numFmtId="0" fontId="0" fillId="0" borderId="0" xfId="0"/>
    <xf numFmtId="0" fontId="45" fillId="37" borderId="86" xfId="4" applyFont="1" applyFill="1" applyAlignment="1">
      <alignment horizontal="center"/>
    </xf>
    <xf numFmtId="2" fontId="0" fillId="35" borderId="0" xfId="0" applyNumberFormat="1" applyFill="1"/>
    <xf numFmtId="2" fontId="2" fillId="0" borderId="39" xfId="0" applyNumberFormat="1" applyFont="1" applyFill="1" applyBorder="1" applyProtection="1">
      <protection hidden="1"/>
    </xf>
    <xf numFmtId="0" fontId="0" fillId="0" borderId="0" xfId="0" applyBorder="1" applyAlignment="1">
      <alignment horizontal="left" vertical="center" wrapText="1"/>
    </xf>
    <xf numFmtId="0" fontId="0" fillId="0" borderId="72" xfId="0" applyBorder="1"/>
    <xf numFmtId="2" fontId="26" fillId="0" borderId="49" xfId="0" applyNumberFormat="1" applyFont="1" applyFill="1" applyBorder="1" applyAlignment="1" applyProtection="1">
      <alignment horizontal="right" vertical="center"/>
      <protection locked="0"/>
    </xf>
    <xf numFmtId="0" fontId="21" fillId="0" borderId="18" xfId="0" applyFont="1" applyBorder="1" applyAlignment="1">
      <alignment vertical="center"/>
    </xf>
    <xf numFmtId="0" fontId="21" fillId="0" borderId="0" xfId="0" applyFont="1" applyBorder="1" applyAlignment="1">
      <alignment vertical="center"/>
    </xf>
    <xf numFmtId="0" fontId="8" fillId="7" borderId="0" xfId="0" applyFont="1" applyFill="1" applyBorder="1" applyAlignment="1">
      <alignment vertical="center"/>
    </xf>
    <xf numFmtId="0" fontId="0" fillId="7" borderId="0" xfId="0" applyFill="1" applyBorder="1" applyAlignment="1">
      <alignment vertical="center"/>
    </xf>
    <xf numFmtId="0" fontId="0" fillId="0" borderId="0" xfId="0" applyAlignment="1">
      <alignment vertical="center"/>
    </xf>
    <xf numFmtId="0" fontId="8" fillId="7" borderId="37" xfId="0" applyFont="1" applyFill="1" applyBorder="1" applyAlignment="1">
      <alignment vertical="center"/>
    </xf>
    <xf numFmtId="0" fontId="0" fillId="7" borderId="37" xfId="0" applyFill="1" applyBorder="1" applyAlignment="1">
      <alignment vertical="center"/>
    </xf>
    <xf numFmtId="0" fontId="8" fillId="0" borderId="15" xfId="0" applyFont="1" applyBorder="1" applyAlignment="1">
      <alignment vertical="center"/>
    </xf>
    <xf numFmtId="0" fontId="0" fillId="0" borderId="15" xfId="0" applyBorder="1" applyAlignment="1">
      <alignment vertical="center"/>
    </xf>
    <xf numFmtId="0" fontId="0" fillId="0" borderId="16" xfId="0" applyBorder="1" applyAlignment="1">
      <alignment vertical="center"/>
    </xf>
    <xf numFmtId="0" fontId="0" fillId="9" borderId="0" xfId="0" applyFill="1" applyAlignment="1">
      <alignment vertical="center"/>
    </xf>
    <xf numFmtId="0" fontId="0" fillId="22" borderId="29" xfId="0" applyFill="1" applyBorder="1" applyAlignment="1">
      <alignment vertical="center"/>
    </xf>
    <xf numFmtId="0" fontId="0" fillId="9" borderId="0" xfId="0" applyFill="1" applyBorder="1" applyAlignment="1">
      <alignment vertical="center"/>
    </xf>
    <xf numFmtId="0" fontId="2" fillId="8" borderId="0" xfId="0" applyFont="1" applyFill="1" applyAlignment="1">
      <alignment vertical="center"/>
    </xf>
    <xf numFmtId="0" fontId="17" fillId="7" borderId="31" xfId="0" applyFont="1" applyFill="1" applyBorder="1" applyAlignment="1">
      <alignment horizontal="center" vertical="center"/>
    </xf>
    <xf numFmtId="0" fontId="0" fillId="7" borderId="32" xfId="0" applyFill="1" applyBorder="1" applyAlignment="1">
      <alignment vertical="center"/>
    </xf>
    <xf numFmtId="0" fontId="0" fillId="7" borderId="33" xfId="0" applyFill="1" applyBorder="1" applyAlignment="1">
      <alignment vertical="center"/>
    </xf>
    <xf numFmtId="0" fontId="17" fillId="7" borderId="34" xfId="0" applyFont="1" applyFill="1" applyBorder="1" applyAlignment="1">
      <alignment horizontal="center" vertical="center"/>
    </xf>
    <xf numFmtId="0" fontId="0" fillId="7" borderId="35" xfId="0" applyFill="1" applyBorder="1" applyAlignment="1">
      <alignment vertical="center"/>
    </xf>
    <xf numFmtId="0" fontId="0" fillId="7" borderId="34" xfId="0" applyFill="1" applyBorder="1" applyAlignment="1">
      <alignment vertical="center"/>
    </xf>
    <xf numFmtId="0" fontId="20" fillId="12" borderId="24" xfId="0" applyFont="1" applyFill="1" applyBorder="1" applyAlignment="1">
      <alignment horizontal="center" vertical="center"/>
    </xf>
    <xf numFmtId="0" fontId="20" fillId="12" borderId="16" xfId="0" applyFont="1" applyFill="1" applyBorder="1" applyAlignment="1">
      <alignment horizontal="center" vertical="center"/>
    </xf>
    <xf numFmtId="0" fontId="0" fillId="0" borderId="35" xfId="0" applyBorder="1" applyAlignment="1">
      <alignment vertical="center"/>
    </xf>
    <xf numFmtId="0" fontId="0" fillId="7" borderId="36" xfId="0" applyFill="1" applyBorder="1" applyAlignment="1">
      <alignment vertical="center"/>
    </xf>
    <xf numFmtId="0" fontId="0" fillId="7" borderId="38" xfId="0" applyFill="1" applyBorder="1" applyAlignment="1">
      <alignment vertical="center"/>
    </xf>
    <xf numFmtId="0" fontId="30" fillId="9" borderId="0" xfId="0" applyFont="1" applyFill="1" applyAlignment="1">
      <alignment vertical="center"/>
    </xf>
    <xf numFmtId="0" fontId="0" fillId="9" borderId="0" xfId="0" applyFill="1" applyAlignment="1" applyProtection="1">
      <alignment vertical="center"/>
    </xf>
    <xf numFmtId="0" fontId="0" fillId="18" borderId="34" xfId="0" applyFill="1" applyBorder="1" applyAlignment="1">
      <alignment vertical="center"/>
    </xf>
    <xf numFmtId="0" fontId="0" fillId="18" borderId="35" xfId="0" applyFill="1" applyBorder="1" applyAlignment="1">
      <alignment vertical="center"/>
    </xf>
    <xf numFmtId="0" fontId="0" fillId="18" borderId="36" xfId="0" applyFill="1" applyBorder="1" applyAlignment="1">
      <alignment vertical="center"/>
    </xf>
    <xf numFmtId="0" fontId="0" fillId="18" borderId="37" xfId="0" applyFill="1" applyBorder="1" applyAlignment="1">
      <alignment vertical="center"/>
    </xf>
    <xf numFmtId="0" fontId="0" fillId="18" borderId="38" xfId="0" applyFill="1" applyBorder="1" applyAlignment="1">
      <alignment vertical="center"/>
    </xf>
    <xf numFmtId="0" fontId="0" fillId="8" borderId="0" xfId="0" applyFill="1" applyBorder="1" applyAlignment="1">
      <alignment vertical="center"/>
    </xf>
    <xf numFmtId="0" fontId="30" fillId="9" borderId="0" xfId="0" applyFont="1" applyFill="1" applyBorder="1" applyAlignment="1">
      <alignment vertical="center"/>
    </xf>
    <xf numFmtId="0" fontId="0" fillId="9" borderId="0" xfId="0" applyFill="1" applyBorder="1" applyAlignment="1" applyProtection="1">
      <alignment vertical="center"/>
    </xf>
    <xf numFmtId="1" fontId="33" fillId="8" borderId="0" xfId="0" applyNumberFormat="1" applyFont="1" applyFill="1" applyAlignment="1">
      <alignment vertical="center"/>
    </xf>
    <xf numFmtId="0" fontId="2" fillId="8" borderId="0" xfId="0" applyFont="1" applyFill="1" applyAlignment="1" applyProtection="1">
      <alignment vertical="center"/>
    </xf>
    <xf numFmtId="0" fontId="21" fillId="0" borderId="90" xfId="0" applyFont="1" applyBorder="1" applyAlignment="1" applyProtection="1">
      <alignment horizontal="center" vertical="center"/>
    </xf>
    <xf numFmtId="0" fontId="0" fillId="0" borderId="40" xfId="0" applyBorder="1" applyAlignment="1">
      <alignment horizontal="center" vertical="top" wrapText="1"/>
    </xf>
    <xf numFmtId="0" fontId="0" fillId="0" borderId="41" xfId="0" applyBorder="1" applyAlignment="1">
      <alignment horizontal="center" vertical="top" wrapText="1"/>
    </xf>
    <xf numFmtId="0" fontId="2" fillId="20" borderId="99" xfId="0" applyFont="1" applyFill="1" applyBorder="1"/>
    <xf numFmtId="0" fontId="2" fillId="20" borderId="100" xfId="0" applyFont="1" applyFill="1" applyBorder="1"/>
    <xf numFmtId="0" fontId="19" fillId="12" borderId="0" xfId="0" applyFont="1" applyFill="1" applyBorder="1" applyAlignment="1">
      <alignment horizontal="center" vertical="center"/>
    </xf>
    <xf numFmtId="0" fontId="58" fillId="14" borderId="27" xfId="0" applyFont="1" applyFill="1" applyBorder="1" applyAlignment="1">
      <alignment horizontal="center" vertical="center" shrinkToFit="1"/>
    </xf>
    <xf numFmtId="0" fontId="58" fillId="14" borderId="13" xfId="0" applyFont="1" applyFill="1" applyBorder="1" applyAlignment="1">
      <alignment horizontal="center" vertical="center" shrinkToFit="1"/>
    </xf>
    <xf numFmtId="0" fontId="0" fillId="0" borderId="0" xfId="0" applyFill="1" applyProtection="1">
      <protection hidden="1"/>
    </xf>
    <xf numFmtId="0" fontId="0" fillId="0" borderId="106" xfId="0" applyFill="1" applyBorder="1" applyAlignment="1" applyProtection="1">
      <alignment horizontal="center" vertical="center" shrinkToFit="1"/>
      <protection hidden="1"/>
    </xf>
    <xf numFmtId="10" fontId="0" fillId="0" borderId="102" xfId="0" applyNumberFormat="1" applyFill="1" applyBorder="1" applyProtection="1">
      <protection locked="0"/>
    </xf>
    <xf numFmtId="0" fontId="21" fillId="44" borderId="117" xfId="0" applyFont="1" applyFill="1" applyBorder="1" applyAlignment="1" applyProtection="1">
      <alignment horizontal="center" vertical="center" shrinkToFit="1"/>
      <protection hidden="1"/>
    </xf>
    <xf numFmtId="0" fontId="21" fillId="44" borderId="91" xfId="0" applyFont="1" applyFill="1" applyBorder="1" applyAlignment="1" applyProtection="1">
      <alignment horizontal="center" vertical="center" shrinkToFit="1"/>
      <protection hidden="1"/>
    </xf>
    <xf numFmtId="0" fontId="21" fillId="44" borderId="0" xfId="0" applyFont="1" applyFill="1" applyBorder="1" applyAlignment="1" applyProtection="1">
      <alignment horizontal="center" vertical="center" shrinkToFit="1"/>
      <protection hidden="1"/>
    </xf>
    <xf numFmtId="0" fontId="21" fillId="44" borderId="118" xfId="0" applyFont="1" applyFill="1" applyBorder="1" applyAlignment="1" applyProtection="1">
      <alignment horizontal="center" vertical="center" shrinkToFit="1"/>
      <protection hidden="1"/>
    </xf>
    <xf numFmtId="0" fontId="21" fillId="43" borderId="117" xfId="0" applyFont="1" applyFill="1" applyBorder="1" applyAlignment="1" applyProtection="1">
      <alignment horizontal="center" vertical="center" shrinkToFit="1"/>
      <protection hidden="1"/>
    </xf>
    <xf numFmtId="0" fontId="21" fillId="43" borderId="91" xfId="0" applyFont="1" applyFill="1" applyBorder="1" applyAlignment="1" applyProtection="1">
      <alignment horizontal="center" vertical="center" shrinkToFit="1"/>
      <protection hidden="1"/>
    </xf>
    <xf numFmtId="0" fontId="21" fillId="43" borderId="0" xfId="0" applyFont="1" applyFill="1" applyBorder="1" applyAlignment="1" applyProtection="1">
      <alignment horizontal="center" vertical="center" shrinkToFit="1"/>
      <protection hidden="1"/>
    </xf>
    <xf numFmtId="0" fontId="21" fillId="43" borderId="118" xfId="0" applyFont="1" applyFill="1" applyBorder="1" applyAlignment="1" applyProtection="1">
      <alignment horizontal="center" vertical="center" shrinkToFit="1"/>
      <protection hidden="1"/>
    </xf>
    <xf numFmtId="0" fontId="21" fillId="42" borderId="117" xfId="0" applyFont="1" applyFill="1" applyBorder="1" applyAlignment="1" applyProtection="1">
      <alignment horizontal="center" vertical="center" shrinkToFit="1"/>
      <protection hidden="1"/>
    </xf>
    <xf numFmtId="0" fontId="21" fillId="42" borderId="91" xfId="0" applyFont="1" applyFill="1" applyBorder="1" applyAlignment="1" applyProtection="1">
      <alignment horizontal="center" vertical="center" shrinkToFit="1"/>
      <protection hidden="1"/>
    </xf>
    <xf numFmtId="0" fontId="21" fillId="42" borderId="0" xfId="0" applyFont="1" applyFill="1" applyBorder="1" applyAlignment="1" applyProtection="1">
      <alignment horizontal="center" vertical="center" shrinkToFit="1"/>
      <protection hidden="1"/>
    </xf>
    <xf numFmtId="0" fontId="21" fillId="42" borderId="118" xfId="0" applyFont="1" applyFill="1" applyBorder="1" applyAlignment="1" applyProtection="1">
      <alignment horizontal="center" vertical="center" shrinkToFit="1"/>
      <protection hidden="1"/>
    </xf>
    <xf numFmtId="0" fontId="21" fillId="45" borderId="117" xfId="0" applyFont="1" applyFill="1" applyBorder="1" applyAlignment="1" applyProtection="1">
      <alignment horizontal="center" vertical="center" shrinkToFit="1"/>
      <protection hidden="1"/>
    </xf>
    <xf numFmtId="0" fontId="21" fillId="45" borderId="91" xfId="0" applyFont="1" applyFill="1" applyBorder="1" applyAlignment="1" applyProtection="1">
      <alignment horizontal="center" vertical="center" shrinkToFit="1"/>
      <protection hidden="1"/>
    </xf>
    <xf numFmtId="0" fontId="21" fillId="45" borderId="118" xfId="0" applyFont="1" applyFill="1" applyBorder="1" applyAlignment="1" applyProtection="1">
      <alignment horizontal="center" vertical="center" shrinkToFit="1"/>
      <protection hidden="1"/>
    </xf>
    <xf numFmtId="2" fontId="21" fillId="44" borderId="117" xfId="0" applyNumberFormat="1" applyFont="1" applyFill="1" applyBorder="1" applyAlignment="1" applyProtection="1">
      <alignment horizontal="center" vertical="center" shrinkToFit="1"/>
      <protection hidden="1"/>
    </xf>
    <xf numFmtId="10" fontId="21" fillId="44" borderId="91" xfId="0" applyNumberFormat="1" applyFont="1" applyFill="1" applyBorder="1" applyAlignment="1" applyProtection="1">
      <alignment horizontal="center" vertical="center" shrinkToFit="1"/>
      <protection hidden="1"/>
    </xf>
    <xf numFmtId="10" fontId="21" fillId="44" borderId="118" xfId="0" applyNumberFormat="1" applyFont="1" applyFill="1" applyBorder="1" applyAlignment="1" applyProtection="1">
      <alignment horizontal="center" vertical="center" shrinkToFit="1"/>
      <protection hidden="1"/>
    </xf>
    <xf numFmtId="2" fontId="21" fillId="43" borderId="117" xfId="0" applyNumberFormat="1" applyFont="1" applyFill="1" applyBorder="1" applyAlignment="1" applyProtection="1">
      <alignment horizontal="center" vertical="center" shrinkToFit="1"/>
      <protection hidden="1"/>
    </xf>
    <xf numFmtId="10" fontId="21" fillId="43" borderId="91" xfId="0" applyNumberFormat="1" applyFont="1" applyFill="1" applyBorder="1" applyAlignment="1" applyProtection="1">
      <alignment horizontal="center" vertical="center" shrinkToFit="1"/>
      <protection hidden="1"/>
    </xf>
    <xf numFmtId="10" fontId="21" fillId="43" borderId="118" xfId="0" applyNumberFormat="1" applyFont="1" applyFill="1" applyBorder="1" applyAlignment="1" applyProtection="1">
      <alignment horizontal="center" vertical="center" shrinkToFit="1"/>
      <protection hidden="1"/>
    </xf>
    <xf numFmtId="2" fontId="21" fillId="42" borderId="117" xfId="0" applyNumberFormat="1" applyFont="1" applyFill="1" applyBorder="1" applyAlignment="1" applyProtection="1">
      <alignment horizontal="center" vertical="center" shrinkToFit="1"/>
      <protection hidden="1"/>
    </xf>
    <xf numFmtId="10" fontId="21" fillId="42" borderId="91" xfId="0" applyNumberFormat="1" applyFont="1" applyFill="1" applyBorder="1" applyAlignment="1" applyProtection="1">
      <alignment horizontal="center" vertical="center" shrinkToFit="1"/>
      <protection hidden="1"/>
    </xf>
    <xf numFmtId="10" fontId="21" fillId="42" borderId="118" xfId="0" applyNumberFormat="1" applyFont="1" applyFill="1" applyBorder="1" applyAlignment="1" applyProtection="1">
      <alignment horizontal="center" vertical="center" shrinkToFit="1"/>
      <protection hidden="1"/>
    </xf>
    <xf numFmtId="2" fontId="21" fillId="45" borderId="117" xfId="0" applyNumberFormat="1" applyFont="1" applyFill="1" applyBorder="1" applyAlignment="1" applyProtection="1">
      <alignment horizontal="center" vertical="center" shrinkToFit="1"/>
      <protection hidden="1"/>
    </xf>
    <xf numFmtId="10" fontId="21" fillId="45" borderId="91" xfId="0" applyNumberFormat="1" applyFont="1" applyFill="1" applyBorder="1" applyAlignment="1" applyProtection="1">
      <alignment horizontal="center" vertical="center" shrinkToFit="1"/>
      <protection hidden="1"/>
    </xf>
    <xf numFmtId="10" fontId="21" fillId="45" borderId="118" xfId="0" applyNumberFormat="1" applyFont="1" applyFill="1" applyBorder="1" applyAlignment="1" applyProtection="1">
      <alignment horizontal="center" vertical="center" shrinkToFit="1"/>
      <protection hidden="1"/>
    </xf>
    <xf numFmtId="2" fontId="21" fillId="44" borderId="119" xfId="0" applyNumberFormat="1" applyFont="1" applyFill="1" applyBorder="1" applyAlignment="1" applyProtection="1">
      <alignment horizontal="center" vertical="center" shrinkToFit="1"/>
      <protection hidden="1"/>
    </xf>
    <xf numFmtId="10" fontId="21" fillId="44" borderId="120" xfId="0" applyNumberFormat="1" applyFont="1" applyFill="1" applyBorder="1" applyAlignment="1" applyProtection="1">
      <alignment horizontal="center" vertical="center" shrinkToFit="1"/>
      <protection hidden="1"/>
    </xf>
    <xf numFmtId="10" fontId="21" fillId="44" borderId="121" xfId="0" applyNumberFormat="1" applyFont="1" applyFill="1" applyBorder="1" applyAlignment="1" applyProtection="1">
      <alignment horizontal="center" vertical="center" shrinkToFit="1"/>
      <protection hidden="1"/>
    </xf>
    <xf numFmtId="2" fontId="21" fillId="43" borderId="119" xfId="0" applyNumberFormat="1" applyFont="1" applyFill="1" applyBorder="1" applyAlignment="1" applyProtection="1">
      <alignment horizontal="center" vertical="center" shrinkToFit="1"/>
      <protection hidden="1"/>
    </xf>
    <xf numFmtId="10" fontId="21" fillId="43" borderId="120" xfId="0" applyNumberFormat="1" applyFont="1" applyFill="1" applyBorder="1" applyAlignment="1" applyProtection="1">
      <alignment horizontal="center" vertical="center" shrinkToFit="1"/>
      <protection hidden="1"/>
    </xf>
    <xf numFmtId="10" fontId="21" fillId="43" borderId="121" xfId="0" applyNumberFormat="1" applyFont="1" applyFill="1" applyBorder="1" applyAlignment="1" applyProtection="1">
      <alignment horizontal="center" vertical="center" shrinkToFit="1"/>
      <protection hidden="1"/>
    </xf>
    <xf numFmtId="2" fontId="21" fillId="42" borderId="119" xfId="0" applyNumberFormat="1" applyFont="1" applyFill="1" applyBorder="1" applyAlignment="1" applyProtection="1">
      <alignment horizontal="center" vertical="center" shrinkToFit="1"/>
      <protection hidden="1"/>
    </xf>
    <xf numFmtId="10" fontId="21" fillId="42" borderId="120" xfId="0" applyNumberFormat="1" applyFont="1" applyFill="1" applyBorder="1" applyAlignment="1" applyProtection="1">
      <alignment horizontal="center" vertical="center" shrinkToFit="1"/>
      <protection hidden="1"/>
    </xf>
    <xf numFmtId="10" fontId="21" fillId="42" borderId="121" xfId="0" applyNumberFormat="1" applyFont="1" applyFill="1" applyBorder="1" applyAlignment="1" applyProtection="1">
      <alignment horizontal="center" vertical="center" shrinkToFit="1"/>
      <protection hidden="1"/>
    </xf>
    <xf numFmtId="2" fontId="21" fillId="45" borderId="119" xfId="0" applyNumberFormat="1" applyFont="1" applyFill="1" applyBorder="1" applyAlignment="1" applyProtection="1">
      <alignment horizontal="center" vertical="center" shrinkToFit="1"/>
      <protection hidden="1"/>
    </xf>
    <xf numFmtId="10" fontId="21" fillId="45" borderId="120" xfId="0" applyNumberFormat="1" applyFont="1" applyFill="1" applyBorder="1" applyAlignment="1" applyProtection="1">
      <alignment horizontal="center" vertical="center" shrinkToFit="1"/>
      <protection hidden="1"/>
    </xf>
    <xf numFmtId="10" fontId="21" fillId="45" borderId="121" xfId="0" applyNumberFormat="1" applyFont="1" applyFill="1" applyBorder="1" applyAlignment="1" applyProtection="1">
      <alignment horizontal="center" vertical="center" shrinkToFit="1"/>
      <protection hidden="1"/>
    </xf>
    <xf numFmtId="2" fontId="26" fillId="0" borderId="49" xfId="0" applyNumberFormat="1" applyFont="1" applyFill="1" applyBorder="1" applyAlignment="1" applyProtection="1">
      <alignment horizontal="right" vertical="center"/>
      <protection locked="0" hidden="1"/>
    </xf>
    <xf numFmtId="2" fontId="26" fillId="0" borderId="49" xfId="0" applyNumberFormat="1" applyFont="1" applyBorder="1" applyAlignment="1" applyProtection="1">
      <alignment horizontal="right" vertical="center"/>
      <protection locked="0"/>
    </xf>
    <xf numFmtId="2" fontId="26" fillId="0" borderId="50" xfId="0" applyNumberFormat="1" applyFont="1" applyBorder="1" applyAlignment="1" applyProtection="1">
      <alignment horizontal="right" vertical="center"/>
      <protection locked="0"/>
    </xf>
    <xf numFmtId="2" fontId="26" fillId="0" borderId="52" xfId="0" applyNumberFormat="1" applyFont="1" applyBorder="1" applyAlignment="1" applyProtection="1">
      <alignment horizontal="right" vertical="center"/>
      <protection locked="0"/>
    </xf>
    <xf numFmtId="0" fontId="26" fillId="0" borderId="89" xfId="0" applyFont="1" applyBorder="1" applyAlignment="1" applyProtection="1">
      <alignment horizontal="center" vertical="center"/>
    </xf>
    <xf numFmtId="0" fontId="61" fillId="17" borderId="27" xfId="0" applyFont="1" applyFill="1" applyBorder="1" applyAlignment="1">
      <alignment horizontal="center" vertical="center" shrinkToFit="1"/>
    </xf>
    <xf numFmtId="0" fontId="61" fillId="17" borderId="13" xfId="0" applyFont="1" applyFill="1" applyBorder="1" applyAlignment="1">
      <alignment horizontal="center" vertical="center" shrinkToFit="1"/>
    </xf>
    <xf numFmtId="2" fontId="2" fillId="0" borderId="0" xfId="0" applyNumberFormat="1" applyFont="1" applyAlignment="1">
      <alignment horizontal="center"/>
    </xf>
    <xf numFmtId="164" fontId="0" fillId="0" borderId="0" xfId="0" applyNumberFormat="1" applyAlignment="1">
      <alignment horizontal="center"/>
    </xf>
    <xf numFmtId="1" fontId="64" fillId="48" borderId="13" xfId="9" applyNumberFormat="1" applyFont="1" applyBorder="1" applyAlignment="1">
      <alignment horizontal="center" vertical="center"/>
    </xf>
    <xf numFmtId="2" fontId="64" fillId="48" borderId="13" xfId="9" applyNumberFormat="1" applyFont="1" applyBorder="1" applyAlignment="1">
      <alignment horizontal="center" vertical="center"/>
    </xf>
    <xf numFmtId="0" fontId="1" fillId="47" borderId="75" xfId="8" applyBorder="1" applyAlignment="1">
      <alignment horizontal="right" vertical="center"/>
    </xf>
    <xf numFmtId="0" fontId="1" fillId="47" borderId="76" xfId="8" applyBorder="1" applyAlignment="1">
      <alignment horizontal="center" vertical="center"/>
    </xf>
    <xf numFmtId="0" fontId="1" fillId="47" borderId="75" xfId="8" applyBorder="1"/>
    <xf numFmtId="0" fontId="1" fillId="47" borderId="76" xfId="8" applyBorder="1"/>
    <xf numFmtId="0" fontId="1" fillId="47" borderId="77" xfId="8" applyBorder="1"/>
    <xf numFmtId="0" fontId="1" fillId="47" borderId="78" xfId="8" applyBorder="1"/>
    <xf numFmtId="0" fontId="1" fillId="47" borderId="0" xfId="8" applyAlignment="1">
      <alignment horizontal="center" vertical="center"/>
    </xf>
    <xf numFmtId="0" fontId="1" fillId="47" borderId="0" xfId="8" applyBorder="1"/>
    <xf numFmtId="0" fontId="1" fillId="47" borderId="79" xfId="8" applyBorder="1"/>
    <xf numFmtId="0" fontId="1" fillId="47" borderId="80" xfId="8" applyBorder="1"/>
    <xf numFmtId="0" fontId="1" fillId="47" borderId="81" xfId="8" applyBorder="1"/>
    <xf numFmtId="0" fontId="1" fillId="47" borderId="82" xfId="8" applyBorder="1"/>
    <xf numFmtId="0" fontId="2" fillId="0" borderId="19" xfId="0" applyFont="1" applyBorder="1" applyAlignment="1" applyProtection="1">
      <alignment horizontal="center" vertical="center"/>
    </xf>
    <xf numFmtId="0" fontId="2" fillId="0" borderId="0" xfId="0" applyFont="1" applyAlignment="1">
      <alignment shrinkToFit="1"/>
    </xf>
    <xf numFmtId="0" fontId="2" fillId="0" borderId="0" xfId="0" applyFont="1" applyBorder="1" applyAlignment="1" applyProtection="1">
      <alignment horizontal="center" vertical="center"/>
      <protection locked="0"/>
    </xf>
    <xf numFmtId="0" fontId="2" fillId="0" borderId="91" xfId="0" applyFont="1" applyBorder="1" applyAlignment="1" applyProtection="1">
      <alignment horizontal="center" vertical="center"/>
    </xf>
    <xf numFmtId="2" fontId="2" fillId="0" borderId="104" xfId="0" applyNumberFormat="1" applyFont="1" applyBorder="1" applyAlignment="1" applyProtection="1">
      <alignment horizontal="center"/>
    </xf>
    <xf numFmtId="0" fontId="2" fillId="0" borderId="105" xfId="0" applyFont="1" applyBorder="1" applyAlignment="1" applyProtection="1">
      <alignment horizontal="center"/>
    </xf>
    <xf numFmtId="0" fontId="2" fillId="0" borderId="98" xfId="0" applyFont="1" applyBorder="1" applyAlignment="1" applyProtection="1">
      <alignment horizontal="center"/>
    </xf>
    <xf numFmtId="2" fontId="0" fillId="0" borderId="109" xfId="0" applyNumberFormat="1" applyFill="1" applyBorder="1" applyAlignment="1" applyProtection="1">
      <alignment horizontal="center"/>
    </xf>
    <xf numFmtId="2" fontId="2" fillId="0" borderId="103" xfId="0" applyNumberFormat="1" applyFont="1" applyFill="1" applyBorder="1" applyAlignment="1" applyProtection="1">
      <alignment horizontal="center"/>
    </xf>
    <xf numFmtId="0" fontId="2" fillId="0" borderId="93" xfId="0" applyFont="1" applyFill="1" applyBorder="1" applyAlignment="1" applyProtection="1">
      <alignment horizontal="center"/>
    </xf>
    <xf numFmtId="2" fontId="0" fillId="0" borderId="101" xfId="0" applyNumberFormat="1" applyFill="1" applyBorder="1" applyAlignment="1" applyProtection="1">
      <alignment horizontal="center"/>
    </xf>
    <xf numFmtId="0" fontId="2" fillId="0" borderId="102" xfId="0" applyFont="1" applyFill="1" applyBorder="1" applyAlignment="1" applyProtection="1">
      <alignment horizontal="center"/>
    </xf>
    <xf numFmtId="2" fontId="2" fillId="0" borderId="101" xfId="0" applyNumberFormat="1" applyFont="1" applyFill="1" applyBorder="1" applyAlignment="1" applyProtection="1">
      <alignment horizontal="center"/>
    </xf>
    <xf numFmtId="2" fontId="2" fillId="0" borderId="0" xfId="0" applyNumberFormat="1" applyFont="1" applyFill="1" applyBorder="1" applyAlignment="1" applyProtection="1">
      <alignment horizontal="center"/>
    </xf>
    <xf numFmtId="2" fontId="2" fillId="0" borderId="102" xfId="0" applyNumberFormat="1" applyFont="1" applyFill="1" applyBorder="1" applyAlignment="1" applyProtection="1">
      <alignment horizontal="center"/>
    </xf>
    <xf numFmtId="2" fontId="0" fillId="0" borderId="0" xfId="0" applyNumberFormat="1" applyBorder="1" applyAlignment="1" applyProtection="1">
      <alignment horizontal="center"/>
    </xf>
    <xf numFmtId="0" fontId="0" fillId="0" borderId="102" xfId="0" applyBorder="1" applyAlignment="1" applyProtection="1">
      <alignment horizontal="center"/>
    </xf>
    <xf numFmtId="2" fontId="0" fillId="0" borderId="109" xfId="0" applyNumberFormat="1" applyBorder="1" applyAlignment="1" applyProtection="1">
      <alignment horizontal="center"/>
    </xf>
    <xf numFmtId="0" fontId="0" fillId="0" borderId="103" xfId="0" applyBorder="1" applyAlignment="1" applyProtection="1">
      <alignment horizontal="center"/>
    </xf>
    <xf numFmtId="0" fontId="0" fillId="0" borderId="93" xfId="0" applyBorder="1" applyAlignment="1" applyProtection="1">
      <alignment horizontal="center"/>
    </xf>
    <xf numFmtId="0" fontId="0" fillId="51" borderId="108" xfId="0" applyFill="1" applyBorder="1" applyProtection="1"/>
    <xf numFmtId="0" fontId="0" fillId="0" borderId="102" xfId="0" applyBorder="1" applyProtection="1"/>
    <xf numFmtId="0" fontId="0" fillId="0" borderId="109" xfId="0" applyBorder="1" applyAlignment="1" applyProtection="1">
      <alignment horizontal="center"/>
    </xf>
    <xf numFmtId="164" fontId="0" fillId="0" borderId="103" xfId="0" applyNumberFormat="1" applyBorder="1" applyAlignment="1" applyProtection="1">
      <alignment horizontal="center"/>
    </xf>
    <xf numFmtId="0" fontId="0" fillId="0" borderId="93" xfId="0" applyBorder="1" applyProtection="1"/>
    <xf numFmtId="2" fontId="0" fillId="29" borderId="104" xfId="0" applyNumberFormat="1" applyFill="1" applyBorder="1" applyAlignment="1" applyProtection="1">
      <alignment horizontal="center"/>
    </xf>
    <xf numFmtId="2" fontId="2" fillId="0" borderId="105" xfId="0" applyNumberFormat="1" applyFont="1" applyBorder="1" applyAlignment="1" applyProtection="1">
      <alignment horizontal="center"/>
    </xf>
    <xf numFmtId="0" fontId="0" fillId="28" borderId="105" xfId="0" applyFill="1" applyBorder="1" applyAlignment="1" applyProtection="1">
      <alignment horizontal="center"/>
    </xf>
    <xf numFmtId="0" fontId="0" fillId="0" borderId="98" xfId="0" applyBorder="1" applyAlignment="1" applyProtection="1">
      <alignment horizontal="center"/>
    </xf>
    <xf numFmtId="2" fontId="0" fillId="0" borderId="101" xfId="0" applyNumberFormat="1" applyBorder="1" applyAlignment="1" applyProtection="1">
      <alignment horizontal="center"/>
    </xf>
    <xf numFmtId="0" fontId="0" fillId="0" borderId="0" xfId="0" applyBorder="1" applyAlignment="1" applyProtection="1">
      <alignment horizontal="center"/>
    </xf>
    <xf numFmtId="2" fontId="0" fillId="0" borderId="103" xfId="0" applyNumberFormat="1" applyBorder="1" applyAlignment="1" applyProtection="1">
      <alignment horizontal="center"/>
    </xf>
    <xf numFmtId="2" fontId="0" fillId="50" borderId="0" xfId="0" applyNumberFormat="1" applyFill="1" applyProtection="1"/>
    <xf numFmtId="0" fontId="0" fillId="50" borderId="0" xfId="0" applyFill="1" applyProtection="1"/>
    <xf numFmtId="0" fontId="0" fillId="50" borderId="0" xfId="0" applyFill="1" applyAlignment="1" applyProtection="1">
      <alignment horizontal="center"/>
    </xf>
    <xf numFmtId="2" fontId="0" fillId="30" borderId="104" xfId="0" applyNumberFormat="1" applyFill="1" applyBorder="1" applyAlignment="1" applyProtection="1">
      <alignment horizontal="center"/>
    </xf>
    <xf numFmtId="0" fontId="0" fillId="29" borderId="105" xfId="0" applyFill="1" applyBorder="1" applyAlignment="1" applyProtection="1">
      <alignment horizontal="center"/>
    </xf>
    <xf numFmtId="0" fontId="0" fillId="30" borderId="105" xfId="0" applyFill="1" applyBorder="1" applyAlignment="1" applyProtection="1">
      <alignment horizontal="center"/>
    </xf>
    <xf numFmtId="0" fontId="0" fillId="29" borderId="98" xfId="0" applyFill="1" applyBorder="1" applyAlignment="1" applyProtection="1">
      <alignment horizontal="center"/>
    </xf>
    <xf numFmtId="0" fontId="52" fillId="0" borderId="0" xfId="0" applyFont="1" applyBorder="1" applyAlignment="1" applyProtection="1">
      <alignment horizontal="center"/>
    </xf>
    <xf numFmtId="0" fontId="52" fillId="0" borderId="102" xfId="0" applyFont="1" applyBorder="1" applyAlignment="1" applyProtection="1">
      <alignment horizontal="center"/>
    </xf>
    <xf numFmtId="0" fontId="0" fillId="0" borderId="101" xfId="0" applyBorder="1" applyProtection="1"/>
    <xf numFmtId="0" fontId="52" fillId="0" borderId="101" xfId="0" applyFont="1" applyBorder="1" applyProtection="1"/>
    <xf numFmtId="0" fontId="52" fillId="0" borderId="102" xfId="0" applyFont="1" applyBorder="1" applyProtection="1"/>
    <xf numFmtId="0" fontId="0" fillId="0" borderId="109" xfId="0" applyBorder="1" applyProtection="1"/>
    <xf numFmtId="2" fontId="0" fillId="30" borderId="104" xfId="0" applyNumberFormat="1" applyFill="1" applyBorder="1" applyProtection="1"/>
    <xf numFmtId="2" fontId="0" fillId="29" borderId="105" xfId="0" applyNumberFormat="1" applyFill="1" applyBorder="1" applyAlignment="1" applyProtection="1">
      <alignment horizontal="center"/>
    </xf>
    <xf numFmtId="0" fontId="0" fillId="29" borderId="98" xfId="0" applyFill="1" applyBorder="1" applyProtection="1"/>
    <xf numFmtId="0" fontId="2" fillId="0" borderId="104" xfId="0" applyFont="1" applyBorder="1" applyProtection="1"/>
    <xf numFmtId="0" fontId="2" fillId="0" borderId="98" xfId="0" applyFont="1" applyBorder="1" applyProtection="1"/>
    <xf numFmtId="2" fontId="47" fillId="32" borderId="84" xfId="2" applyNumberFormat="1" applyFont="1" applyProtection="1">
      <protection locked="0"/>
    </xf>
    <xf numFmtId="0" fontId="0" fillId="0" borderId="102" xfId="0" applyBorder="1" applyAlignment="1">
      <alignment horizontal="center"/>
    </xf>
    <xf numFmtId="0" fontId="25" fillId="19" borderId="123" xfId="0" applyFont="1" applyFill="1" applyBorder="1" applyAlignment="1">
      <alignment horizontal="left" vertical="center"/>
    </xf>
    <xf numFmtId="0" fontId="0" fillId="0" borderId="91" xfId="0" applyBorder="1"/>
    <xf numFmtId="1" fontId="0" fillId="0" borderId="101" xfId="0" applyNumberFormat="1" applyBorder="1" applyAlignment="1">
      <alignment vertical="center"/>
    </xf>
    <xf numFmtId="0" fontId="0" fillId="7" borderId="126" xfId="0" applyFill="1" applyBorder="1" applyAlignment="1">
      <alignment vertical="center"/>
    </xf>
    <xf numFmtId="0" fontId="25" fillId="15" borderId="110" xfId="0" applyFont="1" applyFill="1" applyBorder="1" applyAlignment="1">
      <alignment horizontal="left" vertical="center"/>
    </xf>
    <xf numFmtId="0" fontId="0" fillId="7" borderId="0" xfId="0" applyFill="1" applyBorder="1" applyAlignment="1"/>
    <xf numFmtId="0" fontId="26" fillId="25" borderId="50" xfId="0" applyFont="1" applyFill="1" applyBorder="1" applyAlignment="1" applyProtection="1">
      <alignment horizontal="center" vertical="center"/>
      <protection locked="0"/>
    </xf>
    <xf numFmtId="0" fontId="0" fillId="7" borderId="98" xfId="0" applyFill="1" applyBorder="1" applyAlignment="1">
      <alignment vertical="center"/>
    </xf>
    <xf numFmtId="2" fontId="21" fillId="44" borderId="91" xfId="0" applyNumberFormat="1" applyFont="1" applyFill="1" applyBorder="1" applyAlignment="1" applyProtection="1">
      <alignment horizontal="center" vertical="center" shrinkToFit="1"/>
      <protection hidden="1"/>
    </xf>
    <xf numFmtId="2" fontId="21" fillId="44" borderId="120" xfId="0" applyNumberFormat="1" applyFont="1" applyFill="1" applyBorder="1" applyAlignment="1" applyProtection="1">
      <alignment horizontal="center" vertical="center" shrinkToFit="1"/>
      <protection hidden="1"/>
    </xf>
    <xf numFmtId="2" fontId="21" fillId="43" borderId="91" xfId="0" applyNumberFormat="1" applyFont="1" applyFill="1" applyBorder="1" applyAlignment="1" applyProtection="1">
      <alignment horizontal="center" vertical="center" shrinkToFit="1"/>
      <protection hidden="1"/>
    </xf>
    <xf numFmtId="2" fontId="21" fillId="43" borderId="120" xfId="0" applyNumberFormat="1" applyFont="1" applyFill="1" applyBorder="1" applyAlignment="1" applyProtection="1">
      <alignment horizontal="center" vertical="center" shrinkToFit="1"/>
      <protection hidden="1"/>
    </xf>
    <xf numFmtId="2" fontId="21" fillId="42" borderId="91" xfId="0" applyNumberFormat="1" applyFont="1" applyFill="1" applyBorder="1" applyAlignment="1" applyProtection="1">
      <alignment horizontal="center" vertical="center" shrinkToFit="1"/>
      <protection hidden="1"/>
    </xf>
    <xf numFmtId="2" fontId="21" fillId="42" borderId="120" xfId="0" applyNumberFormat="1" applyFont="1" applyFill="1" applyBorder="1" applyAlignment="1" applyProtection="1">
      <alignment horizontal="center" vertical="center" shrinkToFit="1"/>
      <protection hidden="1"/>
    </xf>
    <xf numFmtId="2" fontId="21" fillId="45" borderId="91" xfId="0" applyNumberFormat="1" applyFont="1" applyFill="1" applyBorder="1" applyAlignment="1" applyProtection="1">
      <alignment horizontal="center" vertical="center" shrinkToFit="1"/>
      <protection hidden="1"/>
    </xf>
    <xf numFmtId="2" fontId="21" fillId="45" borderId="120" xfId="0" applyNumberFormat="1" applyFont="1" applyFill="1" applyBorder="1" applyAlignment="1" applyProtection="1">
      <alignment horizontal="center" vertical="center" shrinkToFit="1"/>
      <protection hidden="1"/>
    </xf>
    <xf numFmtId="0" fontId="2" fillId="54" borderId="0" xfId="0" applyFont="1" applyFill="1" applyBorder="1"/>
    <xf numFmtId="0" fontId="32" fillId="54" borderId="0" xfId="0" applyFont="1" applyFill="1" applyBorder="1" applyAlignment="1">
      <alignment horizontal="center" vertical="top" wrapText="1"/>
    </xf>
    <xf numFmtId="0" fontId="2" fillId="0" borderId="91" xfId="0" applyFont="1" applyBorder="1"/>
    <xf numFmtId="0" fontId="2" fillId="0" borderId="19" xfId="0" applyFont="1" applyBorder="1"/>
    <xf numFmtId="0" fontId="0" fillId="10" borderId="0" xfId="0" applyFill="1" applyBorder="1"/>
    <xf numFmtId="0" fontId="6" fillId="0" borderId="0" xfId="0" applyFont="1" applyBorder="1" applyAlignment="1" applyProtection="1">
      <alignment horizontal="center"/>
    </xf>
    <xf numFmtId="0" fontId="2" fillId="0" borderId="91" xfId="0" applyFont="1" applyFill="1" applyBorder="1"/>
    <xf numFmtId="0" fontId="0" fillId="0" borderId="19" xfId="0" applyFont="1" applyFill="1" applyBorder="1"/>
    <xf numFmtId="0" fontId="77" fillId="8" borderId="0" xfId="0" applyFont="1" applyFill="1" applyProtection="1"/>
    <xf numFmtId="0" fontId="0" fillId="38" borderId="0" xfId="0" applyFill="1" applyAlignment="1">
      <alignment horizontal="left"/>
    </xf>
    <xf numFmtId="0" fontId="0" fillId="10" borderId="0" xfId="0" applyFill="1" applyAlignment="1" applyProtection="1">
      <alignment horizontal="center" vertical="center"/>
      <protection locked="0"/>
    </xf>
    <xf numFmtId="0" fontId="58" fillId="14" borderId="27" xfId="0" applyFont="1" applyFill="1" applyBorder="1" applyAlignment="1">
      <alignment horizontal="center" vertical="center" shrinkToFit="1"/>
    </xf>
    <xf numFmtId="2" fontId="0" fillId="10" borderId="0" xfId="0" applyNumberFormat="1" applyFill="1" applyProtection="1">
      <protection locked="0"/>
    </xf>
    <xf numFmtId="166" fontId="2" fillId="0" borderId="124" xfId="0" applyNumberFormat="1" applyFont="1" applyFill="1" applyBorder="1"/>
    <xf numFmtId="167" fontId="0" fillId="0" borderId="0" xfId="0" applyNumberFormat="1" applyBorder="1"/>
    <xf numFmtId="167" fontId="12" fillId="0" borderId="0" xfId="0" applyNumberFormat="1" applyFont="1" applyBorder="1" applyAlignment="1" applyProtection="1">
      <alignment horizontal="center"/>
      <protection locked="0"/>
    </xf>
    <xf numFmtId="167" fontId="2" fillId="0" borderId="0" xfId="0" applyNumberFormat="1" applyFont="1" applyFill="1" applyBorder="1" applyProtection="1">
      <protection hidden="1"/>
    </xf>
    <xf numFmtId="165" fontId="46" fillId="33" borderId="85" xfId="3" applyNumberFormat="1" applyFont="1"/>
    <xf numFmtId="168" fontId="46" fillId="33" borderId="85" xfId="3" applyNumberFormat="1" applyFont="1"/>
    <xf numFmtId="166" fontId="2" fillId="0" borderId="19" xfId="0" applyNumberFormat="1" applyFont="1" applyFill="1" applyBorder="1"/>
    <xf numFmtId="166" fontId="2" fillId="0" borderId="91" xfId="0" applyNumberFormat="1" applyFont="1" applyFill="1" applyBorder="1"/>
    <xf numFmtId="166" fontId="2" fillId="0" borderId="91" xfId="0" applyNumberFormat="1" applyFont="1" applyFill="1" applyBorder="1" applyProtection="1">
      <protection hidden="1"/>
    </xf>
    <xf numFmtId="165" fontId="2" fillId="0" borderId="91" xfId="0" applyNumberFormat="1" applyFont="1" applyFill="1" applyBorder="1"/>
    <xf numFmtId="1" fontId="2" fillId="0" borderId="91" xfId="0" applyNumberFormat="1" applyFont="1" applyFill="1" applyBorder="1"/>
    <xf numFmtId="169" fontId="2" fillId="0" borderId="91" xfId="0" applyNumberFormat="1" applyFont="1" applyFill="1" applyBorder="1"/>
    <xf numFmtId="166" fontId="2" fillId="0" borderId="124" xfId="0" applyNumberFormat="1" applyFont="1" applyFill="1" applyBorder="1" applyProtection="1">
      <protection hidden="1"/>
    </xf>
    <xf numFmtId="2" fontId="2" fillId="6" borderId="91" xfId="0" applyNumberFormat="1" applyFont="1" applyFill="1" applyBorder="1" applyProtection="1">
      <protection hidden="1"/>
    </xf>
    <xf numFmtId="165" fontId="2" fillId="0" borderId="91" xfId="0" applyNumberFormat="1" applyFont="1" applyFill="1" applyBorder="1" applyProtection="1">
      <protection hidden="1"/>
    </xf>
    <xf numFmtId="1" fontId="2" fillId="0" borderId="91" xfId="0" applyNumberFormat="1" applyFont="1" applyFill="1" applyBorder="1" applyProtection="1">
      <protection hidden="1"/>
    </xf>
    <xf numFmtId="0" fontId="80" fillId="10" borderId="0" xfId="0" applyFont="1" applyFill="1"/>
    <xf numFmtId="0" fontId="2" fillId="10" borderId="0" xfId="0" applyFont="1" applyFill="1" applyProtection="1">
      <protection locked="0"/>
    </xf>
    <xf numFmtId="0" fontId="0" fillId="0" borderId="67" xfId="0" applyBorder="1" applyAlignment="1" applyProtection="1">
      <alignment horizontal="center"/>
    </xf>
    <xf numFmtId="164" fontId="0" fillId="0" borderId="128" xfId="0" applyNumberFormat="1" applyBorder="1" applyAlignment="1" applyProtection="1">
      <alignment horizontal="center"/>
    </xf>
    <xf numFmtId="164" fontId="0" fillId="0" borderId="129" xfId="0" applyNumberFormat="1" applyBorder="1" applyAlignment="1" applyProtection="1">
      <alignment horizontal="center"/>
    </xf>
    <xf numFmtId="0" fontId="34" fillId="0" borderId="0" xfId="0" applyFont="1" applyAlignment="1">
      <alignment horizontal="center" vertical="center" textRotation="90"/>
    </xf>
    <xf numFmtId="1" fontId="2" fillId="0" borderId="0" xfId="0" applyNumberFormat="1" applyFont="1" applyAlignment="1">
      <alignment vertical="center"/>
    </xf>
    <xf numFmtId="0" fontId="78" fillId="53" borderId="0" xfId="0" applyFont="1" applyFill="1" applyBorder="1" applyAlignment="1" applyProtection="1">
      <alignment horizontal="left" vertical="center"/>
    </xf>
    <xf numFmtId="0" fontId="2" fillId="54" borderId="0" xfId="0" applyFont="1" applyFill="1" applyBorder="1" applyProtection="1">
      <protection locked="0"/>
    </xf>
    <xf numFmtId="0" fontId="31" fillId="53" borderId="0" xfId="0" applyFont="1" applyFill="1" applyBorder="1" applyAlignment="1" applyProtection="1">
      <alignment vertical="center"/>
    </xf>
    <xf numFmtId="0" fontId="39" fillId="12" borderId="22" xfId="0" applyFont="1" applyFill="1" applyBorder="1" applyAlignment="1">
      <alignment horizontal="left" vertical="center" indent="1"/>
    </xf>
    <xf numFmtId="0" fontId="39" fillId="12" borderId="91" xfId="0" applyFont="1" applyFill="1" applyBorder="1" applyAlignment="1">
      <alignment horizontal="left" vertical="center" indent="1"/>
    </xf>
    <xf numFmtId="0" fontId="84" fillId="8" borderId="0" xfId="0" applyFont="1" applyFill="1"/>
    <xf numFmtId="165" fontId="2" fillId="0" borderId="0" xfId="0" applyNumberFormat="1" applyFont="1" applyFill="1" applyAlignment="1"/>
    <xf numFmtId="0" fontId="26" fillId="25" borderId="50" xfId="0" applyFont="1" applyFill="1" applyBorder="1" applyAlignment="1" applyProtection="1">
      <alignment horizontal="center" vertical="center"/>
    </xf>
    <xf numFmtId="0" fontId="26" fillId="25" borderId="49" xfId="0" applyFont="1" applyFill="1" applyBorder="1" applyAlignment="1" applyProtection="1">
      <alignment horizontal="center" vertical="center"/>
    </xf>
    <xf numFmtId="2" fontId="26" fillId="0" borderId="49" xfId="0" applyNumberFormat="1" applyFont="1" applyFill="1" applyBorder="1" applyAlignment="1" applyProtection="1">
      <alignment horizontal="right" vertical="center"/>
    </xf>
    <xf numFmtId="2" fontId="26" fillId="0" borderId="122" xfId="0" applyNumberFormat="1" applyFont="1" applyBorder="1" applyAlignment="1" applyProtection="1">
      <alignment vertical="center"/>
    </xf>
    <xf numFmtId="0" fontId="26" fillId="0" borderId="53" xfId="0" applyFont="1" applyBorder="1" applyAlignment="1" applyProtection="1">
      <alignment horizontal="center" vertical="center"/>
      <protection locked="0"/>
    </xf>
    <xf numFmtId="0" fontId="14" fillId="12" borderId="17" xfId="0" applyFont="1" applyFill="1" applyBorder="1" applyAlignment="1">
      <alignment horizontal="center" vertical="center"/>
    </xf>
    <xf numFmtId="0" fontId="15" fillId="12" borderId="15" xfId="0" applyFont="1" applyFill="1" applyBorder="1" applyAlignment="1">
      <alignment horizontal="center" vertical="center"/>
    </xf>
    <xf numFmtId="0" fontId="15" fillId="12" borderId="0" xfId="0" applyFont="1" applyFill="1" applyBorder="1" applyAlignment="1">
      <alignment horizontal="center" vertical="center"/>
    </xf>
    <xf numFmtId="0" fontId="0" fillId="0" borderId="16" xfId="0" applyBorder="1" applyAlignment="1">
      <alignment vertical="center"/>
    </xf>
    <xf numFmtId="0" fontId="20" fillId="12" borderId="64" xfId="0" applyFont="1" applyFill="1" applyBorder="1" applyAlignment="1" applyProtection="1">
      <alignment horizontal="center" vertical="center"/>
    </xf>
    <xf numFmtId="0" fontId="20" fillId="12" borderId="39" xfId="0" applyFont="1" applyFill="1" applyBorder="1" applyAlignment="1" applyProtection="1">
      <alignment horizontal="center" vertical="center"/>
    </xf>
    <xf numFmtId="0" fontId="20" fillId="12" borderId="24" xfId="0" applyFont="1" applyFill="1" applyBorder="1" applyAlignment="1" applyProtection="1">
      <alignment horizontal="center" vertical="center"/>
    </xf>
    <xf numFmtId="0" fontId="32" fillId="20" borderId="45" xfId="0" applyFont="1" applyFill="1" applyBorder="1" applyAlignment="1">
      <alignment horizontal="center" vertical="top" wrapText="1"/>
    </xf>
    <xf numFmtId="0" fontId="32" fillId="21" borderId="46" xfId="0" applyFont="1" applyFill="1" applyBorder="1" applyAlignment="1">
      <alignment horizontal="center" vertical="top" wrapText="1"/>
    </xf>
    <xf numFmtId="0" fontId="32" fillId="21" borderId="40" xfId="0" applyFont="1" applyFill="1" applyBorder="1" applyAlignment="1">
      <alignment horizontal="center" vertical="top" wrapText="1"/>
    </xf>
    <xf numFmtId="0" fontId="32" fillId="21" borderId="41" xfId="0" applyFont="1" applyFill="1" applyBorder="1" applyAlignment="1">
      <alignment horizontal="center" vertical="top" wrapText="1"/>
    </xf>
    <xf numFmtId="0" fontId="25" fillId="12" borderId="17" xfId="0" applyFont="1" applyFill="1" applyBorder="1" applyAlignment="1">
      <alignment horizontal="left" vertical="center" wrapText="1" indent="1"/>
    </xf>
    <xf numFmtId="0" fontId="25" fillId="12" borderId="15" xfId="0" applyFont="1" applyFill="1" applyBorder="1" applyAlignment="1">
      <alignment horizontal="left" vertical="center" wrapText="1" indent="1"/>
    </xf>
    <xf numFmtId="0" fontId="25" fillId="12" borderId="16" xfId="0" applyFont="1" applyFill="1" applyBorder="1" applyAlignment="1">
      <alignment horizontal="left" vertical="center" wrapText="1" indent="1"/>
    </xf>
    <xf numFmtId="0" fontId="20" fillId="24" borderId="101" xfId="0" applyFont="1" applyFill="1" applyBorder="1" applyAlignment="1">
      <alignment horizontal="center" vertical="top" wrapText="1"/>
    </xf>
    <xf numFmtId="0" fontId="20" fillId="23" borderId="0" xfId="0" applyFont="1" applyFill="1" applyBorder="1" applyAlignment="1">
      <alignment horizontal="center" vertical="top" wrapText="1"/>
    </xf>
    <xf numFmtId="0" fontId="0" fillId="23" borderId="0" xfId="0" applyFill="1" applyBorder="1" applyAlignment="1">
      <alignment vertical="top" wrapText="1"/>
    </xf>
    <xf numFmtId="0" fontId="0" fillId="23" borderId="102" xfId="0" applyFill="1" applyBorder="1" applyAlignment="1">
      <alignment vertical="top" wrapText="1"/>
    </xf>
    <xf numFmtId="0" fontId="21" fillId="12" borderId="124" xfId="0" applyFont="1" applyFill="1" applyBorder="1" applyAlignment="1">
      <alignment horizontal="left" vertical="center"/>
    </xf>
    <xf numFmtId="0" fontId="0" fillId="0" borderId="108" xfId="0" applyBorder="1" applyAlignment="1">
      <alignment horizontal="left" vertical="center"/>
    </xf>
    <xf numFmtId="0" fontId="39" fillId="12" borderId="23" xfId="0" applyFont="1" applyFill="1" applyBorder="1" applyAlignment="1">
      <alignment horizontal="center" vertical="center"/>
    </xf>
    <xf numFmtId="0" fontId="39" fillId="12" borderId="17" xfId="0" applyFont="1" applyFill="1" applyBorder="1" applyAlignment="1">
      <alignment horizontal="center" vertical="center"/>
    </xf>
    <xf numFmtId="0" fontId="39" fillId="12" borderId="23" xfId="0" applyFont="1" applyFill="1" applyBorder="1" applyAlignment="1">
      <alignment horizontal="left" vertical="center" indent="1"/>
    </xf>
    <xf numFmtId="0" fontId="39" fillId="0" borderId="0" xfId="0" applyFont="1" applyBorder="1" applyAlignment="1">
      <alignment horizontal="left" vertical="center" indent="1"/>
    </xf>
    <xf numFmtId="0" fontId="39" fillId="12" borderId="17" xfId="0" applyFont="1" applyFill="1" applyBorder="1" applyAlignment="1">
      <alignment horizontal="left" vertical="center" indent="1"/>
    </xf>
    <xf numFmtId="0" fontId="39" fillId="0" borderId="70" xfId="0" applyFont="1" applyBorder="1" applyAlignment="1">
      <alignment horizontal="left" vertical="center" indent="1"/>
    </xf>
    <xf numFmtId="0" fontId="14" fillId="12" borderId="96" xfId="0" applyFont="1" applyFill="1" applyBorder="1" applyAlignment="1">
      <alignment horizontal="center" vertical="center"/>
    </xf>
    <xf numFmtId="0" fontId="0" fillId="0" borderId="97" xfId="0" applyBorder="1" applyAlignment="1">
      <alignment vertical="center"/>
    </xf>
    <xf numFmtId="0" fontId="0" fillId="0" borderId="98" xfId="0" applyBorder="1" applyAlignment="1">
      <alignment vertical="center"/>
    </xf>
    <xf numFmtId="0" fontId="0" fillId="0" borderId="92" xfId="0" applyBorder="1" applyAlignment="1">
      <alignment vertical="center"/>
    </xf>
    <xf numFmtId="0" fontId="0" fillId="0" borderId="103" xfId="0" applyBorder="1" applyAlignment="1">
      <alignment vertical="center"/>
    </xf>
    <xf numFmtId="0" fontId="0" fillId="0" borderId="0" xfId="0" applyBorder="1" applyAlignment="1">
      <alignment vertical="center"/>
    </xf>
    <xf numFmtId="0" fontId="0" fillId="0" borderId="102" xfId="0" applyBorder="1" applyAlignment="1">
      <alignment vertical="center"/>
    </xf>
    <xf numFmtId="0" fontId="20" fillId="24" borderId="104" xfId="0" applyFont="1" applyFill="1" applyBorder="1" applyAlignment="1">
      <alignment horizontal="center" vertical="center" wrapText="1"/>
    </xf>
    <xf numFmtId="0" fontId="20" fillId="23" borderId="105" xfId="0" applyFont="1" applyFill="1" applyBorder="1" applyAlignment="1">
      <alignment horizontal="center" vertical="center" wrapText="1"/>
    </xf>
    <xf numFmtId="0" fontId="0" fillId="23" borderId="105" xfId="0" applyFill="1" applyBorder="1" applyAlignment="1">
      <alignment vertical="center" wrapText="1"/>
    </xf>
    <xf numFmtId="0" fontId="32" fillId="21" borderId="45" xfId="0" applyFont="1" applyFill="1" applyBorder="1" applyAlignment="1">
      <alignment horizontal="center" vertical="top" wrapText="1"/>
    </xf>
    <xf numFmtId="0" fontId="28" fillId="7" borderId="39" xfId="0" applyFont="1" applyFill="1" applyBorder="1" applyAlignment="1">
      <alignment horizontal="center" vertical="center" wrapText="1"/>
    </xf>
    <xf numFmtId="10" fontId="25" fillId="15" borderId="51" xfId="0" applyNumberFormat="1" applyFont="1" applyFill="1" applyBorder="1" applyAlignment="1" applyProtection="1">
      <alignment horizontal="left" vertical="center"/>
      <protection locked="0"/>
    </xf>
    <xf numFmtId="0" fontId="27" fillId="15" borderId="112" xfId="0" applyFont="1" applyFill="1" applyBorder="1" applyAlignment="1">
      <alignment horizontal="left" vertical="center"/>
    </xf>
    <xf numFmtId="0" fontId="25" fillId="15" borderId="51" xfId="0" applyFont="1" applyFill="1" applyBorder="1" applyAlignment="1">
      <alignment horizontal="center" vertical="center"/>
    </xf>
    <xf numFmtId="0" fontId="25" fillId="15" borderId="127" xfId="0" applyFont="1" applyFill="1" applyBorder="1" applyAlignment="1">
      <alignment horizontal="center" vertical="center"/>
    </xf>
    <xf numFmtId="0" fontId="25" fillId="23" borderId="124" xfId="0" applyFont="1" applyFill="1" applyBorder="1" applyAlignment="1">
      <alignment horizontal="left" vertical="center" indent="1"/>
    </xf>
    <xf numFmtId="0" fontId="21" fillId="23" borderId="125" xfId="0" applyFont="1" applyFill="1" applyBorder="1" applyAlignment="1">
      <alignment horizontal="left" vertical="center" indent="1"/>
    </xf>
    <xf numFmtId="2" fontId="26" fillId="0" borderId="113" xfId="0" applyNumberFormat="1" applyFont="1" applyFill="1" applyBorder="1" applyAlignment="1" applyProtection="1">
      <alignment horizontal="right" vertical="center"/>
      <protection locked="0"/>
    </xf>
    <xf numFmtId="2" fontId="26" fillId="0" borderId="111" xfId="0" applyNumberFormat="1" applyFont="1" applyBorder="1" applyAlignment="1" applyProtection="1">
      <alignment horizontal="right" vertical="center"/>
      <protection locked="0"/>
    </xf>
    <xf numFmtId="0" fontId="25" fillId="12" borderId="13" xfId="0" applyFont="1" applyFill="1" applyBorder="1" applyAlignment="1">
      <alignment horizontal="left" vertical="center" wrapText="1" indent="1"/>
    </xf>
    <xf numFmtId="0" fontId="21" fillId="12" borderId="13" xfId="0" applyFont="1" applyFill="1" applyBorder="1" applyAlignment="1">
      <alignment horizontal="left" vertical="center" indent="1"/>
    </xf>
    <xf numFmtId="0" fontId="21" fillId="12" borderId="22" xfId="0" applyFont="1" applyFill="1" applyBorder="1" applyAlignment="1">
      <alignment horizontal="left" vertical="center" indent="1"/>
    </xf>
    <xf numFmtId="2" fontId="60" fillId="0" borderId="50" xfId="0" applyNumberFormat="1" applyFont="1" applyFill="1" applyBorder="1" applyAlignment="1" applyProtection="1">
      <alignment horizontal="right" vertical="center"/>
      <protection locked="0"/>
    </xf>
    <xf numFmtId="2" fontId="60" fillId="0" borderId="101" xfId="0" applyNumberFormat="1" applyFont="1" applyFill="1" applyBorder="1" applyAlignment="1" applyProtection="1">
      <alignment horizontal="right" vertical="center"/>
      <protection locked="0"/>
    </xf>
    <xf numFmtId="0" fontId="14" fillId="12" borderId="64" xfId="0" applyFont="1" applyFill="1" applyBorder="1" applyAlignment="1">
      <alignment horizontal="center" vertical="center"/>
    </xf>
    <xf numFmtId="0" fontId="15" fillId="12" borderId="39" xfId="0" applyFont="1" applyFill="1" applyBorder="1" applyAlignment="1">
      <alignment horizontal="center" vertical="center"/>
    </xf>
    <xf numFmtId="0" fontId="0" fillId="0" borderId="24" xfId="0" applyBorder="1" applyAlignment="1">
      <alignment vertical="center"/>
    </xf>
    <xf numFmtId="0" fontId="15" fillId="12" borderId="23" xfId="0" applyFont="1" applyFill="1" applyBorder="1" applyAlignment="1">
      <alignment horizontal="center" vertical="center"/>
    </xf>
    <xf numFmtId="0" fontId="0" fillId="0" borderId="20" xfId="0" applyBorder="1" applyAlignment="1">
      <alignment vertical="center"/>
    </xf>
    <xf numFmtId="0" fontId="0" fillId="12" borderId="17" xfId="0" applyFill="1" applyBorder="1" applyAlignment="1">
      <alignment vertical="center"/>
    </xf>
    <xf numFmtId="0" fontId="0" fillId="12" borderId="15" xfId="0" applyFill="1" applyBorder="1" applyAlignment="1">
      <alignment vertical="center"/>
    </xf>
    <xf numFmtId="0" fontId="0" fillId="12" borderId="0" xfId="0" applyFill="1" applyBorder="1" applyAlignment="1">
      <alignment vertical="center"/>
    </xf>
    <xf numFmtId="2" fontId="21" fillId="26" borderId="50" xfId="0" applyNumberFormat="1" applyFont="1" applyFill="1" applyBorder="1" applyAlignment="1" applyProtection="1">
      <alignment horizontal="right" vertical="center" wrapText="1"/>
    </xf>
    <xf numFmtId="0" fontId="21" fillId="0" borderId="17" xfId="0" applyFont="1" applyBorder="1" applyAlignment="1" applyProtection="1">
      <alignment vertical="center"/>
    </xf>
    <xf numFmtId="0" fontId="0" fillId="22" borderId="51" xfId="0" applyFill="1" applyBorder="1" applyAlignment="1">
      <alignment horizontal="left" vertical="center" wrapText="1"/>
    </xf>
    <xf numFmtId="0" fontId="0" fillId="0" borderId="66" xfId="0" applyBorder="1" applyAlignment="1">
      <alignment vertical="center"/>
    </xf>
    <xf numFmtId="0" fontId="26" fillId="24" borderId="96" xfId="0" applyFont="1" applyFill="1" applyBorder="1" applyAlignment="1">
      <alignment horizontal="left" vertical="center" indent="1" shrinkToFit="1"/>
    </xf>
    <xf numFmtId="0" fontId="26" fillId="0" borderId="97" xfId="0" applyFont="1" applyBorder="1" applyAlignment="1">
      <alignment horizontal="left" vertical="center" indent="1" shrinkToFit="1"/>
    </xf>
    <xf numFmtId="0" fontId="26" fillId="0" borderId="98" xfId="0" applyFont="1" applyBorder="1" applyAlignment="1">
      <alignment horizontal="left" vertical="center" indent="1" shrinkToFit="1"/>
    </xf>
    <xf numFmtId="0" fontId="26" fillId="0" borderId="92" xfId="0" applyFont="1" applyBorder="1" applyAlignment="1">
      <alignment horizontal="left" vertical="center" indent="1" shrinkToFit="1"/>
    </xf>
    <xf numFmtId="0" fontId="26" fillId="0" borderId="70" xfId="0" applyFont="1" applyBorder="1" applyAlignment="1">
      <alignment horizontal="left" vertical="center" indent="1" shrinkToFit="1"/>
    </xf>
    <xf numFmtId="0" fontId="26" fillId="0" borderId="93" xfId="0" applyFont="1" applyBorder="1" applyAlignment="1">
      <alignment horizontal="left" vertical="center" indent="1" shrinkToFit="1"/>
    </xf>
    <xf numFmtId="0" fontId="32" fillId="20" borderId="94" xfId="0" applyFont="1" applyFill="1" applyBorder="1" applyAlignment="1">
      <alignment horizontal="center" vertical="center" wrapText="1"/>
    </xf>
    <xf numFmtId="0" fontId="0" fillId="0" borderId="95" xfId="0" applyBorder="1" applyAlignment="1">
      <alignment horizontal="center" vertical="center" wrapText="1"/>
    </xf>
    <xf numFmtId="0" fontId="0" fillId="0" borderId="40" xfId="0" applyBorder="1" applyAlignment="1">
      <alignment horizontal="center" vertical="center" wrapText="1"/>
    </xf>
    <xf numFmtId="0" fontId="0" fillId="0" borderId="41" xfId="0" applyBorder="1" applyAlignment="1">
      <alignment horizontal="center" vertical="center" wrapText="1"/>
    </xf>
    <xf numFmtId="0" fontId="32" fillId="20" borderId="40" xfId="0" applyFont="1" applyFill="1" applyBorder="1" applyAlignment="1">
      <alignment horizontal="center" vertical="top" wrapText="1"/>
    </xf>
    <xf numFmtId="0" fontId="0" fillId="0" borderId="41" xfId="0" applyBorder="1" applyAlignment="1">
      <alignment horizontal="center" wrapText="1"/>
    </xf>
    <xf numFmtId="0" fontId="25" fillId="23" borderId="22" xfId="0" applyFont="1" applyFill="1" applyBorder="1" applyAlignment="1">
      <alignment horizontal="left" vertical="center" indent="1"/>
    </xf>
    <xf numFmtId="0" fontId="21" fillId="23" borderId="28" xfId="0" applyFont="1" applyFill="1" applyBorder="1" applyAlignment="1">
      <alignment horizontal="left" vertical="center" indent="1"/>
    </xf>
    <xf numFmtId="0" fontId="25" fillId="23" borderId="125" xfId="0" applyFont="1" applyFill="1" applyBorder="1" applyAlignment="1">
      <alignment horizontal="left" vertical="center" indent="1"/>
    </xf>
    <xf numFmtId="0" fontId="25" fillId="23" borderId="108" xfId="0" applyFont="1" applyFill="1" applyBorder="1" applyAlignment="1">
      <alignment horizontal="left" vertical="center" indent="1"/>
    </xf>
    <xf numFmtId="0" fontId="28" fillId="7" borderId="0" xfId="0" applyFont="1" applyFill="1" applyBorder="1" applyAlignment="1">
      <alignment horizontal="left" vertical="center" wrapText="1" indent="1"/>
    </xf>
    <xf numFmtId="0" fontId="56" fillId="52" borderId="31" xfId="0" applyFont="1" applyFill="1" applyBorder="1" applyAlignment="1" applyProtection="1">
      <alignment horizontal="center" vertical="center"/>
    </xf>
    <xf numFmtId="0" fontId="56" fillId="52" borderId="32" xfId="0" applyFont="1" applyFill="1" applyBorder="1" applyAlignment="1" applyProtection="1">
      <alignment horizontal="center" vertical="center"/>
    </xf>
    <xf numFmtId="0" fontId="56" fillId="52" borderId="33" xfId="0" applyFont="1" applyFill="1" applyBorder="1" applyAlignment="1" applyProtection="1">
      <alignment horizontal="center" vertical="center"/>
    </xf>
    <xf numFmtId="0" fontId="56" fillId="52" borderId="34" xfId="0" applyFont="1" applyFill="1" applyBorder="1" applyAlignment="1" applyProtection="1">
      <alignment horizontal="center" vertical="center"/>
    </xf>
    <xf numFmtId="0" fontId="56" fillId="52" borderId="0" xfId="0" applyFont="1" applyFill="1" applyBorder="1" applyAlignment="1" applyProtection="1">
      <alignment horizontal="center" vertical="center"/>
    </xf>
    <xf numFmtId="0" fontId="56" fillId="52" borderId="35" xfId="0" applyFont="1" applyFill="1" applyBorder="1" applyAlignment="1" applyProtection="1">
      <alignment horizontal="center" vertical="center"/>
    </xf>
    <xf numFmtId="0" fontId="56" fillId="7" borderId="31" xfId="0" applyFont="1" applyFill="1" applyBorder="1" applyAlignment="1">
      <alignment horizontal="center" vertical="center"/>
    </xf>
    <xf numFmtId="0" fontId="56" fillId="7" borderId="32" xfId="0" applyFont="1" applyFill="1" applyBorder="1" applyAlignment="1">
      <alignment horizontal="center" vertical="center"/>
    </xf>
    <xf numFmtId="0" fontId="56" fillId="0" borderId="32" xfId="0" applyFont="1" applyBorder="1" applyAlignment="1">
      <alignment horizontal="center" vertical="center"/>
    </xf>
    <xf numFmtId="0" fontId="56" fillId="0" borderId="33" xfId="0" applyFont="1" applyBorder="1" applyAlignment="1">
      <alignment horizontal="center" vertical="center"/>
    </xf>
    <xf numFmtId="0" fontId="56" fillId="7" borderId="34" xfId="0" applyFont="1" applyFill="1" applyBorder="1" applyAlignment="1">
      <alignment horizontal="center" vertical="center"/>
    </xf>
    <xf numFmtId="0" fontId="56" fillId="7" borderId="0" xfId="0" applyFont="1" applyFill="1" applyBorder="1" applyAlignment="1">
      <alignment horizontal="center" vertical="center"/>
    </xf>
    <xf numFmtId="0" fontId="56" fillId="0" borderId="0" xfId="0" applyFont="1" applyBorder="1" applyAlignment="1">
      <alignment horizontal="center" vertical="center"/>
    </xf>
    <xf numFmtId="0" fontId="56" fillId="0" borderId="35" xfId="0" applyFont="1" applyBorder="1" applyAlignment="1">
      <alignment horizontal="center" vertical="center"/>
    </xf>
    <xf numFmtId="0" fontId="56" fillId="7" borderId="34" xfId="0" applyFont="1" applyFill="1" applyBorder="1" applyAlignment="1">
      <alignment horizontal="center"/>
    </xf>
    <xf numFmtId="0" fontId="0" fillId="0" borderId="0" xfId="0" applyAlignment="1"/>
    <xf numFmtId="0" fontId="0" fillId="0" borderId="35" xfId="0" applyBorder="1" applyAlignment="1"/>
    <xf numFmtId="0" fontId="0" fillId="0" borderId="34" xfId="0" applyBorder="1" applyAlignment="1"/>
    <xf numFmtId="0" fontId="0" fillId="12" borderId="22" xfId="0" applyFill="1" applyBorder="1" applyAlignment="1">
      <alignment vertical="center"/>
    </xf>
    <xf numFmtId="0" fontId="0" fillId="12" borderId="28" xfId="0" applyFill="1" applyBorder="1" applyAlignment="1">
      <alignment vertical="center"/>
    </xf>
    <xf numFmtId="0" fontId="0" fillId="12" borderId="39" xfId="0" applyFill="1" applyBorder="1" applyAlignment="1">
      <alignment vertical="center"/>
    </xf>
    <xf numFmtId="0" fontId="20" fillId="12" borderId="13" xfId="0" applyFont="1" applyFill="1" applyBorder="1" applyAlignment="1">
      <alignment horizontal="center" vertical="center"/>
    </xf>
    <xf numFmtId="0" fontId="21" fillId="12" borderId="13" xfId="0" applyFont="1" applyFill="1" applyBorder="1" applyAlignment="1">
      <alignment horizontal="center" vertical="center"/>
    </xf>
    <xf numFmtId="0" fontId="21" fillId="12" borderId="19" xfId="0" applyFont="1" applyFill="1" applyBorder="1" applyAlignment="1">
      <alignment horizontal="center" vertical="center"/>
    </xf>
    <xf numFmtId="0" fontId="0" fillId="0" borderId="19" xfId="0" applyBorder="1" applyAlignment="1">
      <alignment vertical="center"/>
    </xf>
    <xf numFmtId="0" fontId="39" fillId="12" borderId="64" xfId="0" applyFont="1" applyFill="1" applyBorder="1" applyAlignment="1">
      <alignment horizontal="center" vertical="center"/>
    </xf>
    <xf numFmtId="0" fontId="39" fillId="12" borderId="39" xfId="0" applyFont="1" applyFill="1" applyBorder="1" applyAlignment="1">
      <alignment horizontal="center" vertical="center"/>
    </xf>
    <xf numFmtId="0" fontId="9" fillId="0" borderId="24" xfId="0" applyFont="1" applyBorder="1" applyAlignment="1">
      <alignment vertical="center"/>
    </xf>
    <xf numFmtId="0" fontId="39" fillId="12" borderId="16" xfId="0" applyFont="1" applyFill="1" applyBorder="1" applyAlignment="1">
      <alignment horizontal="left" vertical="center" indent="1"/>
    </xf>
    <xf numFmtId="0" fontId="9" fillId="0" borderId="17" xfId="0" applyFont="1" applyBorder="1" applyAlignment="1">
      <alignment horizontal="left" vertical="center" indent="1"/>
    </xf>
    <xf numFmtId="0" fontId="39" fillId="27" borderId="101" xfId="0" applyFont="1" applyFill="1" applyBorder="1" applyAlignment="1">
      <alignment horizontal="center" vertical="center"/>
    </xf>
    <xf numFmtId="0" fontId="39" fillId="27" borderId="68" xfId="0" applyFont="1" applyFill="1" applyBorder="1" applyAlignment="1">
      <alignment horizontal="center" vertical="center"/>
    </xf>
    <xf numFmtId="0" fontId="39" fillId="27" borderId="69" xfId="0" applyFont="1" applyFill="1" applyBorder="1" applyAlignment="1">
      <alignment vertical="center"/>
    </xf>
    <xf numFmtId="0" fontId="25" fillId="27" borderId="104" xfId="0" applyFont="1" applyFill="1" applyBorder="1" applyAlignment="1">
      <alignment horizontal="center" vertical="center" wrapText="1"/>
    </xf>
    <xf numFmtId="0" fontId="25" fillId="27" borderId="105" xfId="0" applyFont="1" applyFill="1" applyBorder="1" applyAlignment="1">
      <alignment horizontal="center" vertical="center" wrapText="1"/>
    </xf>
    <xf numFmtId="0" fontId="19" fillId="0" borderId="98" xfId="0" applyFont="1" applyBorder="1" applyAlignment="1">
      <alignment horizontal="center" vertical="center" wrapText="1"/>
    </xf>
    <xf numFmtId="0" fontId="7" fillId="0" borderId="0" xfId="0" applyFont="1" applyFill="1" applyBorder="1" applyAlignment="1" applyProtection="1">
      <alignment horizontal="center" vertical="center" wrapText="1"/>
      <protection locked="0"/>
    </xf>
    <xf numFmtId="0" fontId="0" fillId="0" borderId="0" xfId="0" applyFill="1" applyBorder="1" applyAlignment="1" applyProtection="1">
      <alignment horizontal="center" vertical="center"/>
      <protection locked="0"/>
    </xf>
    <xf numFmtId="0" fontId="26" fillId="0" borderId="53" xfId="0" quotePrefix="1" applyFont="1" applyBorder="1" applyAlignment="1" applyProtection="1">
      <alignment horizontal="center" vertical="center"/>
      <protection locked="0"/>
    </xf>
    <xf numFmtId="0" fontId="26" fillId="0" borderId="65" xfId="0" applyFont="1" applyBorder="1" applyAlignment="1" applyProtection="1">
      <alignment vertical="center"/>
      <protection locked="0"/>
    </xf>
    <xf numFmtId="0" fontId="25" fillId="12" borderId="64" xfId="0" applyFont="1" applyFill="1" applyBorder="1" applyAlignment="1">
      <alignment horizontal="left" vertical="center" wrapText="1" indent="1"/>
    </xf>
    <xf numFmtId="0" fontId="21" fillId="12" borderId="39" xfId="0" applyFont="1" applyFill="1" applyBorder="1" applyAlignment="1">
      <alignment horizontal="left" vertical="center" wrapText="1" indent="1"/>
    </xf>
    <xf numFmtId="0" fontId="21" fillId="0" borderId="39" xfId="0" applyFont="1" applyBorder="1" applyAlignment="1">
      <alignment horizontal="left" vertical="center" wrapText="1" indent="1"/>
    </xf>
    <xf numFmtId="0" fontId="21" fillId="12" borderId="17" xfId="0" applyFont="1" applyFill="1" applyBorder="1" applyAlignment="1">
      <alignment horizontal="left" vertical="center" wrapText="1" indent="1"/>
    </xf>
    <xf numFmtId="0" fontId="21" fillId="12" borderId="15" xfId="0" applyFont="1" applyFill="1" applyBorder="1" applyAlignment="1">
      <alignment horizontal="left" vertical="center" wrapText="1" indent="1"/>
    </xf>
    <xf numFmtId="0" fontId="21" fillId="0" borderId="15" xfId="0" applyFont="1" applyBorder="1" applyAlignment="1">
      <alignment horizontal="left" vertical="center" wrapText="1" indent="1"/>
    </xf>
    <xf numFmtId="0" fontId="56" fillId="0" borderId="32" xfId="0" applyFont="1" applyBorder="1" applyAlignment="1">
      <alignment vertical="center"/>
    </xf>
    <xf numFmtId="0" fontId="56" fillId="7" borderId="70" xfId="0" applyFont="1" applyFill="1" applyBorder="1" applyAlignment="1">
      <alignment horizontal="center"/>
    </xf>
    <xf numFmtId="0" fontId="56" fillId="0" borderId="70" xfId="0" applyFont="1" applyBorder="1" applyAlignment="1">
      <alignment horizontal="center"/>
    </xf>
    <xf numFmtId="0" fontId="56" fillId="0" borderId="70" xfId="0" applyFont="1" applyBorder="1" applyAlignment="1"/>
    <xf numFmtId="0" fontId="25" fillId="12" borderId="23" xfId="0" applyFont="1" applyFill="1" applyBorder="1" applyAlignment="1">
      <alignment horizontal="left" vertical="center" indent="1"/>
    </xf>
    <xf numFmtId="0" fontId="25" fillId="12" borderId="0" xfId="0" applyFont="1" applyFill="1" applyBorder="1" applyAlignment="1">
      <alignment horizontal="left" vertical="center" indent="1"/>
    </xf>
    <xf numFmtId="0" fontId="21" fillId="0" borderId="20" xfId="0" applyFont="1" applyBorder="1" applyAlignment="1">
      <alignment horizontal="left" vertical="center" indent="1"/>
    </xf>
    <xf numFmtId="0" fontId="23" fillId="0" borderId="0" xfId="0" applyFont="1" applyFill="1" applyBorder="1" applyAlignment="1" applyProtection="1">
      <alignment horizontal="center" vertical="center" wrapText="1"/>
      <protection locked="0"/>
    </xf>
    <xf numFmtId="0" fontId="25" fillId="12" borderId="22" xfId="0" applyFont="1" applyFill="1" applyBorder="1" applyAlignment="1">
      <alignment horizontal="left" vertical="center" indent="1"/>
    </xf>
    <xf numFmtId="0" fontId="25" fillId="12" borderId="28" xfId="0" applyFont="1" applyFill="1" applyBorder="1" applyAlignment="1">
      <alignment horizontal="left" vertical="center" indent="1"/>
    </xf>
    <xf numFmtId="0" fontId="21" fillId="0" borderId="14" xfId="0" applyFont="1" applyBorder="1" applyAlignment="1">
      <alignment horizontal="left" vertical="center" indent="1"/>
    </xf>
    <xf numFmtId="0" fontId="21" fillId="0" borderId="22" xfId="0" applyFont="1" applyBorder="1" applyAlignment="1">
      <alignment horizontal="left" vertical="center" wrapText="1" indent="1"/>
    </xf>
    <xf numFmtId="0" fontId="21" fillId="12" borderId="13" xfId="0" applyFont="1" applyFill="1" applyBorder="1" applyAlignment="1">
      <alignment horizontal="left" vertical="center" wrapText="1" indent="1"/>
    </xf>
    <xf numFmtId="0" fontId="26" fillId="0" borderId="53" xfId="0" applyFont="1" applyBorder="1" applyAlignment="1" applyProtection="1">
      <alignment horizontal="center" vertical="center"/>
      <protection locked="0"/>
    </xf>
    <xf numFmtId="0" fontId="25" fillId="12" borderId="104" xfId="0" applyFont="1" applyFill="1" applyBorder="1" applyAlignment="1">
      <alignment horizontal="left" vertical="center" wrapText="1" indent="1"/>
    </xf>
    <xf numFmtId="0" fontId="25" fillId="12" borderId="105" xfId="0" applyFont="1" applyFill="1" applyBorder="1" applyAlignment="1">
      <alignment horizontal="left" vertical="center" wrapText="1" indent="1"/>
    </xf>
    <xf numFmtId="0" fontId="21" fillId="0" borderId="98" xfId="0" applyFont="1" applyBorder="1" applyAlignment="1">
      <alignment horizontal="left" vertical="center" wrapText="1" indent="1"/>
    </xf>
    <xf numFmtId="0" fontId="0" fillId="0" borderId="109" xfId="0" applyBorder="1" applyAlignment="1">
      <alignment horizontal="left" vertical="center" wrapText="1" indent="1"/>
    </xf>
    <xf numFmtId="0" fontId="0" fillId="0" borderId="103" xfId="0" applyBorder="1" applyAlignment="1">
      <alignment horizontal="left" vertical="center" wrapText="1" indent="1"/>
    </xf>
    <xf numFmtId="0" fontId="0" fillId="0" borderId="93" xfId="0" applyBorder="1" applyAlignment="1">
      <alignment horizontal="left" vertical="center" wrapText="1" indent="1"/>
    </xf>
    <xf numFmtId="0" fontId="29" fillId="8" borderId="0" xfId="0" applyFont="1" applyFill="1" applyAlignment="1">
      <alignment horizontal="center" vertical="center" textRotation="90"/>
    </xf>
    <xf numFmtId="0" fontId="32" fillId="20" borderId="45" xfId="0" applyFont="1" applyFill="1" applyBorder="1" applyAlignment="1">
      <alignment horizontal="center" vertical="center" wrapText="1"/>
    </xf>
    <xf numFmtId="0" fontId="32" fillId="20" borderId="46" xfId="0" applyFont="1" applyFill="1" applyBorder="1" applyAlignment="1">
      <alignment horizontal="center" vertical="center" wrapText="1"/>
    </xf>
    <xf numFmtId="0" fontId="32" fillId="20" borderId="40" xfId="0" applyFont="1" applyFill="1" applyBorder="1" applyAlignment="1">
      <alignment horizontal="center" vertical="center" wrapText="1"/>
    </xf>
    <xf numFmtId="0" fontId="32" fillId="20" borderId="41" xfId="0" applyFont="1" applyFill="1" applyBorder="1" applyAlignment="1">
      <alignment horizontal="center" vertical="center" wrapText="1"/>
    </xf>
    <xf numFmtId="0" fontId="21" fillId="12" borderId="28" xfId="0" applyFont="1" applyFill="1" applyBorder="1" applyAlignment="1">
      <alignment horizontal="left" vertical="center" indent="1"/>
    </xf>
    <xf numFmtId="0" fontId="56" fillId="7" borderId="32" xfId="0" applyFont="1" applyFill="1" applyBorder="1" applyAlignment="1">
      <alignment horizontal="center"/>
    </xf>
    <xf numFmtId="0" fontId="56" fillId="7" borderId="0" xfId="0" applyFont="1" applyFill="1" applyBorder="1" applyAlignment="1">
      <alignment horizontal="center"/>
    </xf>
    <xf numFmtId="0" fontId="57" fillId="7" borderId="32" xfId="0" applyFont="1" applyFill="1" applyBorder="1" applyAlignment="1">
      <alignment horizontal="center" vertical="center"/>
    </xf>
    <xf numFmtId="0" fontId="57" fillId="7" borderId="0" xfId="0" applyFont="1" applyFill="1" applyBorder="1" applyAlignment="1">
      <alignment horizontal="center" vertical="center"/>
    </xf>
    <xf numFmtId="0" fontId="14" fillId="12" borderId="39" xfId="0" applyFont="1" applyFill="1" applyBorder="1" applyAlignment="1">
      <alignment horizontal="center" vertical="center"/>
    </xf>
    <xf numFmtId="0" fontId="14" fillId="0" borderId="24" xfId="0" applyFont="1" applyBorder="1" applyAlignment="1"/>
    <xf numFmtId="0" fontId="14" fillId="12" borderId="23" xfId="0" applyFont="1" applyFill="1" applyBorder="1" applyAlignment="1">
      <alignment horizontal="center" vertical="center"/>
    </xf>
    <xf numFmtId="0" fontId="14" fillId="12" borderId="0" xfId="0" applyFont="1" applyFill="1" applyBorder="1" applyAlignment="1">
      <alignment horizontal="center" vertical="center"/>
    </xf>
    <xf numFmtId="0" fontId="14" fillId="0" borderId="20" xfId="0" applyFont="1" applyBorder="1" applyAlignment="1"/>
    <xf numFmtId="0" fontId="39" fillId="12" borderId="22" xfId="0" applyFont="1" applyFill="1" applyBorder="1" applyAlignment="1">
      <alignment horizontal="center" vertical="center"/>
    </xf>
    <xf numFmtId="0" fontId="39" fillId="12" borderId="28" xfId="0" applyFont="1" applyFill="1" applyBorder="1" applyAlignment="1">
      <alignment horizontal="center" vertical="center"/>
    </xf>
    <xf numFmtId="0" fontId="9" fillId="0" borderId="39" xfId="0" applyFont="1" applyBorder="1" applyAlignment="1">
      <alignment horizontal="center" vertical="center"/>
    </xf>
    <xf numFmtId="0" fontId="14" fillId="12" borderId="91" xfId="0" applyFont="1" applyFill="1" applyBorder="1" applyAlignment="1">
      <alignment horizontal="center" vertical="center"/>
    </xf>
    <xf numFmtId="0" fontId="15" fillId="12" borderId="91" xfId="0" applyFont="1" applyFill="1" applyBorder="1" applyAlignment="1">
      <alignment horizontal="center" vertical="center"/>
    </xf>
    <xf numFmtId="0" fontId="0" fillId="0" borderId="91" xfId="0" applyBorder="1" applyAlignment="1">
      <alignment vertical="center"/>
    </xf>
    <xf numFmtId="0" fontId="25" fillId="12" borderId="13" xfId="0" applyFont="1" applyFill="1" applyBorder="1" applyAlignment="1" applyProtection="1">
      <alignment horizontal="left" vertical="center" indent="1"/>
      <protection hidden="1"/>
    </xf>
    <xf numFmtId="0" fontId="21" fillId="12" borderId="13" xfId="0" applyFont="1" applyFill="1" applyBorder="1" applyAlignment="1" applyProtection="1">
      <alignment horizontal="left" vertical="center" indent="1"/>
      <protection hidden="1"/>
    </xf>
    <xf numFmtId="0" fontId="21" fillId="12" borderId="124" xfId="0" applyFont="1" applyFill="1" applyBorder="1" applyAlignment="1" applyProtection="1">
      <alignment horizontal="left" vertical="center" indent="1"/>
      <protection hidden="1"/>
    </xf>
    <xf numFmtId="0" fontId="31" fillId="53" borderId="104" xfId="0" applyNumberFormat="1" applyFont="1" applyFill="1" applyBorder="1" applyAlignment="1" applyProtection="1">
      <alignment vertical="center"/>
    </xf>
    <xf numFmtId="0" fontId="31" fillId="53" borderId="101" xfId="0" applyFont="1" applyFill="1" applyBorder="1" applyAlignment="1" applyProtection="1">
      <alignment vertical="center"/>
    </xf>
    <xf numFmtId="0" fontId="39" fillId="12" borderId="104" xfId="0" applyFont="1" applyFill="1" applyBorder="1" applyAlignment="1">
      <alignment horizontal="center" vertical="center"/>
    </xf>
    <xf numFmtId="0" fontId="9" fillId="12" borderId="98" xfId="0" applyFont="1" applyFill="1" applyBorder="1" applyAlignment="1">
      <alignment horizontal="center" vertical="center"/>
    </xf>
    <xf numFmtId="0" fontId="25" fillId="12" borderId="27" xfId="0" applyFont="1" applyFill="1" applyBorder="1" applyAlignment="1">
      <alignment horizontal="left" vertical="center" indent="1"/>
    </xf>
    <xf numFmtId="0" fontId="25" fillId="12" borderId="17" xfId="0" applyFont="1" applyFill="1" applyBorder="1" applyAlignment="1">
      <alignment horizontal="left" vertical="center" indent="1"/>
    </xf>
    <xf numFmtId="0" fontId="25" fillId="12" borderId="13" xfId="0" applyFont="1" applyFill="1" applyBorder="1" applyAlignment="1">
      <alignment horizontal="left" vertical="center" indent="1"/>
    </xf>
    <xf numFmtId="0" fontId="0" fillId="0" borderId="13" xfId="0" applyBorder="1" applyAlignment="1">
      <alignment horizontal="center" vertical="center"/>
    </xf>
    <xf numFmtId="0" fontId="0" fillId="0" borderId="19" xfId="0" applyBorder="1" applyAlignment="1">
      <alignment horizontal="center" vertical="center" wrapText="1"/>
    </xf>
    <xf numFmtId="0" fontId="0" fillId="0" borderId="27" xfId="0" applyBorder="1" applyAlignment="1">
      <alignment horizontal="center" vertical="center" wrapText="1"/>
    </xf>
    <xf numFmtId="0" fontId="0" fillId="0" borderId="13" xfId="0" applyBorder="1" applyAlignment="1">
      <alignment horizontal="center" vertical="center" wrapText="1"/>
    </xf>
    <xf numFmtId="0" fontId="2" fillId="0" borderId="19" xfId="0" applyFont="1" applyFill="1" applyBorder="1" applyAlignment="1">
      <alignment horizontal="center" vertical="center"/>
    </xf>
    <xf numFmtId="0" fontId="2" fillId="0" borderId="18" xfId="0" applyFont="1" applyFill="1" applyBorder="1" applyAlignment="1">
      <alignment horizontal="center" vertical="center"/>
    </xf>
    <xf numFmtId="0" fontId="0" fillId="0" borderId="27" xfId="0" applyBorder="1" applyAlignment="1"/>
    <xf numFmtId="165" fontId="2" fillId="0" borderId="0" xfId="0" applyNumberFormat="1" applyFont="1" applyFill="1" applyAlignment="1"/>
    <xf numFmtId="166" fontId="2" fillId="0" borderId="19" xfId="0" applyNumberFormat="1" applyFont="1" applyFill="1" applyBorder="1" applyAlignment="1">
      <alignment horizontal="center" vertical="center"/>
    </xf>
    <xf numFmtId="166" fontId="2" fillId="0" borderId="27" xfId="0" applyNumberFormat="1" applyFont="1" applyFill="1" applyBorder="1" applyAlignment="1">
      <alignment horizontal="center" vertical="center"/>
    </xf>
    <xf numFmtId="165" fontId="2" fillId="0" borderId="23" xfId="0" applyNumberFormat="1" applyFont="1" applyFill="1" applyBorder="1" applyAlignment="1">
      <alignment horizontal="center" vertical="center"/>
    </xf>
    <xf numFmtId="0" fontId="0" fillId="0" borderId="20" xfId="0" applyBorder="1" applyAlignment="1"/>
    <xf numFmtId="166" fontId="2" fillId="0" borderId="13" xfId="0" applyNumberFormat="1" applyFont="1" applyFill="1" applyBorder="1" applyAlignment="1" applyProtection="1">
      <alignment horizontal="center"/>
      <protection hidden="1"/>
    </xf>
    <xf numFmtId="0" fontId="0" fillId="0" borderId="13" xfId="0" applyBorder="1" applyAlignment="1">
      <alignment horizontal="center"/>
    </xf>
    <xf numFmtId="165" fontId="2" fillId="0" borderId="13" xfId="0" applyNumberFormat="1" applyFont="1" applyFill="1" applyBorder="1" applyAlignment="1">
      <alignment horizontal="center"/>
    </xf>
    <xf numFmtId="2" fontId="0" fillId="0" borderId="18" xfId="0" applyNumberFormat="1" applyBorder="1" applyAlignment="1"/>
    <xf numFmtId="2" fontId="0" fillId="0" borderId="27" xfId="0" applyNumberFormat="1" applyBorder="1" applyAlignment="1"/>
    <xf numFmtId="165" fontId="2" fillId="0" borderId="13" xfId="0" applyNumberFormat="1" applyFont="1" applyFill="1" applyBorder="1" applyAlignment="1">
      <alignment wrapText="1"/>
    </xf>
    <xf numFmtId="0" fontId="0" fillId="0" borderId="13" xfId="0" applyBorder="1" applyAlignment="1">
      <alignment wrapText="1"/>
    </xf>
    <xf numFmtId="0" fontId="61" fillId="17" borderId="8" xfId="0" applyFont="1" applyFill="1" applyBorder="1" applyAlignment="1">
      <alignment horizontal="center" shrinkToFit="1"/>
    </xf>
    <xf numFmtId="0" fontId="61" fillId="17" borderId="60" xfId="0" applyFont="1" applyFill="1" applyBorder="1" applyAlignment="1">
      <alignment horizontal="center" shrinkToFit="1"/>
    </xf>
    <xf numFmtId="0" fontId="61" fillId="17" borderId="61" xfId="0" applyFont="1" applyFill="1" applyBorder="1" applyAlignment="1">
      <alignment horizontal="center" shrinkToFit="1"/>
    </xf>
    <xf numFmtId="0" fontId="62" fillId="17" borderId="22" xfId="0" applyFont="1" applyFill="1" applyBorder="1" applyAlignment="1">
      <alignment horizontal="left" shrinkToFit="1"/>
    </xf>
    <xf numFmtId="0" fontId="62" fillId="0" borderId="28" xfId="0" applyFont="1" applyBorder="1" applyAlignment="1">
      <alignment shrinkToFit="1"/>
    </xf>
    <xf numFmtId="0" fontId="62" fillId="0" borderId="14" xfId="0" applyFont="1" applyBorder="1" applyAlignment="1">
      <alignment shrinkToFit="1"/>
    </xf>
    <xf numFmtId="0" fontId="62" fillId="17" borderId="62" xfId="0" applyFont="1" applyFill="1" applyBorder="1" applyAlignment="1">
      <alignment horizontal="center" vertical="center" wrapText="1" shrinkToFit="1"/>
    </xf>
    <xf numFmtId="0" fontId="62" fillId="0" borderId="32" xfId="0" applyFont="1" applyBorder="1" applyAlignment="1">
      <alignment horizontal="center" vertical="center" wrapText="1" shrinkToFit="1"/>
    </xf>
    <xf numFmtId="0" fontId="62" fillId="0" borderId="63" xfId="0" applyFont="1" applyBorder="1" applyAlignment="1">
      <alignment horizontal="center" vertical="center" wrapText="1" shrinkToFit="1"/>
    </xf>
    <xf numFmtId="0" fontId="62" fillId="0" borderId="109" xfId="0" applyFont="1" applyBorder="1" applyAlignment="1">
      <alignment horizontal="center" vertical="center" wrapText="1" shrinkToFit="1"/>
    </xf>
    <xf numFmtId="0" fontId="62" fillId="0" borderId="103" xfId="0" applyFont="1" applyBorder="1" applyAlignment="1">
      <alignment horizontal="center" vertical="center" wrapText="1" shrinkToFit="1"/>
    </xf>
    <xf numFmtId="0" fontId="62" fillId="0" borderId="93" xfId="0" applyFont="1" applyBorder="1" applyAlignment="1">
      <alignment horizontal="center" vertical="center" wrapText="1" shrinkToFit="1"/>
    </xf>
    <xf numFmtId="0" fontId="62" fillId="17" borderId="106" xfId="0" applyFont="1" applyFill="1" applyBorder="1" applyAlignment="1">
      <alignment shrinkToFit="1"/>
    </xf>
    <xf numFmtId="0" fontId="0" fillId="0" borderId="107" xfId="0" applyBorder="1" applyAlignment="1">
      <alignment shrinkToFit="1"/>
    </xf>
    <xf numFmtId="0" fontId="0" fillId="0" borderId="108" xfId="0" applyBorder="1" applyAlignment="1">
      <alignment shrinkToFit="1"/>
    </xf>
    <xf numFmtId="0" fontId="21" fillId="14" borderId="22" xfId="0" applyFont="1" applyFill="1" applyBorder="1" applyAlignment="1">
      <alignment horizontal="left" shrinkToFit="1"/>
    </xf>
    <xf numFmtId="0" fontId="21" fillId="0" borderId="28" xfId="0" applyFont="1" applyBorder="1" applyAlignment="1">
      <alignment shrinkToFit="1"/>
    </xf>
    <xf numFmtId="0" fontId="21" fillId="0" borderId="14" xfId="0" applyFont="1" applyBorder="1" applyAlignment="1">
      <alignment shrinkToFit="1"/>
    </xf>
    <xf numFmtId="0" fontId="58" fillId="14" borderId="31" xfId="0" applyFont="1" applyFill="1" applyBorder="1" applyAlignment="1">
      <alignment horizontal="center" shrinkToFit="1"/>
    </xf>
    <xf numFmtId="0" fontId="58" fillId="14" borderId="32" xfId="0" applyFont="1" applyFill="1" applyBorder="1" applyAlignment="1">
      <alignment horizontal="center" shrinkToFit="1"/>
    </xf>
    <xf numFmtId="0" fontId="58" fillId="14" borderId="33" xfId="0" applyFont="1" applyFill="1" applyBorder="1" applyAlignment="1">
      <alignment horizontal="center" shrinkToFit="1"/>
    </xf>
    <xf numFmtId="0" fontId="21" fillId="14" borderId="62" xfId="0" applyFont="1" applyFill="1" applyBorder="1" applyAlignment="1">
      <alignment horizontal="center" vertical="center" shrinkToFit="1"/>
    </xf>
    <xf numFmtId="0" fontId="21" fillId="0" borderId="32" xfId="0" applyFont="1" applyBorder="1" applyAlignment="1">
      <alignment horizontal="center" vertical="center" shrinkToFit="1"/>
    </xf>
    <xf numFmtId="0" fontId="21" fillId="0" borderId="63" xfId="0" applyFont="1" applyBorder="1" applyAlignment="1">
      <alignment horizontal="center" vertical="center" shrinkToFit="1"/>
    </xf>
    <xf numFmtId="0" fontId="21" fillId="0" borderId="17" xfId="0" applyFont="1" applyBorder="1" applyAlignment="1">
      <alignment horizontal="center" vertical="center" shrinkToFit="1"/>
    </xf>
    <xf numFmtId="0" fontId="21" fillId="0" borderId="15" xfId="0" applyFont="1" applyBorder="1" applyAlignment="1">
      <alignment horizontal="center" vertical="center" shrinkToFit="1"/>
    </xf>
    <xf numFmtId="0" fontId="21" fillId="0" borderId="16" xfId="0" applyFont="1" applyBorder="1" applyAlignment="1">
      <alignment horizontal="center" vertical="center" shrinkToFit="1"/>
    </xf>
    <xf numFmtId="0" fontId="21" fillId="14" borderId="106" xfId="0" applyFont="1" applyFill="1" applyBorder="1" applyAlignment="1">
      <alignment shrinkToFit="1"/>
    </xf>
    <xf numFmtId="165" fontId="2" fillId="0" borderId="0" xfId="0" applyNumberFormat="1" applyFont="1" applyFill="1" applyBorder="1" applyAlignment="1">
      <alignment horizontal="center" vertical="center"/>
    </xf>
    <xf numFmtId="166" fontId="2" fillId="0" borderId="22" xfId="0" applyNumberFormat="1" applyFont="1" applyFill="1" applyBorder="1" applyAlignment="1">
      <alignment horizontal="center" vertical="center"/>
    </xf>
    <xf numFmtId="0" fontId="0" fillId="0" borderId="14" xfId="0" applyBorder="1" applyAlignment="1">
      <alignment horizontal="center" vertical="center"/>
    </xf>
    <xf numFmtId="2" fontId="2" fillId="0" borderId="23" xfId="0" applyNumberFormat="1" applyFont="1" applyFill="1" applyBorder="1" applyAlignment="1" applyProtection="1">
      <alignment horizontal="center"/>
      <protection hidden="1"/>
    </xf>
    <xf numFmtId="2" fontId="0" fillId="0" borderId="23" xfId="0" applyNumberFormat="1" applyBorder="1" applyAlignment="1"/>
    <xf numFmtId="0" fontId="21" fillId="14" borderId="106" xfId="0" applyFont="1" applyFill="1" applyBorder="1" applyAlignment="1">
      <alignment horizontal="left" shrinkToFit="1"/>
    </xf>
    <xf numFmtId="0" fontId="21" fillId="14" borderId="106" xfId="0" applyFont="1" applyFill="1" applyBorder="1" applyAlignment="1">
      <alignment vertical="center" shrinkToFit="1"/>
    </xf>
    <xf numFmtId="0" fontId="0" fillId="0" borderId="107" xfId="0" applyBorder="1" applyAlignment="1">
      <alignment vertical="center" shrinkToFit="1"/>
    </xf>
    <xf numFmtId="0" fontId="0" fillId="0" borderId="108" xfId="0" applyBorder="1" applyAlignment="1">
      <alignment vertical="center" shrinkToFit="1"/>
    </xf>
    <xf numFmtId="164" fontId="58" fillId="14" borderId="22" xfId="0" applyNumberFormat="1" applyFont="1" applyFill="1" applyBorder="1" applyAlignment="1">
      <alignment vertical="center" shrinkToFit="1"/>
    </xf>
    <xf numFmtId="164" fontId="58" fillId="14" borderId="14" xfId="0" applyNumberFormat="1" applyFont="1" applyFill="1" applyBorder="1" applyAlignment="1">
      <alignment vertical="center" shrinkToFit="1"/>
    </xf>
    <xf numFmtId="164" fontId="58" fillId="14" borderId="73" xfId="0" applyNumberFormat="1" applyFont="1" applyFill="1" applyBorder="1" applyAlignment="1">
      <alignment vertical="center" shrinkToFit="1"/>
    </xf>
    <xf numFmtId="164" fontId="58" fillId="14" borderId="74" xfId="0" applyNumberFormat="1" applyFont="1" applyFill="1" applyBorder="1" applyAlignment="1">
      <alignment vertical="center" shrinkToFit="1"/>
    </xf>
    <xf numFmtId="0" fontId="58" fillId="14" borderId="27" xfId="0" applyFont="1" applyFill="1" applyBorder="1" applyAlignment="1">
      <alignment horizontal="center" vertical="center" shrinkToFit="1"/>
    </xf>
    <xf numFmtId="0" fontId="21" fillId="14" borderId="27" xfId="0" applyFont="1" applyFill="1" applyBorder="1" applyAlignment="1">
      <alignment shrinkToFit="1"/>
    </xf>
    <xf numFmtId="0" fontId="58" fillId="14" borderId="22" xfId="0" applyFont="1" applyFill="1" applyBorder="1" applyAlignment="1">
      <alignment horizontal="center" vertical="center" shrinkToFit="1"/>
    </xf>
    <xf numFmtId="0" fontId="58" fillId="14" borderId="14" xfId="0" applyFont="1" applyFill="1" applyBorder="1" applyAlignment="1">
      <alignment horizontal="center" vertical="center" shrinkToFit="1"/>
    </xf>
    <xf numFmtId="0" fontId="58" fillId="14" borderId="73" xfId="0" applyFont="1" applyFill="1" applyBorder="1" applyAlignment="1">
      <alignment horizontal="center" vertical="center" shrinkToFit="1"/>
    </xf>
    <xf numFmtId="0" fontId="58" fillId="14" borderId="74" xfId="0" applyFont="1" applyFill="1" applyBorder="1" applyAlignment="1">
      <alignment horizontal="center" vertical="center" shrinkToFit="1"/>
    </xf>
    <xf numFmtId="0" fontId="6" fillId="0" borderId="67" xfId="0" applyFont="1" applyBorder="1" applyAlignment="1" applyProtection="1">
      <alignment horizontal="center"/>
    </xf>
    <xf numFmtId="0" fontId="6" fillId="0" borderId="47" xfId="0" applyFont="1" applyBorder="1" applyAlignment="1" applyProtection="1">
      <alignment horizontal="center"/>
    </xf>
    <xf numFmtId="0" fontId="0" fillId="0" borderId="47" xfId="0" applyBorder="1" applyAlignment="1" applyProtection="1">
      <alignment horizontal="center"/>
    </xf>
    <xf numFmtId="0" fontId="0" fillId="0" borderId="48" xfId="0" applyBorder="1" applyAlignment="1" applyProtection="1">
      <alignment horizontal="center"/>
    </xf>
    <xf numFmtId="0" fontId="0" fillId="0" borderId="6" xfId="0" applyBorder="1" applyAlignment="1" applyProtection="1">
      <alignment horizontal="center"/>
    </xf>
    <xf numFmtId="0" fontId="6" fillId="0" borderId="7" xfId="0" applyFont="1" applyBorder="1" applyAlignment="1" applyProtection="1">
      <alignment horizontal="center"/>
    </xf>
    <xf numFmtId="0" fontId="0" fillId="0" borderId="47" xfId="0" applyBorder="1" applyAlignment="1">
      <alignment horizontal="center"/>
    </xf>
    <xf numFmtId="0" fontId="1" fillId="47" borderId="77" xfId="8" applyBorder="1" applyAlignment="1">
      <alignment horizontal="center" vertical="center"/>
    </xf>
    <xf numFmtId="0" fontId="1" fillId="47" borderId="79" xfId="8" applyBorder="1" applyAlignment="1">
      <alignment horizontal="center" vertical="center"/>
    </xf>
    <xf numFmtId="164" fontId="0" fillId="0" borderId="0" xfId="0" applyNumberFormat="1" applyAlignment="1">
      <alignment horizontal="center"/>
    </xf>
    <xf numFmtId="0" fontId="25" fillId="15" borderId="19" xfId="0" applyFont="1" applyFill="1" applyBorder="1" applyAlignment="1">
      <alignment horizontal="left" vertical="center" wrapText="1"/>
    </xf>
    <xf numFmtId="0" fontId="0" fillId="0" borderId="27" xfId="0" applyBorder="1" applyAlignment="1">
      <alignment horizontal="left" vertical="center" wrapText="1"/>
    </xf>
    <xf numFmtId="164" fontId="55" fillId="0" borderId="0" xfId="0" applyNumberFormat="1" applyFont="1" applyAlignment="1">
      <alignment horizontal="center" vertical="center" wrapText="1"/>
    </xf>
    <xf numFmtId="0" fontId="55" fillId="0" borderId="0" xfId="0" applyFont="1" applyAlignment="1">
      <alignment horizontal="center" vertical="center" wrapText="1"/>
    </xf>
    <xf numFmtId="0" fontId="66" fillId="46" borderId="73" xfId="7" applyFont="1" applyBorder="1" applyAlignment="1">
      <alignment horizontal="center" vertical="center" wrapText="1"/>
    </xf>
    <xf numFmtId="0" fontId="66" fillId="46" borderId="28" xfId="7" applyFont="1" applyBorder="1" applyAlignment="1">
      <alignment horizontal="center" vertical="center" wrapText="1"/>
    </xf>
    <xf numFmtId="0" fontId="66" fillId="46" borderId="74" xfId="7" applyFont="1" applyBorder="1" applyAlignment="1">
      <alignment horizontal="center"/>
    </xf>
    <xf numFmtId="0" fontId="63" fillId="49" borderId="64" xfId="10" applyFont="1" applyBorder="1" applyAlignment="1">
      <alignment horizontal="center" vertical="center" wrapText="1"/>
    </xf>
    <xf numFmtId="0" fontId="63" fillId="49" borderId="39" xfId="10" applyFont="1" applyBorder="1" applyAlignment="1">
      <alignment horizontal="center" vertical="center" wrapText="1"/>
    </xf>
    <xf numFmtId="0" fontId="63" fillId="49" borderId="24" xfId="10" applyFont="1" applyBorder="1" applyAlignment="1">
      <alignment horizontal="center" vertical="center" wrapText="1"/>
    </xf>
    <xf numFmtId="0" fontId="63" fillId="49" borderId="17" xfId="10" applyFont="1" applyBorder="1" applyAlignment="1">
      <alignment horizontal="center" vertical="center" wrapText="1"/>
    </xf>
    <xf numFmtId="0" fontId="63" fillId="49" borderId="70" xfId="10" applyFont="1" applyBorder="1" applyAlignment="1">
      <alignment horizontal="center" vertical="center" wrapText="1"/>
    </xf>
    <xf numFmtId="0" fontId="63" fillId="49" borderId="83" xfId="10" applyFont="1" applyBorder="1" applyAlignment="1">
      <alignment horizontal="center" vertical="center" wrapText="1"/>
    </xf>
    <xf numFmtId="0" fontId="65" fillId="47" borderId="76" xfId="8" applyFont="1" applyBorder="1" applyAlignment="1">
      <alignment horizontal="center" vertical="center"/>
    </xf>
    <xf numFmtId="0" fontId="65" fillId="47" borderId="0" xfId="8" applyFont="1" applyAlignment="1">
      <alignment horizontal="center" vertical="center"/>
    </xf>
    <xf numFmtId="0" fontId="1" fillId="47" borderId="76" xfId="8" applyBorder="1" applyAlignment="1">
      <alignment horizontal="center" vertical="center"/>
    </xf>
    <xf numFmtId="0" fontId="1" fillId="47" borderId="0" xfId="8" applyAlignment="1">
      <alignment horizontal="center" vertical="center"/>
    </xf>
    <xf numFmtId="0" fontId="63" fillId="49" borderId="106" xfId="10" applyFont="1" applyBorder="1" applyAlignment="1">
      <alignment horizontal="center" vertical="center" wrapText="1"/>
    </xf>
    <xf numFmtId="0" fontId="63" fillId="49" borderId="107" xfId="10" applyFont="1" applyBorder="1" applyAlignment="1">
      <alignment horizontal="center" vertical="center" wrapText="1"/>
    </xf>
    <xf numFmtId="0" fontId="63" fillId="49" borderId="108" xfId="10" applyFont="1" applyBorder="1" applyAlignment="1">
      <alignment horizontal="center" vertical="center" wrapText="1"/>
    </xf>
    <xf numFmtId="0" fontId="34" fillId="0" borderId="0" xfId="0" applyFont="1" applyAlignment="1">
      <alignment horizontal="center" vertical="center" textRotation="90"/>
    </xf>
    <xf numFmtId="0" fontId="55" fillId="0" borderId="23" xfId="0" applyNumberFormat="1" applyFont="1" applyBorder="1" applyAlignment="1">
      <alignment horizontal="center" vertical="center" wrapText="1"/>
    </xf>
    <xf numFmtId="0" fontId="9" fillId="0" borderId="0" xfId="0" applyFont="1" applyBorder="1" applyAlignment="1">
      <alignment horizontal="center" vertical="center"/>
    </xf>
    <xf numFmtId="0" fontId="66" fillId="46" borderId="74" xfId="7" applyFont="1" applyBorder="1" applyAlignment="1">
      <alignment horizontal="center" vertical="center" wrapText="1"/>
    </xf>
    <xf numFmtId="0" fontId="2" fillId="0" borderId="19" xfId="0" applyFont="1" applyBorder="1" applyAlignment="1" applyProtection="1">
      <alignment horizontal="center" vertical="center"/>
      <protection locked="0"/>
    </xf>
    <xf numFmtId="0" fontId="2" fillId="0" borderId="27" xfId="0" applyFont="1" applyBorder="1" applyAlignment="1" applyProtection="1">
      <alignment horizontal="center" vertical="center"/>
      <protection locked="0"/>
    </xf>
    <xf numFmtId="0" fontId="63" fillId="49" borderId="19" xfId="10" applyFont="1" applyBorder="1" applyAlignment="1">
      <alignment horizontal="center" vertical="center"/>
    </xf>
    <xf numFmtId="0" fontId="63" fillId="49" borderId="27" xfId="10" applyFont="1" applyBorder="1" applyAlignment="1">
      <alignment horizontal="center" vertical="center"/>
    </xf>
    <xf numFmtId="0" fontId="63" fillId="49" borderId="19" xfId="10" applyFont="1" applyBorder="1" applyAlignment="1">
      <alignment horizontal="center" vertical="center" wrapText="1"/>
    </xf>
    <xf numFmtId="0" fontId="63" fillId="49" borderId="27" xfId="10" applyFont="1" applyBorder="1" applyAlignment="1">
      <alignment horizontal="center" vertical="center" wrapText="1"/>
    </xf>
    <xf numFmtId="2" fontId="2" fillId="0" borderId="19" xfId="0" applyNumberFormat="1" applyFont="1" applyFill="1" applyBorder="1" applyAlignment="1">
      <alignment horizontal="center" vertical="center"/>
    </xf>
    <xf numFmtId="2" fontId="2" fillId="0" borderId="27" xfId="0" applyNumberFormat="1" applyFont="1" applyFill="1" applyBorder="1" applyAlignment="1">
      <alignment horizontal="center" vertical="center"/>
    </xf>
    <xf numFmtId="165" fontId="2" fillId="0" borderId="18" xfId="0" applyNumberFormat="1" applyFont="1" applyFill="1" applyBorder="1" applyAlignment="1"/>
    <xf numFmtId="0" fontId="34" fillId="35" borderId="0" xfId="0" applyFont="1" applyFill="1" applyAlignment="1">
      <alignment horizontal="center" vertical="center" textRotation="90"/>
    </xf>
    <xf numFmtId="0" fontId="71" fillId="40" borderId="0" xfId="5" applyFont="1" applyAlignment="1">
      <alignment horizontal="center" vertical="center" wrapText="1"/>
    </xf>
    <xf numFmtId="0" fontId="54" fillId="35" borderId="0" xfId="0" applyFont="1" applyFill="1" applyAlignment="1">
      <alignment horizontal="center" vertical="center" wrapText="1"/>
    </xf>
    <xf numFmtId="0" fontId="54" fillId="0" borderId="0" xfId="0" applyFont="1" applyAlignment="1">
      <alignment horizontal="center" vertical="center" wrapText="1"/>
    </xf>
    <xf numFmtId="0" fontId="48" fillId="35" borderId="0" xfId="1" applyFont="1" applyFill="1" applyAlignment="1">
      <alignment horizontal="center" wrapText="1"/>
    </xf>
    <xf numFmtId="0" fontId="72" fillId="35" borderId="0" xfId="0" applyFont="1" applyFill="1" applyAlignment="1">
      <alignment horizontal="center" wrapText="1"/>
    </xf>
    <xf numFmtId="167" fontId="46" fillId="33" borderId="87" xfId="3" applyNumberFormat="1" applyFont="1" applyBorder="1" applyAlignment="1">
      <alignment horizontal="center" vertical="center"/>
    </xf>
    <xf numFmtId="167" fontId="9" fillId="0" borderId="88" xfId="0" applyNumberFormat="1" applyFont="1" applyBorder="1" applyAlignment="1">
      <alignment horizontal="center" vertical="center"/>
    </xf>
    <xf numFmtId="173" fontId="46" fillId="33" borderId="87" xfId="3" applyNumberFormat="1" applyFont="1" applyBorder="1" applyAlignment="1">
      <alignment horizontal="center" vertical="center"/>
    </xf>
    <xf numFmtId="173" fontId="9" fillId="0" borderId="88" xfId="0" applyNumberFormat="1" applyFont="1" applyBorder="1" applyAlignment="1">
      <alignment horizontal="center" vertical="center"/>
    </xf>
    <xf numFmtId="0" fontId="45" fillId="34" borderId="86" xfId="4" applyFont="1" applyAlignment="1">
      <alignment vertical="center"/>
    </xf>
    <xf numFmtId="0" fontId="48" fillId="38" borderId="0" xfId="1" applyFont="1" applyFill="1" applyAlignment="1">
      <alignment horizontal="center" wrapText="1"/>
    </xf>
    <xf numFmtId="0" fontId="2" fillId="38" borderId="0" xfId="0" applyFont="1" applyFill="1" applyAlignment="1">
      <alignment horizontal="left" vertical="top" wrapText="1"/>
    </xf>
    <xf numFmtId="0" fontId="0" fillId="0" borderId="0" xfId="0" applyAlignment="1">
      <alignment horizontal="left" vertical="top" wrapText="1"/>
    </xf>
    <xf numFmtId="0" fontId="24" fillId="45" borderId="31" xfId="0" applyFont="1" applyFill="1" applyBorder="1" applyAlignment="1" applyProtection="1">
      <alignment horizontal="center" vertical="center" shrinkToFit="1"/>
      <protection hidden="1"/>
    </xf>
    <xf numFmtId="0" fontId="24" fillId="45" borderId="32" xfId="0" applyFont="1" applyFill="1" applyBorder="1" applyAlignment="1" applyProtection="1">
      <alignment horizontal="center" vertical="center" shrinkToFit="1"/>
      <protection hidden="1"/>
    </xf>
    <xf numFmtId="0" fontId="24" fillId="45" borderId="33" xfId="0" applyFont="1" applyFill="1" applyBorder="1" applyAlignment="1" applyProtection="1">
      <alignment horizontal="center" vertical="center" shrinkToFit="1"/>
      <protection hidden="1"/>
    </xf>
    <xf numFmtId="0" fontId="24" fillId="44" borderId="114" xfId="0" applyFont="1" applyFill="1" applyBorder="1" applyAlignment="1" applyProtection="1">
      <alignment horizontal="center" vertical="center" shrinkToFit="1"/>
      <protection hidden="1"/>
    </xf>
    <xf numFmtId="0" fontId="24" fillId="44" borderId="115" xfId="0" applyFont="1" applyFill="1" applyBorder="1" applyAlignment="1" applyProtection="1">
      <alignment horizontal="center" vertical="center" shrinkToFit="1"/>
      <protection hidden="1"/>
    </xf>
    <xf numFmtId="0" fontId="24" fillId="44" borderId="116" xfId="0" applyFont="1" applyFill="1" applyBorder="1" applyAlignment="1" applyProtection="1">
      <alignment horizontal="center" vertical="center" shrinkToFit="1"/>
      <protection hidden="1"/>
    </xf>
    <xf numFmtId="0" fontId="24" fillId="43" borderId="114" xfId="0" applyFont="1" applyFill="1" applyBorder="1" applyAlignment="1" applyProtection="1">
      <alignment horizontal="center" vertical="center" shrinkToFit="1"/>
      <protection hidden="1"/>
    </xf>
    <xf numFmtId="0" fontId="24" fillId="43" borderId="115" xfId="0" applyFont="1" applyFill="1" applyBorder="1" applyAlignment="1" applyProtection="1">
      <alignment horizontal="center" vertical="center" shrinkToFit="1"/>
      <protection hidden="1"/>
    </xf>
    <xf numFmtId="0" fontId="24" fillId="43" borderId="116" xfId="0" applyFont="1" applyFill="1" applyBorder="1" applyAlignment="1" applyProtection="1">
      <alignment horizontal="center" vertical="center" shrinkToFit="1"/>
      <protection hidden="1"/>
    </xf>
    <xf numFmtId="0" fontId="24" fillId="42" borderId="114" xfId="0" applyFont="1" applyFill="1" applyBorder="1" applyAlignment="1" applyProtection="1">
      <alignment horizontal="center" vertical="center" shrinkToFit="1"/>
      <protection hidden="1"/>
    </xf>
    <xf numFmtId="0" fontId="24" fillId="42" borderId="115" xfId="0" applyFont="1" applyFill="1" applyBorder="1" applyAlignment="1" applyProtection="1">
      <alignment horizontal="center" vertical="center" shrinkToFit="1"/>
      <protection hidden="1"/>
    </xf>
    <xf numFmtId="0" fontId="24" fillId="42" borderId="116" xfId="0" applyFont="1" applyFill="1" applyBorder="1" applyAlignment="1" applyProtection="1">
      <alignment horizontal="center" vertical="center" shrinkToFit="1"/>
      <protection hidden="1"/>
    </xf>
  </cellXfs>
  <cellStyles count="11">
    <cellStyle name="20% - Accent3" xfId="8" builtinId="38"/>
    <cellStyle name="40% - Accent3" xfId="9" builtinId="39"/>
    <cellStyle name="60% - Accent3" xfId="10" builtinId="40"/>
    <cellStyle name="Accent1" xfId="6" builtinId="29"/>
    <cellStyle name="Accent3" xfId="7" builtinId="37"/>
    <cellStyle name="Check Cell" xfId="4" builtinId="23"/>
    <cellStyle name="Good" xfId="5" builtinId="26"/>
    <cellStyle name="Input" xfId="2" builtinId="20"/>
    <cellStyle name="Normal" xfId="0" builtinId="0"/>
    <cellStyle name="Output" xfId="3" builtinId="21"/>
    <cellStyle name="Title" xfId="1" builtinId="15"/>
  </cellStyles>
  <dxfs count="102">
    <dxf>
      <font>
        <color theme="0"/>
      </font>
      <fill>
        <patternFill patternType="solid">
          <bgColor theme="6" tint="-0.24994659260841701"/>
        </patternFill>
      </fill>
    </dxf>
    <dxf>
      <font>
        <color theme="0"/>
      </font>
      <fill>
        <patternFill patternType="solid">
          <bgColor theme="6" tint="-0.24994659260841701"/>
        </patternFill>
      </fill>
    </dxf>
    <dxf>
      <font>
        <color theme="0"/>
      </font>
      <fill>
        <patternFill patternType="solid">
          <bgColor theme="6" tint="-0.24994659260841701"/>
        </patternFill>
      </fill>
    </dxf>
    <dxf>
      <font>
        <color theme="0"/>
      </font>
      <fill>
        <patternFill patternType="solid">
          <bgColor rgb="FFFFC000"/>
        </patternFill>
      </fill>
    </dxf>
    <dxf>
      <border>
        <left/>
        <right/>
        <vertical/>
        <horizontal/>
      </border>
    </dxf>
    <dxf>
      <fill>
        <patternFill patternType="solid">
          <bgColor auto="1"/>
        </patternFill>
      </fill>
      <border>
        <right/>
        <top/>
        <bottom/>
        <vertical/>
        <horizontal/>
      </border>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ndense val="0"/>
        <extend val="0"/>
        <color auto="1"/>
      </font>
      <fill>
        <patternFill>
          <bgColor indexed="11"/>
        </patternFill>
      </fill>
    </dxf>
    <dxf>
      <font>
        <b/>
        <i val="0"/>
        <condense val="0"/>
        <extend val="0"/>
      </font>
      <fill>
        <patternFill>
          <bgColor indexed="40"/>
        </patternFill>
      </fill>
    </dxf>
    <dxf>
      <fill>
        <patternFill patternType="gray125">
          <fgColor indexed="51"/>
          <bgColor indexed="9"/>
        </patternFill>
      </fill>
    </dxf>
    <dxf>
      <fill>
        <patternFill patternType="gray125">
          <fgColor indexed="51"/>
          <bgColor indexed="9"/>
        </patternFill>
      </fill>
    </dxf>
    <dxf>
      <fill>
        <patternFill patternType="gray125">
          <fgColor indexed="51"/>
          <bgColor indexed="9"/>
        </patternFill>
      </fill>
    </dxf>
    <dxf>
      <font>
        <condense val="0"/>
        <extend val="0"/>
        <color indexed="9"/>
      </font>
    </dxf>
    <dxf>
      <font>
        <condense val="0"/>
        <extend val="0"/>
        <color indexed="9"/>
      </font>
    </dxf>
    <dxf>
      <fill>
        <patternFill>
          <bgColor indexed="10"/>
        </patternFill>
      </fill>
    </dxf>
    <dxf>
      <fill>
        <patternFill>
          <bgColor indexed="10"/>
        </patternFill>
      </fill>
    </dxf>
    <dxf>
      <fill>
        <patternFill patternType="lightUp">
          <fgColor indexed="11"/>
          <bgColor indexed="9"/>
        </patternFill>
      </fill>
      <border>
        <left/>
        <right/>
        <top/>
        <bottom/>
      </border>
    </dxf>
    <dxf>
      <fill>
        <patternFill>
          <bgColor indexed="47"/>
        </patternFill>
      </fill>
    </dxf>
    <dxf>
      <fill>
        <patternFill>
          <bgColor indexed="45"/>
        </patternFill>
      </fill>
    </dxf>
    <dxf>
      <fill>
        <patternFill>
          <bgColor indexed="47"/>
        </patternFill>
      </fill>
    </dxf>
    <dxf>
      <fill>
        <patternFill>
          <bgColor indexed="47"/>
        </patternFill>
      </fill>
    </dxf>
    <dxf>
      <fill>
        <patternFill patternType="gray125">
          <fgColor rgb="FF00FF00"/>
          <bgColor auto="1"/>
        </patternFill>
      </fill>
      <border>
        <left/>
        <right/>
        <top/>
        <bottom/>
      </border>
    </dxf>
    <dxf>
      <fill>
        <patternFill>
          <bgColor indexed="47"/>
        </patternFill>
      </fill>
    </dxf>
    <dxf>
      <fill>
        <patternFill>
          <bgColor indexed="47"/>
        </patternFill>
      </fill>
    </dxf>
    <dxf>
      <fill>
        <patternFill patternType="lightUp">
          <fgColor indexed="11"/>
          <bgColor indexed="47"/>
        </patternFill>
      </fill>
      <border>
        <left/>
        <right/>
        <top style="thin">
          <color indexed="64"/>
        </top>
        <bottom/>
      </border>
    </dxf>
    <dxf>
      <fill>
        <patternFill patternType="lightUp">
          <fgColor indexed="11"/>
          <bgColor indexed="9"/>
        </patternFill>
      </fill>
      <border>
        <left/>
        <right/>
        <top style="thin">
          <color indexed="64"/>
        </top>
        <bottom/>
      </border>
    </dxf>
    <dxf>
      <border>
        <right style="thin">
          <color auto="1"/>
        </right>
        <vertical/>
        <horizontal/>
      </border>
    </dxf>
    <dxf>
      <border>
        <left style="thin">
          <color auto="1"/>
        </left>
        <right style="thin">
          <color auto="1"/>
        </right>
        <top style="thin">
          <color auto="1"/>
        </top>
        <bottom/>
      </border>
    </dxf>
    <dxf>
      <fill>
        <patternFill>
          <bgColor indexed="47"/>
        </patternFill>
      </fill>
    </dxf>
    <dxf>
      <border>
        <right style="thin">
          <color auto="1"/>
        </right>
        <vertical/>
        <horizontal/>
      </border>
    </dxf>
    <dxf>
      <border>
        <right style="thin">
          <color auto="1"/>
        </right>
        <vertical/>
        <horizontal/>
      </border>
    </dxf>
    <dxf>
      <border>
        <left style="thin">
          <color auto="1"/>
        </left>
        <vertical/>
        <horizontal/>
      </border>
    </dxf>
    <dxf>
      <border>
        <left style="thin">
          <color auto="1"/>
        </left>
        <right style="thin">
          <color auto="1"/>
        </right>
        <vertical/>
        <horizontal/>
      </border>
    </dxf>
    <dxf>
      <border>
        <left style="thin">
          <color auto="1"/>
        </left>
        <vertical/>
        <horizontal/>
      </border>
    </dxf>
    <dxf>
      <border>
        <left style="thin">
          <color auto="1"/>
        </left>
        <vertical/>
        <horizontal/>
      </border>
    </dxf>
    <dxf>
      <border>
        <left style="thin">
          <color auto="1"/>
        </left>
        <right style="thin">
          <color auto="1"/>
        </right>
        <vertical/>
        <horizontal/>
      </border>
    </dxf>
    <dxf>
      <border>
        <left style="thin">
          <color auto="1"/>
        </left>
        <right style="thin">
          <color auto="1"/>
        </right>
        <top style="thin">
          <color auto="1"/>
        </top>
        <bottom style="thin">
          <color auto="1"/>
        </bottom>
        <vertical/>
        <horizontal/>
      </border>
    </dxf>
    <dxf>
      <fill>
        <patternFill>
          <bgColor rgb="FFFFCC99"/>
        </patternFill>
      </fill>
      <border>
        <left style="thin">
          <color auto="1"/>
        </left>
        <vertical/>
        <horizontal/>
      </border>
    </dxf>
    <dxf>
      <border>
        <left style="thin">
          <color auto="1"/>
        </left>
        <vertical/>
        <horizontal/>
      </border>
    </dxf>
    <dxf>
      <fill>
        <patternFill>
          <bgColor rgb="FFFF99CC"/>
        </patternFill>
      </fill>
      <border>
        <right style="thin">
          <color auto="1"/>
        </right>
      </border>
    </dxf>
    <dxf>
      <fill>
        <patternFill>
          <bgColor rgb="FFFFCC99"/>
        </patternFill>
      </fill>
    </dxf>
    <dxf>
      <fill>
        <patternFill>
          <bgColor rgb="FFFFCC99"/>
        </patternFill>
      </fill>
      <border>
        <left/>
        <right/>
        <top/>
        <bottom/>
      </border>
    </dxf>
    <dxf>
      <border>
        <top style="thin">
          <color auto="1"/>
        </top>
        <vertical/>
        <horizontal/>
      </border>
    </dxf>
    <dxf>
      <border>
        <left style="thin">
          <color auto="1"/>
        </left>
        <right style="thin">
          <color auto="1"/>
        </right>
        <vertical/>
        <horizontal/>
      </border>
    </dxf>
    <dxf>
      <border>
        <bottom style="thin">
          <color auto="1"/>
        </bottom>
        <vertical/>
        <horizontal/>
      </border>
    </dxf>
    <dxf>
      <fill>
        <patternFill>
          <bgColor indexed="47"/>
        </patternFill>
      </fill>
    </dxf>
    <dxf>
      <fill>
        <patternFill>
          <bgColor indexed="47"/>
        </patternFill>
      </fill>
    </dxf>
    <dxf>
      <font>
        <condense val="0"/>
        <extend val="0"/>
        <color indexed="9"/>
      </font>
      <fill>
        <patternFill patternType="lightUp">
          <fgColor indexed="11"/>
        </patternFill>
      </fill>
      <border>
        <left/>
        <right/>
        <top/>
        <bottom/>
      </border>
    </dxf>
    <dxf>
      <fill>
        <patternFill patternType="lightUp">
          <fgColor indexed="11"/>
          <bgColor indexed="9"/>
        </patternFill>
      </fill>
      <border>
        <left/>
        <right/>
        <top/>
        <bottom/>
      </border>
    </dxf>
    <dxf>
      <font>
        <condense val="0"/>
        <extend val="0"/>
        <color indexed="11"/>
      </font>
      <fill>
        <patternFill patternType="lightUp">
          <fgColor indexed="11"/>
        </patternFill>
      </fill>
      <border>
        <left/>
        <right/>
        <top/>
        <bottom/>
      </border>
    </dxf>
    <dxf>
      <fill>
        <patternFill patternType="lightUp">
          <fgColor indexed="11"/>
          <bgColor indexed="47"/>
        </patternFill>
      </fill>
      <border>
        <left/>
        <right/>
        <top/>
        <bottom/>
      </border>
    </dxf>
    <dxf>
      <fill>
        <patternFill patternType="lightUp">
          <fgColor indexed="11"/>
          <bgColor indexed="9"/>
        </patternFill>
      </fill>
      <border>
        <left/>
        <right/>
        <top/>
        <bottom/>
      </border>
    </dxf>
    <dxf>
      <fill>
        <patternFill patternType="lightUp">
          <fgColor indexed="11"/>
          <bgColor indexed="47"/>
        </patternFill>
      </fill>
      <border>
        <left/>
        <right/>
        <top/>
        <bottom/>
      </border>
    </dxf>
    <dxf>
      <fill>
        <patternFill patternType="lightUp">
          <fgColor indexed="11"/>
          <bgColor indexed="9"/>
        </patternFill>
      </fill>
      <border>
        <left/>
        <right/>
        <top/>
        <bottom/>
      </border>
    </dxf>
    <dxf>
      <fill>
        <patternFill>
          <bgColor indexed="47"/>
        </patternFill>
      </fill>
      <border>
        <bottom/>
      </border>
    </dxf>
    <dxf>
      <font>
        <b val="0"/>
        <i val="0"/>
        <condense val="0"/>
        <extend val="0"/>
        <color indexed="47"/>
      </font>
      <fill>
        <patternFill patternType="lightUp">
          <fgColor indexed="11"/>
          <bgColor indexed="47"/>
        </patternFill>
      </fill>
      <border>
        <left/>
        <right/>
        <top/>
        <bottom/>
      </border>
    </dxf>
    <dxf>
      <font>
        <color theme="0"/>
      </font>
    </dxf>
    <dxf>
      <fill>
        <patternFill patternType="gray125">
          <fgColor indexed="11"/>
          <bgColor indexed="47"/>
        </patternFill>
      </fill>
      <border>
        <left/>
        <right/>
        <top/>
        <bottom/>
      </border>
    </dxf>
    <dxf>
      <fill>
        <patternFill>
          <bgColor indexed="47"/>
        </patternFill>
      </fill>
    </dxf>
    <dxf>
      <fill>
        <patternFill patternType="lightDown">
          <fgColor indexed="11"/>
          <bgColor indexed="47"/>
        </patternFill>
      </fill>
      <border>
        <left/>
        <right style="thin">
          <color indexed="57"/>
        </right>
        <top/>
        <bottom style="thin">
          <color indexed="57"/>
        </bottom>
      </border>
    </dxf>
    <dxf>
      <fill>
        <patternFill patternType="lightDown">
          <fgColor indexed="11"/>
          <bgColor indexed="47"/>
        </patternFill>
      </fill>
      <border>
        <left style="thin">
          <color indexed="57"/>
        </left>
        <right/>
        <top/>
        <bottom style="thin">
          <color indexed="57"/>
        </bottom>
      </border>
    </dxf>
    <dxf>
      <fill>
        <patternFill patternType="lightDown">
          <fgColor indexed="11"/>
          <bgColor indexed="47"/>
        </patternFill>
      </fill>
      <border>
        <left/>
        <right style="thin">
          <color indexed="57"/>
        </right>
        <top/>
        <bottom/>
      </border>
    </dxf>
    <dxf>
      <fill>
        <patternFill patternType="lightDown">
          <fgColor indexed="11"/>
          <bgColor indexed="47"/>
        </patternFill>
      </fill>
      <border>
        <left style="thin">
          <color indexed="57"/>
        </left>
        <right/>
        <top/>
        <bottom/>
      </border>
    </dxf>
    <dxf>
      <font>
        <condense val="0"/>
        <extend val="0"/>
        <color indexed="9"/>
      </font>
      <fill>
        <patternFill patternType="gray125">
          <fgColor indexed="11"/>
          <bgColor indexed="9"/>
        </patternFill>
      </fill>
      <border>
        <left/>
        <right/>
        <top/>
        <bottom/>
      </border>
    </dxf>
    <dxf>
      <fill>
        <patternFill patternType="lightUp">
          <fgColor indexed="11"/>
          <bgColor indexed="9"/>
        </patternFill>
      </fill>
      <border>
        <left/>
        <right/>
        <top style="thin">
          <color auto="1"/>
        </top>
        <bottom/>
      </border>
    </dxf>
    <dxf>
      <fill>
        <patternFill patternType="gray125">
          <fgColor indexed="11"/>
          <bgColor indexed="9"/>
        </patternFill>
      </fill>
      <border>
        <left/>
        <right/>
        <top/>
        <bottom/>
      </border>
    </dxf>
    <dxf>
      <fill>
        <patternFill patternType="lightUp">
          <fgColor indexed="11"/>
          <bgColor indexed="47"/>
        </patternFill>
      </fill>
      <border>
        <left/>
        <right/>
        <top/>
        <bottom/>
      </border>
    </dxf>
    <dxf>
      <fill>
        <patternFill>
          <bgColor indexed="45"/>
        </patternFill>
      </fill>
    </dxf>
    <dxf>
      <font>
        <b val="0"/>
        <i val="0"/>
        <condense val="0"/>
        <extend val="0"/>
        <color indexed="8"/>
      </font>
      <fill>
        <patternFill patternType="solid">
          <bgColor indexed="47"/>
        </patternFill>
      </fill>
      <border>
        <left style="thin">
          <color indexed="64"/>
        </left>
        <right style="thin">
          <color indexed="64"/>
        </right>
        <top style="thin">
          <color indexed="64"/>
        </top>
        <bottom style="thin">
          <color indexed="64"/>
        </bottom>
      </border>
    </dxf>
    <dxf>
      <fill>
        <patternFill>
          <bgColor indexed="45"/>
        </patternFill>
      </fill>
    </dxf>
    <dxf>
      <fill>
        <patternFill>
          <bgColor indexed="45"/>
        </patternFill>
      </fill>
    </dxf>
    <dxf>
      <fill>
        <patternFill patternType="lightUp">
          <fgColor indexed="11"/>
          <bgColor indexed="47"/>
        </patternFill>
      </fill>
      <border>
        <left/>
        <right/>
        <top/>
        <bottom/>
      </border>
    </dxf>
    <dxf>
      <fill>
        <patternFill patternType="lightUp">
          <fgColor indexed="11"/>
          <bgColor indexed="47"/>
        </patternFill>
      </fill>
      <border>
        <left/>
        <right/>
        <top/>
        <bottom/>
      </border>
    </dxf>
    <dxf>
      <fill>
        <patternFill patternType="lightUp">
          <fgColor indexed="11"/>
          <bgColor indexed="47"/>
        </patternFill>
      </fill>
      <border>
        <left/>
        <right/>
        <top/>
        <bottom/>
      </border>
    </dxf>
    <dxf>
      <fill>
        <patternFill patternType="lightUp">
          <fgColor indexed="11"/>
          <bgColor indexed="47"/>
        </patternFill>
      </fill>
      <border>
        <left/>
        <right/>
        <top/>
        <bottom/>
      </border>
    </dxf>
    <dxf>
      <fill>
        <patternFill>
          <bgColor indexed="47"/>
        </patternFill>
      </fill>
    </dxf>
    <dxf>
      <font>
        <b val="0"/>
        <i val="0"/>
        <condense val="0"/>
        <extend val="0"/>
        <color auto="1"/>
      </font>
      <fill>
        <patternFill>
          <bgColor indexed="47"/>
        </patternFill>
      </fill>
    </dxf>
    <dxf>
      <fill>
        <patternFill>
          <bgColor indexed="10"/>
        </patternFill>
      </fill>
    </dxf>
    <dxf>
      <font>
        <condense val="0"/>
        <extend val="0"/>
        <color indexed="47"/>
      </font>
      <fill>
        <patternFill>
          <bgColor indexed="47"/>
        </patternFill>
      </fill>
    </dxf>
    <dxf>
      <fill>
        <patternFill>
          <bgColor indexed="45"/>
        </patternFill>
      </fill>
    </dxf>
    <dxf>
      <fill>
        <patternFill>
          <bgColor indexed="47"/>
        </patternFill>
      </fill>
    </dxf>
    <dxf>
      <fill>
        <patternFill>
          <bgColor indexed="47"/>
        </patternFill>
      </fill>
    </dxf>
  </dxfs>
  <tableStyles count="0" defaultTableStyle="TableStyleMedium9" defaultPivotStyle="PivotStyleLight16"/>
  <colors>
    <mruColors>
      <color rgb="FFFFCC99"/>
      <color rgb="FF00FF00"/>
      <color rgb="FF339966"/>
      <color rgb="FF00CC66"/>
      <color rgb="FFCCCCFF"/>
      <color rgb="FFFF99CC"/>
      <color rgb="FFFFFF99"/>
      <color rgb="FF37BB5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Real exchange rate</a:t>
            </a:r>
          </a:p>
        </c:rich>
      </c:tx>
      <c:layout>
        <c:manualLayout>
          <c:xMode val="edge"/>
          <c:yMode val="edge"/>
          <c:x val="0.35794253906181728"/>
          <c:y val="3.4700315457414373E-2"/>
        </c:manualLayout>
      </c:layout>
      <c:overlay val="0"/>
      <c:spPr>
        <a:noFill/>
        <a:ln w="25400">
          <a:noFill/>
        </a:ln>
      </c:spPr>
    </c:title>
    <c:autoTitleDeleted val="0"/>
    <c:plotArea>
      <c:layout>
        <c:manualLayout>
          <c:layoutTarget val="inner"/>
          <c:xMode val="edge"/>
          <c:yMode val="edge"/>
          <c:x val="0.1163313503463855"/>
          <c:y val="0.19558359621450788"/>
          <c:w val="0.85011371406974023"/>
          <c:h val="0.58990536277602457"/>
        </c:manualLayout>
      </c:layout>
      <c:lineChart>
        <c:grouping val="standard"/>
        <c:varyColors val="0"/>
        <c:ser>
          <c:idx val="0"/>
          <c:order val="0"/>
          <c:spPr>
            <a:ln w="25400">
              <a:solidFill>
                <a:srgbClr val="339966"/>
              </a:solidFill>
              <a:prstDash val="solid"/>
            </a:ln>
          </c:spPr>
          <c:marker>
            <c:symbol val="diamond"/>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case'!$AC$3:$AC$22</c:f>
              <c:numCache>
                <c:formatCode>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3112-48E9-9C04-E3B091A740A4}"/>
            </c:ext>
          </c:extLst>
        </c:ser>
        <c:dLbls>
          <c:showLegendKey val="0"/>
          <c:showVal val="0"/>
          <c:showCatName val="0"/>
          <c:showSerName val="0"/>
          <c:showPercent val="0"/>
          <c:showBubbleSize val="0"/>
        </c:dLbls>
        <c:marker val="1"/>
        <c:smooth val="0"/>
        <c:axId val="427287376"/>
        <c:axId val="427285808"/>
      </c:lineChart>
      <c:catAx>
        <c:axId val="427287376"/>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006828844381069"/>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5808"/>
        <c:crosses val="autoZero"/>
        <c:auto val="1"/>
        <c:lblAlgn val="ctr"/>
        <c:lblOffset val="100"/>
        <c:tickLblSkip val="1"/>
        <c:tickMarkSkip val="1"/>
        <c:noMultiLvlLbl val="0"/>
      </c:catAx>
      <c:valAx>
        <c:axId val="42728580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7376"/>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Nominal exchange rate</a:t>
            </a:r>
          </a:p>
        </c:rich>
      </c:tx>
      <c:layout>
        <c:manualLayout>
          <c:xMode val="edge"/>
          <c:yMode val="edge"/>
          <c:x val="0.32727272727273665"/>
          <c:y val="3.4810126582278486E-2"/>
        </c:manualLayout>
      </c:layout>
      <c:overlay val="0"/>
      <c:spPr>
        <a:noFill/>
        <a:ln w="25400">
          <a:noFill/>
        </a:ln>
      </c:spPr>
    </c:title>
    <c:autoTitleDeleted val="0"/>
    <c:plotArea>
      <c:layout>
        <c:manualLayout>
          <c:layoutTarget val="inner"/>
          <c:xMode val="edge"/>
          <c:yMode val="edge"/>
          <c:x val="0.13409090909090909"/>
          <c:y val="0.19620283481698209"/>
          <c:w val="0.83181818181818179"/>
          <c:h val="0.58860850445093749"/>
        </c:manualLayout>
      </c:layout>
      <c:lineChart>
        <c:grouping val="standard"/>
        <c:varyColors val="0"/>
        <c:ser>
          <c:idx val="0"/>
          <c:order val="0"/>
          <c:spPr>
            <a:ln w="25400">
              <a:solidFill>
                <a:srgbClr val="339966"/>
              </a:solidFill>
              <a:prstDash val="solid"/>
            </a:ln>
          </c:spPr>
          <c:marker>
            <c:symbol val="diamond"/>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case'!$AF$3:$AF$22</c:f>
              <c:numCache>
                <c:formatCode>0.000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3C93-4440-831F-10FD7F8CAF02}"/>
            </c:ext>
          </c:extLst>
        </c:ser>
        <c:dLbls>
          <c:showLegendKey val="0"/>
          <c:showVal val="0"/>
          <c:showCatName val="0"/>
          <c:showSerName val="0"/>
          <c:showPercent val="0"/>
          <c:showBubbleSize val="0"/>
        </c:dLbls>
        <c:marker val="1"/>
        <c:smooth val="0"/>
        <c:axId val="427280320"/>
        <c:axId val="427281104"/>
      </c:lineChart>
      <c:catAx>
        <c:axId val="42728032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818181818181863"/>
              <c:y val="0.8797481643908554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1104"/>
        <c:crosses val="autoZero"/>
        <c:auto val="1"/>
        <c:lblAlgn val="ctr"/>
        <c:lblOffset val="100"/>
        <c:tickLblSkip val="1"/>
        <c:tickMarkSkip val="1"/>
        <c:noMultiLvlLbl val="0"/>
      </c:catAx>
      <c:valAx>
        <c:axId val="42728110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032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Current account/GDP</a:t>
            </a:r>
          </a:p>
        </c:rich>
      </c:tx>
      <c:layout>
        <c:manualLayout>
          <c:xMode val="edge"/>
          <c:yMode val="edge"/>
          <c:x val="0.33033755050281632"/>
          <c:y val="3.7037037037037056E-2"/>
        </c:manualLayout>
      </c:layout>
      <c:overlay val="0"/>
      <c:spPr>
        <a:noFill/>
        <a:ln w="25400">
          <a:noFill/>
        </a:ln>
      </c:spPr>
    </c:title>
    <c:autoTitleDeleted val="0"/>
    <c:plotArea>
      <c:layout>
        <c:manualLayout>
          <c:layoutTarget val="inner"/>
          <c:xMode val="edge"/>
          <c:yMode val="edge"/>
          <c:x val="0.15056196295861438"/>
          <c:y val="0.22222302598027335"/>
          <c:w val="0.63595575398939075"/>
          <c:h val="0.62222447274478176"/>
        </c:manualLayout>
      </c:layout>
      <c:lineChart>
        <c:grouping val="standard"/>
        <c:varyColors val="0"/>
        <c:ser>
          <c:idx val="0"/>
          <c:order val="0"/>
          <c:tx>
            <c:v>current account/GDP</c:v>
          </c:tx>
          <c:spPr>
            <a:ln w="25400">
              <a:solidFill>
                <a:srgbClr val="000080"/>
              </a:solidFill>
              <a:prstDash val="solid"/>
            </a:ln>
          </c:spPr>
          <c:marker>
            <c:symbol val="none"/>
          </c:marker>
          <c:cat>
            <c:numRef>
              <c:f>[0]!currentaccountxaxis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[0]!currentaccount</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98F2-49BE-BD30-5484B002B85A}"/>
            </c:ext>
          </c:extLst>
        </c:ser>
        <c:dLbls>
          <c:showLegendKey val="0"/>
          <c:showVal val="0"/>
          <c:showCatName val="0"/>
          <c:showSerName val="0"/>
          <c:showPercent val="0"/>
          <c:showBubbleSize val="0"/>
        </c:dLbls>
        <c:smooth val="0"/>
        <c:axId val="427285024"/>
        <c:axId val="427283848"/>
      </c:lineChart>
      <c:catAx>
        <c:axId val="427285024"/>
        <c:scaling>
          <c:orientation val="minMax"/>
        </c:scaling>
        <c:delete val="0"/>
        <c:axPos val="b"/>
        <c:title>
          <c:tx>
            <c:rich>
              <a:bodyPr/>
              <a:lstStyle/>
              <a:p>
                <a:pPr>
                  <a:defRPr sz="1000" b="1">
                    <a:latin typeface="+mn-lt"/>
                  </a:defRPr>
                </a:pPr>
                <a:r>
                  <a:rPr lang="en-US" sz="1000" b="1">
                    <a:latin typeface="+mn-lt"/>
                  </a:rPr>
                  <a:t>time</a:t>
                </a:r>
              </a:p>
            </c:rich>
          </c:tx>
          <c:overlay val="0"/>
        </c:title>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427283848"/>
        <c:crosses val="autoZero"/>
        <c:auto val="1"/>
        <c:lblAlgn val="ctr"/>
        <c:lblOffset val="100"/>
        <c:tickMarkSkip val="1"/>
        <c:noMultiLvlLbl val="0"/>
      </c:catAx>
      <c:valAx>
        <c:axId val="42728384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27285024"/>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Trade balance/GDP</a:t>
            </a:r>
          </a:p>
        </c:rich>
      </c:tx>
      <c:layout>
        <c:manualLayout>
          <c:xMode val="edge"/>
          <c:yMode val="edge"/>
          <c:x val="0.35033305980876556"/>
          <c:y val="3.7313432835820892E-2"/>
        </c:manualLayout>
      </c:layout>
      <c:overlay val="0"/>
      <c:spPr>
        <a:noFill/>
        <a:ln w="25400">
          <a:noFill/>
        </a:ln>
      </c:spPr>
    </c:title>
    <c:autoTitleDeleted val="0"/>
    <c:plotArea>
      <c:layout>
        <c:manualLayout>
          <c:layoutTarget val="inner"/>
          <c:xMode val="edge"/>
          <c:yMode val="edge"/>
          <c:x val="0.13747243265013892"/>
          <c:y val="0.22014965483189794"/>
          <c:w val="0.68071027134825313"/>
          <c:h val="0.62313546367673966"/>
        </c:manualLayout>
      </c:layout>
      <c:lineChart>
        <c:grouping val="standard"/>
        <c:varyColors val="0"/>
        <c:ser>
          <c:idx val="0"/>
          <c:order val="0"/>
          <c:tx>
            <c:v>trade balance/GDP</c:v>
          </c:tx>
          <c:spPr>
            <a:ln w="25400">
              <a:solidFill>
                <a:srgbClr val="000080"/>
              </a:solidFill>
              <a:prstDash val="solid"/>
            </a:ln>
          </c:spPr>
          <c:marker>
            <c:symbol val="none"/>
          </c:marker>
          <c:cat>
            <c:numRef>
              <c:f>[0]!tradebalancexaxis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[0]!tradebalance</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C406-4875-8F86-3B7B1018C52D}"/>
            </c:ext>
          </c:extLst>
        </c:ser>
        <c:dLbls>
          <c:showLegendKey val="0"/>
          <c:showVal val="0"/>
          <c:showCatName val="0"/>
          <c:showSerName val="0"/>
          <c:showPercent val="0"/>
          <c:showBubbleSize val="0"/>
        </c:dLbls>
        <c:smooth val="0"/>
        <c:axId val="454271152"/>
        <c:axId val="454271544"/>
      </c:lineChart>
      <c:catAx>
        <c:axId val="454271152"/>
        <c:scaling>
          <c:orientation val="minMax"/>
        </c:scaling>
        <c:delete val="0"/>
        <c:axPos val="b"/>
        <c:title>
          <c:tx>
            <c:rich>
              <a:bodyPr/>
              <a:lstStyle/>
              <a:p>
                <a:pPr>
                  <a:defRPr sz="1000" b="1">
                    <a:latin typeface="+mn-lt"/>
                  </a:defRPr>
                </a:pPr>
                <a:r>
                  <a:rPr lang="en-US" sz="1000" b="1">
                    <a:latin typeface="+mn-lt"/>
                  </a:rPr>
                  <a:t>time</a:t>
                </a:r>
              </a:p>
            </c:rich>
          </c:tx>
          <c:overlay val="0"/>
        </c:title>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454271544"/>
        <c:crosses val="autoZero"/>
        <c:auto val="1"/>
        <c:lblAlgn val="ctr"/>
        <c:lblOffset val="100"/>
        <c:tickMarkSkip val="1"/>
        <c:noMultiLvlLbl val="0"/>
      </c:catAx>
      <c:valAx>
        <c:axId val="454271544"/>
        <c:scaling>
          <c:orientation val="minMax"/>
        </c:scaling>
        <c:delete val="0"/>
        <c:axPos val="l"/>
        <c:numFmt formatCode="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54271152"/>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654226125137213"/>
          <c:y val="3.8327526132404179E-2"/>
        </c:manualLayout>
      </c:layout>
      <c:overlay val="0"/>
      <c:spPr>
        <a:noFill/>
        <a:ln w="25400">
          <a:noFill/>
        </a:ln>
      </c:spPr>
      <c:txPr>
        <a:bodyPr/>
        <a:lstStyle/>
        <a:p>
          <a:pPr>
            <a:defRPr sz="1200" b="1" i="0" u="none" strike="noStrike" baseline="0">
              <a:solidFill>
                <a:srgbClr val="000000"/>
              </a:solidFill>
              <a:latin typeface="+mn-lt"/>
              <a:ea typeface="Arial"/>
              <a:cs typeface="Arial"/>
            </a:defRPr>
          </a:pPr>
          <a:endParaRPr lang="en-US"/>
        </a:p>
      </c:txPr>
    </c:title>
    <c:autoTitleDeleted val="0"/>
    <c:plotArea>
      <c:layout>
        <c:manualLayout>
          <c:layoutTarget val="inner"/>
          <c:xMode val="edge"/>
          <c:yMode val="edge"/>
          <c:x val="7.3545554335894617E-2"/>
          <c:y val="0.20557491289198609"/>
          <c:w val="0.72118551042811796"/>
          <c:h val="0.62369337979094053"/>
        </c:manualLayout>
      </c:layout>
      <c:lineChart>
        <c:grouping val="standard"/>
        <c:varyColors val="0"/>
        <c:ser>
          <c:idx val="0"/>
          <c:order val="0"/>
          <c:tx>
            <c:v>NIIP/GDP</c:v>
          </c:tx>
          <c:spPr>
            <a:ln w="25400">
              <a:solidFill>
                <a:srgbClr val="000080"/>
              </a:solidFill>
              <a:prstDash val="solid"/>
            </a:ln>
          </c:spPr>
          <c:marker>
            <c:symbol val="none"/>
          </c:marker>
          <c:cat>
            <c:numRef>
              <c:f>[0]!niipxaxis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[0]!niip</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CC81-4854-B64A-C6AB34132560}"/>
            </c:ext>
          </c:extLst>
        </c:ser>
        <c:dLbls>
          <c:showLegendKey val="0"/>
          <c:showVal val="0"/>
          <c:showCatName val="0"/>
          <c:showSerName val="0"/>
          <c:showPercent val="0"/>
          <c:showBubbleSize val="0"/>
        </c:dLbls>
        <c:smooth val="0"/>
        <c:axId val="454265664"/>
        <c:axId val="454271936"/>
      </c:lineChart>
      <c:catAx>
        <c:axId val="454265664"/>
        <c:scaling>
          <c:orientation val="minMax"/>
        </c:scaling>
        <c:delete val="0"/>
        <c:axPos val="b"/>
        <c:title>
          <c:tx>
            <c:rich>
              <a:bodyPr/>
              <a:lstStyle/>
              <a:p>
                <a:pPr>
                  <a:defRPr sz="1000" b="1">
                    <a:latin typeface="+mn-lt"/>
                  </a:defRPr>
                </a:pPr>
                <a:r>
                  <a:rPr lang="en-US" sz="1000" b="1">
                    <a:latin typeface="+mn-lt"/>
                  </a:rPr>
                  <a:t>time</a:t>
                </a:r>
              </a:p>
            </c:rich>
          </c:tx>
          <c:overlay val="0"/>
        </c:title>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54271936"/>
        <c:crosses val="autoZero"/>
        <c:auto val="1"/>
        <c:lblAlgn val="ctr"/>
        <c:lblOffset val="100"/>
        <c:tickMarkSkip val="1"/>
        <c:noMultiLvlLbl val="0"/>
      </c:catAx>
      <c:valAx>
        <c:axId val="454271936"/>
        <c:scaling>
          <c:orientation val="minMax"/>
        </c:scaling>
        <c:delete val="0"/>
        <c:axPos val="l"/>
        <c:numFmt formatCode="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54265664"/>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2700">
              <a:solidFill>
                <a:schemeClr val="tx1"/>
              </a:solidFill>
              <a:prstDash val="sysDot"/>
            </a:ln>
          </c:spPr>
          <c:marker>
            <c:symbol val="diamond"/>
            <c:size val="4"/>
          </c:marker>
          <c:dPt>
            <c:idx val="0"/>
            <c:marker>
              <c:symbol val="circle"/>
              <c:size val="8"/>
            </c:marker>
            <c:bubble3D val="0"/>
            <c:spPr>
              <a:ln w="12700">
                <a:solidFill>
                  <a:schemeClr val="tx1"/>
                </a:solidFill>
                <a:prstDash val="sysDot"/>
                <a:headEnd type="arrow"/>
                <a:tailEnd type="arrow"/>
              </a:ln>
            </c:spPr>
            <c:extLst>
              <c:ext xmlns:c16="http://schemas.microsoft.com/office/drawing/2014/chart" uri="{C3380CC4-5D6E-409C-BE32-E72D297353CC}">
                <c16:uniqueId val="{00000001-CB5A-4E16-AA9B-55010EC524EF}"/>
              </c:ext>
            </c:extLst>
          </c:dPt>
          <c:dPt>
            <c:idx val="4"/>
            <c:bubble3D val="0"/>
            <c:spPr>
              <a:ln w="12700">
                <a:solidFill>
                  <a:schemeClr val="tx1"/>
                </a:solidFill>
                <a:prstDash val="sysDot"/>
                <a:headEnd type="none"/>
                <a:tailEnd type="none"/>
              </a:ln>
            </c:spPr>
            <c:extLst>
              <c:ext xmlns:c16="http://schemas.microsoft.com/office/drawing/2014/chart" uri="{C3380CC4-5D6E-409C-BE32-E72D297353CC}">
                <c16:uniqueId val="{00000003-CB5A-4E16-AA9B-55010EC524EF}"/>
              </c:ext>
            </c:extLst>
          </c:dPt>
          <c:dPt>
            <c:idx val="5"/>
            <c:bubble3D val="0"/>
            <c:spPr>
              <a:ln w="12700">
                <a:solidFill>
                  <a:schemeClr val="tx1"/>
                </a:solidFill>
                <a:prstDash val="sysDot"/>
                <a:tailEnd type="none"/>
              </a:ln>
            </c:spPr>
            <c:extLst>
              <c:ext xmlns:c16="http://schemas.microsoft.com/office/drawing/2014/chart" uri="{C3380CC4-5D6E-409C-BE32-E72D297353CC}">
                <c16:uniqueId val="{00000005-CB5A-4E16-AA9B-55010EC524EF}"/>
              </c:ext>
            </c:extLst>
          </c:dPt>
          <c:dPt>
            <c:idx val="6"/>
            <c:bubble3D val="0"/>
            <c:spPr>
              <a:ln w="12700">
                <a:solidFill>
                  <a:schemeClr val="tx1"/>
                </a:solidFill>
                <a:prstDash val="sysDot"/>
                <a:headEnd type="none"/>
                <a:tailEnd type="none"/>
              </a:ln>
            </c:spPr>
            <c:extLst>
              <c:ext xmlns:c16="http://schemas.microsoft.com/office/drawing/2014/chart" uri="{C3380CC4-5D6E-409C-BE32-E72D297353CC}">
                <c16:uniqueId val="{00000007-CB5A-4E16-AA9B-55010EC524EF}"/>
              </c:ext>
            </c:extLst>
          </c:dPt>
          <c:dPt>
            <c:idx val="7"/>
            <c:bubble3D val="0"/>
            <c:spPr>
              <a:ln w="12700">
                <a:solidFill>
                  <a:schemeClr val="tx1"/>
                </a:solidFill>
                <a:prstDash val="sysDot"/>
                <a:headEnd type="none"/>
                <a:tailEnd type="none"/>
              </a:ln>
            </c:spPr>
            <c:extLst>
              <c:ext xmlns:c16="http://schemas.microsoft.com/office/drawing/2014/chart" uri="{C3380CC4-5D6E-409C-BE32-E72D297353CC}">
                <c16:uniqueId val="{00000009-CB5A-4E16-AA9B-55010EC524EF}"/>
              </c:ext>
            </c:extLst>
          </c:dPt>
          <c:xVal>
            <c:numRef>
              <c:f>'numerical results'!$C$7:$C$34</c:f>
              <c:numCache>
                <c:formatCode>0.00</c:formatCode>
                <c:ptCount val="28"/>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numCache>
            </c:numRef>
          </c:xVal>
          <c:yVal>
            <c:numRef>
              <c:f>'numerical results'!$E$7:$E$34</c:f>
              <c:numCache>
                <c:formatCode>0.00%</c:formatCode>
                <c:ptCount val="28"/>
                <c:pt idx="0">
                  <c:v>0.02</c:v>
                </c:pt>
                <c:pt idx="1">
                  <c:v>0.02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pt idx="21">
                  <c:v>0.02</c:v>
                </c:pt>
                <c:pt idx="22">
                  <c:v>0.02</c:v>
                </c:pt>
                <c:pt idx="23">
                  <c:v>0.02</c:v>
                </c:pt>
                <c:pt idx="24">
                  <c:v>0.02</c:v>
                </c:pt>
                <c:pt idx="25">
                  <c:v>0.02</c:v>
                </c:pt>
                <c:pt idx="26">
                  <c:v>0.02</c:v>
                </c:pt>
                <c:pt idx="27">
                  <c:v>0.02</c:v>
                </c:pt>
              </c:numCache>
            </c:numRef>
          </c:yVal>
          <c:smooth val="0"/>
          <c:extLst>
            <c:ext xmlns:c16="http://schemas.microsoft.com/office/drawing/2014/chart" uri="{C3380CC4-5D6E-409C-BE32-E72D297353CC}">
              <c16:uniqueId val="{0000000A-CB5A-4E16-AA9B-55010EC524EF}"/>
            </c:ext>
          </c:extLst>
        </c:ser>
        <c:dLbls>
          <c:showLegendKey val="0"/>
          <c:showVal val="0"/>
          <c:showCatName val="0"/>
          <c:showSerName val="0"/>
          <c:showPercent val="0"/>
          <c:showBubbleSize val="0"/>
        </c:dLbls>
        <c:axId val="454272328"/>
        <c:axId val="454272720"/>
      </c:scatterChart>
      <c:valAx>
        <c:axId val="454272328"/>
        <c:scaling>
          <c:orientation val="minMax"/>
        </c:scaling>
        <c:delete val="0"/>
        <c:axPos val="b"/>
        <c:numFmt formatCode="0.00" sourceLinked="1"/>
        <c:majorTickMark val="out"/>
        <c:minorTickMark val="none"/>
        <c:tickLblPos val="nextTo"/>
        <c:crossAx val="454272720"/>
        <c:crosses val="autoZero"/>
        <c:crossBetween val="midCat"/>
      </c:valAx>
      <c:valAx>
        <c:axId val="454272720"/>
        <c:scaling>
          <c:orientation val="minMax"/>
        </c:scaling>
        <c:delete val="0"/>
        <c:axPos val="l"/>
        <c:numFmt formatCode="0.00%" sourceLinked="1"/>
        <c:majorTickMark val="out"/>
        <c:minorTickMark val="none"/>
        <c:tickLblPos val="nextTo"/>
        <c:crossAx val="454272328"/>
        <c:crosses val="autoZero"/>
        <c:crossBetween val="midCat"/>
      </c:valAx>
    </c:plotArea>
    <c:plotVisOnly val="1"/>
    <c:dispBlanksAs val="gap"/>
    <c:showDLblsOverMax val="0"/>
  </c:chart>
  <c:printSettings>
    <c:headerFooter/>
    <c:pageMargins b="0.75000000000001044" l="0.70000000000000062" r="0.70000000000000062" t="0.75000000000001044"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3224628171483498E-2"/>
          <c:y val="0.19480351414406533"/>
          <c:w val="0.83903237095363059"/>
          <c:h val="0.68921660834062359"/>
        </c:manualLayout>
      </c:layout>
      <c:scatterChart>
        <c:scatterStyle val="lineMarker"/>
        <c:varyColors val="0"/>
        <c:ser>
          <c:idx val="0"/>
          <c:order val="0"/>
          <c:tx>
            <c:v>IS</c:v>
          </c:tx>
          <c:spPr>
            <a:ln w="12700">
              <a:prstDash val="sysDot"/>
            </a:ln>
          </c:spPr>
          <c:marker>
            <c:symbol val="diamond"/>
            <c:size val="3"/>
          </c:marker>
          <c:dPt>
            <c:idx val="0"/>
            <c:marker>
              <c:symbol val="circle"/>
              <c:size val="8"/>
            </c:marker>
            <c:bubble3D val="0"/>
            <c:extLst>
              <c:ext xmlns:c16="http://schemas.microsoft.com/office/drawing/2014/chart" uri="{C3380CC4-5D6E-409C-BE32-E72D297353CC}">
                <c16:uniqueId val="{00000000-0655-4A75-A534-A38EC51B539E}"/>
              </c:ext>
            </c:extLst>
          </c:dPt>
          <c:xVal>
            <c:numRef>
              <c:f>'numerical results'!$C$7:$C$34</c:f>
              <c:numCache>
                <c:formatCode>0.00</c:formatCode>
                <c:ptCount val="28"/>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numCache>
            </c:numRef>
          </c:xVal>
          <c:yVal>
            <c:numRef>
              <c:f>'numerical results'!$G$7:$G$34</c:f>
              <c:numCache>
                <c:formatCode>0.0%</c:formatCode>
                <c:ptCount val="28"/>
                <c:pt idx="0">
                  <c:v>0.04</c:v>
                </c:pt>
                <c:pt idx="1">
                  <c:v>0.04</c:v>
                </c:pt>
                <c:pt idx="2">
                  <c:v>0.04</c:v>
                </c:pt>
                <c:pt idx="3">
                  <c:v>0.04</c:v>
                </c:pt>
                <c:pt idx="4">
                  <c:v>0.04</c:v>
                </c:pt>
                <c:pt idx="5">
                  <c:v>0.04</c:v>
                </c:pt>
                <c:pt idx="6">
                  <c:v>0.04</c:v>
                </c:pt>
                <c:pt idx="7">
                  <c:v>0.04</c:v>
                </c:pt>
                <c:pt idx="8">
                  <c:v>0.04</c:v>
                </c:pt>
                <c:pt idx="9">
                  <c:v>0.04</c:v>
                </c:pt>
                <c:pt idx="10">
                  <c:v>0.04</c:v>
                </c:pt>
                <c:pt idx="11">
                  <c:v>0.04</c:v>
                </c:pt>
                <c:pt idx="12">
                  <c:v>0.04</c:v>
                </c:pt>
                <c:pt idx="13">
                  <c:v>0.04</c:v>
                </c:pt>
                <c:pt idx="14">
                  <c:v>0.04</c:v>
                </c:pt>
                <c:pt idx="15">
                  <c:v>0.04</c:v>
                </c:pt>
                <c:pt idx="16">
                  <c:v>0.04</c:v>
                </c:pt>
                <c:pt idx="17">
                  <c:v>0.04</c:v>
                </c:pt>
                <c:pt idx="18">
                  <c:v>0.04</c:v>
                </c:pt>
                <c:pt idx="19">
                  <c:v>0.04</c:v>
                </c:pt>
                <c:pt idx="20">
                  <c:v>0.04</c:v>
                </c:pt>
                <c:pt idx="21">
                  <c:v>0.04</c:v>
                </c:pt>
                <c:pt idx="22">
                  <c:v>0.04</c:v>
                </c:pt>
                <c:pt idx="23">
                  <c:v>0.04</c:v>
                </c:pt>
                <c:pt idx="24">
                  <c:v>0.04</c:v>
                </c:pt>
                <c:pt idx="25">
                  <c:v>0.04</c:v>
                </c:pt>
                <c:pt idx="26">
                  <c:v>0.04</c:v>
                </c:pt>
                <c:pt idx="27">
                  <c:v>0.04</c:v>
                </c:pt>
              </c:numCache>
            </c:numRef>
          </c:yVal>
          <c:smooth val="0"/>
          <c:extLst>
            <c:ext xmlns:c16="http://schemas.microsoft.com/office/drawing/2014/chart" uri="{C3380CC4-5D6E-409C-BE32-E72D297353CC}">
              <c16:uniqueId val="{00000001-0655-4A75-A534-A38EC51B539E}"/>
            </c:ext>
          </c:extLst>
        </c:ser>
        <c:dLbls>
          <c:showLegendKey val="0"/>
          <c:showVal val="0"/>
          <c:showCatName val="0"/>
          <c:showSerName val="0"/>
          <c:showPercent val="0"/>
          <c:showBubbleSize val="0"/>
        </c:dLbls>
        <c:axId val="454266840"/>
        <c:axId val="454267232"/>
      </c:scatterChart>
      <c:valAx>
        <c:axId val="454266840"/>
        <c:scaling>
          <c:orientation val="minMax"/>
        </c:scaling>
        <c:delete val="0"/>
        <c:axPos val="b"/>
        <c:numFmt formatCode="0.00" sourceLinked="1"/>
        <c:majorTickMark val="out"/>
        <c:minorTickMark val="none"/>
        <c:tickLblPos val="nextTo"/>
        <c:crossAx val="454267232"/>
        <c:crosses val="autoZero"/>
        <c:crossBetween val="midCat"/>
      </c:valAx>
      <c:valAx>
        <c:axId val="454267232"/>
        <c:scaling>
          <c:orientation val="minMax"/>
        </c:scaling>
        <c:delete val="0"/>
        <c:axPos val="l"/>
        <c:numFmt formatCode="0.0%" sourceLinked="1"/>
        <c:majorTickMark val="out"/>
        <c:minorTickMark val="none"/>
        <c:tickLblPos val="nextTo"/>
        <c:crossAx val="454266840"/>
        <c:crosses val="autoZero"/>
        <c:crossBetween val="midCat"/>
      </c:valAx>
    </c:plotArea>
    <c:plotVisOnly val="1"/>
    <c:dispBlanksAs val="gap"/>
    <c:showDLblsOverMax val="0"/>
  </c:chart>
  <c:printSettings>
    <c:headerFooter/>
    <c:pageMargins b="0.75000000000001044" l="0.70000000000000062" r="0.70000000000000062" t="0.75000000000001044"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GDP</a:t>
            </a:r>
          </a:p>
        </c:rich>
      </c:tx>
      <c:layout>
        <c:manualLayout>
          <c:xMode val="edge"/>
          <c:yMode val="edge"/>
          <c:x val="0.45637677840606056"/>
          <c:y val="3.4700315457414373E-2"/>
        </c:manualLayout>
      </c:layout>
      <c:overlay val="0"/>
      <c:spPr>
        <a:noFill/>
        <a:ln w="25400">
          <a:noFill/>
        </a:ln>
      </c:spPr>
    </c:title>
    <c:autoTitleDeleted val="0"/>
    <c:plotArea>
      <c:layout>
        <c:manualLayout>
          <c:layoutTarget val="inner"/>
          <c:xMode val="edge"/>
          <c:yMode val="edge"/>
          <c:x val="9.3959936818234543E-2"/>
          <c:y val="0.21451104100946844"/>
          <c:w val="0.87248512759789165"/>
          <c:h val="0.57097791798108344"/>
        </c:manualLayout>
      </c:layout>
      <c:lineChart>
        <c:grouping val="standard"/>
        <c:varyColors val="0"/>
        <c:ser>
          <c:idx val="0"/>
          <c:order val="0"/>
          <c:tx>
            <c:v>Actual GDP</c:v>
          </c:tx>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case'!$D$3:$D$22</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val>
          <c:smooth val="0"/>
          <c:extLst>
            <c:ext xmlns:c16="http://schemas.microsoft.com/office/drawing/2014/chart" uri="{C3380CC4-5D6E-409C-BE32-E72D297353CC}">
              <c16:uniqueId val="{00000000-113D-48B4-AD58-17208211287C}"/>
            </c:ext>
          </c:extLst>
        </c:ser>
        <c:ser>
          <c:idx val="2"/>
          <c:order val="1"/>
          <c:tx>
            <c:v>Potential GDP</c:v>
          </c:tx>
          <c:spPr>
            <a:ln w="25400">
              <a:solidFill>
                <a:srgbClr val="C00000"/>
              </a:solidFill>
              <a:prstDash val="sysDot"/>
            </a:ln>
          </c:spPr>
          <c:marker>
            <c:symbol val="triangle"/>
            <c:size val="2"/>
            <c:spPr>
              <a:solidFill>
                <a:srgbClr val="C00000"/>
              </a:solidFill>
              <a:ln>
                <a:solidFill>
                  <a:srgbClr val="C00000"/>
                </a:solidFill>
              </a:ln>
            </c:spPr>
          </c:marker>
          <c:val>
            <c:numRef>
              <c:f>'normal case'!$B$3:$B$22</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val>
          <c:smooth val="0"/>
          <c:extLst>
            <c:ext xmlns:c16="http://schemas.microsoft.com/office/drawing/2014/chart" uri="{C3380CC4-5D6E-409C-BE32-E72D297353CC}">
              <c16:uniqueId val="{00000001-113D-48B4-AD58-17208211287C}"/>
            </c:ext>
          </c:extLst>
        </c:ser>
        <c:dLbls>
          <c:showLegendKey val="0"/>
          <c:showVal val="0"/>
          <c:showCatName val="0"/>
          <c:showSerName val="0"/>
          <c:showPercent val="0"/>
          <c:showBubbleSize val="0"/>
        </c:dLbls>
        <c:marker val="1"/>
        <c:smooth val="0"/>
        <c:axId val="454268016"/>
        <c:axId val="454268408"/>
      </c:lineChart>
      <c:catAx>
        <c:axId val="454268016"/>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49888260611719776"/>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60000" vert="horz"/>
          <a:lstStyle/>
          <a:p>
            <a:pPr>
              <a:defRPr sz="900" b="0" i="0" u="none" strike="noStrike" baseline="0">
                <a:solidFill>
                  <a:srgbClr val="000000"/>
                </a:solidFill>
                <a:latin typeface="Arial"/>
                <a:ea typeface="Arial"/>
                <a:cs typeface="Arial"/>
              </a:defRPr>
            </a:pPr>
            <a:endParaRPr lang="en-US"/>
          </a:p>
        </c:txPr>
        <c:crossAx val="454268408"/>
        <c:crosses val="autoZero"/>
        <c:auto val="1"/>
        <c:lblAlgn val="ctr"/>
        <c:lblOffset val="100"/>
        <c:tickLblSkip val="1"/>
        <c:tickMarkSkip val="1"/>
        <c:noMultiLvlLbl val="0"/>
      </c:catAx>
      <c:valAx>
        <c:axId val="454268408"/>
        <c:scaling>
          <c:orientation val="minMax"/>
        </c:scaling>
        <c:delete val="0"/>
        <c:axPos val="l"/>
        <c:numFmt formatCode="0.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4268016"/>
        <c:crosses val="autoZero"/>
        <c:crossBetween val="between"/>
      </c:valAx>
      <c:spPr>
        <a:noFill/>
        <a:ln w="25400">
          <a:noFill/>
        </a:ln>
      </c:spPr>
    </c:plotArea>
    <c:legend>
      <c:legendPos val="r"/>
      <c:layout>
        <c:manualLayout>
          <c:xMode val="edge"/>
          <c:yMode val="edge"/>
          <c:x val="0.66326617633839569"/>
          <c:y val="0.10848356143751495"/>
          <c:w val="0.27671063640491494"/>
          <c:h val="0.12426982070787398"/>
        </c:manualLayout>
      </c:layout>
      <c:overlay val="0"/>
    </c:legend>
    <c:plotVisOnly val="1"/>
    <c:dispBlanksAs val="gap"/>
    <c:showDLblsOverMax val="0"/>
  </c:chart>
  <c:spPr>
    <a:solidFill>
      <a:srgbClr val="FFFFFF"/>
    </a:solidFill>
    <a:ln w="25400">
      <a:solidFill>
        <a:srgbClr val="3366FF"/>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Output gap (actual-potential GDP) as % of potential</a:t>
            </a:r>
            <a:r>
              <a:rPr lang="es-ES" sz="1200" baseline="0">
                <a:latin typeface="+mn-lt"/>
              </a:rPr>
              <a:t> GDP</a:t>
            </a:r>
            <a:endParaRPr lang="es-ES" sz="1200">
              <a:latin typeface="+mn-lt"/>
            </a:endParaRPr>
          </a:p>
        </c:rich>
      </c:tx>
      <c:layout>
        <c:manualLayout>
          <c:xMode val="edge"/>
          <c:yMode val="edge"/>
          <c:x val="0.17229159522806659"/>
          <c:y val="4.2934268527731329E-2"/>
        </c:manualLayout>
      </c:layout>
      <c:overlay val="0"/>
      <c:spPr>
        <a:noFill/>
        <a:ln w="25400">
          <a:noFill/>
        </a:ln>
      </c:spPr>
    </c:title>
    <c:autoTitleDeleted val="0"/>
    <c:plotArea>
      <c:layout>
        <c:manualLayout>
          <c:layoutTarget val="inner"/>
          <c:xMode val="edge"/>
          <c:yMode val="edge"/>
          <c:x val="0.16356140730421703"/>
          <c:y val="0.21725273508127296"/>
          <c:w val="0.8053846511562075"/>
          <c:h val="0.55910630351797053"/>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'numerical results'!$B$4:$B$23</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B218-4CC1-9E7C-0C8717284184}"/>
            </c:ext>
          </c:extLst>
        </c:ser>
        <c:dLbls>
          <c:showLegendKey val="0"/>
          <c:showVal val="0"/>
          <c:showCatName val="0"/>
          <c:showSerName val="0"/>
          <c:showPercent val="0"/>
          <c:showBubbleSize val="0"/>
        </c:dLbls>
        <c:marker val="1"/>
        <c:smooth val="0"/>
        <c:axId val="454268800"/>
        <c:axId val="454269192"/>
      </c:lineChart>
      <c:catAx>
        <c:axId val="45426880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3209218412915749"/>
              <c:y val="0.8754007027076886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4269192"/>
        <c:crosses val="autoZero"/>
        <c:auto val="1"/>
        <c:lblAlgn val="ctr"/>
        <c:lblOffset val="100"/>
        <c:tickLblSkip val="1"/>
        <c:tickMarkSkip val="1"/>
        <c:noMultiLvlLbl val="0"/>
      </c:catAx>
      <c:valAx>
        <c:axId val="45426919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426880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GDP (with hysteresis)</a:t>
            </a:r>
          </a:p>
        </c:rich>
      </c:tx>
      <c:layout>
        <c:manualLayout>
          <c:xMode val="edge"/>
          <c:yMode val="edge"/>
          <c:x val="0.45637677840606056"/>
          <c:y val="3.4700315457414373E-2"/>
        </c:manualLayout>
      </c:layout>
      <c:overlay val="0"/>
      <c:spPr>
        <a:noFill/>
        <a:ln w="25400">
          <a:noFill/>
        </a:ln>
      </c:spPr>
    </c:title>
    <c:autoTitleDeleted val="0"/>
    <c:plotArea>
      <c:layout>
        <c:manualLayout>
          <c:layoutTarget val="inner"/>
          <c:xMode val="edge"/>
          <c:yMode val="edge"/>
          <c:x val="9.3959936818234543E-2"/>
          <c:y val="0.21451104100946844"/>
          <c:w val="0.87248512759789165"/>
          <c:h val="0.57097791798108344"/>
        </c:manualLayout>
      </c:layout>
      <c:lineChart>
        <c:grouping val="standard"/>
        <c:varyColors val="0"/>
        <c:ser>
          <c:idx val="0"/>
          <c:order val="0"/>
          <c:tx>
            <c:v>Actual GDP</c:v>
          </c:tx>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hystere!$E$4:$E$22</c:f>
              <c:numCache>
                <c:formatCode>0.0</c:formatCode>
                <c:ptCount val="19"/>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numCache>
            </c:numRef>
          </c:val>
          <c:smooth val="0"/>
          <c:extLst>
            <c:ext xmlns:c16="http://schemas.microsoft.com/office/drawing/2014/chart" uri="{C3380CC4-5D6E-409C-BE32-E72D297353CC}">
              <c16:uniqueId val="{00000000-B165-425F-98F2-4AFF9DF7870A}"/>
            </c:ext>
          </c:extLst>
        </c:ser>
        <c:ser>
          <c:idx val="2"/>
          <c:order val="1"/>
          <c:tx>
            <c:v>Potential GDP</c:v>
          </c:tx>
          <c:spPr>
            <a:ln w="25400">
              <a:solidFill>
                <a:srgbClr val="C00000"/>
              </a:solidFill>
              <a:prstDash val="sysDot"/>
            </a:ln>
          </c:spPr>
          <c:marker>
            <c:symbol val="triangle"/>
            <c:size val="2"/>
            <c:spPr>
              <a:solidFill>
                <a:srgbClr val="C00000"/>
              </a:solidFill>
              <a:ln>
                <a:solidFill>
                  <a:srgbClr val="C00000"/>
                </a:solidFill>
              </a:ln>
            </c:spPr>
          </c:marker>
          <c:val>
            <c:numRef>
              <c:f>hystere!$B$4:$B$23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val>
          <c:smooth val="0"/>
          <c:extLst>
            <c:ext xmlns:c16="http://schemas.microsoft.com/office/drawing/2014/chart" uri="{C3380CC4-5D6E-409C-BE32-E72D297353CC}">
              <c16:uniqueId val="{00000001-B165-425F-98F2-4AFF9DF7870A}"/>
            </c:ext>
          </c:extLst>
        </c:ser>
        <c:dLbls>
          <c:showLegendKey val="0"/>
          <c:showVal val="0"/>
          <c:showCatName val="0"/>
          <c:showSerName val="0"/>
          <c:showPercent val="0"/>
          <c:showBubbleSize val="0"/>
        </c:dLbls>
        <c:marker val="1"/>
        <c:smooth val="0"/>
        <c:axId val="454269584"/>
        <c:axId val="427284632"/>
      </c:lineChart>
      <c:catAx>
        <c:axId val="454269584"/>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49888260611719776"/>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60000" vert="horz"/>
          <a:lstStyle/>
          <a:p>
            <a:pPr>
              <a:defRPr sz="900" b="0" i="0" u="none" strike="noStrike" baseline="0">
                <a:solidFill>
                  <a:srgbClr val="000000"/>
                </a:solidFill>
                <a:latin typeface="Arial"/>
                <a:ea typeface="Arial"/>
                <a:cs typeface="Arial"/>
              </a:defRPr>
            </a:pPr>
            <a:endParaRPr lang="en-US"/>
          </a:p>
        </c:txPr>
        <c:crossAx val="427284632"/>
        <c:crosses val="autoZero"/>
        <c:auto val="1"/>
        <c:lblAlgn val="ctr"/>
        <c:lblOffset val="100"/>
        <c:tickLblSkip val="1"/>
        <c:tickMarkSkip val="1"/>
        <c:noMultiLvlLbl val="0"/>
      </c:catAx>
      <c:valAx>
        <c:axId val="427284632"/>
        <c:scaling>
          <c:orientation val="minMax"/>
        </c:scaling>
        <c:delete val="0"/>
        <c:axPos val="l"/>
        <c:numFmt formatCode="0.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4269584"/>
        <c:crosses val="autoZero"/>
        <c:crossBetween val="between"/>
      </c:valAx>
      <c:spPr>
        <a:noFill/>
        <a:ln w="25400">
          <a:noFill/>
        </a:ln>
      </c:spPr>
    </c:plotArea>
    <c:legend>
      <c:legendPos val="r"/>
      <c:layout>
        <c:manualLayout>
          <c:xMode val="edge"/>
          <c:yMode val="edge"/>
          <c:x val="0.66326617633839569"/>
          <c:y val="0.10848356143751495"/>
          <c:w val="0.27671063640491494"/>
          <c:h val="0.12426982070787398"/>
        </c:manualLayout>
      </c:layout>
      <c:overlay val="0"/>
    </c:legend>
    <c:plotVisOnly val="1"/>
    <c:dispBlanksAs val="gap"/>
    <c:showDLblsOverMax val="0"/>
  </c:chart>
  <c:spPr>
    <a:solidFill>
      <a:srgbClr val="FFFFFF"/>
    </a:solidFill>
    <a:ln w="25400">
      <a:solidFill>
        <a:srgbClr val="3366FF"/>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baseline="0">
                <a:solidFill>
                  <a:srgbClr val="000000"/>
                </a:solidFill>
                <a:latin typeface="+mn-lt"/>
                <a:ea typeface="Arial"/>
                <a:cs typeface="Arial"/>
              </a:defRPr>
            </a:pPr>
            <a:r>
              <a:rPr lang="es-ES" sz="1200">
                <a:latin typeface="+mn-lt"/>
              </a:rPr>
              <a:t>Output gap (actual-potential GDP) </a:t>
            </a:r>
            <a:r>
              <a:rPr lang="es-ES" sz="1200" b="1" i="0" baseline="0">
                <a:effectLst/>
              </a:rPr>
              <a:t>as % of potential GDP</a:t>
            </a:r>
            <a:endParaRPr lang="es-ES" sz="1200">
              <a:latin typeface="+mn-lt"/>
            </a:endParaRPr>
          </a:p>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baseline="0">
                <a:solidFill>
                  <a:srgbClr val="000000"/>
                </a:solidFill>
                <a:latin typeface="+mn-lt"/>
                <a:ea typeface="Arial"/>
                <a:cs typeface="Arial"/>
              </a:defRPr>
            </a:pPr>
            <a:r>
              <a:rPr lang="es-ES" sz="1200">
                <a:latin typeface="+mn-lt"/>
              </a:rPr>
              <a:t>(with hysteresis)</a:t>
            </a:r>
          </a:p>
        </c:rich>
      </c:tx>
      <c:layout>
        <c:manualLayout>
          <c:xMode val="edge"/>
          <c:yMode val="edge"/>
          <c:x val="0.23176574111411286"/>
          <c:y val="4.6829548675052665E-2"/>
        </c:manualLayout>
      </c:layout>
      <c:overlay val="0"/>
      <c:spPr>
        <a:noFill/>
        <a:ln w="25400">
          <a:noFill/>
        </a:ln>
      </c:spPr>
    </c:title>
    <c:autoTitleDeleted val="0"/>
    <c:plotArea>
      <c:layout>
        <c:manualLayout>
          <c:layoutTarget val="inner"/>
          <c:xMode val="edge"/>
          <c:yMode val="edge"/>
          <c:x val="0.16356140730421703"/>
          <c:y val="0.21725273508127296"/>
          <c:w val="0.8053846511562075"/>
          <c:h val="0.55910630351797053"/>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'numerical results'!$Y$4:$Y$23</c:f>
              <c:numCache>
                <c:formatCode>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41A0-4F4C-A550-107D2C60B876}"/>
            </c:ext>
          </c:extLst>
        </c:ser>
        <c:dLbls>
          <c:showLegendKey val="0"/>
          <c:showVal val="0"/>
          <c:showCatName val="0"/>
          <c:showSerName val="0"/>
          <c:showPercent val="0"/>
          <c:showBubbleSize val="0"/>
        </c:dLbls>
        <c:marker val="1"/>
        <c:smooth val="0"/>
        <c:axId val="339004200"/>
        <c:axId val="455542896"/>
      </c:lineChart>
      <c:catAx>
        <c:axId val="33900420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3209218412915749"/>
              <c:y val="0.8754007027076886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5542896"/>
        <c:crosses val="autoZero"/>
        <c:auto val="1"/>
        <c:lblAlgn val="ctr"/>
        <c:lblOffset val="100"/>
        <c:tickLblSkip val="1"/>
        <c:tickMarkSkip val="1"/>
        <c:noMultiLvlLbl val="0"/>
      </c:catAx>
      <c:valAx>
        <c:axId val="455542896"/>
        <c:scaling>
          <c:orientation val="minMax"/>
        </c:scaling>
        <c:delete val="0"/>
        <c:axPos val="l"/>
        <c:numFmt formatCode="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33900420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Lending interest rates (%)</a:t>
            </a:r>
          </a:p>
        </c:rich>
      </c:tx>
      <c:layout>
        <c:manualLayout>
          <c:xMode val="edge"/>
          <c:yMode val="edge"/>
          <c:x val="0.23906089240015005"/>
          <c:y val="3.4482881579701974E-2"/>
        </c:manualLayout>
      </c:layout>
      <c:overlay val="0"/>
      <c:spPr>
        <a:noFill/>
        <a:ln w="25400">
          <a:noFill/>
        </a:ln>
      </c:spPr>
    </c:title>
    <c:autoTitleDeleted val="0"/>
    <c:plotArea>
      <c:layout>
        <c:manualLayout>
          <c:layoutTarget val="inner"/>
          <c:xMode val="edge"/>
          <c:yMode val="edge"/>
          <c:x val="0.10103092783505156"/>
          <c:y val="0.19252927591054717"/>
          <c:w val="0.65773195876290003"/>
          <c:h val="0.62069139696536424"/>
        </c:manualLayout>
      </c:layout>
      <c:lineChart>
        <c:grouping val="standard"/>
        <c:varyColors val="0"/>
        <c:ser>
          <c:idx val="1"/>
          <c:order val="0"/>
          <c:tx>
            <c:v>nominal</c:v>
          </c:tx>
          <c:spPr>
            <a:ln w="28575">
              <a:solidFill>
                <a:srgbClr val="FF00FF"/>
              </a:solidFill>
              <a:prstDash val="solid"/>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case'!$N$3:$N$22</c:f>
              <c:numCache>
                <c:formatCode>0.0000</c:formatCode>
                <c:ptCount val="20"/>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numCache>
            </c:numRef>
          </c:val>
          <c:smooth val="0"/>
          <c:extLst>
            <c:ext xmlns:c16="http://schemas.microsoft.com/office/drawing/2014/chart" uri="{C3380CC4-5D6E-409C-BE32-E72D297353CC}">
              <c16:uniqueId val="{00000000-3D7D-4063-B13F-79F2FCC20664}"/>
            </c:ext>
          </c:extLst>
        </c:ser>
        <c:ser>
          <c:idx val="0"/>
          <c:order val="1"/>
          <c:tx>
            <c:v>real</c:v>
          </c:tx>
          <c:spPr>
            <a:ln w="25400">
              <a:solidFill>
                <a:srgbClr val="339966"/>
              </a:solidFill>
              <a:prstDash val="solid"/>
            </a:ln>
          </c:spPr>
          <c:marker>
            <c:symbol val="diamond"/>
            <c:size val="3"/>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case'!$M$3:$M$22</c:f>
              <c:numCache>
                <c:formatCode>0.00</c:formatCode>
                <c:ptCount val="20"/>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pt idx="15">
                  <c:v>4</c:v>
                </c:pt>
                <c:pt idx="16">
                  <c:v>4</c:v>
                </c:pt>
                <c:pt idx="17">
                  <c:v>4</c:v>
                </c:pt>
                <c:pt idx="18">
                  <c:v>4</c:v>
                </c:pt>
                <c:pt idx="19">
                  <c:v>4</c:v>
                </c:pt>
              </c:numCache>
            </c:numRef>
          </c:val>
          <c:smooth val="0"/>
          <c:extLst>
            <c:ext xmlns:c16="http://schemas.microsoft.com/office/drawing/2014/chart" uri="{C3380CC4-5D6E-409C-BE32-E72D297353CC}">
              <c16:uniqueId val="{00000001-3D7D-4063-B13F-79F2FCC20664}"/>
            </c:ext>
          </c:extLst>
        </c:ser>
        <c:ser>
          <c:idx val="3"/>
          <c:order val="2"/>
          <c:tx>
            <c:v>randomshocksnominal</c:v>
          </c:tx>
          <c:marker>
            <c:symbol val="square"/>
            <c:size val="7"/>
            <c:spPr>
              <a:solidFill>
                <a:srgbClr val="C0000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[0]!bullets_random_shocks_nominalir</c:f>
              <c:numCache>
                <c:formatCode>General</c:formatCode>
                <c:ptCount val="20"/>
              </c:numCache>
            </c:numRef>
          </c:val>
          <c:smooth val="0"/>
          <c:extLst>
            <c:ext xmlns:c16="http://schemas.microsoft.com/office/drawing/2014/chart" uri="{C3380CC4-5D6E-409C-BE32-E72D297353CC}">
              <c16:uniqueId val="{00000002-3D7D-4063-B13F-79F2FCC20664}"/>
            </c:ext>
          </c:extLst>
        </c:ser>
        <c:ser>
          <c:idx val="5"/>
          <c:order val="3"/>
          <c:tx>
            <c:v>nominal hysteresis</c:v>
          </c:tx>
          <c:spPr>
            <a:ln w="28575">
              <a:solidFill>
                <a:srgbClr val="FF00FF"/>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hystere!$O$4:$O$23</c:f>
            </c:numRef>
          </c:val>
          <c:smooth val="0"/>
          <c:extLst>
            <c:ext xmlns:c16="http://schemas.microsoft.com/office/drawing/2014/chart" uri="{C3380CC4-5D6E-409C-BE32-E72D297353CC}">
              <c16:uniqueId val="{00000003-3D7D-4063-B13F-79F2FCC20664}"/>
            </c:ext>
          </c:extLst>
        </c:ser>
        <c:ser>
          <c:idx val="7"/>
          <c:order val="4"/>
          <c:tx>
            <c:v>nominal delay perception</c:v>
          </c:tx>
          <c:spPr>
            <a:ln w="28575">
              <a:solidFill>
                <a:srgbClr val="FF00FF"/>
              </a:solidFill>
              <a:prstDash val="lg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'delay in perception'!$M$4:$M$23</c:f>
            </c:numRef>
          </c:val>
          <c:smooth val="0"/>
          <c:extLst>
            <c:ext xmlns:c16="http://schemas.microsoft.com/office/drawing/2014/chart" uri="{C3380CC4-5D6E-409C-BE32-E72D297353CC}">
              <c16:uniqueId val="{00000004-3D7D-4063-B13F-79F2FCC20664}"/>
            </c:ext>
          </c:extLst>
        </c:ser>
        <c:ser>
          <c:idx val="4"/>
          <c:order val="5"/>
          <c:tx>
            <c:v>real hysteresis</c:v>
          </c:tx>
          <c:spPr>
            <a:ln w="25400">
              <a:solidFill>
                <a:srgbClr val="339966"/>
              </a:solidFill>
              <a:prstDash val="sysDash"/>
            </a:ln>
          </c:spPr>
          <c:marker>
            <c:symbol val="diamond"/>
            <c:size val="3"/>
            <c:spPr>
              <a:solidFill>
                <a:srgbClr val="00206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hystere!$N$4:$N$23</c:f>
            </c:numRef>
          </c:val>
          <c:smooth val="0"/>
          <c:extLst>
            <c:ext xmlns:c16="http://schemas.microsoft.com/office/drawing/2014/chart" uri="{C3380CC4-5D6E-409C-BE32-E72D297353CC}">
              <c16:uniqueId val="{00000005-3D7D-4063-B13F-79F2FCC20664}"/>
            </c:ext>
          </c:extLst>
        </c:ser>
        <c:ser>
          <c:idx val="2"/>
          <c:order val="6"/>
          <c:tx>
            <c:v>randomshocksreal</c:v>
          </c:tx>
          <c:marker>
            <c:symbol val="square"/>
            <c:size val="7"/>
            <c:spPr>
              <a:solidFill>
                <a:srgbClr val="37BB59"/>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[0]!bullets_random_shocks_realir</c:f>
              <c:numCache>
                <c:formatCode>General</c:formatCode>
                <c:ptCount val="20"/>
              </c:numCache>
            </c:numRef>
          </c:val>
          <c:smooth val="0"/>
          <c:extLst>
            <c:ext xmlns:c16="http://schemas.microsoft.com/office/drawing/2014/chart" uri="{C3380CC4-5D6E-409C-BE32-E72D297353CC}">
              <c16:uniqueId val="{00000006-3D7D-4063-B13F-79F2FCC20664}"/>
            </c:ext>
          </c:extLst>
        </c:ser>
        <c:ser>
          <c:idx val="6"/>
          <c:order val="7"/>
          <c:tx>
            <c:v>real delay perception</c:v>
          </c:tx>
          <c:spPr>
            <a:ln w="25400">
              <a:solidFill>
                <a:srgbClr val="339966"/>
              </a:solidFill>
              <a:prstDash val="lgDash"/>
            </a:ln>
          </c:spPr>
          <c:marker>
            <c:symbol val="diamond"/>
            <c:size val="3"/>
            <c:spPr>
              <a:solidFill>
                <a:srgbClr val="00206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'delay in perception'!$L$4:$L$23</c:f>
            </c:numRef>
          </c:val>
          <c:smooth val="0"/>
          <c:extLst>
            <c:ext xmlns:c16="http://schemas.microsoft.com/office/drawing/2014/chart" uri="{C3380CC4-5D6E-409C-BE32-E72D297353CC}">
              <c16:uniqueId val="{00000007-3D7D-4063-B13F-79F2FCC20664}"/>
            </c:ext>
          </c:extLst>
        </c:ser>
        <c:dLbls>
          <c:showLegendKey val="0"/>
          <c:showVal val="0"/>
          <c:showCatName val="0"/>
          <c:showSerName val="0"/>
          <c:showPercent val="0"/>
          <c:showBubbleSize val="0"/>
        </c:dLbls>
        <c:smooth val="0"/>
        <c:axId val="455544072"/>
        <c:axId val="455538192"/>
      </c:lineChart>
      <c:catAx>
        <c:axId val="455544072"/>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a:latin typeface="+mn-lt"/>
                  </a:rPr>
                  <a:t>time</a:t>
                </a:r>
              </a:p>
            </c:rich>
          </c:tx>
          <c:layout>
            <c:manualLayout>
              <c:xMode val="edge"/>
              <c:yMode val="edge"/>
              <c:x val="0.39587628865980751"/>
              <c:y val="0.8908070111925664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455538192"/>
        <c:crosses val="autoZero"/>
        <c:auto val="1"/>
        <c:lblAlgn val="ctr"/>
        <c:lblOffset val="100"/>
        <c:tickLblSkip val="1"/>
        <c:tickMarkSkip val="1"/>
        <c:noMultiLvlLbl val="0"/>
      </c:catAx>
      <c:valAx>
        <c:axId val="45553819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55544072"/>
        <c:crosses val="autoZero"/>
        <c:crossBetween val="between"/>
      </c:valAx>
      <c:spPr>
        <a:noFill/>
        <a:ln w="25400">
          <a:noFill/>
        </a:ln>
      </c:spPr>
    </c:plotArea>
    <c:legend>
      <c:legendPos val="r"/>
      <c:legendEntry>
        <c:idx val="2"/>
        <c:delete val="1"/>
      </c:legendEntry>
      <c:legendEntry>
        <c:idx val="3"/>
        <c:delete val="1"/>
      </c:legendEntry>
      <c:layout>
        <c:manualLayout>
          <c:xMode val="edge"/>
          <c:yMode val="edge"/>
          <c:x val="0.75584565817721394"/>
          <c:y val="1.0874626707525509E-2"/>
          <c:w val="0.24123718323178894"/>
          <c:h val="0.52045994404059615"/>
        </c:manualLayout>
      </c:layout>
      <c:overlay val="0"/>
      <c:spPr>
        <a:solidFill>
          <a:srgbClr val="FFFFFF"/>
        </a:solidFill>
        <a:ln w="3175">
          <a:solidFill>
            <a:srgbClr val="000000"/>
          </a:solidFill>
          <a:prstDash val="sysDash"/>
        </a:ln>
      </c:spPr>
      <c:txPr>
        <a:bodyPr/>
        <a:lstStyle/>
        <a:p>
          <a:pPr>
            <a:defRPr sz="1000" b="0" i="0" u="none" strike="noStrike" baseline="0">
              <a:solidFill>
                <a:srgbClr val="000000"/>
              </a:solidFill>
              <a:latin typeface="+mn-lt"/>
              <a:ea typeface="Times New Roman"/>
              <a:cs typeface="Times New Roman"/>
            </a:defRPr>
          </a:pPr>
          <a:endParaRPr lang="en-US"/>
        </a:p>
      </c:txPr>
    </c:legend>
    <c:plotVisOnly val="1"/>
    <c:dispBlanksAs val="gap"/>
    <c:showDLblsOverMax val="0"/>
  </c:chart>
  <c:spPr>
    <a:solidFill>
      <a:srgbClr val="FFFFFF"/>
    </a:solidFill>
    <a:ln w="25400">
      <a:solidFill>
        <a:srgbClr val="3366FF"/>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GDP</a:t>
            </a:r>
          </a:p>
        </c:rich>
      </c:tx>
      <c:layout>
        <c:manualLayout>
          <c:xMode val="edge"/>
          <c:yMode val="edge"/>
          <c:x val="0.45637677840606056"/>
          <c:y val="3.4700315457414373E-2"/>
        </c:manualLayout>
      </c:layout>
      <c:overlay val="0"/>
      <c:spPr>
        <a:noFill/>
        <a:ln w="25400">
          <a:noFill/>
        </a:ln>
      </c:spPr>
    </c:title>
    <c:autoTitleDeleted val="0"/>
    <c:plotArea>
      <c:layout>
        <c:manualLayout>
          <c:layoutTarget val="inner"/>
          <c:xMode val="edge"/>
          <c:yMode val="edge"/>
          <c:x val="9.3959936818234543E-2"/>
          <c:y val="0.21451104100946844"/>
          <c:w val="0.87248512759789165"/>
          <c:h val="0.57097791798108344"/>
        </c:manualLayout>
      </c:layout>
      <c:lineChart>
        <c:grouping val="standard"/>
        <c:varyColors val="0"/>
        <c:ser>
          <c:idx val="0"/>
          <c:order val="0"/>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case'!$D$3:$D$22</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val>
          <c:smooth val="0"/>
          <c:extLst>
            <c:ext xmlns:c16="http://schemas.microsoft.com/office/drawing/2014/chart" uri="{C3380CC4-5D6E-409C-BE32-E72D297353CC}">
              <c16:uniqueId val="{00000000-5B22-4CB8-AE2D-547B58A837C4}"/>
            </c:ext>
          </c:extLst>
        </c:ser>
        <c:ser>
          <c:idx val="4"/>
          <c:order val="1"/>
          <c:tx>
            <c:v>randomshocksgdp</c:v>
          </c:tx>
          <c:marker>
            <c:symbol val="square"/>
            <c:size val="3"/>
            <c:spPr>
              <a:solidFill>
                <a:srgbClr val="C0000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[0]!bullets_random_shocks_gdp</c:f>
              <c:numCache>
                <c:formatCode>General</c:formatCode>
                <c:ptCount val="1"/>
                <c:pt idx="0">
                  <c:v>0</c:v>
                </c:pt>
              </c:numCache>
            </c:numRef>
          </c:val>
          <c:smooth val="0"/>
          <c:extLst>
            <c:ext xmlns:c16="http://schemas.microsoft.com/office/drawing/2014/chart" uri="{C3380CC4-5D6E-409C-BE32-E72D297353CC}">
              <c16:uniqueId val="{00000001-5B22-4CB8-AE2D-547B58A837C4}"/>
            </c:ext>
          </c:extLst>
        </c:ser>
        <c:ser>
          <c:idx val="1"/>
          <c:order val="2"/>
          <c:tx>
            <c:v>randomshocksgdp</c:v>
          </c:tx>
          <c:marker>
            <c:spPr>
              <a:solidFill>
                <a:srgbClr val="C0000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[0]!bullets_random_shocks_gdp</c:f>
              <c:numCache>
                <c:formatCode>General</c:formatCode>
                <c:ptCount val="1"/>
                <c:pt idx="0">
                  <c:v>0</c:v>
                </c:pt>
              </c:numCache>
            </c:numRef>
          </c:val>
          <c:smooth val="0"/>
          <c:extLst>
            <c:ext xmlns:c16="http://schemas.microsoft.com/office/drawing/2014/chart" uri="{C3380CC4-5D6E-409C-BE32-E72D297353CC}">
              <c16:uniqueId val="{00000002-5B22-4CB8-AE2D-547B58A837C4}"/>
            </c:ext>
          </c:extLst>
        </c:ser>
        <c:ser>
          <c:idx val="2"/>
          <c:order val="3"/>
          <c:tx>
            <c:v>HISTÉRESIS</c:v>
          </c:tx>
          <c:spPr>
            <a:ln w="25400">
              <a:solidFill>
                <a:srgbClr val="339966"/>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[0]!hysteresis_GDP</c:f>
              <c:numCache>
                <c:formatCode>General</c:formatCode>
                <c:ptCount val="20"/>
              </c:numCache>
            </c:numRef>
          </c:val>
          <c:smooth val="0"/>
          <c:extLst>
            <c:ext xmlns:c16="http://schemas.microsoft.com/office/drawing/2014/chart" uri="{C3380CC4-5D6E-409C-BE32-E72D297353CC}">
              <c16:uniqueId val="{00000003-5B22-4CB8-AE2D-547B58A837C4}"/>
            </c:ext>
          </c:extLst>
        </c:ser>
        <c:ser>
          <c:idx val="3"/>
          <c:order val="4"/>
          <c:tx>
            <c:v>RETRASO PERCEPCIÓN</c:v>
          </c:tx>
          <c:spPr>
            <a:ln w="25400">
              <a:solidFill>
                <a:srgbClr val="339966"/>
              </a:solidFill>
              <a:prstDash val="lg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[0]!delay_GDP</c:f>
              <c:numCache>
                <c:formatCode>General</c:formatCode>
                <c:ptCount val="20"/>
              </c:numCache>
            </c:numRef>
          </c:val>
          <c:smooth val="0"/>
          <c:extLst>
            <c:ext xmlns:c16="http://schemas.microsoft.com/office/drawing/2014/chart" uri="{C3380CC4-5D6E-409C-BE32-E72D297353CC}">
              <c16:uniqueId val="{00000004-5B22-4CB8-AE2D-547B58A837C4}"/>
            </c:ext>
          </c:extLst>
        </c:ser>
        <c:dLbls>
          <c:showLegendKey val="0"/>
          <c:showVal val="0"/>
          <c:showCatName val="0"/>
          <c:showSerName val="0"/>
          <c:showPercent val="0"/>
          <c:showBubbleSize val="0"/>
        </c:dLbls>
        <c:marker val="1"/>
        <c:smooth val="0"/>
        <c:axId val="455540152"/>
        <c:axId val="455539760"/>
      </c:lineChart>
      <c:catAx>
        <c:axId val="455540152"/>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49888260611719776"/>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60000" vert="horz"/>
          <a:lstStyle/>
          <a:p>
            <a:pPr>
              <a:defRPr sz="900" b="0" i="0" u="none" strike="noStrike" baseline="0">
                <a:solidFill>
                  <a:srgbClr val="000000"/>
                </a:solidFill>
                <a:latin typeface="Arial"/>
                <a:ea typeface="Arial"/>
                <a:cs typeface="Arial"/>
              </a:defRPr>
            </a:pPr>
            <a:endParaRPr lang="en-US"/>
          </a:p>
        </c:txPr>
        <c:crossAx val="455539760"/>
        <c:crosses val="autoZero"/>
        <c:auto val="1"/>
        <c:lblAlgn val="ctr"/>
        <c:lblOffset val="100"/>
        <c:tickLblSkip val="1"/>
        <c:tickMarkSkip val="1"/>
        <c:noMultiLvlLbl val="0"/>
      </c:catAx>
      <c:valAx>
        <c:axId val="455539760"/>
        <c:scaling>
          <c:orientation val="minMax"/>
        </c:scaling>
        <c:delete val="0"/>
        <c:axPos val="l"/>
        <c:numFmt formatCode="0.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5540152"/>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Economic growth</a:t>
            </a:r>
          </a:p>
        </c:rich>
      </c:tx>
      <c:layout>
        <c:manualLayout>
          <c:xMode val="edge"/>
          <c:yMode val="edge"/>
          <c:x val="0.35610831254788838"/>
          <c:y val="3.5143769968051145E-2"/>
        </c:manualLayout>
      </c:layout>
      <c:overlay val="0"/>
      <c:spPr>
        <a:noFill/>
        <a:ln w="25400">
          <a:noFill/>
        </a:ln>
      </c:spPr>
    </c:title>
    <c:autoTitleDeleted val="0"/>
    <c:plotArea>
      <c:layout>
        <c:manualLayout>
          <c:layoutTarget val="inner"/>
          <c:xMode val="edge"/>
          <c:yMode val="edge"/>
          <c:x val="0.16356140730421703"/>
          <c:y val="0.21725273508127296"/>
          <c:w val="0.8053846511562075"/>
          <c:h val="0.55910630351797053"/>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case'!$C$3:$C$22</c:f>
              <c:numCache>
                <c:formatCode>0.00%</c:formatCode>
                <c:ptCount val="20"/>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4668-4611-8FA7-E7A323CB6C28}"/>
            </c:ext>
          </c:extLst>
        </c:ser>
        <c:ser>
          <c:idx val="1"/>
          <c:order val="1"/>
          <c:tx>
            <c:v>randomshocksgrowth</c:v>
          </c:tx>
          <c:marker>
            <c:symbol val="square"/>
            <c:size val="7"/>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[0]!bullets_random_shocks_growth</c:f>
              <c:numCache>
                <c:formatCode>General</c:formatCode>
                <c:ptCount val="20"/>
              </c:numCache>
            </c:numRef>
          </c:val>
          <c:smooth val="0"/>
          <c:extLst>
            <c:ext xmlns:c16="http://schemas.microsoft.com/office/drawing/2014/chart" uri="{C3380CC4-5D6E-409C-BE32-E72D297353CC}">
              <c16:uniqueId val="{00000001-4668-4611-8FA7-E7A323CB6C28}"/>
            </c:ext>
          </c:extLst>
        </c:ser>
        <c:ser>
          <c:idx val="2"/>
          <c:order val="2"/>
          <c:tx>
            <c:v>HISTÉRESIS</c:v>
          </c:tx>
          <c:spPr>
            <a:ln w="25400">
              <a:solidFill>
                <a:srgbClr val="339966"/>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[0]!hysteresis_growth</c:f>
              <c:numCache>
                <c:formatCode>General</c:formatCode>
                <c:ptCount val="20"/>
              </c:numCache>
            </c:numRef>
          </c:val>
          <c:smooth val="0"/>
          <c:extLst>
            <c:ext xmlns:c16="http://schemas.microsoft.com/office/drawing/2014/chart" uri="{C3380CC4-5D6E-409C-BE32-E72D297353CC}">
              <c16:uniqueId val="{00000002-4668-4611-8FA7-E7A323CB6C28}"/>
            </c:ext>
          </c:extLst>
        </c:ser>
        <c:ser>
          <c:idx val="3"/>
          <c:order val="3"/>
          <c:tx>
            <c:v>RETRASO PERCEPCIÓN</c:v>
          </c:tx>
          <c:spPr>
            <a:ln w="25400">
              <a:solidFill>
                <a:srgbClr val="339966"/>
              </a:solidFill>
              <a:prstDash val="lg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[0]!delay_growth</c:f>
              <c:numCache>
                <c:formatCode>General</c:formatCode>
                <c:ptCount val="20"/>
              </c:numCache>
            </c:numRef>
          </c:val>
          <c:smooth val="0"/>
          <c:extLst>
            <c:ext xmlns:c16="http://schemas.microsoft.com/office/drawing/2014/chart" uri="{C3380CC4-5D6E-409C-BE32-E72D297353CC}">
              <c16:uniqueId val="{00000003-4668-4611-8FA7-E7A323CB6C28}"/>
            </c:ext>
          </c:extLst>
        </c:ser>
        <c:dLbls>
          <c:showLegendKey val="0"/>
          <c:showVal val="0"/>
          <c:showCatName val="0"/>
          <c:showSerName val="0"/>
          <c:showPercent val="0"/>
          <c:showBubbleSize val="0"/>
        </c:dLbls>
        <c:marker val="1"/>
        <c:smooth val="0"/>
        <c:axId val="455541720"/>
        <c:axId val="455538584"/>
      </c:lineChart>
      <c:catAx>
        <c:axId val="45554172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3209218412915749"/>
              <c:y val="0.8754007027076886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5538584"/>
        <c:crosses val="autoZero"/>
        <c:auto val="1"/>
        <c:lblAlgn val="ctr"/>
        <c:lblOffset val="100"/>
        <c:tickLblSkip val="1"/>
        <c:tickMarkSkip val="1"/>
        <c:noMultiLvlLbl val="0"/>
      </c:catAx>
      <c:valAx>
        <c:axId val="45553858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554172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s-ES" sz="1200"/>
              <a:t>Inflation (%)</a:t>
            </a:r>
          </a:p>
        </c:rich>
      </c:tx>
      <c:overlay val="0"/>
    </c:title>
    <c:autoTitleDeleted val="0"/>
    <c:plotArea>
      <c:layout/>
      <c:lineChart>
        <c:grouping val="standard"/>
        <c:varyColors val="0"/>
        <c:ser>
          <c:idx val="0"/>
          <c:order val="0"/>
          <c:spPr>
            <a:ln w="25400">
              <a:solidFill>
                <a:schemeClr val="accent3"/>
              </a:solidFill>
            </a:ln>
          </c:spPr>
          <c:marker>
            <c:symbol val="square"/>
            <c:size val="3"/>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case'!$L$3:$L$22</c:f>
              <c:numCache>
                <c:formatCode>0.0</c:formatCode>
                <c:ptCount val="20"/>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pt idx="19">
                  <c:v>2</c:v>
                </c:pt>
              </c:numCache>
            </c:numRef>
          </c:val>
          <c:smooth val="0"/>
          <c:extLst>
            <c:ext xmlns:c16="http://schemas.microsoft.com/office/drawing/2014/chart" uri="{C3380CC4-5D6E-409C-BE32-E72D297353CC}">
              <c16:uniqueId val="{00000000-9019-4AB8-AC15-BB9FD49F45E3}"/>
            </c:ext>
          </c:extLst>
        </c:ser>
        <c:ser>
          <c:idx val="2"/>
          <c:order val="1"/>
          <c:tx>
            <c:v>HISTÉRESIS</c:v>
          </c:tx>
          <c:spPr>
            <a:ln w="25400">
              <a:solidFill>
                <a:srgbClr val="37BB59"/>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[0]!hysteresis_inflation</c:f>
              <c:numCache>
                <c:formatCode>General</c:formatCode>
                <c:ptCount val="20"/>
              </c:numCache>
            </c:numRef>
          </c:val>
          <c:smooth val="0"/>
          <c:extLst>
            <c:ext xmlns:c16="http://schemas.microsoft.com/office/drawing/2014/chart" uri="{C3380CC4-5D6E-409C-BE32-E72D297353CC}">
              <c16:uniqueId val="{00000001-9019-4AB8-AC15-BB9FD49F45E3}"/>
            </c:ext>
          </c:extLst>
        </c:ser>
        <c:ser>
          <c:idx val="3"/>
          <c:order val="2"/>
          <c:tx>
            <c:v>RETRASO PERCEPCIÓN</c:v>
          </c:tx>
          <c:spPr>
            <a:ln w="25400">
              <a:solidFill>
                <a:srgbClr val="339966"/>
              </a:solidFill>
              <a:prstDash val="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[0]!delay_inflation</c:f>
              <c:numCache>
                <c:formatCode>General</c:formatCode>
                <c:ptCount val="20"/>
              </c:numCache>
            </c:numRef>
          </c:val>
          <c:smooth val="0"/>
          <c:extLst>
            <c:ext xmlns:c16="http://schemas.microsoft.com/office/drawing/2014/chart" uri="{C3380CC4-5D6E-409C-BE32-E72D297353CC}">
              <c16:uniqueId val="{00000002-9019-4AB8-AC15-BB9FD49F45E3}"/>
            </c:ext>
          </c:extLst>
        </c:ser>
        <c:ser>
          <c:idx val="1"/>
          <c:order val="3"/>
          <c:tx>
            <c:v>randomshocks</c:v>
          </c:tx>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[0]!bullets_random_shocks_inflation</c:f>
              <c:numCache>
                <c:formatCode>General</c:formatCode>
                <c:ptCount val="20"/>
              </c:numCache>
            </c:numRef>
          </c:val>
          <c:smooth val="0"/>
          <c:extLst>
            <c:ext xmlns:c16="http://schemas.microsoft.com/office/drawing/2014/chart" uri="{C3380CC4-5D6E-409C-BE32-E72D297353CC}">
              <c16:uniqueId val="{00000003-9019-4AB8-AC15-BB9FD49F45E3}"/>
            </c:ext>
          </c:extLst>
        </c:ser>
        <c:dLbls>
          <c:showLegendKey val="0"/>
          <c:showVal val="0"/>
          <c:showCatName val="0"/>
          <c:showSerName val="0"/>
          <c:showPercent val="0"/>
          <c:showBubbleSize val="0"/>
        </c:dLbls>
        <c:marker val="1"/>
        <c:smooth val="0"/>
        <c:axId val="455541328"/>
        <c:axId val="455537408"/>
      </c:lineChart>
      <c:catAx>
        <c:axId val="455541328"/>
        <c:scaling>
          <c:orientation val="minMax"/>
        </c:scaling>
        <c:delete val="0"/>
        <c:axPos val="b"/>
        <c:title>
          <c:tx>
            <c:rich>
              <a:bodyPr/>
              <a:lstStyle/>
              <a:p>
                <a:pPr>
                  <a:defRPr/>
                </a:pPr>
                <a:r>
                  <a:rPr lang="es-ES"/>
                  <a:t>time</a:t>
                </a:r>
              </a:p>
            </c:rich>
          </c:tx>
          <c:overlay val="0"/>
        </c:title>
        <c:numFmt formatCode="General" sourceLinked="1"/>
        <c:majorTickMark val="out"/>
        <c:minorTickMark val="none"/>
        <c:tickLblPos val="nextTo"/>
        <c:txPr>
          <a:bodyPr rot="0" vert="horz"/>
          <a:lstStyle/>
          <a:p>
            <a:pPr>
              <a:defRPr/>
            </a:pPr>
            <a:endParaRPr lang="en-US"/>
          </a:p>
        </c:txPr>
        <c:crossAx val="455537408"/>
        <c:crosses val="autoZero"/>
        <c:auto val="1"/>
        <c:lblAlgn val="ctr"/>
        <c:lblOffset val="100"/>
        <c:noMultiLvlLbl val="0"/>
      </c:catAx>
      <c:valAx>
        <c:axId val="455537408"/>
        <c:scaling>
          <c:orientation val="minMax"/>
        </c:scaling>
        <c:delete val="0"/>
        <c:axPos val="l"/>
        <c:numFmt formatCode="0.0" sourceLinked="0"/>
        <c:majorTickMark val="out"/>
        <c:minorTickMark val="none"/>
        <c:tickLblPos val="nextTo"/>
        <c:crossAx val="455541328"/>
        <c:crosses val="autoZero"/>
        <c:crossBetween val="between"/>
      </c:valAx>
    </c:plotArea>
    <c:plotVisOnly val="1"/>
    <c:dispBlanksAs val="gap"/>
    <c:showDLblsOverMax val="0"/>
  </c:chart>
  <c:spPr>
    <a:ln w="25400">
      <a:solidFill>
        <a:schemeClr val="tx2">
          <a:lumMod val="60000"/>
          <a:lumOff val="40000"/>
        </a:schemeClr>
      </a:solidFill>
    </a:ln>
  </c:spPr>
  <c:printSettings>
    <c:headerFooter/>
    <c:pageMargins b="0.75000000000001044" l="0.70000000000000062" r="0.70000000000000062" t="0.75000000000001044"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Primary budget/GDP
</a:t>
            </a:r>
          </a:p>
        </c:rich>
      </c:tx>
      <c:layout>
        <c:manualLayout>
          <c:xMode val="edge"/>
          <c:yMode val="edge"/>
          <c:x val="0.35396039603961343"/>
          <c:y val="5.9859154929577482E-2"/>
        </c:manualLayout>
      </c:layout>
      <c:overlay val="0"/>
      <c:spPr>
        <a:noFill/>
        <a:ln w="25400">
          <a:noFill/>
        </a:ln>
      </c:spPr>
    </c:title>
    <c:autoTitleDeleted val="0"/>
    <c:plotArea>
      <c:layout>
        <c:manualLayout>
          <c:layoutTarget val="inner"/>
          <c:xMode val="edge"/>
          <c:yMode val="edge"/>
          <c:x val="0.15594059405941052"/>
          <c:y val="0.26760563380281688"/>
          <c:w val="0.80445544554455461"/>
          <c:h val="0.48239436619718901"/>
        </c:manualLayout>
      </c:layout>
      <c:lineChart>
        <c:grouping val="standard"/>
        <c:varyColors val="0"/>
        <c:ser>
          <c:idx val="1"/>
          <c:order val="0"/>
          <c:marker>
            <c:symbol val="none"/>
          </c:marker>
          <c:cat>
            <c:numRef>
              <c:f>[0]!primarybudgetxaxis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[0]!primarybudget</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C456-482E-808F-4F8BE40AE878}"/>
            </c:ext>
          </c:extLst>
        </c:ser>
        <c:dLbls>
          <c:showLegendKey val="0"/>
          <c:showVal val="0"/>
          <c:showCatName val="0"/>
          <c:showSerName val="0"/>
          <c:showPercent val="0"/>
          <c:showBubbleSize val="0"/>
        </c:dLbls>
        <c:smooth val="0"/>
        <c:axId val="455537800"/>
        <c:axId val="455542504"/>
      </c:lineChart>
      <c:catAx>
        <c:axId val="45553780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732673267326734"/>
              <c:y val="0.87323943661974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825" b="0" i="0" u="none" strike="noStrike" baseline="0">
                <a:solidFill>
                  <a:srgbClr val="000000"/>
                </a:solidFill>
                <a:latin typeface="Arial"/>
                <a:ea typeface="Arial"/>
                <a:cs typeface="Arial"/>
              </a:defRPr>
            </a:pPr>
            <a:endParaRPr lang="en-US"/>
          </a:p>
        </c:txPr>
        <c:crossAx val="455542504"/>
        <c:crosses val="autoZero"/>
        <c:auto val="1"/>
        <c:lblAlgn val="ctr"/>
        <c:lblOffset val="100"/>
        <c:tickMarkSkip val="1"/>
        <c:noMultiLvlLbl val="0"/>
      </c:catAx>
      <c:valAx>
        <c:axId val="45554250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455537800"/>
        <c:crosses val="autoZero"/>
        <c:crossBetween val="between"/>
      </c:valAx>
      <c:spPr>
        <a:noFill/>
        <a:ln w="25400">
          <a:noFill/>
        </a:ln>
      </c:spPr>
    </c:plotArea>
    <c:plotVisOnly val="1"/>
    <c:dispBlanksAs val="gap"/>
    <c:showDLblsOverMax val="0"/>
  </c:chart>
  <c:spPr>
    <a:solidFill>
      <a:srgbClr val="FFFFFF"/>
    </a:solidFill>
    <a:ln w="25400">
      <a:solidFill>
        <a:srgbClr val="339966"/>
      </a:solidFill>
      <a:prstDash val="solid"/>
    </a:ln>
  </c:spPr>
  <c:txPr>
    <a:bodyPr/>
    <a:lstStyle/>
    <a:p>
      <a:pPr>
        <a:defRPr sz="82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Public Debt/GDP </a:t>
            </a:r>
          </a:p>
        </c:rich>
      </c:tx>
      <c:layout>
        <c:manualLayout>
          <c:xMode val="edge"/>
          <c:yMode val="edge"/>
          <c:x val="0.43728043373242703"/>
          <c:y val="3.5087719298245612E-2"/>
        </c:manualLayout>
      </c:layout>
      <c:overlay val="0"/>
      <c:spPr>
        <a:noFill/>
        <a:ln w="25400">
          <a:noFill/>
        </a:ln>
      </c:spPr>
    </c:title>
    <c:autoTitleDeleted val="0"/>
    <c:plotArea>
      <c:layout>
        <c:manualLayout>
          <c:layoutTarget val="inner"/>
          <c:xMode val="edge"/>
          <c:yMode val="edge"/>
          <c:x val="0.10082069077239497"/>
          <c:y val="0.19005902223542076"/>
          <c:w val="0.88159487745163978"/>
          <c:h val="0.53801323217412589"/>
        </c:manualLayout>
      </c:layout>
      <c:lineChart>
        <c:grouping val="standard"/>
        <c:varyColors val="0"/>
        <c:ser>
          <c:idx val="1"/>
          <c:order val="0"/>
          <c:marker>
            <c:symbol val="none"/>
          </c:marker>
          <c:cat>
            <c:numRef>
              <c:f>[0]!publicdebtxaxis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[0]!publicdebt</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9207-475F-BB8C-45DF25353562}"/>
            </c:ext>
          </c:extLst>
        </c:ser>
        <c:dLbls>
          <c:showLegendKey val="0"/>
          <c:showVal val="0"/>
          <c:showCatName val="0"/>
          <c:showSerName val="0"/>
          <c:showPercent val="0"/>
          <c:showBubbleSize val="0"/>
        </c:dLbls>
        <c:smooth val="0"/>
        <c:axId val="455542112"/>
        <c:axId val="427283456"/>
      </c:lineChart>
      <c:catAx>
        <c:axId val="455542112"/>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93437397113051"/>
              <c:y val="0.8713474850731377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400000" vert="horz"/>
          <a:lstStyle/>
          <a:p>
            <a:pPr>
              <a:defRPr sz="1200" b="0" i="0" u="none" strike="noStrike" baseline="0">
                <a:solidFill>
                  <a:srgbClr val="000000"/>
                </a:solidFill>
                <a:latin typeface="Arial"/>
                <a:ea typeface="Arial"/>
                <a:cs typeface="Arial"/>
              </a:defRPr>
            </a:pPr>
            <a:endParaRPr lang="en-US"/>
          </a:p>
        </c:txPr>
        <c:crossAx val="427283456"/>
        <c:crosses val="autoZero"/>
        <c:auto val="1"/>
        <c:lblAlgn val="ctr"/>
        <c:lblOffset val="100"/>
        <c:tickMarkSkip val="1"/>
        <c:noMultiLvlLbl val="0"/>
      </c:catAx>
      <c:valAx>
        <c:axId val="42728345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55542112"/>
        <c:crosses val="autoZero"/>
        <c:crossBetween val="between"/>
      </c:valAx>
      <c:spPr>
        <a:noFill/>
        <a:ln w="25400">
          <a:noFill/>
        </a:ln>
      </c:spPr>
    </c:plotArea>
    <c:plotVisOnly val="1"/>
    <c:dispBlanksAs val="gap"/>
    <c:showDLblsOverMax val="0"/>
  </c:chart>
  <c:spPr>
    <a:solidFill>
      <a:srgbClr val="FFFFFF"/>
    </a:solidFill>
    <a:ln w="25400">
      <a:solidFill>
        <a:srgbClr val="008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Total budget/GDP</a:t>
            </a:r>
          </a:p>
        </c:rich>
      </c:tx>
      <c:layout>
        <c:manualLayout>
          <c:xMode val="edge"/>
          <c:yMode val="edge"/>
          <c:x val="0.38789237668162113"/>
          <c:y val="3.8596491228070177E-2"/>
        </c:manualLayout>
      </c:layout>
      <c:overlay val="0"/>
      <c:spPr>
        <a:noFill/>
        <a:ln w="25400">
          <a:noFill/>
        </a:ln>
      </c:spPr>
    </c:title>
    <c:autoTitleDeleted val="0"/>
    <c:plotArea>
      <c:layout>
        <c:manualLayout>
          <c:layoutTarget val="inner"/>
          <c:xMode val="edge"/>
          <c:yMode val="edge"/>
          <c:x val="0.15470852017937514"/>
          <c:y val="0.20701825321495756"/>
          <c:w val="0.81390134529147984"/>
          <c:h val="0.52280880896659065"/>
        </c:manualLayout>
      </c:layout>
      <c:lineChart>
        <c:grouping val="standard"/>
        <c:varyColors val="0"/>
        <c:ser>
          <c:idx val="1"/>
          <c:order val="0"/>
          <c:marker>
            <c:symbol val="none"/>
          </c:marker>
          <c:cat>
            <c:numRef>
              <c:f>[0]!totalbudgetxaxis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[0]!totalbudget</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27EE-4145-A544-6F0E8D268DEB}"/>
            </c:ext>
          </c:extLst>
        </c:ser>
        <c:dLbls>
          <c:showLegendKey val="0"/>
          <c:showVal val="0"/>
          <c:showCatName val="0"/>
          <c:showSerName val="0"/>
          <c:showPercent val="0"/>
          <c:showBubbleSize val="0"/>
        </c:dLbls>
        <c:smooth val="0"/>
        <c:axId val="457697840"/>
        <c:axId val="457693920"/>
      </c:lineChart>
      <c:catAx>
        <c:axId val="45769784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246636771300448"/>
              <c:y val="0.87017838559653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457693920"/>
        <c:crosses val="autoZero"/>
        <c:auto val="1"/>
        <c:lblAlgn val="ctr"/>
        <c:lblOffset val="100"/>
        <c:tickMarkSkip val="1"/>
        <c:noMultiLvlLbl val="0"/>
      </c:catAx>
      <c:valAx>
        <c:axId val="45769392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7697840"/>
        <c:crosses val="autoZero"/>
        <c:crossBetween val="between"/>
      </c:valAx>
      <c:spPr>
        <a:noFill/>
        <a:ln w="25400">
          <a:noFill/>
        </a:ln>
      </c:spPr>
    </c:plotArea>
    <c:plotVisOnly val="1"/>
    <c:dispBlanksAs val="gap"/>
    <c:showDLblsOverMax val="0"/>
  </c:chart>
  <c:spPr>
    <a:solidFill>
      <a:srgbClr val="FFFFFF"/>
    </a:solidFill>
    <a:ln w="25400">
      <a:solidFill>
        <a:srgbClr val="339966"/>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712168835130471"/>
          <c:y val="0.10465155891003119"/>
          <c:w val="0.82089637703264196"/>
          <c:h val="0.62790935346020593"/>
        </c:manualLayout>
      </c:layout>
      <c:lineChart>
        <c:grouping val="standard"/>
        <c:varyColors val="0"/>
        <c:ser>
          <c:idx val="0"/>
          <c:order val="0"/>
          <c:spPr>
            <a:ln w="25400">
              <a:solidFill>
                <a:srgbClr val="339966"/>
              </a:solidFill>
              <a:prstDash val="solid"/>
            </a:ln>
          </c:spPr>
          <c:marker>
            <c:symbol val="diamond"/>
            <c:size val="2"/>
            <c:spPr>
              <a:solidFill>
                <a:srgbClr val="339966"/>
              </a:solidFill>
              <a:ln>
                <a:solidFill>
                  <a:srgbClr val="339966"/>
                </a:solidFill>
                <a:prstDash val="solid"/>
              </a:ln>
            </c:spPr>
          </c:marker>
          <c:cat>
            <c:numRef>
              <c:f>'choose m.p.'!$A$3:$A$22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[0]!inflacion</c:f>
              <c:numCache>
                <c:formatCode>0.0</c:formatCode>
                <c:ptCount val="9"/>
                <c:pt idx="0">
                  <c:v>2</c:v>
                </c:pt>
                <c:pt idx="1">
                  <c:v>3.5</c:v>
                </c:pt>
                <c:pt idx="2">
                  <c:v>6.125</c:v>
                </c:pt>
                <c:pt idx="3">
                  <c:v>10.71875</c:v>
                </c:pt>
                <c:pt idx="4">
                  <c:v>17.787812500000001</c:v>
                </c:pt>
                <c:pt idx="5">
                  <c:v>31.128671875000002</c:v>
                </c:pt>
                <c:pt idx="6">
                  <c:v>54.475175781250009</c:v>
                </c:pt>
                <c:pt idx="7">
                  <c:v>95.331557617187514</c:v>
                </c:pt>
                <c:pt idx="8">
                  <c:v>166.83022583007815</c:v>
                </c:pt>
              </c:numCache>
            </c:numRef>
          </c:val>
          <c:smooth val="0"/>
          <c:extLst>
            <c:ext xmlns:c16="http://schemas.microsoft.com/office/drawing/2014/chart" uri="{C3380CC4-5D6E-409C-BE32-E72D297353CC}">
              <c16:uniqueId val="{00000000-DD9B-494F-B37B-68EA7E5AB984}"/>
            </c:ext>
          </c:extLst>
        </c:ser>
        <c:ser>
          <c:idx val="1"/>
          <c:order val="1"/>
          <c:spPr>
            <a:ln w="12700">
              <a:solidFill>
                <a:srgbClr val="FF00FF"/>
              </a:solidFill>
              <a:prstDash val="solid"/>
            </a:ln>
          </c:spPr>
          <c:marker>
            <c:symbol val="none"/>
          </c:marker>
          <c:cat>
            <c:numRef>
              <c:f>'choose m.p.'!$A$3:$A$22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'choose m.p.'!$AN$3:$AN$22</c:f>
              <c:numCache>
                <c:formatCode>General</c:formatCode>
                <c:ptCount val="20"/>
              </c:numCache>
            </c:numRef>
          </c:val>
          <c:smooth val="0"/>
          <c:extLst>
            <c:ext xmlns:c16="http://schemas.microsoft.com/office/drawing/2014/chart" uri="{C3380CC4-5D6E-409C-BE32-E72D297353CC}">
              <c16:uniqueId val="{00000001-DD9B-494F-B37B-68EA7E5AB984}"/>
            </c:ext>
          </c:extLst>
        </c:ser>
        <c:dLbls>
          <c:showLegendKey val="0"/>
          <c:showVal val="0"/>
          <c:showCatName val="0"/>
          <c:showSerName val="0"/>
          <c:showPercent val="0"/>
          <c:showBubbleSize val="0"/>
        </c:dLbls>
        <c:marker val="1"/>
        <c:smooth val="0"/>
        <c:axId val="457695880"/>
        <c:axId val="457695096"/>
      </c:lineChart>
      <c:catAx>
        <c:axId val="45769588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s-ES"/>
                  <a:t>time</a:t>
                </a:r>
              </a:p>
            </c:rich>
          </c:tx>
          <c:layout>
            <c:manualLayout>
              <c:xMode val="edge"/>
              <c:yMode val="edge"/>
              <c:x val="0.52238850740672338"/>
              <c:y val="0.8488404647093531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457695096"/>
        <c:crosses val="autoZero"/>
        <c:auto val="1"/>
        <c:lblAlgn val="ctr"/>
        <c:lblOffset val="100"/>
        <c:tickLblSkip val="1"/>
        <c:tickMarkSkip val="1"/>
        <c:noMultiLvlLbl val="0"/>
      </c:catAx>
      <c:valAx>
        <c:axId val="457695096"/>
        <c:scaling>
          <c:orientation val="minMax"/>
        </c:scaling>
        <c:delete val="0"/>
        <c:axPos val="l"/>
        <c:title>
          <c:tx>
            <c:rich>
              <a:bodyPr/>
              <a:lstStyle/>
              <a:p>
                <a:pPr>
                  <a:defRPr sz="1000" b="1" i="0" u="none" strike="noStrike" baseline="0">
                    <a:solidFill>
                      <a:srgbClr val="000000"/>
                    </a:solidFill>
                    <a:latin typeface="Arial"/>
                    <a:ea typeface="Arial"/>
                    <a:cs typeface="Arial"/>
                  </a:defRPr>
                </a:pPr>
                <a:r>
                  <a:rPr lang="es-ES"/>
                  <a:t>inflation (%)</a:t>
                </a:r>
              </a:p>
            </c:rich>
          </c:tx>
          <c:layout>
            <c:manualLayout>
              <c:xMode val="edge"/>
              <c:yMode val="edge"/>
              <c:x val="3.6247334754797446E-2"/>
              <c:y val="0.267442674316879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7695880"/>
        <c:crosses val="autoZero"/>
        <c:crossBetween val="between"/>
      </c:valAx>
      <c:spPr>
        <a:noFill/>
        <a:ln w="25400">
          <a:noFill/>
        </a:ln>
      </c:spPr>
    </c:plotArea>
    <c:plotVisOnly val="1"/>
    <c:dispBlanksAs val="gap"/>
    <c:showDLblsOverMax val="0"/>
  </c:chart>
  <c:spPr>
    <a:noFill/>
    <a:ln w="25400">
      <a:noFill/>
      <a:prstDash val="solid"/>
    </a:ln>
    <a:effectLst/>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407470557366251"/>
          <c:y val="0.10796289508049708"/>
          <c:w val="0.64957400502054363"/>
          <c:h val="0.61264940373604782"/>
        </c:manualLayout>
      </c:layout>
      <c:lineChart>
        <c:grouping val="standard"/>
        <c:varyColors val="0"/>
        <c:ser>
          <c:idx val="0"/>
          <c:order val="0"/>
          <c:tx>
            <c:v>real</c:v>
          </c:tx>
          <c:spPr>
            <a:ln w="25400">
              <a:solidFill>
                <a:srgbClr val="000080"/>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[0]!real_interest_rate</c:f>
              <c:numCache>
                <c:formatCode>0.0</c:formatCode>
                <c:ptCount val="8"/>
                <c:pt idx="0">
                  <c:v>0</c:v>
                </c:pt>
                <c:pt idx="1">
                  <c:v>-1.5</c:v>
                </c:pt>
                <c:pt idx="2">
                  <c:v>-4.125</c:v>
                </c:pt>
                <c:pt idx="3">
                  <c:v>-8.71875</c:v>
                </c:pt>
                <c:pt idx="4">
                  <c:v>-15.787812500000001</c:v>
                </c:pt>
                <c:pt idx="5">
                  <c:v>-29.128671875000002</c:v>
                </c:pt>
                <c:pt idx="6">
                  <c:v>-52.475175781250009</c:v>
                </c:pt>
                <c:pt idx="7">
                  <c:v>-93.331557617187514</c:v>
                </c:pt>
              </c:numCache>
            </c:numRef>
          </c:val>
          <c:smooth val="0"/>
          <c:extLst>
            <c:ext xmlns:c16="http://schemas.microsoft.com/office/drawing/2014/chart" uri="{C3380CC4-5D6E-409C-BE32-E72D297353CC}">
              <c16:uniqueId val="{00000000-309B-482B-8048-C6F3F5504453}"/>
            </c:ext>
          </c:extLst>
        </c:ser>
        <c:ser>
          <c:idx val="1"/>
          <c:order val="1"/>
          <c:tx>
            <c:v>nominal</c:v>
          </c:tx>
          <c:spPr>
            <a:ln w="25400">
              <a:solidFill>
                <a:srgbClr val="FF00FF"/>
              </a:solidFill>
              <a:prstDash val="solid"/>
            </a:ln>
          </c:spPr>
          <c:marker>
            <c:symbol val="square"/>
            <c:size val="2"/>
            <c:spPr>
              <a:solidFill>
                <a:srgbClr val="FF00FF"/>
              </a:solidFill>
              <a:ln>
                <a:solidFill>
                  <a:srgbClr val="FF00FF"/>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[0]!nominal_interest_rate</c:f>
              <c:numCache>
                <c:formatCode>0.0000</c:formatCode>
                <c:ptCount val="8"/>
                <c:pt idx="0">
                  <c:v>2</c:v>
                </c:pt>
                <c:pt idx="1">
                  <c:v>2</c:v>
                </c:pt>
                <c:pt idx="2" formatCode="General">
                  <c:v>2</c:v>
                </c:pt>
                <c:pt idx="3" formatCode="General">
                  <c:v>2</c:v>
                </c:pt>
                <c:pt idx="4" formatCode="General">
                  <c:v>2</c:v>
                </c:pt>
                <c:pt idx="5" formatCode="General">
                  <c:v>2</c:v>
                </c:pt>
                <c:pt idx="6" formatCode="General">
                  <c:v>2</c:v>
                </c:pt>
                <c:pt idx="7" formatCode="General">
                  <c:v>2</c:v>
                </c:pt>
              </c:numCache>
            </c:numRef>
          </c:val>
          <c:smooth val="0"/>
          <c:extLst>
            <c:ext xmlns:c16="http://schemas.microsoft.com/office/drawing/2014/chart" uri="{C3380CC4-5D6E-409C-BE32-E72D297353CC}">
              <c16:uniqueId val="{00000001-309B-482B-8048-C6F3F5504453}"/>
            </c:ext>
          </c:extLst>
        </c:ser>
        <c:dLbls>
          <c:showLegendKey val="0"/>
          <c:showVal val="0"/>
          <c:showCatName val="0"/>
          <c:showSerName val="0"/>
          <c:showPercent val="0"/>
          <c:showBubbleSize val="0"/>
        </c:dLbls>
        <c:marker val="1"/>
        <c:smooth val="0"/>
        <c:axId val="457699016"/>
        <c:axId val="457693136"/>
      </c:lineChart>
      <c:catAx>
        <c:axId val="457699016"/>
        <c:scaling>
          <c:orientation val="minMax"/>
        </c:scaling>
        <c:delete val="0"/>
        <c:axPos val="b"/>
        <c:title>
          <c:tx>
            <c:rich>
              <a:bodyPr/>
              <a:lstStyle/>
              <a:p>
                <a:pPr>
                  <a:defRPr sz="1050" b="1" i="0" u="none" strike="noStrike" baseline="0">
                    <a:solidFill>
                      <a:srgbClr val="000000"/>
                    </a:solidFill>
                    <a:latin typeface="Arial"/>
                    <a:ea typeface="Arial"/>
                    <a:cs typeface="Arial"/>
                  </a:defRPr>
                </a:pPr>
                <a:r>
                  <a:rPr lang="es-ES"/>
                  <a:t>time</a:t>
                </a:r>
              </a:p>
            </c:rich>
          </c:tx>
          <c:layout>
            <c:manualLayout>
              <c:xMode val="edge"/>
              <c:yMode val="edge"/>
              <c:x val="0.44017183749467231"/>
              <c:y val="0.8379463239031995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457693136"/>
        <c:crosses val="autoZero"/>
        <c:auto val="1"/>
        <c:lblAlgn val="ctr"/>
        <c:lblOffset val="100"/>
        <c:tickLblSkip val="1"/>
        <c:tickMarkSkip val="1"/>
        <c:noMultiLvlLbl val="0"/>
      </c:catAx>
      <c:valAx>
        <c:axId val="457693136"/>
        <c:scaling>
          <c:orientation val="minMax"/>
        </c:scaling>
        <c:delete val="0"/>
        <c:axPos val="l"/>
        <c:title>
          <c:tx>
            <c:rich>
              <a:bodyPr/>
              <a:lstStyle/>
              <a:p>
                <a:pPr>
                  <a:defRPr sz="1050" b="1" i="0" u="none" strike="noStrike" baseline="0">
                    <a:solidFill>
                      <a:srgbClr val="000000"/>
                    </a:solidFill>
                    <a:latin typeface="Arial"/>
                    <a:ea typeface="Arial"/>
                    <a:cs typeface="Arial"/>
                  </a:defRPr>
                </a:pPr>
                <a:r>
                  <a:rPr lang="es-ES"/>
                  <a:t>interest rates (%)</a:t>
                </a:r>
              </a:p>
            </c:rich>
          </c:tx>
          <c:layout>
            <c:manualLayout>
              <c:xMode val="edge"/>
              <c:yMode val="edge"/>
              <c:x val="3.6324786324786328E-2"/>
              <c:y val="0.1660083201062350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457699016"/>
        <c:crosses val="autoZero"/>
        <c:crossBetween val="between"/>
      </c:valAx>
      <c:spPr>
        <a:noFill/>
        <a:ln w="25400">
          <a:noFill/>
        </a:ln>
      </c:spPr>
    </c:plotArea>
    <c:legend>
      <c:legendPos val="r"/>
      <c:layout>
        <c:manualLayout>
          <c:xMode val="edge"/>
          <c:yMode val="edge"/>
          <c:x val="0.80342037373533437"/>
          <c:y val="0.10276679841897508"/>
          <c:w val="0.18589788455930747"/>
          <c:h val="0.58893405122778619"/>
        </c:manualLayout>
      </c:layout>
      <c:overlay val="0"/>
      <c:spPr>
        <a:noFill/>
        <a:ln w="3175">
          <a:solidFill>
            <a:srgbClr val="000000"/>
          </a:solidFill>
          <a:prstDash val="sysDash"/>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noFill/>
    <a:ln w="25400">
      <a:noFill/>
      <a:prstDash val="solid"/>
    </a:ln>
    <a:effectLst/>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072509320559576"/>
          <c:y val="0.11020408163265306"/>
          <c:w val="0.82729297217835085"/>
          <c:h val="0.60816326530612241"/>
        </c:manualLayout>
      </c:layout>
      <c:lineChart>
        <c:grouping val="standard"/>
        <c:varyColors val="0"/>
        <c:ser>
          <c:idx val="0"/>
          <c:order val="0"/>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[0]!GDP</c:f>
              <c:numCache>
                <c:formatCode>0.0</c:formatCode>
                <c:ptCount val="9"/>
                <c:pt idx="0">
                  <c:v>50</c:v>
                </c:pt>
                <c:pt idx="1">
                  <c:v>51.5</c:v>
                </c:pt>
                <c:pt idx="2">
                  <c:v>52.625</c:v>
                </c:pt>
                <c:pt idx="3">
                  <c:v>54.59375</c:v>
                </c:pt>
                <c:pt idx="4">
                  <c:v>59.069062500000001</c:v>
                </c:pt>
                <c:pt idx="5">
                  <c:v>63.340859375000001</c:v>
                </c:pt>
                <c:pt idx="6">
                  <c:v>73.346503906250007</c:v>
                </c:pt>
                <c:pt idx="7">
                  <c:v>90.856381835937498</c:v>
                </c:pt>
                <c:pt idx="8">
                  <c:v>121.49866821289064</c:v>
                </c:pt>
              </c:numCache>
            </c:numRef>
          </c:val>
          <c:smooth val="0"/>
          <c:extLst>
            <c:ext xmlns:c16="http://schemas.microsoft.com/office/drawing/2014/chart" uri="{C3380CC4-5D6E-409C-BE32-E72D297353CC}">
              <c16:uniqueId val="{00000000-53E3-48ED-99E0-5B8592A51346}"/>
            </c:ext>
          </c:extLst>
        </c:ser>
        <c:ser>
          <c:idx val="1"/>
          <c:order val="1"/>
          <c:spPr>
            <a:ln w="12700">
              <a:solidFill>
                <a:srgbClr val="FF00FF"/>
              </a:solidFill>
              <a:prstDash val="solid"/>
            </a:ln>
          </c:spPr>
          <c:marker>
            <c:symbol val="none"/>
          </c:marker>
          <c:val>
            <c:numRef>
              <c:f>'choose m.p.'!$AD$3:$AD$22</c:f>
              <c:numCache>
                <c:formatCode>General</c:formatCode>
                <c:ptCount val="20"/>
              </c:numCache>
            </c:numRef>
          </c:val>
          <c:smooth val="0"/>
          <c:extLst>
            <c:ext xmlns:c16="http://schemas.microsoft.com/office/drawing/2014/chart" uri="{C3380CC4-5D6E-409C-BE32-E72D297353CC}">
              <c16:uniqueId val="{00000001-53E3-48ED-99E0-5B8592A51346}"/>
            </c:ext>
          </c:extLst>
        </c:ser>
        <c:dLbls>
          <c:showLegendKey val="0"/>
          <c:showVal val="0"/>
          <c:showCatName val="0"/>
          <c:showSerName val="0"/>
          <c:showPercent val="0"/>
          <c:showBubbleSize val="0"/>
        </c:dLbls>
        <c:marker val="1"/>
        <c:smooth val="0"/>
        <c:axId val="457691960"/>
        <c:axId val="457697448"/>
      </c:lineChart>
      <c:catAx>
        <c:axId val="45769196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s-ES"/>
                  <a:t>time</a:t>
                </a:r>
              </a:p>
            </c:rich>
          </c:tx>
          <c:layout>
            <c:manualLayout>
              <c:xMode val="edge"/>
              <c:yMode val="edge"/>
              <c:x val="0.52025631124467653"/>
              <c:y val="0.8408163265306122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457697448"/>
        <c:crosses val="autoZero"/>
        <c:auto val="1"/>
        <c:lblAlgn val="ctr"/>
        <c:lblOffset val="100"/>
        <c:tickLblSkip val="1"/>
        <c:tickMarkSkip val="1"/>
        <c:noMultiLvlLbl val="0"/>
      </c:catAx>
      <c:valAx>
        <c:axId val="457697448"/>
        <c:scaling>
          <c:orientation val="minMax"/>
        </c:scaling>
        <c:delete val="0"/>
        <c:axPos val="l"/>
        <c:title>
          <c:tx>
            <c:rich>
              <a:bodyPr/>
              <a:lstStyle/>
              <a:p>
                <a:pPr>
                  <a:defRPr sz="1000" b="1" i="0" u="none" strike="noStrike" baseline="0">
                    <a:solidFill>
                      <a:srgbClr val="000000"/>
                    </a:solidFill>
                    <a:latin typeface="Arial"/>
                    <a:ea typeface="Arial"/>
                    <a:cs typeface="Arial"/>
                  </a:defRPr>
                </a:pPr>
                <a:r>
                  <a:rPr lang="es-ES"/>
                  <a:t>GDP</a:t>
                </a:r>
              </a:p>
            </c:rich>
          </c:tx>
          <c:layout>
            <c:manualLayout>
              <c:xMode val="edge"/>
              <c:yMode val="edge"/>
              <c:x val="3.6247334754797446E-2"/>
              <c:y val="0.34693877551021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7691960"/>
        <c:crosses val="autoZero"/>
        <c:crossBetween val="between"/>
      </c:valAx>
      <c:spPr>
        <a:noFill/>
        <a:ln w="25400">
          <a:noFill/>
        </a:ln>
      </c:spPr>
    </c:plotArea>
    <c:plotVisOnly val="1"/>
    <c:dispBlanksAs val="gap"/>
    <c:showDLblsOverMax val="0"/>
  </c:chart>
  <c:spPr>
    <a:noFill/>
    <a:ln w="25400">
      <a:noFill/>
      <a:prstDash val="solid"/>
    </a:ln>
    <a:effectLst/>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6297622285937688"/>
          <c:y val="7.9861381908442594E-2"/>
          <c:w val="0.68512226481783856"/>
          <c:h val="0.75000254314013381"/>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[0]!growth</c:f>
              <c:numCache>
                <c:formatCode>0.00%</c:formatCode>
                <c:ptCount val="9"/>
                <c:pt idx="1">
                  <c:v>3.0000000000000027E-2</c:v>
                </c:pt>
                <c:pt idx="2">
                  <c:v>2.1844660194174859E-2</c:v>
                </c:pt>
                <c:pt idx="3">
                  <c:v>3.7410926365795794E-2</c:v>
                </c:pt>
                <c:pt idx="4">
                  <c:v>8.1974813966800175E-2</c:v>
                </c:pt>
                <c:pt idx="5">
                  <c:v>7.2318684167367531E-2</c:v>
                </c:pt>
                <c:pt idx="6">
                  <c:v>0.15796508967478795</c:v>
                </c:pt>
                <c:pt idx="7">
                  <c:v>0.23872818740029178</c:v>
                </c:pt>
                <c:pt idx="8">
                  <c:v>0.33726069383089641</c:v>
                </c:pt>
              </c:numCache>
            </c:numRef>
          </c:val>
          <c:smooth val="0"/>
          <c:extLst>
            <c:ext xmlns:c16="http://schemas.microsoft.com/office/drawing/2014/chart" uri="{C3380CC4-5D6E-409C-BE32-E72D297353CC}">
              <c16:uniqueId val="{00000000-99E4-4453-8466-B9117FA95F74}"/>
            </c:ext>
          </c:extLst>
        </c:ser>
        <c:ser>
          <c:idx val="1"/>
          <c:order val="1"/>
          <c:spPr>
            <a:ln w="12700">
              <a:solidFill>
                <a:srgbClr val="FF00FF"/>
              </a:solidFill>
              <a:prstDash val="solid"/>
            </a:ln>
          </c:spPr>
          <c:marker>
            <c:symbol val="none"/>
          </c:marker>
          <c:val>
            <c:numRef>
              <c:f>'choose m.p.'!$AD$3:$AD$22</c:f>
              <c:numCache>
                <c:formatCode>General</c:formatCode>
                <c:ptCount val="20"/>
              </c:numCache>
            </c:numRef>
          </c:val>
          <c:smooth val="0"/>
          <c:extLst>
            <c:ext xmlns:c16="http://schemas.microsoft.com/office/drawing/2014/chart" uri="{C3380CC4-5D6E-409C-BE32-E72D297353CC}">
              <c16:uniqueId val="{00000001-99E4-4453-8466-B9117FA95F74}"/>
            </c:ext>
          </c:extLst>
        </c:ser>
        <c:dLbls>
          <c:showLegendKey val="0"/>
          <c:showVal val="0"/>
          <c:showCatName val="0"/>
          <c:showSerName val="0"/>
          <c:showPercent val="0"/>
          <c:showBubbleSize val="0"/>
        </c:dLbls>
        <c:marker val="1"/>
        <c:smooth val="0"/>
        <c:axId val="457698232"/>
        <c:axId val="457695488"/>
      </c:lineChart>
      <c:catAx>
        <c:axId val="457698232"/>
        <c:scaling>
          <c:orientation val="minMax"/>
        </c:scaling>
        <c:delete val="0"/>
        <c:axPos val="b"/>
        <c:title>
          <c:tx>
            <c:rich>
              <a:bodyPr/>
              <a:lstStyle/>
              <a:p>
                <a:pPr>
                  <a:defRPr sz="575" b="1" i="0" u="none" strike="noStrike" baseline="0">
                    <a:solidFill>
                      <a:srgbClr val="000000"/>
                    </a:solidFill>
                    <a:latin typeface="Arial"/>
                    <a:ea typeface="Arial"/>
                    <a:cs typeface="Arial"/>
                  </a:defRPr>
                </a:pPr>
                <a:r>
                  <a:rPr lang="es-ES"/>
                  <a:t>time</a:t>
                </a:r>
              </a:p>
            </c:rich>
          </c:tx>
          <c:layout>
            <c:manualLayout>
              <c:xMode val="edge"/>
              <c:yMode val="edge"/>
              <c:x val="0.56401493065961961"/>
              <c:y val="0.8923640274132400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400000" vert="horz"/>
          <a:lstStyle/>
          <a:p>
            <a:pPr>
              <a:defRPr sz="575" b="0" i="0" u="none" strike="noStrike" baseline="0">
                <a:solidFill>
                  <a:srgbClr val="000000"/>
                </a:solidFill>
                <a:latin typeface="Arial"/>
                <a:ea typeface="Arial"/>
                <a:cs typeface="Arial"/>
              </a:defRPr>
            </a:pPr>
            <a:endParaRPr lang="en-US"/>
          </a:p>
        </c:txPr>
        <c:crossAx val="457695488"/>
        <c:crossesAt val="0"/>
        <c:auto val="1"/>
        <c:lblAlgn val="ctr"/>
        <c:lblOffset val="100"/>
        <c:tickLblSkip val="1"/>
        <c:tickMarkSkip val="1"/>
        <c:noMultiLvlLbl val="0"/>
      </c:catAx>
      <c:valAx>
        <c:axId val="457695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s-ES"/>
                  <a:t>Economic growth</a:t>
                </a:r>
              </a:p>
            </c:rich>
          </c:tx>
          <c:layout>
            <c:manualLayout>
              <c:xMode val="edge"/>
              <c:yMode val="edge"/>
              <c:x val="5.8823529411764705E-2"/>
              <c:y val="0.28125109361329825"/>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575" b="0" i="0" u="none" strike="noStrike" baseline="0">
                <a:solidFill>
                  <a:srgbClr val="000000"/>
                </a:solidFill>
                <a:latin typeface="Arial"/>
                <a:ea typeface="Arial"/>
                <a:cs typeface="Arial"/>
              </a:defRPr>
            </a:pPr>
            <a:endParaRPr lang="en-US"/>
          </a:p>
        </c:txPr>
        <c:crossAx val="457698232"/>
        <c:crosses val="autoZero"/>
        <c:crossBetween val="between"/>
        <c:majorUnit val="0.05"/>
        <c:minorUnit val="1.0000000000000005E-2"/>
      </c:valAx>
      <c:spPr>
        <a:noFill/>
        <a:ln w="25400">
          <a:noFill/>
        </a:ln>
      </c:spPr>
    </c:plotArea>
    <c:plotVisOnly val="1"/>
    <c:dispBlanksAs val="gap"/>
    <c:showDLblsOverMax val="0"/>
  </c:chart>
  <c:spPr>
    <a:solidFill>
      <a:srgbClr val="FFFFFF"/>
    </a:solidFill>
    <a:ln w="25400">
      <a:solidFill>
        <a:srgbClr val="3366FF"/>
      </a:solidFill>
      <a:prstDash val="solid"/>
    </a:ln>
    <a:effectLst>
      <a:outerShdw dist="35921" dir="2700000" algn="br">
        <a:srgbClr val="000000"/>
      </a:outerShdw>
    </a:effectLst>
  </c:spPr>
  <c:txPr>
    <a:bodyPr/>
    <a:lstStyle/>
    <a:p>
      <a:pPr>
        <a:defRPr sz="5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sz="1000"/>
              <a:t>Inflation gap,</a:t>
            </a:r>
            <a:r>
              <a:rPr lang="es-ES" sz="1000" baseline="0"/>
              <a:t> </a:t>
            </a:r>
            <a:r>
              <a:rPr lang="es-ES" sz="1000"/>
              <a:t>output gap and estimated MR (excludes shock periods)</a:t>
            </a:r>
          </a:p>
        </c:rich>
      </c:tx>
      <c:overlay val="0"/>
    </c:title>
    <c:autoTitleDeleted val="0"/>
    <c:plotArea>
      <c:layout/>
      <c:scatterChart>
        <c:scatterStyle val="lineMarker"/>
        <c:varyColors val="0"/>
        <c:ser>
          <c:idx val="0"/>
          <c:order val="0"/>
          <c:spPr>
            <a:ln w="28575">
              <a:noFill/>
            </a:ln>
          </c:spPr>
          <c:trendline>
            <c:trendlineType val="linear"/>
            <c:intercept val="0"/>
            <c:dispRSqr val="0"/>
            <c:dispEq val="0"/>
          </c:trendline>
          <c:xVal>
            <c:numRef>
              <c:f>[0]!gdpestlin</c:f>
              <c:numCache>
                <c:formatCode>General</c:formatCode>
                <c:ptCount val="1"/>
                <c:pt idx="0">
                  <c:v>0</c:v>
                </c:pt>
              </c:numCache>
            </c:numRef>
          </c:xVal>
          <c:yVal>
            <c:numRef>
              <c:f>[0]!inflacionestlin</c:f>
              <c:numCache>
                <c:formatCode>General</c:formatCode>
                <c:ptCount val="1"/>
                <c:pt idx="0">
                  <c:v>0</c:v>
                </c:pt>
              </c:numCache>
            </c:numRef>
          </c:yVal>
          <c:smooth val="0"/>
          <c:extLst>
            <c:ext xmlns:c16="http://schemas.microsoft.com/office/drawing/2014/chart" uri="{C3380CC4-5D6E-409C-BE32-E72D297353CC}">
              <c16:uniqueId val="{00000001-2642-46D2-A75D-E1B8E43FD30D}"/>
            </c:ext>
          </c:extLst>
        </c:ser>
        <c:dLbls>
          <c:showLegendKey val="0"/>
          <c:showVal val="0"/>
          <c:showCatName val="0"/>
          <c:showSerName val="0"/>
          <c:showPercent val="0"/>
          <c:showBubbleSize val="0"/>
        </c:dLbls>
        <c:axId val="462148384"/>
        <c:axId val="462148776"/>
      </c:scatterChart>
      <c:valAx>
        <c:axId val="462148384"/>
        <c:scaling>
          <c:orientation val="minMax"/>
        </c:scaling>
        <c:delete val="0"/>
        <c:axPos val="b"/>
        <c:title>
          <c:tx>
            <c:rich>
              <a:bodyPr/>
              <a:lstStyle/>
              <a:p>
                <a:pPr>
                  <a:defRPr sz="800"/>
                </a:pPr>
                <a:r>
                  <a:rPr lang="es-ES" sz="800"/>
                  <a:t>output gap</a:t>
                </a:r>
              </a:p>
            </c:rich>
          </c:tx>
          <c:layout>
            <c:manualLayout>
              <c:xMode val="edge"/>
              <c:yMode val="edge"/>
              <c:x val="0.80653463652071233"/>
              <c:y val="0.84168443546326632"/>
            </c:manualLayout>
          </c:layout>
          <c:overlay val="0"/>
        </c:title>
        <c:numFmt formatCode="General" sourceLinked="1"/>
        <c:majorTickMark val="out"/>
        <c:minorTickMark val="none"/>
        <c:tickLblPos val="nextTo"/>
        <c:crossAx val="462148776"/>
        <c:crosses val="autoZero"/>
        <c:crossBetween val="midCat"/>
      </c:valAx>
      <c:valAx>
        <c:axId val="462148776"/>
        <c:scaling>
          <c:orientation val="minMax"/>
        </c:scaling>
        <c:delete val="0"/>
        <c:axPos val="l"/>
        <c:title>
          <c:tx>
            <c:rich>
              <a:bodyPr rot="-5400000" vert="horz"/>
              <a:lstStyle/>
              <a:p>
                <a:pPr>
                  <a:defRPr sz="800"/>
                </a:pPr>
                <a:r>
                  <a:rPr lang="es-ES" sz="800"/>
                  <a:t>deviation</a:t>
                </a:r>
                <a:r>
                  <a:rPr lang="es-ES" sz="800" baseline="0"/>
                  <a:t> wrt inflation target</a:t>
                </a:r>
                <a:endParaRPr lang="es-ES" sz="800"/>
              </a:p>
            </c:rich>
          </c:tx>
          <c:overlay val="0"/>
        </c:title>
        <c:numFmt formatCode="General" sourceLinked="1"/>
        <c:majorTickMark val="out"/>
        <c:minorTickMark val="none"/>
        <c:tickLblPos val="nextTo"/>
        <c:crossAx val="462148384"/>
        <c:crosses val="autoZero"/>
        <c:crossBetween val="midCat"/>
      </c:valAx>
    </c:plotArea>
    <c:plotVisOnly val="1"/>
    <c:dispBlanksAs val="gap"/>
    <c:showDLblsOverMax val="0"/>
  </c:chart>
  <c:printSettings>
    <c:headerFooter/>
    <c:pageMargins b="0.75000000000000577" l="0.70000000000000062" r="0.70000000000000062" t="0.75000000000000577"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GDP</a:t>
            </a:r>
          </a:p>
        </c:rich>
      </c:tx>
      <c:layout>
        <c:manualLayout>
          <c:xMode val="edge"/>
          <c:yMode val="edge"/>
          <c:x val="0.47336065573771202"/>
          <c:y val="3.6912751677852351E-2"/>
        </c:manualLayout>
      </c:layout>
      <c:overlay val="0"/>
      <c:spPr>
        <a:noFill/>
        <a:ln w="25400">
          <a:noFill/>
        </a:ln>
      </c:spPr>
    </c:title>
    <c:autoTitleDeleted val="0"/>
    <c:plotArea>
      <c:layout>
        <c:manualLayout>
          <c:layoutTarget val="inner"/>
          <c:xMode val="edge"/>
          <c:yMode val="edge"/>
          <c:x val="0.10655737704918032"/>
          <c:y val="0.19463119139181684"/>
          <c:w val="0.67418032786885262"/>
          <c:h val="0.66778632908571645"/>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results'!$Q$3:$Q$22</c:f>
              <c:numCache>
                <c:formatCode>0.00</c:formatCode>
                <c:ptCount val="20"/>
              </c:numCache>
            </c:numRef>
          </c:val>
          <c:smooth val="0"/>
          <c:extLst>
            <c:ext xmlns:c16="http://schemas.microsoft.com/office/drawing/2014/chart" uri="{C3380CC4-5D6E-409C-BE32-E72D297353CC}">
              <c16:uniqueId val="{00000000-6E0D-447A-B27D-AE7463022B78}"/>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results'!$AF$3:$AF$22</c:f>
              <c:numCache>
                <c:formatCode>0.00</c:formatCode>
                <c:ptCount val="20"/>
              </c:numCache>
            </c:numRef>
          </c:val>
          <c:smooth val="0"/>
          <c:extLst>
            <c:ext xmlns:c16="http://schemas.microsoft.com/office/drawing/2014/chart" uri="{C3380CC4-5D6E-409C-BE32-E72D297353CC}">
              <c16:uniqueId val="{00000001-6E0D-447A-B27D-AE7463022B78}"/>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results'!$AU$3:$AU$22</c:f>
              <c:numCache>
                <c:formatCode>0.00</c:formatCode>
                <c:ptCount val="20"/>
              </c:numCache>
            </c:numRef>
          </c:val>
          <c:smooth val="0"/>
          <c:extLst>
            <c:ext xmlns:c16="http://schemas.microsoft.com/office/drawing/2014/chart" uri="{C3380CC4-5D6E-409C-BE32-E72D297353CC}">
              <c16:uniqueId val="{00000002-6E0D-447A-B27D-AE7463022B78}"/>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results'!$BJ$3:$BJ$22</c:f>
              <c:numCache>
                <c:formatCode>0.00</c:formatCode>
                <c:ptCount val="20"/>
              </c:numCache>
            </c:numRef>
          </c:val>
          <c:smooth val="0"/>
          <c:extLst>
            <c:ext xmlns:c16="http://schemas.microsoft.com/office/drawing/2014/chart" uri="{C3380CC4-5D6E-409C-BE32-E72D297353CC}">
              <c16:uniqueId val="{00000003-6E0D-447A-B27D-AE7463022B78}"/>
            </c:ext>
          </c:extLst>
        </c:ser>
        <c:dLbls>
          <c:showLegendKey val="0"/>
          <c:showVal val="0"/>
          <c:showCatName val="0"/>
          <c:showSerName val="0"/>
          <c:showPercent val="0"/>
          <c:showBubbleSize val="0"/>
        </c:dLbls>
        <c:smooth val="0"/>
        <c:axId val="462150736"/>
        <c:axId val="462149560"/>
      </c:lineChart>
      <c:catAx>
        <c:axId val="46215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9560"/>
        <c:crosses val="autoZero"/>
        <c:auto val="1"/>
        <c:lblAlgn val="ctr"/>
        <c:lblOffset val="100"/>
        <c:tickLblSkip val="1"/>
        <c:tickMarkSkip val="1"/>
        <c:noMultiLvlLbl val="0"/>
      </c:catAx>
      <c:valAx>
        <c:axId val="46214956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50736"/>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GDP growth</a:t>
            </a:r>
          </a:p>
        </c:rich>
      </c:tx>
      <c:layout>
        <c:manualLayout>
          <c:xMode val="edge"/>
          <c:yMode val="edge"/>
          <c:x val="0.43006263048016702"/>
          <c:y val="3.6666666666666681E-2"/>
        </c:manualLayout>
      </c:layout>
      <c:overlay val="0"/>
      <c:spPr>
        <a:noFill/>
        <a:ln w="25400">
          <a:noFill/>
        </a:ln>
      </c:spPr>
    </c:title>
    <c:autoTitleDeleted val="0"/>
    <c:plotArea>
      <c:layout>
        <c:manualLayout>
          <c:layoutTarget val="inner"/>
          <c:xMode val="edge"/>
          <c:yMode val="edge"/>
          <c:x val="0.11273486430062632"/>
          <c:y val="0.19333396267565967"/>
          <c:w val="0.67223382045930358"/>
          <c:h val="0.72666903212577127"/>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results'!$R$3:$R$22</c:f>
              <c:numCache>
                <c:formatCode>0.00%</c:formatCode>
                <c:ptCount val="20"/>
              </c:numCache>
            </c:numRef>
          </c:val>
          <c:smooth val="0"/>
          <c:extLst>
            <c:ext xmlns:c16="http://schemas.microsoft.com/office/drawing/2014/chart" uri="{C3380CC4-5D6E-409C-BE32-E72D297353CC}">
              <c16:uniqueId val="{00000000-48B6-40D9-826C-F2E946B46D06}"/>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results'!$AG$3:$AG$22</c:f>
              <c:numCache>
                <c:formatCode>0.00%</c:formatCode>
                <c:ptCount val="20"/>
              </c:numCache>
            </c:numRef>
          </c:val>
          <c:smooth val="0"/>
          <c:extLst>
            <c:ext xmlns:c16="http://schemas.microsoft.com/office/drawing/2014/chart" uri="{C3380CC4-5D6E-409C-BE32-E72D297353CC}">
              <c16:uniqueId val="{00000001-48B6-40D9-826C-F2E946B46D06}"/>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results'!$AV$3:$AV$22</c:f>
              <c:numCache>
                <c:formatCode>0.00%</c:formatCode>
                <c:ptCount val="20"/>
              </c:numCache>
            </c:numRef>
          </c:val>
          <c:smooth val="0"/>
          <c:extLst>
            <c:ext xmlns:c16="http://schemas.microsoft.com/office/drawing/2014/chart" uri="{C3380CC4-5D6E-409C-BE32-E72D297353CC}">
              <c16:uniqueId val="{00000002-48B6-40D9-826C-F2E946B46D06}"/>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results'!$BK$3:$BK$22</c:f>
              <c:numCache>
                <c:formatCode>0.00%</c:formatCode>
                <c:ptCount val="20"/>
              </c:numCache>
            </c:numRef>
          </c:val>
          <c:smooth val="0"/>
          <c:extLst>
            <c:ext xmlns:c16="http://schemas.microsoft.com/office/drawing/2014/chart" uri="{C3380CC4-5D6E-409C-BE32-E72D297353CC}">
              <c16:uniqueId val="{00000003-48B6-40D9-826C-F2E946B46D06}"/>
            </c:ext>
          </c:extLst>
        </c:ser>
        <c:dLbls>
          <c:showLegendKey val="0"/>
          <c:showVal val="0"/>
          <c:showCatName val="0"/>
          <c:showSerName val="0"/>
          <c:showPercent val="0"/>
          <c:showBubbleSize val="0"/>
        </c:dLbls>
        <c:smooth val="0"/>
        <c:axId val="462145248"/>
        <c:axId val="462146816"/>
      </c:lineChart>
      <c:catAx>
        <c:axId val="46214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6816"/>
        <c:crosses val="autoZero"/>
        <c:auto val="1"/>
        <c:lblAlgn val="ctr"/>
        <c:lblOffset val="100"/>
        <c:tickLblSkip val="1"/>
        <c:tickMarkSkip val="1"/>
        <c:noMultiLvlLbl val="0"/>
      </c:catAx>
      <c:valAx>
        <c:axId val="46214681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5248"/>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Primary budget/GDP</a:t>
            </a:r>
          </a:p>
        </c:rich>
      </c:tx>
      <c:layout>
        <c:manualLayout>
          <c:xMode val="edge"/>
          <c:yMode val="edge"/>
          <c:x val="0.38367389790563039"/>
          <c:y val="3.5460992907801435E-2"/>
        </c:manualLayout>
      </c:layout>
      <c:overlay val="0"/>
      <c:spPr>
        <a:noFill/>
        <a:ln w="25400">
          <a:noFill/>
        </a:ln>
      </c:spPr>
    </c:title>
    <c:autoTitleDeleted val="0"/>
    <c:plotArea>
      <c:layout>
        <c:manualLayout>
          <c:layoutTarget val="inner"/>
          <c:xMode val="edge"/>
          <c:yMode val="edge"/>
          <c:x val="0.12244910161142952"/>
          <c:y val="0.20212835954247294"/>
          <c:w val="0.66734760378229063"/>
          <c:h val="0.71276842575502053"/>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results'!$V$3:$V$22</c:f>
              <c:numCache>
                <c:formatCode>0.00%</c:formatCode>
                <c:ptCount val="20"/>
              </c:numCache>
            </c:numRef>
          </c:val>
          <c:smooth val="0"/>
          <c:extLst>
            <c:ext xmlns:c16="http://schemas.microsoft.com/office/drawing/2014/chart" uri="{C3380CC4-5D6E-409C-BE32-E72D297353CC}">
              <c16:uniqueId val="{00000000-C80C-4473-9205-78869F946984}"/>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results'!$AK$3:$AK$22</c:f>
              <c:numCache>
                <c:formatCode>0.00%</c:formatCode>
                <c:ptCount val="20"/>
              </c:numCache>
            </c:numRef>
          </c:val>
          <c:smooth val="0"/>
          <c:extLst>
            <c:ext xmlns:c16="http://schemas.microsoft.com/office/drawing/2014/chart" uri="{C3380CC4-5D6E-409C-BE32-E72D297353CC}">
              <c16:uniqueId val="{00000001-C80C-4473-9205-78869F946984}"/>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results'!$AZ$3:$AZ$22</c:f>
              <c:numCache>
                <c:formatCode>0.00%</c:formatCode>
                <c:ptCount val="20"/>
              </c:numCache>
            </c:numRef>
          </c:val>
          <c:smooth val="0"/>
          <c:extLst>
            <c:ext xmlns:c16="http://schemas.microsoft.com/office/drawing/2014/chart" uri="{C3380CC4-5D6E-409C-BE32-E72D297353CC}">
              <c16:uniqueId val="{00000002-C80C-4473-9205-78869F946984}"/>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results'!$BO$3:$BO$22</c:f>
              <c:numCache>
                <c:formatCode>0.00%</c:formatCode>
                <c:ptCount val="20"/>
              </c:numCache>
            </c:numRef>
          </c:val>
          <c:smooth val="0"/>
          <c:extLst>
            <c:ext xmlns:c16="http://schemas.microsoft.com/office/drawing/2014/chart" uri="{C3380CC4-5D6E-409C-BE32-E72D297353CC}">
              <c16:uniqueId val="{00000003-C80C-4473-9205-78869F946984}"/>
            </c:ext>
          </c:extLst>
        </c:ser>
        <c:dLbls>
          <c:showLegendKey val="0"/>
          <c:showVal val="0"/>
          <c:showCatName val="0"/>
          <c:showSerName val="0"/>
          <c:showPercent val="0"/>
          <c:showBubbleSize val="0"/>
        </c:dLbls>
        <c:smooth val="0"/>
        <c:axId val="462147208"/>
        <c:axId val="462147600"/>
      </c:lineChart>
      <c:catAx>
        <c:axId val="462147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7600"/>
        <c:crosses val="autoZero"/>
        <c:auto val="1"/>
        <c:lblAlgn val="ctr"/>
        <c:lblOffset val="100"/>
        <c:tickLblSkip val="1"/>
        <c:tickMarkSkip val="1"/>
        <c:noMultiLvlLbl val="0"/>
      </c:catAx>
      <c:valAx>
        <c:axId val="46214760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7208"/>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Total budget/GDP</a:t>
            </a:r>
          </a:p>
        </c:rich>
      </c:tx>
      <c:layout>
        <c:manualLayout>
          <c:xMode val="edge"/>
          <c:yMode val="edge"/>
          <c:x val="0.39789517889211806"/>
          <c:y val="3.873239436619718E-2"/>
        </c:manualLayout>
      </c:layout>
      <c:overlay val="0"/>
      <c:spPr>
        <a:noFill/>
        <a:ln w="25400">
          <a:noFill/>
        </a:ln>
      </c:spPr>
    </c:title>
    <c:autoTitleDeleted val="0"/>
    <c:plotArea>
      <c:layout>
        <c:manualLayout>
          <c:layoutTarget val="inner"/>
          <c:xMode val="edge"/>
          <c:yMode val="edge"/>
          <c:x val="0.11789485803336558"/>
          <c:y val="0.19366197183098588"/>
          <c:w val="0.66526384175970577"/>
          <c:h val="0.71478873239438612"/>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results'!$W$3:$W$22</c:f>
              <c:numCache>
                <c:formatCode>0.00%</c:formatCode>
                <c:ptCount val="20"/>
              </c:numCache>
            </c:numRef>
          </c:val>
          <c:smooth val="0"/>
          <c:extLst>
            <c:ext xmlns:c16="http://schemas.microsoft.com/office/drawing/2014/chart" uri="{C3380CC4-5D6E-409C-BE32-E72D297353CC}">
              <c16:uniqueId val="{00000000-2EA6-458D-B11A-62291720862B}"/>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results'!$AL$3:$AL$22</c:f>
              <c:numCache>
                <c:formatCode>0.00%</c:formatCode>
                <c:ptCount val="20"/>
              </c:numCache>
            </c:numRef>
          </c:val>
          <c:smooth val="0"/>
          <c:extLst>
            <c:ext xmlns:c16="http://schemas.microsoft.com/office/drawing/2014/chart" uri="{C3380CC4-5D6E-409C-BE32-E72D297353CC}">
              <c16:uniqueId val="{00000001-2EA6-458D-B11A-62291720862B}"/>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results'!$BA$3:$BA$22</c:f>
              <c:numCache>
                <c:formatCode>0.00%</c:formatCode>
                <c:ptCount val="20"/>
              </c:numCache>
            </c:numRef>
          </c:val>
          <c:smooth val="0"/>
          <c:extLst>
            <c:ext xmlns:c16="http://schemas.microsoft.com/office/drawing/2014/chart" uri="{C3380CC4-5D6E-409C-BE32-E72D297353CC}">
              <c16:uniqueId val="{00000002-2EA6-458D-B11A-62291720862B}"/>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results'!$BP$3:$BP$22</c:f>
              <c:numCache>
                <c:formatCode>0.00%</c:formatCode>
                <c:ptCount val="20"/>
              </c:numCache>
            </c:numRef>
          </c:val>
          <c:smooth val="0"/>
          <c:extLst>
            <c:ext xmlns:c16="http://schemas.microsoft.com/office/drawing/2014/chart" uri="{C3380CC4-5D6E-409C-BE32-E72D297353CC}">
              <c16:uniqueId val="{00000003-2EA6-458D-B11A-62291720862B}"/>
            </c:ext>
          </c:extLst>
        </c:ser>
        <c:dLbls>
          <c:showLegendKey val="0"/>
          <c:showVal val="0"/>
          <c:showCatName val="0"/>
          <c:showSerName val="0"/>
          <c:showPercent val="0"/>
          <c:showBubbleSize val="0"/>
        </c:dLbls>
        <c:smooth val="0"/>
        <c:axId val="462151520"/>
        <c:axId val="462151912"/>
      </c:lineChart>
      <c:catAx>
        <c:axId val="462151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2151912"/>
        <c:crosses val="autoZero"/>
        <c:auto val="1"/>
        <c:lblAlgn val="ctr"/>
        <c:lblOffset val="100"/>
        <c:tickLblSkip val="2"/>
        <c:tickMarkSkip val="1"/>
        <c:noMultiLvlLbl val="0"/>
      </c:catAx>
      <c:valAx>
        <c:axId val="46215191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51520"/>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Public debt/GDP</a:t>
            </a:r>
          </a:p>
        </c:rich>
      </c:tx>
      <c:layout>
        <c:manualLayout>
          <c:xMode val="edge"/>
          <c:yMode val="edge"/>
          <c:x val="0.41257367387033922"/>
          <c:y val="3.5460992907801435E-2"/>
        </c:manualLayout>
      </c:layout>
      <c:overlay val="0"/>
      <c:spPr>
        <a:noFill/>
        <a:ln w="25400">
          <a:noFill/>
        </a:ln>
      </c:spPr>
    </c:title>
    <c:autoTitleDeleted val="0"/>
    <c:plotArea>
      <c:layout>
        <c:manualLayout>
          <c:layoutTarget val="inner"/>
          <c:xMode val="edge"/>
          <c:yMode val="edge"/>
          <c:x val="0.12180746561885998"/>
          <c:y val="0.20212835954247294"/>
          <c:w val="0.76031434184674507"/>
          <c:h val="0.71276842575502053"/>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results'!$X$3:$X$22</c:f>
              <c:numCache>
                <c:formatCode>0.00%</c:formatCode>
                <c:ptCount val="20"/>
              </c:numCache>
            </c:numRef>
          </c:val>
          <c:smooth val="0"/>
          <c:extLst>
            <c:ext xmlns:c16="http://schemas.microsoft.com/office/drawing/2014/chart" uri="{C3380CC4-5D6E-409C-BE32-E72D297353CC}">
              <c16:uniqueId val="{00000000-384D-4526-9638-E346F3C878EE}"/>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results'!$AM$3:$AM$22</c:f>
              <c:numCache>
                <c:formatCode>0.00%</c:formatCode>
                <c:ptCount val="20"/>
              </c:numCache>
            </c:numRef>
          </c:val>
          <c:smooth val="0"/>
          <c:extLst>
            <c:ext xmlns:c16="http://schemas.microsoft.com/office/drawing/2014/chart" uri="{C3380CC4-5D6E-409C-BE32-E72D297353CC}">
              <c16:uniqueId val="{00000001-384D-4526-9638-E346F3C878EE}"/>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results'!$BB$3:$BB$22</c:f>
              <c:numCache>
                <c:formatCode>0.00%</c:formatCode>
                <c:ptCount val="20"/>
              </c:numCache>
            </c:numRef>
          </c:val>
          <c:smooth val="0"/>
          <c:extLst>
            <c:ext xmlns:c16="http://schemas.microsoft.com/office/drawing/2014/chart" uri="{C3380CC4-5D6E-409C-BE32-E72D297353CC}">
              <c16:uniqueId val="{00000002-384D-4526-9638-E346F3C878EE}"/>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results'!$BQ$3:$BQ$22</c:f>
              <c:numCache>
                <c:formatCode>0.00%</c:formatCode>
                <c:ptCount val="20"/>
              </c:numCache>
            </c:numRef>
          </c:val>
          <c:smooth val="0"/>
          <c:extLst>
            <c:ext xmlns:c16="http://schemas.microsoft.com/office/drawing/2014/chart" uri="{C3380CC4-5D6E-409C-BE32-E72D297353CC}">
              <c16:uniqueId val="{00000003-384D-4526-9638-E346F3C878EE}"/>
            </c:ext>
          </c:extLst>
        </c:ser>
        <c:dLbls>
          <c:showLegendKey val="0"/>
          <c:showVal val="0"/>
          <c:showCatName val="0"/>
          <c:showSerName val="0"/>
          <c:showPercent val="0"/>
          <c:showBubbleSize val="0"/>
        </c:dLbls>
        <c:smooth val="0"/>
        <c:axId val="462145640"/>
        <c:axId val="462146424"/>
      </c:lineChart>
      <c:catAx>
        <c:axId val="462145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6424"/>
        <c:crosses val="autoZero"/>
        <c:auto val="1"/>
        <c:lblAlgn val="ctr"/>
        <c:lblOffset val="100"/>
        <c:tickLblSkip val="1"/>
        <c:tickMarkSkip val="1"/>
        <c:noMultiLvlLbl val="0"/>
      </c:catAx>
      <c:valAx>
        <c:axId val="46214642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5640"/>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Inflation</a:t>
            </a:r>
          </a:p>
        </c:rich>
      </c:tx>
      <c:layout>
        <c:manualLayout>
          <c:xMode val="edge"/>
          <c:yMode val="edge"/>
          <c:x val="0.45122036574696972"/>
          <c:y val="3.7037037037037056E-2"/>
        </c:manualLayout>
      </c:layout>
      <c:overlay val="0"/>
      <c:spPr>
        <a:noFill/>
        <a:ln w="25400">
          <a:noFill/>
        </a:ln>
      </c:spPr>
    </c:title>
    <c:autoTitleDeleted val="0"/>
    <c:plotArea>
      <c:layout>
        <c:manualLayout>
          <c:layoutTarget val="inner"/>
          <c:xMode val="edge"/>
          <c:yMode val="edge"/>
          <c:x val="0.11382136413348758"/>
          <c:y val="0.19528683740674141"/>
          <c:w val="0.67276556300330626"/>
          <c:h val="0.6666688587333699"/>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results'!$S$3:$S$22</c:f>
              <c:numCache>
                <c:formatCode>0.00%</c:formatCode>
                <c:ptCount val="20"/>
              </c:numCache>
            </c:numRef>
          </c:val>
          <c:smooth val="0"/>
          <c:extLst>
            <c:ext xmlns:c16="http://schemas.microsoft.com/office/drawing/2014/chart" uri="{C3380CC4-5D6E-409C-BE32-E72D297353CC}">
              <c16:uniqueId val="{00000000-67D7-49E0-8B8D-BE0FB72B68E9}"/>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results'!$AH$3:$AH$22</c:f>
              <c:numCache>
                <c:formatCode>0.00%</c:formatCode>
                <c:ptCount val="20"/>
              </c:numCache>
            </c:numRef>
          </c:val>
          <c:smooth val="0"/>
          <c:extLst>
            <c:ext xmlns:c16="http://schemas.microsoft.com/office/drawing/2014/chart" uri="{C3380CC4-5D6E-409C-BE32-E72D297353CC}">
              <c16:uniqueId val="{00000001-67D7-49E0-8B8D-BE0FB72B68E9}"/>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results'!$AW$3:$AW$22</c:f>
              <c:numCache>
                <c:formatCode>0.00%</c:formatCode>
                <c:ptCount val="20"/>
              </c:numCache>
            </c:numRef>
          </c:val>
          <c:smooth val="0"/>
          <c:extLst>
            <c:ext xmlns:c16="http://schemas.microsoft.com/office/drawing/2014/chart" uri="{C3380CC4-5D6E-409C-BE32-E72D297353CC}">
              <c16:uniqueId val="{00000002-67D7-49E0-8B8D-BE0FB72B68E9}"/>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results'!$BL$3:$BL$22</c:f>
              <c:numCache>
                <c:formatCode>0.00%</c:formatCode>
                <c:ptCount val="20"/>
              </c:numCache>
            </c:numRef>
          </c:val>
          <c:smooth val="0"/>
          <c:extLst>
            <c:ext xmlns:c16="http://schemas.microsoft.com/office/drawing/2014/chart" uri="{C3380CC4-5D6E-409C-BE32-E72D297353CC}">
              <c16:uniqueId val="{00000003-67D7-49E0-8B8D-BE0FB72B68E9}"/>
            </c:ext>
          </c:extLst>
        </c:ser>
        <c:dLbls>
          <c:showLegendKey val="0"/>
          <c:showVal val="0"/>
          <c:showCatName val="0"/>
          <c:showSerName val="0"/>
          <c:showPercent val="0"/>
          <c:showBubbleSize val="0"/>
        </c:dLbls>
        <c:smooth val="0"/>
        <c:axId val="463107144"/>
        <c:axId val="463103616"/>
      </c:lineChart>
      <c:catAx>
        <c:axId val="46310714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3616"/>
        <c:crosses val="autoZero"/>
        <c:auto val="1"/>
        <c:lblAlgn val="ctr"/>
        <c:lblOffset val="100"/>
        <c:tickLblSkip val="1"/>
        <c:tickMarkSkip val="1"/>
        <c:noMultiLvlLbl val="0"/>
      </c:catAx>
      <c:valAx>
        <c:axId val="46310361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7144"/>
        <c:crosses val="autoZero"/>
        <c:crossBetween val="between"/>
      </c:valAx>
      <c:spPr>
        <a:noFill/>
        <a:ln w="25400">
          <a:noFill/>
        </a:ln>
      </c:spPr>
    </c:plotArea>
    <c:legend>
      <c:legendPos val="tr"/>
      <c:overlay val="0"/>
      <c:spPr>
        <a:solidFill>
          <a:srgbClr val="FFFFFF">
            <a:alpha val="80000"/>
          </a:srgbClr>
        </a:solidFill>
        <a:ln w="3175" cap="rnd">
          <a:solidFill>
            <a:srgbClr val="000000">
              <a:alpha val="50000"/>
            </a:srgbClr>
          </a:solidFill>
          <a:prstDash val="sysDash"/>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Interest rates (dashed is real)</a:t>
            </a:r>
          </a:p>
        </c:rich>
      </c:tx>
      <c:layout>
        <c:manualLayout>
          <c:xMode val="edge"/>
          <c:yMode val="edge"/>
          <c:x val="0.32346723044397468"/>
          <c:y val="3.7037037037037056E-2"/>
        </c:manualLayout>
      </c:layout>
      <c:overlay val="0"/>
      <c:spPr>
        <a:noFill/>
        <a:ln w="25400">
          <a:noFill/>
        </a:ln>
      </c:spPr>
    </c:title>
    <c:autoTitleDeleted val="0"/>
    <c:plotArea>
      <c:layout>
        <c:manualLayout>
          <c:layoutTarget val="inner"/>
          <c:xMode val="edge"/>
          <c:yMode val="edge"/>
          <c:x val="9.7251585623678652E-2"/>
          <c:y val="0.20202086628283578"/>
          <c:w val="0.74207188160676563"/>
          <c:h val="0.6666688587333699"/>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results'!$T$3:$T$22</c:f>
              <c:numCache>
                <c:formatCode>0.00%</c:formatCode>
                <c:ptCount val="20"/>
              </c:numCache>
            </c:numRef>
          </c:val>
          <c:smooth val="0"/>
          <c:extLst>
            <c:ext xmlns:c16="http://schemas.microsoft.com/office/drawing/2014/chart" uri="{C3380CC4-5D6E-409C-BE32-E72D297353CC}">
              <c16:uniqueId val="{00000000-0C23-4B34-80F6-3074762A921A}"/>
            </c:ext>
          </c:extLst>
        </c:ser>
        <c:ser>
          <c:idx val="1"/>
          <c:order val="1"/>
          <c:tx>
            <c:strRef>
              <c:f>'compare results'!$Q$1:$X$1</c:f>
              <c:strCache>
                <c:ptCount val="1"/>
              </c:strCache>
            </c:strRef>
          </c:tx>
          <c:spPr>
            <a:ln w="25400">
              <a:solidFill>
                <a:srgbClr val="000080"/>
              </a:solidFill>
              <a:prstDash val="lgDash"/>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results'!$U$3:$U$22</c:f>
              <c:numCache>
                <c:formatCode>0.00%</c:formatCode>
                <c:ptCount val="20"/>
              </c:numCache>
            </c:numRef>
          </c:val>
          <c:smooth val="0"/>
          <c:extLst>
            <c:ext xmlns:c16="http://schemas.microsoft.com/office/drawing/2014/chart" uri="{C3380CC4-5D6E-409C-BE32-E72D297353CC}">
              <c16:uniqueId val="{00000001-0C23-4B34-80F6-3074762A921A}"/>
            </c:ext>
          </c:extLst>
        </c:ser>
        <c:ser>
          <c:idx val="2"/>
          <c:order val="2"/>
          <c:tx>
            <c:strRef>
              <c:f>'compare results'!$AF$1:$AM$1</c:f>
              <c:strCache>
                <c:ptCount val="1"/>
              </c:strCache>
            </c:strRef>
          </c:tx>
          <c:spPr>
            <a:ln w="25400">
              <a:solidFill>
                <a:srgbClr val="FF00FF"/>
              </a:solidFill>
              <a:prstDash val="solid"/>
            </a:ln>
          </c:spPr>
          <c:marker>
            <c:symbol val="none"/>
          </c:marker>
          <c:val>
            <c:numRef>
              <c:f>'compare results'!$AI$3:$AI$22</c:f>
              <c:numCache>
                <c:formatCode>0.00%</c:formatCode>
                <c:ptCount val="20"/>
              </c:numCache>
            </c:numRef>
          </c:val>
          <c:smooth val="0"/>
          <c:extLst>
            <c:ext xmlns:c16="http://schemas.microsoft.com/office/drawing/2014/chart" uri="{C3380CC4-5D6E-409C-BE32-E72D297353CC}">
              <c16:uniqueId val="{00000002-0C23-4B34-80F6-3074762A921A}"/>
            </c:ext>
          </c:extLst>
        </c:ser>
        <c:ser>
          <c:idx val="3"/>
          <c:order val="3"/>
          <c:tx>
            <c:strRef>
              <c:f>'compare results'!$AF$1:$AM$1</c:f>
              <c:strCache>
                <c:ptCount val="1"/>
              </c:strCache>
            </c:strRef>
          </c:tx>
          <c:spPr>
            <a:ln w="25400">
              <a:solidFill>
                <a:srgbClr val="FF00FF"/>
              </a:solidFill>
              <a:prstDash val="lgDash"/>
            </a:ln>
          </c:spPr>
          <c:marker>
            <c:symbol val="none"/>
          </c:marker>
          <c:val>
            <c:numRef>
              <c:f>'compare results'!$AJ$3:$AJ$22</c:f>
              <c:numCache>
                <c:formatCode>0.00%</c:formatCode>
                <c:ptCount val="20"/>
              </c:numCache>
            </c:numRef>
          </c:val>
          <c:smooth val="0"/>
          <c:extLst>
            <c:ext xmlns:c16="http://schemas.microsoft.com/office/drawing/2014/chart" uri="{C3380CC4-5D6E-409C-BE32-E72D297353CC}">
              <c16:uniqueId val="{00000003-0C23-4B34-80F6-3074762A921A}"/>
            </c:ext>
          </c:extLst>
        </c:ser>
        <c:ser>
          <c:idx val="4"/>
          <c:order val="4"/>
          <c:tx>
            <c:strRef>
              <c:f>'compare results'!$AU$1:$BB$1</c:f>
              <c:strCache>
                <c:ptCount val="1"/>
              </c:strCache>
            </c:strRef>
          </c:tx>
          <c:spPr>
            <a:ln w="25400">
              <a:solidFill>
                <a:srgbClr val="FFFF00"/>
              </a:solidFill>
              <a:prstDash val="solid"/>
            </a:ln>
          </c:spPr>
          <c:marker>
            <c:symbol val="none"/>
          </c:marker>
          <c:val>
            <c:numRef>
              <c:f>'compare results'!$AX$3:$AX$22</c:f>
              <c:numCache>
                <c:formatCode>0.00%</c:formatCode>
                <c:ptCount val="20"/>
              </c:numCache>
            </c:numRef>
          </c:val>
          <c:smooth val="0"/>
          <c:extLst>
            <c:ext xmlns:c16="http://schemas.microsoft.com/office/drawing/2014/chart" uri="{C3380CC4-5D6E-409C-BE32-E72D297353CC}">
              <c16:uniqueId val="{00000004-0C23-4B34-80F6-3074762A921A}"/>
            </c:ext>
          </c:extLst>
        </c:ser>
        <c:ser>
          <c:idx val="5"/>
          <c:order val="5"/>
          <c:tx>
            <c:strRef>
              <c:f>'compare results'!$AU$1:$BB$1</c:f>
              <c:strCache>
                <c:ptCount val="1"/>
              </c:strCache>
            </c:strRef>
          </c:tx>
          <c:spPr>
            <a:ln w="25400">
              <a:solidFill>
                <a:srgbClr val="FFFF00"/>
              </a:solidFill>
              <a:prstDash val="lgDash"/>
            </a:ln>
          </c:spPr>
          <c:marker>
            <c:symbol val="none"/>
          </c:marker>
          <c:val>
            <c:numRef>
              <c:f>'compare results'!$AY$3:$AY$22</c:f>
              <c:numCache>
                <c:formatCode>0.00%</c:formatCode>
                <c:ptCount val="20"/>
              </c:numCache>
            </c:numRef>
          </c:val>
          <c:smooth val="0"/>
          <c:extLst>
            <c:ext xmlns:c16="http://schemas.microsoft.com/office/drawing/2014/chart" uri="{C3380CC4-5D6E-409C-BE32-E72D297353CC}">
              <c16:uniqueId val="{00000005-0C23-4B34-80F6-3074762A921A}"/>
            </c:ext>
          </c:extLst>
        </c:ser>
        <c:ser>
          <c:idx val="6"/>
          <c:order val="6"/>
          <c:tx>
            <c:strRef>
              <c:f>'compare results'!$BJ$1:$BQ$1</c:f>
              <c:strCache>
                <c:ptCount val="1"/>
              </c:strCache>
            </c:strRef>
          </c:tx>
          <c:spPr>
            <a:ln w="25400">
              <a:solidFill>
                <a:srgbClr val="008000"/>
              </a:solidFill>
              <a:prstDash val="solid"/>
            </a:ln>
          </c:spPr>
          <c:marker>
            <c:symbol val="none"/>
          </c:marker>
          <c:val>
            <c:numRef>
              <c:f>'compare results'!$BM$3:$BM$22</c:f>
              <c:numCache>
                <c:formatCode>0.00%</c:formatCode>
                <c:ptCount val="20"/>
              </c:numCache>
            </c:numRef>
          </c:val>
          <c:smooth val="0"/>
          <c:extLst>
            <c:ext xmlns:c16="http://schemas.microsoft.com/office/drawing/2014/chart" uri="{C3380CC4-5D6E-409C-BE32-E72D297353CC}">
              <c16:uniqueId val="{00000006-0C23-4B34-80F6-3074762A921A}"/>
            </c:ext>
          </c:extLst>
        </c:ser>
        <c:ser>
          <c:idx val="7"/>
          <c:order val="7"/>
          <c:tx>
            <c:strRef>
              <c:f>'compare results'!$BJ$1:$BQ$1</c:f>
              <c:strCache>
                <c:ptCount val="1"/>
              </c:strCache>
            </c:strRef>
          </c:tx>
          <c:spPr>
            <a:ln w="25400">
              <a:solidFill>
                <a:srgbClr val="008000"/>
              </a:solidFill>
              <a:prstDash val="lgDash"/>
            </a:ln>
          </c:spPr>
          <c:marker>
            <c:symbol val="none"/>
          </c:marker>
          <c:val>
            <c:numRef>
              <c:f>'compare results'!$BN$3:$BN$22</c:f>
              <c:numCache>
                <c:formatCode>0.00%</c:formatCode>
                <c:ptCount val="20"/>
              </c:numCache>
            </c:numRef>
          </c:val>
          <c:smooth val="0"/>
          <c:extLst>
            <c:ext xmlns:c16="http://schemas.microsoft.com/office/drawing/2014/chart" uri="{C3380CC4-5D6E-409C-BE32-E72D297353CC}">
              <c16:uniqueId val="{00000007-0C23-4B34-80F6-3074762A921A}"/>
            </c:ext>
          </c:extLst>
        </c:ser>
        <c:dLbls>
          <c:showLegendKey val="0"/>
          <c:showVal val="0"/>
          <c:showCatName val="0"/>
          <c:showSerName val="0"/>
          <c:showPercent val="0"/>
          <c:showBubbleSize val="0"/>
        </c:dLbls>
        <c:smooth val="0"/>
        <c:axId val="463108320"/>
        <c:axId val="463104008"/>
      </c:lineChart>
      <c:catAx>
        <c:axId val="4631083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4008"/>
        <c:crosses val="autoZero"/>
        <c:auto val="1"/>
        <c:lblAlgn val="ctr"/>
        <c:lblOffset val="100"/>
        <c:tickLblSkip val="1"/>
        <c:tickMarkSkip val="1"/>
        <c:noMultiLvlLbl val="0"/>
      </c:catAx>
      <c:valAx>
        <c:axId val="46310400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8320"/>
        <c:crosses val="autoZero"/>
        <c:crossBetween val="between"/>
      </c:valAx>
      <c:spPr>
        <a:noFill/>
        <a:ln w="25400">
          <a:noFill/>
        </a:ln>
      </c:spPr>
    </c:plotArea>
    <c:legend>
      <c:legendPos val="tr"/>
      <c:overlay val="0"/>
      <c:spPr>
        <a:solidFill>
          <a:srgbClr val="FFFFFF">
            <a:alpha val="80000"/>
          </a:srgbClr>
        </a:solidFill>
        <a:ln w="3175" cap="rnd">
          <a:solidFill>
            <a:srgbClr val="000000">
              <a:alpha val="50000"/>
            </a:srgbClr>
          </a:solidFill>
          <a:prstDash val="sysDash"/>
          <a:bevel/>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Real exchange rate</a:t>
            </a:r>
          </a:p>
        </c:rich>
      </c:tx>
      <c:layout>
        <c:manualLayout>
          <c:xMode val="edge"/>
          <c:yMode val="edge"/>
          <c:x val="0.38494713967206312"/>
          <c:y val="3.6900369003690051E-2"/>
        </c:manualLayout>
      </c:layout>
      <c:overlay val="0"/>
      <c:spPr>
        <a:noFill/>
        <a:ln w="25400">
          <a:noFill/>
        </a:ln>
      </c:spPr>
    </c:title>
    <c:autoTitleDeleted val="0"/>
    <c:plotArea>
      <c:layout>
        <c:manualLayout>
          <c:layoutTarget val="inner"/>
          <c:xMode val="edge"/>
          <c:yMode val="edge"/>
          <c:x val="9.8924938938467821E-2"/>
          <c:y val="0.20664243874401594"/>
          <c:w val="0.67742077751341712"/>
          <c:h val="0.62730740333004864"/>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results'!$AA$3:$AA$22</c:f>
              <c:numCache>
                <c:formatCode>0.00</c:formatCode>
                <c:ptCount val="20"/>
              </c:numCache>
            </c:numRef>
          </c:val>
          <c:smooth val="0"/>
          <c:extLst>
            <c:ext xmlns:c16="http://schemas.microsoft.com/office/drawing/2014/chart" uri="{C3380CC4-5D6E-409C-BE32-E72D297353CC}">
              <c16:uniqueId val="{00000000-410A-4708-8A94-7D03F783F4E4}"/>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results'!$AP$3:$AP$22</c:f>
              <c:numCache>
                <c:formatCode>0.00</c:formatCode>
                <c:ptCount val="20"/>
              </c:numCache>
            </c:numRef>
          </c:val>
          <c:smooth val="0"/>
          <c:extLst>
            <c:ext xmlns:c16="http://schemas.microsoft.com/office/drawing/2014/chart" uri="{C3380CC4-5D6E-409C-BE32-E72D297353CC}">
              <c16:uniqueId val="{00000001-410A-4708-8A94-7D03F783F4E4}"/>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results'!$BE$3:$BE$22</c:f>
              <c:numCache>
                <c:formatCode>0.00</c:formatCode>
                <c:ptCount val="20"/>
              </c:numCache>
            </c:numRef>
          </c:val>
          <c:smooth val="0"/>
          <c:extLst>
            <c:ext xmlns:c16="http://schemas.microsoft.com/office/drawing/2014/chart" uri="{C3380CC4-5D6E-409C-BE32-E72D297353CC}">
              <c16:uniqueId val="{00000002-410A-4708-8A94-7D03F783F4E4}"/>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results'!$BT$3:$BT$22</c:f>
              <c:numCache>
                <c:formatCode>0.00</c:formatCode>
                <c:ptCount val="20"/>
              </c:numCache>
            </c:numRef>
          </c:val>
          <c:smooth val="0"/>
          <c:extLst>
            <c:ext xmlns:c16="http://schemas.microsoft.com/office/drawing/2014/chart" uri="{C3380CC4-5D6E-409C-BE32-E72D297353CC}">
              <c16:uniqueId val="{00000003-410A-4708-8A94-7D03F783F4E4}"/>
            </c:ext>
          </c:extLst>
        </c:ser>
        <c:dLbls>
          <c:showLegendKey val="0"/>
          <c:showVal val="0"/>
          <c:showCatName val="0"/>
          <c:showSerName val="0"/>
          <c:showPercent val="0"/>
          <c:showBubbleSize val="0"/>
        </c:dLbls>
        <c:smooth val="0"/>
        <c:axId val="463107536"/>
        <c:axId val="463105968"/>
      </c:lineChart>
      <c:catAx>
        <c:axId val="463107536"/>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5968"/>
        <c:crosses val="autoZero"/>
        <c:auto val="1"/>
        <c:lblAlgn val="ctr"/>
        <c:lblOffset val="100"/>
        <c:tickLblSkip val="2"/>
        <c:tickMarkSkip val="1"/>
        <c:noMultiLvlLbl val="0"/>
      </c:catAx>
      <c:valAx>
        <c:axId val="46310596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7536"/>
        <c:crosses val="autoZero"/>
        <c:crossBetween val="between"/>
      </c:valAx>
      <c:spPr>
        <a:noFill/>
        <a:ln w="25400">
          <a:noFill/>
        </a:ln>
      </c:spPr>
    </c:plotArea>
    <c:legend>
      <c:legendPos val="tr"/>
      <c:overlay val="0"/>
      <c:spPr>
        <a:solidFill>
          <a:srgbClr val="FFFFFF">
            <a:alpha val="80000"/>
          </a:srgbClr>
        </a:solidFill>
        <a:ln w="3175">
          <a:solidFill>
            <a:srgbClr val="000000">
              <a:alpha val="80000"/>
            </a:srgbClr>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Nominal exchange rate</a:t>
            </a:r>
          </a:p>
        </c:rich>
      </c:tx>
      <c:layout>
        <c:manualLayout>
          <c:xMode val="edge"/>
          <c:yMode val="edge"/>
          <c:x val="0.35794253906181728"/>
          <c:y val="3.6764705882352942E-2"/>
        </c:manualLayout>
      </c:layout>
      <c:overlay val="0"/>
      <c:spPr>
        <a:noFill/>
        <a:ln w="25400">
          <a:noFill/>
        </a:ln>
      </c:spPr>
    </c:title>
    <c:autoTitleDeleted val="0"/>
    <c:plotArea>
      <c:layout>
        <c:manualLayout>
          <c:layoutTarget val="inner"/>
          <c:xMode val="edge"/>
          <c:yMode val="edge"/>
          <c:x val="8.0537088701343865E-2"/>
          <c:y val="0.20955882352941191"/>
          <c:w val="0.70917380884238868"/>
          <c:h val="0.62500000000001055"/>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results'!$AB$3:$AB$22</c:f>
              <c:numCache>
                <c:formatCode>0.00</c:formatCode>
                <c:ptCount val="20"/>
              </c:numCache>
            </c:numRef>
          </c:val>
          <c:smooth val="0"/>
          <c:extLst>
            <c:ext xmlns:c16="http://schemas.microsoft.com/office/drawing/2014/chart" uri="{C3380CC4-5D6E-409C-BE32-E72D297353CC}">
              <c16:uniqueId val="{00000000-D8F9-408A-B249-B73E5C5F0CA9}"/>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results'!$AQ$3:$AQ$22</c:f>
              <c:numCache>
                <c:formatCode>0.00</c:formatCode>
                <c:ptCount val="20"/>
              </c:numCache>
            </c:numRef>
          </c:val>
          <c:smooth val="0"/>
          <c:extLst>
            <c:ext xmlns:c16="http://schemas.microsoft.com/office/drawing/2014/chart" uri="{C3380CC4-5D6E-409C-BE32-E72D297353CC}">
              <c16:uniqueId val="{00000001-D8F9-408A-B249-B73E5C5F0CA9}"/>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results'!$BF$3:$BF$22</c:f>
              <c:numCache>
                <c:formatCode>0.00</c:formatCode>
                <c:ptCount val="20"/>
              </c:numCache>
            </c:numRef>
          </c:val>
          <c:smooth val="0"/>
          <c:extLst>
            <c:ext xmlns:c16="http://schemas.microsoft.com/office/drawing/2014/chart" uri="{C3380CC4-5D6E-409C-BE32-E72D297353CC}">
              <c16:uniqueId val="{00000002-D8F9-408A-B249-B73E5C5F0CA9}"/>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results'!$BU$3:$BU$22</c:f>
              <c:numCache>
                <c:formatCode>0.00</c:formatCode>
                <c:ptCount val="20"/>
              </c:numCache>
            </c:numRef>
          </c:val>
          <c:smooth val="0"/>
          <c:extLst>
            <c:ext xmlns:c16="http://schemas.microsoft.com/office/drawing/2014/chart" uri="{C3380CC4-5D6E-409C-BE32-E72D297353CC}">
              <c16:uniqueId val="{00000003-D8F9-408A-B249-B73E5C5F0CA9}"/>
            </c:ext>
          </c:extLst>
        </c:ser>
        <c:dLbls>
          <c:showLegendKey val="0"/>
          <c:showVal val="0"/>
          <c:showCatName val="0"/>
          <c:showSerName val="0"/>
          <c:showPercent val="0"/>
          <c:showBubbleSize val="0"/>
        </c:dLbls>
        <c:smooth val="0"/>
        <c:axId val="463106360"/>
        <c:axId val="463104792"/>
      </c:lineChart>
      <c:catAx>
        <c:axId val="46310636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4792"/>
        <c:crosses val="autoZero"/>
        <c:auto val="1"/>
        <c:lblAlgn val="ctr"/>
        <c:lblOffset val="100"/>
        <c:tickLblSkip val="2"/>
        <c:tickMarkSkip val="1"/>
        <c:noMultiLvlLbl val="0"/>
      </c:catAx>
      <c:valAx>
        <c:axId val="46310479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6360"/>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Trade balance/GDP</a:t>
            </a:r>
          </a:p>
        </c:rich>
      </c:tx>
      <c:layout>
        <c:manualLayout>
          <c:xMode val="edge"/>
          <c:yMode val="edge"/>
          <c:x val="0.38274336283186361"/>
          <c:y val="3.7878787878788012E-2"/>
        </c:manualLayout>
      </c:layout>
      <c:overlay val="0"/>
      <c:spPr>
        <a:noFill/>
        <a:ln w="25400">
          <a:noFill/>
        </a:ln>
      </c:spPr>
    </c:title>
    <c:autoTitleDeleted val="0"/>
    <c:plotArea>
      <c:layout>
        <c:manualLayout>
          <c:layoutTarget val="inner"/>
          <c:xMode val="edge"/>
          <c:yMode val="edge"/>
          <c:x val="0.11061946902654785"/>
          <c:y val="0.21212199678177079"/>
          <c:w val="0.6991150442477877"/>
          <c:h val="0.69697227514010462"/>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results'!$AC$3:$AC$22</c:f>
              <c:numCache>
                <c:formatCode>0.00%</c:formatCode>
                <c:ptCount val="20"/>
              </c:numCache>
            </c:numRef>
          </c:val>
          <c:smooth val="0"/>
          <c:extLst>
            <c:ext xmlns:c16="http://schemas.microsoft.com/office/drawing/2014/chart" uri="{C3380CC4-5D6E-409C-BE32-E72D297353CC}">
              <c16:uniqueId val="{00000000-8E3D-4F67-AA04-64BB793B18F7}"/>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results'!$AR$3:$AR$22</c:f>
              <c:numCache>
                <c:formatCode>0.00%</c:formatCode>
                <c:ptCount val="20"/>
              </c:numCache>
            </c:numRef>
          </c:val>
          <c:smooth val="0"/>
          <c:extLst>
            <c:ext xmlns:c16="http://schemas.microsoft.com/office/drawing/2014/chart" uri="{C3380CC4-5D6E-409C-BE32-E72D297353CC}">
              <c16:uniqueId val="{00000001-8E3D-4F67-AA04-64BB793B18F7}"/>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results'!$BG$3:$BG$22</c:f>
              <c:numCache>
                <c:formatCode>0.00%</c:formatCode>
                <c:ptCount val="20"/>
              </c:numCache>
            </c:numRef>
          </c:val>
          <c:smooth val="0"/>
          <c:extLst>
            <c:ext xmlns:c16="http://schemas.microsoft.com/office/drawing/2014/chart" uri="{C3380CC4-5D6E-409C-BE32-E72D297353CC}">
              <c16:uniqueId val="{00000002-8E3D-4F67-AA04-64BB793B18F7}"/>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results'!$BV$3:$BV$22</c:f>
              <c:numCache>
                <c:formatCode>0.00%</c:formatCode>
                <c:ptCount val="20"/>
              </c:numCache>
            </c:numRef>
          </c:val>
          <c:smooth val="0"/>
          <c:extLst>
            <c:ext xmlns:c16="http://schemas.microsoft.com/office/drawing/2014/chart" uri="{C3380CC4-5D6E-409C-BE32-E72D297353CC}">
              <c16:uniqueId val="{00000003-8E3D-4F67-AA04-64BB793B18F7}"/>
            </c:ext>
          </c:extLst>
        </c:ser>
        <c:dLbls>
          <c:showLegendKey val="0"/>
          <c:showVal val="0"/>
          <c:showCatName val="0"/>
          <c:showSerName val="0"/>
          <c:showPercent val="0"/>
          <c:showBubbleSize val="0"/>
        </c:dLbls>
        <c:smooth val="0"/>
        <c:axId val="463105184"/>
        <c:axId val="463102440"/>
      </c:lineChart>
      <c:catAx>
        <c:axId val="463105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2440"/>
        <c:crosses val="autoZero"/>
        <c:auto val="1"/>
        <c:lblAlgn val="ctr"/>
        <c:lblOffset val="100"/>
        <c:tickLblSkip val="2"/>
        <c:tickMarkSkip val="1"/>
        <c:noMultiLvlLbl val="0"/>
      </c:catAx>
      <c:valAx>
        <c:axId val="46310244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5184"/>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Current account/GDP</a:t>
            </a:r>
          </a:p>
        </c:rich>
      </c:tx>
      <c:layout>
        <c:manualLayout>
          <c:xMode val="edge"/>
          <c:yMode val="edge"/>
          <c:x val="0.37117903930131002"/>
          <c:y val="3.7735849056604771E-2"/>
        </c:manualLayout>
      </c:layout>
      <c:overlay val="0"/>
      <c:spPr>
        <a:noFill/>
        <a:ln w="25400">
          <a:noFill/>
        </a:ln>
      </c:spPr>
    </c:title>
    <c:autoTitleDeleted val="0"/>
    <c:plotArea>
      <c:layout>
        <c:manualLayout>
          <c:layoutTarget val="inner"/>
          <c:xMode val="edge"/>
          <c:yMode val="edge"/>
          <c:x val="0.10917030567685602"/>
          <c:y val="0.21132114409114144"/>
          <c:w val="0.68558951965065507"/>
          <c:h val="0.69811449387251967"/>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results'!$AD$3:$AD$22</c:f>
              <c:numCache>
                <c:formatCode>0.00%</c:formatCode>
                <c:ptCount val="20"/>
              </c:numCache>
            </c:numRef>
          </c:val>
          <c:smooth val="0"/>
          <c:extLst>
            <c:ext xmlns:c16="http://schemas.microsoft.com/office/drawing/2014/chart" uri="{C3380CC4-5D6E-409C-BE32-E72D297353CC}">
              <c16:uniqueId val="{00000000-78BE-4640-8415-6122AD71ED1F}"/>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results'!$AS$3:$AS$22</c:f>
              <c:numCache>
                <c:formatCode>0.00%</c:formatCode>
                <c:ptCount val="20"/>
              </c:numCache>
            </c:numRef>
          </c:val>
          <c:smooth val="0"/>
          <c:extLst>
            <c:ext xmlns:c16="http://schemas.microsoft.com/office/drawing/2014/chart" uri="{C3380CC4-5D6E-409C-BE32-E72D297353CC}">
              <c16:uniqueId val="{00000001-78BE-4640-8415-6122AD71ED1F}"/>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results'!$BH$3:$BH$22</c:f>
              <c:numCache>
                <c:formatCode>0.00%</c:formatCode>
                <c:ptCount val="20"/>
              </c:numCache>
            </c:numRef>
          </c:val>
          <c:smooth val="0"/>
          <c:extLst>
            <c:ext xmlns:c16="http://schemas.microsoft.com/office/drawing/2014/chart" uri="{C3380CC4-5D6E-409C-BE32-E72D297353CC}">
              <c16:uniqueId val="{00000002-78BE-4640-8415-6122AD71ED1F}"/>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results'!$BW$3:$BW$22</c:f>
              <c:numCache>
                <c:formatCode>0.00%</c:formatCode>
                <c:ptCount val="20"/>
              </c:numCache>
            </c:numRef>
          </c:val>
          <c:smooth val="0"/>
          <c:extLst>
            <c:ext xmlns:c16="http://schemas.microsoft.com/office/drawing/2014/chart" uri="{C3380CC4-5D6E-409C-BE32-E72D297353CC}">
              <c16:uniqueId val="{00000003-78BE-4640-8415-6122AD71ED1F}"/>
            </c:ext>
          </c:extLst>
        </c:ser>
        <c:dLbls>
          <c:showLegendKey val="0"/>
          <c:showVal val="0"/>
          <c:showCatName val="0"/>
          <c:showSerName val="0"/>
          <c:showPercent val="0"/>
          <c:showBubbleSize val="0"/>
        </c:dLbls>
        <c:smooth val="0"/>
        <c:axId val="463102832"/>
        <c:axId val="463105576"/>
      </c:lineChart>
      <c:catAx>
        <c:axId val="463102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5576"/>
        <c:crosses val="autoZero"/>
        <c:auto val="1"/>
        <c:lblAlgn val="ctr"/>
        <c:lblOffset val="100"/>
        <c:tickLblSkip val="2"/>
        <c:tickMarkSkip val="1"/>
        <c:noMultiLvlLbl val="0"/>
      </c:catAx>
      <c:valAx>
        <c:axId val="46310557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2832"/>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NIIP/GDP</a:t>
            </a:r>
          </a:p>
        </c:rich>
      </c:tx>
      <c:layout>
        <c:manualLayout>
          <c:xMode val="edge"/>
          <c:yMode val="edge"/>
          <c:x val="0.45052675783948937"/>
          <c:y val="3.7453183520600161E-2"/>
        </c:manualLayout>
      </c:layout>
      <c:overlay val="0"/>
      <c:spPr>
        <a:noFill/>
        <a:ln w="25400">
          <a:noFill/>
        </a:ln>
      </c:spPr>
    </c:title>
    <c:autoTitleDeleted val="0"/>
    <c:plotArea>
      <c:layout>
        <c:manualLayout>
          <c:layoutTarget val="inner"/>
          <c:xMode val="edge"/>
          <c:yMode val="edge"/>
          <c:x val="0.11789485803336558"/>
          <c:y val="0.21348392689287768"/>
          <c:w val="0.67789543369188798"/>
          <c:h val="0.7003770934906568"/>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results'!$AE$3:$AE$22</c:f>
              <c:numCache>
                <c:formatCode>0.00%</c:formatCode>
                <c:ptCount val="20"/>
              </c:numCache>
            </c:numRef>
          </c:val>
          <c:smooth val="0"/>
          <c:extLst>
            <c:ext xmlns:c16="http://schemas.microsoft.com/office/drawing/2014/chart" uri="{C3380CC4-5D6E-409C-BE32-E72D297353CC}">
              <c16:uniqueId val="{00000000-C12E-47B4-9D1D-73D386F30C61}"/>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results'!$AT$3:$AT$22</c:f>
              <c:numCache>
                <c:formatCode>0.00%</c:formatCode>
                <c:ptCount val="20"/>
              </c:numCache>
            </c:numRef>
          </c:val>
          <c:smooth val="0"/>
          <c:extLst>
            <c:ext xmlns:c16="http://schemas.microsoft.com/office/drawing/2014/chart" uri="{C3380CC4-5D6E-409C-BE32-E72D297353CC}">
              <c16:uniqueId val="{00000001-C12E-47B4-9D1D-73D386F30C61}"/>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results'!$BI$3:$BI$22</c:f>
              <c:numCache>
                <c:formatCode>0.00%</c:formatCode>
                <c:ptCount val="20"/>
              </c:numCache>
            </c:numRef>
          </c:val>
          <c:smooth val="0"/>
          <c:extLst>
            <c:ext xmlns:c16="http://schemas.microsoft.com/office/drawing/2014/chart" uri="{C3380CC4-5D6E-409C-BE32-E72D297353CC}">
              <c16:uniqueId val="{00000002-C12E-47B4-9D1D-73D386F30C61}"/>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results'!$BX$3:$BX$22</c:f>
              <c:numCache>
                <c:formatCode>0.00%</c:formatCode>
                <c:ptCount val="20"/>
              </c:numCache>
            </c:numRef>
          </c:val>
          <c:smooth val="0"/>
          <c:extLst>
            <c:ext xmlns:c16="http://schemas.microsoft.com/office/drawing/2014/chart" uri="{C3380CC4-5D6E-409C-BE32-E72D297353CC}">
              <c16:uniqueId val="{00000003-C12E-47B4-9D1D-73D386F30C61}"/>
            </c:ext>
          </c:extLst>
        </c:ser>
        <c:dLbls>
          <c:showLegendKey val="0"/>
          <c:showVal val="0"/>
          <c:showCatName val="0"/>
          <c:showSerName val="0"/>
          <c:showPercent val="0"/>
          <c:showBubbleSize val="0"/>
        </c:dLbls>
        <c:smooth val="0"/>
        <c:axId val="463109104"/>
        <c:axId val="463102048"/>
      </c:lineChart>
      <c:catAx>
        <c:axId val="4631091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2048"/>
        <c:crosses val="autoZero"/>
        <c:auto val="1"/>
        <c:lblAlgn val="ctr"/>
        <c:lblOffset val="100"/>
        <c:tickLblSkip val="1"/>
        <c:tickMarkSkip val="1"/>
        <c:noMultiLvlLbl val="0"/>
      </c:catAx>
      <c:valAx>
        <c:axId val="46310204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9104"/>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trlProps/ctrlProp1.xml><?xml version="1.0" encoding="utf-8"?>
<formControlPr xmlns="http://schemas.microsoft.com/office/spreadsheetml/2009/9/main" objectType="Drop" dropLines="2" dropStyle="combo" dx="16" fmlaLink="controls!$B$33" fmlaRange="controls!$B$11:$B$12" noThreeD="1" sel="2" val="0"/>
</file>

<file path=xl/ctrlProps/ctrlProp2.xml><?xml version="1.0" encoding="utf-8"?>
<formControlPr xmlns="http://schemas.microsoft.com/office/spreadsheetml/2009/9/main" objectType="Scroll" dx="16" fmlaLink="controls!$B$32" horiz="1" max="10" page="10" val="10"/>
</file>

<file path=xl/ctrlProps/ctrlProp3.xml><?xml version="1.0" encoding="utf-8"?>
<formControlPr xmlns="http://schemas.microsoft.com/office/spreadsheetml/2009/9/main" objectType="Drop" dropLines="2" dropStyle="combo" dx="16" fmlaLink="controls!$B$6" fmlaRange="controls!$B$13:$B$14" noThreeD="1" sel="2" val="0"/>
</file>

<file path=xl/ctrlProps/ctrlProp4.xml><?xml version="1.0" encoding="utf-8"?>
<formControlPr xmlns="http://schemas.microsoft.com/office/spreadsheetml/2009/9/main" objectType="Drop" dropLines="2" dropStyle="combo" dx="16" fmlaLink="controls!$B$7" fmlaRange="controls!$B$13:$B$14" noThreeD="1" sel="2" val="0"/>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Drop" dropLines="2" dropStyle="combo" dx="16" fmlaLink="controls!$B$4" fmlaRange="controls!$B$11:$B$12" noThreeD="1" sel="2" val="0"/>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CheckBox" fmlaLink="controls!$B$8" lockText="1"/>
</file>

<file path=xl/ctrlProps/ctrlProp17.xml><?xml version="1.0" encoding="utf-8"?>
<formControlPr xmlns="http://schemas.microsoft.com/office/spreadsheetml/2009/9/main" objectType="Drop" dropStyle="combo" dx="16" fmlaLink="$C$34" fmlaRange="controls!$B$70:$B$77" noThreeD="1" sel="1" val="0"/>
</file>

<file path=xl/ctrlProps/ctrlProp18.xml><?xml version="1.0" encoding="utf-8"?>
<formControlPr xmlns="http://schemas.microsoft.com/office/spreadsheetml/2009/9/main" objectType="Drop" dropStyle="combo" dx="16" fmlaLink="$B$34" fmlaRange="controls!$B$78:$B$79" noThreeD="1" sel="1" val="0"/>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Drop" dropStyle="combo" dx="16" fmlaLink="'inflation, income and interest'!$B$38" fmlaRange="controls!$B$66:$B$67" noThreeD="1" sel="2" val="0"/>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Drop" dropStyle="combo" dx="16" fmlaLink="$A$38" fmlaRange="controls!$B$68:$B$69" noThreeD="1" sel="2" val="0"/>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ctrlProps/ctrlProp46.xml><?xml version="1.0" encoding="utf-8"?>
<formControlPr xmlns="http://schemas.microsoft.com/office/spreadsheetml/2009/9/main" objectType="Button" lockText="1"/>
</file>

<file path=xl/ctrlProps/ctrlProp47.xml><?xml version="1.0" encoding="utf-8"?>
<formControlPr xmlns="http://schemas.microsoft.com/office/spreadsheetml/2009/9/main" objectType="Button" lockText="1"/>
</file>

<file path=xl/ctrlProps/ctrlProp48.xml><?xml version="1.0" encoding="utf-8"?>
<formControlPr xmlns="http://schemas.microsoft.com/office/spreadsheetml/2009/9/main" objectType="Button" lockText="1"/>
</file>

<file path=xl/ctrlProps/ctrlProp49.xml><?xml version="1.0" encoding="utf-8"?>
<formControlPr xmlns="http://schemas.microsoft.com/office/spreadsheetml/2009/9/main" objectType="Scroll" dx="16" fmlaLink="controls!$B$49" horiz="1" max="10" page="10" val="10"/>
</file>

<file path=xl/ctrlProps/ctrlProp50.xml><?xml version="1.0" encoding="utf-8"?>
<formControlPr xmlns="http://schemas.microsoft.com/office/spreadsheetml/2009/9/main" objectType="Button" lockText="1"/>
</file>

<file path=xl/ctrlProps/ctrlProp51.xml><?xml version="1.0" encoding="utf-8"?>
<formControlPr xmlns="http://schemas.microsoft.com/office/spreadsheetml/2009/9/main" objectType="Button" lockText="1"/>
</file>

<file path=xl/ctrlProps/ctrlProp52.xml><?xml version="1.0" encoding="utf-8"?>
<formControlPr xmlns="http://schemas.microsoft.com/office/spreadsheetml/2009/9/main" objectType="Button" lockText="1"/>
</file>

<file path=xl/ctrlProps/ctrlProp53.xml><?xml version="1.0" encoding="utf-8"?>
<formControlPr xmlns="http://schemas.microsoft.com/office/spreadsheetml/2009/9/main" objectType="Button" lockText="1"/>
</file>

<file path=xl/ctrlProps/ctrlProp54.xml><?xml version="1.0" encoding="utf-8"?>
<formControlPr xmlns="http://schemas.microsoft.com/office/spreadsheetml/2009/9/main" objectType="Button" lockText="1"/>
</file>

<file path=xl/ctrlProps/ctrlProp55.xml><?xml version="1.0" encoding="utf-8"?>
<formControlPr xmlns="http://schemas.microsoft.com/office/spreadsheetml/2009/9/main" objectType="Button" lockText="1"/>
</file>

<file path=xl/ctrlProps/ctrlProp56.xml><?xml version="1.0" encoding="utf-8"?>
<formControlPr xmlns="http://schemas.microsoft.com/office/spreadsheetml/2009/9/main" objectType="Button" lockText="1"/>
</file>

<file path=xl/ctrlProps/ctrlProp57.xml><?xml version="1.0" encoding="utf-8"?>
<formControlPr xmlns="http://schemas.microsoft.com/office/spreadsheetml/2009/9/main" objectType="Button" lockText="1"/>
</file>

<file path=xl/ctrlProps/ctrlProp58.xml><?xml version="1.0" encoding="utf-8"?>
<formControlPr xmlns="http://schemas.microsoft.com/office/spreadsheetml/2009/9/main" objectType="Button" lockText="1"/>
</file>

<file path=xl/ctrlProps/ctrlProp59.xml><?xml version="1.0" encoding="utf-8"?>
<formControlPr xmlns="http://schemas.microsoft.com/office/spreadsheetml/2009/9/main" objectType="Button" lockText="1"/>
</file>

<file path=xl/ctrlProps/ctrlProp60.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5.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31.xml"/><Relationship Id="rId3" Type="http://schemas.openxmlformats.org/officeDocument/2006/relationships/chart" Target="../charts/chart26.xml"/><Relationship Id="rId7" Type="http://schemas.openxmlformats.org/officeDocument/2006/relationships/chart" Target="../charts/chart30.xml"/><Relationship Id="rId12" Type="http://schemas.openxmlformats.org/officeDocument/2006/relationships/chart" Target="../charts/chart35.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11" Type="http://schemas.openxmlformats.org/officeDocument/2006/relationships/chart" Target="../charts/chart34.xml"/><Relationship Id="rId5" Type="http://schemas.openxmlformats.org/officeDocument/2006/relationships/chart" Target="../charts/chart28.xml"/><Relationship Id="rId10" Type="http://schemas.openxmlformats.org/officeDocument/2006/relationships/chart" Target="../charts/chart33.xml"/><Relationship Id="rId4" Type="http://schemas.openxmlformats.org/officeDocument/2006/relationships/chart" Target="../charts/chart27.xml"/><Relationship Id="rId9"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0</xdr:col>
      <xdr:colOff>420873</xdr:colOff>
      <xdr:row>32</xdr:row>
      <xdr:rowOff>276890</xdr:rowOff>
    </xdr:from>
    <xdr:to>
      <xdr:col>3</xdr:col>
      <xdr:colOff>22152</xdr:colOff>
      <xdr:row>37</xdr:row>
      <xdr:rowOff>155059</xdr:rowOff>
    </xdr:to>
    <xdr:sp macro="" textlink="">
      <xdr:nvSpPr>
        <xdr:cNvPr id="4" name="3 Rectangle">
          <a:extLst>
            <a:ext uri="{FF2B5EF4-FFF2-40B4-BE49-F238E27FC236}">
              <a16:creationId xmlns:a16="http://schemas.microsoft.com/office/drawing/2014/main" id="{00000000-0008-0000-0000-000004000000}"/>
            </a:ext>
          </a:extLst>
        </xdr:cNvPr>
        <xdr:cNvSpPr/>
      </xdr:nvSpPr>
      <xdr:spPr>
        <a:xfrm>
          <a:off x="420873" y="6733954"/>
          <a:ext cx="1417674" cy="1107558"/>
        </a:xfrm>
        <a:prstGeom prst="rect">
          <a:avLst/>
        </a:prstGeom>
        <a:solidFill>
          <a:srgbClr val="CC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editAs="oneCell">
        <xdr:from>
          <xdr:col>10</xdr:col>
          <xdr:colOff>0</xdr:colOff>
          <xdr:row>33</xdr:row>
          <xdr:rowOff>0</xdr:rowOff>
        </xdr:from>
        <xdr:to>
          <xdr:col>12</xdr:col>
          <xdr:colOff>0</xdr:colOff>
          <xdr:row>34</xdr:row>
          <xdr:rowOff>0</xdr:rowOff>
        </xdr:to>
        <xdr:sp macro="" textlink="">
          <xdr:nvSpPr>
            <xdr:cNvPr id="2083" name="Drop Down 35" hidden="1">
              <a:extLst>
                <a:ext uri="{63B3BB69-23CF-44E3-9099-C40C66FF867C}">
                  <a14:compatExt spid="_x0000_s2083"/>
                </a:ext>
                <a:ext uri="{FF2B5EF4-FFF2-40B4-BE49-F238E27FC236}">
                  <a16:creationId xmlns:a16="http://schemas.microsoft.com/office/drawing/2014/main" id="{00000000-0008-0000-0000-00002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12700</xdr:colOff>
          <xdr:row>29</xdr:row>
          <xdr:rowOff>0</xdr:rowOff>
        </xdr:from>
        <xdr:to>
          <xdr:col>10</xdr:col>
          <xdr:colOff>571500</xdr:colOff>
          <xdr:row>29</xdr:row>
          <xdr:rowOff>171450</xdr:rowOff>
        </xdr:to>
        <xdr:sp macro="" textlink="">
          <xdr:nvSpPr>
            <xdr:cNvPr id="2094" name="Scroll Bar 46" hidden="1">
              <a:extLst>
                <a:ext uri="{63B3BB69-23CF-44E3-9099-C40C66FF867C}">
                  <a14:compatExt spid="_x0000_s2094"/>
                </a:ext>
                <a:ext uri="{FF2B5EF4-FFF2-40B4-BE49-F238E27FC236}">
                  <a16:creationId xmlns:a16="http://schemas.microsoft.com/office/drawing/2014/main" id="{00000000-0008-0000-0000-00002E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12700</xdr:colOff>
          <xdr:row>8</xdr:row>
          <xdr:rowOff>12700</xdr:rowOff>
        </xdr:from>
        <xdr:to>
          <xdr:col>7</xdr:col>
          <xdr:colOff>304800</xdr:colOff>
          <xdr:row>9</xdr:row>
          <xdr:rowOff>0</xdr:rowOff>
        </xdr:to>
        <xdr:sp macro="" textlink="">
          <xdr:nvSpPr>
            <xdr:cNvPr id="2115" name="permanency_supply" hidden="1">
              <a:extLst>
                <a:ext uri="{63B3BB69-23CF-44E3-9099-C40C66FF867C}">
                  <a14:compatExt spid="_x0000_s2115"/>
                </a:ext>
                <a:ext uri="{FF2B5EF4-FFF2-40B4-BE49-F238E27FC236}">
                  <a16:creationId xmlns:a16="http://schemas.microsoft.com/office/drawing/2014/main" id="{00000000-0008-0000-0000-00004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12700</xdr:colOff>
          <xdr:row>8</xdr:row>
          <xdr:rowOff>12700</xdr:rowOff>
        </xdr:from>
        <xdr:to>
          <xdr:col>11</xdr:col>
          <xdr:colOff>304800</xdr:colOff>
          <xdr:row>9</xdr:row>
          <xdr:rowOff>0</xdr:rowOff>
        </xdr:to>
        <xdr:sp macro="" textlink="">
          <xdr:nvSpPr>
            <xdr:cNvPr id="2116" name="Drop Down 68" hidden="1">
              <a:extLst>
                <a:ext uri="{63B3BB69-23CF-44E3-9099-C40C66FF867C}">
                  <a14:compatExt spid="_x0000_s2116"/>
                </a:ext>
                <a:ext uri="{FF2B5EF4-FFF2-40B4-BE49-F238E27FC236}">
                  <a16:creationId xmlns:a16="http://schemas.microsoft.com/office/drawing/2014/main" id="{00000000-0008-0000-0000-000044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76200</xdr:colOff>
          <xdr:row>6</xdr:row>
          <xdr:rowOff>88900</xdr:rowOff>
        </xdr:from>
        <xdr:to>
          <xdr:col>2</xdr:col>
          <xdr:colOff>793750</xdr:colOff>
          <xdr:row>8</xdr:row>
          <xdr:rowOff>107950</xdr:rowOff>
        </xdr:to>
        <xdr:sp macro="" textlink="">
          <xdr:nvSpPr>
            <xdr:cNvPr id="2117" name="Button 69" hidden="1">
              <a:extLst>
                <a:ext uri="{63B3BB69-23CF-44E3-9099-C40C66FF867C}">
                  <a14:compatExt spid="_x0000_s2117"/>
                </a:ext>
                <a:ext uri="{FF2B5EF4-FFF2-40B4-BE49-F238E27FC236}">
                  <a16:creationId xmlns:a16="http://schemas.microsoft.com/office/drawing/2014/main" id="{00000000-0008-0000-0000-000045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Inflation, income and interest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69850</xdr:colOff>
          <xdr:row>8</xdr:row>
          <xdr:rowOff>228600</xdr:rowOff>
        </xdr:from>
        <xdr:to>
          <xdr:col>2</xdr:col>
          <xdr:colOff>781050</xdr:colOff>
          <xdr:row>9</xdr:row>
          <xdr:rowOff>323850</xdr:rowOff>
        </xdr:to>
        <xdr:sp macro="" textlink="">
          <xdr:nvSpPr>
            <xdr:cNvPr id="2118" name="Button 70" hidden="1">
              <a:extLst>
                <a:ext uri="{63B3BB69-23CF-44E3-9099-C40C66FF867C}">
                  <a14:compatExt spid="_x0000_s2118"/>
                </a:ext>
                <a:ext uri="{FF2B5EF4-FFF2-40B4-BE49-F238E27FC236}">
                  <a16:creationId xmlns:a16="http://schemas.microsoft.com/office/drawing/2014/main" id="{00000000-0008-0000-0000-000046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76200</xdr:colOff>
          <xdr:row>3</xdr:row>
          <xdr:rowOff>76200</xdr:rowOff>
        </xdr:from>
        <xdr:to>
          <xdr:col>2</xdr:col>
          <xdr:colOff>793750</xdr:colOff>
          <xdr:row>5</xdr:row>
          <xdr:rowOff>12700</xdr:rowOff>
        </xdr:to>
        <xdr:sp macro="" textlink="">
          <xdr:nvSpPr>
            <xdr:cNvPr id="2120" name="Button 72" hidden="1">
              <a:extLst>
                <a:ext uri="{63B3BB69-23CF-44E3-9099-C40C66FF867C}">
                  <a14:compatExt spid="_x0000_s2120"/>
                </a:ext>
                <a:ext uri="{FF2B5EF4-FFF2-40B4-BE49-F238E27FC236}">
                  <a16:creationId xmlns:a16="http://schemas.microsoft.com/office/drawing/2014/main" id="{00000000-0008-0000-0000-000048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57150</xdr:colOff>
          <xdr:row>27</xdr:row>
          <xdr:rowOff>171450</xdr:rowOff>
        </xdr:from>
        <xdr:to>
          <xdr:col>2</xdr:col>
          <xdr:colOff>781050</xdr:colOff>
          <xdr:row>28</xdr:row>
          <xdr:rowOff>190500</xdr:rowOff>
        </xdr:to>
        <xdr:sp macro="" textlink="">
          <xdr:nvSpPr>
            <xdr:cNvPr id="2137" name="Button 89" hidden="1">
              <a:extLst>
                <a:ext uri="{63B3BB69-23CF-44E3-9099-C40C66FF867C}">
                  <a14:compatExt spid="_x0000_s2137"/>
                </a:ext>
                <a:ext uri="{FF2B5EF4-FFF2-40B4-BE49-F238E27FC236}">
                  <a16:creationId xmlns:a16="http://schemas.microsoft.com/office/drawing/2014/main" id="{00000000-0008-0000-0000-000059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Reset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50800</xdr:colOff>
          <xdr:row>21</xdr:row>
          <xdr:rowOff>31750</xdr:rowOff>
        </xdr:from>
        <xdr:to>
          <xdr:col>2</xdr:col>
          <xdr:colOff>774700</xdr:colOff>
          <xdr:row>22</xdr:row>
          <xdr:rowOff>69850</xdr:rowOff>
        </xdr:to>
        <xdr:sp macro="" textlink="">
          <xdr:nvSpPr>
            <xdr:cNvPr id="2138" name="Button 90" hidden="1">
              <a:extLst>
                <a:ext uri="{63B3BB69-23CF-44E3-9099-C40C66FF867C}">
                  <a14:compatExt spid="_x0000_s2138"/>
                </a:ext>
                <a:ext uri="{FF2B5EF4-FFF2-40B4-BE49-F238E27FC236}">
                  <a16:creationId xmlns:a16="http://schemas.microsoft.com/office/drawing/2014/main" id="{00000000-0008-0000-0000-00005A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Save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50800</xdr:colOff>
          <xdr:row>22</xdr:row>
          <xdr:rowOff>133350</xdr:rowOff>
        </xdr:from>
        <xdr:to>
          <xdr:col>2</xdr:col>
          <xdr:colOff>774700</xdr:colOff>
          <xdr:row>22</xdr:row>
          <xdr:rowOff>323850</xdr:rowOff>
        </xdr:to>
        <xdr:sp macro="" textlink="">
          <xdr:nvSpPr>
            <xdr:cNvPr id="2140" name="Button 92" hidden="1">
              <a:extLst>
                <a:ext uri="{63B3BB69-23CF-44E3-9099-C40C66FF867C}">
                  <a14:compatExt spid="_x0000_s2140"/>
                </a:ext>
                <a:ext uri="{FF2B5EF4-FFF2-40B4-BE49-F238E27FC236}">
                  <a16:creationId xmlns:a16="http://schemas.microsoft.com/office/drawing/2014/main" id="{00000000-0008-0000-0000-00005C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Go to saved data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69850</xdr:colOff>
          <xdr:row>15</xdr:row>
          <xdr:rowOff>0</xdr:rowOff>
        </xdr:from>
        <xdr:to>
          <xdr:col>9</xdr:col>
          <xdr:colOff>6350</xdr:colOff>
          <xdr:row>17</xdr:row>
          <xdr:rowOff>6350</xdr:rowOff>
        </xdr:to>
        <xdr:sp macro="" textlink="">
          <xdr:nvSpPr>
            <xdr:cNvPr id="2163" name="Drop Down 115" hidden="1">
              <a:extLst>
                <a:ext uri="{63B3BB69-23CF-44E3-9099-C40C66FF867C}">
                  <a14:compatExt spid="_x0000_s2163"/>
                </a:ext>
                <a:ext uri="{FF2B5EF4-FFF2-40B4-BE49-F238E27FC236}">
                  <a16:creationId xmlns:a16="http://schemas.microsoft.com/office/drawing/2014/main" id="{00000000-0008-0000-0000-00007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69850</xdr:colOff>
          <xdr:row>10</xdr:row>
          <xdr:rowOff>69850</xdr:rowOff>
        </xdr:from>
        <xdr:to>
          <xdr:col>2</xdr:col>
          <xdr:colOff>793750</xdr:colOff>
          <xdr:row>12</xdr:row>
          <xdr:rowOff>107950</xdr:rowOff>
        </xdr:to>
        <xdr:sp macro="" textlink="">
          <xdr:nvSpPr>
            <xdr:cNvPr id="62754" name="Button 1314" hidden="1">
              <a:extLst>
                <a:ext uri="{63B3BB69-23CF-44E3-9099-C40C66FF867C}">
                  <a14:compatExt spid="_x0000_s62754"/>
                </a:ext>
                <a:ext uri="{FF2B5EF4-FFF2-40B4-BE49-F238E27FC236}">
                  <a16:creationId xmlns:a16="http://schemas.microsoft.com/office/drawing/2014/main" id="{00000000-0008-0000-0000-000022F5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1</xdr:col>
      <xdr:colOff>49561</xdr:colOff>
      <xdr:row>10</xdr:row>
      <xdr:rowOff>33228</xdr:rowOff>
    </xdr:from>
    <xdr:to>
      <xdr:col>2</xdr:col>
      <xdr:colOff>809637</xdr:colOff>
      <xdr:row>12</xdr:row>
      <xdr:rowOff>187167</xdr:rowOff>
    </xdr:to>
    <xdr:sp macro="" textlink="">
      <xdr:nvSpPr>
        <xdr:cNvPr id="2" name="1 Rectangle">
          <a:extLst>
            <a:ext uri="{FF2B5EF4-FFF2-40B4-BE49-F238E27FC236}">
              <a16:creationId xmlns:a16="http://schemas.microsoft.com/office/drawing/2014/main" id="{00000000-0008-0000-0000-000002000000}"/>
            </a:ext>
          </a:extLst>
        </xdr:cNvPr>
        <xdr:cNvSpPr/>
      </xdr:nvSpPr>
      <xdr:spPr>
        <a:xfrm>
          <a:off x="492584" y="2192966"/>
          <a:ext cx="1280629" cy="497282"/>
        </a:xfrm>
        <a:prstGeom prst="rect">
          <a:avLst/>
        </a:prstGeom>
        <a:pattFill prst="pct20">
          <a:fgClr>
            <a:srgbClr val="00FF00"/>
          </a:fgClr>
          <a:bgClr>
            <a:schemeClr val="bg1">
              <a:lumMod val="100000"/>
            </a:scheme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xdr:col>
          <xdr:colOff>76200</xdr:colOff>
          <xdr:row>31</xdr:row>
          <xdr:rowOff>50800</xdr:rowOff>
        </xdr:from>
        <xdr:to>
          <xdr:col>2</xdr:col>
          <xdr:colOff>793750</xdr:colOff>
          <xdr:row>31</xdr:row>
          <xdr:rowOff>260350</xdr:rowOff>
        </xdr:to>
        <xdr:sp macro="" textlink="">
          <xdr:nvSpPr>
            <xdr:cNvPr id="62918" name="Button 1478" hidden="1">
              <a:extLst>
                <a:ext uri="{63B3BB69-23CF-44E3-9099-C40C66FF867C}">
                  <a14:compatExt spid="_x0000_s62918"/>
                </a:ext>
                <a:ext uri="{FF2B5EF4-FFF2-40B4-BE49-F238E27FC236}">
                  <a16:creationId xmlns:a16="http://schemas.microsoft.com/office/drawing/2014/main" id="{00000000-0008-0000-0000-0000C6F5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Go</a:t>
              </a:r>
            </a:p>
          </xdr:txBody>
        </xdr:sp>
        <xdr:clientData fPrintsWithSheet="0"/>
      </xdr:twoCellAnchor>
    </mc:Choice>
    <mc:Fallback/>
  </mc:AlternateContent>
  <xdr:twoCellAnchor>
    <xdr:from>
      <xdr:col>0</xdr:col>
      <xdr:colOff>387645</xdr:colOff>
      <xdr:row>29</xdr:row>
      <xdr:rowOff>132907</xdr:rowOff>
    </xdr:from>
    <xdr:to>
      <xdr:col>3</xdr:col>
      <xdr:colOff>44303</xdr:colOff>
      <xdr:row>32</xdr:row>
      <xdr:rowOff>66453</xdr:rowOff>
    </xdr:to>
    <xdr:sp macro="" textlink="">
      <xdr:nvSpPr>
        <xdr:cNvPr id="3" name="2 Rectangle">
          <a:extLst>
            <a:ext uri="{FF2B5EF4-FFF2-40B4-BE49-F238E27FC236}">
              <a16:creationId xmlns:a16="http://schemas.microsoft.com/office/drawing/2014/main" id="{00000000-0008-0000-0000-000003000000}"/>
            </a:ext>
          </a:extLst>
        </xdr:cNvPr>
        <xdr:cNvSpPr/>
      </xdr:nvSpPr>
      <xdr:spPr>
        <a:xfrm>
          <a:off x="387645" y="5748227"/>
          <a:ext cx="1473053" cy="775290"/>
        </a:xfrm>
        <a:prstGeom prst="rect">
          <a:avLst/>
        </a:prstGeom>
        <a:noFill/>
        <a:ln>
          <a:noFill/>
        </a:ln>
        <a:extLst>
          <a:ext uri="{909E8E84-426E-40DD-AFC4-6F175D3DCCD1}">
            <a14:hiddenFill xmlns:a14="http://schemas.microsoft.com/office/drawing/2010/main">
              <a:pattFill prst="pct20">
                <a:fgClr>
                  <a:srgbClr val="00FF00"/>
                </a:fgClr>
                <a:bgClr>
                  <a:srgbClr val="FFCC99"/>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xdr:col>
          <xdr:colOff>38100</xdr:colOff>
          <xdr:row>33</xdr:row>
          <xdr:rowOff>57150</xdr:rowOff>
        </xdr:from>
        <xdr:to>
          <xdr:col>2</xdr:col>
          <xdr:colOff>812800</xdr:colOff>
          <xdr:row>35</xdr:row>
          <xdr:rowOff>38100</xdr:rowOff>
        </xdr:to>
        <xdr:sp macro="" textlink="">
          <xdr:nvSpPr>
            <xdr:cNvPr id="63001" name="Button 1561" hidden="1">
              <a:extLst>
                <a:ext uri="{63B3BB69-23CF-44E3-9099-C40C66FF867C}">
                  <a14:compatExt spid="_x0000_s63001"/>
                </a:ext>
                <a:ext uri="{FF2B5EF4-FFF2-40B4-BE49-F238E27FC236}">
                  <a16:creationId xmlns:a16="http://schemas.microsoft.com/office/drawing/2014/main" id="{00000000-0008-0000-0000-000019F6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1" i="0" u="none" strike="noStrike" baseline="0">
                  <a:solidFill>
                    <a:srgbClr val="0066CC"/>
                  </a:solidFill>
                  <a:latin typeface="Calibri"/>
                  <a:cs typeface="Calibri"/>
                </a:rPr>
                <a:t>Change simulator version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57150</xdr:colOff>
          <xdr:row>35</xdr:row>
          <xdr:rowOff>127000</xdr:rowOff>
        </xdr:from>
        <xdr:to>
          <xdr:col>2</xdr:col>
          <xdr:colOff>812800</xdr:colOff>
          <xdr:row>37</xdr:row>
          <xdr:rowOff>57150</xdr:rowOff>
        </xdr:to>
        <xdr:sp macro="" textlink="">
          <xdr:nvSpPr>
            <xdr:cNvPr id="63002" name="Button 1562" hidden="1">
              <a:extLst>
                <a:ext uri="{63B3BB69-23CF-44E3-9099-C40C66FF867C}">
                  <a14:compatExt spid="_x0000_s63002"/>
                </a:ext>
                <a:ext uri="{FF2B5EF4-FFF2-40B4-BE49-F238E27FC236}">
                  <a16:creationId xmlns:a16="http://schemas.microsoft.com/office/drawing/2014/main" id="{00000000-0008-0000-0000-00001AF60000}"/>
                </a:ext>
              </a:extLst>
            </xdr:cNvPr>
            <xdr:cNvSpPr/>
          </xdr:nvSpPr>
          <xdr:spPr bwMode="auto">
            <a:xfrm>
              <a:off x="0" y="0"/>
              <a:ext cx="0" cy="0"/>
            </a:xfrm>
            <a:prstGeom prst="rect">
              <a:avLst/>
            </a:prstGeom>
            <a:noFill/>
            <a:ln w="9525">
              <a:miter lim="800000"/>
              <a:headEnd/>
              <a:tailEnd/>
            </a:ln>
          </xdr:spPr>
          <xdr:txBody>
            <a:bodyPr vertOverflow="clip" wrap="square" lIns="45720" tIns="36576" rIns="45720" bIns="36576" anchor="ctr" upright="1"/>
            <a:lstStyle/>
            <a:p>
              <a:pPr algn="ctr" rtl="0">
                <a:defRPr sz="1000"/>
              </a:pPr>
              <a:r>
                <a:rPr lang="en-GB" sz="1200" b="1" i="0" u="none" strike="noStrike" baseline="0">
                  <a:solidFill>
                    <a:srgbClr val="0066CC"/>
                  </a:solidFill>
                  <a:latin typeface="Arial"/>
                  <a:cs typeface="Arial"/>
                </a:rPr>
                <a:t>Save/Close</a:t>
              </a:r>
            </a:p>
          </xdr:txBody>
        </xdr:sp>
        <xdr:clientData fPrintsWithSheet="0"/>
      </xdr:twoCellAnchor>
    </mc:Choice>
    <mc:Fallback/>
  </mc:AlternateContent>
  <xdr:twoCellAnchor>
    <xdr:from>
      <xdr:col>16</xdr:col>
      <xdr:colOff>697759</xdr:colOff>
      <xdr:row>7</xdr:row>
      <xdr:rowOff>251636</xdr:rowOff>
    </xdr:from>
    <xdr:to>
      <xdr:col>20</xdr:col>
      <xdr:colOff>487327</xdr:colOff>
      <xdr:row>9</xdr:row>
      <xdr:rowOff>22151</xdr:rowOff>
    </xdr:to>
    <xdr:grpSp>
      <xdr:nvGrpSpPr>
        <xdr:cNvPr id="8" name="7 Grupo">
          <a:extLst>
            <a:ext uri="{FF2B5EF4-FFF2-40B4-BE49-F238E27FC236}">
              <a16:creationId xmlns:a16="http://schemas.microsoft.com/office/drawing/2014/main" id="{00000000-0008-0000-0000-000008000000}"/>
            </a:ext>
          </a:extLst>
        </xdr:cNvPr>
        <xdr:cNvGrpSpPr/>
      </xdr:nvGrpSpPr>
      <xdr:grpSpPr>
        <a:xfrm>
          <a:off x="7452185" y="1413257"/>
          <a:ext cx="4140176" cy="359435"/>
          <a:chOff x="6944388" y="1425613"/>
          <a:chExt cx="3953991" cy="368599"/>
        </a:xfrm>
      </xdr:grpSpPr>
      <mc:AlternateContent xmlns:mc="http://schemas.openxmlformats.org/markup-compatibility/2006">
        <mc:Choice xmlns:a14="http://schemas.microsoft.com/office/drawing/2010/main" Requires="a14">
          <xdr:sp macro="" textlink="">
            <xdr:nvSpPr>
              <xdr:cNvPr id="63080" name="Check Box 1640" hidden="1">
                <a:extLst>
                  <a:ext uri="{63B3BB69-23CF-44E3-9099-C40C66FF867C}">
                    <a14:compatExt spid="_x0000_s63080"/>
                  </a:ext>
                  <a:ext uri="{FF2B5EF4-FFF2-40B4-BE49-F238E27FC236}">
                    <a16:creationId xmlns:a16="http://schemas.microsoft.com/office/drawing/2014/main" id="{00000000-0008-0000-0000-000068F60000}"/>
                  </a:ext>
                </a:extLst>
              </xdr:cNvPr>
              <xdr:cNvSpPr/>
            </xdr:nvSpPr>
            <xdr:spPr bwMode="auto">
              <a:xfrm>
                <a:off x="10555036" y="1425613"/>
                <a:ext cx="343343" cy="368599"/>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xdr:sp macro="" textlink="">
        <xdr:nvSpPr>
          <xdr:cNvPr id="5" name="4 CuadroTexto">
            <a:extLst>
              <a:ext uri="{FF2B5EF4-FFF2-40B4-BE49-F238E27FC236}">
                <a16:creationId xmlns:a16="http://schemas.microsoft.com/office/drawing/2014/main" id="{00000000-0008-0000-0000-000005000000}"/>
              </a:ext>
            </a:extLst>
          </xdr:cNvPr>
          <xdr:cNvSpPr txBox="1"/>
        </xdr:nvSpPr>
        <xdr:spPr>
          <a:xfrm>
            <a:off x="6944388" y="1473053"/>
            <a:ext cx="3211919" cy="287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200"/>
              <a:t>In period 10 there is a change in inflation</a:t>
            </a:r>
            <a:r>
              <a:rPr lang="es-ES" sz="1200" baseline="0"/>
              <a:t> target</a:t>
            </a:r>
            <a:endParaRPr lang="es-ES" sz="1200"/>
          </a:p>
        </xdr:txBody>
      </xdr:sp>
    </xdr:grpSp>
    <xdr:clientData/>
  </xdr:twoCellAnchor>
  <xdr:twoCellAnchor>
    <xdr:from>
      <xdr:col>16</xdr:col>
      <xdr:colOff>730988</xdr:colOff>
      <xdr:row>8</xdr:row>
      <xdr:rowOff>55378</xdr:rowOff>
    </xdr:from>
    <xdr:to>
      <xdr:col>20</xdr:col>
      <xdr:colOff>376570</xdr:colOff>
      <xdr:row>8</xdr:row>
      <xdr:rowOff>221512</xdr:rowOff>
    </xdr:to>
    <xdr:sp macro="" textlink="">
      <xdr:nvSpPr>
        <xdr:cNvPr id="9" name="8 Rectangle">
          <a:extLst>
            <a:ext uri="{FF2B5EF4-FFF2-40B4-BE49-F238E27FC236}">
              <a16:creationId xmlns:a16="http://schemas.microsoft.com/office/drawing/2014/main" id="{00000000-0008-0000-0000-000009000000}"/>
            </a:ext>
          </a:extLst>
        </xdr:cNvPr>
        <xdr:cNvSpPr/>
      </xdr:nvSpPr>
      <xdr:spPr>
        <a:xfrm>
          <a:off x="7165901" y="1539506"/>
          <a:ext cx="3810000" cy="166134"/>
        </a:xfrm>
        <a:prstGeom prst="rect">
          <a:avLst/>
        </a:prstGeom>
        <a:noFill/>
        <a:ln>
          <a:noFill/>
        </a:ln>
        <a:extLst>
          <a:ext uri="{909E8E84-426E-40DD-AFC4-6F175D3DCCD1}">
            <a14:hiddenFill xmlns:a14="http://schemas.microsoft.com/office/drawing/2010/main">
              <a:pattFill prst="ltUpDiag">
                <a:fgClr>
                  <a:srgbClr val="00FF00"/>
                </a:fgClr>
                <a:bgClr>
                  <a:srgbClr val="FFCC99"/>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editAs="oneCell">
        <xdr:from>
          <xdr:col>20</xdr:col>
          <xdr:colOff>0</xdr:colOff>
          <xdr:row>23</xdr:row>
          <xdr:rowOff>0</xdr:rowOff>
        </xdr:from>
        <xdr:to>
          <xdr:col>22</xdr:col>
          <xdr:colOff>19050</xdr:colOff>
          <xdr:row>24</xdr:row>
          <xdr:rowOff>177800</xdr:rowOff>
        </xdr:to>
        <xdr:sp macro="" textlink="">
          <xdr:nvSpPr>
            <xdr:cNvPr id="81929" name="Drop Down 2057" hidden="1">
              <a:extLst>
                <a:ext uri="{63B3BB69-23CF-44E3-9099-C40C66FF867C}">
                  <a14:compatExt spid="_x0000_s81929"/>
                </a:ext>
                <a:ext uri="{FF2B5EF4-FFF2-40B4-BE49-F238E27FC236}">
                  <a16:creationId xmlns:a16="http://schemas.microsoft.com/office/drawing/2014/main" id="{00000000-0008-0000-0000-000009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25</xdr:row>
          <xdr:rowOff>0</xdr:rowOff>
        </xdr:from>
        <xdr:to>
          <xdr:col>22</xdr:col>
          <xdr:colOff>19050</xdr:colOff>
          <xdr:row>26</xdr:row>
          <xdr:rowOff>0</xdr:rowOff>
        </xdr:to>
        <xdr:sp macro="" textlink="">
          <xdr:nvSpPr>
            <xdr:cNvPr id="81936" name="Drop Down 2064" hidden="1">
              <a:extLst>
                <a:ext uri="{63B3BB69-23CF-44E3-9099-C40C66FF867C}">
                  <a14:compatExt spid="_x0000_s81936"/>
                </a:ext>
                <a:ext uri="{FF2B5EF4-FFF2-40B4-BE49-F238E27FC236}">
                  <a16:creationId xmlns:a16="http://schemas.microsoft.com/office/drawing/2014/main" id="{00000000-0008-0000-0000-000010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114300</xdr:colOff>
          <xdr:row>36</xdr:row>
          <xdr:rowOff>88900</xdr:rowOff>
        </xdr:from>
        <xdr:to>
          <xdr:col>9</xdr:col>
          <xdr:colOff>279400</xdr:colOff>
          <xdr:row>37</xdr:row>
          <xdr:rowOff>107950</xdr:rowOff>
        </xdr:to>
        <xdr:sp macro="" textlink="">
          <xdr:nvSpPr>
            <xdr:cNvPr id="82736" name="Button 2864" hidden="1">
              <a:extLst>
                <a:ext uri="{63B3BB69-23CF-44E3-9099-C40C66FF867C}">
                  <a14:compatExt spid="_x0000_s82736"/>
                </a:ext>
                <a:ext uri="{FF2B5EF4-FFF2-40B4-BE49-F238E27FC236}">
                  <a16:creationId xmlns:a16="http://schemas.microsoft.com/office/drawing/2014/main" id="{00000000-0008-0000-0000-0000304301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1" i="0" u="none" strike="noStrike" baseline="0">
                  <a:solidFill>
                    <a:srgbClr val="000000"/>
                  </a:solidFill>
                  <a:latin typeface="Arial"/>
                  <a:cs typeface="Arial"/>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12700</xdr:colOff>
          <xdr:row>37</xdr:row>
          <xdr:rowOff>222250</xdr:rowOff>
        </xdr:from>
        <xdr:to>
          <xdr:col>11</xdr:col>
          <xdr:colOff>285750</xdr:colOff>
          <xdr:row>40</xdr:row>
          <xdr:rowOff>0</xdr:rowOff>
        </xdr:to>
        <xdr:sp macro="" textlink="">
          <xdr:nvSpPr>
            <xdr:cNvPr id="82737" name="Drop Down 2865" hidden="1">
              <a:extLst>
                <a:ext uri="{63B3BB69-23CF-44E3-9099-C40C66FF867C}">
                  <a14:compatExt spid="_x0000_s82737"/>
                </a:ext>
                <a:ext uri="{FF2B5EF4-FFF2-40B4-BE49-F238E27FC236}">
                  <a16:creationId xmlns:a16="http://schemas.microsoft.com/office/drawing/2014/main" id="{00000000-0008-0000-0000-00003143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xdr:col>
      <xdr:colOff>59531</xdr:colOff>
      <xdr:row>37</xdr:row>
      <xdr:rowOff>214312</xdr:rowOff>
    </xdr:from>
    <xdr:to>
      <xdr:col>12</xdr:col>
      <xdr:colOff>59531</xdr:colOff>
      <xdr:row>40</xdr:row>
      <xdr:rowOff>47625</xdr:rowOff>
    </xdr:to>
    <xdr:sp macro="" textlink="">
      <xdr:nvSpPr>
        <xdr:cNvPr id="10" name="Rectángulo 9">
          <a:extLst>
            <a:ext uri="{FF2B5EF4-FFF2-40B4-BE49-F238E27FC236}">
              <a16:creationId xmlns:a16="http://schemas.microsoft.com/office/drawing/2014/main" id="{00000000-0008-0000-0000-00000A000000}"/>
            </a:ext>
          </a:extLst>
        </xdr:cNvPr>
        <xdr:cNvSpPr/>
      </xdr:nvSpPr>
      <xdr:spPr>
        <a:xfrm>
          <a:off x="1954711" y="7922688"/>
          <a:ext cx="4143866" cy="461767"/>
        </a:xfrm>
        <a:prstGeom prst="rect">
          <a:avLst/>
        </a:prstGeom>
        <a:noFill/>
        <a:ln>
          <a:noFill/>
        </a:ln>
        <a:extLst>
          <a:ext uri="{909E8E84-426E-40DD-AFC4-6F175D3DCCD1}">
            <a14:hiddenFill xmlns:a14="http://schemas.microsoft.com/office/drawing/2010/main">
              <a:pattFill prst="ltUpDiag">
                <a:fgClr>
                  <a:srgbClr val="00FF00"/>
                </a:fgClr>
                <a:bgClr>
                  <a:srgbClr val="FFFFFF"/>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1976437</xdr:colOff>
      <xdr:row>22</xdr:row>
      <xdr:rowOff>345281</xdr:rowOff>
    </xdr:from>
    <xdr:to>
      <xdr:col>22</xdr:col>
      <xdr:colOff>51126</xdr:colOff>
      <xdr:row>26</xdr:row>
      <xdr:rowOff>65135</xdr:rowOff>
    </xdr:to>
    <xdr:sp macro="" textlink="">
      <xdr:nvSpPr>
        <xdr:cNvPr id="30" name="5 Rectangle">
          <a:extLst>
            <a:ext uri="{FF2B5EF4-FFF2-40B4-BE49-F238E27FC236}">
              <a16:creationId xmlns:a16="http://schemas.microsoft.com/office/drawing/2014/main" id="{00000000-0008-0000-0000-00001E000000}"/>
            </a:ext>
          </a:extLst>
        </xdr:cNvPr>
        <xdr:cNvSpPr/>
      </xdr:nvSpPr>
      <xdr:spPr>
        <a:xfrm>
          <a:off x="10572750" y="4357687"/>
          <a:ext cx="1015532" cy="779511"/>
        </a:xfrm>
        <a:prstGeom prst="rect">
          <a:avLst/>
        </a:prstGeom>
        <a:noFill/>
        <a:ln>
          <a:noFill/>
        </a:ln>
        <a:extLst>
          <a:ext uri="{909E8E84-426E-40DD-AFC4-6F175D3DCCD1}">
            <a14:hiddenFill xmlns:a14="http://schemas.microsoft.com/office/drawing/2010/main">
              <a:pattFill prst="ltUpDiag">
                <a:fgClr>
                  <a:srgbClr val="00FF00"/>
                </a:fgClr>
                <a:bgClr>
                  <a:srgbClr val="FFCC99"/>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53368</xdr:colOff>
      <xdr:row>0</xdr:row>
      <xdr:rowOff>38099</xdr:rowOff>
    </xdr:from>
    <xdr:to>
      <xdr:col>9</xdr:col>
      <xdr:colOff>581368</xdr:colOff>
      <xdr:row>18</xdr:row>
      <xdr:rowOff>85818</xdr:rowOff>
    </xdr:to>
    <xdr:graphicFrame macro="">
      <xdr:nvGraphicFramePr>
        <xdr:cNvPr id="23598" name="inflation">
          <a:extLst>
            <a:ext uri="{FF2B5EF4-FFF2-40B4-BE49-F238E27FC236}">
              <a16:creationId xmlns:a16="http://schemas.microsoft.com/office/drawing/2014/main" id="{00000000-0008-0000-0400-00002E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657225</xdr:colOff>
      <xdr:row>0</xdr:row>
      <xdr:rowOff>47625</xdr:rowOff>
    </xdr:from>
    <xdr:to>
      <xdr:col>15</xdr:col>
      <xdr:colOff>423225</xdr:colOff>
      <xdr:row>18</xdr:row>
      <xdr:rowOff>95344</xdr:rowOff>
    </xdr:to>
    <xdr:graphicFrame macro="">
      <xdr:nvGraphicFramePr>
        <xdr:cNvPr id="23599" name="Chart 16">
          <a:extLst>
            <a:ext uri="{FF2B5EF4-FFF2-40B4-BE49-F238E27FC236}">
              <a16:creationId xmlns:a16="http://schemas.microsoft.com/office/drawing/2014/main" id="{00000000-0008-0000-0400-00002F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657225</xdr:colOff>
      <xdr:row>19</xdr:row>
      <xdr:rowOff>18353</xdr:rowOff>
    </xdr:from>
    <xdr:to>
      <xdr:col>15</xdr:col>
      <xdr:colOff>423225</xdr:colOff>
      <xdr:row>37</xdr:row>
      <xdr:rowOff>77978</xdr:rowOff>
    </xdr:to>
    <xdr:graphicFrame macro="">
      <xdr:nvGraphicFramePr>
        <xdr:cNvPr id="23600" name="Chart 18">
          <a:extLst>
            <a:ext uri="{FF2B5EF4-FFF2-40B4-BE49-F238E27FC236}">
              <a16:creationId xmlns:a16="http://schemas.microsoft.com/office/drawing/2014/main" id="{00000000-0008-0000-0400-000030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53368</xdr:colOff>
      <xdr:row>19</xdr:row>
      <xdr:rowOff>18352</xdr:rowOff>
    </xdr:from>
    <xdr:to>
      <xdr:col>9</xdr:col>
      <xdr:colOff>581368</xdr:colOff>
      <xdr:row>37</xdr:row>
      <xdr:rowOff>77977</xdr:rowOff>
    </xdr:to>
    <xdr:graphicFrame macro="">
      <xdr:nvGraphicFramePr>
        <xdr:cNvPr id="23601" name="Chart 19">
          <a:extLst>
            <a:ext uri="{FF2B5EF4-FFF2-40B4-BE49-F238E27FC236}">
              <a16:creationId xmlns:a16="http://schemas.microsoft.com/office/drawing/2014/main" id="{00000000-0008-0000-0400-000031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62707</xdr:colOff>
      <xdr:row>37</xdr:row>
      <xdr:rowOff>157867</xdr:rowOff>
    </xdr:from>
    <xdr:to>
      <xdr:col>15</xdr:col>
      <xdr:colOff>420220</xdr:colOff>
      <xdr:row>56</xdr:row>
      <xdr:rowOff>58742</xdr:rowOff>
    </xdr:to>
    <xdr:graphicFrame macro="">
      <xdr:nvGraphicFramePr>
        <xdr:cNvPr id="23602" name="Chart 20">
          <a:extLst>
            <a:ext uri="{FF2B5EF4-FFF2-40B4-BE49-F238E27FC236}">
              <a16:creationId xmlns:a16="http://schemas.microsoft.com/office/drawing/2014/main" id="{00000000-0008-0000-0400-000032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xdr:from>
          <xdr:col>0</xdr:col>
          <xdr:colOff>76200</xdr:colOff>
          <xdr:row>0</xdr:row>
          <xdr:rowOff>50800</xdr:rowOff>
        </xdr:from>
        <xdr:to>
          <xdr:col>0</xdr:col>
          <xdr:colOff>1447800</xdr:colOff>
          <xdr:row>3</xdr:row>
          <xdr:rowOff>31750</xdr:rowOff>
        </xdr:to>
        <xdr:sp macro="" textlink="">
          <xdr:nvSpPr>
            <xdr:cNvPr id="23557" name="Button 5" hidden="1">
              <a:extLst>
                <a:ext uri="{63B3BB69-23CF-44E3-9099-C40C66FF867C}">
                  <a14:compatExt spid="_x0000_s23557"/>
                </a:ext>
                <a:ext uri="{FF2B5EF4-FFF2-40B4-BE49-F238E27FC236}">
                  <a16:creationId xmlns:a16="http://schemas.microsoft.com/office/drawing/2014/main" id="{00000000-0008-0000-0400-0000055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6</xdr:row>
          <xdr:rowOff>152400</xdr:rowOff>
        </xdr:from>
        <xdr:to>
          <xdr:col>0</xdr:col>
          <xdr:colOff>1447800</xdr:colOff>
          <xdr:row>10</xdr:row>
          <xdr:rowOff>0</xdr:rowOff>
        </xdr:to>
        <xdr:sp macro="" textlink="">
          <xdr:nvSpPr>
            <xdr:cNvPr id="23558" name="Button 6" hidden="1">
              <a:extLst>
                <a:ext uri="{63B3BB69-23CF-44E3-9099-C40C66FF867C}">
                  <a14:compatExt spid="_x0000_s23558"/>
                </a:ext>
                <a:ext uri="{FF2B5EF4-FFF2-40B4-BE49-F238E27FC236}">
                  <a16:creationId xmlns:a16="http://schemas.microsoft.com/office/drawing/2014/main" id="{00000000-0008-0000-0400-000006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10</xdr:row>
          <xdr:rowOff>69850</xdr:rowOff>
        </xdr:from>
        <xdr:to>
          <xdr:col>0</xdr:col>
          <xdr:colOff>1447800</xdr:colOff>
          <xdr:row>13</xdr:row>
          <xdr:rowOff>38100</xdr:rowOff>
        </xdr:to>
        <xdr:sp macro="" textlink="">
          <xdr:nvSpPr>
            <xdr:cNvPr id="23559" name="Button 7" hidden="1">
              <a:extLst>
                <a:ext uri="{63B3BB69-23CF-44E3-9099-C40C66FF867C}">
                  <a14:compatExt spid="_x0000_s23559"/>
                </a:ext>
                <a:ext uri="{FF2B5EF4-FFF2-40B4-BE49-F238E27FC236}">
                  <a16:creationId xmlns:a16="http://schemas.microsoft.com/office/drawing/2014/main" id="{00000000-0008-0000-0400-000007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3</xdr:row>
          <xdr:rowOff>114300</xdr:rowOff>
        </xdr:from>
        <xdr:to>
          <xdr:col>0</xdr:col>
          <xdr:colOff>1447800</xdr:colOff>
          <xdr:row>6</xdr:row>
          <xdr:rowOff>76200</xdr:rowOff>
        </xdr:to>
        <xdr:sp macro="" textlink="">
          <xdr:nvSpPr>
            <xdr:cNvPr id="23569" name="Button 17" hidden="1">
              <a:extLst>
                <a:ext uri="{63B3BB69-23CF-44E3-9099-C40C66FF867C}">
                  <a14:compatExt spid="_x0000_s23569"/>
                </a:ext>
                <a:ext uri="{FF2B5EF4-FFF2-40B4-BE49-F238E27FC236}">
                  <a16:creationId xmlns:a16="http://schemas.microsoft.com/office/drawing/2014/main" id="{00000000-0008-0000-0400-000011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Inflation, income and interest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25</xdr:row>
          <xdr:rowOff>12700</xdr:rowOff>
        </xdr:from>
        <xdr:to>
          <xdr:col>0</xdr:col>
          <xdr:colOff>1371600</xdr:colOff>
          <xdr:row>28</xdr:row>
          <xdr:rowOff>50800</xdr:rowOff>
        </xdr:to>
        <xdr:sp macro="" textlink="">
          <xdr:nvSpPr>
            <xdr:cNvPr id="23572" name="Button 20" hidden="1">
              <a:extLst>
                <a:ext uri="{63B3BB69-23CF-44E3-9099-C40C66FF867C}">
                  <a14:compatExt spid="_x0000_s23572"/>
                </a:ext>
                <a:ext uri="{FF2B5EF4-FFF2-40B4-BE49-F238E27FC236}">
                  <a16:creationId xmlns:a16="http://schemas.microsoft.com/office/drawing/2014/main" id="{00000000-0008-0000-0400-000014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the time span in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336550</xdr:colOff>
          <xdr:row>38</xdr:row>
          <xdr:rowOff>95250</xdr:rowOff>
        </xdr:from>
        <xdr:to>
          <xdr:col>10</xdr:col>
          <xdr:colOff>495300</xdr:colOff>
          <xdr:row>39</xdr:row>
          <xdr:rowOff>76200</xdr:rowOff>
        </xdr:to>
        <xdr:sp macro="" textlink="">
          <xdr:nvSpPr>
            <xdr:cNvPr id="23573" name="Button 21" hidden="1">
              <a:extLst>
                <a:ext uri="{63B3BB69-23CF-44E3-9099-C40C66FF867C}">
                  <a14:compatExt spid="_x0000_s23573"/>
                </a:ext>
                <a:ext uri="{FF2B5EF4-FFF2-40B4-BE49-F238E27FC236}">
                  <a16:creationId xmlns:a16="http://schemas.microsoft.com/office/drawing/2014/main" id="{00000000-0008-0000-0400-0000155C00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0" i="0" u="none" strike="noStrike" baseline="0">
                  <a:solidFill>
                    <a:srgbClr val="000000"/>
                  </a:solidFill>
                  <a:latin typeface="Arial"/>
                  <a:cs typeface="Arial"/>
                </a:rPr>
                <a:t>*</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xdr:col>
      <xdr:colOff>114300</xdr:colOff>
      <xdr:row>93</xdr:row>
      <xdr:rowOff>157162</xdr:rowOff>
    </xdr:from>
    <xdr:to>
      <xdr:col>7</xdr:col>
      <xdr:colOff>114300</xdr:colOff>
      <xdr:row>110</xdr:row>
      <xdr:rowOff>147637</xdr:rowOff>
    </xdr:to>
    <xdr:graphicFrame macro="">
      <xdr:nvGraphicFramePr>
        <xdr:cNvPr id="2" name="1 Gráfico">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123825</xdr:colOff>
      <xdr:row>76</xdr:row>
      <xdr:rowOff>109537</xdr:rowOff>
    </xdr:from>
    <xdr:to>
      <xdr:col>7</xdr:col>
      <xdr:colOff>123825</xdr:colOff>
      <xdr:row>93</xdr:row>
      <xdr:rowOff>100012</xdr:rowOff>
    </xdr:to>
    <xdr:graphicFrame macro="">
      <xdr:nvGraphicFramePr>
        <xdr:cNvPr id="3" name="2 Gráfico">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0</xdr:row>
      <xdr:rowOff>28575</xdr:rowOff>
    </xdr:from>
    <xdr:to>
      <xdr:col>6</xdr:col>
      <xdr:colOff>24782</xdr:colOff>
      <xdr:row>34</xdr:row>
      <xdr:rowOff>83159</xdr:rowOff>
    </xdr:to>
    <xdr:pic>
      <xdr:nvPicPr>
        <xdr:cNvPr id="5" name="4 Imagen">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cstate="print"/>
        <a:stretch>
          <a:fillRect/>
        </a:stretch>
      </xdr:blipFill>
      <xdr:spPr>
        <a:xfrm>
          <a:off x="0" y="28575"/>
          <a:ext cx="4596782" cy="5560034"/>
        </a:xfrm>
        <a:prstGeom prst="rect">
          <a:avLst/>
        </a:prstGeom>
      </xdr:spPr>
    </xdr:pic>
    <xdr:clientData/>
  </xdr:twoCellAnchor>
  <xdr:twoCellAnchor editAs="oneCell">
    <xdr:from>
      <xdr:col>6</xdr:col>
      <xdr:colOff>314325</xdr:colOff>
      <xdr:row>0</xdr:row>
      <xdr:rowOff>0</xdr:rowOff>
    </xdr:from>
    <xdr:to>
      <xdr:col>12</xdr:col>
      <xdr:colOff>339107</xdr:colOff>
      <xdr:row>34</xdr:row>
      <xdr:rowOff>48487</xdr:rowOff>
    </xdr:to>
    <xdr:pic>
      <xdr:nvPicPr>
        <xdr:cNvPr id="7" name="6 Imagen">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4" cstate="print"/>
        <a:stretch>
          <a:fillRect/>
        </a:stretch>
      </xdr:blipFill>
      <xdr:spPr>
        <a:xfrm>
          <a:off x="4886325" y="0"/>
          <a:ext cx="4596782" cy="5553937"/>
        </a:xfrm>
        <a:prstGeom prst="rect">
          <a:avLst/>
        </a:prstGeom>
      </xdr:spPr>
    </xdr:pic>
    <xdr:clientData/>
  </xdr:twoCellAnchor>
  <xdr:twoCellAnchor editAs="oneCell">
    <xdr:from>
      <xdr:col>12</xdr:col>
      <xdr:colOff>295275</xdr:colOff>
      <xdr:row>0</xdr:row>
      <xdr:rowOff>0</xdr:rowOff>
    </xdr:from>
    <xdr:to>
      <xdr:col>18</xdr:col>
      <xdr:colOff>320057</xdr:colOff>
      <xdr:row>34</xdr:row>
      <xdr:rowOff>48487</xdr:rowOff>
    </xdr:to>
    <xdr:pic>
      <xdr:nvPicPr>
        <xdr:cNvPr id="8" name="7 Imagen">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5" cstate="print"/>
        <a:stretch>
          <a:fillRect/>
        </a:stretch>
      </xdr:blipFill>
      <xdr:spPr>
        <a:xfrm>
          <a:off x="9439275" y="0"/>
          <a:ext cx="4596782" cy="5553937"/>
        </a:xfrm>
        <a:prstGeom prst="rect">
          <a:avLst/>
        </a:prstGeom>
      </xdr:spPr>
    </xdr:pic>
    <xdr:clientData/>
  </xdr:twoCellAnchor>
  <xdr:twoCellAnchor editAs="oneCell">
    <xdr:from>
      <xdr:col>0</xdr:col>
      <xdr:colOff>647700</xdr:colOff>
      <xdr:row>34</xdr:row>
      <xdr:rowOff>133350</xdr:rowOff>
    </xdr:from>
    <xdr:to>
      <xdr:col>6</xdr:col>
      <xdr:colOff>672482</xdr:colOff>
      <xdr:row>69</xdr:row>
      <xdr:rowOff>19912</xdr:rowOff>
    </xdr:to>
    <xdr:pic>
      <xdr:nvPicPr>
        <xdr:cNvPr id="9" name="8 Imagen">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6" cstate="print"/>
        <a:stretch>
          <a:fillRect/>
        </a:stretch>
      </xdr:blipFill>
      <xdr:spPr>
        <a:xfrm>
          <a:off x="647700" y="5638800"/>
          <a:ext cx="4596782" cy="5553937"/>
        </a:xfrm>
        <a:prstGeom prst="rect">
          <a:avLst/>
        </a:prstGeom>
      </xdr:spPr>
    </xdr:pic>
    <xdr:clientData/>
  </xdr:twoCellAnchor>
  <xdr:twoCellAnchor editAs="oneCell">
    <xdr:from>
      <xdr:col>7</xdr:col>
      <xdr:colOff>19050</xdr:colOff>
      <xdr:row>35</xdr:row>
      <xdr:rowOff>0</xdr:rowOff>
    </xdr:from>
    <xdr:to>
      <xdr:col>13</xdr:col>
      <xdr:colOff>43832</xdr:colOff>
      <xdr:row>69</xdr:row>
      <xdr:rowOff>48487</xdr:rowOff>
    </xdr:to>
    <xdr:pic>
      <xdr:nvPicPr>
        <xdr:cNvPr id="10" name="9 Imagen">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7" cstate="print"/>
        <a:stretch>
          <a:fillRect/>
        </a:stretch>
      </xdr:blipFill>
      <xdr:spPr>
        <a:xfrm>
          <a:off x="5353050" y="5667375"/>
          <a:ext cx="4596782" cy="555393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93845</xdr:colOff>
      <xdr:row>0</xdr:row>
      <xdr:rowOff>141962</xdr:rowOff>
    </xdr:from>
    <xdr:to>
      <xdr:col>9</xdr:col>
      <xdr:colOff>613004</xdr:colOff>
      <xdr:row>20</xdr:row>
      <xdr:rowOff>158160</xdr:rowOff>
    </xdr:to>
    <xdr:graphicFrame macro="">
      <xdr:nvGraphicFramePr>
        <xdr:cNvPr id="4" name="GDP">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41210</xdr:colOff>
      <xdr:row>1</xdr:row>
      <xdr:rowOff>316</xdr:rowOff>
    </xdr:from>
    <xdr:to>
      <xdr:col>15</xdr:col>
      <xdr:colOff>564086</xdr:colOff>
      <xdr:row>21</xdr:row>
      <xdr:rowOff>16514</xdr:rowOff>
    </xdr:to>
    <xdr:graphicFrame macro="">
      <xdr:nvGraphicFramePr>
        <xdr:cNvPr id="5" name="growth">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xdr:from>
          <xdr:col>0</xdr:col>
          <xdr:colOff>88900</xdr:colOff>
          <xdr:row>3</xdr:row>
          <xdr:rowOff>57150</xdr:rowOff>
        </xdr:from>
        <xdr:to>
          <xdr:col>0</xdr:col>
          <xdr:colOff>1460500</xdr:colOff>
          <xdr:row>6</xdr:row>
          <xdr:rowOff>0</xdr:rowOff>
        </xdr:to>
        <xdr:sp macro="" textlink="">
          <xdr:nvSpPr>
            <xdr:cNvPr id="98305" name="Button 1" hidden="1">
              <a:extLst>
                <a:ext uri="{63B3BB69-23CF-44E3-9099-C40C66FF867C}">
                  <a14:compatExt spid="_x0000_s98305"/>
                </a:ext>
                <a:ext uri="{FF2B5EF4-FFF2-40B4-BE49-F238E27FC236}">
                  <a16:creationId xmlns:a16="http://schemas.microsoft.com/office/drawing/2014/main" id="{00000000-0008-0000-0700-0000018001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Back</a:t>
              </a:r>
            </a:p>
          </xdr:txBody>
        </xdr:sp>
        <xdr:clientData fPrintsWithSheet="0"/>
      </xdr:twoCellAnchor>
    </mc:Choice>
    <mc:Fallback/>
  </mc:AlternateContent>
  <xdr:twoCellAnchor>
    <xdr:from>
      <xdr:col>0</xdr:col>
      <xdr:colOff>1321707</xdr:colOff>
      <xdr:row>20</xdr:row>
      <xdr:rowOff>113729</xdr:rowOff>
    </xdr:from>
    <xdr:to>
      <xdr:col>4</xdr:col>
      <xdr:colOff>34066</xdr:colOff>
      <xdr:row>34</xdr:row>
      <xdr:rowOff>84875</xdr:rowOff>
    </xdr:to>
    <xdr:sp macro="" textlink="">
      <xdr:nvSpPr>
        <xdr:cNvPr id="13" name="2 Rectangle">
          <a:extLst>
            <a:ext uri="{FF2B5EF4-FFF2-40B4-BE49-F238E27FC236}">
              <a16:creationId xmlns:a16="http://schemas.microsoft.com/office/drawing/2014/main" id="{00000000-0008-0000-0700-00000D000000}"/>
            </a:ext>
          </a:extLst>
        </xdr:cNvPr>
        <xdr:cNvSpPr/>
      </xdr:nvSpPr>
      <xdr:spPr>
        <a:xfrm>
          <a:off x="1321707" y="4523804"/>
          <a:ext cx="1074559" cy="2238096"/>
        </a:xfrm>
        <a:prstGeom prst="rect">
          <a:avLst/>
        </a:prstGeom>
        <a:noFill/>
        <a:ln>
          <a:noFill/>
        </a:ln>
        <a:extLst>
          <a:ext uri="{909E8E84-426E-40DD-AFC4-6F175D3DCCD1}">
            <a14:hiddenFill xmlns:a14="http://schemas.microsoft.com/office/drawing/2010/main">
              <a:pattFill prst="pct10">
                <a:fgClr>
                  <a:srgbClr val="00FF00"/>
                </a:fgClr>
                <a:bgClr>
                  <a:schemeClr val="bg1">
                    <a:lumMod val="100000"/>
                  </a:schemeClr>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4</xdr:col>
      <xdr:colOff>94308</xdr:colOff>
      <xdr:row>22</xdr:row>
      <xdr:rowOff>18861</xdr:rowOff>
    </xdr:from>
    <xdr:to>
      <xdr:col>9</xdr:col>
      <xdr:colOff>613467</xdr:colOff>
      <xdr:row>42</xdr:row>
      <xdr:rowOff>72781</xdr:rowOff>
    </xdr:to>
    <xdr:graphicFrame macro="">
      <xdr:nvGraphicFramePr>
        <xdr:cNvPr id="6" name="GDP">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41673</xdr:colOff>
      <xdr:row>22</xdr:row>
      <xdr:rowOff>37537</xdr:rowOff>
    </xdr:from>
    <xdr:to>
      <xdr:col>15</xdr:col>
      <xdr:colOff>564549</xdr:colOff>
      <xdr:row>42</xdr:row>
      <xdr:rowOff>91457</xdr:rowOff>
    </xdr:to>
    <xdr:graphicFrame macro="">
      <xdr:nvGraphicFramePr>
        <xdr:cNvPr id="7" name="growth">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198044</xdr:colOff>
      <xdr:row>21</xdr:row>
      <xdr:rowOff>132026</xdr:rowOff>
    </xdr:from>
    <xdr:to>
      <xdr:col>15</xdr:col>
      <xdr:colOff>612995</xdr:colOff>
      <xdr:row>42</xdr:row>
      <xdr:rowOff>160318</xdr:rowOff>
    </xdr:to>
    <xdr:sp macro="" textlink="">
      <xdr:nvSpPr>
        <xdr:cNvPr id="2" name="Rectángulo 1">
          <a:extLst>
            <a:ext uri="{FF2B5EF4-FFF2-40B4-BE49-F238E27FC236}">
              <a16:creationId xmlns:a16="http://schemas.microsoft.com/office/drawing/2014/main" id="{00000000-0008-0000-0700-000002000000}"/>
            </a:ext>
          </a:extLst>
        </xdr:cNvPr>
        <xdr:cNvSpPr/>
      </xdr:nvSpPr>
      <xdr:spPr>
        <a:xfrm>
          <a:off x="2291658" y="3536506"/>
          <a:ext cx="9081758" cy="3395050"/>
        </a:xfrm>
        <a:prstGeom prst="rect">
          <a:avLst/>
        </a:prstGeom>
        <a:pattFill prst="pct10">
          <a:fgClr>
            <a:srgbClr val="00FF00"/>
          </a:fgClr>
          <a:bgClr>
            <a:schemeClr val="bg1">
              <a:lumMod val="100000"/>
            </a:schemeClr>
          </a:bgClr>
        </a:patt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683236</xdr:colOff>
      <xdr:row>0</xdr:row>
      <xdr:rowOff>154511</xdr:rowOff>
    </xdr:from>
    <xdr:to>
      <xdr:col>15</xdr:col>
      <xdr:colOff>442226</xdr:colOff>
      <xdr:row>21</xdr:row>
      <xdr:rowOff>11105</xdr:rowOff>
    </xdr:to>
    <xdr:graphicFrame macro="">
      <xdr:nvGraphicFramePr>
        <xdr:cNvPr id="12376" name="interest_rates">
          <a:extLst>
            <a:ext uri="{FF2B5EF4-FFF2-40B4-BE49-F238E27FC236}">
              <a16:creationId xmlns:a16="http://schemas.microsoft.com/office/drawing/2014/main" id="{00000000-0008-0000-0800-0000583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107706</xdr:colOff>
      <xdr:row>25</xdr:row>
      <xdr:rowOff>9840</xdr:rowOff>
    </xdr:from>
    <xdr:to>
      <xdr:col>9</xdr:col>
      <xdr:colOff>626865</xdr:colOff>
      <xdr:row>45</xdr:row>
      <xdr:rowOff>63391</xdr:rowOff>
    </xdr:to>
    <xdr:graphicFrame macro="">
      <xdr:nvGraphicFramePr>
        <xdr:cNvPr id="12377" name="GDP">
          <a:extLst>
            <a:ext uri="{FF2B5EF4-FFF2-40B4-BE49-F238E27FC236}">
              <a16:creationId xmlns:a16="http://schemas.microsoft.com/office/drawing/2014/main" id="{00000000-0008-0000-0800-0000593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683236</xdr:colOff>
      <xdr:row>25</xdr:row>
      <xdr:rowOff>9840</xdr:rowOff>
    </xdr:from>
    <xdr:to>
      <xdr:col>15</xdr:col>
      <xdr:colOff>442226</xdr:colOff>
      <xdr:row>45</xdr:row>
      <xdr:rowOff>63391</xdr:rowOff>
    </xdr:to>
    <xdr:graphicFrame macro="">
      <xdr:nvGraphicFramePr>
        <xdr:cNvPr id="12378" name="growth">
          <a:extLst>
            <a:ext uri="{FF2B5EF4-FFF2-40B4-BE49-F238E27FC236}">
              <a16:creationId xmlns:a16="http://schemas.microsoft.com/office/drawing/2014/main" id="{00000000-0008-0000-0800-00005A3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107706</xdr:colOff>
      <xdr:row>0</xdr:row>
      <xdr:rowOff>154887</xdr:rowOff>
    </xdr:from>
    <xdr:to>
      <xdr:col>9</xdr:col>
      <xdr:colOff>626865</xdr:colOff>
      <xdr:row>21</xdr:row>
      <xdr:rowOff>10729</xdr:rowOff>
    </xdr:to>
    <xdr:graphicFrame macro="">
      <xdr:nvGraphicFramePr>
        <xdr:cNvPr id="2" name="inflation">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xdr:from>
          <xdr:col>0</xdr:col>
          <xdr:colOff>88900</xdr:colOff>
          <xdr:row>0</xdr:row>
          <xdr:rowOff>57150</xdr:rowOff>
        </xdr:from>
        <xdr:to>
          <xdr:col>0</xdr:col>
          <xdr:colOff>1460500</xdr:colOff>
          <xdr:row>3</xdr:row>
          <xdr:rowOff>31750</xdr:rowOff>
        </xdr:to>
        <xdr:sp macro="" textlink="">
          <xdr:nvSpPr>
            <xdr:cNvPr id="12294" name="Button 6" hidden="1">
              <a:extLst>
                <a:ext uri="{63B3BB69-23CF-44E3-9099-C40C66FF867C}">
                  <a14:compatExt spid="_x0000_s12294"/>
                </a:ext>
                <a:ext uri="{FF2B5EF4-FFF2-40B4-BE49-F238E27FC236}">
                  <a16:creationId xmlns:a16="http://schemas.microsoft.com/office/drawing/2014/main" id="{00000000-0008-0000-0800-00000630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3</xdr:row>
          <xdr:rowOff>114300</xdr:rowOff>
        </xdr:from>
        <xdr:to>
          <xdr:col>0</xdr:col>
          <xdr:colOff>1466850</xdr:colOff>
          <xdr:row>6</xdr:row>
          <xdr:rowOff>88900</xdr:rowOff>
        </xdr:to>
        <xdr:sp macro="" textlink="">
          <xdr:nvSpPr>
            <xdr:cNvPr id="12295" name="Button 7" hidden="1">
              <a:extLst>
                <a:ext uri="{63B3BB69-23CF-44E3-9099-C40C66FF867C}">
                  <a14:compatExt spid="_x0000_s12295"/>
                </a:ext>
                <a:ext uri="{FF2B5EF4-FFF2-40B4-BE49-F238E27FC236}">
                  <a16:creationId xmlns:a16="http://schemas.microsoft.com/office/drawing/2014/main" id="{00000000-0008-0000-0800-000007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10</xdr:row>
          <xdr:rowOff>31750</xdr:rowOff>
        </xdr:from>
        <xdr:to>
          <xdr:col>0</xdr:col>
          <xdr:colOff>1479550</xdr:colOff>
          <xdr:row>13</xdr:row>
          <xdr:rowOff>0</xdr:rowOff>
        </xdr:to>
        <xdr:sp macro="" textlink="">
          <xdr:nvSpPr>
            <xdr:cNvPr id="12296" name="Button 8" hidden="1">
              <a:extLst>
                <a:ext uri="{63B3BB69-23CF-44E3-9099-C40C66FF867C}">
                  <a14:compatExt spid="_x0000_s12296"/>
                </a:ext>
                <a:ext uri="{FF2B5EF4-FFF2-40B4-BE49-F238E27FC236}">
                  <a16:creationId xmlns:a16="http://schemas.microsoft.com/office/drawing/2014/main" id="{00000000-0008-0000-0800-000008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24</xdr:row>
          <xdr:rowOff>38100</xdr:rowOff>
        </xdr:from>
        <xdr:to>
          <xdr:col>0</xdr:col>
          <xdr:colOff>1479550</xdr:colOff>
          <xdr:row>26</xdr:row>
          <xdr:rowOff>95250</xdr:rowOff>
        </xdr:to>
        <xdr:sp macro="" textlink="">
          <xdr:nvSpPr>
            <xdr:cNvPr id="12323" name="Button 35" hidden="1">
              <a:extLst>
                <a:ext uri="{63B3BB69-23CF-44E3-9099-C40C66FF867C}">
                  <a14:compatExt spid="_x0000_s12323"/>
                </a:ext>
                <a:ext uri="{FF2B5EF4-FFF2-40B4-BE49-F238E27FC236}">
                  <a16:creationId xmlns:a16="http://schemas.microsoft.com/office/drawing/2014/main" id="{00000000-0008-0000-0800-000023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a:t>
              </a:r>
              <a:r>
                <a:rPr lang="en-GB" sz="1000" b="0" i="1" u="none" strike="noStrike" baseline="0">
                  <a:solidFill>
                    <a:srgbClr val="000000"/>
                  </a:solidFill>
                  <a:latin typeface="Arial"/>
                  <a:cs typeface="Arial"/>
                </a:rPr>
                <a:t>Y </a:t>
              </a:r>
              <a:r>
                <a:rPr lang="en-GB" sz="1000" b="0" i="0" u="none" strike="noStrike" baseline="0">
                  <a:solidFill>
                    <a:srgbClr val="000000"/>
                  </a:solidFill>
                  <a:latin typeface="Arial"/>
                  <a:cs typeface="Arial"/>
                </a:rPr>
                <a:t>axis scale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6</xdr:row>
          <xdr:rowOff>146050</xdr:rowOff>
        </xdr:from>
        <xdr:to>
          <xdr:col>0</xdr:col>
          <xdr:colOff>1466850</xdr:colOff>
          <xdr:row>9</xdr:row>
          <xdr:rowOff>133350</xdr:rowOff>
        </xdr:to>
        <xdr:sp macro="" textlink="">
          <xdr:nvSpPr>
            <xdr:cNvPr id="12349" name="Button 61" hidden="1">
              <a:extLst>
                <a:ext uri="{63B3BB69-23CF-44E3-9099-C40C66FF867C}">
                  <a14:compatExt spid="_x0000_s12349"/>
                </a:ext>
                <a:ext uri="{FF2B5EF4-FFF2-40B4-BE49-F238E27FC236}">
                  <a16:creationId xmlns:a16="http://schemas.microsoft.com/office/drawing/2014/main" id="{00000000-0008-0000-0800-00003D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0</xdr:col>
      <xdr:colOff>60285</xdr:colOff>
      <xdr:row>6</xdr:row>
      <xdr:rowOff>144684</xdr:rowOff>
    </xdr:from>
    <xdr:to>
      <xdr:col>0</xdr:col>
      <xdr:colOff>1495063</xdr:colOff>
      <xdr:row>10</xdr:row>
      <xdr:rowOff>0</xdr:rowOff>
    </xdr:to>
    <xdr:sp macro="" textlink="">
      <xdr:nvSpPr>
        <xdr:cNvPr id="6" name="5 Rectangle">
          <a:extLst>
            <a:ext uri="{FF2B5EF4-FFF2-40B4-BE49-F238E27FC236}">
              <a16:creationId xmlns:a16="http://schemas.microsoft.com/office/drawing/2014/main" id="{00000000-0008-0000-0800-000006000000}"/>
            </a:ext>
          </a:extLst>
        </xdr:cNvPr>
        <xdr:cNvSpPr/>
      </xdr:nvSpPr>
      <xdr:spPr>
        <a:xfrm>
          <a:off x="60285" y="1085127"/>
          <a:ext cx="1434778" cy="482278"/>
        </a:xfrm>
        <a:prstGeom prst="rect">
          <a:avLst/>
        </a:prstGeom>
        <a:pattFill prst="pct10">
          <a:fgClr>
            <a:srgbClr val="00FF00"/>
          </a:fgClr>
          <a:bgClr>
            <a:schemeClr val="bg1">
              <a:lumMod val="100000"/>
            </a:scheme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177939</xdr:colOff>
      <xdr:row>28</xdr:row>
      <xdr:rowOff>62801</xdr:rowOff>
    </xdr:from>
    <xdr:to>
      <xdr:col>0</xdr:col>
      <xdr:colOff>1109349</xdr:colOff>
      <xdr:row>42</xdr:row>
      <xdr:rowOff>37722</xdr:rowOff>
    </xdr:to>
    <xdr:sp macro="" textlink="">
      <xdr:nvSpPr>
        <xdr:cNvPr id="21" name="20 Rectángulo redondeado">
          <a:extLst>
            <a:ext uri="{FF2B5EF4-FFF2-40B4-BE49-F238E27FC236}">
              <a16:creationId xmlns:a16="http://schemas.microsoft.com/office/drawing/2014/main" id="{00000000-0008-0000-0800-000015000000}"/>
            </a:ext>
          </a:extLst>
        </xdr:cNvPr>
        <xdr:cNvSpPr/>
      </xdr:nvSpPr>
      <xdr:spPr>
        <a:xfrm>
          <a:off x="177939" y="4589534"/>
          <a:ext cx="931410" cy="22194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167473</xdr:colOff>
      <xdr:row>28</xdr:row>
      <xdr:rowOff>62802</xdr:rowOff>
    </xdr:from>
    <xdr:to>
      <xdr:col>0</xdr:col>
      <xdr:colOff>1155748</xdr:colOff>
      <xdr:row>39</xdr:row>
      <xdr:rowOff>66015</xdr:rowOff>
    </xdr:to>
    <xdr:sp macro="" textlink="">
      <xdr:nvSpPr>
        <xdr:cNvPr id="25" name="24 CuadroTexto">
          <a:extLst>
            <a:ext uri="{FF2B5EF4-FFF2-40B4-BE49-F238E27FC236}">
              <a16:creationId xmlns:a16="http://schemas.microsoft.com/office/drawing/2014/main" id="{00000000-0008-0000-0800-000019000000}"/>
            </a:ext>
          </a:extLst>
        </xdr:cNvPr>
        <xdr:cNvSpPr txBox="1"/>
      </xdr:nvSpPr>
      <xdr:spPr>
        <a:xfrm>
          <a:off x="167473" y="4589535"/>
          <a:ext cx="988275" cy="1766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solidFill>
                <a:schemeClr val="bg1"/>
              </a:solidFill>
            </a:rPr>
            <a:t>Show the case when</a:t>
          </a:r>
          <a:r>
            <a:rPr lang="es-ES" sz="1100" baseline="0">
              <a:solidFill>
                <a:schemeClr val="bg1"/>
              </a:solidFill>
            </a:rPr>
            <a:t> it takes five periods for the central bank to recognize a change in equilibrium income (dashed line)</a:t>
          </a:r>
          <a:endParaRPr lang="es-ES" sz="1100">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0</xdr:col>
          <xdr:colOff>393700</xdr:colOff>
          <xdr:row>39</xdr:row>
          <xdr:rowOff>114300</xdr:rowOff>
        </xdr:from>
        <xdr:to>
          <xdr:col>0</xdr:col>
          <xdr:colOff>914400</xdr:colOff>
          <xdr:row>41</xdr:row>
          <xdr:rowOff>69850</xdr:rowOff>
        </xdr:to>
        <xdr:sp macro="" textlink="">
          <xdr:nvSpPr>
            <xdr:cNvPr id="12351" name="Drop Down 63" hidden="1">
              <a:extLst>
                <a:ext uri="{63B3BB69-23CF-44E3-9099-C40C66FF867C}">
                  <a14:compatExt spid="_x0000_s12351"/>
                </a:ext>
                <a:ext uri="{FF2B5EF4-FFF2-40B4-BE49-F238E27FC236}">
                  <a16:creationId xmlns:a16="http://schemas.microsoft.com/office/drawing/2014/main" id="{00000000-0008-0000-0800-00003F3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125605</xdr:colOff>
      <xdr:row>27</xdr:row>
      <xdr:rowOff>125605</xdr:rowOff>
    </xdr:from>
    <xdr:to>
      <xdr:col>0</xdr:col>
      <xdr:colOff>1184963</xdr:colOff>
      <xdr:row>42</xdr:row>
      <xdr:rowOff>103737</xdr:rowOff>
    </xdr:to>
    <xdr:sp macro="" textlink="">
      <xdr:nvSpPr>
        <xdr:cNvPr id="24" name="23 Rectangle">
          <a:extLst>
            <a:ext uri="{FF2B5EF4-FFF2-40B4-BE49-F238E27FC236}">
              <a16:creationId xmlns:a16="http://schemas.microsoft.com/office/drawing/2014/main" id="{00000000-0008-0000-0800-000018000000}"/>
            </a:ext>
          </a:extLst>
        </xdr:cNvPr>
        <xdr:cNvSpPr/>
      </xdr:nvSpPr>
      <xdr:spPr>
        <a:xfrm>
          <a:off x="125605" y="4492016"/>
          <a:ext cx="1059358" cy="2382959"/>
        </a:xfrm>
        <a:prstGeom prst="rect">
          <a:avLst/>
        </a:prstGeom>
        <a:pattFill prst="pct10">
          <a:fgClr>
            <a:srgbClr val="00FF00"/>
          </a:fgClr>
          <a:bgClr>
            <a:schemeClr val="bg1">
              <a:lumMod val="100000"/>
            </a:scheme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669442</xdr:colOff>
      <xdr:row>21</xdr:row>
      <xdr:rowOff>75870</xdr:rowOff>
    </xdr:from>
    <xdr:to>
      <xdr:col>10</xdr:col>
      <xdr:colOff>669582</xdr:colOff>
      <xdr:row>24</xdr:row>
      <xdr:rowOff>84876</xdr:rowOff>
    </xdr:to>
    <xdr:sp macro="" textlink="">
      <xdr:nvSpPr>
        <xdr:cNvPr id="20" name="19 Rectángulo redondeado">
          <a:extLst>
            <a:ext uri="{FF2B5EF4-FFF2-40B4-BE49-F238E27FC236}">
              <a16:creationId xmlns:a16="http://schemas.microsoft.com/office/drawing/2014/main" id="{00000000-0008-0000-0800-000014000000}"/>
            </a:ext>
          </a:extLst>
        </xdr:cNvPr>
        <xdr:cNvSpPr/>
      </xdr:nvSpPr>
      <xdr:spPr>
        <a:xfrm rot="16200000">
          <a:off x="6219687" y="2579437"/>
          <a:ext cx="489972" cy="229179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635117</xdr:colOff>
      <xdr:row>21</xdr:row>
      <xdr:rowOff>91587</xdr:rowOff>
    </xdr:from>
    <xdr:to>
      <xdr:col>10</xdr:col>
      <xdr:colOff>50414</xdr:colOff>
      <xdr:row>24</xdr:row>
      <xdr:rowOff>64111</xdr:rowOff>
    </xdr:to>
    <xdr:sp macro="" textlink="">
      <xdr:nvSpPr>
        <xdr:cNvPr id="22" name="21 CuadroTexto">
          <a:extLst>
            <a:ext uri="{FF2B5EF4-FFF2-40B4-BE49-F238E27FC236}">
              <a16:creationId xmlns:a16="http://schemas.microsoft.com/office/drawing/2014/main" id="{00000000-0008-0000-0800-000016000000}"/>
            </a:ext>
          </a:extLst>
        </xdr:cNvPr>
        <xdr:cNvSpPr txBox="1"/>
      </xdr:nvSpPr>
      <xdr:spPr>
        <a:xfrm>
          <a:off x="5269396" y="3590193"/>
          <a:ext cx="1695802" cy="46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solidFill>
                <a:schemeClr val="bg1"/>
              </a:solidFill>
            </a:rPr>
            <a:t>Show potential GDP and output gap</a:t>
          </a:r>
        </a:p>
      </xdr:txBody>
    </xdr:sp>
    <xdr:clientData/>
  </xdr:twoCellAnchor>
  <mc:AlternateContent xmlns:mc="http://schemas.openxmlformats.org/markup-compatibility/2006">
    <mc:Choice xmlns:a14="http://schemas.microsoft.com/office/drawing/2010/main" Requires="a14">
      <xdr:twoCellAnchor>
        <xdr:from>
          <xdr:col>10</xdr:col>
          <xdr:colOff>38100</xdr:colOff>
          <xdr:row>22</xdr:row>
          <xdr:rowOff>19050</xdr:rowOff>
        </xdr:from>
        <xdr:to>
          <xdr:col>10</xdr:col>
          <xdr:colOff>533400</xdr:colOff>
          <xdr:row>23</xdr:row>
          <xdr:rowOff>146050</xdr:rowOff>
        </xdr:to>
        <xdr:sp macro="" textlink="">
          <xdr:nvSpPr>
            <xdr:cNvPr id="12352" name="Button 64" hidden="1">
              <a:extLst>
                <a:ext uri="{63B3BB69-23CF-44E3-9099-C40C66FF867C}">
                  <a14:compatExt spid="_x0000_s12352"/>
                </a:ext>
                <a:ext uri="{FF2B5EF4-FFF2-40B4-BE49-F238E27FC236}">
                  <a16:creationId xmlns:a16="http://schemas.microsoft.com/office/drawing/2014/main" id="{00000000-0008-0000-0800-000040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Go</a:t>
              </a:r>
            </a:p>
          </xdr:txBody>
        </xdr:sp>
        <xdr:clientData fPrintsWithSheet="0"/>
      </xdr:twoCellAnchor>
    </mc:Choice>
    <mc:Fallback/>
  </mc:AlternateContent>
  <xdr:twoCellAnchor>
    <xdr:from>
      <xdr:col>7</xdr:col>
      <xdr:colOff>494387</xdr:colOff>
      <xdr:row>21</xdr:row>
      <xdr:rowOff>65368</xdr:rowOff>
    </xdr:from>
    <xdr:to>
      <xdr:col>11</xdr:col>
      <xdr:colOff>120858</xdr:colOff>
      <xdr:row>24</xdr:row>
      <xdr:rowOff>112059</xdr:rowOff>
    </xdr:to>
    <xdr:sp macro="" textlink="">
      <xdr:nvSpPr>
        <xdr:cNvPr id="23" name="3 Rectangle">
          <a:extLst>
            <a:ext uri="{FF2B5EF4-FFF2-40B4-BE49-F238E27FC236}">
              <a16:creationId xmlns:a16="http://schemas.microsoft.com/office/drawing/2014/main" id="{00000000-0008-0000-0800-000017000000}"/>
            </a:ext>
          </a:extLst>
        </xdr:cNvPr>
        <xdr:cNvSpPr/>
      </xdr:nvSpPr>
      <xdr:spPr>
        <a:xfrm>
          <a:off x="5128666" y="3563974"/>
          <a:ext cx="2667144" cy="541258"/>
        </a:xfrm>
        <a:prstGeom prst="rect">
          <a:avLst/>
        </a:prstGeom>
        <a:noFill/>
        <a:ln>
          <a:noFill/>
        </a:ln>
        <a:extLst>
          <a:ext uri="{909E8E84-426E-40DD-AFC4-6F175D3DCCD1}">
            <a14:hiddenFill xmlns:a14="http://schemas.microsoft.com/office/drawing/2010/main">
              <a:pattFill prst="pct20">
                <a:fgClr>
                  <a:srgbClr val="FFC000"/>
                </a:fgClr>
                <a:bgClr>
                  <a:schemeClr val="bg1">
                    <a:lumMod val="100000"/>
                  </a:schemeClr>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13</xdr:col>
          <xdr:colOff>438150</xdr:colOff>
          <xdr:row>1</xdr:row>
          <xdr:rowOff>76200</xdr:rowOff>
        </xdr:from>
        <xdr:to>
          <xdr:col>13</xdr:col>
          <xdr:colOff>590550</xdr:colOff>
          <xdr:row>2</xdr:row>
          <xdr:rowOff>50800</xdr:rowOff>
        </xdr:to>
        <xdr:sp macro="" textlink="">
          <xdr:nvSpPr>
            <xdr:cNvPr id="12353" name="Button 65" hidden="1">
              <a:extLst>
                <a:ext uri="{63B3BB69-23CF-44E3-9099-C40C66FF867C}">
                  <a14:compatExt spid="_x0000_s12353"/>
                </a:ext>
                <a:ext uri="{FF2B5EF4-FFF2-40B4-BE49-F238E27FC236}">
                  <a16:creationId xmlns:a16="http://schemas.microsoft.com/office/drawing/2014/main" id="{00000000-0008-0000-0800-0000413000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1" i="0" u="none" strike="noStrike" baseline="0">
                  <a:solidFill>
                    <a:srgbClr val="000000"/>
                  </a:solidFill>
                  <a:latin typeface="Arial"/>
                  <a:cs typeface="Arial"/>
                </a:rPr>
                <a:t>*</a:t>
              </a:r>
            </a:p>
          </xdr:txBody>
        </xdr:sp>
        <xdr:clientData fPrintsWithSheet="0"/>
      </xdr:twoCellAnchor>
    </mc:Choice>
    <mc:Fallback/>
  </mc:AlternateContent>
  <xdr:twoCellAnchor>
    <xdr:from>
      <xdr:col>13</xdr:col>
      <xdr:colOff>433812</xdr:colOff>
      <xdr:row>1</xdr:row>
      <xdr:rowOff>56584</xdr:rowOff>
    </xdr:from>
    <xdr:to>
      <xdr:col>13</xdr:col>
      <xdr:colOff>631856</xdr:colOff>
      <xdr:row>2</xdr:row>
      <xdr:rowOff>66014</xdr:rowOff>
    </xdr:to>
    <xdr:sp macro="" textlink="">
      <xdr:nvSpPr>
        <xdr:cNvPr id="8" name="Rectángulo 6">
          <a:extLst>
            <a:ext uri="{FF2B5EF4-FFF2-40B4-BE49-F238E27FC236}">
              <a16:creationId xmlns:a16="http://schemas.microsoft.com/office/drawing/2014/main" id="{00000000-0008-0000-0800-000008000000}"/>
            </a:ext>
          </a:extLst>
        </xdr:cNvPr>
        <xdr:cNvSpPr/>
      </xdr:nvSpPr>
      <xdr:spPr>
        <a:xfrm>
          <a:off x="9666461" y="216906"/>
          <a:ext cx="198044" cy="169752"/>
        </a:xfrm>
        <a:prstGeom prst="rect">
          <a:avLst/>
        </a:prstGeom>
        <a:noFill/>
        <a:ln w="25400" cap="flat" cmpd="sng" algn="ctr">
          <a:noFill/>
          <a:prstDash val="solid"/>
        </a:ln>
        <a:effectLst/>
        <a:extLst>
          <a:ext uri="{909E8E84-426E-40DD-AFC4-6F175D3DCCD1}">
            <a14:hiddenFill xmlns:a14="http://schemas.microsoft.com/office/drawing/2010/main">
              <a:pattFill prst="pct20">
                <a:fgClr>
                  <a:srgbClr val="FFFFFF"/>
                </a:fgClr>
                <a:bgClr>
                  <a:srgbClr val="FFFFFF"/>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1303389</xdr:colOff>
      <xdr:row>34</xdr:row>
      <xdr:rowOff>104282</xdr:rowOff>
    </xdr:from>
    <xdr:to>
      <xdr:col>4</xdr:col>
      <xdr:colOff>15748</xdr:colOff>
      <xdr:row>38</xdr:row>
      <xdr:rowOff>146539</xdr:rowOff>
    </xdr:to>
    <xdr:sp macro="" textlink="">
      <xdr:nvSpPr>
        <xdr:cNvPr id="3" name="2 Rectangle">
          <a:extLst>
            <a:ext uri="{FF2B5EF4-FFF2-40B4-BE49-F238E27FC236}">
              <a16:creationId xmlns:a16="http://schemas.microsoft.com/office/drawing/2014/main" id="{00000000-0008-0000-0800-000003000000}"/>
            </a:ext>
          </a:extLst>
        </xdr:cNvPr>
        <xdr:cNvSpPr/>
      </xdr:nvSpPr>
      <xdr:spPr>
        <a:xfrm>
          <a:off x="1303389" y="5746013"/>
          <a:ext cx="1066133" cy="701680"/>
        </a:xfrm>
        <a:prstGeom prst="rect">
          <a:avLst/>
        </a:prstGeom>
        <a:pattFill prst="pct10">
          <a:fgClr>
            <a:srgbClr val="00FF00"/>
          </a:fgClr>
          <a:bgClr>
            <a:srgbClr val="FFFFFF"/>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73529</xdr:colOff>
      <xdr:row>1</xdr:row>
      <xdr:rowOff>8225</xdr:rowOff>
    </xdr:from>
    <xdr:to>
      <xdr:col>10</xdr:col>
      <xdr:colOff>284705</xdr:colOff>
      <xdr:row>21</xdr:row>
      <xdr:rowOff>155883</xdr:rowOff>
    </xdr:to>
    <xdr:graphicFrame macro="">
      <xdr:nvGraphicFramePr>
        <xdr:cNvPr id="14371" name="Chart 1025">
          <a:extLst>
            <a:ext uri="{FF2B5EF4-FFF2-40B4-BE49-F238E27FC236}">
              <a16:creationId xmlns:a16="http://schemas.microsoft.com/office/drawing/2014/main" id="{00000000-0008-0000-0B00-0000233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73529</xdr:colOff>
      <xdr:row>22</xdr:row>
      <xdr:rowOff>80788</xdr:rowOff>
    </xdr:from>
    <xdr:to>
      <xdr:col>16</xdr:col>
      <xdr:colOff>112057</xdr:colOff>
      <xdr:row>43</xdr:row>
      <xdr:rowOff>102238</xdr:rowOff>
    </xdr:to>
    <xdr:graphicFrame macro="">
      <xdr:nvGraphicFramePr>
        <xdr:cNvPr id="14372" name="Chart 1026">
          <a:extLst>
            <a:ext uri="{FF2B5EF4-FFF2-40B4-BE49-F238E27FC236}">
              <a16:creationId xmlns:a16="http://schemas.microsoft.com/office/drawing/2014/main" id="{00000000-0008-0000-0B00-0000243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386468</xdr:colOff>
      <xdr:row>1</xdr:row>
      <xdr:rowOff>8225</xdr:rowOff>
    </xdr:from>
    <xdr:to>
      <xdr:col>16</xdr:col>
      <xdr:colOff>112057</xdr:colOff>
      <xdr:row>21</xdr:row>
      <xdr:rowOff>155883</xdr:rowOff>
    </xdr:to>
    <xdr:graphicFrame macro="">
      <xdr:nvGraphicFramePr>
        <xdr:cNvPr id="14373" name="Chart 1027">
          <a:extLst>
            <a:ext uri="{FF2B5EF4-FFF2-40B4-BE49-F238E27FC236}">
              <a16:creationId xmlns:a16="http://schemas.microsoft.com/office/drawing/2014/main" id="{00000000-0008-0000-0B00-0000253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xdr:from>
          <xdr:col>0</xdr:col>
          <xdr:colOff>57150</xdr:colOff>
          <xdr:row>0</xdr:row>
          <xdr:rowOff>50800</xdr:rowOff>
        </xdr:from>
        <xdr:to>
          <xdr:col>0</xdr:col>
          <xdr:colOff>1371600</xdr:colOff>
          <xdr:row>3</xdr:row>
          <xdr:rowOff>69850</xdr:rowOff>
        </xdr:to>
        <xdr:sp macro="" textlink="">
          <xdr:nvSpPr>
            <xdr:cNvPr id="14340" name="Button 1028" hidden="1">
              <a:extLst>
                <a:ext uri="{63B3BB69-23CF-44E3-9099-C40C66FF867C}">
                  <a14:compatExt spid="_x0000_s14340"/>
                </a:ext>
                <a:ext uri="{FF2B5EF4-FFF2-40B4-BE49-F238E27FC236}">
                  <a16:creationId xmlns:a16="http://schemas.microsoft.com/office/drawing/2014/main" id="{00000000-0008-0000-0B00-0000043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4</xdr:row>
          <xdr:rowOff>19050</xdr:rowOff>
        </xdr:from>
        <xdr:to>
          <xdr:col>0</xdr:col>
          <xdr:colOff>1371600</xdr:colOff>
          <xdr:row>7</xdr:row>
          <xdr:rowOff>19050</xdr:rowOff>
        </xdr:to>
        <xdr:sp macro="" textlink="">
          <xdr:nvSpPr>
            <xdr:cNvPr id="14341" name="Button 1029" hidden="1">
              <a:extLst>
                <a:ext uri="{63B3BB69-23CF-44E3-9099-C40C66FF867C}">
                  <a14:compatExt spid="_x0000_s14341"/>
                </a:ext>
                <a:ext uri="{FF2B5EF4-FFF2-40B4-BE49-F238E27FC236}">
                  <a16:creationId xmlns:a16="http://schemas.microsoft.com/office/drawing/2014/main" id="{00000000-0008-0000-0B00-000005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Inflation, income and interst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11</xdr:row>
          <xdr:rowOff>69850</xdr:rowOff>
        </xdr:from>
        <xdr:to>
          <xdr:col>0</xdr:col>
          <xdr:colOff>1371600</xdr:colOff>
          <xdr:row>14</xdr:row>
          <xdr:rowOff>88900</xdr:rowOff>
        </xdr:to>
        <xdr:sp macro="" textlink="">
          <xdr:nvSpPr>
            <xdr:cNvPr id="14342" name="Button 1030" hidden="1">
              <a:extLst>
                <a:ext uri="{63B3BB69-23CF-44E3-9099-C40C66FF867C}">
                  <a14:compatExt spid="_x0000_s14342"/>
                </a:ext>
                <a:ext uri="{FF2B5EF4-FFF2-40B4-BE49-F238E27FC236}">
                  <a16:creationId xmlns:a16="http://schemas.microsoft.com/office/drawing/2014/main" id="{00000000-0008-0000-0B00-000006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7</xdr:row>
          <xdr:rowOff>133350</xdr:rowOff>
        </xdr:from>
        <xdr:to>
          <xdr:col>0</xdr:col>
          <xdr:colOff>1371600</xdr:colOff>
          <xdr:row>10</xdr:row>
          <xdr:rowOff>133350</xdr:rowOff>
        </xdr:to>
        <xdr:sp macro="" textlink="">
          <xdr:nvSpPr>
            <xdr:cNvPr id="14359" name="Button 1047" hidden="1">
              <a:extLst>
                <a:ext uri="{63B3BB69-23CF-44E3-9099-C40C66FF867C}">
                  <a14:compatExt spid="_x0000_s14359"/>
                </a:ext>
                <a:ext uri="{FF2B5EF4-FFF2-40B4-BE49-F238E27FC236}">
                  <a16:creationId xmlns:a16="http://schemas.microsoft.com/office/drawing/2014/main" id="{00000000-0008-0000-0B00-000017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0</xdr:col>
      <xdr:colOff>26459</xdr:colOff>
      <xdr:row>7</xdr:row>
      <xdr:rowOff>92604</xdr:rowOff>
    </xdr:from>
    <xdr:to>
      <xdr:col>0</xdr:col>
      <xdr:colOff>1441979</xdr:colOff>
      <xdr:row>11</xdr:row>
      <xdr:rowOff>13229</xdr:rowOff>
    </xdr:to>
    <xdr:sp macro="" textlink="">
      <xdr:nvSpPr>
        <xdr:cNvPr id="2" name="1 Rectangle">
          <a:extLst>
            <a:ext uri="{FF2B5EF4-FFF2-40B4-BE49-F238E27FC236}">
              <a16:creationId xmlns:a16="http://schemas.microsoft.com/office/drawing/2014/main" id="{00000000-0008-0000-0B00-000002000000}"/>
            </a:ext>
          </a:extLst>
        </xdr:cNvPr>
        <xdr:cNvSpPr/>
      </xdr:nvSpPr>
      <xdr:spPr>
        <a:xfrm>
          <a:off x="26459" y="1203854"/>
          <a:ext cx="1415520" cy="555625"/>
        </a:xfrm>
        <a:prstGeom prst="rect">
          <a:avLst/>
        </a:prstGeom>
        <a:pattFill prst="pct10">
          <a:fgClr>
            <a:srgbClr val="00FF00"/>
          </a:fgClr>
          <a:bgClr>
            <a:schemeClr val="bg1">
              <a:lumMod val="100000"/>
            </a:schemeClr>
          </a:bgClr>
        </a:patt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0</xdr:col>
          <xdr:colOff>57150</xdr:colOff>
          <xdr:row>27</xdr:row>
          <xdr:rowOff>57150</xdr:rowOff>
        </xdr:from>
        <xdr:to>
          <xdr:col>0</xdr:col>
          <xdr:colOff>1371600</xdr:colOff>
          <xdr:row>30</xdr:row>
          <xdr:rowOff>95250</xdr:rowOff>
        </xdr:to>
        <xdr:sp macro="" textlink="">
          <xdr:nvSpPr>
            <xdr:cNvPr id="14360" name="Button 1048" hidden="1">
              <a:extLst>
                <a:ext uri="{63B3BB69-23CF-44E3-9099-C40C66FF867C}">
                  <a14:compatExt spid="_x0000_s14360"/>
                </a:ext>
                <a:ext uri="{FF2B5EF4-FFF2-40B4-BE49-F238E27FC236}">
                  <a16:creationId xmlns:a16="http://schemas.microsoft.com/office/drawing/2014/main" id="{00000000-0008-0000-0B00-000018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the time span in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11</xdr:col>
          <xdr:colOff>247650</xdr:colOff>
          <xdr:row>23</xdr:row>
          <xdr:rowOff>31750</xdr:rowOff>
        </xdr:from>
        <xdr:to>
          <xdr:col>11</xdr:col>
          <xdr:colOff>412750</xdr:colOff>
          <xdr:row>24</xdr:row>
          <xdr:rowOff>0</xdr:rowOff>
        </xdr:to>
        <xdr:sp macro="" textlink="">
          <xdr:nvSpPr>
            <xdr:cNvPr id="14361" name="Button 1049" hidden="1">
              <a:extLst>
                <a:ext uri="{63B3BB69-23CF-44E3-9099-C40C66FF867C}">
                  <a14:compatExt spid="_x0000_s14361"/>
                </a:ext>
                <a:ext uri="{FF2B5EF4-FFF2-40B4-BE49-F238E27FC236}">
                  <a16:creationId xmlns:a16="http://schemas.microsoft.com/office/drawing/2014/main" id="{00000000-0008-0000-0B00-0000193800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0" i="0" u="none" strike="noStrike" baseline="0">
                  <a:solidFill>
                    <a:srgbClr val="000000"/>
                  </a:solidFill>
                  <a:latin typeface="Arial"/>
                  <a:cs typeface="Arial"/>
                </a:rPr>
                <a:t>*</a:t>
              </a:r>
            </a:p>
          </xdr:txBody>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50800</xdr:rowOff>
        </xdr:from>
        <xdr:to>
          <xdr:col>1</xdr:col>
          <xdr:colOff>0</xdr:colOff>
          <xdr:row>0</xdr:row>
          <xdr:rowOff>355600</xdr:rowOff>
        </xdr:to>
        <xdr:sp macro="" textlink="">
          <xdr:nvSpPr>
            <xdr:cNvPr id="10248" name="Button 8" hidden="1">
              <a:extLst>
                <a:ext uri="{63B3BB69-23CF-44E3-9099-C40C66FF867C}">
                  <a14:compatExt spid="_x0000_s10248"/>
                </a:ext>
                <a:ext uri="{FF2B5EF4-FFF2-40B4-BE49-F238E27FC236}">
                  <a16:creationId xmlns:a16="http://schemas.microsoft.com/office/drawing/2014/main" id="{00000000-0008-0000-0C00-000008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374650</xdr:colOff>
          <xdr:row>0</xdr:row>
          <xdr:rowOff>50800</xdr:rowOff>
        </xdr:from>
        <xdr:to>
          <xdr:col>2</xdr:col>
          <xdr:colOff>609600</xdr:colOff>
          <xdr:row>0</xdr:row>
          <xdr:rowOff>355600</xdr:rowOff>
        </xdr:to>
        <xdr:sp macro="" textlink="">
          <xdr:nvSpPr>
            <xdr:cNvPr id="10249" name="Button 9" hidden="1">
              <a:extLst>
                <a:ext uri="{63B3BB69-23CF-44E3-9099-C40C66FF867C}">
                  <a14:compatExt spid="_x0000_s10249"/>
                </a:ext>
                <a:ext uri="{FF2B5EF4-FFF2-40B4-BE49-F238E27FC236}">
                  <a16:creationId xmlns:a16="http://schemas.microsoft.com/office/drawing/2014/main" id="{00000000-0008-0000-0C00-000009280000}"/>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GB" sz="800" b="0" i="0" u="none" strike="noStrike" baseline="0">
                  <a:solidFill>
                    <a:srgbClr val="000000"/>
                  </a:solidFill>
                  <a:latin typeface="Arial"/>
                  <a:cs typeface="Arial"/>
                </a:rPr>
                <a:t>Inflation, income and interest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736600</xdr:colOff>
          <xdr:row>0</xdr:row>
          <xdr:rowOff>50800</xdr:rowOff>
        </xdr:from>
        <xdr:to>
          <xdr:col>4</xdr:col>
          <xdr:colOff>260350</xdr:colOff>
          <xdr:row>0</xdr:row>
          <xdr:rowOff>355600</xdr:rowOff>
        </xdr:to>
        <xdr:sp macro="" textlink="">
          <xdr:nvSpPr>
            <xdr:cNvPr id="10250" name="Button 10" hidden="1">
              <a:extLst>
                <a:ext uri="{63B3BB69-23CF-44E3-9099-C40C66FF867C}">
                  <a14:compatExt spid="_x0000_s10250"/>
                </a:ext>
                <a:ext uri="{FF2B5EF4-FFF2-40B4-BE49-F238E27FC236}">
                  <a16:creationId xmlns:a16="http://schemas.microsoft.com/office/drawing/2014/main" id="{00000000-0008-0000-0C00-00000A280000}"/>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GB" sz="8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374650</xdr:colOff>
          <xdr:row>0</xdr:row>
          <xdr:rowOff>50800</xdr:rowOff>
        </xdr:from>
        <xdr:to>
          <xdr:col>5</xdr:col>
          <xdr:colOff>736600</xdr:colOff>
          <xdr:row>0</xdr:row>
          <xdr:rowOff>355600</xdr:rowOff>
        </xdr:to>
        <xdr:sp macro="" textlink="">
          <xdr:nvSpPr>
            <xdr:cNvPr id="10252" name="Button 12" hidden="1">
              <a:extLst>
                <a:ext uri="{63B3BB69-23CF-44E3-9099-C40C66FF867C}">
                  <a14:compatExt spid="_x0000_s10252"/>
                </a:ext>
                <a:ext uri="{FF2B5EF4-FFF2-40B4-BE49-F238E27FC236}">
                  <a16:creationId xmlns:a16="http://schemas.microsoft.com/office/drawing/2014/main" id="{00000000-0008-0000-0C00-00000C280000}"/>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GB" sz="8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4</xdr:col>
      <xdr:colOff>342900</xdr:colOff>
      <xdr:row>0</xdr:row>
      <xdr:rowOff>38101</xdr:rowOff>
    </xdr:from>
    <xdr:to>
      <xdr:col>5</xdr:col>
      <xdr:colOff>764700</xdr:colOff>
      <xdr:row>0</xdr:row>
      <xdr:rowOff>361951</xdr:rowOff>
    </xdr:to>
    <xdr:sp macro="" textlink="">
      <xdr:nvSpPr>
        <xdr:cNvPr id="2" name="1 Rectangle">
          <a:extLst>
            <a:ext uri="{FF2B5EF4-FFF2-40B4-BE49-F238E27FC236}">
              <a16:creationId xmlns:a16="http://schemas.microsoft.com/office/drawing/2014/main" id="{00000000-0008-0000-0C00-000002000000}"/>
            </a:ext>
          </a:extLst>
        </xdr:cNvPr>
        <xdr:cNvSpPr/>
      </xdr:nvSpPr>
      <xdr:spPr>
        <a:xfrm>
          <a:off x="3943350" y="38101"/>
          <a:ext cx="1260000" cy="323850"/>
        </a:xfrm>
        <a:prstGeom prst="rect">
          <a:avLst/>
        </a:prstGeom>
        <a:solidFill>
          <a:schemeClr val="bg1">
            <a:lumMod val="10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6</xdr:col>
      <xdr:colOff>1038223</xdr:colOff>
      <xdr:row>0</xdr:row>
      <xdr:rowOff>0</xdr:rowOff>
    </xdr:from>
    <xdr:to>
      <xdr:col>7</xdr:col>
      <xdr:colOff>1171574</xdr:colOff>
      <xdr:row>0</xdr:row>
      <xdr:rowOff>361950</xdr:rowOff>
    </xdr:to>
    <xdr:sp macro="[0]!go_to_delay_perception" textlink="">
      <xdr:nvSpPr>
        <xdr:cNvPr id="10" name="9 Flecha derecha">
          <a:extLst>
            <a:ext uri="{FF2B5EF4-FFF2-40B4-BE49-F238E27FC236}">
              <a16:creationId xmlns:a16="http://schemas.microsoft.com/office/drawing/2014/main" id="{00000000-0008-0000-0C00-00000A000000}"/>
            </a:ext>
          </a:extLst>
        </xdr:cNvPr>
        <xdr:cNvSpPr/>
      </xdr:nvSpPr>
      <xdr:spPr>
        <a:xfrm>
          <a:off x="6581773" y="0"/>
          <a:ext cx="1238251"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30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Delay in perception</a:t>
          </a:r>
        </a:p>
      </xdr:txBody>
    </xdr:sp>
    <xdr:clientData/>
  </xdr:twoCellAnchor>
  <xdr:twoCellAnchor>
    <xdr:from>
      <xdr:col>5</xdr:col>
      <xdr:colOff>838199</xdr:colOff>
      <xdr:row>0</xdr:row>
      <xdr:rowOff>0</xdr:rowOff>
    </xdr:from>
    <xdr:to>
      <xdr:col>6</xdr:col>
      <xdr:colOff>981075</xdr:colOff>
      <xdr:row>0</xdr:row>
      <xdr:rowOff>361950</xdr:rowOff>
    </xdr:to>
    <xdr:sp macro="[0]!go_to_hysteresis" textlink="">
      <xdr:nvSpPr>
        <xdr:cNvPr id="11" name="10 Flecha derecha">
          <a:extLst>
            <a:ext uri="{FF2B5EF4-FFF2-40B4-BE49-F238E27FC236}">
              <a16:creationId xmlns:a16="http://schemas.microsoft.com/office/drawing/2014/main" id="{00000000-0008-0000-0C00-00000B000000}"/>
            </a:ext>
          </a:extLst>
        </xdr:cNvPr>
        <xdr:cNvSpPr/>
      </xdr:nvSpPr>
      <xdr:spPr>
        <a:xfrm>
          <a:off x="5276849" y="0"/>
          <a:ext cx="1247776"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56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Hysteresis</a:t>
          </a:r>
        </a:p>
      </xdr:txBody>
    </xdr:sp>
    <xdr:clientData/>
  </xdr:twoCellAnchor>
  <xdr:twoCellAnchor>
    <xdr:from>
      <xdr:col>25</xdr:col>
      <xdr:colOff>28570</xdr:colOff>
      <xdr:row>0</xdr:row>
      <xdr:rowOff>0</xdr:rowOff>
    </xdr:from>
    <xdr:to>
      <xdr:col>26</xdr:col>
      <xdr:colOff>150491</xdr:colOff>
      <xdr:row>0</xdr:row>
      <xdr:rowOff>361950</xdr:rowOff>
    </xdr:to>
    <xdr:sp macro="[0]!back_numerical_results" textlink="">
      <xdr:nvSpPr>
        <xdr:cNvPr id="13" name="12 Flecha derecha">
          <a:extLst>
            <a:ext uri="{FF2B5EF4-FFF2-40B4-BE49-F238E27FC236}">
              <a16:creationId xmlns:a16="http://schemas.microsoft.com/office/drawing/2014/main" id="{00000000-0008-0000-0C00-00000D000000}"/>
            </a:ext>
          </a:extLst>
        </xdr:cNvPr>
        <xdr:cNvSpPr/>
      </xdr:nvSpPr>
      <xdr:spPr>
        <a:xfrm flipH="1">
          <a:off x="27412945" y="0"/>
          <a:ext cx="712471"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30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Baseline</a:t>
          </a:r>
        </a:p>
      </xdr:txBody>
    </xdr:sp>
    <xdr:clientData/>
  </xdr:twoCellAnchor>
  <xdr:twoCellAnchor>
    <xdr:from>
      <xdr:col>17</xdr:col>
      <xdr:colOff>123821</xdr:colOff>
      <xdr:row>0</xdr:row>
      <xdr:rowOff>28577</xdr:rowOff>
    </xdr:from>
    <xdr:to>
      <xdr:col>18</xdr:col>
      <xdr:colOff>274317</xdr:colOff>
      <xdr:row>1</xdr:row>
      <xdr:rowOff>2</xdr:rowOff>
    </xdr:to>
    <xdr:sp macro="[0]!back_numerical_results" textlink="">
      <xdr:nvSpPr>
        <xdr:cNvPr id="14" name="13 Flecha derecha">
          <a:extLst>
            <a:ext uri="{FF2B5EF4-FFF2-40B4-BE49-F238E27FC236}">
              <a16:creationId xmlns:a16="http://schemas.microsoft.com/office/drawing/2014/main" id="{00000000-0008-0000-0C00-00000E000000}"/>
            </a:ext>
          </a:extLst>
        </xdr:cNvPr>
        <xdr:cNvSpPr>
          <a:spLocks/>
        </xdr:cNvSpPr>
      </xdr:nvSpPr>
      <xdr:spPr>
        <a:xfrm flipH="1">
          <a:off x="20888321" y="28577"/>
          <a:ext cx="712471"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30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Baseline</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120312</xdr:colOff>
      <xdr:row>7</xdr:row>
      <xdr:rowOff>170442</xdr:rowOff>
    </xdr:from>
    <xdr:to>
      <xdr:col>22</xdr:col>
      <xdr:colOff>17418</xdr:colOff>
      <xdr:row>44</xdr:row>
      <xdr:rowOff>90972</xdr:rowOff>
    </xdr:to>
    <xdr:sp macro="" textlink="">
      <xdr:nvSpPr>
        <xdr:cNvPr id="14" name="13 Rectangle">
          <a:extLst>
            <a:ext uri="{FF2B5EF4-FFF2-40B4-BE49-F238E27FC236}">
              <a16:creationId xmlns:a16="http://schemas.microsoft.com/office/drawing/2014/main" id="{00000000-0008-0000-0D00-00000E000000}"/>
            </a:ext>
          </a:extLst>
        </xdr:cNvPr>
        <xdr:cNvSpPr/>
      </xdr:nvSpPr>
      <xdr:spPr bwMode="auto">
        <a:xfrm>
          <a:off x="6025812" y="1483889"/>
          <a:ext cx="4860132" cy="7139478"/>
        </a:xfrm>
        <a:prstGeom prst="rect">
          <a:avLst/>
        </a:prstGeom>
        <a:gradFill flip="none" rotWithShape="1">
          <a:gsLst>
            <a:gs pos="78000">
              <a:srgbClr val="CCDFE4"/>
            </a:gs>
            <a:gs pos="13000">
              <a:srgbClr val="B6D5D2"/>
            </a:gs>
            <a:gs pos="33000">
              <a:srgbClr val="8AC1AE">
                <a:lumMod val="54000"/>
                <a:lumOff val="46000"/>
              </a:srgbClr>
            </a:gs>
            <a:gs pos="49000">
              <a:srgbClr val="339966">
                <a:lumMod val="14000"/>
                <a:lumOff val="86000"/>
              </a:srgbClr>
            </a:gs>
            <a:gs pos="27000">
              <a:schemeClr val="accent1">
                <a:tint val="44500"/>
                <a:satMod val="160000"/>
                <a:lumMod val="64000"/>
                <a:lumOff val="36000"/>
              </a:schemeClr>
            </a:gs>
            <a:gs pos="6000">
              <a:srgbClr val="DBE6F0"/>
            </a:gs>
            <a:gs pos="93000">
              <a:srgbClr val="DAE5EF"/>
            </a:gs>
            <a:gs pos="84000">
              <a:srgbClr val="DCE6F1"/>
            </a:gs>
            <a:gs pos="73000">
              <a:srgbClr val="D7E4ED"/>
            </a:gs>
            <a:gs pos="63000">
              <a:schemeClr val="accent1">
                <a:tint val="23500"/>
                <a:satMod val="160000"/>
              </a:schemeClr>
            </a:gs>
          </a:gsLst>
          <a:lin ang="2700000" scaled="1"/>
          <a:tileRect/>
        </a:gra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endParaRPr lang="es-ES" sz="1100"/>
        </a:p>
      </xdr:txBody>
    </xdr:sp>
    <xdr:clientData/>
  </xdr:twoCellAnchor>
  <xdr:twoCellAnchor>
    <xdr:from>
      <xdr:col>15</xdr:col>
      <xdr:colOff>162952</xdr:colOff>
      <xdr:row>29</xdr:row>
      <xdr:rowOff>34622</xdr:rowOff>
    </xdr:from>
    <xdr:to>
      <xdr:col>21</xdr:col>
      <xdr:colOff>1003958</xdr:colOff>
      <xdr:row>44</xdr:row>
      <xdr:rowOff>23514</xdr:rowOff>
    </xdr:to>
    <xdr:graphicFrame macro="">
      <xdr:nvGraphicFramePr>
        <xdr:cNvPr id="19494" name="Chart 2">
          <a:extLst>
            <a:ext uri="{FF2B5EF4-FFF2-40B4-BE49-F238E27FC236}">
              <a16:creationId xmlns:a16="http://schemas.microsoft.com/office/drawing/2014/main" id="{00000000-0008-0000-0D00-000026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162952</xdr:colOff>
      <xdr:row>18</xdr:row>
      <xdr:rowOff>181251</xdr:rowOff>
    </xdr:from>
    <xdr:to>
      <xdr:col>21</xdr:col>
      <xdr:colOff>1003958</xdr:colOff>
      <xdr:row>29</xdr:row>
      <xdr:rowOff>141172</xdr:rowOff>
    </xdr:to>
    <xdr:graphicFrame macro="">
      <xdr:nvGraphicFramePr>
        <xdr:cNvPr id="19495" name="Chart 3">
          <a:extLst>
            <a:ext uri="{FF2B5EF4-FFF2-40B4-BE49-F238E27FC236}">
              <a16:creationId xmlns:a16="http://schemas.microsoft.com/office/drawing/2014/main" id="{00000000-0008-0000-0D00-000027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160760</xdr:colOff>
      <xdr:row>7</xdr:row>
      <xdr:rowOff>191020</xdr:rowOff>
    </xdr:from>
    <xdr:to>
      <xdr:col>21</xdr:col>
      <xdr:colOff>1006150</xdr:colOff>
      <xdr:row>18</xdr:row>
      <xdr:rowOff>76934</xdr:rowOff>
    </xdr:to>
    <xdr:graphicFrame macro="">
      <xdr:nvGraphicFramePr>
        <xdr:cNvPr id="19496" name="Chart 4">
          <a:extLst>
            <a:ext uri="{FF2B5EF4-FFF2-40B4-BE49-F238E27FC236}">
              <a16:creationId xmlns:a16="http://schemas.microsoft.com/office/drawing/2014/main" id="{00000000-0008-0000-0D00-000028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0</xdr:colOff>
      <xdr:row>66</xdr:row>
      <xdr:rowOff>142875</xdr:rowOff>
    </xdr:from>
    <xdr:to>
      <xdr:col>20</xdr:col>
      <xdr:colOff>571500</xdr:colOff>
      <xdr:row>83</xdr:row>
      <xdr:rowOff>133350</xdr:rowOff>
    </xdr:to>
    <xdr:graphicFrame macro="">
      <xdr:nvGraphicFramePr>
        <xdr:cNvPr id="19497" name="Chart 5">
          <a:extLst>
            <a:ext uri="{FF2B5EF4-FFF2-40B4-BE49-F238E27FC236}">
              <a16:creationId xmlns:a16="http://schemas.microsoft.com/office/drawing/2014/main" id="{00000000-0008-0000-0D00-000029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xdr:from>
          <xdr:col>1</xdr:col>
          <xdr:colOff>69850</xdr:colOff>
          <xdr:row>2</xdr:row>
          <xdr:rowOff>133350</xdr:rowOff>
        </xdr:from>
        <xdr:to>
          <xdr:col>5</xdr:col>
          <xdr:colOff>190500</xdr:colOff>
          <xdr:row>6</xdr:row>
          <xdr:rowOff>19050</xdr:rowOff>
        </xdr:to>
        <xdr:sp macro="" textlink="">
          <xdr:nvSpPr>
            <xdr:cNvPr id="19464" name="Button 8" hidden="1">
              <a:extLst>
                <a:ext uri="{63B3BB69-23CF-44E3-9099-C40C66FF867C}">
                  <a14:compatExt spid="_x0000_s19464"/>
                </a:ext>
                <a:ext uri="{FF2B5EF4-FFF2-40B4-BE49-F238E27FC236}">
                  <a16:creationId xmlns:a16="http://schemas.microsoft.com/office/drawing/2014/main" id="{00000000-0008-0000-0D00-000008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20</xdr:col>
          <xdr:colOff>146050</xdr:colOff>
          <xdr:row>3</xdr:row>
          <xdr:rowOff>69850</xdr:rowOff>
        </xdr:from>
        <xdr:to>
          <xdr:col>21</xdr:col>
          <xdr:colOff>717550</xdr:colOff>
          <xdr:row>6</xdr:row>
          <xdr:rowOff>19050</xdr:rowOff>
        </xdr:to>
        <xdr:sp macro="" textlink="">
          <xdr:nvSpPr>
            <xdr:cNvPr id="19466" name="Button 10" hidden="1">
              <a:extLst>
                <a:ext uri="{63B3BB69-23CF-44E3-9099-C40C66FF867C}">
                  <a14:compatExt spid="_x0000_s19466"/>
                </a:ext>
                <a:ext uri="{FF2B5EF4-FFF2-40B4-BE49-F238E27FC236}">
                  <a16:creationId xmlns:a16="http://schemas.microsoft.com/office/drawing/2014/main" id="{00000000-0008-0000-0D00-00000A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Hard</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279400</xdr:colOff>
          <xdr:row>2</xdr:row>
          <xdr:rowOff>133350</xdr:rowOff>
        </xdr:from>
        <xdr:to>
          <xdr:col>7</xdr:col>
          <xdr:colOff>171450</xdr:colOff>
          <xdr:row>6</xdr:row>
          <xdr:rowOff>19050</xdr:rowOff>
        </xdr:to>
        <xdr:sp macro="" textlink="">
          <xdr:nvSpPr>
            <xdr:cNvPr id="19469" name="Button 13" hidden="1">
              <a:extLst>
                <a:ext uri="{63B3BB69-23CF-44E3-9099-C40C66FF867C}">
                  <a14:compatExt spid="_x0000_s19469"/>
                </a:ext>
                <a:ext uri="{FF2B5EF4-FFF2-40B4-BE49-F238E27FC236}">
                  <a16:creationId xmlns:a16="http://schemas.microsoft.com/office/drawing/2014/main" id="{00000000-0008-0000-0D00-00000D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How to play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19050</xdr:colOff>
          <xdr:row>14</xdr:row>
          <xdr:rowOff>31750</xdr:rowOff>
        </xdr:from>
        <xdr:to>
          <xdr:col>10</xdr:col>
          <xdr:colOff>603250</xdr:colOff>
          <xdr:row>14</xdr:row>
          <xdr:rowOff>184150</xdr:rowOff>
        </xdr:to>
        <xdr:sp macro="" textlink="">
          <xdr:nvSpPr>
            <xdr:cNvPr id="19474" name="Scroll Bar 18" hidden="1">
              <a:extLst>
                <a:ext uri="{63B3BB69-23CF-44E3-9099-C40C66FF867C}">
                  <a14:compatExt spid="_x0000_s19474"/>
                </a:ext>
                <a:ext uri="{FF2B5EF4-FFF2-40B4-BE49-F238E27FC236}">
                  <a16:creationId xmlns:a16="http://schemas.microsoft.com/office/drawing/2014/main" id="{00000000-0008-0000-0D00-0000124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266700</xdr:colOff>
          <xdr:row>3</xdr:row>
          <xdr:rowOff>76200</xdr:rowOff>
        </xdr:from>
        <xdr:to>
          <xdr:col>17</xdr:col>
          <xdr:colOff>546100</xdr:colOff>
          <xdr:row>6</xdr:row>
          <xdr:rowOff>19050</xdr:rowOff>
        </xdr:to>
        <xdr:sp macro="" textlink="">
          <xdr:nvSpPr>
            <xdr:cNvPr id="19476" name="Button 20" hidden="1">
              <a:extLst>
                <a:ext uri="{63B3BB69-23CF-44E3-9099-C40C66FF867C}">
                  <a14:compatExt spid="_x0000_s19476"/>
                </a:ext>
                <a:ext uri="{FF2B5EF4-FFF2-40B4-BE49-F238E27FC236}">
                  <a16:creationId xmlns:a16="http://schemas.microsoft.com/office/drawing/2014/main" id="{00000000-0008-0000-0D00-000014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Easy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533400</xdr:colOff>
          <xdr:row>2</xdr:row>
          <xdr:rowOff>133350</xdr:rowOff>
        </xdr:from>
        <xdr:to>
          <xdr:col>9</xdr:col>
          <xdr:colOff>660400</xdr:colOff>
          <xdr:row>6</xdr:row>
          <xdr:rowOff>38100</xdr:rowOff>
        </xdr:to>
        <xdr:sp macro="" textlink="">
          <xdr:nvSpPr>
            <xdr:cNvPr id="19483" name="Button 27" hidden="1">
              <a:extLst>
                <a:ext uri="{63B3BB69-23CF-44E3-9099-C40C66FF867C}">
                  <a14:compatExt spid="_x0000_s19483"/>
                </a:ext>
                <a:ext uri="{FF2B5EF4-FFF2-40B4-BE49-F238E27FC236}">
                  <a16:creationId xmlns:a16="http://schemas.microsoft.com/office/drawing/2014/main" id="{00000000-0008-0000-0D00-00001B4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0" i="0" u="none" strike="noStrike" baseline="0">
                  <a:solidFill>
                    <a:srgbClr val="000000"/>
                  </a:solidFill>
                  <a:latin typeface="Times New Roman"/>
                  <a:cs typeface="Times New Roman"/>
                </a:rPr>
                <a:t>Print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127000</xdr:colOff>
          <xdr:row>2</xdr:row>
          <xdr:rowOff>133350</xdr:rowOff>
        </xdr:from>
        <xdr:to>
          <xdr:col>12</xdr:col>
          <xdr:colOff>50800</xdr:colOff>
          <xdr:row>6</xdr:row>
          <xdr:rowOff>31750</xdr:rowOff>
        </xdr:to>
        <xdr:sp macro="" textlink="">
          <xdr:nvSpPr>
            <xdr:cNvPr id="19484" name="Button 28" hidden="1">
              <a:extLst>
                <a:ext uri="{63B3BB69-23CF-44E3-9099-C40C66FF867C}">
                  <a14:compatExt spid="_x0000_s19484"/>
                </a:ext>
                <a:ext uri="{FF2B5EF4-FFF2-40B4-BE49-F238E27FC236}">
                  <a16:creationId xmlns:a16="http://schemas.microsoft.com/office/drawing/2014/main" id="{00000000-0008-0000-0D00-00001C4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0" i="0" u="none" strike="noStrike" baseline="0">
                  <a:solidFill>
                    <a:srgbClr val="000000"/>
                  </a:solidFill>
                  <a:latin typeface="Times New Roman"/>
                  <a:cs typeface="Times New Roman"/>
                </a:rPr>
                <a:t>Evaluate your policy choice</a:t>
              </a:r>
            </a:p>
          </xdr:txBody>
        </xdr:sp>
        <xdr:clientData fPrintsWithSheet="0"/>
      </xdr:twoCellAnchor>
    </mc:Choice>
    <mc:Fallback/>
  </mc:AlternateContent>
  <xdr:twoCellAnchor>
    <xdr:from>
      <xdr:col>10</xdr:col>
      <xdr:colOff>78288</xdr:colOff>
      <xdr:row>2</xdr:row>
      <xdr:rowOff>39143</xdr:rowOff>
    </xdr:from>
    <xdr:to>
      <xdr:col>12</xdr:col>
      <xdr:colOff>104383</xdr:colOff>
      <xdr:row>6</xdr:row>
      <xdr:rowOff>143528</xdr:rowOff>
    </xdr:to>
    <xdr:sp macro="" textlink="">
      <xdr:nvSpPr>
        <xdr:cNvPr id="5" name="1 Rectangle">
          <a:extLst>
            <a:ext uri="{FF2B5EF4-FFF2-40B4-BE49-F238E27FC236}">
              <a16:creationId xmlns:a16="http://schemas.microsoft.com/office/drawing/2014/main" id="{00000000-0008-0000-0D00-000005000000}"/>
            </a:ext>
          </a:extLst>
        </xdr:cNvPr>
        <xdr:cNvSpPr/>
      </xdr:nvSpPr>
      <xdr:spPr>
        <a:xfrm>
          <a:off x="4266678" y="378390"/>
          <a:ext cx="926404" cy="874213"/>
        </a:xfrm>
        <a:prstGeom prst="rect">
          <a:avLst/>
        </a:prstGeom>
        <a:solidFill>
          <a:schemeClr val="bg1">
            <a:lumMod val="10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18</xdr:col>
          <xdr:colOff>412750</xdr:colOff>
          <xdr:row>3</xdr:row>
          <xdr:rowOff>69850</xdr:rowOff>
        </xdr:from>
        <xdr:to>
          <xdr:col>19</xdr:col>
          <xdr:colOff>933450</xdr:colOff>
          <xdr:row>6</xdr:row>
          <xdr:rowOff>19050</xdr:rowOff>
        </xdr:to>
        <xdr:sp macro="" textlink="">
          <xdr:nvSpPr>
            <xdr:cNvPr id="19485" name="Button 29" hidden="1">
              <a:extLst>
                <a:ext uri="{63B3BB69-23CF-44E3-9099-C40C66FF867C}">
                  <a14:compatExt spid="_x0000_s19485"/>
                </a:ext>
                <a:ext uri="{FF2B5EF4-FFF2-40B4-BE49-F238E27FC236}">
                  <a16:creationId xmlns:a16="http://schemas.microsoft.com/office/drawing/2014/main" id="{00000000-0008-0000-0D00-00001D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Medium</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279400</xdr:colOff>
          <xdr:row>2</xdr:row>
          <xdr:rowOff>133350</xdr:rowOff>
        </xdr:from>
        <xdr:to>
          <xdr:col>8</xdr:col>
          <xdr:colOff>412750</xdr:colOff>
          <xdr:row>6</xdr:row>
          <xdr:rowOff>38100</xdr:rowOff>
        </xdr:to>
        <xdr:sp macro="" textlink="">
          <xdr:nvSpPr>
            <xdr:cNvPr id="19486" name="Button 30" hidden="1">
              <a:extLst>
                <a:ext uri="{63B3BB69-23CF-44E3-9099-C40C66FF867C}">
                  <a14:compatExt spid="_x0000_s19486"/>
                </a:ext>
                <a:ext uri="{FF2B5EF4-FFF2-40B4-BE49-F238E27FC236}">
                  <a16:creationId xmlns:a16="http://schemas.microsoft.com/office/drawing/2014/main" id="{00000000-0008-0000-0D00-00001E4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0" i="0" u="none" strike="noStrike" baseline="0">
                  <a:solidFill>
                    <a:srgbClr val="000000"/>
                  </a:solidFill>
                  <a:latin typeface="Times New Roman"/>
                  <a:cs typeface="Times New Roman"/>
                </a:rPr>
                <a:t>Reset</a:t>
              </a:r>
            </a:p>
          </xdr:txBody>
        </xdr:sp>
        <xdr:clientData fPrint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1</xdr:col>
      <xdr:colOff>85725</xdr:colOff>
      <xdr:row>15</xdr:row>
      <xdr:rowOff>142875</xdr:rowOff>
    </xdr:from>
    <xdr:to>
      <xdr:col>6</xdr:col>
      <xdr:colOff>9524</xdr:colOff>
      <xdr:row>29</xdr:row>
      <xdr:rowOff>9525</xdr:rowOff>
    </xdr:to>
    <xdr:graphicFrame macro="">
      <xdr:nvGraphicFramePr>
        <xdr:cNvPr id="7" name="6 Gráfico">
          <a:extLst>
            <a:ext uri="{FF2B5EF4-FFF2-40B4-BE49-F238E27FC236}">
              <a16:creationId xmlns:a16="http://schemas.microsoft.com/office/drawing/2014/main" id="{00000000-0008-0000-1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11</xdr:col>
          <xdr:colOff>50800</xdr:colOff>
          <xdr:row>11</xdr:row>
          <xdr:rowOff>0</xdr:rowOff>
        </xdr:from>
        <xdr:to>
          <xdr:col>11</xdr:col>
          <xdr:colOff>488950</xdr:colOff>
          <xdr:row>13</xdr:row>
          <xdr:rowOff>146050</xdr:rowOff>
        </xdr:to>
        <xdr:sp macro="" textlink="">
          <xdr:nvSpPr>
            <xdr:cNvPr id="55313" name="Button 17" hidden="1">
              <a:extLst>
                <a:ext uri="{63B3BB69-23CF-44E3-9099-C40C66FF867C}">
                  <a14:compatExt spid="_x0000_s55313"/>
                </a:ext>
                <a:ext uri="{FF2B5EF4-FFF2-40B4-BE49-F238E27FC236}">
                  <a16:creationId xmlns:a16="http://schemas.microsoft.com/office/drawing/2014/main" id="{00000000-0008-0000-1100-000011D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900" b="0" i="0" u="none" strike="noStrike" baseline="0">
                  <a:solidFill>
                    <a:srgbClr val="000000"/>
                  </a:solidFill>
                  <a:latin typeface="Arial"/>
                  <a:cs typeface="Arial"/>
                </a:rPr>
                <a:t>Yes</a:t>
              </a:r>
            </a:p>
          </xdr:txBody>
        </xdr:sp>
        <xdr:clientData fPrintsWithSheet="0"/>
      </xdr:twoCellAnchor>
    </mc:Choice>
    <mc:Fallback/>
  </mc:AlternateContent>
  <xdr:twoCellAnchor>
    <xdr:from>
      <xdr:col>11</xdr:col>
      <xdr:colOff>17638</xdr:colOff>
      <xdr:row>10</xdr:row>
      <xdr:rowOff>132292</xdr:rowOff>
    </xdr:from>
    <xdr:to>
      <xdr:col>11</xdr:col>
      <xdr:colOff>546805</xdr:colOff>
      <xdr:row>14</xdr:row>
      <xdr:rowOff>17640</xdr:rowOff>
    </xdr:to>
    <xdr:sp macro="" textlink="">
      <xdr:nvSpPr>
        <xdr:cNvPr id="2" name="1 Rectangle">
          <a:extLst>
            <a:ext uri="{FF2B5EF4-FFF2-40B4-BE49-F238E27FC236}">
              <a16:creationId xmlns:a16="http://schemas.microsoft.com/office/drawing/2014/main" id="{00000000-0008-0000-1100-000002000000}"/>
            </a:ext>
          </a:extLst>
        </xdr:cNvPr>
        <xdr:cNvSpPr/>
      </xdr:nvSpPr>
      <xdr:spPr>
        <a:xfrm>
          <a:off x="8454067" y="2626935"/>
          <a:ext cx="529167" cy="538491"/>
        </a:xfrm>
        <a:prstGeom prst="rect">
          <a:avLst/>
        </a:prstGeom>
        <a:pattFill prst="ltDnDiag">
          <a:fgClr>
            <a:srgbClr val="00FF00"/>
          </a:fgClr>
          <a:bgClr>
            <a:srgbClr val="FFFFFF">
              <a:lumMod val="100000"/>
            </a:srgb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6</xdr:col>
          <xdr:colOff>222250</xdr:colOff>
          <xdr:row>5</xdr:row>
          <xdr:rowOff>69850</xdr:rowOff>
        </xdr:from>
        <xdr:to>
          <xdr:col>8</xdr:col>
          <xdr:colOff>171450</xdr:colOff>
          <xdr:row>6</xdr:row>
          <xdr:rowOff>228600</xdr:rowOff>
        </xdr:to>
        <xdr:sp macro="" textlink="">
          <xdr:nvSpPr>
            <xdr:cNvPr id="55315" name="Button 19" hidden="1">
              <a:extLst>
                <a:ext uri="{63B3BB69-23CF-44E3-9099-C40C66FF867C}">
                  <a14:compatExt spid="_x0000_s55315"/>
                </a:ext>
                <a:ext uri="{FF2B5EF4-FFF2-40B4-BE49-F238E27FC236}">
                  <a16:creationId xmlns:a16="http://schemas.microsoft.com/office/drawing/2014/main" id="{00000000-0008-0000-1100-000013D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Back</a:t>
              </a:r>
            </a:p>
          </xdr:txBody>
        </xdr:sp>
        <xdr:clientData fPrintsWithSheet="0"/>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1</xdr:col>
      <xdr:colOff>514350</xdr:colOff>
      <xdr:row>19</xdr:row>
      <xdr:rowOff>100012</xdr:rowOff>
    </xdr:from>
    <xdr:to>
      <xdr:col>7</xdr:col>
      <xdr:colOff>622350</xdr:colOff>
      <xdr:row>36</xdr:row>
      <xdr:rowOff>155287</xdr:rowOff>
    </xdr:to>
    <xdr:graphicFrame macro="">
      <xdr:nvGraphicFramePr>
        <xdr:cNvPr id="22663" name="GDP_compare">
          <a:extLst>
            <a:ext uri="{FF2B5EF4-FFF2-40B4-BE49-F238E27FC236}">
              <a16:creationId xmlns:a16="http://schemas.microsoft.com/office/drawing/2014/main" id="{00000000-0008-0000-1300-000087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685799</xdr:colOff>
      <xdr:row>19</xdr:row>
      <xdr:rowOff>100012</xdr:rowOff>
    </xdr:from>
    <xdr:to>
      <xdr:col>13</xdr:col>
      <xdr:colOff>793799</xdr:colOff>
      <xdr:row>36</xdr:row>
      <xdr:rowOff>155287</xdr:rowOff>
    </xdr:to>
    <xdr:graphicFrame macro="">
      <xdr:nvGraphicFramePr>
        <xdr:cNvPr id="22664" name="growth_compare">
          <a:extLst>
            <a:ext uri="{FF2B5EF4-FFF2-40B4-BE49-F238E27FC236}">
              <a16:creationId xmlns:a16="http://schemas.microsoft.com/office/drawing/2014/main" id="{00000000-0008-0000-1300-000088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514350</xdr:colOff>
      <xdr:row>41</xdr:row>
      <xdr:rowOff>76200</xdr:rowOff>
    </xdr:from>
    <xdr:to>
      <xdr:col>7</xdr:col>
      <xdr:colOff>622350</xdr:colOff>
      <xdr:row>58</xdr:row>
      <xdr:rowOff>131475</xdr:rowOff>
    </xdr:to>
    <xdr:graphicFrame macro="">
      <xdr:nvGraphicFramePr>
        <xdr:cNvPr id="22665" name="primary_budget_compare">
          <a:extLst>
            <a:ext uri="{FF2B5EF4-FFF2-40B4-BE49-F238E27FC236}">
              <a16:creationId xmlns:a16="http://schemas.microsoft.com/office/drawing/2014/main" id="{00000000-0008-0000-1300-000089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685799</xdr:colOff>
      <xdr:row>41</xdr:row>
      <xdr:rowOff>76200</xdr:rowOff>
    </xdr:from>
    <xdr:to>
      <xdr:col>13</xdr:col>
      <xdr:colOff>793799</xdr:colOff>
      <xdr:row>58</xdr:row>
      <xdr:rowOff>131475</xdr:rowOff>
    </xdr:to>
    <xdr:graphicFrame macro="">
      <xdr:nvGraphicFramePr>
        <xdr:cNvPr id="22666" name="total_budget_compare">
          <a:extLst>
            <a:ext uri="{FF2B5EF4-FFF2-40B4-BE49-F238E27FC236}">
              <a16:creationId xmlns:a16="http://schemas.microsoft.com/office/drawing/2014/main" id="{00000000-0008-0000-1300-00008A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514349</xdr:colOff>
      <xdr:row>59</xdr:row>
      <xdr:rowOff>57150</xdr:rowOff>
    </xdr:from>
    <xdr:to>
      <xdr:col>13</xdr:col>
      <xdr:colOff>800100</xdr:colOff>
      <xdr:row>76</xdr:row>
      <xdr:rowOff>112425</xdr:rowOff>
    </xdr:to>
    <xdr:graphicFrame macro="">
      <xdr:nvGraphicFramePr>
        <xdr:cNvPr id="22667" name="debt_compare">
          <a:extLst>
            <a:ext uri="{FF2B5EF4-FFF2-40B4-BE49-F238E27FC236}">
              <a16:creationId xmlns:a16="http://schemas.microsoft.com/office/drawing/2014/main" id="{00000000-0008-0000-1300-00008B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514350</xdr:colOff>
      <xdr:row>1</xdr:row>
      <xdr:rowOff>123825</xdr:rowOff>
    </xdr:from>
    <xdr:to>
      <xdr:col>7</xdr:col>
      <xdr:colOff>622350</xdr:colOff>
      <xdr:row>19</xdr:row>
      <xdr:rowOff>17175</xdr:rowOff>
    </xdr:to>
    <xdr:graphicFrame macro="">
      <xdr:nvGraphicFramePr>
        <xdr:cNvPr id="22668" name="inflation_compare">
          <a:extLst>
            <a:ext uri="{FF2B5EF4-FFF2-40B4-BE49-F238E27FC236}">
              <a16:creationId xmlns:a16="http://schemas.microsoft.com/office/drawing/2014/main" id="{00000000-0008-0000-1300-00008C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685799</xdr:colOff>
      <xdr:row>1</xdr:row>
      <xdr:rowOff>123825</xdr:rowOff>
    </xdr:from>
    <xdr:to>
      <xdr:col>13</xdr:col>
      <xdr:colOff>793799</xdr:colOff>
      <xdr:row>19</xdr:row>
      <xdr:rowOff>17175</xdr:rowOff>
    </xdr:to>
    <xdr:graphicFrame macro="">
      <xdr:nvGraphicFramePr>
        <xdr:cNvPr id="22669" name="interest_rates_compare">
          <a:extLst>
            <a:ext uri="{FF2B5EF4-FFF2-40B4-BE49-F238E27FC236}">
              <a16:creationId xmlns:a16="http://schemas.microsoft.com/office/drawing/2014/main" id="{00000000-0008-0000-1300-00008D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514350</xdr:colOff>
      <xdr:row>79</xdr:row>
      <xdr:rowOff>119062</xdr:rowOff>
    </xdr:from>
    <xdr:to>
      <xdr:col>7</xdr:col>
      <xdr:colOff>622350</xdr:colOff>
      <xdr:row>97</xdr:row>
      <xdr:rowOff>12412</xdr:rowOff>
    </xdr:to>
    <xdr:graphicFrame macro="">
      <xdr:nvGraphicFramePr>
        <xdr:cNvPr id="22670" name="real_exchange">
          <a:extLst>
            <a:ext uri="{FF2B5EF4-FFF2-40B4-BE49-F238E27FC236}">
              <a16:creationId xmlns:a16="http://schemas.microsoft.com/office/drawing/2014/main" id="{00000000-0008-0000-1300-00008E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685799</xdr:colOff>
      <xdr:row>79</xdr:row>
      <xdr:rowOff>119062</xdr:rowOff>
    </xdr:from>
    <xdr:to>
      <xdr:col>13</xdr:col>
      <xdr:colOff>793799</xdr:colOff>
      <xdr:row>97</xdr:row>
      <xdr:rowOff>12412</xdr:rowOff>
    </xdr:to>
    <xdr:graphicFrame macro="">
      <xdr:nvGraphicFramePr>
        <xdr:cNvPr id="22671" name="nominal_exchange">
          <a:extLst>
            <a:ext uri="{FF2B5EF4-FFF2-40B4-BE49-F238E27FC236}">
              <a16:creationId xmlns:a16="http://schemas.microsoft.com/office/drawing/2014/main" id="{00000000-0008-0000-1300-00008F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514350</xdr:colOff>
      <xdr:row>97</xdr:row>
      <xdr:rowOff>82874</xdr:rowOff>
    </xdr:from>
    <xdr:to>
      <xdr:col>7</xdr:col>
      <xdr:colOff>622350</xdr:colOff>
      <xdr:row>114</xdr:row>
      <xdr:rowOff>138149</xdr:rowOff>
    </xdr:to>
    <xdr:graphicFrame macro="">
      <xdr:nvGraphicFramePr>
        <xdr:cNvPr id="22672" name="trade_balance">
          <a:extLst>
            <a:ext uri="{FF2B5EF4-FFF2-40B4-BE49-F238E27FC236}">
              <a16:creationId xmlns:a16="http://schemas.microsoft.com/office/drawing/2014/main" id="{00000000-0008-0000-1300-000090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685799</xdr:colOff>
      <xdr:row>97</xdr:row>
      <xdr:rowOff>82874</xdr:rowOff>
    </xdr:from>
    <xdr:to>
      <xdr:col>13</xdr:col>
      <xdr:colOff>793799</xdr:colOff>
      <xdr:row>114</xdr:row>
      <xdr:rowOff>138149</xdr:rowOff>
    </xdr:to>
    <xdr:graphicFrame macro="">
      <xdr:nvGraphicFramePr>
        <xdr:cNvPr id="22673" name="current_account">
          <a:extLst>
            <a:ext uri="{FF2B5EF4-FFF2-40B4-BE49-F238E27FC236}">
              <a16:creationId xmlns:a16="http://schemas.microsoft.com/office/drawing/2014/main" id="{00000000-0008-0000-1300-000091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504823</xdr:colOff>
      <xdr:row>115</xdr:row>
      <xdr:rowOff>47624</xdr:rowOff>
    </xdr:from>
    <xdr:to>
      <xdr:col>13</xdr:col>
      <xdr:colOff>790574</xdr:colOff>
      <xdr:row>132</xdr:row>
      <xdr:rowOff>102899</xdr:rowOff>
    </xdr:to>
    <xdr:graphicFrame macro="">
      <xdr:nvGraphicFramePr>
        <xdr:cNvPr id="22674" name="niip">
          <a:extLst>
            <a:ext uri="{FF2B5EF4-FFF2-40B4-BE49-F238E27FC236}">
              <a16:creationId xmlns:a16="http://schemas.microsoft.com/office/drawing/2014/main" id="{00000000-0008-0000-1300-000092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390525</xdr:colOff>
      <xdr:row>0</xdr:row>
      <xdr:rowOff>142876</xdr:rowOff>
    </xdr:from>
    <xdr:to>
      <xdr:col>13</xdr:col>
      <xdr:colOff>895350</xdr:colOff>
      <xdr:row>37</xdr:row>
      <xdr:rowOff>114301</xdr:rowOff>
    </xdr:to>
    <xdr:sp macro="" textlink="">
      <xdr:nvSpPr>
        <xdr:cNvPr id="22559" name="Rectangle 31">
          <a:extLst>
            <a:ext uri="{FF2B5EF4-FFF2-40B4-BE49-F238E27FC236}">
              <a16:creationId xmlns:a16="http://schemas.microsoft.com/office/drawing/2014/main" id="{00000000-0008-0000-1300-00001F580000}"/>
            </a:ext>
          </a:extLst>
        </xdr:cNvPr>
        <xdr:cNvSpPr>
          <a:spLocks noChangeArrowheads="1"/>
        </xdr:cNvSpPr>
      </xdr:nvSpPr>
      <xdr:spPr bwMode="auto">
        <a:xfrm>
          <a:off x="1152525" y="142876"/>
          <a:ext cx="9648825" cy="5962650"/>
        </a:xfrm>
        <a:prstGeom prst="rect">
          <a:avLst/>
        </a:prstGeom>
        <a:noFill/>
        <a:ln w="25400" algn="ctr">
          <a:solidFill>
            <a:srgbClr val="00CCFF"/>
          </a:solidFill>
          <a:miter lim="800000"/>
          <a:headEnd/>
          <a:tailEnd/>
        </a:ln>
        <a:effectLst>
          <a:outerShdw dist="35921" dir="2700000" algn="ctr" rotWithShape="0">
            <a:srgbClr val="000000"/>
          </a:outerShdw>
        </a:effectLst>
      </xdr:spPr>
    </xdr:sp>
    <xdr:clientData/>
  </xdr:twoCellAnchor>
  <xdr:twoCellAnchor>
    <xdr:from>
      <xdr:col>1</xdr:col>
      <xdr:colOff>390525</xdr:colOff>
      <xdr:row>40</xdr:row>
      <xdr:rowOff>104775</xdr:rowOff>
    </xdr:from>
    <xdr:to>
      <xdr:col>13</xdr:col>
      <xdr:colOff>894525</xdr:colOff>
      <xdr:row>77</xdr:row>
      <xdr:rowOff>57150</xdr:rowOff>
    </xdr:to>
    <xdr:sp macro="" textlink="">
      <xdr:nvSpPr>
        <xdr:cNvPr id="22561" name="Rectangle 33">
          <a:extLst>
            <a:ext uri="{FF2B5EF4-FFF2-40B4-BE49-F238E27FC236}">
              <a16:creationId xmlns:a16="http://schemas.microsoft.com/office/drawing/2014/main" id="{00000000-0008-0000-1300-000021580000}"/>
            </a:ext>
          </a:extLst>
        </xdr:cNvPr>
        <xdr:cNvSpPr>
          <a:spLocks noChangeArrowheads="1"/>
        </xdr:cNvSpPr>
      </xdr:nvSpPr>
      <xdr:spPr bwMode="auto">
        <a:xfrm>
          <a:off x="1152525" y="6581775"/>
          <a:ext cx="9648000" cy="5943600"/>
        </a:xfrm>
        <a:prstGeom prst="rect">
          <a:avLst/>
        </a:prstGeom>
        <a:noFill/>
        <a:ln w="25400" algn="ctr">
          <a:solidFill>
            <a:srgbClr val="00CCFF"/>
          </a:solidFill>
          <a:miter lim="800000"/>
          <a:headEnd/>
          <a:tailEnd/>
        </a:ln>
        <a:effectLst>
          <a:outerShdw dist="35921" dir="2700000" algn="ctr" rotWithShape="0">
            <a:srgbClr val="000000"/>
          </a:outerShdw>
        </a:effectLst>
      </xdr:spPr>
    </xdr:sp>
    <xdr:clientData/>
  </xdr:twoCellAnchor>
  <xdr:twoCellAnchor>
    <xdr:from>
      <xdr:col>1</xdr:col>
      <xdr:colOff>390525</xdr:colOff>
      <xdr:row>78</xdr:row>
      <xdr:rowOff>152399</xdr:rowOff>
    </xdr:from>
    <xdr:to>
      <xdr:col>13</xdr:col>
      <xdr:colOff>894525</xdr:colOff>
      <xdr:row>133</xdr:row>
      <xdr:rowOff>57149</xdr:rowOff>
    </xdr:to>
    <xdr:sp macro="" textlink="">
      <xdr:nvSpPr>
        <xdr:cNvPr id="22562" name="Rectangle 34">
          <a:extLst>
            <a:ext uri="{FF2B5EF4-FFF2-40B4-BE49-F238E27FC236}">
              <a16:creationId xmlns:a16="http://schemas.microsoft.com/office/drawing/2014/main" id="{00000000-0008-0000-1300-000022580000}"/>
            </a:ext>
          </a:extLst>
        </xdr:cNvPr>
        <xdr:cNvSpPr>
          <a:spLocks noChangeArrowheads="1"/>
        </xdr:cNvSpPr>
      </xdr:nvSpPr>
      <xdr:spPr bwMode="auto">
        <a:xfrm>
          <a:off x="1152525" y="12782549"/>
          <a:ext cx="9648000" cy="8810625"/>
        </a:xfrm>
        <a:prstGeom prst="rect">
          <a:avLst/>
        </a:prstGeom>
        <a:noFill/>
        <a:ln w="25400" algn="ctr">
          <a:solidFill>
            <a:srgbClr val="00CCFF"/>
          </a:solidFill>
          <a:miter lim="800000"/>
          <a:headEnd/>
          <a:tailEnd/>
        </a:ln>
        <a:effectLst>
          <a:outerShdw dist="35921" dir="2700000" algn="ctr" rotWithShape="0">
            <a:srgbClr val="000000"/>
          </a:outerShdw>
        </a:effectLst>
      </xdr:spPr>
    </xdr:sp>
    <xdr:clientData/>
  </xdr:twoCellAnchor>
  <xdr:twoCellAnchor>
    <xdr:from>
      <xdr:col>0</xdr:col>
      <xdr:colOff>57150</xdr:colOff>
      <xdr:row>25</xdr:row>
      <xdr:rowOff>9525</xdr:rowOff>
    </xdr:from>
    <xdr:to>
      <xdr:col>1</xdr:col>
      <xdr:colOff>285750</xdr:colOff>
      <xdr:row>29</xdr:row>
      <xdr:rowOff>0</xdr:rowOff>
    </xdr:to>
    <xdr:sp macro="[0]!Autoforma36_AlHacerClic" textlink="">
      <xdr:nvSpPr>
        <xdr:cNvPr id="22564" name="AutoShape 36">
          <a:extLst>
            <a:ext uri="{FF2B5EF4-FFF2-40B4-BE49-F238E27FC236}">
              <a16:creationId xmlns:a16="http://schemas.microsoft.com/office/drawing/2014/main" id="{00000000-0008-0000-1300-000024580000}"/>
            </a:ext>
          </a:extLst>
        </xdr:cNvPr>
        <xdr:cNvSpPr>
          <a:spLocks noChangeArrowheads="1"/>
        </xdr:cNvSpPr>
      </xdr:nvSpPr>
      <xdr:spPr bwMode="auto">
        <a:xfrm rot="5400000">
          <a:off x="233362" y="3881438"/>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Open economy figures</a:t>
          </a:r>
        </a:p>
      </xdr:txBody>
    </xdr:sp>
    <xdr:clientData fPrintsWithSheet="0"/>
  </xdr:twoCellAnchor>
  <xdr:twoCellAnchor>
    <xdr:from>
      <xdr:col>0</xdr:col>
      <xdr:colOff>28575</xdr:colOff>
      <xdr:row>19</xdr:row>
      <xdr:rowOff>114300</xdr:rowOff>
    </xdr:from>
    <xdr:to>
      <xdr:col>1</xdr:col>
      <xdr:colOff>257175</xdr:colOff>
      <xdr:row>23</xdr:row>
      <xdr:rowOff>104775</xdr:rowOff>
    </xdr:to>
    <xdr:sp macro="[0]!Autoforma37_AlHacerClic" textlink="">
      <xdr:nvSpPr>
        <xdr:cNvPr id="22565" name="AutoShape 37">
          <a:extLst>
            <a:ext uri="{FF2B5EF4-FFF2-40B4-BE49-F238E27FC236}">
              <a16:creationId xmlns:a16="http://schemas.microsoft.com/office/drawing/2014/main" id="{00000000-0008-0000-1300-000025580000}"/>
            </a:ext>
          </a:extLst>
        </xdr:cNvPr>
        <xdr:cNvSpPr>
          <a:spLocks noChangeArrowheads="1"/>
        </xdr:cNvSpPr>
      </xdr:nvSpPr>
      <xdr:spPr bwMode="auto">
        <a:xfrm rot="5400000">
          <a:off x="204787" y="3014663"/>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Public finance figures</a:t>
          </a:r>
        </a:p>
      </xdr:txBody>
    </xdr:sp>
    <xdr:clientData fPrintsWithSheet="0"/>
  </xdr:twoCellAnchor>
  <xdr:twoCellAnchor>
    <xdr:from>
      <xdr:col>0</xdr:col>
      <xdr:colOff>0</xdr:colOff>
      <xdr:row>53</xdr:row>
      <xdr:rowOff>9525</xdr:rowOff>
    </xdr:from>
    <xdr:to>
      <xdr:col>1</xdr:col>
      <xdr:colOff>228600</xdr:colOff>
      <xdr:row>57</xdr:row>
      <xdr:rowOff>0</xdr:rowOff>
    </xdr:to>
    <xdr:sp macro="[0]!Macro3" textlink="">
      <xdr:nvSpPr>
        <xdr:cNvPr id="22566" name="AutoShape 38">
          <a:extLst>
            <a:ext uri="{FF2B5EF4-FFF2-40B4-BE49-F238E27FC236}">
              <a16:creationId xmlns:a16="http://schemas.microsoft.com/office/drawing/2014/main" id="{00000000-0008-0000-1300-000026580000}"/>
            </a:ext>
          </a:extLst>
        </xdr:cNvPr>
        <xdr:cNvSpPr>
          <a:spLocks noChangeArrowheads="1"/>
        </xdr:cNvSpPr>
      </xdr:nvSpPr>
      <xdr:spPr bwMode="auto">
        <a:xfrm rot="16200000">
          <a:off x="176212" y="8415338"/>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Top</a:t>
          </a:r>
        </a:p>
      </xdr:txBody>
    </xdr:sp>
    <xdr:clientData fPrintsWithSheet="0"/>
  </xdr:twoCellAnchor>
  <xdr:twoCellAnchor>
    <xdr:from>
      <xdr:col>0</xdr:col>
      <xdr:colOff>0</xdr:colOff>
      <xdr:row>102</xdr:row>
      <xdr:rowOff>9525</xdr:rowOff>
    </xdr:from>
    <xdr:to>
      <xdr:col>1</xdr:col>
      <xdr:colOff>228600</xdr:colOff>
      <xdr:row>106</xdr:row>
      <xdr:rowOff>0</xdr:rowOff>
    </xdr:to>
    <xdr:sp macro="[0]!Macro3" textlink="">
      <xdr:nvSpPr>
        <xdr:cNvPr id="22567" name="AutoShape 39">
          <a:extLst>
            <a:ext uri="{FF2B5EF4-FFF2-40B4-BE49-F238E27FC236}">
              <a16:creationId xmlns:a16="http://schemas.microsoft.com/office/drawing/2014/main" id="{00000000-0008-0000-1300-000027580000}"/>
            </a:ext>
          </a:extLst>
        </xdr:cNvPr>
        <xdr:cNvSpPr>
          <a:spLocks noChangeArrowheads="1"/>
        </xdr:cNvSpPr>
      </xdr:nvSpPr>
      <xdr:spPr bwMode="auto">
        <a:xfrm rot="16200000">
          <a:off x="176212" y="16349663"/>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Top</a:t>
          </a:r>
        </a:p>
      </xdr:txBody>
    </xdr:sp>
    <xdr:clientData fPrintsWithSheet="0"/>
  </xdr:twoCellAnchor>
  <xdr:twoCellAnchor>
    <xdr:from>
      <xdr:col>0</xdr:col>
      <xdr:colOff>171450</xdr:colOff>
      <xdr:row>14</xdr:row>
      <xdr:rowOff>123824</xdr:rowOff>
    </xdr:from>
    <xdr:to>
      <xdr:col>1</xdr:col>
      <xdr:colOff>190500</xdr:colOff>
      <xdr:row>18</xdr:row>
      <xdr:rowOff>133349</xdr:rowOff>
    </xdr:to>
    <xdr:sp macro="[0]!Macro2" textlink="">
      <xdr:nvSpPr>
        <xdr:cNvPr id="21" name="20 Flecha derecha">
          <a:extLst>
            <a:ext uri="{FF2B5EF4-FFF2-40B4-BE49-F238E27FC236}">
              <a16:creationId xmlns:a16="http://schemas.microsoft.com/office/drawing/2014/main" id="{00000000-0008-0000-1300-000015000000}"/>
            </a:ext>
          </a:extLst>
        </xdr:cNvPr>
        <xdr:cNvSpPr/>
      </xdr:nvSpPr>
      <xdr:spPr bwMode="auto">
        <a:xfrm>
          <a:off x="171450" y="2390774"/>
          <a:ext cx="781050" cy="65722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s-ES" sz="900" b="1" i="0" strike="noStrike">
              <a:solidFill>
                <a:srgbClr val="000000"/>
              </a:solidFill>
              <a:latin typeface="Times New Roman"/>
              <a:ea typeface="+mn-ea"/>
              <a:cs typeface="Times New Roman"/>
            </a:rPr>
            <a:t>Data</a:t>
          </a:r>
        </a:p>
      </xdr:txBody>
    </xdr:sp>
    <xdr:clientData fPrintsWithSheet="0"/>
  </xdr:twoCellAnchor>
  <xdr:twoCellAnchor>
    <xdr:from>
      <xdr:col>16</xdr:col>
      <xdr:colOff>166687</xdr:colOff>
      <xdr:row>22</xdr:row>
      <xdr:rowOff>166688</xdr:rowOff>
    </xdr:from>
    <xdr:to>
      <xdr:col>17</xdr:col>
      <xdr:colOff>100012</xdr:colOff>
      <xdr:row>26</xdr:row>
      <xdr:rowOff>33338</xdr:rowOff>
    </xdr:to>
    <xdr:sp macro="[0]!Macro5" textlink="">
      <xdr:nvSpPr>
        <xdr:cNvPr id="23" name="22 Flecha derecha">
          <a:extLst>
            <a:ext uri="{FF2B5EF4-FFF2-40B4-BE49-F238E27FC236}">
              <a16:creationId xmlns:a16="http://schemas.microsoft.com/office/drawing/2014/main" id="{00000000-0008-0000-1300-000017000000}"/>
            </a:ext>
          </a:extLst>
        </xdr:cNvPr>
        <xdr:cNvSpPr/>
      </xdr:nvSpPr>
      <xdr:spPr bwMode="auto">
        <a:xfrm rot="10800000">
          <a:off x="12796837" y="378618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31</xdr:col>
      <xdr:colOff>52387</xdr:colOff>
      <xdr:row>22</xdr:row>
      <xdr:rowOff>166688</xdr:rowOff>
    </xdr:from>
    <xdr:to>
      <xdr:col>31</xdr:col>
      <xdr:colOff>700087</xdr:colOff>
      <xdr:row>26</xdr:row>
      <xdr:rowOff>33338</xdr:rowOff>
    </xdr:to>
    <xdr:sp macro="[0]!Macro5" textlink="">
      <xdr:nvSpPr>
        <xdr:cNvPr id="25" name="24 Flecha derecha">
          <a:extLst>
            <a:ext uri="{FF2B5EF4-FFF2-40B4-BE49-F238E27FC236}">
              <a16:creationId xmlns:a16="http://schemas.microsoft.com/office/drawing/2014/main" id="{00000000-0008-0000-1300-000019000000}"/>
            </a:ext>
          </a:extLst>
        </xdr:cNvPr>
        <xdr:cNvSpPr/>
      </xdr:nvSpPr>
      <xdr:spPr bwMode="auto">
        <a:xfrm rot="10800000">
          <a:off x="23398162" y="378618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46</xdr:col>
      <xdr:colOff>114299</xdr:colOff>
      <xdr:row>22</xdr:row>
      <xdr:rowOff>166687</xdr:rowOff>
    </xdr:from>
    <xdr:to>
      <xdr:col>47</xdr:col>
      <xdr:colOff>47624</xdr:colOff>
      <xdr:row>26</xdr:row>
      <xdr:rowOff>33337</xdr:rowOff>
    </xdr:to>
    <xdr:sp macro="[0]!Macro5" textlink="">
      <xdr:nvSpPr>
        <xdr:cNvPr id="27" name="26 Flecha derecha">
          <a:extLst>
            <a:ext uri="{FF2B5EF4-FFF2-40B4-BE49-F238E27FC236}">
              <a16:creationId xmlns:a16="http://schemas.microsoft.com/office/drawing/2014/main" id="{00000000-0008-0000-1300-00001B000000}"/>
            </a:ext>
          </a:extLst>
        </xdr:cNvPr>
        <xdr:cNvSpPr/>
      </xdr:nvSpPr>
      <xdr:spPr bwMode="auto">
        <a:xfrm rot="10800000">
          <a:off x="34175699" y="3786187"/>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16</xdr:col>
      <xdr:colOff>166687</xdr:colOff>
      <xdr:row>26</xdr:row>
      <xdr:rowOff>23812</xdr:rowOff>
    </xdr:from>
    <xdr:to>
      <xdr:col>17</xdr:col>
      <xdr:colOff>100012</xdr:colOff>
      <xdr:row>29</xdr:row>
      <xdr:rowOff>59245</xdr:rowOff>
    </xdr:to>
    <xdr:sp macro="[0]!Macro6" textlink="">
      <xdr:nvSpPr>
        <xdr:cNvPr id="30" name="29 Flecha derecha">
          <a:extLst>
            <a:ext uri="{FF2B5EF4-FFF2-40B4-BE49-F238E27FC236}">
              <a16:creationId xmlns:a16="http://schemas.microsoft.com/office/drawing/2014/main" id="{00000000-0008-0000-1300-00001E000000}"/>
            </a:ext>
          </a:extLst>
        </xdr:cNvPr>
        <xdr:cNvSpPr/>
      </xdr:nvSpPr>
      <xdr:spPr bwMode="auto">
        <a:xfrm>
          <a:off x="12796837" y="4300537"/>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Second</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xdr:twoCellAnchor>
    <xdr:from>
      <xdr:col>31</xdr:col>
      <xdr:colOff>52387</xdr:colOff>
      <xdr:row>26</xdr:row>
      <xdr:rowOff>23812</xdr:rowOff>
    </xdr:from>
    <xdr:to>
      <xdr:col>31</xdr:col>
      <xdr:colOff>700087</xdr:colOff>
      <xdr:row>29</xdr:row>
      <xdr:rowOff>59245</xdr:rowOff>
    </xdr:to>
    <xdr:sp macro="[0]!Macro7" textlink="">
      <xdr:nvSpPr>
        <xdr:cNvPr id="31" name="30 Flecha derecha">
          <a:extLst>
            <a:ext uri="{FF2B5EF4-FFF2-40B4-BE49-F238E27FC236}">
              <a16:creationId xmlns:a16="http://schemas.microsoft.com/office/drawing/2014/main" id="{00000000-0008-0000-1300-00001F000000}"/>
            </a:ext>
          </a:extLst>
        </xdr:cNvPr>
        <xdr:cNvSpPr/>
      </xdr:nvSpPr>
      <xdr:spPr bwMode="auto">
        <a:xfrm>
          <a:off x="23398162" y="4300537"/>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Third</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xdr:twoCellAnchor>
    <xdr:from>
      <xdr:col>46</xdr:col>
      <xdr:colOff>114299</xdr:colOff>
      <xdr:row>26</xdr:row>
      <xdr:rowOff>23812</xdr:rowOff>
    </xdr:from>
    <xdr:to>
      <xdr:col>47</xdr:col>
      <xdr:colOff>47624</xdr:colOff>
      <xdr:row>29</xdr:row>
      <xdr:rowOff>59245</xdr:rowOff>
    </xdr:to>
    <xdr:sp macro="[0]!Macro8" textlink="">
      <xdr:nvSpPr>
        <xdr:cNvPr id="32" name="31 Flecha derecha">
          <a:extLst>
            <a:ext uri="{FF2B5EF4-FFF2-40B4-BE49-F238E27FC236}">
              <a16:creationId xmlns:a16="http://schemas.microsoft.com/office/drawing/2014/main" id="{00000000-0008-0000-1300-000020000000}"/>
            </a:ext>
          </a:extLst>
        </xdr:cNvPr>
        <xdr:cNvSpPr/>
      </xdr:nvSpPr>
      <xdr:spPr bwMode="auto">
        <a:xfrm>
          <a:off x="34175699" y="4300537"/>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Fourth</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xdr:twoCellAnchor>
    <xdr:from>
      <xdr:col>46</xdr:col>
      <xdr:colOff>113537</xdr:colOff>
      <xdr:row>28</xdr:row>
      <xdr:rowOff>160496</xdr:rowOff>
    </xdr:from>
    <xdr:to>
      <xdr:col>47</xdr:col>
      <xdr:colOff>48386</xdr:colOff>
      <xdr:row>32</xdr:row>
      <xdr:rowOff>34004</xdr:rowOff>
    </xdr:to>
    <xdr:sp macro="[0]!Macro6" textlink="">
      <xdr:nvSpPr>
        <xdr:cNvPr id="34" name="33 Flecha derecha">
          <a:extLst>
            <a:ext uri="{FF2B5EF4-FFF2-40B4-BE49-F238E27FC236}">
              <a16:creationId xmlns:a16="http://schemas.microsoft.com/office/drawing/2014/main" id="{00000000-0008-0000-1300-000022000000}"/>
            </a:ext>
          </a:extLst>
        </xdr:cNvPr>
        <xdr:cNvSpPr/>
      </xdr:nvSpPr>
      <xdr:spPr bwMode="auto">
        <a:xfrm rot="10800000">
          <a:off x="34174937" y="4761071"/>
          <a:ext cx="649224"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Second </a:t>
          </a:r>
          <a:r>
            <a:rPr lang="es-ES" sz="800" b="1" i="0" strike="noStrike" baseline="0">
              <a:solidFill>
                <a:srgbClr val="000000"/>
              </a:solidFill>
              <a:latin typeface="Times New Roman"/>
              <a:ea typeface="+mn-ea"/>
              <a:cs typeface="Times New Roman"/>
            </a:rPr>
            <a:t>scenario</a:t>
          </a:r>
          <a:endParaRPr lang="es-ES" sz="800" b="1" i="0" strike="noStrike">
            <a:solidFill>
              <a:srgbClr val="000000"/>
            </a:solidFill>
            <a:latin typeface="Times New Roman"/>
            <a:ea typeface="+mn-ea"/>
            <a:cs typeface="Times New Roman"/>
          </a:endParaRPr>
        </a:p>
      </xdr:txBody>
    </xdr:sp>
    <xdr:clientData/>
  </xdr:twoCellAnchor>
  <xdr:twoCellAnchor>
    <xdr:from>
      <xdr:col>31</xdr:col>
      <xdr:colOff>52387</xdr:colOff>
      <xdr:row>28</xdr:row>
      <xdr:rowOff>159163</xdr:rowOff>
    </xdr:from>
    <xdr:to>
      <xdr:col>31</xdr:col>
      <xdr:colOff>700087</xdr:colOff>
      <xdr:row>32</xdr:row>
      <xdr:rowOff>35338</xdr:rowOff>
    </xdr:to>
    <xdr:sp macro="[0]!Macro2" textlink="">
      <xdr:nvSpPr>
        <xdr:cNvPr id="36" name="35 Flecha derecha">
          <a:extLst>
            <a:ext uri="{FF2B5EF4-FFF2-40B4-BE49-F238E27FC236}">
              <a16:creationId xmlns:a16="http://schemas.microsoft.com/office/drawing/2014/main" id="{00000000-0008-0000-1300-000024000000}"/>
            </a:ext>
          </a:extLst>
        </xdr:cNvPr>
        <xdr:cNvSpPr/>
      </xdr:nvSpPr>
      <xdr:spPr bwMode="auto">
        <a:xfrm rot="10800000">
          <a:off x="23398162" y="475973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First scenario</a:t>
          </a:r>
        </a:p>
      </xdr:txBody>
    </xdr:sp>
    <xdr:clientData/>
  </xdr:twoCellAnchor>
  <xdr:twoCellAnchor>
    <xdr:from>
      <xdr:col>61</xdr:col>
      <xdr:colOff>195262</xdr:colOff>
      <xdr:row>22</xdr:row>
      <xdr:rowOff>147638</xdr:rowOff>
    </xdr:from>
    <xdr:to>
      <xdr:col>62</xdr:col>
      <xdr:colOff>128587</xdr:colOff>
      <xdr:row>26</xdr:row>
      <xdr:rowOff>14288</xdr:rowOff>
    </xdr:to>
    <xdr:sp macro="[0]!Macro5" textlink="">
      <xdr:nvSpPr>
        <xdr:cNvPr id="37" name="36 Flecha derecha">
          <a:extLst>
            <a:ext uri="{FF2B5EF4-FFF2-40B4-BE49-F238E27FC236}">
              <a16:creationId xmlns:a16="http://schemas.microsoft.com/office/drawing/2014/main" id="{00000000-0008-0000-1300-000025000000}"/>
            </a:ext>
          </a:extLst>
        </xdr:cNvPr>
        <xdr:cNvSpPr/>
      </xdr:nvSpPr>
      <xdr:spPr bwMode="auto">
        <a:xfrm rot="10800000">
          <a:off x="44972287" y="376713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61</xdr:col>
      <xdr:colOff>195262</xdr:colOff>
      <xdr:row>28</xdr:row>
      <xdr:rowOff>141446</xdr:rowOff>
    </xdr:from>
    <xdr:to>
      <xdr:col>62</xdr:col>
      <xdr:colOff>128587</xdr:colOff>
      <xdr:row>32</xdr:row>
      <xdr:rowOff>14954</xdr:rowOff>
    </xdr:to>
    <xdr:sp macro="[0]!Macro7" textlink="">
      <xdr:nvSpPr>
        <xdr:cNvPr id="38" name="37 Flecha derecha">
          <a:extLst>
            <a:ext uri="{FF2B5EF4-FFF2-40B4-BE49-F238E27FC236}">
              <a16:creationId xmlns:a16="http://schemas.microsoft.com/office/drawing/2014/main" id="{00000000-0008-0000-1300-000026000000}"/>
            </a:ext>
          </a:extLst>
        </xdr:cNvPr>
        <xdr:cNvSpPr/>
      </xdr:nvSpPr>
      <xdr:spPr bwMode="auto">
        <a:xfrm rot="10800000">
          <a:off x="44972287" y="4742021"/>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Third</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mc:AlternateContent xmlns:mc="http://schemas.openxmlformats.org/markup-compatibility/2006">
    <mc:Choice xmlns:a14="http://schemas.microsoft.com/office/drawing/2010/main" Requires="a14">
      <xdr:twoCellAnchor>
        <xdr:from>
          <xdr:col>0</xdr:col>
          <xdr:colOff>95250</xdr:colOff>
          <xdr:row>3</xdr:row>
          <xdr:rowOff>165100</xdr:rowOff>
        </xdr:from>
        <xdr:to>
          <xdr:col>1</xdr:col>
          <xdr:colOff>209550</xdr:colOff>
          <xdr:row>6</xdr:row>
          <xdr:rowOff>152400</xdr:rowOff>
        </xdr:to>
        <xdr:sp macro="" textlink="">
          <xdr:nvSpPr>
            <xdr:cNvPr id="22530" name="Button 2" hidden="1">
              <a:extLst>
                <a:ext uri="{63B3BB69-23CF-44E3-9099-C40C66FF867C}">
                  <a14:compatExt spid="_x0000_s22530"/>
                </a:ext>
                <a:ext uri="{FF2B5EF4-FFF2-40B4-BE49-F238E27FC236}">
                  <a16:creationId xmlns:a16="http://schemas.microsoft.com/office/drawing/2014/main" id="{00000000-0008-0000-1300-000002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Reset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95250</xdr:colOff>
          <xdr:row>0</xdr:row>
          <xdr:rowOff>76200</xdr:rowOff>
        </xdr:from>
        <xdr:to>
          <xdr:col>1</xdr:col>
          <xdr:colOff>209550</xdr:colOff>
          <xdr:row>3</xdr:row>
          <xdr:rowOff>19050</xdr:rowOff>
        </xdr:to>
        <xdr:sp macro="" textlink="">
          <xdr:nvSpPr>
            <xdr:cNvPr id="22533" name="Button 5" hidden="1">
              <a:extLst>
                <a:ext uri="{63B3BB69-23CF-44E3-9099-C40C66FF867C}">
                  <a14:compatExt spid="_x0000_s22533"/>
                </a:ext>
                <a:ext uri="{FF2B5EF4-FFF2-40B4-BE49-F238E27FC236}">
                  <a16:creationId xmlns:a16="http://schemas.microsoft.com/office/drawing/2014/main" id="{00000000-0008-0000-1300-000005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95250</xdr:colOff>
          <xdr:row>7</xdr:row>
          <xdr:rowOff>127000</xdr:rowOff>
        </xdr:from>
        <xdr:to>
          <xdr:col>1</xdr:col>
          <xdr:colOff>209550</xdr:colOff>
          <xdr:row>10</xdr:row>
          <xdr:rowOff>114300</xdr:rowOff>
        </xdr:to>
        <xdr:sp macro="" textlink="">
          <xdr:nvSpPr>
            <xdr:cNvPr id="22552" name="Button 24" hidden="1">
              <a:extLst>
                <a:ext uri="{63B3BB69-23CF-44E3-9099-C40C66FF867C}">
                  <a14:compatExt spid="_x0000_s22552"/>
                </a:ext>
                <a:ext uri="{FF2B5EF4-FFF2-40B4-BE49-F238E27FC236}">
                  <a16:creationId xmlns:a16="http://schemas.microsoft.com/office/drawing/2014/main" id="{00000000-0008-0000-1300-000018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a:t>
              </a:r>
              <a:r>
                <a:rPr lang="en-GB" sz="1000" b="0" i="1" u="none" strike="noStrike" baseline="0">
                  <a:solidFill>
                    <a:srgbClr val="000000"/>
                  </a:solidFill>
                  <a:latin typeface="Arial"/>
                  <a:cs typeface="Arial"/>
                </a:rPr>
                <a:t>Y</a:t>
              </a:r>
              <a:r>
                <a:rPr lang="en-GB" sz="1000" b="0" i="0" u="none" strike="noStrike" baseline="0">
                  <a:solidFill>
                    <a:srgbClr val="000000"/>
                  </a:solidFill>
                  <a:latin typeface="Arial"/>
                  <a:cs typeface="Arial"/>
                </a:rPr>
                <a:t> axis scale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95250</xdr:colOff>
          <xdr:row>11</xdr:row>
          <xdr:rowOff>95250</xdr:rowOff>
        </xdr:from>
        <xdr:to>
          <xdr:col>1</xdr:col>
          <xdr:colOff>209550</xdr:colOff>
          <xdr:row>14</xdr:row>
          <xdr:rowOff>88900</xdr:rowOff>
        </xdr:to>
        <xdr:sp macro="" textlink="">
          <xdr:nvSpPr>
            <xdr:cNvPr id="22555" name="Button 27" hidden="1">
              <a:extLst>
                <a:ext uri="{63B3BB69-23CF-44E3-9099-C40C66FF867C}">
                  <a14:compatExt spid="_x0000_s22555"/>
                </a:ext>
                <a:ext uri="{FF2B5EF4-FFF2-40B4-BE49-F238E27FC236}">
                  <a16:creationId xmlns:a16="http://schemas.microsoft.com/office/drawing/2014/main" id="{00000000-0008-0000-1300-00001B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Print</a:t>
              </a:r>
            </a:p>
          </xdr:txBody>
        </xdr:sp>
        <xdr:clientData fPrintsWithSheet="0"/>
      </xdr:twoCellAnchor>
    </mc:Choice>
    <mc:Fallback/>
  </mc:AlternateContent>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lásico de Office">
      <a:majorFont>
        <a:latin typeface="Arial"/>
        <a:ea typeface=""/>
        <a:cs typeface=""/>
        <a:font script="Jpan" typeface="ＭＳ Ｐゴシック"/>
        <a:font script="Hang" typeface="돋움"/>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Times New Roman"/>
        <a:ea typeface=""/>
        <a:cs typeface=""/>
        <a:font script="Jpan" typeface="ＭＳ Ｐ明朝"/>
        <a:font script="Hang" typeface="바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3" Type="http://schemas.openxmlformats.org/officeDocument/2006/relationships/vmlDrawing" Target="../drawings/vmlDrawing1.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 Type="http://schemas.openxmlformats.org/officeDocument/2006/relationships/drawing" Target="../drawings/drawing1.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omments" Target="../comments1.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4.vml"/><Relationship Id="rId7" Type="http://schemas.openxmlformats.org/officeDocument/2006/relationships/ctrlProp" Target="../ctrlProps/ctrlProp24.xml"/><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ctrlProp" Target="../ctrlProps/ctrlProp23.xml"/><Relationship Id="rId5" Type="http://schemas.openxmlformats.org/officeDocument/2006/relationships/ctrlProp" Target="../ctrlProps/ctrlProp22.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trlProp" Target="../ctrlProps/ctrlProp27.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32.xml"/><Relationship Id="rId3" Type="http://schemas.openxmlformats.org/officeDocument/2006/relationships/vmlDrawing" Target="../drawings/vmlDrawing6.vml"/><Relationship Id="rId7" Type="http://schemas.openxmlformats.org/officeDocument/2006/relationships/ctrlProp" Target="../ctrlProps/ctrlProp31.xml"/><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ctrlProp" Target="../ctrlProps/ctrlProp30.xml"/><Relationship Id="rId11" Type="http://schemas.openxmlformats.org/officeDocument/2006/relationships/ctrlProp" Target="../ctrlProps/ctrlProp35.xml"/><Relationship Id="rId5" Type="http://schemas.openxmlformats.org/officeDocument/2006/relationships/ctrlProp" Target="../ctrlProps/ctrlProp29.xml"/><Relationship Id="rId10" Type="http://schemas.openxmlformats.org/officeDocument/2006/relationships/ctrlProp" Target="../ctrlProps/ctrlProp34.xml"/><Relationship Id="rId4" Type="http://schemas.openxmlformats.org/officeDocument/2006/relationships/ctrlProp" Target="../ctrlProps/ctrlProp28.xml"/><Relationship Id="rId9" Type="http://schemas.openxmlformats.org/officeDocument/2006/relationships/ctrlProp" Target="../ctrlProps/ctrlProp3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8" Type="http://schemas.openxmlformats.org/officeDocument/2006/relationships/ctrlProp" Target="../ctrlProps/ctrlProp40.xml"/><Relationship Id="rId3" Type="http://schemas.openxmlformats.org/officeDocument/2006/relationships/vmlDrawing" Target="../drawings/vmlDrawing8.vml"/><Relationship Id="rId7" Type="http://schemas.openxmlformats.org/officeDocument/2006/relationships/ctrlProp" Target="../ctrlProps/ctrlProp39.xml"/><Relationship Id="rId2" Type="http://schemas.openxmlformats.org/officeDocument/2006/relationships/drawing" Target="../drawings/drawing6.xml"/><Relationship Id="rId1" Type="http://schemas.openxmlformats.org/officeDocument/2006/relationships/printerSettings" Target="../printerSettings/printerSettings9.bin"/><Relationship Id="rId6" Type="http://schemas.openxmlformats.org/officeDocument/2006/relationships/ctrlProp" Target="../ctrlProps/ctrlProp38.xml"/><Relationship Id="rId5" Type="http://schemas.openxmlformats.org/officeDocument/2006/relationships/ctrlProp" Target="../ctrlProps/ctrlProp37.xml"/><Relationship Id="rId4" Type="http://schemas.openxmlformats.org/officeDocument/2006/relationships/ctrlProp" Target="../ctrlProps/ctrlProp36.xml"/><Relationship Id="rId9" Type="http://schemas.openxmlformats.org/officeDocument/2006/relationships/ctrlProp" Target="../ctrlProps/ctrlProp41.xml"/></Relationships>
</file>

<file path=xl/worksheets/_rels/sheet13.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9.vml"/><Relationship Id="rId7" Type="http://schemas.openxmlformats.org/officeDocument/2006/relationships/ctrlProp" Target="../ctrlProps/ctrlProp45.xml"/><Relationship Id="rId2" Type="http://schemas.openxmlformats.org/officeDocument/2006/relationships/drawing" Target="../drawings/drawing7.xml"/><Relationship Id="rId1" Type="http://schemas.openxmlformats.org/officeDocument/2006/relationships/printerSettings" Target="../printerSettings/printerSettings10.bin"/><Relationship Id="rId6" Type="http://schemas.openxmlformats.org/officeDocument/2006/relationships/ctrlProp" Target="../ctrlProps/ctrlProp44.xml"/><Relationship Id="rId5" Type="http://schemas.openxmlformats.org/officeDocument/2006/relationships/ctrlProp" Target="../ctrlProps/ctrlProp43.xml"/><Relationship Id="rId4" Type="http://schemas.openxmlformats.org/officeDocument/2006/relationships/ctrlProp" Target="../ctrlProps/ctrlProp42.xml"/></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0.xml"/><Relationship Id="rId13" Type="http://schemas.openxmlformats.org/officeDocument/2006/relationships/comments" Target="../comments6.xml"/><Relationship Id="rId3" Type="http://schemas.openxmlformats.org/officeDocument/2006/relationships/vmlDrawing" Target="../drawings/vmlDrawing10.vml"/><Relationship Id="rId7" Type="http://schemas.openxmlformats.org/officeDocument/2006/relationships/ctrlProp" Target="../ctrlProps/ctrlProp49.xml"/><Relationship Id="rId12" Type="http://schemas.openxmlformats.org/officeDocument/2006/relationships/ctrlProp" Target="../ctrlProps/ctrlProp54.xml"/><Relationship Id="rId2" Type="http://schemas.openxmlformats.org/officeDocument/2006/relationships/drawing" Target="../drawings/drawing8.xml"/><Relationship Id="rId1" Type="http://schemas.openxmlformats.org/officeDocument/2006/relationships/printerSettings" Target="../printerSettings/printerSettings11.bin"/><Relationship Id="rId6" Type="http://schemas.openxmlformats.org/officeDocument/2006/relationships/ctrlProp" Target="../ctrlProps/ctrlProp48.xml"/><Relationship Id="rId11" Type="http://schemas.openxmlformats.org/officeDocument/2006/relationships/ctrlProp" Target="../ctrlProps/ctrlProp53.xml"/><Relationship Id="rId5" Type="http://schemas.openxmlformats.org/officeDocument/2006/relationships/ctrlProp" Target="../ctrlProps/ctrlProp47.xml"/><Relationship Id="rId10" Type="http://schemas.openxmlformats.org/officeDocument/2006/relationships/ctrlProp" Target="../ctrlProps/ctrlProp52.xml"/><Relationship Id="rId4" Type="http://schemas.openxmlformats.org/officeDocument/2006/relationships/ctrlProp" Target="../ctrlProps/ctrlProp46.xml"/><Relationship Id="rId9" Type="http://schemas.openxmlformats.org/officeDocument/2006/relationships/ctrlProp" Target="../ctrlProps/ctrlProp51.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trlProp" Target="../ctrlProps/ctrlProp55.xml"/><Relationship Id="rId2" Type="http://schemas.openxmlformats.org/officeDocument/2006/relationships/vmlDrawing" Target="../drawings/vmlDrawing14.vml"/><Relationship Id="rId1" Type="http://schemas.openxmlformats.org/officeDocument/2006/relationships/drawing" Target="../drawings/drawing9.xml"/><Relationship Id="rId5" Type="http://schemas.openxmlformats.org/officeDocument/2006/relationships/comments" Target="../comments10.xml"/><Relationship Id="rId4" Type="http://schemas.openxmlformats.org/officeDocument/2006/relationships/ctrlProp" Target="../ctrlProps/ctrlProp56.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6.vml"/><Relationship Id="rId7" Type="http://schemas.openxmlformats.org/officeDocument/2006/relationships/ctrlProp" Target="../ctrlProps/ctrlProp60.xml"/><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ctrlProp" Target="../ctrlProps/ctrlProp59.xml"/><Relationship Id="rId5" Type="http://schemas.openxmlformats.org/officeDocument/2006/relationships/ctrlProp" Target="../ctrlProps/ctrlProp58.xml"/><Relationship Id="rId4" Type="http://schemas.openxmlformats.org/officeDocument/2006/relationships/ctrlProp" Target="../ctrlProps/ctrlProp5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VB335"/>
  <sheetViews>
    <sheetView showGridLines="0" tabSelected="1" topLeftCell="A13" zoomScale="74" zoomScaleNormal="74" workbookViewId="0">
      <selection activeCell="X20" sqref="X20"/>
    </sheetView>
  </sheetViews>
  <sheetFormatPr defaultColWidth="10.90625" defaultRowHeight="12.5"/>
  <cols>
    <col min="1" max="1" width="6.7265625" customWidth="1"/>
    <col min="2" max="2" width="7.81640625" customWidth="1"/>
    <col min="3" max="3" width="12.7265625" customWidth="1"/>
    <col min="4" max="4" width="1.1796875" customWidth="1"/>
    <col min="5" max="5" width="1.26953125" customWidth="1"/>
    <col min="6" max="6" width="16.7265625" style="5" customWidth="1"/>
    <col min="7" max="7" width="8.7265625" customWidth="1"/>
    <col min="8" max="8" width="4.7265625" customWidth="1"/>
    <col min="9" max="9" width="9.81640625" customWidth="1"/>
    <col min="10" max="10" width="7.54296875" customWidth="1"/>
    <col min="11" max="11" width="8.7265625" customWidth="1"/>
    <col min="12" max="12" width="4.7265625" customWidth="1"/>
    <col min="13" max="13" width="1.54296875" customWidth="1"/>
    <col min="14" max="14" width="3.26953125" customWidth="1"/>
    <col min="15" max="15" width="0.1796875" hidden="1" customWidth="1"/>
    <col min="16" max="16" width="1.1796875" customWidth="1"/>
    <col min="17" max="17" width="13" customWidth="1"/>
    <col min="18" max="18" width="13.26953125" customWidth="1"/>
    <col min="19" max="19" width="6.26953125" customWidth="1"/>
    <col min="20" max="20" width="29.81640625" customWidth="1"/>
    <col min="21" max="21" width="8.54296875" customWidth="1"/>
    <col min="22" max="22" width="5.7265625" customWidth="1"/>
    <col min="23" max="23" width="1" style="3" customWidth="1"/>
    <col min="24" max="24" width="6.54296875" style="4" customWidth="1"/>
    <col min="25" max="25" width="11.453125" style="58"/>
    <col min="26" max="26" width="16" style="61" customWidth="1"/>
    <col min="27" max="28" width="11.453125" style="58"/>
    <col min="29" max="29" width="12.81640625" style="58" bestFit="1" customWidth="1"/>
    <col min="30" max="49" width="11.453125" style="58"/>
  </cols>
  <sheetData>
    <row r="1" spans="1:29" ht="13" thickBot="1">
      <c r="A1" s="145"/>
      <c r="B1" s="145"/>
      <c r="C1" s="145"/>
      <c r="D1" s="145"/>
      <c r="E1" s="147"/>
      <c r="F1" s="147"/>
      <c r="G1" s="147"/>
      <c r="H1" s="147"/>
      <c r="I1" s="147"/>
      <c r="J1" s="147"/>
      <c r="K1" s="147"/>
      <c r="L1" s="147"/>
      <c r="M1" s="147"/>
      <c r="N1" s="147"/>
      <c r="O1" s="147"/>
      <c r="P1" s="147"/>
      <c r="Q1" s="147"/>
      <c r="R1" s="147"/>
      <c r="S1" s="147"/>
      <c r="T1" s="147"/>
      <c r="U1" s="147"/>
      <c r="V1" s="147"/>
      <c r="W1" s="147"/>
      <c r="X1" s="147"/>
      <c r="Y1" s="145"/>
      <c r="Z1" s="145"/>
      <c r="AA1" s="145"/>
      <c r="AB1" s="145"/>
      <c r="AC1" s="145"/>
    </row>
    <row r="2" spans="1:29" ht="14" thickTop="1">
      <c r="A2" s="637" t="str">
        <f>IF(controls!B44=0,"Main page-Closed economy",IF(controls!B45=0,"Main page-Flexible exchange rate",IF(controls!B46=1,"Main page-Fixed exchange rate with endogenous fiscal policy","Main page-Fixed exchange rate without endogenous fiscal policy")))</f>
        <v>Main page-Closed economy</v>
      </c>
      <c r="B2" s="638" t="s">
        <v>110</v>
      </c>
      <c r="C2" s="639"/>
      <c r="D2" s="145"/>
      <c r="E2" s="164"/>
      <c r="F2" s="643" t="s">
        <v>60</v>
      </c>
      <c r="G2" s="643"/>
      <c r="H2" s="643"/>
      <c r="I2" s="643"/>
      <c r="J2" s="643"/>
      <c r="K2" s="643"/>
      <c r="L2" s="165"/>
      <c r="M2" s="166"/>
      <c r="N2" s="147"/>
      <c r="O2" s="85"/>
      <c r="P2" s="279"/>
      <c r="Q2" s="578" t="s">
        <v>144</v>
      </c>
      <c r="R2" s="645"/>
      <c r="S2" s="645"/>
      <c r="T2" s="645"/>
      <c r="U2" s="645"/>
      <c r="V2" s="280"/>
      <c r="W2" s="281"/>
      <c r="X2" s="147"/>
      <c r="Y2" s="145"/>
      <c r="Z2" s="145"/>
      <c r="AA2" s="145"/>
      <c r="AB2" s="145"/>
      <c r="AC2" s="145"/>
    </row>
    <row r="3" spans="1:29" ht="14.25" customHeight="1">
      <c r="A3" s="637"/>
      <c r="B3" s="640"/>
      <c r="C3" s="641"/>
      <c r="D3" s="145"/>
      <c r="E3" s="167"/>
      <c r="F3" s="644"/>
      <c r="G3" s="644"/>
      <c r="H3" s="644"/>
      <c r="I3" s="644"/>
      <c r="J3" s="644"/>
      <c r="K3" s="644"/>
      <c r="L3" s="158"/>
      <c r="M3" s="168"/>
      <c r="N3" s="147"/>
      <c r="O3" s="85"/>
      <c r="P3" s="282"/>
      <c r="Q3" s="646"/>
      <c r="R3" s="646"/>
      <c r="S3" s="646"/>
      <c r="T3" s="646"/>
      <c r="U3" s="646"/>
      <c r="V3" s="268"/>
      <c r="W3" s="283"/>
      <c r="X3" s="147"/>
      <c r="Y3" s="145"/>
      <c r="Z3" s="145"/>
      <c r="AA3" s="145"/>
      <c r="AB3" s="145"/>
      <c r="AC3" s="145"/>
    </row>
    <row r="4" spans="1:29" ht="12" customHeight="1">
      <c r="A4" s="637"/>
      <c r="B4" s="186"/>
      <c r="C4" s="187"/>
      <c r="D4" s="145"/>
      <c r="E4" s="167"/>
      <c r="F4" s="542" t="s">
        <v>61</v>
      </c>
      <c r="G4" s="647"/>
      <c r="H4" s="647"/>
      <c r="I4" s="647"/>
      <c r="J4" s="647"/>
      <c r="K4" s="647"/>
      <c r="L4" s="648"/>
      <c r="M4" s="169"/>
      <c r="N4" s="147"/>
      <c r="P4" s="284"/>
      <c r="Q4" s="655" t="str">
        <f>IF(S42+S43+T42=2,"Monetary",IF(S42+S43=2,"Fiscal","Monetary"))</f>
        <v>Monetary</v>
      </c>
      <c r="R4" s="656"/>
      <c r="S4" s="656"/>
      <c r="T4" s="656"/>
      <c r="U4" s="656"/>
      <c r="V4" s="657"/>
      <c r="W4" s="283"/>
      <c r="X4" s="147"/>
      <c r="Y4" s="145"/>
      <c r="Z4" s="145"/>
      <c r="AA4" s="145"/>
      <c r="AB4" s="145"/>
      <c r="AC4" s="145"/>
    </row>
    <row r="5" spans="1:29" ht="12" customHeight="1">
      <c r="A5" s="637"/>
      <c r="B5" s="186"/>
      <c r="C5" s="187"/>
      <c r="D5" s="145"/>
      <c r="E5" s="167"/>
      <c r="F5" s="649"/>
      <c r="G5" s="650"/>
      <c r="H5" s="650"/>
      <c r="I5" s="650"/>
      <c r="J5" s="650"/>
      <c r="K5" s="650"/>
      <c r="L5" s="651"/>
      <c r="M5" s="169"/>
      <c r="N5" s="147"/>
      <c r="P5" s="284"/>
      <c r="Q5" s="656"/>
      <c r="R5" s="656"/>
      <c r="S5" s="656"/>
      <c r="T5" s="656"/>
      <c r="U5" s="656"/>
      <c r="V5" s="657"/>
      <c r="W5" s="283"/>
      <c r="X5" s="147"/>
      <c r="Y5" s="145"/>
      <c r="Z5" s="145"/>
      <c r="AA5" s="145"/>
      <c r="AB5" s="145"/>
      <c r="AC5" s="145"/>
    </row>
    <row r="6" spans="1:29" ht="1.5" customHeight="1">
      <c r="A6" s="637"/>
      <c r="B6" s="186">
        <v>2</v>
      </c>
      <c r="C6" s="187"/>
      <c r="D6" s="145"/>
      <c r="E6" s="167"/>
      <c r="F6" s="649"/>
      <c r="G6" s="650"/>
      <c r="H6" s="650"/>
      <c r="I6" s="650"/>
      <c r="J6" s="650"/>
      <c r="K6" s="650"/>
      <c r="L6" s="651"/>
      <c r="M6" s="169"/>
      <c r="N6" s="147"/>
      <c r="P6" s="284"/>
      <c r="Q6" s="656"/>
      <c r="R6" s="656"/>
      <c r="S6" s="656"/>
      <c r="T6" s="656"/>
      <c r="U6" s="656"/>
      <c r="V6" s="657"/>
      <c r="W6" s="283"/>
      <c r="X6" s="147"/>
      <c r="Y6" s="145"/>
      <c r="Z6" s="145"/>
      <c r="AA6" s="145"/>
      <c r="AB6" s="145"/>
      <c r="AC6" s="145"/>
    </row>
    <row r="7" spans="1:29" ht="25" customHeight="1" thickBot="1">
      <c r="A7" s="637"/>
      <c r="B7" s="186"/>
      <c r="C7" s="187"/>
      <c r="D7" s="145"/>
      <c r="E7" s="167"/>
      <c r="F7" s="596" t="s">
        <v>101</v>
      </c>
      <c r="G7" s="597"/>
      <c r="H7" s="598"/>
      <c r="I7" s="652" t="s">
        <v>100</v>
      </c>
      <c r="J7" s="653"/>
      <c r="K7" s="654"/>
      <c r="L7" s="598"/>
      <c r="M7" s="169"/>
      <c r="N7" s="147"/>
      <c r="P7" s="284"/>
      <c r="Q7" s="592" t="str">
        <f>IF(S42+S43+T42=2,"","Inflation target")</f>
        <v>Inflation target</v>
      </c>
      <c r="R7" s="592"/>
      <c r="S7" s="593"/>
      <c r="T7" s="593"/>
      <c r="U7" s="594"/>
      <c r="V7" s="595"/>
      <c r="W7" s="283"/>
      <c r="X7" s="147"/>
      <c r="Y7" s="145"/>
      <c r="Z7" s="145"/>
      <c r="AA7" s="145"/>
      <c r="AB7" s="145"/>
      <c r="AC7" s="145"/>
    </row>
    <row r="8" spans="1:29" ht="25" customHeight="1">
      <c r="A8" s="637"/>
      <c r="B8" s="186"/>
      <c r="C8" s="187"/>
      <c r="D8" s="145"/>
      <c r="E8" s="167"/>
      <c r="F8" s="482" t="s">
        <v>62</v>
      </c>
      <c r="G8" s="264"/>
      <c r="H8" s="163" t="s">
        <v>119</v>
      </c>
      <c r="I8" s="599" t="s">
        <v>62</v>
      </c>
      <c r="J8" s="600"/>
      <c r="K8" s="264"/>
      <c r="L8" s="163" t="s">
        <v>119</v>
      </c>
      <c r="M8" s="169"/>
      <c r="N8" s="147"/>
      <c r="P8" s="284"/>
      <c r="Q8" s="665" t="str">
        <f>IF(S42+S43+T42=2,"",IF(S42=0,"Initial inflation target",IF(S42+S43=2,"Domestic inflation target","Initial domestic inflation target")))</f>
        <v>Initial inflation target</v>
      </c>
      <c r="R8" s="665"/>
      <c r="S8" s="665"/>
      <c r="T8" s="666"/>
      <c r="U8" s="353">
        <v>2</v>
      </c>
      <c r="V8" s="163" t="str">
        <f>IF(S42+S43+T42=2,"","%")</f>
        <v>%</v>
      </c>
      <c r="W8" s="283"/>
      <c r="X8" s="147"/>
      <c r="Y8" s="145"/>
      <c r="Z8" s="145"/>
      <c r="AA8" s="145"/>
      <c r="AB8" s="145"/>
      <c r="AC8" s="145"/>
    </row>
    <row r="9" spans="1:29" ht="22.5" customHeight="1" thickBot="1">
      <c r="A9" s="637"/>
      <c r="B9" s="186"/>
      <c r="C9" s="187"/>
      <c r="D9" s="145"/>
      <c r="E9" s="167"/>
      <c r="F9" s="483" t="s">
        <v>236</v>
      </c>
      <c r="G9" s="265">
        <v>3</v>
      </c>
      <c r="H9" s="266"/>
      <c r="I9" s="663" t="s">
        <v>236</v>
      </c>
      <c r="J9" s="664"/>
      <c r="K9" s="429">
        <f>controls!B6</f>
        <v>2</v>
      </c>
      <c r="L9" s="430"/>
      <c r="M9" s="169"/>
      <c r="N9" s="147"/>
      <c r="P9" s="284"/>
      <c r="Q9" s="589"/>
      <c r="R9" s="590"/>
      <c r="S9" s="590"/>
      <c r="T9" s="590"/>
      <c r="U9" s="591"/>
      <c r="V9" s="285"/>
      <c r="W9" s="283"/>
      <c r="X9" s="147"/>
      <c r="Y9" s="145"/>
      <c r="Z9" s="145"/>
      <c r="AA9" s="145"/>
      <c r="AB9" s="145"/>
      <c r="AC9" s="145"/>
    </row>
    <row r="10" spans="1:29" ht="30.75" customHeight="1" thickTop="1" thickBot="1">
      <c r="A10" s="637"/>
      <c r="B10" s="186"/>
      <c r="C10" s="187"/>
      <c r="D10" s="145"/>
      <c r="E10" s="167"/>
      <c r="F10" s="601" t="s">
        <v>168</v>
      </c>
      <c r="G10" s="602"/>
      <c r="H10" s="603"/>
      <c r="I10" s="604" t="str">
        <f>IF(S42+S43+T42=0,"Change of commercial banks' risk premium in t=5","External financial shock  in t=5")</f>
        <v>Change of commercial banks' risk premium in t=5</v>
      </c>
      <c r="J10" s="605"/>
      <c r="K10" s="605"/>
      <c r="L10" s="606"/>
      <c r="M10" s="169"/>
      <c r="N10" s="147"/>
      <c r="P10" s="284"/>
      <c r="Q10" s="667" t="str">
        <f>IF(S42=0,"Type the new target",IF($S$42+$T$42=2,"","Type the new domestic target"))</f>
        <v>Type the new target</v>
      </c>
      <c r="R10" s="667"/>
      <c r="S10" s="667"/>
      <c r="T10" s="625"/>
      <c r="U10" s="353"/>
      <c r="V10" s="163" t="str">
        <f>IF($S42+$T$42=2,"","%")</f>
        <v>%</v>
      </c>
      <c r="W10" s="283"/>
      <c r="X10" s="147"/>
      <c r="Y10" s="145"/>
      <c r="Z10" s="145"/>
      <c r="AA10" s="145"/>
      <c r="AB10" s="145"/>
      <c r="AC10" s="145"/>
    </row>
    <row r="11" spans="1:29" ht="25" customHeight="1">
      <c r="A11" s="637"/>
      <c r="B11" s="212"/>
      <c r="C11" s="212"/>
      <c r="D11" s="145"/>
      <c r="E11" s="167"/>
      <c r="F11" s="482" t="s">
        <v>62</v>
      </c>
      <c r="G11" s="264"/>
      <c r="H11" s="431" t="s">
        <v>119</v>
      </c>
      <c r="I11" s="509" t="s">
        <v>232</v>
      </c>
      <c r="J11" s="510"/>
      <c r="K11" s="264"/>
      <c r="L11" s="163" t="s">
        <v>119</v>
      </c>
      <c r="M11" s="169"/>
      <c r="N11" s="147"/>
      <c r="P11" s="284"/>
      <c r="Q11" s="495" t="str">
        <f>IF(S42+S43+T42=2,"",IF(S42+S43=2,"Government's preferences","Central bank's preferences"))</f>
        <v>Central bank's preferences</v>
      </c>
      <c r="R11" s="496"/>
      <c r="S11" s="496"/>
      <c r="T11" s="496"/>
      <c r="U11" s="496"/>
      <c r="V11" s="497"/>
      <c r="W11" s="283"/>
      <c r="X11" s="147"/>
      <c r="Y11" s="145"/>
      <c r="Z11" s="145"/>
      <c r="AA11" s="145"/>
      <c r="AB11" s="145"/>
      <c r="AC11" s="145"/>
    </row>
    <row r="12" spans="1:29" ht="2.25" customHeight="1" thickBot="1">
      <c r="A12" s="637"/>
      <c r="B12" s="185"/>
      <c r="C12" s="185"/>
      <c r="D12" s="145"/>
      <c r="E12" s="167"/>
      <c r="F12" s="267"/>
      <c r="G12" s="267"/>
      <c r="H12" s="267"/>
      <c r="I12" s="268"/>
      <c r="J12" s="268"/>
      <c r="K12" s="268"/>
      <c r="L12" s="268"/>
      <c r="M12" s="169"/>
      <c r="N12" s="147"/>
      <c r="P12" s="284"/>
      <c r="Q12" s="491"/>
      <c r="R12" s="492"/>
      <c r="S12" s="492"/>
      <c r="T12" s="492"/>
      <c r="U12" s="493"/>
      <c r="V12" s="494"/>
      <c r="W12" s="283"/>
      <c r="X12" s="147"/>
      <c r="Y12" s="145"/>
      <c r="Z12" s="145"/>
      <c r="AA12" s="145"/>
      <c r="AB12" s="145"/>
      <c r="AC12" s="145"/>
    </row>
    <row r="13" spans="1:29" ht="19.5" customHeight="1">
      <c r="A13" s="637"/>
      <c r="B13" s="185"/>
      <c r="C13" s="185"/>
      <c r="D13" s="145"/>
      <c r="E13" s="167"/>
      <c r="F13" s="267"/>
      <c r="G13" s="267"/>
      <c r="H13" s="267"/>
      <c r="I13" s="268"/>
      <c r="J13" s="268"/>
      <c r="K13" s="432"/>
      <c r="L13" s="268"/>
      <c r="M13" s="169"/>
      <c r="N13" s="147"/>
      <c r="P13" s="284"/>
      <c r="Q13" s="502" t="str">
        <f>IF(S42+S43+T42=2,"","Preference for inflation stabilization vs income stabilization")</f>
        <v>Preference for inflation stabilization vs income stabilization</v>
      </c>
      <c r="R13" s="503"/>
      <c r="S13" s="503"/>
      <c r="T13" s="504"/>
      <c r="U13" s="490">
        <v>1</v>
      </c>
      <c r="V13" s="286"/>
      <c r="W13" s="283"/>
      <c r="X13" s="147"/>
      <c r="Y13" s="145"/>
      <c r="Z13" s="145"/>
      <c r="AA13" s="145"/>
      <c r="AB13" s="145"/>
      <c r="AC13" s="145"/>
    </row>
    <row r="14" spans="1:29" ht="6" customHeight="1">
      <c r="A14" s="637"/>
      <c r="B14" s="182"/>
      <c r="C14" s="182"/>
      <c r="D14" s="145"/>
      <c r="E14" s="167"/>
      <c r="F14" s="517" t="s">
        <v>184</v>
      </c>
      <c r="G14" s="518"/>
      <c r="H14" s="518"/>
      <c r="I14" s="518"/>
      <c r="J14" s="518"/>
      <c r="K14" s="518"/>
      <c r="L14" s="519"/>
      <c r="M14" s="169"/>
      <c r="N14" s="147"/>
      <c r="P14" s="284"/>
      <c r="Q14" s="524"/>
      <c r="R14" s="525"/>
      <c r="S14" s="525"/>
      <c r="T14" s="525"/>
      <c r="U14" s="526"/>
      <c r="V14" s="526"/>
      <c r="W14" s="283"/>
      <c r="X14" s="147"/>
      <c r="Y14" s="145"/>
      <c r="Z14" s="145"/>
      <c r="AA14" s="145"/>
      <c r="AB14" s="145"/>
      <c r="AC14" s="145"/>
    </row>
    <row r="15" spans="1:29" ht="24" customHeight="1" thickBot="1">
      <c r="A15" s="637"/>
      <c r="B15" s="560" t="s">
        <v>217</v>
      </c>
      <c r="C15" s="561"/>
      <c r="D15" s="145"/>
      <c r="E15" s="167"/>
      <c r="F15" s="520"/>
      <c r="G15" s="521"/>
      <c r="H15" s="521"/>
      <c r="I15" s="521"/>
      <c r="J15" s="521"/>
      <c r="K15" s="522"/>
      <c r="L15" s="523"/>
      <c r="M15" s="169"/>
      <c r="N15" s="147"/>
      <c r="P15" s="284"/>
      <c r="Q15" s="505" t="str">
        <f>IF($T$42=0,"","Exchange rate policy in t=10")</f>
        <v/>
      </c>
      <c r="R15" s="506"/>
      <c r="S15" s="506"/>
      <c r="T15" s="506"/>
      <c r="U15" s="507"/>
      <c r="V15" s="508"/>
      <c r="W15" s="283"/>
      <c r="X15" s="147"/>
      <c r="Y15" s="145"/>
      <c r="Z15" s="145"/>
      <c r="AA15" s="145"/>
      <c r="AB15" s="145"/>
      <c r="AC15" s="145"/>
    </row>
    <row r="16" spans="1:29" ht="10" customHeight="1">
      <c r="A16" s="637"/>
      <c r="B16" s="562"/>
      <c r="C16" s="563"/>
      <c r="D16" s="145"/>
      <c r="E16" s="167"/>
      <c r="F16" s="513" t="s">
        <v>183</v>
      </c>
      <c r="G16" s="514"/>
      <c r="H16" s="307"/>
      <c r="I16" s="269"/>
      <c r="J16" s="511" t="s">
        <v>62</v>
      </c>
      <c r="K16" s="535"/>
      <c r="L16" s="529" t="s">
        <v>119</v>
      </c>
      <c r="M16" s="169"/>
      <c r="N16" s="147"/>
      <c r="P16" s="284"/>
      <c r="Q16" s="554" t="str">
        <f>IF($T$42=0,"","Unexpected devaluation(+) or revaluation (-) of the currency")</f>
        <v/>
      </c>
      <c r="R16" s="555"/>
      <c r="S16" s="555"/>
      <c r="T16" s="556"/>
      <c r="U16" s="550"/>
      <c r="V16" s="552" t="str">
        <f>IF($T$42=0,"","%")</f>
        <v/>
      </c>
      <c r="W16" s="283"/>
      <c r="X16" s="147"/>
      <c r="Y16" s="145"/>
      <c r="Z16" s="145"/>
      <c r="AA16" s="145"/>
      <c r="AB16" s="145"/>
      <c r="AC16" s="145"/>
    </row>
    <row r="17" spans="1:29" ht="15" customHeight="1">
      <c r="A17" s="637"/>
      <c r="B17" s="562"/>
      <c r="C17" s="563"/>
      <c r="D17" s="145"/>
      <c r="E17" s="167"/>
      <c r="F17" s="515"/>
      <c r="G17" s="516"/>
      <c r="H17" s="229"/>
      <c r="I17" s="478"/>
      <c r="J17" s="512"/>
      <c r="K17" s="536"/>
      <c r="L17" s="530"/>
      <c r="M17" s="169"/>
      <c r="N17" s="147"/>
      <c r="P17" s="284"/>
      <c r="Q17" s="557"/>
      <c r="R17" s="558"/>
      <c r="S17" s="558"/>
      <c r="T17" s="559"/>
      <c r="U17" s="551"/>
      <c r="V17" s="553"/>
      <c r="W17" s="283"/>
      <c r="X17" s="147"/>
      <c r="Y17" s="145"/>
      <c r="Z17" s="145"/>
      <c r="AA17" s="145"/>
      <c r="AB17" s="145"/>
      <c r="AC17" s="145"/>
    </row>
    <row r="18" spans="1:29" ht="8.25" customHeight="1">
      <c r="A18" s="637"/>
      <c r="B18" s="562"/>
      <c r="C18" s="563"/>
      <c r="D18" s="145"/>
      <c r="E18" s="167"/>
      <c r="F18" s="267"/>
      <c r="G18" s="267"/>
      <c r="H18" s="267"/>
      <c r="I18" s="267"/>
      <c r="J18" s="267"/>
      <c r="K18" s="268"/>
      <c r="L18" s="268"/>
      <c r="M18" s="169"/>
      <c r="N18" s="147"/>
      <c r="P18" s="284"/>
      <c r="Q18" s="268"/>
      <c r="R18" s="268"/>
      <c r="S18" s="268"/>
      <c r="T18" s="268"/>
      <c r="U18" s="268"/>
      <c r="V18" s="268"/>
      <c r="W18" s="283"/>
      <c r="X18" s="147"/>
      <c r="Y18" s="145"/>
      <c r="Z18" s="145"/>
      <c r="AA18" s="145"/>
      <c r="AB18" s="145"/>
      <c r="AC18" s="145"/>
    </row>
    <row r="19" spans="1:29" ht="10.5" customHeight="1">
      <c r="A19" s="637"/>
      <c r="B19" s="562"/>
      <c r="C19" s="563"/>
      <c r="D19" s="145"/>
      <c r="E19" s="167"/>
      <c r="F19" s="267"/>
      <c r="G19" s="267"/>
      <c r="H19" s="267"/>
      <c r="I19" s="267"/>
      <c r="J19" s="267"/>
      <c r="K19" s="268"/>
      <c r="L19" s="268"/>
      <c r="M19" s="169"/>
      <c r="N19" s="147"/>
      <c r="P19" s="284"/>
      <c r="Q19" s="542" t="str">
        <f>IF(S42+S43=2,"","Public expenditure")</f>
        <v>Public expenditure</v>
      </c>
      <c r="R19" s="543"/>
      <c r="S19" s="543"/>
      <c r="T19" s="543"/>
      <c r="U19" s="543"/>
      <c r="V19" s="544"/>
      <c r="W19" s="283"/>
      <c r="X19" s="226">
        <f>-K25*G8*'normal case'!AL3/100</f>
        <v>0</v>
      </c>
      <c r="Y19" s="145"/>
      <c r="Z19" s="145"/>
      <c r="AA19" s="145"/>
      <c r="AB19" s="145"/>
      <c r="AC19" s="145"/>
    </row>
    <row r="20" spans="1:29" ht="14.15" customHeight="1" thickBot="1">
      <c r="A20" s="637"/>
      <c r="B20" s="562"/>
      <c r="C20" s="563"/>
      <c r="D20" s="145"/>
      <c r="E20" s="170"/>
      <c r="F20" s="270"/>
      <c r="G20" s="271"/>
      <c r="H20" s="271"/>
      <c r="I20" s="271"/>
      <c r="J20" s="271"/>
      <c r="K20" s="271"/>
      <c r="L20" s="271"/>
      <c r="M20" s="171"/>
      <c r="N20" s="147"/>
      <c r="P20" s="284"/>
      <c r="Q20" s="545"/>
      <c r="R20" s="493"/>
      <c r="S20" s="493"/>
      <c r="T20" s="493"/>
      <c r="U20" s="493"/>
      <c r="V20" s="546"/>
      <c r="W20" s="283"/>
      <c r="X20" s="226">
        <f>-100*G11/(K25*'normal case'!AL3)</f>
        <v>0</v>
      </c>
      <c r="Y20" s="145"/>
      <c r="Z20" s="145"/>
      <c r="AA20" s="145"/>
      <c r="AB20" s="145"/>
      <c r="AC20" s="145"/>
    </row>
    <row r="21" spans="1:29" ht="13.5" hidden="1" customHeight="1" thickBot="1">
      <c r="A21" s="637"/>
      <c r="B21" s="303"/>
      <c r="C21" s="304"/>
      <c r="D21" s="145"/>
      <c r="E21" s="84"/>
      <c r="F21" s="272"/>
      <c r="G21" s="273"/>
      <c r="H21" s="273"/>
      <c r="I21" s="273"/>
      <c r="J21" s="273"/>
      <c r="K21" s="273"/>
      <c r="L21" s="274"/>
      <c r="M21" s="83"/>
      <c r="N21" s="147"/>
      <c r="P21" s="284"/>
      <c r="Q21" s="547"/>
      <c r="R21" s="548"/>
      <c r="S21" s="548"/>
      <c r="T21" s="548"/>
      <c r="U21" s="549"/>
      <c r="V21" s="546"/>
      <c r="W21" s="287"/>
      <c r="X21" s="147"/>
      <c r="Y21" s="145"/>
      <c r="Z21" s="145"/>
      <c r="AA21" s="145"/>
      <c r="AB21" s="145"/>
      <c r="AC21" s="145"/>
    </row>
    <row r="22" spans="1:29" ht="13.5" customHeight="1" thickTop="1" thickBot="1">
      <c r="A22" s="637"/>
      <c r="B22" s="564"/>
      <c r="C22" s="565"/>
      <c r="D22" s="147"/>
      <c r="E22" s="147"/>
      <c r="F22" s="275"/>
      <c r="G22" s="275"/>
      <c r="H22" s="275"/>
      <c r="I22" s="275"/>
      <c r="J22" s="275"/>
      <c r="K22" s="275"/>
      <c r="L22" s="275"/>
      <c r="M22" s="147"/>
      <c r="N22" s="147"/>
      <c r="P22" s="284"/>
      <c r="Q22" s="537" t="str">
        <f>IF(S42+S43=2,"","Size of the increase (+)/decrease (-) in public expenditure")</f>
        <v>Size of the increase (+)/decrease (-) in public expenditure</v>
      </c>
      <c r="R22" s="538"/>
      <c r="S22" s="538"/>
      <c r="T22" s="539"/>
      <c r="U22" s="540"/>
      <c r="V22" s="531" t="str">
        <f>IF(S42+S43=2,"","%")</f>
        <v>%</v>
      </c>
      <c r="W22" s="283"/>
      <c r="X22" s="147"/>
      <c r="Y22" s="145"/>
      <c r="Z22" s="145"/>
      <c r="AA22" s="145"/>
      <c r="AB22" s="145"/>
      <c r="AC22" s="145"/>
    </row>
    <row r="23" spans="1:29" ht="30" customHeight="1" thickTop="1" thickBot="1">
      <c r="A23" s="637"/>
      <c r="B23" s="305"/>
      <c r="C23" s="306"/>
      <c r="D23" s="145"/>
      <c r="E23" s="175"/>
      <c r="F23" s="578" t="s">
        <v>169</v>
      </c>
      <c r="G23" s="579"/>
      <c r="H23" s="579"/>
      <c r="I23" s="579"/>
      <c r="J23" s="579"/>
      <c r="K23" s="579"/>
      <c r="L23" s="617"/>
      <c r="M23" s="172"/>
      <c r="N23" s="147"/>
      <c r="P23" s="284"/>
      <c r="Q23" s="538"/>
      <c r="R23" s="538"/>
      <c r="S23" s="538"/>
      <c r="T23" s="539"/>
      <c r="U23" s="541"/>
      <c r="V23" s="532"/>
      <c r="W23" s="283"/>
      <c r="X23" s="147"/>
      <c r="Y23" s="145"/>
      <c r="Z23" s="145"/>
      <c r="AA23" s="145"/>
      <c r="AB23" s="145"/>
      <c r="AC23" s="145"/>
    </row>
    <row r="24" spans="1:29" ht="18" customHeight="1" thickBot="1">
      <c r="A24" s="637"/>
      <c r="B24" s="188"/>
      <c r="C24" s="188"/>
      <c r="D24" s="145"/>
      <c r="E24" s="173"/>
      <c r="F24" s="537" t="str">
        <f>IF(S42=1,"World real interest rate","Stabilizing real interest rate")</f>
        <v>Stabilizing real interest rate</v>
      </c>
      <c r="G24" s="537"/>
      <c r="H24" s="537"/>
      <c r="I24" s="537"/>
      <c r="J24" s="628"/>
      <c r="K24" s="433">
        <v>4</v>
      </c>
      <c r="L24" s="163" t="s">
        <v>119</v>
      </c>
      <c r="M24" s="169"/>
      <c r="N24" s="147"/>
      <c r="P24" s="284"/>
      <c r="Q24" s="537" t="str">
        <f>IF(S42+S43=2,"","Period when the fiscal change is implemented")</f>
        <v>Period when the fiscal change is implemented</v>
      </c>
      <c r="R24" s="537"/>
      <c r="S24" s="537"/>
      <c r="T24" s="537"/>
      <c r="U24" s="661">
        <f>C34+4</f>
        <v>5</v>
      </c>
      <c r="V24" s="434"/>
      <c r="W24" s="283"/>
      <c r="X24" s="147"/>
      <c r="Y24" s="145"/>
      <c r="Z24" s="145"/>
      <c r="AA24" s="145"/>
      <c r="AB24" s="145"/>
      <c r="AC24" s="145"/>
    </row>
    <row r="25" spans="1:29" ht="15" customHeight="1">
      <c r="A25" s="637"/>
      <c r="B25" s="498" t="s">
        <v>222</v>
      </c>
      <c r="C25" s="499"/>
      <c r="D25" s="145"/>
      <c r="E25" s="167"/>
      <c r="F25" s="537" t="s">
        <v>215</v>
      </c>
      <c r="G25" s="537"/>
      <c r="H25" s="537"/>
      <c r="I25" s="537"/>
      <c r="J25" s="628"/>
      <c r="K25" s="630">
        <v>1</v>
      </c>
      <c r="L25" s="268"/>
      <c r="M25" s="169"/>
      <c r="N25" s="147"/>
      <c r="P25" s="284"/>
      <c r="Q25" s="629"/>
      <c r="R25" s="629"/>
      <c r="S25" s="629"/>
      <c r="T25" s="629"/>
      <c r="U25" s="662"/>
      <c r="V25" s="430"/>
      <c r="W25" s="283"/>
      <c r="X25" s="147"/>
      <c r="Y25" s="145"/>
      <c r="Z25" s="145"/>
      <c r="AA25" s="145"/>
      <c r="AB25" s="145"/>
      <c r="AC25" s="145"/>
    </row>
    <row r="26" spans="1:29" ht="20.25" customHeight="1" thickBot="1">
      <c r="A26" s="637"/>
      <c r="B26" s="500"/>
      <c r="C26" s="501"/>
      <c r="D26" s="145"/>
      <c r="E26" s="167"/>
      <c r="F26" s="629"/>
      <c r="G26" s="629"/>
      <c r="H26" s="629"/>
      <c r="I26" s="629"/>
      <c r="J26" s="628"/>
      <c r="K26" s="610"/>
      <c r="L26" s="268"/>
      <c r="M26" s="169"/>
      <c r="N26" s="147"/>
      <c r="P26" s="284"/>
      <c r="Q26" s="658" t="str">
        <f>IF(S42+S43=2,"","Permanence")</f>
        <v>Permanence</v>
      </c>
      <c r="R26" s="659"/>
      <c r="S26" s="659"/>
      <c r="T26" s="660"/>
      <c r="U26" s="481" t="str">
        <f>IF(B34=1,"temporary","permanent")</f>
        <v>temporary</v>
      </c>
      <c r="V26" s="479">
        <v>2</v>
      </c>
      <c r="W26" s="283"/>
      <c r="X26" s="147"/>
      <c r="Y26" s="145"/>
      <c r="Z26" s="145"/>
      <c r="AA26" s="145"/>
      <c r="AB26" s="145"/>
      <c r="AC26" s="145"/>
    </row>
    <row r="27" spans="1:29" ht="10.5" customHeight="1" thickBot="1">
      <c r="A27" s="637"/>
      <c r="B27" s="500"/>
      <c r="C27" s="501"/>
      <c r="D27" s="145"/>
      <c r="E27" s="167"/>
      <c r="F27" s="611" t="s">
        <v>216</v>
      </c>
      <c r="G27" s="612"/>
      <c r="H27" s="612"/>
      <c r="I27" s="612"/>
      <c r="J27" s="613"/>
      <c r="K27" s="609">
        <v>2</v>
      </c>
      <c r="L27" s="268"/>
      <c r="M27" s="169"/>
      <c r="N27" s="147"/>
      <c r="P27" s="288"/>
      <c r="Q27" s="271"/>
      <c r="R27" s="271"/>
      <c r="S27" s="271"/>
      <c r="T27" s="271"/>
      <c r="U27" s="271"/>
      <c r="V27" s="271"/>
      <c r="W27" s="289"/>
      <c r="X27" s="147"/>
      <c r="Y27" s="145"/>
      <c r="Z27" s="145"/>
      <c r="AA27" s="145"/>
      <c r="AB27" s="145"/>
      <c r="AC27" s="145"/>
    </row>
    <row r="28" spans="1:29" ht="14.25" customHeight="1" thickTop="1" thickBot="1">
      <c r="A28" s="637"/>
      <c r="B28" s="500"/>
      <c r="C28" s="501"/>
      <c r="D28" s="145"/>
      <c r="E28" s="167"/>
      <c r="F28" s="614"/>
      <c r="G28" s="615"/>
      <c r="H28" s="615"/>
      <c r="I28" s="615"/>
      <c r="J28" s="616"/>
      <c r="K28" s="610"/>
      <c r="L28" s="268"/>
      <c r="M28" s="169"/>
      <c r="N28" s="147"/>
      <c r="P28" s="275"/>
      <c r="Q28" s="275"/>
      <c r="R28" s="275"/>
      <c r="S28" s="275"/>
      <c r="T28" s="275"/>
      <c r="U28" s="275"/>
      <c r="V28" s="275"/>
      <c r="W28" s="275"/>
      <c r="X28" s="147"/>
      <c r="Y28" s="145"/>
      <c r="Z28" s="145"/>
      <c r="AA28" s="145"/>
      <c r="AB28" s="145"/>
      <c r="AC28" s="145"/>
    </row>
    <row r="29" spans="1:29" ht="18.75" customHeight="1" thickTop="1">
      <c r="A29" s="637"/>
      <c r="B29" s="189"/>
      <c r="C29" s="190"/>
      <c r="D29" s="183"/>
      <c r="E29" s="167"/>
      <c r="F29" s="611" t="str">
        <f>IF($T$42=0,"Degree of inflation inertia/credibility of central bank","Degree of inflation inertia/exchange rate as nominal anchor")</f>
        <v>Degree of inflation inertia/credibility of central bank</v>
      </c>
      <c r="G29" s="612"/>
      <c r="H29" s="612"/>
      <c r="I29" s="612"/>
      <c r="J29" s="613"/>
      <c r="K29" s="356">
        <f>controls!B32/10</f>
        <v>1</v>
      </c>
      <c r="L29" s="268"/>
      <c r="M29" s="169"/>
      <c r="N29" s="147"/>
      <c r="P29" s="577" t="s">
        <v>83</v>
      </c>
      <c r="Q29" s="578"/>
      <c r="R29" s="578"/>
      <c r="S29" s="578"/>
      <c r="T29" s="578"/>
      <c r="U29" s="579"/>
      <c r="V29" s="579"/>
      <c r="W29" s="580"/>
      <c r="X29" s="147"/>
      <c r="Y29" s="145"/>
      <c r="Z29" s="145"/>
      <c r="AA29" s="145"/>
      <c r="AB29" s="145"/>
      <c r="AC29" s="145"/>
    </row>
    <row r="30" spans="1:29" ht="14.25" customHeight="1" thickBot="1">
      <c r="A30" s="637"/>
      <c r="B30" s="193"/>
      <c r="C30" s="193"/>
      <c r="D30" s="145"/>
      <c r="E30" s="167"/>
      <c r="F30" s="614"/>
      <c r="G30" s="615"/>
      <c r="H30" s="615"/>
      <c r="I30" s="615"/>
      <c r="J30" s="616"/>
      <c r="K30" s="302"/>
      <c r="L30" s="268"/>
      <c r="M30" s="169"/>
      <c r="N30" s="147"/>
      <c r="P30" s="581"/>
      <c r="Q30" s="582"/>
      <c r="R30" s="582"/>
      <c r="S30" s="582"/>
      <c r="T30" s="582"/>
      <c r="U30" s="583"/>
      <c r="V30" s="583"/>
      <c r="W30" s="584"/>
      <c r="X30" s="147"/>
      <c r="Y30" s="145"/>
      <c r="Z30" s="145"/>
      <c r="AA30" s="145"/>
      <c r="AB30" s="145"/>
      <c r="AC30" s="145"/>
    </row>
    <row r="31" spans="1:29" ht="29.25" customHeight="1" thickBot="1">
      <c r="A31" s="637"/>
      <c r="B31" s="527" t="str">
        <f>IF(S42+S43+T42=0,"Apply your own monetary policy","")</f>
        <v>Apply your own monetary policy</v>
      </c>
      <c r="C31" s="499"/>
      <c r="D31" s="145"/>
      <c r="E31" s="167"/>
      <c r="F31" s="528" t="str">
        <f>IF(S42=1,"Sensitivity of expenditure wrt real exchange rate","")</f>
        <v/>
      </c>
      <c r="G31" s="528"/>
      <c r="H31" s="528"/>
      <c r="I31" s="528"/>
      <c r="J31" s="528"/>
      <c r="K31" s="486"/>
      <c r="L31" s="276" t="str">
        <f>IF(S42=1,"%","")</f>
        <v/>
      </c>
      <c r="M31" s="169"/>
      <c r="N31" s="147"/>
      <c r="P31" s="284"/>
      <c r="Q31" s="625" t="s">
        <v>105</v>
      </c>
      <c r="R31" s="626"/>
      <c r="S31" s="626"/>
      <c r="T31" s="626"/>
      <c r="U31" s="354">
        <v>20</v>
      </c>
      <c r="V31" s="197" t="s">
        <v>119</v>
      </c>
      <c r="W31" s="283"/>
      <c r="X31" s="147"/>
      <c r="Y31" s="145"/>
      <c r="Z31" s="145"/>
      <c r="AA31" s="145"/>
      <c r="AB31" s="145"/>
      <c r="AC31" s="145"/>
    </row>
    <row r="32" spans="1:29" ht="22.5" customHeight="1" thickBot="1">
      <c r="A32" s="637"/>
      <c r="B32" s="191"/>
      <c r="C32" s="192"/>
      <c r="D32" s="145"/>
      <c r="E32" s="167"/>
      <c r="F32" s="570" t="str">
        <f>IF(S42=0,"","World inflation target")</f>
        <v/>
      </c>
      <c r="G32" s="570"/>
      <c r="H32" s="570"/>
      <c r="I32" s="570"/>
      <c r="J32" s="570"/>
      <c r="K32" s="487"/>
      <c r="L32" s="276" t="str">
        <f>IF(S42=0,"",IF(S42+S43+T42=3,"","%"))</f>
        <v/>
      </c>
      <c r="M32" s="169"/>
      <c r="N32" s="147"/>
      <c r="P32" s="284"/>
      <c r="Q32" s="625" t="s">
        <v>10</v>
      </c>
      <c r="R32" s="642"/>
      <c r="S32" s="642"/>
      <c r="T32" s="642"/>
      <c r="U32" s="355">
        <v>20</v>
      </c>
      <c r="V32" s="162" t="s">
        <v>119</v>
      </c>
      <c r="W32" s="283"/>
      <c r="X32" s="147"/>
      <c r="Y32" s="145"/>
      <c r="Z32" s="145"/>
      <c r="AA32" s="145"/>
      <c r="AB32" s="145"/>
      <c r="AC32" s="145"/>
    </row>
    <row r="33" spans="1:574" ht="25.5" customHeight="1">
      <c r="A33" s="637"/>
      <c r="B33" s="194"/>
      <c r="C33" s="194"/>
      <c r="D33" s="145"/>
      <c r="E33" s="167"/>
      <c r="F33" s="618" t="s">
        <v>84</v>
      </c>
      <c r="G33" s="619"/>
      <c r="H33" s="619"/>
      <c r="I33" s="619"/>
      <c r="J33" s="619"/>
      <c r="K33" s="619"/>
      <c r="L33" s="620"/>
      <c r="M33" s="169"/>
      <c r="N33" s="147"/>
      <c r="P33" s="284"/>
      <c r="Q33" s="625" t="s">
        <v>11</v>
      </c>
      <c r="R33" s="626"/>
      <c r="S33" s="626"/>
      <c r="T33" s="626"/>
      <c r="U33" s="353">
        <v>0</v>
      </c>
      <c r="V33" s="163" t="s">
        <v>119</v>
      </c>
      <c r="W33" s="283"/>
      <c r="X33" s="147"/>
      <c r="Y33" s="145"/>
      <c r="Z33" s="145"/>
      <c r="AA33" s="145"/>
      <c r="AB33" s="145"/>
      <c r="AC33" s="145"/>
    </row>
    <row r="34" spans="1:574" ht="19.5" customHeight="1" thickBot="1">
      <c r="A34" s="637"/>
      <c r="B34" s="480">
        <v>1</v>
      </c>
      <c r="C34" s="480">
        <v>1</v>
      </c>
      <c r="D34" s="145"/>
      <c r="E34" s="167"/>
      <c r="F34" s="621" t="s">
        <v>118</v>
      </c>
      <c r="G34" s="622"/>
      <c r="H34" s="622"/>
      <c r="I34" s="622"/>
      <c r="J34" s="623"/>
      <c r="K34" s="265"/>
      <c r="L34" s="268"/>
      <c r="M34" s="169"/>
      <c r="N34" s="147"/>
      <c r="P34" s="288"/>
      <c r="Q34" s="271"/>
      <c r="R34" s="271"/>
      <c r="S34" s="271"/>
      <c r="T34" s="271"/>
      <c r="U34" s="271"/>
      <c r="V34" s="271"/>
      <c r="W34" s="289"/>
      <c r="X34" s="147"/>
      <c r="Y34" s="145"/>
      <c r="Z34" s="145"/>
      <c r="AA34" s="145"/>
      <c r="AB34" s="145"/>
      <c r="AC34" s="145"/>
      <c r="VB34">
        <v>2</v>
      </c>
    </row>
    <row r="35" spans="1:574" ht="21.75" customHeight="1" thickTop="1" thickBot="1">
      <c r="A35" s="637"/>
      <c r="B35" s="443"/>
      <c r="C35" s="443"/>
      <c r="D35" s="145"/>
      <c r="E35" s="167"/>
      <c r="F35" s="625" t="s">
        <v>85</v>
      </c>
      <c r="G35" s="626"/>
      <c r="H35" s="626"/>
      <c r="I35" s="626"/>
      <c r="J35" s="627"/>
      <c r="K35" s="352"/>
      <c r="L35" s="163" t="s">
        <v>119</v>
      </c>
      <c r="M35" s="169"/>
      <c r="N35" s="147"/>
      <c r="P35" s="275"/>
      <c r="Q35" s="275"/>
      <c r="R35" s="275"/>
      <c r="S35" s="290">
        <f>IF(S42+T42=2,"",controls!$B$8)</f>
        <v>0</v>
      </c>
      <c r="T35" s="275"/>
      <c r="U35" s="275"/>
      <c r="V35" s="291"/>
      <c r="W35" s="291"/>
      <c r="X35" s="147"/>
      <c r="Y35" s="145"/>
      <c r="Z35" s="145"/>
      <c r="AA35" s="145"/>
      <c r="AB35" s="145"/>
      <c r="AC35" s="145"/>
    </row>
    <row r="36" spans="1:574" ht="21.75" customHeight="1" thickTop="1">
      <c r="A36" s="145"/>
      <c r="B36" s="443"/>
      <c r="C36" s="443"/>
      <c r="D36" s="146"/>
      <c r="E36" s="167"/>
      <c r="F36" s="533" t="str">
        <f>IF(S42+S43+T42=0,"","World growth rate")</f>
        <v/>
      </c>
      <c r="G36" s="568"/>
      <c r="H36" s="568"/>
      <c r="I36" s="568"/>
      <c r="J36" s="569"/>
      <c r="K36" s="488"/>
      <c r="L36" s="198" t="str">
        <f>IF(S42+S43+T42=0,"","%")</f>
        <v/>
      </c>
      <c r="M36" s="169"/>
      <c r="N36" s="147"/>
      <c r="O36" s="147"/>
      <c r="P36" s="571" t="str">
        <f>IF(S42+S43+T42=0,"","External balance")</f>
        <v/>
      </c>
      <c r="Q36" s="572"/>
      <c r="R36" s="572"/>
      <c r="S36" s="572"/>
      <c r="T36" s="572"/>
      <c r="U36" s="572"/>
      <c r="V36" s="572"/>
      <c r="W36" s="573"/>
      <c r="X36" s="147"/>
      <c r="Y36" s="145"/>
      <c r="Z36" s="145"/>
      <c r="AA36" s="145"/>
      <c r="AB36" s="145"/>
      <c r="AC36" s="145"/>
    </row>
    <row r="37" spans="1:574" s="83" customFormat="1" ht="9" customHeight="1">
      <c r="A37" s="145"/>
      <c r="B37" s="444"/>
      <c r="C37" s="444"/>
      <c r="D37" s="147"/>
      <c r="E37" s="585" t="s">
        <v>22</v>
      </c>
      <c r="F37" s="586"/>
      <c r="G37" s="586"/>
      <c r="H37" s="586"/>
      <c r="I37" s="586"/>
      <c r="J37" s="586"/>
      <c r="K37" s="586"/>
      <c r="L37" s="586"/>
      <c r="M37" s="587"/>
      <c r="N37" s="147"/>
      <c r="O37" s="147"/>
      <c r="P37" s="574"/>
      <c r="Q37" s="575"/>
      <c r="R37" s="575"/>
      <c r="S37" s="575"/>
      <c r="T37" s="575"/>
      <c r="U37" s="575"/>
      <c r="V37" s="575"/>
      <c r="W37" s="576"/>
      <c r="X37" s="147"/>
      <c r="Y37" s="145"/>
      <c r="Z37" s="145"/>
      <c r="AA37" s="145"/>
      <c r="AB37" s="145"/>
      <c r="AC37" s="145"/>
      <c r="AD37" s="81"/>
      <c r="AE37" s="81"/>
      <c r="AF37" s="81"/>
      <c r="AG37" s="81"/>
      <c r="AH37" s="81"/>
      <c r="AI37" s="81"/>
      <c r="AJ37" s="81"/>
      <c r="AK37" s="81"/>
      <c r="AL37" s="81"/>
      <c r="AM37" s="81"/>
      <c r="AN37" s="81"/>
      <c r="AO37" s="81"/>
      <c r="AP37" s="81"/>
      <c r="AQ37" s="81"/>
      <c r="AR37" s="81"/>
      <c r="AS37" s="81"/>
      <c r="AT37" s="81"/>
      <c r="AU37" s="81"/>
      <c r="AV37" s="81"/>
      <c r="AW37" s="81"/>
    </row>
    <row r="38" spans="1:574" ht="18" customHeight="1" thickBot="1">
      <c r="A38" s="145"/>
      <c r="B38" s="145">
        <v>1</v>
      </c>
      <c r="C38" s="145"/>
      <c r="D38" s="145"/>
      <c r="E38" s="588"/>
      <c r="F38" s="586"/>
      <c r="G38" s="586"/>
      <c r="H38" s="586"/>
      <c r="I38" s="586"/>
      <c r="J38" s="586"/>
      <c r="K38" s="586"/>
      <c r="L38" s="586"/>
      <c r="M38" s="587"/>
      <c r="N38" s="145"/>
      <c r="O38" s="145"/>
      <c r="P38" s="292"/>
      <c r="Q38" s="533" t="str">
        <f>IF(S42+T42+S43=0,"","Initial trade balance/GDP")</f>
        <v/>
      </c>
      <c r="R38" s="534"/>
      <c r="S38" s="534"/>
      <c r="T38" s="534"/>
      <c r="U38" s="489"/>
      <c r="V38" s="427" t="str">
        <f>IF(S42+T42+S43=0,"","%")</f>
        <v/>
      </c>
      <c r="W38" s="293"/>
      <c r="X38" s="145"/>
      <c r="Y38" s="145"/>
      <c r="Z38" s="145"/>
      <c r="AA38" s="145"/>
      <c r="AB38" s="145"/>
      <c r="AC38" s="145"/>
    </row>
    <row r="39" spans="1:574" ht="17.25" customHeight="1" thickBot="1">
      <c r="A39" s="145"/>
      <c r="B39" s="145"/>
      <c r="C39" s="145"/>
      <c r="D39" s="145"/>
      <c r="E39" s="167"/>
      <c r="F39" s="631" t="s">
        <v>245</v>
      </c>
      <c r="G39" s="632"/>
      <c r="H39" s="632"/>
      <c r="I39" s="632"/>
      <c r="J39" s="633"/>
      <c r="K39" s="276"/>
      <c r="L39" s="276"/>
      <c r="M39" s="169"/>
      <c r="N39" s="145"/>
      <c r="P39" s="292"/>
      <c r="Q39" s="566" t="str">
        <f>IF(S42+S43+T42=0,"","Initial NIIP/GDP")</f>
        <v/>
      </c>
      <c r="R39" s="567"/>
      <c r="S39" s="567"/>
      <c r="T39" s="567"/>
      <c r="U39" s="489"/>
      <c r="V39" s="198" t="str">
        <f>IF(S42+T42+S43=0,"","%")</f>
        <v/>
      </c>
      <c r="W39" s="293"/>
      <c r="X39" s="147"/>
      <c r="Y39" s="145"/>
      <c r="Z39" s="145"/>
      <c r="AA39" s="145"/>
      <c r="AB39" s="145"/>
      <c r="AC39" s="145"/>
    </row>
    <row r="40" spans="1:574" ht="15" customHeight="1" thickBot="1">
      <c r="A40" s="145"/>
      <c r="B40" s="145"/>
      <c r="C40" s="145"/>
      <c r="D40" s="145"/>
      <c r="E40" s="167"/>
      <c r="F40" s="634"/>
      <c r="G40" s="635"/>
      <c r="H40" s="635"/>
      <c r="I40" s="635"/>
      <c r="J40" s="636"/>
      <c r="K40" s="276"/>
      <c r="L40" s="276" t="str">
        <f>IF(S46+S47+T46=0,"","%")</f>
        <v/>
      </c>
      <c r="M40" s="169"/>
      <c r="N40" s="145"/>
      <c r="P40" s="294"/>
      <c r="Q40" s="295"/>
      <c r="R40" s="295"/>
      <c r="S40" s="295"/>
      <c r="T40" s="295"/>
      <c r="U40" s="295"/>
      <c r="V40" s="295"/>
      <c r="W40" s="296"/>
      <c r="X40" s="147"/>
      <c r="Y40" s="145"/>
      <c r="Z40" s="145"/>
      <c r="AA40" s="145"/>
      <c r="AB40" s="145"/>
      <c r="AC40" s="145"/>
    </row>
    <row r="41" spans="1:574" ht="8.25" customHeight="1" thickTop="1" thickBot="1">
      <c r="A41" s="145"/>
      <c r="B41" s="145"/>
      <c r="C41" s="145"/>
      <c r="D41" s="145"/>
      <c r="E41" s="170"/>
      <c r="F41" s="270"/>
      <c r="G41" s="271"/>
      <c r="H41" s="271"/>
      <c r="I41" s="271"/>
      <c r="J41" s="271"/>
      <c r="K41" s="271"/>
      <c r="L41" s="271"/>
      <c r="M41" s="171"/>
      <c r="N41" s="145"/>
      <c r="P41" s="297"/>
      <c r="Q41" s="297"/>
      <c r="R41" s="297"/>
      <c r="S41" s="298">
        <f>controls!B33</f>
        <v>2</v>
      </c>
      <c r="T41" s="297"/>
      <c r="U41" s="297"/>
      <c r="V41" s="297"/>
      <c r="W41" s="297"/>
      <c r="X41" s="147"/>
      <c r="Y41" s="145"/>
      <c r="Z41" s="145"/>
      <c r="AA41" s="145"/>
      <c r="AB41" s="145"/>
      <c r="AC41" s="145"/>
    </row>
    <row r="42" spans="1:574" ht="13" thickTop="1">
      <c r="A42" s="145"/>
      <c r="B42" s="145"/>
      <c r="C42" s="145"/>
      <c r="D42" s="145"/>
      <c r="E42" s="145"/>
      <c r="F42" s="145"/>
      <c r="G42" s="145"/>
      <c r="H42" s="145"/>
      <c r="I42" s="145"/>
      <c r="J42" s="145"/>
      <c r="K42" s="145"/>
      <c r="L42" s="145"/>
      <c r="M42" s="145"/>
      <c r="N42" s="145"/>
      <c r="P42" s="277"/>
      <c r="Q42" s="277"/>
      <c r="R42" s="277"/>
      <c r="S42" s="298">
        <f>controls!$B$44</f>
        <v>0</v>
      </c>
      <c r="T42" s="298">
        <f>controls!B45</f>
        <v>0</v>
      </c>
      <c r="U42" s="277"/>
      <c r="V42" s="299"/>
      <c r="W42" s="299"/>
      <c r="X42" s="145"/>
      <c r="Y42" s="145"/>
      <c r="Z42" s="145"/>
      <c r="AA42" s="145"/>
      <c r="AB42" s="145"/>
      <c r="AC42" s="145"/>
    </row>
    <row r="43" spans="1:574">
      <c r="A43" s="145"/>
      <c r="B43" s="145"/>
      <c r="C43" s="145"/>
      <c r="D43" s="145"/>
      <c r="E43" s="145"/>
      <c r="F43" s="145"/>
      <c r="G43" s="145"/>
      <c r="H43" s="145"/>
      <c r="I43" s="145"/>
      <c r="J43" s="145"/>
      <c r="K43" s="145"/>
      <c r="L43" s="145"/>
      <c r="M43" s="145"/>
      <c r="N43" s="145"/>
      <c r="P43" s="278"/>
      <c r="Q43" s="278"/>
      <c r="R43" s="278"/>
      <c r="S43" s="290">
        <f>controls!B46</f>
        <v>0</v>
      </c>
      <c r="T43" s="300">
        <f>controls!B33</f>
        <v>2</v>
      </c>
      <c r="U43" s="278"/>
      <c r="V43" s="301"/>
      <c r="W43" s="301"/>
      <c r="X43" s="147"/>
      <c r="Y43" s="145"/>
      <c r="Z43" s="145"/>
      <c r="AA43" s="145"/>
      <c r="AB43" s="145"/>
      <c r="AC43" s="145"/>
    </row>
    <row r="44" spans="1:574">
      <c r="A44" s="145"/>
      <c r="B44" s="145"/>
      <c r="C44" s="145"/>
      <c r="D44" s="145"/>
      <c r="E44" s="145"/>
      <c r="F44" s="145"/>
      <c r="G44" s="145"/>
      <c r="H44" s="145"/>
      <c r="I44" s="145"/>
      <c r="J44" s="145"/>
      <c r="K44" s="145"/>
      <c r="L44" s="145"/>
      <c r="M44" s="145"/>
      <c r="N44" s="145"/>
      <c r="O44" s="145"/>
      <c r="P44" s="278"/>
      <c r="Q44" s="278"/>
      <c r="R44" s="278"/>
      <c r="S44" s="278"/>
      <c r="T44" s="278"/>
      <c r="U44" s="278"/>
      <c r="V44" s="278"/>
      <c r="W44" s="278"/>
      <c r="X44" s="145"/>
      <c r="Y44" s="145"/>
      <c r="Z44" s="145"/>
      <c r="AA44" s="145"/>
      <c r="AB44" s="145"/>
      <c r="AC44" s="145"/>
    </row>
    <row r="45" spans="1:574">
      <c r="A45" s="145"/>
      <c r="B45" s="145"/>
      <c r="C45" s="145"/>
      <c r="D45" s="145"/>
      <c r="E45" s="145"/>
      <c r="F45" s="145"/>
      <c r="G45" s="145"/>
      <c r="H45" s="145"/>
      <c r="I45" s="145"/>
      <c r="J45" s="145"/>
      <c r="K45" s="145"/>
      <c r="L45" s="145"/>
      <c r="M45" s="145"/>
      <c r="N45" s="145"/>
      <c r="O45" s="145"/>
      <c r="P45" s="278"/>
      <c r="Q45" s="278"/>
      <c r="R45" s="278"/>
      <c r="S45" s="278"/>
      <c r="T45" s="278"/>
      <c r="U45" s="278"/>
      <c r="V45" s="278"/>
      <c r="W45" s="278"/>
      <c r="X45" s="145"/>
      <c r="Y45" s="145"/>
      <c r="Z45" s="145"/>
      <c r="AA45" s="145"/>
      <c r="AB45" s="145"/>
      <c r="AC45" s="145"/>
    </row>
    <row r="46" spans="1:574">
      <c r="A46" s="145"/>
      <c r="B46" s="145"/>
      <c r="C46" s="145"/>
      <c r="D46" s="145"/>
      <c r="E46" s="145"/>
      <c r="F46" s="145"/>
      <c r="G46" s="145"/>
      <c r="H46" s="145"/>
      <c r="I46" s="145"/>
      <c r="J46" s="145"/>
      <c r="K46" s="145"/>
      <c r="L46" s="145"/>
      <c r="M46" s="145"/>
      <c r="N46" s="145"/>
      <c r="O46" s="145"/>
      <c r="P46" s="278"/>
      <c r="Q46" s="278"/>
      <c r="R46" s="278"/>
      <c r="S46" s="278"/>
      <c r="T46" s="278"/>
      <c r="U46" s="278"/>
      <c r="V46" s="278"/>
      <c r="W46" s="278"/>
      <c r="X46" s="145"/>
      <c r="Y46" s="145"/>
      <c r="Z46" s="145"/>
      <c r="AA46" s="145"/>
      <c r="AB46" s="145"/>
      <c r="AC46" s="145"/>
    </row>
    <row r="47" spans="1:574">
      <c r="A47" s="145"/>
      <c r="B47" s="145"/>
      <c r="C47" s="145"/>
      <c r="D47" s="145"/>
      <c r="E47" s="145"/>
      <c r="F47" s="451">
        <v>2</v>
      </c>
      <c r="G47" s="145"/>
      <c r="H47" s="145"/>
      <c r="I47" s="145"/>
      <c r="J47" s="145"/>
      <c r="K47" s="145"/>
      <c r="L47" s="145"/>
      <c r="M47" s="145"/>
      <c r="N47" s="145"/>
      <c r="O47" s="145"/>
      <c r="P47" s="145"/>
      <c r="Q47" s="145"/>
      <c r="R47" s="145"/>
      <c r="S47" s="145"/>
      <c r="T47" s="145"/>
      <c r="U47" s="145"/>
      <c r="V47" s="145"/>
      <c r="W47" s="145"/>
      <c r="X47" s="145"/>
      <c r="Y47" s="145"/>
      <c r="Z47" s="145"/>
      <c r="AA47" s="145"/>
      <c r="AB47" s="145"/>
      <c r="AC47" s="145"/>
    </row>
    <row r="48" spans="1:574">
      <c r="A48" s="145"/>
      <c r="B48" s="145"/>
      <c r="C48" s="145"/>
      <c r="D48" s="145"/>
      <c r="E48" s="145"/>
      <c r="F48" s="145"/>
      <c r="G48" s="145"/>
      <c r="H48" s="145"/>
      <c r="I48" s="145"/>
      <c r="J48" s="145"/>
      <c r="K48" s="145"/>
      <c r="L48" s="145"/>
      <c r="M48" s="145"/>
      <c r="N48" s="145"/>
      <c r="O48" s="145"/>
      <c r="P48" s="145"/>
      <c r="Q48" s="145"/>
      <c r="R48" s="145"/>
      <c r="S48" s="145"/>
      <c r="T48" s="145"/>
      <c r="U48" s="145"/>
      <c r="V48" s="145"/>
      <c r="W48" s="145"/>
      <c r="X48" s="145"/>
      <c r="Y48" s="145"/>
      <c r="Z48" s="145"/>
      <c r="AA48" s="145"/>
      <c r="AB48" s="145"/>
      <c r="AC48" s="145"/>
    </row>
    <row r="49" spans="1:49">
      <c r="A49" s="145"/>
      <c r="B49" s="145"/>
      <c r="C49" s="145"/>
      <c r="D49" s="145"/>
      <c r="E49" s="145"/>
      <c r="F49" s="145"/>
      <c r="G49" s="145"/>
      <c r="H49" s="145"/>
      <c r="I49" s="145"/>
      <c r="J49" s="145"/>
      <c r="K49" s="145"/>
      <c r="L49" s="145"/>
      <c r="M49" s="145"/>
      <c r="N49" s="145"/>
      <c r="O49" s="145"/>
      <c r="P49" s="145"/>
      <c r="Q49" s="145"/>
      <c r="R49" s="145"/>
      <c r="S49" s="145"/>
      <c r="T49" s="145"/>
      <c r="U49" s="145"/>
      <c r="V49" s="145"/>
      <c r="W49" s="145"/>
      <c r="X49" s="145"/>
      <c r="Y49" s="145"/>
      <c r="Z49" s="145"/>
      <c r="AA49" s="145"/>
      <c r="AB49" s="145"/>
      <c r="AC49" s="145"/>
    </row>
    <row r="50" spans="1:49">
      <c r="A50" s="145"/>
      <c r="B50" s="145"/>
      <c r="C50" s="145"/>
      <c r="D50" s="145"/>
      <c r="E50" s="145"/>
      <c r="F50" s="145"/>
      <c r="G50" s="145"/>
      <c r="H50" s="145"/>
      <c r="I50" s="145"/>
      <c r="J50" s="145"/>
      <c r="K50" s="145"/>
      <c r="L50" s="145"/>
      <c r="M50" s="145"/>
      <c r="N50" s="145"/>
      <c r="O50" s="145"/>
      <c r="P50" s="145"/>
      <c r="Q50" s="145"/>
      <c r="R50" s="145"/>
      <c r="S50" s="145"/>
      <c r="T50" s="145"/>
      <c r="U50" s="145"/>
      <c r="V50" s="145"/>
      <c r="W50" s="145"/>
      <c r="X50" s="145"/>
      <c r="Y50" s="145"/>
      <c r="Z50" s="145"/>
      <c r="AA50" s="145"/>
      <c r="AB50" s="145"/>
      <c r="AC50" s="145"/>
    </row>
    <row r="51" spans="1:49" s="126" customFormat="1">
      <c r="A51" s="145"/>
      <c r="B51" s="145"/>
      <c r="C51" s="145"/>
      <c r="D51" s="145"/>
      <c r="E51" s="145"/>
      <c r="F51" s="145"/>
      <c r="G51" s="145"/>
      <c r="H51" s="145"/>
      <c r="I51" s="145"/>
      <c r="J51" s="145"/>
      <c r="K51" s="145"/>
      <c r="L51" s="145"/>
      <c r="M51" s="145"/>
      <c r="N51" s="145"/>
      <c r="O51" s="145"/>
      <c r="P51" s="145"/>
      <c r="Q51" s="145"/>
      <c r="R51" s="145"/>
      <c r="S51" s="145"/>
      <c r="T51" s="145"/>
      <c r="U51" s="145"/>
      <c r="V51" s="145"/>
      <c r="W51" s="145"/>
      <c r="X51" s="145"/>
      <c r="Y51" s="145"/>
      <c r="Z51" s="145"/>
      <c r="AA51" s="145"/>
      <c r="AB51" s="145"/>
      <c r="AC51" s="145"/>
      <c r="AD51" s="119"/>
      <c r="AE51" s="119"/>
      <c r="AF51" s="119"/>
      <c r="AG51" s="119"/>
      <c r="AH51" s="119"/>
      <c r="AI51" s="119"/>
      <c r="AJ51" s="119"/>
      <c r="AK51" s="119"/>
      <c r="AL51" s="119"/>
      <c r="AM51" s="119"/>
      <c r="AN51" s="119"/>
      <c r="AO51" s="119"/>
      <c r="AP51" s="119"/>
      <c r="AQ51" s="119"/>
      <c r="AR51" s="119"/>
      <c r="AS51" s="119"/>
      <c r="AT51" s="119"/>
      <c r="AU51" s="119"/>
      <c r="AV51" s="119"/>
      <c r="AW51" s="119"/>
    </row>
    <row r="52" spans="1:49" s="126" customFormat="1" ht="18" customHeight="1">
      <c r="A52" s="145"/>
      <c r="B52" s="145"/>
      <c r="C52" s="145"/>
      <c r="D52" s="145"/>
      <c r="E52" s="145"/>
      <c r="F52" s="484">
        <v>4</v>
      </c>
      <c r="G52" s="145"/>
      <c r="H52" s="145"/>
      <c r="I52" s="145"/>
      <c r="J52" s="145"/>
      <c r="K52" s="145"/>
      <c r="L52" s="145"/>
      <c r="M52" s="145"/>
      <c r="N52" s="145"/>
      <c r="O52" s="145"/>
      <c r="P52" s="145"/>
      <c r="Q52" s="145"/>
      <c r="R52" s="145"/>
      <c r="S52" s="145"/>
      <c r="T52" s="145"/>
      <c r="U52" s="145"/>
      <c r="V52" s="145"/>
      <c r="W52" s="145"/>
      <c r="X52" s="145"/>
      <c r="Y52" s="145"/>
      <c r="Z52" s="145"/>
      <c r="AA52" s="145"/>
      <c r="AB52" s="145"/>
      <c r="AC52" s="145"/>
      <c r="AD52" s="119"/>
      <c r="AE52" s="119"/>
      <c r="AF52" s="119"/>
      <c r="AG52" s="119"/>
      <c r="AH52" s="119"/>
      <c r="AI52" s="119"/>
      <c r="AJ52" s="119"/>
      <c r="AK52" s="119"/>
      <c r="AL52" s="119"/>
      <c r="AM52" s="119"/>
      <c r="AN52" s="119"/>
      <c r="AO52" s="119"/>
      <c r="AP52" s="119"/>
      <c r="AQ52" s="119"/>
      <c r="AR52" s="119"/>
      <c r="AS52" s="119"/>
      <c r="AT52" s="119"/>
      <c r="AU52" s="119"/>
      <c r="AV52" s="119"/>
      <c r="AW52" s="119"/>
    </row>
    <row r="53" spans="1:49" s="126" customFormat="1">
      <c r="A53" s="145"/>
      <c r="B53" s="145"/>
      <c r="C53" s="145"/>
      <c r="D53" s="145"/>
      <c r="E53" s="145"/>
      <c r="F53" s="145"/>
      <c r="G53" s="209">
        <v>1</v>
      </c>
      <c r="H53" s="145"/>
      <c r="I53" s="145"/>
      <c r="J53" s="145"/>
      <c r="K53" s="145"/>
      <c r="L53" s="145"/>
      <c r="M53" s="145"/>
      <c r="N53" s="145"/>
      <c r="O53" s="145"/>
      <c r="P53" s="145"/>
      <c r="Q53" s="145"/>
      <c r="R53" s="145"/>
      <c r="S53" s="145"/>
      <c r="T53" s="145"/>
      <c r="U53" s="145"/>
      <c r="V53" s="145"/>
      <c r="W53" s="145"/>
      <c r="X53" s="145"/>
      <c r="Y53" s="145"/>
      <c r="Z53" s="145"/>
      <c r="AA53" s="145"/>
      <c r="AB53" s="145"/>
      <c r="AC53" s="145"/>
      <c r="AD53" s="119"/>
      <c r="AE53" s="119"/>
      <c r="AF53" s="119"/>
      <c r="AG53" s="119"/>
      <c r="AH53" s="119"/>
      <c r="AI53" s="119"/>
      <c r="AJ53" s="119"/>
      <c r="AK53" s="119"/>
      <c r="AL53" s="119"/>
      <c r="AM53" s="119"/>
      <c r="AN53" s="119"/>
      <c r="AO53" s="119"/>
      <c r="AP53" s="119"/>
      <c r="AQ53" s="119"/>
      <c r="AR53" s="119"/>
      <c r="AS53" s="119"/>
      <c r="AT53" s="119"/>
      <c r="AU53" s="119"/>
      <c r="AV53" s="119"/>
      <c r="AW53" s="119"/>
    </row>
    <row r="54" spans="1:49" s="126" customFormat="1">
      <c r="A54" s="145"/>
      <c r="B54" s="145"/>
      <c r="C54" s="145"/>
      <c r="D54" s="145"/>
      <c r="E54" s="145"/>
      <c r="F54" s="145"/>
      <c r="G54" s="145"/>
      <c r="H54" s="145"/>
      <c r="I54" s="145"/>
      <c r="J54" s="145"/>
      <c r="K54" s="145"/>
      <c r="L54" s="145"/>
      <c r="M54" s="145"/>
      <c r="N54" s="145"/>
      <c r="O54" s="145"/>
      <c r="P54" s="145"/>
      <c r="Q54" s="145"/>
      <c r="R54" s="145"/>
      <c r="S54" s="145"/>
      <c r="T54" s="145"/>
      <c r="U54" s="145"/>
      <c r="V54" s="145"/>
      <c r="W54" s="145"/>
      <c r="X54" s="145"/>
      <c r="Y54" s="145"/>
      <c r="Z54" s="145"/>
      <c r="AA54" s="145"/>
      <c r="AB54" s="145"/>
      <c r="AC54" s="145"/>
      <c r="AD54" s="119"/>
      <c r="AE54" s="119"/>
      <c r="AF54" s="119"/>
      <c r="AG54" s="119"/>
      <c r="AH54" s="119"/>
      <c r="AI54" s="119"/>
      <c r="AJ54" s="119"/>
      <c r="AK54" s="119"/>
      <c r="AL54" s="119"/>
      <c r="AM54" s="119"/>
      <c r="AN54" s="119"/>
      <c r="AO54" s="119"/>
      <c r="AP54" s="119"/>
      <c r="AQ54" s="119"/>
      <c r="AR54" s="119"/>
      <c r="AS54" s="119"/>
      <c r="AT54" s="119"/>
      <c r="AU54" s="119"/>
      <c r="AV54" s="119"/>
      <c r="AW54" s="119"/>
    </row>
    <row r="55" spans="1:49" s="126" customFormat="1" ht="40.5" customHeight="1">
      <c r="A55" s="145"/>
      <c r="B55" s="145"/>
      <c r="C55" s="145"/>
      <c r="D55" s="145"/>
      <c r="E55" s="145"/>
      <c r="F55" s="145"/>
      <c r="G55" s="145"/>
      <c r="H55" s="145"/>
      <c r="I55" s="145"/>
      <c r="J55" s="145"/>
      <c r="K55" s="145"/>
      <c r="L55" s="145"/>
      <c r="M55" s="145"/>
      <c r="N55" s="145"/>
      <c r="O55" s="145"/>
      <c r="P55" s="145"/>
      <c r="Q55" s="145"/>
      <c r="R55" s="145"/>
      <c r="S55" s="145"/>
      <c r="T55" s="145"/>
      <c r="U55" s="145"/>
      <c r="V55" s="145"/>
      <c r="W55" s="145"/>
      <c r="X55" s="145"/>
      <c r="Y55" s="145"/>
      <c r="Z55" s="145"/>
      <c r="AA55" s="145"/>
      <c r="AB55" s="145"/>
      <c r="AC55" s="145"/>
      <c r="AD55" s="119"/>
      <c r="AE55" s="119"/>
      <c r="AF55" s="119"/>
      <c r="AG55" s="119"/>
      <c r="AH55" s="119"/>
      <c r="AI55" s="119"/>
      <c r="AJ55" s="119"/>
      <c r="AK55" s="119"/>
      <c r="AL55" s="119"/>
      <c r="AM55" s="119"/>
      <c r="AN55" s="119"/>
      <c r="AO55" s="119"/>
      <c r="AP55" s="119"/>
      <c r="AQ55" s="119"/>
      <c r="AR55" s="119"/>
      <c r="AS55" s="119"/>
      <c r="AT55" s="119"/>
      <c r="AU55" s="119"/>
      <c r="AV55" s="119"/>
      <c r="AW55" s="119"/>
    </row>
    <row r="56" spans="1:49" s="126" customFormat="1" ht="14.25" customHeight="1">
      <c r="A56" s="145"/>
      <c r="B56" s="145"/>
      <c r="C56" s="145"/>
      <c r="D56" s="145"/>
      <c r="E56" s="145"/>
      <c r="F56" s="145"/>
      <c r="G56" s="145"/>
      <c r="H56" s="145"/>
      <c r="I56" s="145"/>
      <c r="J56" s="145"/>
      <c r="K56" s="145"/>
      <c r="L56" s="145"/>
      <c r="M56" s="145"/>
      <c r="N56" s="145"/>
      <c r="O56" s="145"/>
      <c r="P56" s="145"/>
      <c r="Q56" s="145"/>
      <c r="R56" s="145"/>
      <c r="S56" s="145"/>
      <c r="T56" s="145"/>
      <c r="U56" s="145"/>
      <c r="V56" s="145"/>
      <c r="W56" s="145"/>
      <c r="X56" s="145"/>
      <c r="Y56" s="145"/>
      <c r="Z56" s="145"/>
      <c r="AA56" s="145"/>
      <c r="AB56" s="145"/>
      <c r="AC56" s="145"/>
      <c r="AD56" s="119"/>
      <c r="AE56" s="119"/>
      <c r="AF56" s="119"/>
      <c r="AG56" s="119"/>
      <c r="AH56" s="119"/>
      <c r="AI56" s="119"/>
      <c r="AJ56" s="119"/>
      <c r="AK56" s="119"/>
      <c r="AL56" s="119"/>
      <c r="AM56" s="119"/>
      <c r="AN56" s="119"/>
      <c r="AO56" s="119"/>
      <c r="AP56" s="119"/>
      <c r="AQ56" s="119"/>
      <c r="AR56" s="119"/>
      <c r="AS56" s="119"/>
      <c r="AT56" s="119"/>
      <c r="AU56" s="119"/>
      <c r="AV56" s="119"/>
      <c r="AW56" s="119"/>
    </row>
    <row r="57" spans="1:49" s="126" customFormat="1" ht="21.75" customHeight="1">
      <c r="A57" s="145"/>
      <c r="B57" s="145"/>
      <c r="C57" s="145"/>
      <c r="D57" s="145"/>
      <c r="E57" s="145"/>
      <c r="F57" s="145"/>
      <c r="G57" s="145"/>
      <c r="H57" s="145"/>
      <c r="I57" s="145"/>
      <c r="J57" s="145"/>
      <c r="K57" s="145"/>
      <c r="L57" s="145"/>
      <c r="M57" s="145"/>
      <c r="N57" s="145"/>
      <c r="O57" s="145"/>
      <c r="P57" s="145"/>
      <c r="Q57" s="145"/>
      <c r="R57" s="145"/>
      <c r="S57" s="145"/>
      <c r="T57" s="145"/>
      <c r="U57" s="145"/>
      <c r="V57" s="145"/>
      <c r="W57" s="145"/>
      <c r="X57" s="145"/>
      <c r="Y57" s="145"/>
      <c r="Z57" s="145"/>
      <c r="AA57" s="145"/>
      <c r="AB57" s="145"/>
      <c r="AC57" s="145"/>
      <c r="AD57" s="119"/>
      <c r="AE57" s="119"/>
      <c r="AF57" s="119"/>
      <c r="AG57" s="119"/>
      <c r="AH57" s="119"/>
      <c r="AI57" s="119"/>
      <c r="AJ57" s="119"/>
      <c r="AK57" s="119"/>
      <c r="AL57" s="119"/>
      <c r="AM57" s="119"/>
      <c r="AN57" s="119"/>
      <c r="AO57" s="119"/>
      <c r="AP57" s="119"/>
      <c r="AQ57" s="119"/>
      <c r="AR57" s="119"/>
      <c r="AS57" s="119"/>
      <c r="AT57" s="119"/>
      <c r="AU57" s="119"/>
      <c r="AV57" s="119"/>
      <c r="AW57" s="119"/>
    </row>
    <row r="58" spans="1:49" s="126" customFormat="1" ht="18.75" customHeight="1">
      <c r="A58" s="145"/>
      <c r="B58" s="145"/>
      <c r="C58" s="145"/>
      <c r="D58" s="145"/>
      <c r="E58" s="145"/>
      <c r="F58" s="145"/>
      <c r="G58" s="145"/>
      <c r="H58" s="145"/>
      <c r="I58" s="145"/>
      <c r="J58" s="145"/>
      <c r="K58" s="145"/>
      <c r="L58" s="145"/>
      <c r="M58" s="145"/>
      <c r="N58" s="145"/>
      <c r="O58" s="145"/>
      <c r="P58" s="145"/>
      <c r="Q58" s="145"/>
      <c r="R58" s="145"/>
      <c r="S58" s="145"/>
      <c r="T58" s="145"/>
      <c r="U58" s="145"/>
      <c r="V58" s="145"/>
      <c r="W58" s="145"/>
      <c r="X58" s="145"/>
      <c r="Y58" s="145"/>
      <c r="Z58" s="145"/>
      <c r="AA58" s="145"/>
      <c r="AB58" s="145"/>
      <c r="AC58" s="145"/>
      <c r="AD58" s="119"/>
      <c r="AE58" s="119"/>
      <c r="AF58" s="119"/>
      <c r="AG58" s="119"/>
      <c r="AH58" s="119"/>
      <c r="AI58" s="119"/>
      <c r="AJ58" s="119"/>
      <c r="AK58" s="119"/>
      <c r="AL58" s="119"/>
      <c r="AM58" s="119"/>
      <c r="AN58" s="119"/>
      <c r="AO58" s="119"/>
      <c r="AP58" s="119"/>
      <c r="AQ58" s="119"/>
      <c r="AR58" s="119"/>
      <c r="AS58" s="119"/>
      <c r="AT58" s="119"/>
      <c r="AU58" s="119"/>
      <c r="AV58" s="119"/>
      <c r="AW58" s="119"/>
    </row>
    <row r="59" spans="1:49" s="126" customFormat="1">
      <c r="A59" s="145"/>
      <c r="B59" s="145"/>
      <c r="C59" s="145"/>
      <c r="D59" s="145"/>
      <c r="E59" s="145"/>
      <c r="F59" s="145"/>
      <c r="G59" s="145"/>
      <c r="H59" s="145"/>
      <c r="I59" s="145"/>
      <c r="J59" s="145"/>
      <c r="K59" s="145"/>
      <c r="L59" s="145"/>
      <c r="M59" s="145"/>
      <c r="N59" s="145"/>
      <c r="O59" s="145"/>
      <c r="P59" s="145"/>
      <c r="Q59" s="145"/>
      <c r="R59" s="145"/>
      <c r="S59" s="145"/>
      <c r="T59" s="145"/>
      <c r="U59" s="145"/>
      <c r="V59" s="145"/>
      <c r="W59" s="145"/>
      <c r="X59" s="145"/>
      <c r="Y59" s="145"/>
      <c r="Z59" s="145"/>
      <c r="AA59" s="145"/>
      <c r="AB59" s="145"/>
      <c r="AC59" s="145"/>
      <c r="AD59" s="119"/>
      <c r="AE59" s="119"/>
      <c r="AF59" s="119"/>
      <c r="AG59" s="119"/>
      <c r="AH59" s="119"/>
      <c r="AI59" s="119"/>
      <c r="AJ59" s="119"/>
      <c r="AK59" s="119"/>
      <c r="AL59" s="119"/>
      <c r="AM59" s="119"/>
      <c r="AN59" s="119"/>
      <c r="AO59" s="119"/>
      <c r="AP59" s="119"/>
      <c r="AQ59" s="119"/>
      <c r="AR59" s="119"/>
      <c r="AS59" s="119"/>
      <c r="AT59" s="119"/>
      <c r="AU59" s="119"/>
      <c r="AV59" s="119"/>
      <c r="AW59" s="119"/>
    </row>
    <row r="60" spans="1:49" s="126" customFormat="1">
      <c r="A60" s="145"/>
      <c r="B60" s="145"/>
      <c r="C60" s="145"/>
      <c r="D60" s="145"/>
      <c r="E60" s="145"/>
      <c r="F60" s="145"/>
      <c r="G60" s="145"/>
      <c r="H60" s="145"/>
      <c r="I60" s="145"/>
      <c r="J60" s="145"/>
      <c r="K60" s="145"/>
      <c r="L60" s="145"/>
      <c r="M60" s="145"/>
      <c r="N60" s="145"/>
      <c r="O60" s="145"/>
      <c r="P60" s="145"/>
      <c r="Q60" s="145"/>
      <c r="R60" s="145"/>
      <c r="S60" s="145"/>
      <c r="T60" s="145"/>
      <c r="U60" s="145"/>
      <c r="V60" s="145"/>
      <c r="W60" s="145"/>
      <c r="X60" s="145"/>
      <c r="Y60" s="145"/>
      <c r="Z60" s="145"/>
      <c r="AA60" s="145"/>
      <c r="AB60" s="145"/>
      <c r="AC60" s="145"/>
      <c r="AD60" s="119"/>
      <c r="AE60" s="119"/>
      <c r="AF60" s="119"/>
      <c r="AG60" s="119"/>
      <c r="AH60" s="119"/>
      <c r="AI60" s="119"/>
      <c r="AJ60" s="119"/>
      <c r="AK60" s="119"/>
      <c r="AL60" s="119"/>
      <c r="AM60" s="119"/>
      <c r="AN60" s="119"/>
      <c r="AO60" s="119"/>
      <c r="AP60" s="119"/>
      <c r="AQ60" s="119"/>
      <c r="AR60" s="119"/>
      <c r="AS60" s="119"/>
      <c r="AT60" s="119"/>
      <c r="AU60" s="119"/>
      <c r="AV60" s="119"/>
      <c r="AW60" s="119"/>
    </row>
    <row r="61" spans="1:49" s="126" customFormat="1" ht="18.75" customHeight="1">
      <c r="A61" s="145"/>
      <c r="B61" s="145"/>
      <c r="C61" s="145"/>
      <c r="D61" s="145"/>
      <c r="E61" s="145"/>
      <c r="F61" s="145"/>
      <c r="G61" s="145"/>
      <c r="H61" s="145"/>
      <c r="I61" s="145"/>
      <c r="J61" s="145"/>
      <c r="K61" s="145"/>
      <c r="L61" s="145"/>
      <c r="M61" s="145"/>
      <c r="N61" s="145"/>
      <c r="O61" s="145"/>
      <c r="P61" s="145"/>
      <c r="Q61" s="145"/>
      <c r="R61" s="145"/>
      <c r="S61" s="145"/>
      <c r="T61" s="145"/>
      <c r="U61" s="145"/>
      <c r="V61" s="145"/>
      <c r="W61" s="145"/>
      <c r="X61" s="145"/>
      <c r="Y61" s="145"/>
      <c r="Z61" s="145"/>
      <c r="AA61" s="145"/>
      <c r="AB61" s="145"/>
      <c r="AC61" s="145"/>
      <c r="AD61" s="119"/>
      <c r="AE61" s="119"/>
      <c r="AF61" s="119"/>
      <c r="AG61" s="119"/>
      <c r="AH61" s="119"/>
      <c r="AI61" s="119"/>
      <c r="AJ61" s="119"/>
      <c r="AK61" s="119"/>
      <c r="AL61" s="119"/>
      <c r="AM61" s="119"/>
      <c r="AN61" s="119"/>
      <c r="AO61" s="119"/>
      <c r="AP61" s="119"/>
      <c r="AQ61" s="119"/>
      <c r="AR61" s="119"/>
      <c r="AS61" s="119"/>
      <c r="AT61" s="119"/>
      <c r="AU61" s="119"/>
      <c r="AV61" s="119"/>
      <c r="AW61" s="119"/>
    </row>
    <row r="62" spans="1:49" s="126" customFormat="1" ht="21.75" customHeight="1">
      <c r="A62" s="145"/>
      <c r="B62" s="145"/>
      <c r="C62" s="145"/>
      <c r="D62" s="145"/>
      <c r="E62" s="145"/>
      <c r="F62" s="145"/>
      <c r="G62" s="145"/>
      <c r="H62" s="145"/>
      <c r="I62" s="145"/>
      <c r="J62" s="145"/>
      <c r="K62" s="145"/>
      <c r="L62" s="145"/>
      <c r="M62" s="145"/>
      <c r="N62" s="145"/>
      <c r="O62" s="145"/>
      <c r="P62" s="145"/>
      <c r="Q62" s="145"/>
      <c r="R62" s="145"/>
      <c r="S62" s="145"/>
      <c r="T62" s="145"/>
      <c r="U62" s="145"/>
      <c r="V62" s="145"/>
      <c r="W62" s="145"/>
      <c r="X62" s="145"/>
      <c r="Y62" s="145"/>
      <c r="Z62" s="145"/>
      <c r="AA62" s="145"/>
      <c r="AB62" s="145"/>
      <c r="AC62" s="145"/>
      <c r="AD62" s="119"/>
      <c r="AE62" s="119"/>
      <c r="AF62" s="119"/>
      <c r="AG62" s="119"/>
      <c r="AH62" s="119"/>
      <c r="AI62" s="119"/>
      <c r="AJ62" s="119"/>
      <c r="AK62" s="119"/>
      <c r="AL62" s="119"/>
      <c r="AM62" s="119"/>
      <c r="AN62" s="119"/>
      <c r="AO62" s="119"/>
      <c r="AP62" s="119"/>
      <c r="AQ62" s="119"/>
      <c r="AR62" s="119"/>
      <c r="AS62" s="119"/>
      <c r="AT62" s="119"/>
      <c r="AU62" s="119"/>
      <c r="AV62" s="119"/>
      <c r="AW62" s="119"/>
    </row>
    <row r="63" spans="1:49" s="126" customFormat="1" ht="18" customHeight="1">
      <c r="A63" s="145"/>
      <c r="B63" s="145"/>
      <c r="C63" s="145"/>
      <c r="D63" s="145"/>
      <c r="E63" s="145"/>
      <c r="F63" s="145"/>
      <c r="G63" s="145"/>
      <c r="H63" s="145"/>
      <c r="I63" s="145"/>
      <c r="J63" s="145"/>
      <c r="K63" s="145"/>
      <c r="L63" s="145"/>
      <c r="M63" s="145"/>
      <c r="N63" s="145"/>
      <c r="O63" s="145"/>
      <c r="P63" s="145"/>
      <c r="Q63" s="145"/>
      <c r="R63" s="145"/>
      <c r="S63" s="145"/>
      <c r="T63" s="145"/>
      <c r="U63" s="145"/>
      <c r="V63" s="145"/>
      <c r="W63" s="145"/>
      <c r="X63" s="145"/>
      <c r="Y63" s="145"/>
      <c r="Z63" s="145"/>
      <c r="AA63" s="145"/>
      <c r="AB63" s="145"/>
      <c r="AC63" s="145"/>
      <c r="AD63" s="119"/>
      <c r="AE63" s="119"/>
      <c r="AF63" s="119"/>
      <c r="AG63" s="119"/>
      <c r="AH63" s="119"/>
      <c r="AI63" s="119"/>
      <c r="AJ63" s="119"/>
      <c r="AK63" s="119"/>
      <c r="AL63" s="119"/>
      <c r="AM63" s="119"/>
      <c r="AN63" s="119"/>
      <c r="AO63" s="119"/>
      <c r="AP63" s="119"/>
      <c r="AQ63" s="119"/>
      <c r="AR63" s="119"/>
      <c r="AS63" s="119"/>
      <c r="AT63" s="119"/>
      <c r="AU63" s="119"/>
      <c r="AV63" s="119"/>
      <c r="AW63" s="119"/>
    </row>
    <row r="64" spans="1:49" s="126" customFormat="1" ht="27.75" customHeight="1">
      <c r="A64" s="145"/>
      <c r="B64" s="145"/>
      <c r="C64" s="145"/>
      <c r="D64" s="145"/>
      <c r="E64" s="145"/>
      <c r="F64" s="145"/>
      <c r="G64" s="145"/>
      <c r="H64" s="145"/>
      <c r="I64" s="145"/>
      <c r="J64" s="145"/>
      <c r="K64" s="145"/>
      <c r="L64" s="145"/>
      <c r="M64" s="145"/>
      <c r="N64" s="145"/>
      <c r="O64" s="145"/>
      <c r="P64" s="145"/>
      <c r="Q64" s="145"/>
      <c r="R64" s="145"/>
      <c r="S64" s="145"/>
      <c r="T64" s="145"/>
      <c r="U64" s="145"/>
      <c r="V64" s="145"/>
      <c r="W64" s="145"/>
      <c r="X64" s="145"/>
      <c r="Y64" s="145"/>
      <c r="Z64" s="145"/>
      <c r="AA64" s="145"/>
      <c r="AB64" s="145"/>
      <c r="AC64" s="145"/>
      <c r="AD64" s="119"/>
      <c r="AE64" s="119"/>
      <c r="AF64" s="119"/>
      <c r="AG64" s="119"/>
      <c r="AH64" s="119"/>
      <c r="AI64" s="119"/>
      <c r="AJ64" s="119"/>
      <c r="AK64" s="119"/>
      <c r="AL64" s="119"/>
      <c r="AM64" s="119"/>
      <c r="AN64" s="119"/>
      <c r="AO64" s="119"/>
      <c r="AP64" s="119"/>
      <c r="AQ64" s="119"/>
      <c r="AR64" s="119"/>
      <c r="AS64" s="119"/>
      <c r="AT64" s="119"/>
      <c r="AU64" s="119"/>
      <c r="AV64" s="119"/>
      <c r="AW64" s="119"/>
    </row>
    <row r="65" spans="1:49" s="126" customFormat="1" ht="22.5" customHeight="1">
      <c r="A65" s="145"/>
      <c r="B65" s="145"/>
      <c r="C65" s="145"/>
      <c r="D65" s="145"/>
      <c r="E65" s="145"/>
      <c r="F65" s="145"/>
      <c r="G65" s="145"/>
      <c r="H65" s="145"/>
      <c r="I65" s="145"/>
      <c r="J65" s="145"/>
      <c r="K65" s="145"/>
      <c r="L65" s="145"/>
      <c r="M65" s="145"/>
      <c r="N65" s="145"/>
      <c r="O65" s="145"/>
      <c r="P65" s="145"/>
      <c r="Q65" s="145"/>
      <c r="R65" s="145"/>
      <c r="S65" s="145"/>
      <c r="T65" s="145"/>
      <c r="U65" s="145"/>
      <c r="V65" s="145"/>
      <c r="W65" s="145"/>
      <c r="X65" s="145"/>
      <c r="Y65" s="145"/>
      <c r="Z65" s="145"/>
      <c r="AA65" s="145"/>
      <c r="AB65" s="145"/>
      <c r="AC65" s="145"/>
      <c r="AD65" s="119"/>
      <c r="AE65" s="119"/>
      <c r="AF65" s="119"/>
      <c r="AG65" s="119"/>
      <c r="AH65" s="119"/>
      <c r="AI65" s="119"/>
      <c r="AJ65" s="119"/>
      <c r="AK65" s="119"/>
      <c r="AL65" s="119"/>
      <c r="AM65" s="119"/>
      <c r="AN65" s="119"/>
      <c r="AO65" s="119"/>
      <c r="AP65" s="119"/>
      <c r="AQ65" s="119"/>
      <c r="AR65" s="119"/>
      <c r="AS65" s="119"/>
      <c r="AT65" s="119"/>
      <c r="AU65" s="119"/>
      <c r="AV65" s="119"/>
      <c r="AW65" s="119"/>
    </row>
    <row r="66" spans="1:49" s="126" customFormat="1" ht="15" customHeight="1">
      <c r="A66" s="145"/>
      <c r="B66" s="145"/>
      <c r="C66" s="145"/>
      <c r="D66" s="145"/>
      <c r="E66" s="145"/>
      <c r="F66" s="145"/>
      <c r="G66" s="145"/>
      <c r="H66" s="145"/>
      <c r="I66" s="145"/>
      <c r="J66" s="145"/>
      <c r="K66" s="145"/>
      <c r="L66" s="145"/>
      <c r="M66" s="145"/>
      <c r="N66" s="145"/>
      <c r="O66" s="145"/>
      <c r="P66" s="145"/>
      <c r="Q66" s="145"/>
      <c r="R66" s="145"/>
      <c r="S66" s="145"/>
      <c r="T66" s="145"/>
      <c r="U66" s="145"/>
      <c r="V66" s="145"/>
      <c r="W66" s="145"/>
      <c r="X66" s="145"/>
      <c r="Y66" s="145"/>
      <c r="Z66" s="145"/>
      <c r="AA66" s="145"/>
      <c r="AB66" s="145"/>
      <c r="AC66" s="145"/>
      <c r="AD66" s="119"/>
      <c r="AE66" s="119"/>
      <c r="AF66" s="119"/>
      <c r="AG66" s="119"/>
      <c r="AH66" s="119"/>
      <c r="AI66" s="119"/>
      <c r="AJ66" s="119"/>
      <c r="AK66" s="119"/>
      <c r="AL66" s="119"/>
      <c r="AM66" s="119"/>
      <c r="AN66" s="119"/>
      <c r="AO66" s="119"/>
      <c r="AP66" s="119"/>
      <c r="AQ66" s="119"/>
      <c r="AR66" s="119"/>
      <c r="AS66" s="119"/>
      <c r="AT66" s="119"/>
      <c r="AU66" s="119"/>
      <c r="AV66" s="119"/>
      <c r="AW66" s="119"/>
    </row>
    <row r="67" spans="1:49" s="126" customFormat="1" ht="28.5" customHeight="1">
      <c r="A67" s="145"/>
      <c r="B67" s="145"/>
      <c r="C67" s="145"/>
      <c r="D67" s="145"/>
      <c r="E67" s="145"/>
      <c r="F67" s="145"/>
      <c r="G67" s="145"/>
      <c r="H67" s="145"/>
      <c r="I67" s="145"/>
      <c r="J67" s="145"/>
      <c r="K67" s="145"/>
      <c r="L67" s="145"/>
      <c r="M67" s="145"/>
      <c r="N67" s="145"/>
      <c r="O67" s="145"/>
      <c r="P67" s="145"/>
      <c r="Q67" s="145"/>
      <c r="R67" s="145"/>
      <c r="S67" s="145"/>
      <c r="T67" s="145"/>
      <c r="U67" s="145"/>
      <c r="V67" s="145"/>
      <c r="W67" s="145"/>
      <c r="X67" s="145"/>
      <c r="Y67" s="145"/>
      <c r="Z67" s="145"/>
      <c r="AA67" s="145"/>
      <c r="AB67" s="145"/>
      <c r="AC67" s="145"/>
      <c r="AD67" s="119"/>
      <c r="AE67" s="119"/>
      <c r="AF67" s="119"/>
      <c r="AG67" s="119"/>
      <c r="AH67" s="119"/>
      <c r="AI67" s="119"/>
      <c r="AJ67" s="119"/>
      <c r="AK67" s="119"/>
      <c r="AL67" s="119"/>
      <c r="AM67" s="119"/>
      <c r="AN67" s="119"/>
      <c r="AO67" s="119"/>
      <c r="AP67" s="119"/>
      <c r="AQ67" s="119"/>
      <c r="AR67" s="119"/>
      <c r="AS67" s="119"/>
      <c r="AT67" s="119"/>
      <c r="AU67" s="119"/>
      <c r="AV67" s="119"/>
      <c r="AW67" s="119"/>
    </row>
    <row r="68" spans="1:49" s="126" customFormat="1" ht="26.25" customHeight="1">
      <c r="D68" s="132"/>
      <c r="E68" s="120"/>
      <c r="F68" s="128"/>
      <c r="G68" s="124"/>
      <c r="H68" s="124"/>
      <c r="I68" s="124"/>
      <c r="J68" s="124"/>
      <c r="K68" s="124"/>
      <c r="L68" s="624"/>
      <c r="M68" s="123"/>
      <c r="N68" s="124"/>
      <c r="O68" s="124"/>
      <c r="P68" s="124"/>
      <c r="Q68" s="124"/>
      <c r="R68" s="124"/>
      <c r="S68" s="124"/>
      <c r="T68" s="124"/>
      <c r="U68" s="124"/>
      <c r="V68" s="124"/>
      <c r="W68" s="56"/>
      <c r="X68" s="129"/>
      <c r="Y68" s="130"/>
      <c r="Z68" s="125"/>
      <c r="AA68" s="119"/>
      <c r="AB68" s="119"/>
      <c r="AC68" s="119"/>
      <c r="AD68" s="119"/>
      <c r="AE68" s="119"/>
      <c r="AF68" s="119"/>
      <c r="AG68" s="119"/>
      <c r="AH68" s="119"/>
      <c r="AI68" s="119"/>
      <c r="AJ68" s="119"/>
      <c r="AK68" s="119"/>
      <c r="AL68" s="119"/>
      <c r="AM68" s="119"/>
      <c r="AN68" s="119"/>
      <c r="AO68" s="119"/>
      <c r="AP68" s="119"/>
      <c r="AQ68" s="119"/>
      <c r="AR68" s="119"/>
      <c r="AS68" s="119"/>
      <c r="AT68" s="119"/>
      <c r="AU68" s="119"/>
      <c r="AV68" s="119"/>
      <c r="AW68" s="119"/>
    </row>
    <row r="69" spans="1:49" s="126" customFormat="1" ht="18.75" customHeight="1">
      <c r="D69" s="87"/>
      <c r="E69" s="124"/>
      <c r="F69" s="131"/>
      <c r="G69" s="124"/>
      <c r="H69" s="124"/>
      <c r="I69" s="124"/>
      <c r="J69" s="124"/>
      <c r="K69" s="124"/>
      <c r="L69" s="624"/>
      <c r="M69" s="123"/>
      <c r="N69" s="124"/>
      <c r="O69" s="124"/>
      <c r="P69" s="124"/>
      <c r="Q69" s="124"/>
      <c r="R69" s="124"/>
      <c r="S69" s="124"/>
      <c r="T69" s="124"/>
      <c r="U69" s="124"/>
      <c r="V69" s="124"/>
      <c r="W69" s="56"/>
      <c r="X69" s="129"/>
      <c r="Y69" s="130"/>
      <c r="Z69" s="125"/>
      <c r="AA69" s="119"/>
      <c r="AB69" s="119"/>
      <c r="AC69" s="119"/>
      <c r="AD69" s="119"/>
      <c r="AE69" s="119"/>
      <c r="AF69" s="119"/>
      <c r="AG69" s="119"/>
      <c r="AH69" s="119"/>
      <c r="AI69" s="119"/>
      <c r="AJ69" s="119"/>
      <c r="AK69" s="119"/>
      <c r="AL69" s="119"/>
      <c r="AM69" s="119"/>
      <c r="AN69" s="119"/>
      <c r="AO69" s="119"/>
      <c r="AP69" s="119"/>
      <c r="AQ69" s="119"/>
      <c r="AR69" s="119"/>
      <c r="AS69" s="119"/>
      <c r="AT69" s="119"/>
      <c r="AU69" s="119"/>
      <c r="AV69" s="119"/>
      <c r="AW69" s="119"/>
    </row>
    <row r="70" spans="1:49" s="126" customFormat="1" ht="23.25" customHeight="1">
      <c r="D70" s="87"/>
      <c r="E70" s="132"/>
      <c r="F70" s="133"/>
      <c r="G70" s="124"/>
      <c r="H70" s="124"/>
      <c r="I70" s="124"/>
      <c r="J70" s="124"/>
      <c r="K70" s="124"/>
      <c r="L70" s="124"/>
      <c r="M70" s="124"/>
      <c r="N70" s="124"/>
      <c r="O70" s="124"/>
      <c r="P70" s="124"/>
      <c r="Q70" s="124"/>
      <c r="R70" s="124"/>
      <c r="S70" s="124"/>
      <c r="T70" s="124"/>
      <c r="U70" s="124"/>
      <c r="V70" s="124"/>
      <c r="W70" s="56"/>
      <c r="X70" s="129"/>
      <c r="Y70" s="130"/>
      <c r="Z70" s="125"/>
      <c r="AA70" s="119"/>
      <c r="AB70" s="119"/>
      <c r="AC70" s="119"/>
      <c r="AD70" s="119"/>
      <c r="AE70" s="119"/>
      <c r="AF70" s="119"/>
      <c r="AG70" s="119"/>
      <c r="AH70" s="119"/>
      <c r="AI70" s="119"/>
      <c r="AJ70" s="119"/>
      <c r="AK70" s="119"/>
      <c r="AL70" s="119"/>
      <c r="AM70" s="119"/>
      <c r="AN70" s="119"/>
      <c r="AO70" s="119"/>
      <c r="AP70" s="119"/>
      <c r="AQ70" s="119"/>
      <c r="AR70" s="119"/>
      <c r="AS70" s="119"/>
      <c r="AT70" s="119"/>
      <c r="AU70" s="119"/>
      <c r="AV70" s="119"/>
      <c r="AW70" s="119"/>
    </row>
    <row r="71" spans="1:49" s="126" customFormat="1" ht="23.25" customHeight="1">
      <c r="D71" s="87"/>
      <c r="E71" s="87"/>
      <c r="F71" s="133"/>
      <c r="G71" s="121"/>
      <c r="H71" s="124"/>
      <c r="I71" s="124"/>
      <c r="J71" s="124"/>
      <c r="K71" s="124"/>
      <c r="L71" s="124"/>
      <c r="M71" s="124"/>
      <c r="N71" s="124"/>
      <c r="O71" s="124"/>
      <c r="P71" s="124"/>
      <c r="Q71" s="124"/>
      <c r="R71" s="124"/>
      <c r="S71" s="124"/>
      <c r="T71" s="124"/>
      <c r="U71" s="124"/>
      <c r="V71" s="124"/>
      <c r="W71" s="56"/>
      <c r="X71" s="129"/>
      <c r="Y71" s="130"/>
      <c r="Z71" s="125"/>
      <c r="AA71" s="119"/>
      <c r="AB71" s="119"/>
      <c r="AC71" s="119"/>
      <c r="AD71" s="119"/>
      <c r="AE71" s="119"/>
      <c r="AF71" s="119"/>
      <c r="AG71" s="119"/>
      <c r="AH71" s="119"/>
      <c r="AI71" s="119"/>
      <c r="AJ71" s="119"/>
      <c r="AK71" s="119"/>
      <c r="AL71" s="119"/>
      <c r="AM71" s="119"/>
      <c r="AN71" s="119"/>
      <c r="AO71" s="119"/>
      <c r="AP71" s="119"/>
      <c r="AQ71" s="119"/>
      <c r="AR71" s="119"/>
      <c r="AS71" s="119"/>
      <c r="AT71" s="119"/>
      <c r="AU71" s="119"/>
      <c r="AV71" s="119"/>
      <c r="AW71" s="119"/>
    </row>
    <row r="72" spans="1:49" s="126" customFormat="1" ht="13">
      <c r="D72" s="607"/>
      <c r="E72" s="87"/>
      <c r="F72" s="133"/>
      <c r="G72" s="121"/>
      <c r="H72" s="124"/>
      <c r="I72" s="124"/>
      <c r="J72" s="124"/>
      <c r="K72" s="124"/>
      <c r="L72" s="124"/>
      <c r="M72" s="124"/>
      <c r="N72" s="124"/>
      <c r="O72" s="124"/>
      <c r="P72" s="124"/>
      <c r="Q72" s="124"/>
      <c r="R72" s="124"/>
      <c r="S72" s="124"/>
      <c r="T72" s="124"/>
      <c r="U72" s="124"/>
      <c r="V72" s="124"/>
      <c r="W72" s="56"/>
      <c r="X72" s="129"/>
      <c r="Y72" s="130"/>
      <c r="Z72" s="125"/>
      <c r="AA72" s="119"/>
      <c r="AB72" s="119"/>
      <c r="AC72" s="119"/>
      <c r="AD72" s="119"/>
      <c r="AE72" s="119"/>
      <c r="AF72" s="119"/>
      <c r="AG72" s="119"/>
      <c r="AH72" s="119"/>
      <c r="AI72" s="119"/>
      <c r="AJ72" s="119"/>
      <c r="AK72" s="119"/>
      <c r="AL72" s="119"/>
      <c r="AM72" s="119"/>
      <c r="AN72" s="119"/>
      <c r="AO72" s="119"/>
      <c r="AP72" s="119"/>
      <c r="AQ72" s="119"/>
      <c r="AR72" s="119"/>
      <c r="AS72" s="119"/>
      <c r="AT72" s="119"/>
      <c r="AU72" s="119"/>
      <c r="AV72" s="119"/>
      <c r="AW72" s="119"/>
    </row>
    <row r="73" spans="1:49" s="126" customFormat="1" ht="13">
      <c r="D73" s="608"/>
      <c r="E73" s="87"/>
      <c r="F73" s="133"/>
      <c r="G73" s="122"/>
      <c r="H73" s="124"/>
      <c r="I73" s="124"/>
      <c r="J73" s="124"/>
      <c r="K73" s="124"/>
      <c r="L73" s="124"/>
      <c r="M73" s="124"/>
      <c r="N73" s="124"/>
      <c r="O73" s="124"/>
      <c r="P73" s="124"/>
      <c r="Q73" s="124"/>
      <c r="R73" s="124"/>
      <c r="S73" s="124"/>
      <c r="T73" s="124"/>
      <c r="U73" s="124"/>
      <c r="V73" s="124"/>
      <c r="W73" s="56"/>
      <c r="X73" s="129"/>
      <c r="Y73" s="130"/>
      <c r="Z73" s="125"/>
      <c r="AA73" s="119"/>
      <c r="AB73" s="119"/>
      <c r="AC73" s="119"/>
      <c r="AD73" s="119"/>
      <c r="AE73" s="119"/>
      <c r="AF73" s="119"/>
      <c r="AG73" s="119"/>
      <c r="AH73" s="119"/>
      <c r="AI73" s="119"/>
      <c r="AJ73" s="119"/>
      <c r="AK73" s="119"/>
      <c r="AL73" s="119"/>
      <c r="AM73" s="119"/>
      <c r="AN73" s="119"/>
      <c r="AO73" s="119"/>
      <c r="AP73" s="119"/>
      <c r="AQ73" s="119"/>
      <c r="AR73" s="119"/>
      <c r="AS73" s="119"/>
      <c r="AT73" s="119"/>
      <c r="AU73" s="119"/>
      <c r="AV73" s="119"/>
      <c r="AW73" s="119"/>
    </row>
    <row r="74" spans="1:49" ht="13">
      <c r="D74" s="608"/>
      <c r="E74" s="134"/>
      <c r="F74" s="133"/>
      <c r="G74" s="124"/>
      <c r="H74" s="124"/>
      <c r="I74" s="124"/>
      <c r="J74" s="124"/>
      <c r="K74" s="124"/>
      <c r="L74" s="124"/>
      <c r="M74" s="124"/>
      <c r="N74" s="43"/>
      <c r="O74" s="43"/>
      <c r="P74" s="124"/>
      <c r="Q74" s="124"/>
      <c r="R74" s="124"/>
      <c r="S74" s="124"/>
      <c r="T74" s="124"/>
      <c r="U74" s="124"/>
      <c r="V74" s="124"/>
      <c r="W74" s="56"/>
      <c r="X74" s="57"/>
      <c r="Y74" s="60"/>
      <c r="Z74" s="59"/>
    </row>
    <row r="75" spans="1:49" ht="25.5" customHeight="1">
      <c r="D75" s="141"/>
      <c r="E75" s="131"/>
      <c r="F75" s="133"/>
      <c r="G75" s="124"/>
      <c r="H75" s="124"/>
      <c r="I75" s="124"/>
      <c r="J75" s="124"/>
      <c r="K75" s="124"/>
      <c r="L75" s="124"/>
      <c r="M75" s="124"/>
      <c r="N75" s="41"/>
      <c r="O75" s="41"/>
      <c r="P75" s="124"/>
      <c r="Q75" s="124"/>
      <c r="R75" s="124"/>
      <c r="S75" s="124"/>
      <c r="T75" s="124"/>
      <c r="U75" s="124"/>
      <c r="V75" s="124"/>
      <c r="W75" s="56"/>
      <c r="X75" s="57"/>
      <c r="Y75" s="60"/>
    </row>
    <row r="76" spans="1:49" ht="45" customHeight="1">
      <c r="D76" s="141"/>
      <c r="E76" s="140"/>
      <c r="F76" s="133"/>
      <c r="G76" s="141"/>
      <c r="H76" s="141"/>
      <c r="I76" s="141"/>
      <c r="J76" s="141"/>
      <c r="K76" s="41"/>
      <c r="L76" s="43"/>
      <c r="M76" s="43"/>
      <c r="N76" s="41"/>
      <c r="O76" s="41"/>
      <c r="P76" s="124"/>
      <c r="Q76" s="124"/>
      <c r="R76" s="124"/>
      <c r="S76" s="124"/>
      <c r="T76" s="124"/>
      <c r="U76" s="124"/>
      <c r="V76" s="124"/>
      <c r="W76" s="56"/>
      <c r="X76" s="46"/>
      <c r="Y76" s="62"/>
    </row>
    <row r="77" spans="1:49" ht="13">
      <c r="D77" s="141"/>
      <c r="E77" s="141"/>
      <c r="F77" s="128"/>
      <c r="G77" s="141"/>
      <c r="H77" s="141"/>
      <c r="I77" s="141"/>
      <c r="J77" s="141"/>
      <c r="K77" s="41"/>
      <c r="L77" s="41"/>
      <c r="M77" s="41"/>
      <c r="N77" s="41"/>
      <c r="O77" s="41"/>
      <c r="P77" s="124"/>
      <c r="Q77" s="124"/>
      <c r="R77" s="124"/>
      <c r="S77" s="124"/>
      <c r="T77" s="124"/>
      <c r="U77" s="124"/>
      <c r="V77" s="124"/>
      <c r="W77" s="56"/>
      <c r="X77" s="46"/>
      <c r="Y77" s="62"/>
    </row>
    <row r="78" spans="1:49" ht="15.5">
      <c r="D78" s="127"/>
      <c r="E78" s="141"/>
      <c r="F78" s="128"/>
      <c r="G78" s="141"/>
      <c r="H78" s="141"/>
      <c r="I78" s="141"/>
      <c r="J78" s="141"/>
      <c r="K78" s="41"/>
      <c r="L78" s="41"/>
      <c r="M78" s="41"/>
      <c r="N78" s="41"/>
      <c r="O78" s="41"/>
      <c r="P78" s="124"/>
      <c r="Q78" s="124"/>
      <c r="R78" s="124"/>
      <c r="S78" s="124"/>
      <c r="T78" s="124"/>
      <c r="U78" s="124"/>
      <c r="V78" s="124"/>
      <c r="W78" s="56"/>
      <c r="X78" s="46"/>
      <c r="Y78" s="62"/>
    </row>
    <row r="79" spans="1:49" ht="15.5">
      <c r="D79" s="143"/>
      <c r="E79" s="141"/>
      <c r="F79" s="127"/>
      <c r="G79" s="142"/>
      <c r="H79" s="141"/>
      <c r="I79" s="141"/>
      <c r="J79" s="141"/>
      <c r="K79" s="41"/>
      <c r="L79" s="41"/>
      <c r="M79" s="41"/>
      <c r="N79" s="41"/>
      <c r="O79" s="41"/>
      <c r="P79" s="41"/>
      <c r="Q79" s="41"/>
      <c r="R79" s="41"/>
      <c r="S79" s="41"/>
      <c r="T79" s="41"/>
      <c r="U79" s="41"/>
      <c r="V79" s="41"/>
      <c r="W79" s="56"/>
      <c r="X79" s="46"/>
      <c r="Y79" s="62"/>
    </row>
    <row r="80" spans="1:49" ht="15.5">
      <c r="D80" s="143"/>
      <c r="E80" s="127"/>
      <c r="F80" s="133"/>
      <c r="G80" s="141"/>
      <c r="H80" s="141"/>
      <c r="I80" s="141"/>
      <c r="J80" s="141"/>
      <c r="K80" s="41"/>
      <c r="L80" s="41"/>
      <c r="M80" s="41"/>
      <c r="N80" s="41"/>
      <c r="O80" s="41"/>
      <c r="P80" s="41"/>
      <c r="Q80" s="41"/>
      <c r="R80" s="41"/>
      <c r="S80" s="41"/>
      <c r="T80" s="41"/>
      <c r="U80" s="41"/>
      <c r="V80" s="41"/>
      <c r="W80" s="56"/>
      <c r="X80" s="46"/>
      <c r="Y80" s="62"/>
    </row>
    <row r="81" spans="4:25" ht="17.5">
      <c r="D81" s="143"/>
      <c r="E81" s="143"/>
      <c r="F81" s="133"/>
      <c r="G81" s="141"/>
      <c r="H81" s="141"/>
      <c r="I81" s="141"/>
      <c r="J81" s="141"/>
      <c r="K81" s="41"/>
      <c r="L81" s="41"/>
      <c r="M81" s="41"/>
      <c r="N81" s="41"/>
      <c r="O81" s="41"/>
      <c r="P81" s="41"/>
      <c r="Q81" s="41"/>
      <c r="R81" s="41"/>
      <c r="S81" s="41"/>
      <c r="T81" s="41"/>
      <c r="U81" s="41"/>
      <c r="V81" s="41"/>
      <c r="W81" s="45"/>
      <c r="X81" s="46"/>
      <c r="Y81" s="62"/>
    </row>
    <row r="82" spans="4:25" ht="13">
      <c r="D82" s="139"/>
      <c r="E82" s="143"/>
      <c r="F82" s="133"/>
      <c r="G82" s="141"/>
      <c r="H82" s="141"/>
      <c r="I82" s="141"/>
      <c r="J82" s="141"/>
      <c r="K82" s="41"/>
      <c r="L82" s="41"/>
      <c r="M82" s="41"/>
      <c r="N82" s="41"/>
      <c r="O82" s="41"/>
      <c r="P82" s="41"/>
      <c r="Q82" s="41"/>
      <c r="R82" s="41"/>
      <c r="S82" s="41"/>
      <c r="T82" s="41"/>
      <c r="U82" s="41"/>
      <c r="V82" s="41"/>
      <c r="W82" s="47"/>
      <c r="X82" s="46"/>
      <c r="Y82" s="62"/>
    </row>
    <row r="83" spans="4:25" ht="13">
      <c r="D83" s="139"/>
      <c r="E83" s="143"/>
      <c r="F83" s="139"/>
      <c r="G83" s="141"/>
      <c r="H83" s="141"/>
      <c r="I83" s="141"/>
      <c r="J83" s="141"/>
      <c r="K83" s="41"/>
      <c r="L83" s="41"/>
      <c r="M83" s="41"/>
      <c r="N83" s="41"/>
      <c r="O83" s="41"/>
      <c r="P83" s="41"/>
      <c r="Q83" s="41"/>
      <c r="R83" s="41"/>
      <c r="S83" s="41"/>
      <c r="T83" s="41"/>
      <c r="U83" s="41"/>
      <c r="V83" s="41"/>
      <c r="W83" s="47"/>
      <c r="X83" s="46"/>
      <c r="Y83" s="62"/>
    </row>
    <row r="84" spans="4:25">
      <c r="D84" s="54"/>
      <c r="E84" s="139"/>
      <c r="F84" s="139"/>
      <c r="G84" s="141"/>
      <c r="H84" s="141"/>
      <c r="I84" s="141"/>
      <c r="J84" s="141"/>
      <c r="K84" s="41"/>
      <c r="L84" s="41"/>
      <c r="M84" s="41"/>
      <c r="N84" s="41"/>
      <c r="O84" s="41"/>
      <c r="P84" s="41"/>
      <c r="Q84" s="41"/>
      <c r="R84" s="41"/>
      <c r="S84" s="41"/>
      <c r="T84" s="41"/>
      <c r="U84" s="41"/>
      <c r="V84" s="41"/>
      <c r="W84" s="47"/>
      <c r="X84" s="46"/>
      <c r="Y84" s="62"/>
    </row>
    <row r="85" spans="4:25">
      <c r="D85" s="44"/>
      <c r="E85" s="139"/>
      <c r="F85" s="139"/>
      <c r="G85" s="141"/>
      <c r="H85" s="141"/>
      <c r="I85" s="141"/>
      <c r="J85" s="141"/>
      <c r="K85" s="41"/>
      <c r="L85" s="41"/>
      <c r="M85" s="41"/>
      <c r="N85" s="41"/>
      <c r="O85" s="41"/>
      <c r="P85" s="41"/>
      <c r="Q85" s="41"/>
      <c r="R85" s="41"/>
      <c r="S85" s="41"/>
      <c r="T85" s="41"/>
      <c r="U85" s="41"/>
      <c r="V85" s="41"/>
      <c r="W85" s="47"/>
      <c r="X85" s="46"/>
      <c r="Y85" s="62"/>
    </row>
    <row r="86" spans="4:25">
      <c r="D86" s="44"/>
      <c r="E86" s="54"/>
      <c r="F86" s="44"/>
      <c r="G86" s="41"/>
      <c r="H86" s="41"/>
      <c r="I86" s="41"/>
      <c r="J86" s="41"/>
      <c r="K86" s="41"/>
      <c r="L86" s="41"/>
      <c r="M86" s="41"/>
      <c r="N86" s="41"/>
      <c r="O86" s="41"/>
      <c r="P86" s="41"/>
      <c r="Q86" s="41"/>
      <c r="R86" s="41"/>
      <c r="S86" s="41"/>
      <c r="T86" s="41"/>
      <c r="U86" s="41"/>
      <c r="V86" s="41"/>
      <c r="W86" s="47"/>
      <c r="X86" s="46"/>
      <c r="Y86" s="62"/>
    </row>
    <row r="87" spans="4:25">
      <c r="D87" s="44"/>
      <c r="E87" s="44"/>
      <c r="F87" s="44"/>
      <c r="G87" s="41"/>
      <c r="H87" s="41"/>
      <c r="I87" s="41"/>
      <c r="J87" s="41"/>
      <c r="K87" s="41"/>
      <c r="L87" s="41"/>
      <c r="M87" s="41"/>
      <c r="N87" s="41"/>
      <c r="O87" s="41"/>
      <c r="P87" s="41"/>
      <c r="Q87" s="41"/>
      <c r="R87" s="41"/>
      <c r="S87" s="41"/>
      <c r="T87" s="41"/>
      <c r="U87" s="41"/>
      <c r="V87" s="41"/>
      <c r="W87" s="47"/>
      <c r="X87" s="46"/>
      <c r="Y87" s="62"/>
    </row>
    <row r="88" spans="4:25">
      <c r="D88" s="44"/>
      <c r="E88" s="44"/>
      <c r="F88" s="44"/>
      <c r="G88" s="41"/>
      <c r="H88" s="41"/>
      <c r="I88" s="41"/>
      <c r="J88" s="41"/>
      <c r="K88" s="41"/>
      <c r="L88" s="41"/>
      <c r="M88" s="41"/>
      <c r="N88" s="41"/>
      <c r="O88" s="41"/>
      <c r="P88" s="41"/>
      <c r="Q88" s="41"/>
      <c r="R88" s="41"/>
      <c r="S88" s="41"/>
      <c r="T88" s="41"/>
      <c r="U88" s="41"/>
      <c r="V88" s="41"/>
      <c r="W88" s="47"/>
      <c r="X88" s="46"/>
      <c r="Y88" s="62"/>
    </row>
    <row r="89" spans="4:25">
      <c r="D89" s="44"/>
      <c r="E89" s="44"/>
      <c r="F89" s="44"/>
      <c r="G89" s="41"/>
      <c r="H89" s="41"/>
      <c r="I89" s="41"/>
      <c r="J89" s="41"/>
      <c r="K89" s="41"/>
      <c r="L89" s="41"/>
      <c r="M89" s="41"/>
      <c r="N89" s="41"/>
      <c r="O89" s="41"/>
      <c r="P89" s="41"/>
      <c r="Q89" s="41"/>
      <c r="R89" s="41"/>
      <c r="S89" s="41"/>
      <c r="T89" s="41"/>
      <c r="U89" s="41"/>
      <c r="V89" s="41"/>
      <c r="W89" s="47"/>
      <c r="X89" s="46"/>
      <c r="Y89" s="62"/>
    </row>
    <row r="90" spans="4:25" ht="27" customHeight="1">
      <c r="D90" s="43"/>
      <c r="E90" s="44"/>
      <c r="F90" s="44"/>
      <c r="G90" s="41"/>
      <c r="H90" s="41"/>
      <c r="I90" s="41"/>
      <c r="J90" s="41"/>
      <c r="K90" s="41"/>
      <c r="L90" s="41"/>
      <c r="M90" s="41"/>
      <c r="N90" s="41"/>
      <c r="O90" s="41"/>
      <c r="P90" s="41"/>
      <c r="Q90" s="41"/>
      <c r="R90" s="41"/>
      <c r="S90" s="41"/>
      <c r="T90" s="41"/>
      <c r="U90" s="41"/>
      <c r="V90" s="41"/>
      <c r="W90" s="47"/>
      <c r="X90" s="46"/>
      <c r="Y90" s="62"/>
    </row>
    <row r="91" spans="4:25" ht="26.25" customHeight="1">
      <c r="D91" s="43"/>
      <c r="E91" s="44"/>
      <c r="F91" s="42"/>
      <c r="G91" s="41"/>
      <c r="H91" s="41"/>
      <c r="I91" s="41"/>
      <c r="J91" s="41"/>
      <c r="K91" s="41"/>
      <c r="L91" s="41"/>
      <c r="M91" s="41"/>
      <c r="N91" s="41"/>
      <c r="O91" s="41"/>
      <c r="P91" s="41"/>
      <c r="Q91" s="41"/>
      <c r="R91" s="41"/>
      <c r="S91" s="41"/>
      <c r="T91" s="41"/>
      <c r="U91" s="41"/>
      <c r="V91" s="41"/>
      <c r="W91" s="47"/>
      <c r="X91" s="46"/>
      <c r="Y91" s="62"/>
    </row>
    <row r="92" spans="4:25">
      <c r="D92" s="43"/>
      <c r="E92" s="43"/>
      <c r="F92" s="42"/>
      <c r="G92" s="41"/>
      <c r="H92" s="41"/>
      <c r="I92" s="41"/>
      <c r="J92" s="41"/>
      <c r="K92" s="41"/>
      <c r="L92" s="41"/>
      <c r="M92" s="41"/>
      <c r="N92" s="41"/>
      <c r="O92" s="41"/>
      <c r="P92" s="41"/>
      <c r="Q92" s="41"/>
      <c r="R92" s="41"/>
      <c r="S92" s="41"/>
      <c r="T92" s="41"/>
      <c r="U92" s="41"/>
      <c r="V92" s="41"/>
      <c r="W92" s="47"/>
      <c r="X92" s="46"/>
      <c r="Y92" s="62"/>
    </row>
    <row r="93" spans="4:25">
      <c r="D93" s="43"/>
      <c r="E93" s="43"/>
      <c r="F93" s="42"/>
      <c r="G93" s="41"/>
      <c r="H93" s="41"/>
      <c r="I93" s="41"/>
      <c r="J93" s="41"/>
      <c r="K93" s="41"/>
      <c r="L93" s="41"/>
      <c r="M93" s="41"/>
      <c r="N93" s="41"/>
      <c r="O93" s="41"/>
      <c r="P93" s="41"/>
      <c r="Q93" s="41"/>
      <c r="R93" s="41"/>
      <c r="S93" s="41"/>
      <c r="T93" s="41"/>
      <c r="U93" s="41"/>
      <c r="V93" s="41"/>
      <c r="W93" s="47"/>
      <c r="X93" s="46"/>
      <c r="Y93" s="62"/>
    </row>
    <row r="94" spans="4:25">
      <c r="D94" s="43"/>
      <c r="E94" s="43"/>
      <c r="F94" s="42"/>
      <c r="G94" s="41"/>
      <c r="H94" s="41"/>
      <c r="I94" s="41"/>
      <c r="J94" s="41"/>
      <c r="K94" s="41"/>
      <c r="L94" s="41"/>
      <c r="M94" s="41"/>
      <c r="P94" s="41"/>
      <c r="Q94" s="41"/>
      <c r="R94" s="41"/>
      <c r="S94" s="41"/>
      <c r="T94" s="41"/>
      <c r="U94" s="41"/>
      <c r="V94" s="41"/>
      <c r="W94" s="47"/>
      <c r="X94" s="46"/>
      <c r="Y94" s="62"/>
    </row>
    <row r="95" spans="4:25">
      <c r="D95" s="43"/>
      <c r="E95" s="43"/>
      <c r="F95" s="42"/>
      <c r="G95" s="41"/>
      <c r="H95" s="41"/>
      <c r="I95" s="41"/>
      <c r="J95" s="41"/>
      <c r="K95" s="41"/>
      <c r="L95" s="41"/>
      <c r="M95" s="41"/>
      <c r="P95" s="41"/>
      <c r="Q95" s="41"/>
      <c r="R95" s="41"/>
      <c r="S95" s="41"/>
      <c r="T95" s="41"/>
      <c r="U95" s="41"/>
      <c r="V95" s="41"/>
      <c r="W95" s="47"/>
      <c r="X95" s="46"/>
      <c r="Y95" s="62"/>
    </row>
    <row r="96" spans="4:25">
      <c r="D96" s="43"/>
      <c r="E96" s="43"/>
      <c r="P96" s="41"/>
      <c r="Q96" s="41"/>
      <c r="R96" s="41"/>
      <c r="S96" s="41"/>
      <c r="T96" s="41"/>
      <c r="U96" s="41"/>
      <c r="V96" s="41"/>
      <c r="W96" s="47"/>
      <c r="X96" s="46"/>
      <c r="Y96" s="62"/>
    </row>
    <row r="97" spans="4:25">
      <c r="D97" s="43"/>
      <c r="E97" s="43"/>
      <c r="P97" s="41"/>
      <c r="Q97" s="41"/>
      <c r="R97" s="41"/>
      <c r="S97" s="41"/>
      <c r="T97" s="41"/>
      <c r="U97" s="41"/>
      <c r="V97" s="41"/>
      <c r="W97" s="47"/>
      <c r="X97" s="46"/>
      <c r="Y97" s="62"/>
    </row>
    <row r="98" spans="4:25">
      <c r="D98" s="43"/>
      <c r="E98" s="43"/>
      <c r="P98" s="41"/>
      <c r="Q98" s="41"/>
      <c r="R98" s="41"/>
      <c r="S98" s="41"/>
      <c r="T98" s="41"/>
      <c r="U98" s="41"/>
      <c r="V98" s="41"/>
      <c r="W98" s="47"/>
      <c r="X98" s="46"/>
      <c r="Y98" s="62"/>
    </row>
    <row r="99" spans="4:25">
      <c r="D99" s="1"/>
      <c r="E99" s="43"/>
      <c r="U99" s="41"/>
      <c r="V99" s="41"/>
      <c r="W99" s="47"/>
      <c r="X99" s="46"/>
      <c r="Y99" s="62"/>
    </row>
    <row r="100" spans="4:25">
      <c r="D100" s="1"/>
      <c r="E100" s="43"/>
      <c r="U100" s="41"/>
      <c r="V100" s="41"/>
      <c r="W100" s="47"/>
      <c r="X100" s="46"/>
      <c r="Y100" s="62"/>
    </row>
    <row r="101" spans="4:25">
      <c r="D101" s="1"/>
      <c r="E101" s="1"/>
      <c r="U101" s="41"/>
      <c r="V101" s="41"/>
      <c r="W101" s="47"/>
      <c r="X101" s="46"/>
      <c r="Y101" s="62"/>
    </row>
    <row r="102" spans="4:25">
      <c r="D102" s="1"/>
      <c r="E102" s="1"/>
      <c r="U102" s="41"/>
      <c r="V102" s="41"/>
      <c r="W102" s="47"/>
      <c r="X102" s="46"/>
      <c r="Y102" s="62"/>
    </row>
    <row r="103" spans="4:25" ht="38.25" customHeight="1">
      <c r="D103" s="1"/>
      <c r="E103" s="1"/>
      <c r="U103" s="41"/>
      <c r="V103" s="41"/>
      <c r="W103" s="47"/>
      <c r="X103" s="46"/>
      <c r="Y103" s="62"/>
    </row>
    <row r="104" spans="4:25">
      <c r="D104" s="1"/>
      <c r="E104" s="1"/>
      <c r="N104" s="41"/>
      <c r="O104" s="41"/>
      <c r="U104" s="41"/>
      <c r="V104" s="41"/>
      <c r="W104" s="47"/>
      <c r="X104" s="46"/>
      <c r="Y104" s="62"/>
    </row>
    <row r="105" spans="4:25">
      <c r="E105" s="1"/>
      <c r="N105" s="41"/>
      <c r="O105" s="41"/>
      <c r="U105" s="41"/>
      <c r="V105" s="41"/>
      <c r="W105" s="47"/>
      <c r="X105" s="46"/>
      <c r="Y105" s="62"/>
    </row>
    <row r="106" spans="4:25">
      <c r="E106" s="1"/>
      <c r="F106" s="2"/>
      <c r="G106" s="41"/>
      <c r="H106" s="41"/>
      <c r="I106" s="41"/>
      <c r="J106" s="41"/>
      <c r="K106" s="41"/>
      <c r="L106" s="41"/>
      <c r="M106" s="41"/>
      <c r="N106" s="41"/>
      <c r="O106" s="41"/>
      <c r="U106" s="41"/>
      <c r="V106" s="41"/>
      <c r="W106" s="47"/>
      <c r="X106" s="46"/>
      <c r="Y106" s="62"/>
    </row>
    <row r="107" spans="4:25" ht="14">
      <c r="E107" s="38"/>
      <c r="F107" s="2"/>
      <c r="G107" s="41"/>
      <c r="H107" s="41"/>
      <c r="I107" s="41"/>
      <c r="J107" s="41"/>
      <c r="K107" s="41"/>
      <c r="L107" s="41"/>
      <c r="M107" s="41"/>
      <c r="N107" s="41"/>
      <c r="O107" s="41"/>
      <c r="U107" s="41"/>
      <c r="V107" s="41"/>
      <c r="W107" s="47"/>
      <c r="X107" s="46"/>
      <c r="Y107" s="62"/>
    </row>
    <row r="108" spans="4:25" ht="14">
      <c r="E108" s="38"/>
      <c r="F108" s="2"/>
      <c r="G108" s="41"/>
      <c r="H108" s="41"/>
      <c r="I108" s="41"/>
      <c r="J108" s="41"/>
      <c r="K108" s="41"/>
      <c r="L108" s="41"/>
      <c r="M108" s="41"/>
      <c r="N108" s="41"/>
      <c r="O108" s="41"/>
      <c r="U108" s="41"/>
      <c r="V108" s="41"/>
      <c r="W108" s="47"/>
      <c r="X108" s="46"/>
      <c r="Y108" s="62"/>
    </row>
    <row r="109" spans="4:25">
      <c r="D109" s="1"/>
      <c r="E109" s="82"/>
      <c r="F109" s="2"/>
      <c r="G109" s="41"/>
      <c r="H109" s="41"/>
      <c r="I109" s="41"/>
      <c r="J109" s="41"/>
      <c r="K109" s="41"/>
      <c r="L109" s="41"/>
      <c r="M109" s="41"/>
      <c r="P109" s="41"/>
      <c r="Q109" s="41"/>
      <c r="R109" s="41"/>
      <c r="S109" s="41"/>
      <c r="T109" s="41"/>
      <c r="U109" s="41"/>
      <c r="V109" s="41"/>
      <c r="W109" s="47"/>
    </row>
    <row r="110" spans="4:25">
      <c r="D110" s="1"/>
      <c r="E110" s="82"/>
      <c r="F110" s="2"/>
      <c r="L110" s="41"/>
      <c r="M110" s="41"/>
      <c r="P110" s="41"/>
      <c r="V110" s="41"/>
      <c r="W110" s="47"/>
    </row>
    <row r="111" spans="4:25">
      <c r="D111" s="1"/>
      <c r="E111" s="1"/>
      <c r="F111" s="2"/>
      <c r="P111" s="41"/>
      <c r="V111" s="41"/>
      <c r="W111" s="47"/>
    </row>
    <row r="112" spans="4:25">
      <c r="D112" s="1"/>
      <c r="E112" s="1"/>
      <c r="F112" s="2"/>
      <c r="W112" s="47"/>
    </row>
    <row r="113" spans="4:23">
      <c r="D113" s="1"/>
      <c r="E113" s="1"/>
      <c r="F113" s="2"/>
      <c r="W113" s="47"/>
    </row>
    <row r="114" spans="4:23">
      <c r="D114" s="1"/>
      <c r="E114" s="1"/>
      <c r="F114" s="2"/>
    </row>
    <row r="115" spans="4:23">
      <c r="D115" s="1"/>
      <c r="E115" s="1"/>
      <c r="F115" s="2"/>
    </row>
    <row r="116" spans="4:23">
      <c r="D116" s="1"/>
      <c r="E116" s="1"/>
      <c r="F116" s="2"/>
    </row>
    <row r="117" spans="4:23">
      <c r="D117" s="1"/>
      <c r="E117" s="1"/>
      <c r="F117" s="2"/>
    </row>
    <row r="118" spans="4:23">
      <c r="D118" s="1"/>
      <c r="E118" s="1"/>
      <c r="F118" s="2"/>
    </row>
    <row r="119" spans="4:23">
      <c r="D119" s="1"/>
      <c r="E119" s="1"/>
      <c r="F119" s="2"/>
    </row>
    <row r="120" spans="4:23">
      <c r="D120" s="1"/>
      <c r="E120" s="1"/>
      <c r="F120" s="2"/>
    </row>
    <row r="121" spans="4:23">
      <c r="D121" s="1"/>
      <c r="E121" s="1"/>
      <c r="F121" s="2"/>
    </row>
    <row r="122" spans="4:23">
      <c r="D122" s="1"/>
      <c r="E122" s="1"/>
      <c r="F122" s="2"/>
    </row>
    <row r="123" spans="4:23">
      <c r="D123" s="1"/>
      <c r="E123" s="1"/>
      <c r="F123" s="2"/>
    </row>
    <row r="124" spans="4:23">
      <c r="D124" s="1"/>
      <c r="E124" s="1"/>
      <c r="F124" s="2"/>
    </row>
    <row r="125" spans="4:23">
      <c r="D125" s="1"/>
      <c r="E125" s="1"/>
      <c r="F125" s="2"/>
    </row>
    <row r="126" spans="4:23">
      <c r="D126" s="1"/>
      <c r="E126" s="1"/>
      <c r="F126" s="2"/>
    </row>
    <row r="127" spans="4:23">
      <c r="D127" s="1"/>
      <c r="E127" s="1"/>
      <c r="F127" s="2"/>
    </row>
    <row r="128" spans="4:23">
      <c r="D128" s="1"/>
      <c r="E128" s="1"/>
      <c r="F128" s="2"/>
    </row>
    <row r="129" spans="4:6">
      <c r="D129" s="1"/>
      <c r="E129" s="1"/>
      <c r="F129" s="2"/>
    </row>
    <row r="130" spans="4:6">
      <c r="D130" s="1"/>
      <c r="E130" s="1"/>
      <c r="F130" s="2"/>
    </row>
    <row r="131" spans="4:6">
      <c r="D131" s="1"/>
      <c r="E131" s="1"/>
      <c r="F131" s="2"/>
    </row>
    <row r="132" spans="4:6">
      <c r="D132" s="1"/>
      <c r="E132" s="1"/>
      <c r="F132" s="2"/>
    </row>
    <row r="133" spans="4:6">
      <c r="D133" s="1"/>
      <c r="E133" s="1"/>
      <c r="F133" s="2"/>
    </row>
    <row r="134" spans="4:6">
      <c r="D134" s="1"/>
      <c r="E134" s="1"/>
      <c r="F134" s="2"/>
    </row>
    <row r="135" spans="4:6">
      <c r="D135" s="1"/>
      <c r="E135" s="1"/>
      <c r="F135" s="2"/>
    </row>
    <row r="136" spans="4:6">
      <c r="D136" s="1"/>
      <c r="E136" s="1"/>
      <c r="F136" s="2"/>
    </row>
    <row r="137" spans="4:6">
      <c r="D137" s="1"/>
      <c r="E137" s="1"/>
      <c r="F137" s="2"/>
    </row>
    <row r="138" spans="4:6">
      <c r="D138" s="1"/>
      <c r="E138" s="1"/>
      <c r="F138" s="2"/>
    </row>
    <row r="139" spans="4:6">
      <c r="D139" s="1"/>
      <c r="E139" s="1"/>
      <c r="F139" s="2"/>
    </row>
    <row r="140" spans="4:6">
      <c r="D140" s="1"/>
      <c r="E140" s="1"/>
      <c r="F140" s="2"/>
    </row>
    <row r="141" spans="4:6">
      <c r="D141" s="1"/>
      <c r="E141" s="1"/>
      <c r="F141" s="2"/>
    </row>
    <row r="142" spans="4:6">
      <c r="D142" s="1"/>
      <c r="E142" s="1"/>
      <c r="F142" s="2"/>
    </row>
    <row r="143" spans="4:6">
      <c r="D143" s="1"/>
      <c r="E143" s="1"/>
      <c r="F143" s="2"/>
    </row>
    <row r="144" spans="4:6">
      <c r="D144" s="1"/>
      <c r="E144" s="1"/>
      <c r="F144" s="2"/>
    </row>
    <row r="145" spans="4:6">
      <c r="D145" s="1"/>
      <c r="E145" s="1"/>
      <c r="F145" s="2"/>
    </row>
    <row r="146" spans="4:6">
      <c r="D146" s="1"/>
      <c r="E146" s="1"/>
      <c r="F146" s="2"/>
    </row>
    <row r="147" spans="4:6">
      <c r="D147" s="1"/>
      <c r="E147" s="1"/>
      <c r="F147" s="2"/>
    </row>
    <row r="148" spans="4:6">
      <c r="D148" s="1"/>
      <c r="E148" s="1"/>
      <c r="F148" s="2"/>
    </row>
    <row r="149" spans="4:6">
      <c r="D149" s="1"/>
      <c r="E149" s="1"/>
      <c r="F149" s="2"/>
    </row>
    <row r="150" spans="4:6">
      <c r="D150" s="1"/>
      <c r="E150" s="1"/>
      <c r="F150" s="2"/>
    </row>
    <row r="151" spans="4:6">
      <c r="D151" s="1"/>
      <c r="E151" s="1"/>
      <c r="F151" s="2"/>
    </row>
    <row r="152" spans="4:6">
      <c r="D152" s="1"/>
      <c r="E152" s="1"/>
      <c r="F152" s="2"/>
    </row>
    <row r="153" spans="4:6">
      <c r="D153" s="1"/>
      <c r="E153" s="1"/>
      <c r="F153" s="2"/>
    </row>
    <row r="154" spans="4:6">
      <c r="D154" s="1"/>
      <c r="E154" s="1"/>
      <c r="F154" s="2"/>
    </row>
    <row r="155" spans="4:6">
      <c r="D155" s="1"/>
      <c r="E155" s="1"/>
      <c r="F155" s="2"/>
    </row>
    <row r="156" spans="4:6">
      <c r="D156" s="1"/>
      <c r="E156" s="1"/>
      <c r="F156" s="2"/>
    </row>
    <row r="157" spans="4:6">
      <c r="D157" s="1"/>
      <c r="E157" s="1"/>
      <c r="F157" s="2"/>
    </row>
    <row r="158" spans="4:6">
      <c r="D158" s="1"/>
      <c r="E158" s="1"/>
      <c r="F158" s="2"/>
    </row>
    <row r="159" spans="4:6">
      <c r="D159" s="1"/>
      <c r="E159" s="1"/>
      <c r="F159" s="2"/>
    </row>
    <row r="160" spans="4:6">
      <c r="D160" s="1"/>
      <c r="E160" s="1"/>
      <c r="F160" s="2"/>
    </row>
    <row r="161" spans="4:6">
      <c r="D161" s="1"/>
      <c r="E161" s="1"/>
      <c r="F161" s="2"/>
    </row>
    <row r="162" spans="4:6">
      <c r="D162" s="1"/>
      <c r="E162" s="1"/>
      <c r="F162" s="2"/>
    </row>
    <row r="163" spans="4:6">
      <c r="D163" s="1"/>
      <c r="E163" s="1"/>
      <c r="F163" s="2"/>
    </row>
    <row r="164" spans="4:6">
      <c r="D164" s="1"/>
      <c r="E164" s="1"/>
      <c r="F164" s="2"/>
    </row>
    <row r="165" spans="4:6">
      <c r="D165" s="1"/>
      <c r="E165" s="1"/>
      <c r="F165" s="2"/>
    </row>
    <row r="166" spans="4:6">
      <c r="D166" s="1"/>
      <c r="E166" s="1"/>
      <c r="F166" s="2"/>
    </row>
    <row r="167" spans="4:6">
      <c r="D167" s="1"/>
      <c r="E167" s="1"/>
      <c r="F167" s="2"/>
    </row>
    <row r="168" spans="4:6">
      <c r="D168" s="1"/>
      <c r="E168" s="1"/>
      <c r="F168" s="2"/>
    </row>
    <row r="169" spans="4:6">
      <c r="D169" s="1"/>
      <c r="E169" s="1"/>
      <c r="F169" s="2"/>
    </row>
    <row r="170" spans="4:6">
      <c r="D170" s="1"/>
      <c r="E170" s="1"/>
      <c r="F170" s="2"/>
    </row>
    <row r="171" spans="4:6">
      <c r="D171" s="1"/>
      <c r="E171" s="1"/>
      <c r="F171" s="2"/>
    </row>
    <row r="172" spans="4:6">
      <c r="D172" s="1"/>
      <c r="E172" s="1"/>
      <c r="F172" s="2"/>
    </row>
    <row r="173" spans="4:6">
      <c r="D173" s="1"/>
      <c r="E173" s="1"/>
      <c r="F173" s="2"/>
    </row>
    <row r="174" spans="4:6">
      <c r="D174" s="1"/>
      <c r="E174" s="1"/>
      <c r="F174" s="2"/>
    </row>
    <row r="175" spans="4:6">
      <c r="D175" s="1"/>
      <c r="E175" s="1"/>
      <c r="F175" s="2"/>
    </row>
    <row r="176" spans="4:6">
      <c r="D176" s="1"/>
      <c r="E176" s="1"/>
      <c r="F176" s="2"/>
    </row>
    <row r="177" spans="4:6">
      <c r="D177" s="1"/>
      <c r="E177" s="1"/>
      <c r="F177" s="2"/>
    </row>
    <row r="178" spans="4:6">
      <c r="D178" s="1"/>
      <c r="E178" s="1"/>
      <c r="F178" s="2"/>
    </row>
    <row r="179" spans="4:6">
      <c r="D179" s="1"/>
      <c r="E179" s="1"/>
      <c r="F179" s="2"/>
    </row>
    <row r="180" spans="4:6">
      <c r="D180" s="1"/>
      <c r="E180" s="1"/>
      <c r="F180" s="2"/>
    </row>
    <row r="181" spans="4:6">
      <c r="D181" s="1"/>
      <c r="E181" s="1"/>
      <c r="F181" s="2"/>
    </row>
    <row r="182" spans="4:6">
      <c r="D182" s="1"/>
      <c r="E182" s="1"/>
      <c r="F182" s="2"/>
    </row>
    <row r="183" spans="4:6">
      <c r="D183" s="1"/>
      <c r="E183" s="1"/>
      <c r="F183" s="2"/>
    </row>
    <row r="184" spans="4:6">
      <c r="D184" s="1"/>
      <c r="E184" s="1"/>
      <c r="F184" s="2"/>
    </row>
    <row r="185" spans="4:6">
      <c r="D185" s="1"/>
      <c r="E185" s="1"/>
      <c r="F185" s="2"/>
    </row>
    <row r="186" spans="4:6">
      <c r="D186" s="1"/>
      <c r="E186" s="1"/>
      <c r="F186" s="2"/>
    </row>
    <row r="187" spans="4:6">
      <c r="D187" s="1"/>
      <c r="E187" s="1"/>
      <c r="F187" s="2"/>
    </row>
    <row r="188" spans="4:6">
      <c r="D188" s="1"/>
      <c r="E188" s="1"/>
      <c r="F188" s="2"/>
    </row>
    <row r="189" spans="4:6">
      <c r="D189" s="1"/>
      <c r="E189" s="1"/>
      <c r="F189" s="2"/>
    </row>
    <row r="190" spans="4:6">
      <c r="D190" s="1"/>
      <c r="E190" s="1"/>
      <c r="F190" s="2"/>
    </row>
    <row r="191" spans="4:6">
      <c r="D191" s="1"/>
      <c r="E191" s="1"/>
      <c r="F191" s="2"/>
    </row>
    <row r="192" spans="4:6">
      <c r="D192" s="1"/>
      <c r="E192" s="1"/>
      <c r="F192" s="2"/>
    </row>
    <row r="193" spans="4:6">
      <c r="D193" s="1"/>
      <c r="E193" s="1"/>
      <c r="F193" s="2"/>
    </row>
    <row r="194" spans="4:6">
      <c r="D194" s="1"/>
      <c r="E194" s="1"/>
      <c r="F194" s="2"/>
    </row>
    <row r="195" spans="4:6">
      <c r="D195" s="1"/>
      <c r="E195" s="1"/>
      <c r="F195" s="2"/>
    </row>
    <row r="196" spans="4:6">
      <c r="D196" s="1"/>
      <c r="E196" s="1"/>
      <c r="F196" s="2"/>
    </row>
    <row r="197" spans="4:6">
      <c r="D197" s="1"/>
      <c r="E197" s="1"/>
      <c r="F197" s="2"/>
    </row>
    <row r="198" spans="4:6">
      <c r="D198" s="1"/>
      <c r="E198" s="1"/>
      <c r="F198" s="2"/>
    </row>
    <row r="199" spans="4:6">
      <c r="D199" s="1"/>
      <c r="E199" s="1"/>
      <c r="F199" s="2"/>
    </row>
    <row r="200" spans="4:6">
      <c r="D200" s="1"/>
      <c r="E200" s="1"/>
      <c r="F200" s="2"/>
    </row>
    <row r="201" spans="4:6">
      <c r="D201" s="1"/>
      <c r="E201" s="1"/>
      <c r="F201" s="2"/>
    </row>
    <row r="202" spans="4:6">
      <c r="D202" s="1"/>
      <c r="E202" s="1"/>
      <c r="F202" s="2"/>
    </row>
    <row r="203" spans="4:6">
      <c r="D203" s="1"/>
      <c r="E203" s="1"/>
      <c r="F203" s="2"/>
    </row>
    <row r="204" spans="4:6">
      <c r="D204" s="1"/>
      <c r="E204" s="1"/>
      <c r="F204" s="2"/>
    </row>
    <row r="205" spans="4:6">
      <c r="D205" s="1"/>
      <c r="E205" s="1"/>
      <c r="F205" s="2"/>
    </row>
    <row r="206" spans="4:6">
      <c r="D206" s="1"/>
      <c r="E206" s="1"/>
      <c r="F206" s="2"/>
    </row>
    <row r="207" spans="4:6">
      <c r="D207" s="1"/>
      <c r="E207" s="1"/>
      <c r="F207" s="2"/>
    </row>
    <row r="208" spans="4:6">
      <c r="D208" s="1"/>
      <c r="E208" s="1"/>
      <c r="F208" s="2"/>
    </row>
    <row r="209" spans="4:6">
      <c r="D209" s="1"/>
      <c r="E209" s="1"/>
      <c r="F209" s="2"/>
    </row>
    <row r="210" spans="4:6">
      <c r="D210" s="1"/>
      <c r="E210" s="1"/>
      <c r="F210" s="2"/>
    </row>
    <row r="211" spans="4:6">
      <c r="D211" s="1"/>
      <c r="E211" s="1"/>
      <c r="F211" s="2"/>
    </row>
    <row r="212" spans="4:6">
      <c r="D212" s="1"/>
      <c r="E212" s="1"/>
      <c r="F212" s="2"/>
    </row>
    <row r="213" spans="4:6">
      <c r="D213" s="1"/>
      <c r="E213" s="1"/>
      <c r="F213" s="2"/>
    </row>
    <row r="214" spans="4:6">
      <c r="D214" s="1"/>
      <c r="E214" s="1"/>
      <c r="F214" s="2"/>
    </row>
    <row r="215" spans="4:6">
      <c r="D215" s="1"/>
      <c r="E215" s="1"/>
      <c r="F215" s="2"/>
    </row>
    <row r="216" spans="4:6">
      <c r="D216" s="1"/>
      <c r="E216" s="1"/>
      <c r="F216" s="2"/>
    </row>
    <row r="217" spans="4:6">
      <c r="D217" s="1"/>
      <c r="E217" s="1"/>
      <c r="F217" s="2"/>
    </row>
    <row r="218" spans="4:6">
      <c r="D218" s="1"/>
      <c r="E218" s="1"/>
      <c r="F218" s="2"/>
    </row>
    <row r="219" spans="4:6">
      <c r="D219" s="1"/>
      <c r="E219" s="1"/>
      <c r="F219" s="2"/>
    </row>
    <row r="220" spans="4:6">
      <c r="D220" s="1"/>
      <c r="E220" s="1"/>
      <c r="F220" s="2"/>
    </row>
    <row r="221" spans="4:6">
      <c r="D221" s="1"/>
      <c r="E221" s="1"/>
      <c r="F221" s="2"/>
    </row>
    <row r="222" spans="4:6">
      <c r="D222" s="1"/>
      <c r="E222" s="1"/>
      <c r="F222" s="2"/>
    </row>
    <row r="223" spans="4:6">
      <c r="D223" s="1"/>
      <c r="E223" s="1"/>
      <c r="F223" s="2"/>
    </row>
    <row r="224" spans="4:6">
      <c r="D224" s="1"/>
      <c r="E224" s="1"/>
      <c r="F224" s="2"/>
    </row>
    <row r="225" spans="4:6">
      <c r="D225" s="1"/>
      <c r="E225" s="1"/>
      <c r="F225" s="2"/>
    </row>
    <row r="226" spans="4:6">
      <c r="D226" s="1"/>
      <c r="E226" s="1"/>
      <c r="F226" s="2"/>
    </row>
    <row r="227" spans="4:6">
      <c r="D227" s="1"/>
      <c r="E227" s="1"/>
      <c r="F227" s="2"/>
    </row>
    <row r="228" spans="4:6">
      <c r="D228" s="1"/>
      <c r="E228" s="1"/>
      <c r="F228" s="2"/>
    </row>
    <row r="229" spans="4:6">
      <c r="D229" s="1"/>
      <c r="E229" s="1"/>
      <c r="F229" s="2"/>
    </row>
    <row r="230" spans="4:6">
      <c r="D230" s="1"/>
      <c r="E230" s="1"/>
      <c r="F230" s="2"/>
    </row>
    <row r="231" spans="4:6">
      <c r="D231" s="1"/>
      <c r="E231" s="1"/>
      <c r="F231" s="2"/>
    </row>
    <row r="232" spans="4:6">
      <c r="D232" s="1"/>
      <c r="E232" s="1"/>
      <c r="F232" s="2"/>
    </row>
    <row r="233" spans="4:6">
      <c r="D233" s="1"/>
      <c r="E233" s="1"/>
      <c r="F233" s="2"/>
    </row>
    <row r="234" spans="4:6">
      <c r="D234" s="1"/>
      <c r="E234" s="1"/>
      <c r="F234" s="2"/>
    </row>
    <row r="235" spans="4:6">
      <c r="D235" s="1"/>
      <c r="E235" s="1"/>
      <c r="F235" s="2"/>
    </row>
    <row r="236" spans="4:6">
      <c r="D236" s="1"/>
      <c r="E236" s="1"/>
      <c r="F236" s="2"/>
    </row>
    <row r="237" spans="4:6">
      <c r="D237" s="1"/>
      <c r="E237" s="1"/>
      <c r="F237" s="2"/>
    </row>
    <row r="238" spans="4:6">
      <c r="D238" s="1"/>
      <c r="E238" s="1"/>
      <c r="F238" s="2"/>
    </row>
    <row r="239" spans="4:6">
      <c r="D239" s="1"/>
      <c r="E239" s="1"/>
      <c r="F239" s="2"/>
    </row>
    <row r="240" spans="4:6">
      <c r="D240" s="1"/>
      <c r="E240" s="1"/>
      <c r="F240" s="2"/>
    </row>
    <row r="241" spans="4:6">
      <c r="D241" s="1"/>
      <c r="E241" s="1"/>
      <c r="F241" s="2"/>
    </row>
    <row r="242" spans="4:6">
      <c r="D242" s="1"/>
      <c r="E242" s="1"/>
      <c r="F242" s="2"/>
    </row>
    <row r="243" spans="4:6">
      <c r="D243" s="1"/>
      <c r="E243" s="1"/>
      <c r="F243" s="2"/>
    </row>
    <row r="244" spans="4:6">
      <c r="D244" s="1"/>
      <c r="E244" s="1"/>
      <c r="F244" s="2"/>
    </row>
    <row r="245" spans="4:6">
      <c r="D245" s="1"/>
      <c r="E245" s="1"/>
      <c r="F245" s="2"/>
    </row>
    <row r="246" spans="4:6">
      <c r="D246" s="1"/>
      <c r="E246" s="1"/>
      <c r="F246" s="2"/>
    </row>
    <row r="247" spans="4:6">
      <c r="D247" s="1"/>
      <c r="E247" s="1"/>
      <c r="F247" s="2"/>
    </row>
    <row r="248" spans="4:6">
      <c r="D248" s="1"/>
      <c r="E248" s="1"/>
      <c r="F248" s="2"/>
    </row>
    <row r="249" spans="4:6">
      <c r="D249" s="1"/>
      <c r="E249" s="1"/>
      <c r="F249" s="2"/>
    </row>
    <row r="250" spans="4:6">
      <c r="D250" s="1"/>
      <c r="E250" s="1"/>
      <c r="F250" s="2"/>
    </row>
    <row r="251" spans="4:6">
      <c r="D251" s="1"/>
      <c r="E251" s="1"/>
      <c r="F251" s="2"/>
    </row>
    <row r="252" spans="4:6">
      <c r="D252" s="1"/>
      <c r="E252" s="1"/>
      <c r="F252" s="2"/>
    </row>
    <row r="253" spans="4:6">
      <c r="D253" s="1"/>
      <c r="E253" s="1"/>
      <c r="F253" s="2"/>
    </row>
    <row r="254" spans="4:6">
      <c r="D254" s="1"/>
      <c r="E254" s="1"/>
      <c r="F254" s="2"/>
    </row>
    <row r="255" spans="4:6">
      <c r="D255" s="1"/>
      <c r="E255" s="1"/>
      <c r="F255" s="2"/>
    </row>
    <row r="257" spans="4:6">
      <c r="D257" s="1"/>
      <c r="E257" s="1"/>
      <c r="F257" s="2"/>
    </row>
    <row r="258" spans="4:6">
      <c r="D258" s="1"/>
      <c r="E258" s="1"/>
      <c r="F258" s="2"/>
    </row>
    <row r="259" spans="4:6">
      <c r="D259" s="1"/>
      <c r="E259" s="1"/>
      <c r="F259" s="2"/>
    </row>
    <row r="260" spans="4:6">
      <c r="D260" s="1"/>
      <c r="E260" s="1"/>
      <c r="F260" s="2"/>
    </row>
    <row r="261" spans="4:6">
      <c r="D261" s="1"/>
      <c r="E261" s="1"/>
      <c r="F261" s="2"/>
    </row>
    <row r="262" spans="4:6">
      <c r="D262" s="1"/>
      <c r="E262" s="1"/>
      <c r="F262" s="2"/>
    </row>
    <row r="263" spans="4:6">
      <c r="D263" s="1"/>
      <c r="E263" s="1"/>
      <c r="F263" s="2"/>
    </row>
    <row r="264" spans="4:6">
      <c r="D264" s="1"/>
      <c r="E264" s="1"/>
      <c r="F264" s="2"/>
    </row>
    <row r="265" spans="4:6">
      <c r="D265" s="1"/>
      <c r="E265" s="1"/>
      <c r="F265" s="2"/>
    </row>
    <row r="266" spans="4:6">
      <c r="D266" s="1"/>
      <c r="E266" s="1"/>
      <c r="F266" s="2"/>
    </row>
    <row r="267" spans="4:6">
      <c r="D267" s="1"/>
      <c r="E267" s="1"/>
      <c r="F267" s="2"/>
    </row>
    <row r="268" spans="4:6">
      <c r="D268" s="1"/>
      <c r="E268" s="1"/>
      <c r="F268" s="2"/>
    </row>
    <row r="269" spans="4:6">
      <c r="D269" s="1"/>
      <c r="E269" s="1"/>
      <c r="F269" s="2"/>
    </row>
    <row r="270" spans="4:6">
      <c r="D270" s="1"/>
      <c r="E270" s="1"/>
      <c r="F270" s="2"/>
    </row>
    <row r="271" spans="4:6">
      <c r="D271" s="1"/>
      <c r="E271" s="1"/>
      <c r="F271" s="2"/>
    </row>
    <row r="272" spans="4:6">
      <c r="D272" s="1"/>
      <c r="E272" s="1"/>
      <c r="F272" s="2"/>
    </row>
    <row r="273" spans="4:6">
      <c r="D273" s="1"/>
      <c r="E273" s="1"/>
      <c r="F273" s="2"/>
    </row>
    <row r="274" spans="4:6">
      <c r="D274" s="1"/>
      <c r="E274" s="1"/>
      <c r="F274" s="2"/>
    </row>
    <row r="275" spans="4:6">
      <c r="D275" s="1"/>
      <c r="E275" s="1"/>
      <c r="F275" s="2"/>
    </row>
    <row r="276" spans="4:6">
      <c r="D276" s="1"/>
      <c r="E276" s="1"/>
      <c r="F276" s="2"/>
    </row>
    <row r="277" spans="4:6">
      <c r="D277" s="1"/>
      <c r="E277" s="1"/>
      <c r="F277" s="2"/>
    </row>
    <row r="278" spans="4:6">
      <c r="D278" s="1"/>
      <c r="E278" s="1"/>
      <c r="F278" s="2"/>
    </row>
    <row r="279" spans="4:6">
      <c r="D279" s="1"/>
      <c r="E279" s="1"/>
      <c r="F279" s="2"/>
    </row>
    <row r="280" spans="4:6">
      <c r="D280" s="1"/>
      <c r="E280" s="1"/>
      <c r="F280" s="2"/>
    </row>
    <row r="281" spans="4:6">
      <c r="D281" s="1"/>
      <c r="E281" s="1"/>
      <c r="F281" s="2"/>
    </row>
    <row r="282" spans="4:6">
      <c r="D282" s="1"/>
      <c r="E282" s="1"/>
      <c r="F282" s="2"/>
    </row>
    <row r="283" spans="4:6">
      <c r="D283" s="1"/>
      <c r="E283" s="1"/>
      <c r="F283" s="2"/>
    </row>
    <row r="284" spans="4:6">
      <c r="D284" s="1"/>
      <c r="E284" s="1"/>
      <c r="F284" s="2"/>
    </row>
    <row r="285" spans="4:6">
      <c r="D285" s="1"/>
      <c r="E285" s="1"/>
      <c r="F285" s="2"/>
    </row>
    <row r="286" spans="4:6">
      <c r="D286" s="1"/>
      <c r="E286" s="1"/>
      <c r="F286" s="2"/>
    </row>
    <row r="287" spans="4:6">
      <c r="D287" s="1"/>
      <c r="E287" s="1"/>
      <c r="F287" s="2"/>
    </row>
    <row r="288" spans="4:6">
      <c r="D288" s="1"/>
      <c r="E288" s="1"/>
      <c r="F288" s="2"/>
    </row>
    <row r="289" spans="4:6">
      <c r="D289" s="1"/>
      <c r="E289" s="1"/>
      <c r="F289" s="2"/>
    </row>
    <row r="290" spans="4:6">
      <c r="D290" s="1"/>
      <c r="E290" s="1"/>
      <c r="F290" s="2"/>
    </row>
    <row r="291" spans="4:6">
      <c r="D291" s="1"/>
      <c r="E291" s="1"/>
      <c r="F291" s="2"/>
    </row>
    <row r="292" spans="4:6">
      <c r="D292" s="1"/>
      <c r="E292" s="1"/>
      <c r="F292" s="2"/>
    </row>
    <row r="293" spans="4:6">
      <c r="D293" s="1"/>
      <c r="E293" s="1"/>
      <c r="F293" s="2"/>
    </row>
    <row r="294" spans="4:6">
      <c r="D294" s="1"/>
      <c r="E294" s="1"/>
      <c r="F294" s="2"/>
    </row>
    <row r="295" spans="4:6">
      <c r="D295" s="1"/>
      <c r="E295" s="1"/>
      <c r="F295" s="2"/>
    </row>
    <row r="296" spans="4:6">
      <c r="D296" s="1"/>
      <c r="E296" s="1"/>
      <c r="F296" s="2"/>
    </row>
    <row r="297" spans="4:6">
      <c r="D297" s="1"/>
      <c r="E297" s="1"/>
      <c r="F297" s="2"/>
    </row>
    <row r="298" spans="4:6">
      <c r="D298" s="1"/>
      <c r="E298" s="1"/>
      <c r="F298" s="2"/>
    </row>
    <row r="299" spans="4:6">
      <c r="D299" s="1"/>
      <c r="E299" s="1"/>
      <c r="F299" s="2"/>
    </row>
    <row r="300" spans="4:6">
      <c r="D300" s="1"/>
      <c r="E300" s="1"/>
      <c r="F300" s="2"/>
    </row>
    <row r="301" spans="4:6">
      <c r="D301" s="1"/>
      <c r="E301" s="1"/>
      <c r="F301" s="2"/>
    </row>
    <row r="302" spans="4:6">
      <c r="D302" s="1"/>
      <c r="E302" s="1"/>
      <c r="F302" s="2"/>
    </row>
    <row r="303" spans="4:6">
      <c r="D303" s="1"/>
      <c r="E303" s="1"/>
      <c r="F303" s="2"/>
    </row>
    <row r="304" spans="4:6">
      <c r="D304" s="1"/>
      <c r="E304" s="1"/>
      <c r="F304" s="2"/>
    </row>
    <row r="305" spans="4:6">
      <c r="D305" s="1"/>
      <c r="E305" s="1"/>
      <c r="F305" s="2"/>
    </row>
    <row r="306" spans="4:6">
      <c r="D306" s="1"/>
      <c r="E306" s="1"/>
      <c r="F306" s="2"/>
    </row>
    <row r="307" spans="4:6">
      <c r="D307" s="1"/>
      <c r="E307" s="1"/>
      <c r="F307" s="2"/>
    </row>
    <row r="308" spans="4:6">
      <c r="D308" s="1"/>
      <c r="E308" s="1"/>
      <c r="F308" s="2"/>
    </row>
    <row r="309" spans="4:6">
      <c r="D309" s="1"/>
      <c r="E309" s="1"/>
      <c r="F309" s="2"/>
    </row>
    <row r="310" spans="4:6">
      <c r="D310" s="1"/>
      <c r="E310" s="1"/>
      <c r="F310" s="2"/>
    </row>
    <row r="311" spans="4:6">
      <c r="D311" s="1"/>
      <c r="E311" s="1"/>
      <c r="F311" s="2"/>
    </row>
    <row r="312" spans="4:6">
      <c r="D312" s="1"/>
      <c r="E312" s="1"/>
      <c r="F312" s="2"/>
    </row>
    <row r="313" spans="4:6">
      <c r="D313" s="1"/>
      <c r="E313" s="1"/>
      <c r="F313" s="2"/>
    </row>
    <row r="314" spans="4:6">
      <c r="D314" s="1"/>
      <c r="E314" s="1"/>
      <c r="F314" s="2"/>
    </row>
    <row r="315" spans="4:6">
      <c r="D315" s="1"/>
      <c r="E315" s="1"/>
      <c r="F315" s="2"/>
    </row>
    <row r="316" spans="4:6">
      <c r="D316" s="1"/>
      <c r="E316" s="1"/>
      <c r="F316" s="2"/>
    </row>
    <row r="317" spans="4:6">
      <c r="D317" s="1"/>
      <c r="E317" s="1"/>
      <c r="F317" s="2"/>
    </row>
    <row r="318" spans="4:6">
      <c r="D318" s="1"/>
      <c r="E318" s="1"/>
      <c r="F318" s="2"/>
    </row>
    <row r="319" spans="4:6">
      <c r="D319" s="1"/>
      <c r="E319" s="1"/>
      <c r="F319" s="2"/>
    </row>
    <row r="320" spans="4:6">
      <c r="D320" s="1"/>
      <c r="E320" s="1"/>
      <c r="F320" s="2"/>
    </row>
    <row r="321" spans="4:6">
      <c r="D321" s="1"/>
      <c r="E321" s="1"/>
      <c r="F321" s="2"/>
    </row>
    <row r="322" spans="4:6">
      <c r="D322" s="1"/>
      <c r="E322" s="1"/>
      <c r="F322" s="2"/>
    </row>
    <row r="323" spans="4:6">
      <c r="D323" s="1"/>
      <c r="E323" s="1"/>
      <c r="F323" s="2"/>
    </row>
    <row r="324" spans="4:6">
      <c r="D324" s="1"/>
      <c r="E324" s="1"/>
      <c r="F324" s="2"/>
    </row>
    <row r="325" spans="4:6">
      <c r="D325" s="1"/>
      <c r="E325" s="1"/>
      <c r="F325" s="2"/>
    </row>
    <row r="326" spans="4:6">
      <c r="D326" s="1"/>
      <c r="E326" s="1"/>
      <c r="F326" s="2"/>
    </row>
    <row r="327" spans="4:6">
      <c r="D327" s="1"/>
      <c r="E327" s="1"/>
      <c r="F327" s="2"/>
    </row>
    <row r="328" spans="4:6">
      <c r="D328" s="1"/>
      <c r="E328" s="1"/>
      <c r="F328" s="2"/>
    </row>
    <row r="329" spans="4:6">
      <c r="D329" s="1"/>
      <c r="E329" s="1"/>
      <c r="F329" s="2"/>
    </row>
    <row r="330" spans="4:6">
      <c r="D330" s="1"/>
      <c r="E330" s="1"/>
      <c r="F330" s="2"/>
    </row>
    <row r="331" spans="4:6">
      <c r="D331" s="1"/>
      <c r="E331" s="1"/>
      <c r="F331" s="2"/>
    </row>
    <row r="332" spans="4:6">
      <c r="D332" s="1"/>
      <c r="E332" s="1"/>
      <c r="F332" s="2"/>
    </row>
    <row r="333" spans="4:6">
      <c r="D333" s="1"/>
      <c r="E333" s="1"/>
      <c r="F333" s="2"/>
    </row>
    <row r="334" spans="4:6">
      <c r="E334" s="1"/>
      <c r="F334" s="2"/>
    </row>
    <row r="335" spans="4:6">
      <c r="E335" s="1"/>
    </row>
  </sheetData>
  <sheetProtection selectLockedCells="1"/>
  <mergeCells count="65">
    <mergeCell ref="A2:A35"/>
    <mergeCell ref="B2:C3"/>
    <mergeCell ref="Q32:T32"/>
    <mergeCell ref="Q33:T33"/>
    <mergeCell ref="Q31:T31"/>
    <mergeCell ref="F2:K3"/>
    <mergeCell ref="Q2:U3"/>
    <mergeCell ref="F4:L6"/>
    <mergeCell ref="I7:L7"/>
    <mergeCell ref="Q4:V6"/>
    <mergeCell ref="Q26:T26"/>
    <mergeCell ref="U24:U25"/>
    <mergeCell ref="Q24:T25"/>
    <mergeCell ref="I9:J9"/>
    <mergeCell ref="Q8:T8"/>
    <mergeCell ref="Q10:T10"/>
    <mergeCell ref="D72:D74"/>
    <mergeCell ref="K27:K28"/>
    <mergeCell ref="F27:J28"/>
    <mergeCell ref="F23:L23"/>
    <mergeCell ref="F33:L33"/>
    <mergeCell ref="F29:J30"/>
    <mergeCell ref="F34:J34"/>
    <mergeCell ref="L68:L69"/>
    <mergeCell ref="F35:J35"/>
    <mergeCell ref="F25:J26"/>
    <mergeCell ref="K25:K26"/>
    <mergeCell ref="F24:J24"/>
    <mergeCell ref="F39:J40"/>
    <mergeCell ref="Q9:U9"/>
    <mergeCell ref="Q7:V7"/>
    <mergeCell ref="F7:H7"/>
    <mergeCell ref="I8:J8"/>
    <mergeCell ref="F10:H10"/>
    <mergeCell ref="I10:L10"/>
    <mergeCell ref="Q39:T39"/>
    <mergeCell ref="F36:J36"/>
    <mergeCell ref="F32:J32"/>
    <mergeCell ref="P36:W37"/>
    <mergeCell ref="P29:W30"/>
    <mergeCell ref="E37:M38"/>
    <mergeCell ref="B31:C31"/>
    <mergeCell ref="F31:J31"/>
    <mergeCell ref="L16:L17"/>
    <mergeCell ref="V22:V23"/>
    <mergeCell ref="Q38:T38"/>
    <mergeCell ref="K16:K17"/>
    <mergeCell ref="Q22:T23"/>
    <mergeCell ref="U22:U23"/>
    <mergeCell ref="Q19:V21"/>
    <mergeCell ref="U16:U17"/>
    <mergeCell ref="V16:V17"/>
    <mergeCell ref="Q16:T17"/>
    <mergeCell ref="B15:C20"/>
    <mergeCell ref="B22:C22"/>
    <mergeCell ref="Q12:V12"/>
    <mergeCell ref="Q11:V11"/>
    <mergeCell ref="B25:C28"/>
    <mergeCell ref="Q13:T13"/>
    <mergeCell ref="Q15:V15"/>
    <mergeCell ref="I11:J11"/>
    <mergeCell ref="J16:J17"/>
    <mergeCell ref="F16:G17"/>
    <mergeCell ref="F14:L15"/>
    <mergeCell ref="Q14:V14"/>
  </mergeCells>
  <phoneticPr fontId="3" type="noConversion"/>
  <conditionalFormatting sqref="Q4:V7 Q8:T8 V13 Q11:V12 Q13:T13">
    <cfRule type="expression" dxfId="101" priority="74" stopIfTrue="1">
      <formula>$S$42+$S$43+$T$42=1</formula>
    </cfRule>
    <cfRule type="expression" dxfId="100" priority="75" stopIfTrue="1">
      <formula>$S$42+$S$43+$T$42=3</formula>
    </cfRule>
  </conditionalFormatting>
  <conditionalFormatting sqref="L16:L17 V31:V33 H8 L8 L35 H11 L24">
    <cfRule type="expression" dxfId="99" priority="63" stopIfTrue="1">
      <formula>$S$42=1</formula>
    </cfRule>
  </conditionalFormatting>
  <conditionalFormatting sqref="T42 S35 S41:S43">
    <cfRule type="expression" dxfId="98" priority="64" stopIfTrue="1">
      <formula>$S$42=1</formula>
    </cfRule>
  </conditionalFormatting>
  <conditionalFormatting sqref="E68">
    <cfRule type="cellIs" dxfId="97" priority="65" stopIfTrue="1" operator="notEqual">
      <formula>0</formula>
    </cfRule>
  </conditionalFormatting>
  <conditionalFormatting sqref="F33:L33 F23:L23 E37">
    <cfRule type="expression" dxfId="96" priority="66" stopIfTrue="1">
      <formula>$S$42=1</formula>
    </cfRule>
  </conditionalFormatting>
  <conditionalFormatting sqref="Q19:V21 Q22:T26">
    <cfRule type="expression" dxfId="95" priority="67" stopIfTrue="1">
      <formula>$S$42+$S$43=1</formula>
    </cfRule>
    <cfRule type="expression" dxfId="94" priority="68" stopIfTrue="1">
      <formula>$S$42+$S$43=2</formula>
    </cfRule>
  </conditionalFormatting>
  <conditionalFormatting sqref="U22:U26 V24:V25">
    <cfRule type="expression" dxfId="93" priority="69" stopIfTrue="1">
      <formula>$S$42+$S$43=2</formula>
    </cfRule>
  </conditionalFormatting>
  <conditionalFormatting sqref="Q9:V10 Q10:T10">
    <cfRule type="expression" dxfId="92" priority="76" stopIfTrue="1">
      <formula>$S$42+$T$42+$S$43=3</formula>
    </cfRule>
  </conditionalFormatting>
  <conditionalFormatting sqref="V26">
    <cfRule type="expression" dxfId="91" priority="73" stopIfTrue="1">
      <formula>$S$42+$T$42=2</formula>
    </cfRule>
  </conditionalFormatting>
  <conditionalFormatting sqref="V8">
    <cfRule type="expression" dxfId="90" priority="77" stopIfTrue="1">
      <formula>$S$42+$S$43+$T$42=1</formula>
    </cfRule>
    <cfRule type="expression" dxfId="89" priority="92" stopIfTrue="1">
      <formula>$S$42+$S$43+$T$42=3</formula>
    </cfRule>
  </conditionalFormatting>
  <conditionalFormatting sqref="F31:J32 G18:J19">
    <cfRule type="expression" dxfId="88" priority="89" stopIfTrue="1">
      <formula>$S$42=1</formula>
    </cfRule>
  </conditionalFormatting>
  <conditionalFormatting sqref="V22:V23">
    <cfRule type="expression" dxfId="87" priority="80" stopIfTrue="1">
      <formula>$S$42+$S$43=1</formula>
    </cfRule>
    <cfRule type="expression" dxfId="86" priority="81" stopIfTrue="1">
      <formula>$S$42+$S$43=2</formula>
    </cfRule>
  </conditionalFormatting>
  <conditionalFormatting sqref="U40 V38:W40 P38:T40">
    <cfRule type="expression" dxfId="85" priority="82" stopIfTrue="1">
      <formula>$S$42+$T$42+$S$43=0</formula>
    </cfRule>
  </conditionalFormatting>
  <conditionalFormatting sqref="F36:L36">
    <cfRule type="expression" dxfId="84" priority="83" stopIfTrue="1">
      <formula>$S$42+$S$43+$T$42=0</formula>
    </cfRule>
  </conditionalFormatting>
  <conditionalFormatting sqref="U38:U39">
    <cfRule type="expression" dxfId="83" priority="84" stopIfTrue="1">
      <formula>$S$42+$T$42+$S$43=0</formula>
    </cfRule>
  </conditionalFormatting>
  <conditionalFormatting sqref="B11:B12">
    <cfRule type="expression" dxfId="82" priority="85" stopIfTrue="1">
      <formula>$S$42=1</formula>
    </cfRule>
  </conditionalFormatting>
  <conditionalFormatting sqref="C11:C12">
    <cfRule type="expression" dxfId="81" priority="86" stopIfTrue="1">
      <formula>$S$42=1</formula>
    </cfRule>
  </conditionalFormatting>
  <conditionalFormatting sqref="B13">
    <cfRule type="expression" dxfId="80" priority="87" stopIfTrue="1">
      <formula>$S$42=1</formula>
    </cfRule>
  </conditionalFormatting>
  <conditionalFormatting sqref="C13">
    <cfRule type="expression" dxfId="79" priority="88" stopIfTrue="1">
      <formula>$S$42=1</formula>
    </cfRule>
  </conditionalFormatting>
  <conditionalFormatting sqref="B29:C30 S31:S34 T43:W43 W31:W35 T31:T35 U42:W42 I1:J9 P29:T30 K34:L34 P1:P28 Q1:V3 W1:W13 K1:L7 G1:H7 K9:L9 Y1:AC67 K30 F25:J30 L25:L30 Q18:V18 A1:A37 B1:C9 Q27:V28 X1:X43 N38:O38 A38:D43 C23:C24 F34:J35 B33:C37 U34:V35 B23:B25 P31:R35 A44:X67 G10 H9:H10 P41:R43 T41:W41 F1:F12 H16:H17 G12:L13 F13:L13 F18:L22 B21:C21 B14:C14 B15 F16 F14 W15:W28 M1:N36 D1:E37 N37 E39:J39 E41:N43 E40 M39:N40">
    <cfRule type="expression" dxfId="78" priority="79" stopIfTrue="1">
      <formula>$S$42=1</formula>
    </cfRule>
  </conditionalFormatting>
  <conditionalFormatting sqref="B31:C32">
    <cfRule type="expression" dxfId="77" priority="90" stopIfTrue="1">
      <formula>$S$42=1</formula>
    </cfRule>
  </conditionalFormatting>
  <conditionalFormatting sqref="U10">
    <cfRule type="expression" dxfId="76" priority="27">
      <formula>$S$35=FALSE</formula>
    </cfRule>
    <cfRule type="expression" dxfId="75" priority="105" stopIfTrue="1">
      <formula>$S$42+$T$42+$S$43=3</formula>
    </cfRule>
  </conditionalFormatting>
  <conditionalFormatting sqref="B10:C10">
    <cfRule type="expression" dxfId="74" priority="94" stopIfTrue="1">
      <formula>$S$42=1</formula>
    </cfRule>
  </conditionalFormatting>
  <conditionalFormatting sqref="Q15:V15">
    <cfRule type="expression" dxfId="73" priority="95" stopIfTrue="1">
      <formula>$S$42=0</formula>
    </cfRule>
    <cfRule type="expression" dxfId="72" priority="96" stopIfTrue="1">
      <formula>$S$42+$S$43+$T$42=1</formula>
    </cfRule>
  </conditionalFormatting>
  <conditionalFormatting sqref="Q16:V17">
    <cfRule type="expression" dxfId="71" priority="97" stopIfTrue="1">
      <formula>$S$42=0</formula>
    </cfRule>
    <cfRule type="expression" dxfId="70" priority="98" stopIfTrue="1">
      <formula>$S$42+$S$43+$T$42=1</formula>
    </cfRule>
  </conditionalFormatting>
  <conditionalFormatting sqref="K32">
    <cfRule type="expression" dxfId="69" priority="99" stopIfTrue="1">
      <formula>$S$42=0</formula>
    </cfRule>
  </conditionalFormatting>
  <conditionalFormatting sqref="L31:L32">
    <cfRule type="expression" dxfId="68" priority="100" stopIfTrue="1">
      <formula>$S$42=0</formula>
    </cfRule>
  </conditionalFormatting>
  <conditionalFormatting sqref="K31">
    <cfRule type="expression" dxfId="67" priority="101" stopIfTrue="1">
      <formula>$S$42=0</formula>
    </cfRule>
  </conditionalFormatting>
  <conditionalFormatting sqref="J16:J17">
    <cfRule type="expression" dxfId="66" priority="49" stopIfTrue="1">
      <formula>$S$42=1</formula>
    </cfRule>
  </conditionalFormatting>
  <conditionalFormatting sqref="F16:F17">
    <cfRule type="expression" dxfId="65" priority="48" stopIfTrue="1">
      <formula>$S$42=1</formula>
    </cfRule>
  </conditionalFormatting>
  <conditionalFormatting sqref="Q8:V8">
    <cfRule type="expression" dxfId="64" priority="71">
      <formula>AND($S$42=1,$T$42=1,$S$43=1)</formula>
    </cfRule>
  </conditionalFormatting>
  <conditionalFormatting sqref="Q11:V11">
    <cfRule type="expression" dxfId="63" priority="33">
      <formula>AND($S$42=1,$S$43=0,$T$42=1)</formula>
    </cfRule>
    <cfRule type="expression" dxfId="62" priority="62">
      <formula>AND($S$42=1,$T$42=1,$S$43=1)</formula>
    </cfRule>
  </conditionalFormatting>
  <conditionalFormatting sqref="Q4:V13">
    <cfRule type="expression" dxfId="61" priority="40">
      <formula>AND($S$42=1,$S$43=0,$T$42=1)</formula>
    </cfRule>
  </conditionalFormatting>
  <conditionalFormatting sqref="Q9:V9">
    <cfRule type="expression" dxfId="60" priority="61">
      <formula>AND($S$42=1,$S$43=0,$T$42=0)</formula>
    </cfRule>
  </conditionalFormatting>
  <conditionalFormatting sqref="V10">
    <cfRule type="expression" dxfId="59" priority="60">
      <formula>AND($S$42=1,$S$43=0,$T$42=0)</formula>
    </cfRule>
  </conditionalFormatting>
  <conditionalFormatting sqref="Q10:T10">
    <cfRule type="expression" dxfId="58" priority="35">
      <formula>AND($S$42=1,$S$43=0,$T$42=1)</formula>
    </cfRule>
    <cfRule type="expression" dxfId="57" priority="47">
      <formula>AND($S$42=1,$S$43=0,$T$42=0)</formula>
    </cfRule>
  </conditionalFormatting>
  <conditionalFormatting sqref="Q4:V6">
    <cfRule type="expression" dxfId="56" priority="39">
      <formula>AND($S$42=1,$S$43=0,$T$42=1)</formula>
    </cfRule>
  </conditionalFormatting>
  <conditionalFormatting sqref="Q7:V7">
    <cfRule type="expression" dxfId="55" priority="38">
      <formula>AND($S$42=1,$S$43=0,$T$42=1)</formula>
    </cfRule>
  </conditionalFormatting>
  <conditionalFormatting sqref="Q8:T8">
    <cfRule type="expression" dxfId="54" priority="37">
      <formula>AND($S$42=1,$S$43=0,$T$42=1)</formula>
    </cfRule>
  </conditionalFormatting>
  <conditionalFormatting sqref="Q9:U9">
    <cfRule type="expression" dxfId="53" priority="34">
      <formula>AND($S$42=1,$S$43=0,$T$42=1)</formula>
    </cfRule>
  </conditionalFormatting>
  <conditionalFormatting sqref="Q12:V12">
    <cfRule type="expression" dxfId="52" priority="32">
      <formula>AND($S$42=1,$S$43=0,$T$42=1)</formula>
    </cfRule>
  </conditionalFormatting>
  <conditionalFormatting sqref="Q13:T13">
    <cfRule type="expression" dxfId="51" priority="31">
      <formula>AND($S$42=1,$S$43=0,$T$42=1)</formula>
    </cfRule>
  </conditionalFormatting>
  <conditionalFormatting sqref="V8:V10">
    <cfRule type="expression" dxfId="50" priority="30">
      <formula>AND($S$42=1,$S$43=0,$T$42=1)</formula>
    </cfRule>
  </conditionalFormatting>
  <conditionalFormatting sqref="V13">
    <cfRule type="expression" dxfId="49" priority="29">
      <formula>AND($S$42=1,$S$43=0,$T$42=1)</formula>
    </cfRule>
  </conditionalFormatting>
  <conditionalFormatting sqref="B22">
    <cfRule type="expression" dxfId="48" priority="26" stopIfTrue="1">
      <formula>$S$42=1</formula>
    </cfRule>
  </conditionalFormatting>
  <conditionalFormatting sqref="Q14:V14">
    <cfRule type="expression" dxfId="47" priority="16">
      <formula>AND($S$42=1,$T$42=1,$S$43=0)</formula>
    </cfRule>
    <cfRule type="expression" dxfId="46" priority="17">
      <formula>$S$42+$T$42=2</formula>
    </cfRule>
    <cfRule type="expression" dxfId="45" priority="19" stopIfTrue="1">
      <formula>$S$42=0</formula>
    </cfRule>
    <cfRule type="expression" dxfId="44" priority="20" stopIfTrue="1">
      <formula>$S$42+$S$43+$T$42=1</formula>
    </cfRule>
  </conditionalFormatting>
  <conditionalFormatting sqref="W14">
    <cfRule type="expression" dxfId="43" priority="18" stopIfTrue="1">
      <formula>$S$42=1</formula>
    </cfRule>
  </conditionalFormatting>
  <conditionalFormatting sqref="T37">
    <cfRule type="expression" dxfId="42" priority="14" stopIfTrue="1">
      <formula>$S$42=1</formula>
    </cfRule>
  </conditionalFormatting>
  <conditionalFormatting sqref="P36:W37">
    <cfRule type="expression" dxfId="41" priority="13">
      <formula>$S$42=0</formula>
    </cfRule>
  </conditionalFormatting>
  <conditionalFormatting sqref="I11">
    <cfRule type="expression" dxfId="40" priority="12" stopIfTrue="1">
      <formula>$S$42=1</formula>
    </cfRule>
  </conditionalFormatting>
  <conditionalFormatting sqref="I10:K10">
    <cfRule type="expression" dxfId="39" priority="9" stopIfTrue="1">
      <formula>$S$42=1</formula>
    </cfRule>
  </conditionalFormatting>
  <conditionalFormatting sqref="L11">
    <cfRule type="expression" dxfId="38" priority="8" stopIfTrue="1">
      <formula>$S$42=1</formula>
    </cfRule>
  </conditionalFormatting>
  <conditionalFormatting sqref="F24:J24">
    <cfRule type="expression" dxfId="37" priority="7" stopIfTrue="1">
      <formula>$S$42=1</formula>
    </cfRule>
  </conditionalFormatting>
  <conditionalFormatting sqref="K39:L40">
    <cfRule type="expression" dxfId="36" priority="1" stopIfTrue="1">
      <formula>$S$42=0</formula>
    </cfRule>
  </conditionalFormatting>
  <dataValidations count="2">
    <dataValidation type="decimal" allowBlank="1" showInputMessage="1" showErrorMessage="1" sqref="K29:K30" xr:uid="{00000000-0002-0000-0000-000000000000}">
      <formula1>0</formula1>
      <formula2>1</formula2>
    </dataValidation>
    <dataValidation allowBlank="1" showInputMessage="1" showErrorMessage="1" prompt="Este parámetro de la IS es la sensibilidad del gasto agregado al tipo de interés real" sqref="D71 E73" xr:uid="{00000000-0002-0000-0000-000001000000}"/>
  </dataValidations>
  <pageMargins left="0.75" right="0.75" top="1" bottom="1" header="0" footer="0"/>
  <pageSetup paperSize="9" orientation="portrait" horizontalDpi="300" verticalDpi="300" r:id="rId1"/>
  <headerFooter alignWithMargins="0"/>
  <cellWatches>
    <cellWatch r="Q26"/>
  </cellWatches>
  <drawing r:id="rId2"/>
  <legacyDrawing r:id="rId3"/>
  <mc:AlternateContent xmlns:mc="http://schemas.openxmlformats.org/markup-compatibility/2006">
    <mc:Choice Requires="x14">
      <controls>
        <mc:AlternateContent xmlns:mc="http://schemas.openxmlformats.org/markup-compatibility/2006">
          <mc:Choice Requires="x14">
            <control shapeId="2083" r:id="rId4" name="Drop Down 35">
              <controlPr locked="0" defaultSize="0" autoLine="0" autoPict="0" macro="[0]!control_hysteresis_growth">
                <anchor moveWithCells="1">
                  <from>
                    <xdr:col>10</xdr:col>
                    <xdr:colOff>0</xdr:colOff>
                    <xdr:row>33</xdr:row>
                    <xdr:rowOff>0</xdr:rowOff>
                  </from>
                  <to>
                    <xdr:col>12</xdr:col>
                    <xdr:colOff>0</xdr:colOff>
                    <xdr:row>34</xdr:row>
                    <xdr:rowOff>0</xdr:rowOff>
                  </to>
                </anchor>
              </controlPr>
            </control>
          </mc:Choice>
        </mc:AlternateContent>
        <mc:AlternateContent xmlns:mc="http://schemas.openxmlformats.org/markup-compatibility/2006">
          <mc:Choice Requires="x14">
            <control shapeId="2094" r:id="rId5" name="Scroll Bar 46">
              <controlPr defaultSize="0" autoPict="0">
                <anchor moveWithCells="1">
                  <from>
                    <xdr:col>10</xdr:col>
                    <xdr:colOff>12700</xdr:colOff>
                    <xdr:row>29</xdr:row>
                    <xdr:rowOff>0</xdr:rowOff>
                  </from>
                  <to>
                    <xdr:col>10</xdr:col>
                    <xdr:colOff>571500</xdr:colOff>
                    <xdr:row>29</xdr:row>
                    <xdr:rowOff>171450</xdr:rowOff>
                  </to>
                </anchor>
              </controlPr>
            </control>
          </mc:Choice>
        </mc:AlternateContent>
        <mc:AlternateContent xmlns:mc="http://schemas.openxmlformats.org/markup-compatibility/2006">
          <mc:Choice Requires="x14">
            <control shapeId="2115" r:id="rId6" name="permanency_supply">
              <controlPr defaultSize="0" autoLine="0" autoPict="0" macro="[0]!macrotempsupply">
                <anchor moveWithCells="1">
                  <from>
                    <xdr:col>6</xdr:col>
                    <xdr:colOff>12700</xdr:colOff>
                    <xdr:row>8</xdr:row>
                    <xdr:rowOff>12700</xdr:rowOff>
                  </from>
                  <to>
                    <xdr:col>7</xdr:col>
                    <xdr:colOff>304800</xdr:colOff>
                    <xdr:row>9</xdr:row>
                    <xdr:rowOff>0</xdr:rowOff>
                  </to>
                </anchor>
              </controlPr>
            </control>
          </mc:Choice>
        </mc:AlternateContent>
        <mc:AlternateContent xmlns:mc="http://schemas.openxmlformats.org/markup-compatibility/2006">
          <mc:Choice Requires="x14">
            <control shapeId="2116" r:id="rId7" name="Drop Down 68">
              <controlPr defaultSize="0" autoLine="0" autoPict="0">
                <anchor moveWithCells="1">
                  <from>
                    <xdr:col>10</xdr:col>
                    <xdr:colOff>12700</xdr:colOff>
                    <xdr:row>8</xdr:row>
                    <xdr:rowOff>12700</xdr:rowOff>
                  </from>
                  <to>
                    <xdr:col>11</xdr:col>
                    <xdr:colOff>304800</xdr:colOff>
                    <xdr:row>9</xdr:row>
                    <xdr:rowOff>0</xdr:rowOff>
                  </to>
                </anchor>
              </controlPr>
            </control>
          </mc:Choice>
        </mc:AlternateContent>
        <mc:AlternateContent xmlns:mc="http://schemas.openxmlformats.org/markup-compatibility/2006">
          <mc:Choice Requires="x14">
            <control shapeId="2117" r:id="rId8" name="Button 69">
              <controlPr defaultSize="0" print="0" autoFill="0" autoPict="0" macro="[0]!go_figures_inflation_income_rates">
                <anchor moveWithCells="1" sizeWithCells="1">
                  <from>
                    <xdr:col>1</xdr:col>
                    <xdr:colOff>76200</xdr:colOff>
                    <xdr:row>6</xdr:row>
                    <xdr:rowOff>88900</xdr:rowOff>
                  </from>
                  <to>
                    <xdr:col>2</xdr:col>
                    <xdr:colOff>793750</xdr:colOff>
                    <xdr:row>8</xdr:row>
                    <xdr:rowOff>107950</xdr:rowOff>
                  </to>
                </anchor>
              </controlPr>
            </control>
          </mc:Choice>
        </mc:AlternateContent>
        <mc:AlternateContent xmlns:mc="http://schemas.openxmlformats.org/markup-compatibility/2006">
          <mc:Choice Requires="x14">
            <control shapeId="2118" r:id="rId9" name="Button 70">
              <controlPr defaultSize="0" print="0" autoFill="0" autoPict="0" macro="[0]!go_figures_public_finance">
                <anchor moveWithCells="1" sizeWithCells="1">
                  <from>
                    <xdr:col>1</xdr:col>
                    <xdr:colOff>69850</xdr:colOff>
                    <xdr:row>8</xdr:row>
                    <xdr:rowOff>228600</xdr:rowOff>
                  </from>
                  <to>
                    <xdr:col>2</xdr:col>
                    <xdr:colOff>781050</xdr:colOff>
                    <xdr:row>9</xdr:row>
                    <xdr:rowOff>323850</xdr:rowOff>
                  </to>
                </anchor>
              </controlPr>
            </control>
          </mc:Choice>
        </mc:AlternateContent>
        <mc:AlternateContent xmlns:mc="http://schemas.openxmlformats.org/markup-compatibility/2006">
          <mc:Choice Requires="x14">
            <control shapeId="2120" r:id="rId10" name="Button 72">
              <controlPr defaultSize="0" print="0" autoFill="0" autoPict="0" macro="[0]!go_numerical_results">
                <anchor moveWithCells="1" sizeWithCells="1">
                  <from>
                    <xdr:col>1</xdr:col>
                    <xdr:colOff>76200</xdr:colOff>
                    <xdr:row>3</xdr:row>
                    <xdr:rowOff>76200</xdr:rowOff>
                  </from>
                  <to>
                    <xdr:col>2</xdr:col>
                    <xdr:colOff>793750</xdr:colOff>
                    <xdr:row>5</xdr:row>
                    <xdr:rowOff>12700</xdr:rowOff>
                  </to>
                </anchor>
              </controlPr>
            </control>
          </mc:Choice>
        </mc:AlternateContent>
        <mc:AlternateContent xmlns:mc="http://schemas.openxmlformats.org/markup-compatibility/2006">
          <mc:Choice Requires="x14">
            <control shapeId="2137" r:id="rId11" name="Button 89">
              <controlPr defaultSize="0" print="0" autoFill="0" autoPict="0" macro="[0]!Reset_to_baseline">
                <anchor moveWithCells="1" sizeWithCells="1">
                  <from>
                    <xdr:col>1</xdr:col>
                    <xdr:colOff>57150</xdr:colOff>
                    <xdr:row>27</xdr:row>
                    <xdr:rowOff>171450</xdr:rowOff>
                  </from>
                  <to>
                    <xdr:col>2</xdr:col>
                    <xdr:colOff>781050</xdr:colOff>
                    <xdr:row>28</xdr:row>
                    <xdr:rowOff>190500</xdr:rowOff>
                  </to>
                </anchor>
              </controlPr>
            </control>
          </mc:Choice>
        </mc:AlternateContent>
        <mc:AlternateContent xmlns:mc="http://schemas.openxmlformats.org/markup-compatibility/2006">
          <mc:Choice Requires="x14">
            <control shapeId="2138" r:id="rId12" name="Button 90">
              <controlPr defaultSize="0" print="0" autoFill="0" autoPict="0" macro="[0]!compare_results">
                <anchor moveWithCells="1" sizeWithCells="1">
                  <from>
                    <xdr:col>1</xdr:col>
                    <xdr:colOff>50800</xdr:colOff>
                    <xdr:row>21</xdr:row>
                    <xdr:rowOff>31750</xdr:rowOff>
                  </from>
                  <to>
                    <xdr:col>2</xdr:col>
                    <xdr:colOff>774700</xdr:colOff>
                    <xdr:row>22</xdr:row>
                    <xdr:rowOff>69850</xdr:rowOff>
                  </to>
                </anchor>
              </controlPr>
            </control>
          </mc:Choice>
        </mc:AlternateContent>
        <mc:AlternateContent xmlns:mc="http://schemas.openxmlformats.org/markup-compatibility/2006">
          <mc:Choice Requires="x14">
            <control shapeId="2140" r:id="rId13" name="Button 92">
              <controlPr defaultSize="0" print="0" autoFill="0" autoPict="0" macro="[0]!go_to_saved_data">
                <anchor moveWithCells="1" sizeWithCells="1">
                  <from>
                    <xdr:col>1</xdr:col>
                    <xdr:colOff>50800</xdr:colOff>
                    <xdr:row>22</xdr:row>
                    <xdr:rowOff>133350</xdr:rowOff>
                  </from>
                  <to>
                    <xdr:col>2</xdr:col>
                    <xdr:colOff>774700</xdr:colOff>
                    <xdr:row>22</xdr:row>
                    <xdr:rowOff>323850</xdr:rowOff>
                  </to>
                </anchor>
              </controlPr>
            </control>
          </mc:Choice>
        </mc:AlternateContent>
        <mc:AlternateContent xmlns:mc="http://schemas.openxmlformats.org/markup-compatibility/2006">
          <mc:Choice Requires="x14">
            <control shapeId="2163" r:id="rId14" name="Drop Down 115">
              <controlPr defaultSize="0" autoLine="0" autoPict="0" macro="[0]!control_hysteresis_random">
                <anchor moveWithCells="1">
                  <from>
                    <xdr:col>7</xdr:col>
                    <xdr:colOff>69850</xdr:colOff>
                    <xdr:row>15</xdr:row>
                    <xdr:rowOff>0</xdr:rowOff>
                  </from>
                  <to>
                    <xdr:col>9</xdr:col>
                    <xdr:colOff>12700</xdr:colOff>
                    <xdr:row>17</xdr:row>
                    <xdr:rowOff>12700</xdr:rowOff>
                  </to>
                </anchor>
              </controlPr>
            </control>
          </mc:Choice>
        </mc:AlternateContent>
        <mc:AlternateContent xmlns:mc="http://schemas.openxmlformats.org/markup-compatibility/2006">
          <mc:Choice Requires="x14">
            <control shapeId="62754" r:id="rId15" name="Button 1314">
              <controlPr defaultSize="0" print="0" autoFill="0" autoPict="0" macro="[0]!go_exrate_figures">
                <anchor moveWithCells="1" sizeWithCells="1">
                  <from>
                    <xdr:col>1</xdr:col>
                    <xdr:colOff>69850</xdr:colOff>
                    <xdr:row>10</xdr:row>
                    <xdr:rowOff>69850</xdr:rowOff>
                  </from>
                  <to>
                    <xdr:col>2</xdr:col>
                    <xdr:colOff>793750</xdr:colOff>
                    <xdr:row>12</xdr:row>
                    <xdr:rowOff>107950</xdr:rowOff>
                  </to>
                </anchor>
              </controlPr>
            </control>
          </mc:Choice>
        </mc:AlternateContent>
        <mc:AlternateContent xmlns:mc="http://schemas.openxmlformats.org/markup-compatibility/2006">
          <mc:Choice Requires="x14">
            <control shapeId="62918" r:id="rId16" name="Button 1478">
              <controlPr defaultSize="0" print="0" autoFill="0" autoPict="0" macro="[0]!go_apply_own_policy">
                <anchor moveWithCells="1" sizeWithCells="1">
                  <from>
                    <xdr:col>1</xdr:col>
                    <xdr:colOff>76200</xdr:colOff>
                    <xdr:row>31</xdr:row>
                    <xdr:rowOff>50800</xdr:rowOff>
                  </from>
                  <to>
                    <xdr:col>2</xdr:col>
                    <xdr:colOff>793750</xdr:colOff>
                    <xdr:row>31</xdr:row>
                    <xdr:rowOff>260350</xdr:rowOff>
                  </to>
                </anchor>
              </controlPr>
            </control>
          </mc:Choice>
        </mc:AlternateContent>
        <mc:AlternateContent xmlns:mc="http://schemas.openxmlformats.org/markup-compatibility/2006">
          <mc:Choice Requires="x14">
            <control shapeId="63001" r:id="rId17" name="Button 1561">
              <controlPr defaultSize="0" print="0" autoFill="0" autoPict="0" macro="[0]!change_simulator_version">
                <anchor moveWithCells="1" sizeWithCells="1">
                  <from>
                    <xdr:col>1</xdr:col>
                    <xdr:colOff>38100</xdr:colOff>
                    <xdr:row>33</xdr:row>
                    <xdr:rowOff>57150</xdr:rowOff>
                  </from>
                  <to>
                    <xdr:col>2</xdr:col>
                    <xdr:colOff>812800</xdr:colOff>
                    <xdr:row>35</xdr:row>
                    <xdr:rowOff>38100</xdr:rowOff>
                  </to>
                </anchor>
              </controlPr>
            </control>
          </mc:Choice>
        </mc:AlternateContent>
        <mc:AlternateContent xmlns:mc="http://schemas.openxmlformats.org/markup-compatibility/2006">
          <mc:Choice Requires="x14">
            <control shapeId="63002" r:id="rId18" name="Button 1562">
              <controlPr defaultSize="0" print="0" autoFill="0" autoPict="0" macro="[0]!save_close">
                <anchor moveWithCells="1" sizeWithCells="1">
                  <from>
                    <xdr:col>1</xdr:col>
                    <xdr:colOff>57150</xdr:colOff>
                    <xdr:row>35</xdr:row>
                    <xdr:rowOff>127000</xdr:rowOff>
                  </from>
                  <to>
                    <xdr:col>2</xdr:col>
                    <xdr:colOff>812800</xdr:colOff>
                    <xdr:row>37</xdr:row>
                    <xdr:rowOff>57150</xdr:rowOff>
                  </to>
                </anchor>
              </controlPr>
            </control>
          </mc:Choice>
        </mc:AlternateContent>
        <mc:AlternateContent xmlns:mc="http://schemas.openxmlformats.org/markup-compatibility/2006">
          <mc:Choice Requires="x14">
            <control shapeId="63080" r:id="rId19" name="Check Box 1640">
              <controlPr defaultSize="0" autoFill="0" autoLine="0" autoPict="0">
                <anchor moveWithCells="1">
                  <from>
                    <xdr:col>20</xdr:col>
                    <xdr:colOff>127000</xdr:colOff>
                    <xdr:row>7</xdr:row>
                    <xdr:rowOff>254000</xdr:rowOff>
                  </from>
                  <to>
                    <xdr:col>20</xdr:col>
                    <xdr:colOff>482600</xdr:colOff>
                    <xdr:row>9</xdr:row>
                    <xdr:rowOff>19050</xdr:rowOff>
                  </to>
                </anchor>
              </controlPr>
            </control>
          </mc:Choice>
        </mc:AlternateContent>
        <mc:AlternateContent xmlns:mc="http://schemas.openxmlformats.org/markup-compatibility/2006">
          <mc:Choice Requires="x14">
            <control shapeId="81929" r:id="rId20" name="Drop Down 2057">
              <controlPr defaultSize="0" autoLine="0" autoPict="0">
                <anchor moveWithCells="1">
                  <from>
                    <xdr:col>20</xdr:col>
                    <xdr:colOff>0</xdr:colOff>
                    <xdr:row>23</xdr:row>
                    <xdr:rowOff>0</xdr:rowOff>
                  </from>
                  <to>
                    <xdr:col>22</xdr:col>
                    <xdr:colOff>19050</xdr:colOff>
                    <xdr:row>24</xdr:row>
                    <xdr:rowOff>184150</xdr:rowOff>
                  </to>
                </anchor>
              </controlPr>
            </control>
          </mc:Choice>
        </mc:AlternateContent>
        <mc:AlternateContent xmlns:mc="http://schemas.openxmlformats.org/markup-compatibility/2006">
          <mc:Choice Requires="x14">
            <control shapeId="81936" r:id="rId21" name="Drop Down 2064">
              <controlPr defaultSize="0" autoLine="0" autoPict="0">
                <anchor moveWithCells="1">
                  <from>
                    <xdr:col>20</xdr:col>
                    <xdr:colOff>0</xdr:colOff>
                    <xdr:row>25</xdr:row>
                    <xdr:rowOff>0</xdr:rowOff>
                  </from>
                  <to>
                    <xdr:col>22</xdr:col>
                    <xdr:colOff>19050</xdr:colOff>
                    <xdr:row>26</xdr:row>
                    <xdr:rowOff>0</xdr:rowOff>
                  </to>
                </anchor>
              </controlPr>
            </control>
          </mc:Choice>
        </mc:AlternateContent>
        <mc:AlternateContent xmlns:mc="http://schemas.openxmlformats.org/markup-compatibility/2006">
          <mc:Choice Requires="x14">
            <control shapeId="82736" r:id="rId22" name="Button 2864">
              <controlPr defaultSize="0" print="0" autoFill="0" autoPict="0" macro="[0]!show_hysteresis_clarification">
                <anchor moveWithCells="1" sizeWithCells="1">
                  <from>
                    <xdr:col>9</xdr:col>
                    <xdr:colOff>114300</xdr:colOff>
                    <xdr:row>36</xdr:row>
                    <xdr:rowOff>88900</xdr:rowOff>
                  </from>
                  <to>
                    <xdr:col>9</xdr:col>
                    <xdr:colOff>279400</xdr:colOff>
                    <xdr:row>37</xdr:row>
                    <xdr:rowOff>107950</xdr:rowOff>
                  </to>
                </anchor>
              </controlPr>
            </control>
          </mc:Choice>
        </mc:AlternateContent>
        <mc:AlternateContent xmlns:mc="http://schemas.openxmlformats.org/markup-compatibility/2006">
          <mc:Choice Requires="x14">
            <control shapeId="82737" r:id="rId23" name="Drop Down 2865">
              <controlPr defaultSize="0" autoLine="0" autoPict="0" macro="[0]!ClickSeriesCheckbox">
                <anchor moveWithCells="1">
                  <from>
                    <xdr:col>10</xdr:col>
                    <xdr:colOff>12700</xdr:colOff>
                    <xdr:row>37</xdr:row>
                    <xdr:rowOff>222250</xdr:rowOff>
                  </from>
                  <to>
                    <xdr:col>11</xdr:col>
                    <xdr:colOff>285750</xdr:colOff>
                    <xdr:row>40</xdr:row>
                    <xdr:rowOff>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7"/>
  <dimension ref="A1:R501"/>
  <sheetViews>
    <sheetView workbookViewId="0">
      <pane ySplit="1" topLeftCell="A2" activePane="bottomLeft" state="frozenSplit"/>
      <selection activeCell="C45" sqref="C45"/>
      <selection pane="bottomLeft" activeCell="C11" sqref="C11"/>
    </sheetView>
  </sheetViews>
  <sheetFormatPr defaultColWidth="11.453125" defaultRowHeight="12.5"/>
  <cols>
    <col min="1" max="1" width="33.1796875" style="52" bestFit="1" customWidth="1"/>
    <col min="2" max="2" width="33.1796875" style="55" customWidth="1"/>
    <col min="3" max="3" width="33.1796875" style="52" bestFit="1" customWidth="1"/>
    <col min="4" max="4" width="35.453125" style="55" bestFit="1" customWidth="1"/>
    <col min="5" max="5" width="19.54296875" style="55" bestFit="1" customWidth="1"/>
    <col min="6" max="6" width="12" style="51" bestFit="1" customWidth="1"/>
    <col min="7" max="7" width="16.453125" style="52" bestFit="1" customWidth="1"/>
    <col min="8" max="8" width="15.81640625" style="55" bestFit="1" customWidth="1"/>
    <col min="9" max="9" width="54.54296875" style="51" customWidth="1"/>
    <col min="10" max="10" width="11.453125" style="51"/>
    <col min="11" max="11" width="26.81640625" style="51" customWidth="1"/>
    <col min="12" max="12" width="12.26953125" style="179" bestFit="1" customWidth="1"/>
    <col min="13" max="17" width="11.453125" style="51"/>
    <col min="18" max="18" width="14.453125" style="51" customWidth="1"/>
    <col min="19" max="16384" width="11.453125" style="51"/>
  </cols>
  <sheetData>
    <row r="1" spans="1:18">
      <c r="A1" s="135" t="s">
        <v>34</v>
      </c>
      <c r="B1" s="136"/>
      <c r="C1" s="135" t="s">
        <v>33</v>
      </c>
      <c r="D1" s="136" t="s">
        <v>29</v>
      </c>
      <c r="E1" s="136" t="s">
        <v>32</v>
      </c>
      <c r="F1" s="137" t="s">
        <v>4</v>
      </c>
      <c r="G1" s="135" t="s">
        <v>30</v>
      </c>
      <c r="H1" s="136" t="s">
        <v>31</v>
      </c>
    </row>
    <row r="2" spans="1:18">
      <c r="A2" s="135">
        <f>('main page'!$U$31/100)*'normal case'!D3</f>
        <v>20</v>
      </c>
      <c r="B2" s="136"/>
      <c r="C2" s="135">
        <f>'normal case'!AG3+('main page'!U32/100)*'normal case'!D3</f>
        <v>20</v>
      </c>
      <c r="D2" s="136">
        <f>(A2-C2)/'normal case'!D3</f>
        <v>0</v>
      </c>
      <c r="E2" s="136">
        <f>D2-(G2*'normal case'!M3/100)/'normal case'!D3</f>
        <v>0</v>
      </c>
      <c r="F2" s="137">
        <v>1</v>
      </c>
      <c r="G2" s="135">
        <f>('main page'!$U$33/100)*'normal case'!D3</f>
        <v>0</v>
      </c>
      <c r="H2" s="136">
        <f>G2/'normal case'!D3</f>
        <v>0</v>
      </c>
      <c r="R2" s="52"/>
    </row>
    <row r="3" spans="1:18">
      <c r="A3" s="135">
        <f>('main page'!$U$31/100)*'normal case'!D4</f>
        <v>20</v>
      </c>
      <c r="B3" s="136"/>
      <c r="C3" s="135">
        <f>'normal case'!AG4-'normal case'!AG3+IF(controls!$B$33=1,C2*(1+(('main page'!$K$35/100))),'public finance'!C2)</f>
        <v>20</v>
      </c>
      <c r="D3" s="136">
        <f>IF(ABS(((A3-C3)/'normal case'!D4)-D2)&lt;0.0000001,D2,(A3-C3)/'normal case'!D4)</f>
        <v>0</v>
      </c>
      <c r="E3" s="136">
        <f ca="1">IF(ABS(D3-(G3*('normal case'!M4/100))/'normal case'!D4-E2)&lt;0.0000001,E2,D3-(G3*('normal case'!M4/100))/'normal case'!D4)</f>
        <v>0</v>
      </c>
      <c r="F3" s="137">
        <f>F2*(1+'normal case'!L3/100)</f>
        <v>1.02</v>
      </c>
      <c r="G3" s="135">
        <f>C3-A3+G2*(1+'normal case'!M3/100)</f>
        <v>0</v>
      </c>
      <c r="H3" s="136">
        <f>IF(ABS(G3/'normal case'!D4-H2)&lt;0.0000001,H2,G3/'normal case'!D4)</f>
        <v>0</v>
      </c>
      <c r="R3" s="52"/>
    </row>
    <row r="4" spans="1:18">
      <c r="A4" s="135">
        <f ca="1">('main page'!$U$31/100)*'normal case'!D5</f>
        <v>20</v>
      </c>
      <c r="B4" s="136"/>
      <c r="C4" s="135">
        <f>'normal case'!AG5-'normal case'!AG4+IF(controls!$B$33=1,C3*(1+(('main page'!$K$35/100))),'public finance'!C3)</f>
        <v>20</v>
      </c>
      <c r="D4" s="136">
        <f ca="1">IF(ABS(((A4-C4)/'normal case'!D5)-D3)&lt;0.0000001,D3,(A4-C4)/'normal case'!D5)</f>
        <v>0</v>
      </c>
      <c r="E4" s="136">
        <f ca="1">IF(ABS(D4-(G4*('normal case'!M5/100))/'normal case'!D5-E3)&lt;0.00001,E3,D4-(G4*('normal case'!M5/100))/'normal case'!D5)</f>
        <v>0</v>
      </c>
      <c r="F4" s="137">
        <f>F3*(1+'normal case'!L4/100)</f>
        <v>1.0404</v>
      </c>
      <c r="G4" s="135">
        <f ca="1">C4-A4+G3*(1+'normal case'!M4/100)</f>
        <v>0</v>
      </c>
      <c r="H4" s="136">
        <f ca="1">IF(ABS(G4/'normal case'!D5-H3)&lt;0.0000001,H3,G4/'normal case'!D5)</f>
        <v>0</v>
      </c>
      <c r="K4" s="51" t="s">
        <v>3</v>
      </c>
      <c r="L4" s="179">
        <f>'main page'!U31</f>
        <v>20</v>
      </c>
      <c r="R4" s="52"/>
    </row>
    <row r="5" spans="1:18">
      <c r="A5" s="135">
        <f ca="1">('main page'!$U$31/100)*'normal case'!D6</f>
        <v>20</v>
      </c>
      <c r="B5" s="136"/>
      <c r="C5" s="135">
        <f>'normal case'!AG6-'normal case'!AG5+IF(controls!$B$33=1,C4*(1+(('main page'!$K$35/100))),'public finance'!C4)</f>
        <v>20</v>
      </c>
      <c r="D5" s="136">
        <f ca="1">IF(ABS(((A5-C5)/'normal case'!D6)-D4)&lt;0.0000001,D4,(A5-C5)/'normal case'!D6)</f>
        <v>0</v>
      </c>
      <c r="E5" s="136">
        <f ca="1">IF(ABS(D5-(G5*('normal case'!M6/100))/'normal case'!D6-E4)&lt;0.00001,E4,D5-(G5*('normal case'!M6/100))/'normal case'!D6)</f>
        <v>0</v>
      </c>
      <c r="F5" s="137">
        <f ca="1">F4*(1+'normal case'!L5/100)</f>
        <v>1.0612079999999999</v>
      </c>
      <c r="G5" s="135">
        <f ca="1">C5-A5+G4*(1+'normal case'!M5/100)</f>
        <v>0</v>
      </c>
      <c r="H5" s="136">
        <f ca="1">IF(ABS(G5/'normal case'!D6-H4)&lt;0.0000001,H4,G5/'normal case'!D6)</f>
        <v>0</v>
      </c>
      <c r="K5" s="51" t="s">
        <v>5</v>
      </c>
      <c r="L5" s="179">
        <f>'main page'!U32</f>
        <v>20</v>
      </c>
      <c r="R5" s="52"/>
    </row>
    <row r="6" spans="1:18">
      <c r="A6" s="135">
        <f ca="1">('main page'!$U$31/100)*'normal case'!D7</f>
        <v>20</v>
      </c>
      <c r="B6" s="136"/>
      <c r="C6" s="135">
        <f>'normal case'!AG7-'normal case'!AG6+IF(controls!$B$33=1,C5*(1+(('main page'!$K$35/100))),'public finance'!C5)</f>
        <v>20</v>
      </c>
      <c r="D6" s="136">
        <f ca="1">IF(ABS(((A6-C6)/'normal case'!D7)-D5)&lt;0.0000001,D5,(A6-C6)/'normal case'!D7)</f>
        <v>0</v>
      </c>
      <c r="E6" s="136">
        <f ca="1">IF(ABS(D6-(G6*('normal case'!M7/100))/'normal case'!D7-E5)&lt;0.00001,E5,D6-(G6*('normal case'!M7/100))/'normal case'!D7)</f>
        <v>0</v>
      </c>
      <c r="F6" s="137">
        <f ca="1">F5*(1+'normal case'!L6/100)</f>
        <v>1.08243216</v>
      </c>
      <c r="G6" s="135">
        <f ca="1">C6-A6+G5*(1+'normal case'!M6/100)</f>
        <v>0</v>
      </c>
      <c r="H6" s="136">
        <f ca="1">IF(ABS(G6/'normal case'!D7-H5)&lt;0.0000001,H5,G6/'normal case'!D7)</f>
        <v>0</v>
      </c>
      <c r="K6" s="51" t="s">
        <v>6</v>
      </c>
      <c r="L6" s="179">
        <v>0.1</v>
      </c>
      <c r="R6" s="52"/>
    </row>
    <row r="7" spans="1:18">
      <c r="A7" s="135">
        <f ca="1">('main page'!$U$31/100)*'normal case'!D8</f>
        <v>20</v>
      </c>
      <c r="B7" s="136"/>
      <c r="C7" s="135">
        <f ca="1">'normal case'!AG8-'normal case'!AG7+IF(controls!$B$33=1,C6*(1+(('main page'!$K$35/100)))+'normal case'!K8,C6+'normal case'!J8)</f>
        <v>20</v>
      </c>
      <c r="D7" s="136">
        <f ca="1">IF(ABS(((A7-C7)/'normal case'!D8)-D6)&lt;0.0000001,D6,(A7-C7)/'normal case'!D8)</f>
        <v>0</v>
      </c>
      <c r="E7" s="136">
        <f ca="1">IF(ABS(D7-(G7*('normal case'!M8/100))/'normal case'!D8-E6)&lt;0.00001,E6,D7-(G7*('normal case'!M8/100))/'normal case'!D8)</f>
        <v>0</v>
      </c>
      <c r="F7" s="137">
        <f ca="1">F6*(1+'normal case'!L7/100)</f>
        <v>1.1040808032</v>
      </c>
      <c r="G7" s="135">
        <f ca="1">C7-A7+G6*(1+'normal case'!M7/100)</f>
        <v>0</v>
      </c>
      <c r="H7" s="136">
        <f ca="1">IF(ABS(G7/'normal case'!D8-H6)&lt;0.0000001,H6,G7/'normal case'!D8)</f>
        <v>0</v>
      </c>
      <c r="K7" s="51" t="s">
        <v>7</v>
      </c>
      <c r="L7" s="179">
        <f>'main page'!U33</f>
        <v>0</v>
      </c>
      <c r="R7" s="52"/>
    </row>
    <row r="8" spans="1:18">
      <c r="A8" s="135">
        <f ca="1">('main page'!$U$31/100)*'normal case'!D9</f>
        <v>20</v>
      </c>
      <c r="B8" s="136"/>
      <c r="C8" s="135">
        <f ca="1">'normal case'!AG9-'normal case'!AG8+IF(controls!$B$31=1,IF(controls!$B$33=1,C7+(C7-'normal case'!K8)*(('main page'!$K$35/100))+'normal case'!K9-'normal case'!K8,C7+'normal case'!J9-'normal case'!J8),IF(controls!$B$33=1,C7*(1+(('main page'!$K$35/100)))+'normal case'!K9,C7+'normal case'!J9))</f>
        <v>20</v>
      </c>
      <c r="D8" s="136">
        <f ca="1">IF(ABS(((A8-C8)/'normal case'!D9)-D7)&lt;0.0000001,D7,(A8-C8)/'normal case'!D9)</f>
        <v>0</v>
      </c>
      <c r="E8" s="136">
        <f ca="1">IF(ABS(D8-(G8*('normal case'!M9/100))/'normal case'!D9-E7)&lt;0.00001,E7,D8-(G8*('normal case'!M9/100))/'normal case'!D9)</f>
        <v>0</v>
      </c>
      <c r="F8" s="137">
        <f ca="1">F7*(1+'normal case'!L8/100)</f>
        <v>1.1261624192640001</v>
      </c>
      <c r="G8" s="135">
        <f ca="1">C8-A8+G7*(1+'normal case'!M8/100)</f>
        <v>0</v>
      </c>
      <c r="H8" s="136">
        <f ca="1">IF(ABS(G8/'normal case'!D9-H7)&lt;0.0000001,H7,G8/'normal case'!D9)</f>
        <v>0</v>
      </c>
      <c r="K8" s="51" t="s">
        <v>143</v>
      </c>
      <c r="L8" s="179">
        <f>(L5/100)*'normal case'!D3</f>
        <v>20</v>
      </c>
      <c r="R8" s="52"/>
    </row>
    <row r="9" spans="1:18">
      <c r="A9" s="135">
        <f ca="1">('main page'!$U$31/100)*'normal case'!D10</f>
        <v>20</v>
      </c>
      <c r="B9" s="136"/>
      <c r="C9" s="135">
        <f ca="1">'normal case'!AG10-'normal case'!AG9+IF(controls!$B$31=1,IF(controls!$B$33=1,C8+(C8-'normal case'!K9)*(('main page'!$K$35/100))+'normal case'!K10-'normal case'!K9,C8+'normal case'!J10-'normal case'!J9),IF(controls!$B$33=1,C8*(1+(('main page'!$K$35/100)))+'normal case'!K10,C8+'normal case'!J10))</f>
        <v>20</v>
      </c>
      <c r="D9" s="136">
        <f ca="1">IF(ABS(((A9-C9)/'normal case'!D10)-D8)&lt;0.0000001,D8,(A9-C9)/'normal case'!D10)</f>
        <v>0</v>
      </c>
      <c r="E9" s="136">
        <f ca="1">IF(ABS(D9-(G9*('normal case'!M10/100))/'normal case'!D10-E8)&lt;0.00001,E8,D9-(G9*('normal case'!M10/100))/'normal case'!D10)</f>
        <v>0</v>
      </c>
      <c r="F9" s="137">
        <f ca="1">F8*(1+'normal case'!L9/100)</f>
        <v>1.14868566764928</v>
      </c>
      <c r="G9" s="135">
        <f ca="1">C9-A9+G8*(1+'normal case'!M9/100)</f>
        <v>0</v>
      </c>
      <c r="H9" s="136">
        <f ca="1">IF(ABS(G9/'normal case'!D10-H8)&lt;0.0000001,H8,G9/'normal case'!D10)</f>
        <v>0</v>
      </c>
      <c r="R9" s="52"/>
    </row>
    <row r="10" spans="1:18">
      <c r="A10" s="135">
        <f ca="1">('main page'!$U$31/100)*'normal case'!D11</f>
        <v>20</v>
      </c>
      <c r="B10" s="136"/>
      <c r="C10" s="135">
        <f ca="1">'normal case'!AG11-'normal case'!AG10+IF(controls!$B$31=1,IF(controls!$B$33=1,C9+(C9-'normal case'!K10)*(('main page'!$K$35/100))+'normal case'!K11-'normal case'!K10,C9+'normal case'!J11-'normal case'!J10),IF(controls!$B$33=1,C9*(1+(('main page'!$K$35/100)))+'normal case'!K11,C9+'normal case'!J11))</f>
        <v>20</v>
      </c>
      <c r="D10" s="136">
        <f ca="1">IF(ABS(((A10-C10)/'normal case'!D11)-D9)&lt;0.0000001,D9,(A10-C10)/'normal case'!D11)</f>
        <v>0</v>
      </c>
      <c r="E10" s="136">
        <f ca="1">IF(ABS(D10-(G10*('normal case'!M11/100))/'normal case'!D11-E9)&lt;0.00001,E9,D10-(G10*('normal case'!M11/100))/'normal case'!D11)</f>
        <v>0</v>
      </c>
      <c r="F10" s="137">
        <f ca="1">F9*(1+'normal case'!L10/100)</f>
        <v>1.1716593810022657</v>
      </c>
      <c r="G10" s="135">
        <f ca="1">C10-A10+G9*(1+'normal case'!M10/100)</f>
        <v>0</v>
      </c>
      <c r="H10" s="136">
        <f ca="1">IF(ABS(G10/'normal case'!D11-H9)&lt;0.0000001,H9,G10/'normal case'!D11)</f>
        <v>0</v>
      </c>
      <c r="R10" s="52"/>
    </row>
    <row r="11" spans="1:18">
      <c r="A11" s="135">
        <f ca="1">('main page'!$U$31/100)*'normal case'!D12</f>
        <v>20</v>
      </c>
      <c r="B11" s="136"/>
      <c r="C11" s="135">
        <f ca="1">'normal case'!AG12-'normal case'!AG11+IF(controls!$B$31=1,IF(controls!$B$33=1,C10+(C10-'normal case'!K11)*(('main page'!$K$35/100))+'normal case'!K12-'normal case'!K11,C10+'normal case'!J12-'normal case'!J11),IF(controls!$B$33=1,C10*(1+(('main page'!$K$35/100)))+'normal case'!K12,C10+'normal case'!J12))</f>
        <v>20</v>
      </c>
      <c r="D11" s="136">
        <f ca="1">IF(ABS(((A11-C11)/'normal case'!D12)-D10)&lt;0.0000001,D10,(A11-C11)/'normal case'!D12)</f>
        <v>0</v>
      </c>
      <c r="E11" s="136">
        <f ca="1">IF(ABS(D11-(G11*('normal case'!M12/100))/'normal case'!D12-E10)&lt;0.00001,E10,D11-(G11*('normal case'!M12/100))/'normal case'!D12)</f>
        <v>0</v>
      </c>
      <c r="F11" s="137">
        <f ca="1">F10*(1+'normal case'!L11/100)</f>
        <v>1.1950925686223111</v>
      </c>
      <c r="G11" s="135">
        <f ca="1">C11-A11+G10*(1+'normal case'!M11/100)</f>
        <v>0</v>
      </c>
      <c r="H11" s="136">
        <f ca="1">IF(ABS(G11/'normal case'!D12-H10)&lt;0.0000001,H10,G11/'normal case'!D12)</f>
        <v>0</v>
      </c>
      <c r="R11" s="52"/>
    </row>
    <row r="12" spans="1:18">
      <c r="A12" s="135">
        <f ca="1">('main page'!$U$31/100)*'normal case'!D13</f>
        <v>20</v>
      </c>
      <c r="B12" s="136"/>
      <c r="C12" s="135">
        <f ca="1">'normal case'!AG13-'normal case'!AG12+IF(controls!$B$31=1,IF(controls!$B$33=1,C11+(C11-'normal case'!K12)*(('main page'!$K$35/100))+'normal case'!K13-'normal case'!K12,C11+'normal case'!J13-'normal case'!J12),IF(controls!$B$33=1,C11*(1+(('main page'!$K$35/100)))+'normal case'!K13,C11+'normal case'!J13))</f>
        <v>20</v>
      </c>
      <c r="D12" s="136">
        <f ca="1">IF(ABS(((A12-C12)/'normal case'!D13)-D11)&lt;0.0000001,D11,(A12-C12)/'normal case'!D13)</f>
        <v>0</v>
      </c>
      <c r="E12" s="136">
        <f ca="1">IF(ABS(D12-(G12*('normal case'!M13/100))/'normal case'!D13-E11)&lt;0.00001,E11,D12-(G12*('normal case'!M13/100))/'normal case'!D13)</f>
        <v>0</v>
      </c>
      <c r="F12" s="137">
        <f ca="1">F11*(1+'normal case'!L12/100)</f>
        <v>1.2189944199947573</v>
      </c>
      <c r="G12" s="135">
        <f ca="1">C12-A12+G11*(1+'normal case'!M12/100)</f>
        <v>0</v>
      </c>
      <c r="H12" s="136">
        <f ca="1">IF(ABS(G12/'normal case'!D13-H11)&lt;0.0000001,H11,G12/'normal case'!D13)</f>
        <v>0</v>
      </c>
      <c r="R12" s="52"/>
    </row>
    <row r="13" spans="1:18">
      <c r="A13" s="135">
        <f ca="1">('main page'!$U$31/100)*'normal case'!D14</f>
        <v>20</v>
      </c>
      <c r="B13" s="136"/>
      <c r="C13" s="135">
        <f ca="1">'normal case'!AG14-'normal case'!AG13+IF(controls!$B$31=1,IF(controls!$B$33=1,C12+(C12-'normal case'!K13)*(('main page'!$K$35/100))+'normal case'!K14-'normal case'!K13,C12+'normal case'!J14-'normal case'!J13),IF(controls!$B$33=1,C12*(1+(('main page'!$K$35/100)))+'normal case'!K14,C12+'normal case'!J14))</f>
        <v>20</v>
      </c>
      <c r="D13" s="136">
        <f ca="1">IF(ABS(((A13-C13)/'normal case'!D14)-D12)&lt;0.0000001,D12,(A13-C13)/'normal case'!D14)</f>
        <v>0</v>
      </c>
      <c r="E13" s="136">
        <f ca="1">IF(ABS(D13-(G13*('normal case'!M14/100))/'normal case'!D14-E12)&lt;0.00001,E12,D13-(G13*('normal case'!M14/100))/'normal case'!D14)</f>
        <v>0</v>
      </c>
      <c r="F13" s="137">
        <f ca="1">F12*(1+'normal case'!L13/100)</f>
        <v>1.2433743083946525</v>
      </c>
      <c r="G13" s="135">
        <f ca="1">C13-A13+G12*(1+'normal case'!M13/100)</f>
        <v>0</v>
      </c>
      <c r="H13" s="136">
        <f ca="1">IF(ABS(G13/'normal case'!D14-H12)&lt;0.0000001,H12,G13/'normal case'!D14)</f>
        <v>0</v>
      </c>
      <c r="R13" s="52"/>
    </row>
    <row r="14" spans="1:18">
      <c r="A14" s="135">
        <f ca="1">('main page'!$U$31/100)*'normal case'!D15</f>
        <v>20</v>
      </c>
      <c r="B14" s="136"/>
      <c r="C14" s="135">
        <f ca="1">'normal case'!AG15-'normal case'!AG14+IF(controls!$B$31=1,IF(controls!$B$33=1,C13+(C13-'normal case'!K14)*(('main page'!$K$35/100))+'normal case'!K15-'normal case'!K14,C13+'normal case'!J15-'normal case'!J14),IF(controls!$B$33=1,C13*(1+(('main page'!$K$35/100)))+'normal case'!K15,C13+'normal case'!J15))</f>
        <v>20</v>
      </c>
      <c r="D14" s="136">
        <f ca="1">IF(ABS(((A14-C14)/'normal case'!D15)-D13)&lt;0.0000001,D13,(A14-C14)/'normal case'!D15)</f>
        <v>0</v>
      </c>
      <c r="E14" s="136">
        <f ca="1">IF(ABS(D14-(G14*('normal case'!M15/100))/'normal case'!D15-E13)&lt;0.00001,E13,D14-(G14*('normal case'!M15/100))/'normal case'!D15)</f>
        <v>0</v>
      </c>
      <c r="F14" s="137">
        <f ca="1">F13*(1+'normal case'!L14/100)</f>
        <v>1.2682417945625455</v>
      </c>
      <c r="G14" s="135">
        <f ca="1">C14-A14+G13*(1+'normal case'!M14/100)</f>
        <v>0</v>
      </c>
      <c r="H14" s="136">
        <f ca="1">IF(ABS(G14/'normal case'!D15-H13)&lt;0.0000001,H13,G14/'normal case'!D15)</f>
        <v>0</v>
      </c>
    </row>
    <row r="15" spans="1:18">
      <c r="A15" s="135">
        <f ca="1">('main page'!$U$31/100)*'normal case'!D16</f>
        <v>20</v>
      </c>
      <c r="B15" s="136"/>
      <c r="C15" s="135">
        <f ca="1">'normal case'!AG16-'normal case'!AG15+IF(controls!$B$31=1,IF(controls!$B$33=1,C14+(C14-'normal case'!K15)*(('main page'!$K$35/100))+'normal case'!K16-'normal case'!K15,C14+'normal case'!J16-'normal case'!J15),IF(controls!$B$33=1,C14*(1+(('main page'!$K$35/100)))+'normal case'!K16,C14+'normal case'!J16))</f>
        <v>20</v>
      </c>
      <c r="D15" s="136">
        <f ca="1">IF(ABS(((A15-C15)/'normal case'!D16)-D14)&lt;0.0000001,D14,(A15-C15)/'normal case'!D16)</f>
        <v>0</v>
      </c>
      <c r="E15" s="136">
        <f ca="1">IF(ABS(D15-(G15*('normal case'!M16/100))/'normal case'!D16-E14)&lt;0.00001,E14,D15-(G15*('normal case'!M16/100))/'normal case'!D16)</f>
        <v>0</v>
      </c>
      <c r="F15" s="137">
        <f ca="1">F14*(1+'normal case'!L15/100)</f>
        <v>1.2936066304537963</v>
      </c>
      <c r="G15" s="135">
        <f ca="1">C15-A15+G14*(1+'normal case'!M15/100)</f>
        <v>0</v>
      </c>
      <c r="H15" s="136">
        <f ca="1">IF(ABS(G15/'normal case'!D16-H14)&lt;0.0000001,H14,G15/'normal case'!D16)</f>
        <v>0</v>
      </c>
    </row>
    <row r="16" spans="1:18">
      <c r="A16" s="135">
        <f ca="1">('main page'!$U$31/100)*'normal case'!D17</f>
        <v>20</v>
      </c>
      <c r="B16" s="136"/>
      <c r="C16" s="135">
        <f ca="1">'normal case'!AG17-'normal case'!AG16+IF(controls!$B$31=1,IF(controls!$B$33=1,C15+(C15-'normal case'!K16)*(('main page'!$K$35/100))+'normal case'!K17-'normal case'!K16,C15+'normal case'!J17-'normal case'!J16),IF(controls!$B$33=1,C15*(1+(('main page'!$K$35/100)))+'normal case'!K17,C15+'normal case'!J17))</f>
        <v>20</v>
      </c>
      <c r="D16" s="136">
        <f ca="1">IF(ABS(((A16-C16)/'normal case'!D17)-D15)&lt;0.0000001,D15,(A16-C16)/'normal case'!D17)</f>
        <v>0</v>
      </c>
      <c r="E16" s="136">
        <f ca="1">IF(ABS(D16-(G16*('normal case'!M17/100))/'normal case'!D17-E15)&lt;0.00001,E15,D16-(G16*('normal case'!M17/100))/'normal case'!D17)</f>
        <v>0</v>
      </c>
      <c r="F16" s="137">
        <f ca="1">F15*(1+'normal case'!L16/100)</f>
        <v>1.3194787630628724</v>
      </c>
      <c r="G16" s="135">
        <f ca="1">C16-A16+G15*(1+'normal case'!M16/100)</f>
        <v>0</v>
      </c>
      <c r="H16" s="136">
        <f ca="1">IF(ABS(G16/'normal case'!D17-H15)&lt;0.0000001,H15,G16/'normal case'!D17)</f>
        <v>0</v>
      </c>
    </row>
    <row r="17" spans="1:8">
      <c r="A17" s="135">
        <f ca="1">('main page'!$U$31/100)*'normal case'!D18</f>
        <v>20</v>
      </c>
      <c r="B17" s="136"/>
      <c r="C17" s="135">
        <f ca="1">'normal case'!AG18-'normal case'!AG17+IF(controls!$B$31=1,IF(controls!$B$33=1,C16+(C16-'normal case'!K17)*(('main page'!$K$35/100))+'normal case'!K18-'normal case'!K17,C16+'normal case'!J18-'normal case'!J17),IF(controls!$B$33=1,C16*(1+(('main page'!$K$35/100)))+'normal case'!K18,C16+'normal case'!J18))</f>
        <v>20</v>
      </c>
      <c r="D17" s="136">
        <f ca="1">IF(ABS(((A17-C17)/'normal case'!D18)-D16)&lt;0.0000001,D16,(A17-C17)/'normal case'!D18)</f>
        <v>0</v>
      </c>
      <c r="E17" s="136">
        <f ca="1">IF(ABS(D17-(G17*('normal case'!M18/100))/'normal case'!D18-E16)&lt;0.00001,E16,D17-(G17*('normal case'!M18/100))/'normal case'!D18)</f>
        <v>0</v>
      </c>
      <c r="F17" s="137">
        <f ca="1">F16*(1+'normal case'!L17/100)</f>
        <v>1.3458683383241299</v>
      </c>
      <c r="G17" s="135">
        <f ca="1">C17-A17+G16*(1+'normal case'!M17/100)</f>
        <v>0</v>
      </c>
      <c r="H17" s="136">
        <f ca="1">IF(ABS(G17/'normal case'!D18-H16)&lt;0.0000001,H16,G17/'normal case'!D18)</f>
        <v>0</v>
      </c>
    </row>
    <row r="18" spans="1:8">
      <c r="A18" s="135">
        <f ca="1">('main page'!$U$31/100)*'normal case'!D19</f>
        <v>20</v>
      </c>
      <c r="B18" s="136"/>
      <c r="C18" s="135">
        <f ca="1">'normal case'!AG19-'normal case'!AG18+IF(controls!$B$31=1,IF(controls!$B$33=1,C17+(C17-'normal case'!K18)*(('main page'!$K$35/100))+'normal case'!K19-'normal case'!K18,C17+'normal case'!J19-'normal case'!J18),IF(controls!$B$33=1,C17*(1+(('main page'!$K$35/100)))+'normal case'!K19,C17+'normal case'!J19))</f>
        <v>20</v>
      </c>
      <c r="D18" s="136">
        <f ca="1">IF(ABS(((A18-C18)/'normal case'!D19)-D17)&lt;0.0000001,D17,(A18-C18)/'normal case'!D19)</f>
        <v>0</v>
      </c>
      <c r="E18" s="136">
        <f ca="1">IF(ABS(D18-(G18*('normal case'!M19/100))/'normal case'!D19-E17)&lt;0.00001,E17,D18-(G18*('normal case'!M19/100))/'normal case'!D19)</f>
        <v>0</v>
      </c>
      <c r="F18" s="137">
        <f ca="1">F17*(1+'normal case'!L18/100)</f>
        <v>1.3727857050906125</v>
      </c>
      <c r="G18" s="135">
        <f ca="1">C18-A18+G17*(1+'normal case'!M18/100)</f>
        <v>0</v>
      </c>
      <c r="H18" s="136">
        <f ca="1">IF(ABS(G18/'normal case'!D19-H17)&lt;0.0000001,H17,G18/'normal case'!D19)</f>
        <v>0</v>
      </c>
    </row>
    <row r="19" spans="1:8">
      <c r="A19" s="135">
        <f ca="1">('main page'!$U$31/100)*'normal case'!D20</f>
        <v>20</v>
      </c>
      <c r="B19" s="136"/>
      <c r="C19" s="135">
        <f ca="1">'normal case'!AG20-'normal case'!AG19+IF(controls!$B$31=1,IF(controls!$B$33=1,C18+(C18-'normal case'!K19)*(('main page'!$K$35/100))+'normal case'!K20-'normal case'!K19,C18+'normal case'!J20-'normal case'!J19),IF(controls!$B$33=1,C18*(1+(('main page'!$K$35/100)))+'normal case'!K20,C18+'normal case'!J20))</f>
        <v>20</v>
      </c>
      <c r="D19" s="136">
        <f ca="1">IF(ABS(((A19-C19)/'normal case'!D20)-D18)&lt;0.0000001,D18,(A19-C19)/'normal case'!D20)</f>
        <v>0</v>
      </c>
      <c r="E19" s="136">
        <f ca="1">IF(ABS(D19-(G19*('normal case'!M20/100))/'normal case'!D20-E18)&lt;0.00001,E18,D19-(G19*('normal case'!M20/100))/'normal case'!D20)</f>
        <v>0</v>
      </c>
      <c r="F19" s="137">
        <f ca="1">F18*(1+'normal case'!L19/100)</f>
        <v>1.4002414191924248</v>
      </c>
      <c r="G19" s="135">
        <f ca="1">C19-A19+G18*(1+'normal case'!M19/100)</f>
        <v>0</v>
      </c>
      <c r="H19" s="136">
        <f ca="1">IF(ABS(G19/'normal case'!D20-H18)&lt;0.0000001,H18,G19/'normal case'!D20)</f>
        <v>0</v>
      </c>
    </row>
    <row r="20" spans="1:8">
      <c r="A20" s="135">
        <f ca="1">('main page'!$U$31/100)*'normal case'!D21</f>
        <v>20</v>
      </c>
      <c r="B20" s="136"/>
      <c r="C20" s="135">
        <f ca="1">'normal case'!AG21-'normal case'!AG20+IF(controls!$B$31=1,IF(controls!$B$33=1,C19+(C19-'normal case'!K20)*(('main page'!$K$35/100))+'normal case'!K21-'normal case'!K20,C19+'normal case'!J21-'normal case'!J20),IF(controls!$B$33=1,C19*(1+(('main page'!$K$35/100)))+'normal case'!K21,C19+'normal case'!J21))</f>
        <v>20</v>
      </c>
      <c r="D20" s="136">
        <f ca="1">IF(ABS(((A20-C20)/'normal case'!D21)-D19)&lt;0.0000001,D19,(A20-C20)/'normal case'!D21)</f>
        <v>0</v>
      </c>
      <c r="E20" s="136">
        <f ca="1">IF(ABS(D20-(G20*('normal case'!M21/100))/'normal case'!D21-E19)&lt;0.00001,E19,D20-(G20*('normal case'!M21/100))/'normal case'!D21)</f>
        <v>0</v>
      </c>
      <c r="F20" s="137">
        <f ca="1">F19*(1+'normal case'!L20/100)</f>
        <v>1.4282462475762734</v>
      </c>
      <c r="G20" s="135">
        <f ca="1">C20-A20+G19*(1+'normal case'!M20/100)</f>
        <v>0</v>
      </c>
      <c r="H20" s="136">
        <f ca="1">IF(ABS(G20/'normal case'!D21-H19)&lt;0.0000001,H19,G20/'normal case'!D21)</f>
        <v>0</v>
      </c>
    </row>
    <row r="21" spans="1:8">
      <c r="A21" s="135">
        <f ca="1">('main page'!$U$31/100)*'normal case'!D22</f>
        <v>20</v>
      </c>
      <c r="B21" s="136"/>
      <c r="C21" s="135">
        <f ca="1">'normal case'!AG22-'normal case'!AG21+IF(controls!$B$31=1,IF(controls!$B$33=1,C20+(C20-'normal case'!K21)*(('main page'!$K$35/100))+'normal case'!K22-'normal case'!K21,C20+'normal case'!J22-'normal case'!J21),IF(controls!$B$33=1,C20*(1+(('main page'!$K$35/100)))+'normal case'!K22,C20+'normal case'!J22))</f>
        <v>20</v>
      </c>
      <c r="D21" s="136">
        <f ca="1">IF(ABS(((A21-C21)/'normal case'!D22)-D20)&lt;0.0000001,D20,(A21-C21)/'normal case'!D22)</f>
        <v>0</v>
      </c>
      <c r="E21" s="136">
        <f ca="1">IF(ABS(D21-(G21*('normal case'!M22/100))/'normal case'!D22-E20)&lt;0.00001,E20,D21-(G21*('normal case'!M22/100))/'normal case'!D22)</f>
        <v>0</v>
      </c>
      <c r="F21" s="137">
        <f ca="1">F20*(1+'normal case'!L21/100)</f>
        <v>1.4568111725277988</v>
      </c>
      <c r="G21" s="135">
        <f ca="1">C21-A21+G20*(1+'normal case'!M21/100)</f>
        <v>0</v>
      </c>
      <c r="H21" s="136">
        <f ca="1">IF(ABS(G21/'normal case'!D22-H20)&lt;0.0000001,H20,G21/'normal case'!D22)</f>
        <v>0</v>
      </c>
    </row>
    <row r="22" spans="1:8">
      <c r="A22" s="135">
        <f ca="1">('main page'!$U$31/100)*'normal case'!D23</f>
        <v>20</v>
      </c>
      <c r="B22" s="136"/>
      <c r="C22" s="135">
        <f ca="1">'normal case'!AG23-'normal case'!AG22+IF(controls!$B$31=1,IF(controls!$B$33=1,C21+(C21-'normal case'!K22)*(('main page'!$K$35/100))+'normal case'!K23-'normal case'!K22,C21+'normal case'!J23-'normal case'!J22),IF(controls!$B$33=1,C21*(1+(('main page'!$K$35/100)))+'normal case'!K23,C21+'normal case'!J23))</f>
        <v>20</v>
      </c>
      <c r="D22" s="136">
        <f ca="1">IF(ABS(((A22-C22)/'normal case'!D23)-D21)&lt;0.0000001,D21,(A22-C22)/'normal case'!D23)</f>
        <v>0</v>
      </c>
      <c r="E22" s="136">
        <f ca="1">IF(ABS(D22-(G22*('normal case'!M23/100))/'normal case'!D23-E21)&lt;0.00001,E21,D22-(G22*('normal case'!M23/100))/'normal case'!D23)</f>
        <v>0</v>
      </c>
      <c r="F22" s="137">
        <f ca="1">F21*(1+'normal case'!L22/100)</f>
        <v>1.4859473959783549</v>
      </c>
      <c r="G22" s="135">
        <f ca="1">C22-A22+G21*(1+'normal case'!M22/100)</f>
        <v>0</v>
      </c>
      <c r="H22" s="136">
        <f ca="1">IF(ABS(G22/'normal case'!D23-H21)&lt;0.0000001,H21,G22/'normal case'!D23)</f>
        <v>0</v>
      </c>
    </row>
    <row r="23" spans="1:8">
      <c r="A23" s="135">
        <f ca="1">('main page'!$U$31/100)*'normal case'!D24</f>
        <v>20</v>
      </c>
      <c r="B23" s="136"/>
      <c r="C23" s="135">
        <f ca="1">'normal case'!AG24-'normal case'!AG23+IF(controls!$B$31=1,IF(controls!$B$33=1,C22*(1+(('main page'!$K$35/100)))-'normal case'!K23,C22-'normal case'!J23),IF(controls!$B$33=1,C22*(1+(('main page'!$K$35/100))),C22))</f>
        <v>20</v>
      </c>
      <c r="D23" s="136">
        <f ca="1">IF(ABS(((A23-C23)/'normal case'!D24)-D22)&lt;0.0000001,D22,(A23-C23)/'normal case'!D24)</f>
        <v>0</v>
      </c>
      <c r="E23" s="136">
        <f ca="1">IF(ABS(D23-(G23*('normal case'!M24/100))/'normal case'!D24-E22)&lt;0.00001,E22,D23-(G23*('normal case'!M24/100))/'normal case'!D24)</f>
        <v>0</v>
      </c>
      <c r="F23" s="137">
        <f ca="1">F22*(1+'normal case'!L23/100)</f>
        <v>1.5156663438979221</v>
      </c>
      <c r="G23" s="135">
        <f ca="1">C23-A23+G22*(1+'normal case'!M23/100)</f>
        <v>0</v>
      </c>
      <c r="H23" s="136">
        <f ca="1">IF(ABS(G23/'normal case'!D24-H22)&lt;0.0000001,H22,G23/'normal case'!D24)</f>
        <v>0</v>
      </c>
    </row>
    <row r="24" spans="1:8">
      <c r="A24" s="135">
        <f ca="1">('main page'!$U$31/100)*'normal case'!D25</f>
        <v>20</v>
      </c>
      <c r="B24" s="136"/>
      <c r="C24" s="135">
        <f ca="1">'normal case'!AG25-'normal case'!AG24+IF(controls!$B$33=1,(1+(('main page'!$K$35/100)))*C23,'public finance'!C23)</f>
        <v>20</v>
      </c>
      <c r="D24" s="136">
        <f ca="1">IF(ABS(((A24-C24)/'normal case'!D25)-D23)&lt;0.0000001,D23,(A24-C24)/'normal case'!D25)</f>
        <v>0</v>
      </c>
      <c r="E24" s="136">
        <f ca="1">IF(ABS(D24-(G24*('normal case'!M25/100))/'normal case'!D25-E23)&lt;0.00001,E23,D24-(G24*('normal case'!M25/100))/'normal case'!D25)</f>
        <v>0</v>
      </c>
      <c r="F24" s="137">
        <f ca="1">F23*(1+'normal case'!L24/100)</f>
        <v>1.5459796707758806</v>
      </c>
      <c r="G24" s="135">
        <f ca="1">C24-A24+G23*(1+'normal case'!M24/100)</f>
        <v>0</v>
      </c>
      <c r="H24" s="136">
        <f ca="1">IF(ABS(G24/'normal case'!D25-H23)&lt;0.0000001,H23,G24/'normal case'!D25)</f>
        <v>0</v>
      </c>
    </row>
    <row r="25" spans="1:8">
      <c r="A25" s="135">
        <f ca="1">('main page'!$U$31/100)*'normal case'!D26</f>
        <v>20</v>
      </c>
      <c r="B25" s="136"/>
      <c r="C25" s="135">
        <f ca="1">'normal case'!AG26-'normal case'!AG25+IF(controls!$B$33=1,(1+(('main page'!$K$35/100)))*C24,'public finance'!C24)</f>
        <v>20</v>
      </c>
      <c r="D25" s="136">
        <f ca="1">IF(ABS(((A25-C25)/'normal case'!D26)-D24)&lt;0.0000001,D24,(A25-C25)/'normal case'!D26)</f>
        <v>0</v>
      </c>
      <c r="E25" s="136">
        <f ca="1">IF(ABS(D25-(G25*('normal case'!M26/100))/'normal case'!D26-E24)&lt;0.00001,E24,D25-(G25*('normal case'!M26/100))/'normal case'!D26)</f>
        <v>0</v>
      </c>
      <c r="F25" s="137">
        <f ca="1">F24*(1+'normal case'!L25/100)</f>
        <v>1.5768992641913981</v>
      </c>
      <c r="G25" s="135">
        <f ca="1">C25-A25+G24*(1+'normal case'!M25/100)</f>
        <v>0</v>
      </c>
      <c r="H25" s="136">
        <f ca="1">IF(ABS(G25/'normal case'!D26-H24)&lt;0.0000001,H24,G25/'normal case'!D26)</f>
        <v>0</v>
      </c>
    </row>
    <row r="26" spans="1:8">
      <c r="A26" s="135">
        <f ca="1">('main page'!$U$31/100)*'normal case'!D27</f>
        <v>20</v>
      </c>
      <c r="B26" s="136"/>
      <c r="C26" s="135">
        <f ca="1">'normal case'!AG27-'normal case'!AG26+IF(controls!$B$33=1,(1+(('main page'!$K$35/100)))*C25,'public finance'!C25)</f>
        <v>20</v>
      </c>
      <c r="D26" s="136">
        <f ca="1">IF(ABS(((A26-C26)/'normal case'!D27)-D25)&lt;0.0000001,D25,(A26-C26)/'normal case'!D27)</f>
        <v>0</v>
      </c>
      <c r="E26" s="136">
        <f ca="1">IF(ABS(D26-(G26*('normal case'!M27/100))/'normal case'!D27-E25)&lt;0.00001,E25,D26-(G26*('normal case'!M27/100))/'normal case'!D27)</f>
        <v>0</v>
      </c>
      <c r="F26" s="137">
        <f ca="1">F25*(1+'normal case'!L26/100)</f>
        <v>1.6084372494752261</v>
      </c>
      <c r="G26" s="135">
        <f ca="1">C26-A26+G25*(1+'normal case'!M26/100)</f>
        <v>0</v>
      </c>
      <c r="H26" s="136">
        <f ca="1">IF(ABS(G26/'normal case'!D27-H25)&lt;0.0000001,H25,G26/'normal case'!D27)</f>
        <v>0</v>
      </c>
    </row>
    <row r="27" spans="1:8">
      <c r="A27" s="135">
        <f ca="1">('main page'!$U$31/100)*'normal case'!D28</f>
        <v>20</v>
      </c>
      <c r="B27" s="136"/>
      <c r="C27" s="135">
        <f ca="1">'normal case'!AG28-'normal case'!AG27+IF(controls!$B$33=1,(1+(('main page'!$K$35/100)))*C26,'public finance'!C26)</f>
        <v>20</v>
      </c>
      <c r="D27" s="136">
        <f ca="1">IF(ABS(((A27-C27)/'normal case'!D28)-D26)&lt;0.0000001,D26,(A27-C27)/'normal case'!D28)</f>
        <v>0</v>
      </c>
      <c r="E27" s="136">
        <f ca="1">IF(ABS(D27-(G27*('normal case'!M28/100))/'normal case'!D28-E26)&lt;0.00001,E26,D27-(G27*('normal case'!M28/100))/'normal case'!D28)</f>
        <v>0</v>
      </c>
      <c r="F27" s="137">
        <f ca="1">F26*(1+'normal case'!L27/100)</f>
        <v>1.6406059944647307</v>
      </c>
      <c r="G27" s="135">
        <f ca="1">C27-A27+G26*(1+'normal case'!M27/100)</f>
        <v>0</v>
      </c>
      <c r="H27" s="136">
        <f ca="1">IF(ABS(G27/'normal case'!D28-H26)&lt;0.0000001,H26,G27/'normal case'!D28)</f>
        <v>0</v>
      </c>
    </row>
    <row r="28" spans="1:8">
      <c r="A28" s="135">
        <f ca="1">('main page'!$U$31/100)*'normal case'!D29</f>
        <v>20</v>
      </c>
      <c r="B28" s="136"/>
      <c r="C28" s="135">
        <f ca="1">'normal case'!AG29-'normal case'!AG28+IF(controls!$B$33=1,(1+(('main page'!$K$35/100)))*C27,'public finance'!C27)</f>
        <v>20</v>
      </c>
      <c r="D28" s="136">
        <f ca="1">IF(ABS(((A28-C28)/'normal case'!D29)-D27)&lt;0.0000001,D27,(A28-C28)/'normal case'!D29)</f>
        <v>0</v>
      </c>
      <c r="E28" s="136">
        <f ca="1">IF(ABS(D28-(G28*('normal case'!M29/100))/'normal case'!D29-E27)&lt;0.00001,E27,D28-(G28*('normal case'!M29/100))/'normal case'!D29)</f>
        <v>0</v>
      </c>
      <c r="F28" s="137">
        <f ca="1">F27*(1+'normal case'!L28/100)</f>
        <v>1.6734181143540252</v>
      </c>
      <c r="G28" s="135">
        <f ca="1">C28-A28+G27*(1+'normal case'!M28/100)</f>
        <v>0</v>
      </c>
      <c r="H28" s="136">
        <f ca="1">IF(ABS(G28/'normal case'!D29-H27)&lt;0.0000001,H27,G28/'normal case'!D29)</f>
        <v>0</v>
      </c>
    </row>
    <row r="29" spans="1:8">
      <c r="A29" s="135">
        <f ca="1">('main page'!$U$31/100)*'normal case'!D30</f>
        <v>20</v>
      </c>
      <c r="B29" s="136"/>
      <c r="C29" s="135">
        <f ca="1">'normal case'!AG30-'normal case'!AG29+IF(controls!$B$33=1,(1+(('main page'!$K$35/100)))*C28,'public finance'!C28)</f>
        <v>20</v>
      </c>
      <c r="D29" s="136">
        <f ca="1">IF(ABS(((A29-C29)/'normal case'!D30)-D28)&lt;0.0000001,D28,(A29-C29)/'normal case'!D30)</f>
        <v>0</v>
      </c>
      <c r="E29" s="136">
        <f ca="1">IF(ABS(D29-(G29*('normal case'!M30/100))/'normal case'!D30-E28)&lt;0.00001,E28,D29-(G29*('normal case'!M30/100))/'normal case'!D30)</f>
        <v>0</v>
      </c>
      <c r="F29" s="137">
        <f ca="1">F28*(1+'normal case'!L29/100)</f>
        <v>1.7068864766411058</v>
      </c>
      <c r="G29" s="135">
        <f ca="1">C29-A29+G28*(1+'normal case'!M29/100)</f>
        <v>0</v>
      </c>
      <c r="H29" s="136">
        <f ca="1">IF(ABS(G29/'normal case'!D30-H28)&lt;0.0000001,H28,G29/'normal case'!D30)</f>
        <v>0</v>
      </c>
    </row>
    <row r="30" spans="1:8">
      <c r="A30" s="135">
        <f ca="1">('main page'!$U$31/100)*'normal case'!D31</f>
        <v>20</v>
      </c>
      <c r="B30" s="136"/>
      <c r="C30" s="135">
        <f ca="1">'normal case'!AG31-'normal case'!AG30+IF(controls!$B$33=1,(1+(('main page'!$K$35/100)))*C29,'public finance'!C29)</f>
        <v>20</v>
      </c>
      <c r="D30" s="136">
        <f ca="1">IF(ABS(((A30-C30)/'normal case'!D31)-D29)&lt;0.0000001,D29,(A30-C30)/'normal case'!D31)</f>
        <v>0</v>
      </c>
      <c r="E30" s="136">
        <f ca="1">IF(ABS(D30-(G30*('normal case'!M31/100))/'normal case'!D31-E29)&lt;0.00001,E29,D30-(G30*('normal case'!M31/100))/'normal case'!D31)</f>
        <v>0</v>
      </c>
      <c r="F30" s="137">
        <f ca="1">F29*(1+'normal case'!L30/100)</f>
        <v>1.7410242061739281</v>
      </c>
      <c r="G30" s="135">
        <f ca="1">C30-A30+G29*(1+'normal case'!M30/100)</f>
        <v>0</v>
      </c>
      <c r="H30" s="136">
        <f ca="1">IF(ABS(G30/'normal case'!D31-H29)&lt;0.0000001,H29,G30/'normal case'!D31)</f>
        <v>0</v>
      </c>
    </row>
    <row r="31" spans="1:8">
      <c r="A31" s="135">
        <f ca="1">('main page'!$U$31/100)*'normal case'!D32</f>
        <v>20</v>
      </c>
      <c r="B31" s="136"/>
      <c r="C31" s="135">
        <f ca="1">'normal case'!AG32-'normal case'!AG31+IF(controls!$B$33=1,(1+(('main page'!$K$35/100)))*C30,'public finance'!C30)</f>
        <v>20</v>
      </c>
      <c r="D31" s="136">
        <f ca="1">IF(ABS(((A31-C31)/'normal case'!D32)-D30)&lt;0.0000001,D30,(A31-C31)/'normal case'!D32)</f>
        <v>0</v>
      </c>
      <c r="E31" s="136">
        <f ca="1">IF(ABS(D31-(G31*('normal case'!M32/100))/'normal case'!D32-E30)&lt;0.00001,E30,D31-(G31*('normal case'!M32/100))/'normal case'!D32)</f>
        <v>0</v>
      </c>
      <c r="F31" s="137">
        <f ca="1">F30*(1+'normal case'!L31/100)</f>
        <v>1.7758446902974065</v>
      </c>
      <c r="G31" s="135">
        <f ca="1">C31-A31+G30*(1+'normal case'!M31/100)</f>
        <v>0</v>
      </c>
      <c r="H31" s="136">
        <f ca="1">IF(ABS(G31/'normal case'!D32-H30)&lt;0.0000001,H30,G31/'normal case'!D32)</f>
        <v>0</v>
      </c>
    </row>
    <row r="32" spans="1:8">
      <c r="A32" s="135">
        <f ca="1">('main page'!$U$31/100)*'normal case'!D33</f>
        <v>20</v>
      </c>
      <c r="B32" s="136"/>
      <c r="C32" s="135">
        <f ca="1">'normal case'!AG33-'normal case'!AG32+IF(controls!$B$33=1,(1+(('main page'!$K$35/100)))*C31,'public finance'!C31)</f>
        <v>20</v>
      </c>
      <c r="D32" s="136">
        <f ca="1">IF(ABS(((A32-C32)/'normal case'!D33)-D31)&lt;0.0000001,D31,(A32-C32)/'normal case'!D33)</f>
        <v>0</v>
      </c>
      <c r="E32" s="136">
        <f ca="1">IF(ABS(D32-(G32*('normal case'!M33/100))/'normal case'!D33-E31)&lt;0.00001,E31,D32-(G32*('normal case'!M33/100))/'normal case'!D33)</f>
        <v>0</v>
      </c>
      <c r="F32" s="137">
        <f ca="1">F31*(1+'normal case'!L32/100)</f>
        <v>1.8113615841033548</v>
      </c>
      <c r="G32" s="135">
        <f ca="1">C32-A32+G31*(1+'normal case'!M32/100)</f>
        <v>0</v>
      </c>
      <c r="H32" s="136">
        <f ca="1">IF(ABS(G32/'normal case'!D33-H31)&lt;0.0000001,H31,G32/'normal case'!D33)</f>
        <v>0</v>
      </c>
    </row>
    <row r="33" spans="1:8">
      <c r="A33" s="135">
        <f ca="1">('main page'!$U$31/100)*'normal case'!D34</f>
        <v>20</v>
      </c>
      <c r="B33" s="136"/>
      <c r="C33" s="135">
        <f ca="1">'normal case'!AG34-'normal case'!AG33+IF(controls!$B$33=1,(1+(('main page'!$K$35/100)))*C32,'public finance'!C32)</f>
        <v>20</v>
      </c>
      <c r="D33" s="136">
        <f ca="1">IF(ABS(((A33-C33)/'normal case'!D34)-D32)&lt;0.0000001,D32,(A33-C33)/'normal case'!D34)</f>
        <v>0</v>
      </c>
      <c r="E33" s="136">
        <f ca="1">IF(ABS(D33-(G33*('normal case'!M34/100))/'normal case'!D34-E32)&lt;0.00001,E32,D33-(G33*('normal case'!M34/100))/'normal case'!D34)</f>
        <v>0</v>
      </c>
      <c r="F33" s="137">
        <f ca="1">F32*(1+'normal case'!L33/100)</f>
        <v>1.8475888157854219</v>
      </c>
      <c r="G33" s="135">
        <f ca="1">C33-A33+G32*(1+'normal case'!M33/100)</f>
        <v>0</v>
      </c>
      <c r="H33" s="136">
        <f ca="1">IF(ABS(G33/'normal case'!D34-H32)&lt;0.0000001,H32,G33/'normal case'!D34)</f>
        <v>0</v>
      </c>
    </row>
    <row r="34" spans="1:8">
      <c r="A34" s="135">
        <f ca="1">('main page'!$U$31/100)*'normal case'!D35</f>
        <v>20</v>
      </c>
      <c r="B34" s="136"/>
      <c r="C34" s="135">
        <f ca="1">'normal case'!AG35-'normal case'!AG34+IF(controls!$B$33=1,(1+(('main page'!$K$35/100)))*C33,'public finance'!C33)</f>
        <v>20</v>
      </c>
      <c r="D34" s="136">
        <f ca="1">IF(ABS(((A34-C34)/'normal case'!D35)-D33)&lt;0.0000001,D33,(A34-C34)/'normal case'!D35)</f>
        <v>0</v>
      </c>
      <c r="E34" s="136">
        <f ca="1">IF(ABS(D34-(G34*('normal case'!M35/100))/'normal case'!D35-E33)&lt;0.00001,E33,D34-(G34*('normal case'!M35/100))/'normal case'!D35)</f>
        <v>0</v>
      </c>
      <c r="F34" s="137">
        <f ca="1">F33*(1+'normal case'!L34/100)</f>
        <v>1.8845405921011305</v>
      </c>
      <c r="G34" s="135">
        <f ca="1">C34-A34+G33*(1+'normal case'!M34/100)</f>
        <v>0</v>
      </c>
      <c r="H34" s="136">
        <f ca="1">IF(ABS(G34/'normal case'!D35-H33)&lt;0.0000001,H33,G34/'normal case'!D35)</f>
        <v>0</v>
      </c>
    </row>
    <row r="35" spans="1:8">
      <c r="A35" s="135">
        <f ca="1">('main page'!$U$31/100)*'normal case'!D36</f>
        <v>20</v>
      </c>
      <c r="B35" s="136"/>
      <c r="C35" s="135">
        <f ca="1">'normal case'!AG36-'normal case'!AG35+IF(controls!$B$33=1,(1+(('main page'!$K$35/100)))*C34,'public finance'!C34)</f>
        <v>20</v>
      </c>
      <c r="D35" s="136">
        <f ca="1">IF(ABS(((A35-C35)/'normal case'!D36)-D34)&lt;0.0000001,D34,(A35-C35)/'normal case'!D36)</f>
        <v>0</v>
      </c>
      <c r="E35" s="136">
        <f ca="1">IF(ABS(D35-(G35*('normal case'!M36/100))/'normal case'!D36-E34)&lt;0.00001,E34,D35-(G35*('normal case'!M36/100))/'normal case'!D36)</f>
        <v>0</v>
      </c>
      <c r="F35" s="137">
        <f ca="1">F34*(1+'normal case'!L35/100)</f>
        <v>1.9222314039431532</v>
      </c>
      <c r="G35" s="135">
        <f ca="1">C35-A35+G34*(1+'normal case'!M35/100)</f>
        <v>0</v>
      </c>
      <c r="H35" s="136">
        <f ca="1">IF(ABS(G35/'normal case'!D36-H34)&lt;0.0000001,H34,G35/'normal case'!D36)</f>
        <v>0</v>
      </c>
    </row>
    <row r="36" spans="1:8">
      <c r="A36" s="135">
        <f ca="1">('main page'!$U$31/100)*'normal case'!D37</f>
        <v>20</v>
      </c>
      <c r="B36" s="136"/>
      <c r="C36" s="135">
        <f ca="1">'normal case'!AG37-'normal case'!AG36+IF(controls!$B$33=1,(1+(('main page'!$K$35/100)))*C35,'public finance'!C35)</f>
        <v>20</v>
      </c>
      <c r="D36" s="136">
        <f ca="1">IF(ABS(((A36-C36)/'normal case'!D37)-D35)&lt;0.0000001,D35,(A36-C36)/'normal case'!D37)</f>
        <v>0</v>
      </c>
      <c r="E36" s="136">
        <f ca="1">IF(ABS(D36-(G36*('normal case'!M37/100))/'normal case'!D37-E35)&lt;0.00001,E35,D36-(G36*('normal case'!M37/100))/'normal case'!D37)</f>
        <v>0</v>
      </c>
      <c r="F36" s="137">
        <f ca="1">F35*(1+'normal case'!L36/100)</f>
        <v>1.9606760320220162</v>
      </c>
      <c r="G36" s="135">
        <f ca="1">C36-A36+G35*(1+'normal case'!M36/100)</f>
        <v>0</v>
      </c>
      <c r="H36" s="136">
        <f ca="1">IF(ABS(G36/'normal case'!D37-H35)&lt;0.0000001,H35,G36/'normal case'!D37)</f>
        <v>0</v>
      </c>
    </row>
    <row r="37" spans="1:8">
      <c r="A37" s="135">
        <f ca="1">('main page'!$U$31/100)*'normal case'!D38</f>
        <v>20</v>
      </c>
      <c r="B37" s="136"/>
      <c r="C37" s="135">
        <f ca="1">'normal case'!AG38-'normal case'!AG37+IF(controls!$B$33=1,(1+(('main page'!$K$35/100)))*C36,'public finance'!C36)</f>
        <v>20</v>
      </c>
      <c r="D37" s="136">
        <f ca="1">IF(ABS(((A37-C37)/'normal case'!D38)-D36)&lt;0.0000001,D36,(A37-C37)/'normal case'!D38)</f>
        <v>0</v>
      </c>
      <c r="E37" s="136">
        <f ca="1">IF(ABS(D37-(G37*('normal case'!M38/100))/'normal case'!D38-E36)&lt;0.00001,E36,D37-(G37*('normal case'!M38/100))/'normal case'!D38)</f>
        <v>0</v>
      </c>
      <c r="F37" s="137">
        <f ca="1">F36*(1+'normal case'!L37/100)</f>
        <v>1.9998895526624565</v>
      </c>
      <c r="G37" s="135">
        <f ca="1">C37-A37+G36*(1+'normal case'!M37/100)</f>
        <v>0</v>
      </c>
      <c r="H37" s="136">
        <f ca="1">IF(ABS(G37/'normal case'!D38-H36)&lt;0.0000001,H36,G37/'normal case'!D38)</f>
        <v>0</v>
      </c>
    </row>
    <row r="38" spans="1:8">
      <c r="A38" s="135">
        <f ca="1">('main page'!$U$31/100)*'normal case'!D39</f>
        <v>20</v>
      </c>
      <c r="B38" s="136"/>
      <c r="C38" s="135">
        <f ca="1">'normal case'!AG39-'normal case'!AG38+IF(controls!$B$33=1,(1+(('main page'!$K$35/100)))*C37,'public finance'!C37)</f>
        <v>20</v>
      </c>
      <c r="D38" s="136">
        <f ca="1">IF(ABS(((A38-C38)/'normal case'!D39)-D37)&lt;0.0000001,D37,(A38-C38)/'normal case'!D39)</f>
        <v>0</v>
      </c>
      <c r="E38" s="136">
        <f ca="1">IF(ABS(D38-(G38*('normal case'!M39/100))/'normal case'!D39-E37)&lt;0.00001,E37,D38-(G38*('normal case'!M39/100))/'normal case'!D39)</f>
        <v>0</v>
      </c>
      <c r="F38" s="137">
        <f ca="1">F37*(1+'normal case'!L38/100)</f>
        <v>2.0398873437157055</v>
      </c>
      <c r="G38" s="135">
        <f ca="1">C38-A38+G37*(1+'normal case'!M38/100)</f>
        <v>0</v>
      </c>
      <c r="H38" s="136">
        <f ca="1">IF(ABS(G38/'normal case'!D39-H37)&lt;0.0000001,H37,G38/'normal case'!D39)</f>
        <v>0</v>
      </c>
    </row>
    <row r="39" spans="1:8">
      <c r="A39" s="135">
        <f ca="1">('main page'!$U$31/100)*'normal case'!D40</f>
        <v>20</v>
      </c>
      <c r="B39" s="136"/>
      <c r="C39" s="135">
        <f ca="1">'normal case'!AG40-'normal case'!AG39+IF(controls!$B$33=1,(1+(('main page'!$K$35/100)))*C38,'public finance'!C38)</f>
        <v>20</v>
      </c>
      <c r="D39" s="136">
        <f ca="1">IF(ABS(((A39-C39)/'normal case'!D40)-D38)&lt;0.0000001,D38,(A39-C39)/'normal case'!D40)</f>
        <v>0</v>
      </c>
      <c r="E39" s="136">
        <f ca="1">IF(ABS(D39-(G39*('normal case'!M40/100))/'normal case'!D40-E38)&lt;0.00001,E38,D39-(G39*('normal case'!M40/100))/'normal case'!D40)</f>
        <v>0</v>
      </c>
      <c r="F39" s="137">
        <f ca="1">F38*(1+'normal case'!L39/100)</f>
        <v>2.0806850905900198</v>
      </c>
      <c r="G39" s="135">
        <f ca="1">C39-A39+G38*(1+'normal case'!M39/100)</f>
        <v>0</v>
      </c>
      <c r="H39" s="136">
        <f ca="1">IF(ABS(G39/'normal case'!D40-H38)&lt;0.0000001,H38,G39/'normal case'!D40)</f>
        <v>0</v>
      </c>
    </row>
    <row r="40" spans="1:8">
      <c r="A40" s="135">
        <f ca="1">('main page'!$U$31/100)*'normal case'!D41</f>
        <v>20</v>
      </c>
      <c r="B40" s="136"/>
      <c r="C40" s="135">
        <f ca="1">'normal case'!AG41-'normal case'!AG40+IF(controls!$B$33=1,(1+(('main page'!$K$35/100)))*C39,'public finance'!C39)</f>
        <v>20</v>
      </c>
      <c r="D40" s="136">
        <f ca="1">IF(ABS(((A40-C40)/'normal case'!D41)-D39)&lt;0.0000001,D39,(A40-C40)/'normal case'!D41)</f>
        <v>0</v>
      </c>
      <c r="E40" s="136">
        <f ca="1">IF(ABS(D40-(G40*('normal case'!M41/100))/'normal case'!D41-E39)&lt;0.00001,E39,D40-(G40*('normal case'!M41/100))/'normal case'!D41)</f>
        <v>0</v>
      </c>
      <c r="F40" s="137">
        <f ca="1">F39*(1+'normal case'!L40/100)</f>
        <v>2.1222987924018204</v>
      </c>
      <c r="G40" s="135">
        <f ca="1">C40-A40+G39*(1+'normal case'!M40/100)</f>
        <v>0</v>
      </c>
      <c r="H40" s="136">
        <f ca="1">IF(ABS(G40/'normal case'!D41-H39)&lt;0.0000001,H39,G40/'normal case'!D41)</f>
        <v>0</v>
      </c>
    </row>
    <row r="41" spans="1:8">
      <c r="A41" s="135">
        <f ca="1">('main page'!$U$31/100)*'normal case'!D42</f>
        <v>20</v>
      </c>
      <c r="B41" s="136">
        <f ca="1">A41/A40-1</f>
        <v>0</v>
      </c>
      <c r="C41" s="135">
        <f ca="1">'normal case'!AG42-'normal case'!AG41+IF(controls!$B$33=1,(1+(('main page'!$K$35/100)))*C40,'public finance'!C40)</f>
        <v>20</v>
      </c>
      <c r="D41" s="136">
        <f ca="1">IF(ABS(((A41-C41)/'normal case'!D42)-D40)&lt;0.0000001,D40,(A41-C41)/'normal case'!D42)</f>
        <v>0</v>
      </c>
      <c r="E41" s="136">
        <f ca="1">IF(ABS(D41-(G41*('normal case'!M42/100))/'normal case'!D42-E40)&lt;0.00001,E40,D41-(G41*('normal case'!M42/100))/'normal case'!D42)</f>
        <v>0</v>
      </c>
      <c r="F41" s="137">
        <f ca="1">F40*(1+'normal case'!L41/100)</f>
        <v>2.1647447682498568</v>
      </c>
      <c r="G41" s="135">
        <f ca="1">C41-A41+G40*(1+'normal case'!M41/100)</f>
        <v>0</v>
      </c>
      <c r="H41" s="136">
        <f ca="1">IF(ABS(G41/'normal case'!D42-H40)&lt;0.0000001,H40,G41/'normal case'!D42)</f>
        <v>0</v>
      </c>
    </row>
    <row r="42" spans="1:8">
      <c r="A42" s="135">
        <f ca="1">('main page'!$U$31/100)*'normal case'!D43</f>
        <v>20</v>
      </c>
      <c r="B42" s="136">
        <f t="shared" ref="B42:B100" ca="1" si="0">A42/A41-1</f>
        <v>0</v>
      </c>
      <c r="C42" s="135">
        <f ca="1">'normal case'!AG43-'normal case'!AG42+IF(controls!$B$33=1,(1+(('main page'!$K$35/100)))*C41,'public finance'!C41)</f>
        <v>20</v>
      </c>
      <c r="D42" s="136">
        <f ca="1">IF(ABS(((A42-C42)/'normal case'!D43)-D41)&lt;0.0000001,D41,(A42-C42)/'normal case'!D43)</f>
        <v>0</v>
      </c>
      <c r="E42" s="136">
        <f ca="1">IF(ABS(D42-(G42*('normal case'!M43/100))/'normal case'!D43-E41)&lt;0.00001,E41,D42-(G42*('normal case'!M43/100))/'normal case'!D43)</f>
        <v>0</v>
      </c>
      <c r="F42" s="137">
        <f ca="1">F41*(1+'normal case'!L42/100)</f>
        <v>2.208039663614854</v>
      </c>
      <c r="G42" s="135">
        <f ca="1">C42-A42+G41*(1+'normal case'!M42/100)</f>
        <v>0</v>
      </c>
      <c r="H42" s="136">
        <f ca="1">IF(ABS(G42/'normal case'!D43-H41)&lt;0.0000001,H41,G42/'normal case'!D43)</f>
        <v>0</v>
      </c>
    </row>
    <row r="43" spans="1:8">
      <c r="A43" s="135">
        <f ca="1">('main page'!$U$31/100)*'normal case'!D44</f>
        <v>20</v>
      </c>
      <c r="B43" s="136">
        <f t="shared" ca="1" si="0"/>
        <v>0</v>
      </c>
      <c r="C43" s="135">
        <f ca="1">'normal case'!AG44-'normal case'!AG43+IF(controls!$B$33=1,(1+(('main page'!$K$35/100)))*C42,'public finance'!C42)</f>
        <v>20</v>
      </c>
      <c r="D43" s="136">
        <f ca="1">IF(ABS(((A43-C43)/'normal case'!D44)-D42)&lt;0.0000001,D42,(A43-C43)/'normal case'!D44)</f>
        <v>0</v>
      </c>
      <c r="E43" s="136">
        <f ca="1">IF(ABS(D43-(G43*('normal case'!M44/100))/'normal case'!D44-E42)&lt;0.00001,E42,D43-(G43*('normal case'!M44/100))/'normal case'!D44)</f>
        <v>0</v>
      </c>
      <c r="F43" s="137">
        <f ca="1">F42*(1+'normal case'!L43/100)</f>
        <v>2.252200456887151</v>
      </c>
      <c r="G43" s="135">
        <f ca="1">C43-A43+G42*(1+'normal case'!M43/100)</f>
        <v>0</v>
      </c>
      <c r="H43" s="136">
        <f ca="1">IF(ABS(G43/'normal case'!D44-H42)&lt;0.0000001,H42,G43/'normal case'!D44)</f>
        <v>0</v>
      </c>
    </row>
    <row r="44" spans="1:8">
      <c r="A44" s="135">
        <f ca="1">('main page'!$U$31/100)*'normal case'!D45</f>
        <v>20</v>
      </c>
      <c r="B44" s="136">
        <f t="shared" ca="1" si="0"/>
        <v>0</v>
      </c>
      <c r="C44" s="135">
        <f ca="1">'normal case'!AG45-'normal case'!AG44+IF(controls!$B$33=1,(1+(('main page'!$K$35/100)))*C43,'public finance'!C43)</f>
        <v>20</v>
      </c>
      <c r="D44" s="136">
        <f ca="1">IF(ABS(((A44-C44)/'normal case'!D45)-D43)&lt;0.0000001,D43,(A44-C44)/'normal case'!D45)</f>
        <v>0</v>
      </c>
      <c r="E44" s="136">
        <f ca="1">IF(ABS(D44-(G44*('normal case'!M45/100))/'normal case'!D45-E43)&lt;0.00001,E43,D44-(G44*('normal case'!M45/100))/'normal case'!D45)</f>
        <v>0</v>
      </c>
      <c r="F44" s="137">
        <f ca="1">F43*(1+'normal case'!L44/100)</f>
        <v>2.2972444660248938</v>
      </c>
      <c r="G44" s="135">
        <f ca="1">C44-A44+G43*(1+'normal case'!M44/100)</f>
        <v>0</v>
      </c>
      <c r="H44" s="136">
        <f ca="1">IF(ABS(G44/'normal case'!D45-H43)&lt;0.0000001,H43,G44/'normal case'!D45)</f>
        <v>0</v>
      </c>
    </row>
    <row r="45" spans="1:8">
      <c r="A45" s="135">
        <f ca="1">('main page'!$U$31/100)*'normal case'!D46</f>
        <v>20</v>
      </c>
      <c r="B45" s="136">
        <f t="shared" ca="1" si="0"/>
        <v>0</v>
      </c>
      <c r="C45" s="135">
        <f ca="1">'normal case'!AG46-'normal case'!AG45+IF(controls!$B$33=1,(1+(('main page'!$K$35/100)))*C44,'public finance'!C44)</f>
        <v>20</v>
      </c>
      <c r="D45" s="136">
        <f ca="1">IF(ABS(((A45-C45)/'normal case'!D46)-D44)&lt;0.0000001,D44,(A45-C45)/'normal case'!D46)</f>
        <v>0</v>
      </c>
      <c r="E45" s="136">
        <f ca="1">IF(ABS(D45-(G45*('normal case'!M46/100))/'normal case'!D46-E44)&lt;0.00001,E44,D45-(G45*('normal case'!M46/100))/'normal case'!D46)</f>
        <v>0</v>
      </c>
      <c r="F45" s="137">
        <f ca="1">F44*(1+'normal case'!L45/100)</f>
        <v>2.343189355345392</v>
      </c>
      <c r="G45" s="135">
        <f ca="1">C45-A45+G44*(1+'normal case'!M45/100)</f>
        <v>0</v>
      </c>
      <c r="H45" s="136">
        <f ca="1">IF(ABS(G45/'normal case'!D46-H44)&lt;0.0000001,H44,G45/'normal case'!D46)</f>
        <v>0</v>
      </c>
    </row>
    <row r="46" spans="1:8">
      <c r="A46" s="135">
        <f ca="1">('main page'!$U$31/100)*'normal case'!D47</f>
        <v>20</v>
      </c>
      <c r="B46" s="136">
        <f t="shared" ca="1" si="0"/>
        <v>0</v>
      </c>
      <c r="C46" s="135">
        <f ca="1">'normal case'!AG47-'normal case'!AG46+IF(controls!$B$33=1,(1+(('main page'!$K$35/100)))*C45,'public finance'!C45)</f>
        <v>20</v>
      </c>
      <c r="D46" s="136">
        <f ca="1">IF(ABS(((A46-C46)/'normal case'!D47)-D45)&lt;0.0000001,D45,(A46-C46)/'normal case'!D47)</f>
        <v>0</v>
      </c>
      <c r="E46" s="136">
        <f ca="1">IF(ABS(D46-(G46*('normal case'!M47/100))/'normal case'!D47-E45)&lt;0.00001,E45,D46-(G46*('normal case'!M47/100))/'normal case'!D47)</f>
        <v>0</v>
      </c>
      <c r="F46" s="137">
        <f ca="1">F45*(1+'normal case'!L46/100)</f>
        <v>2.3900531424522997</v>
      </c>
      <c r="G46" s="135">
        <f ca="1">C46-A46+G45*(1+'normal case'!M46/100)</f>
        <v>0</v>
      </c>
      <c r="H46" s="136">
        <f ca="1">IF(ABS(G46/'normal case'!D47-H45)&lt;0.0000001,H45,G46/'normal case'!D47)</f>
        <v>0</v>
      </c>
    </row>
    <row r="47" spans="1:8">
      <c r="A47" s="135">
        <f ca="1">('main page'!$U$31/100)*'normal case'!D48</f>
        <v>20</v>
      </c>
      <c r="B47" s="136">
        <f t="shared" ca="1" si="0"/>
        <v>0</v>
      </c>
      <c r="C47" s="135">
        <f ca="1">'normal case'!AG48-'normal case'!AG47+IF(controls!$B$33=1,(1+(('main page'!$K$35/100)))*C46,'public finance'!C46)</f>
        <v>20</v>
      </c>
      <c r="D47" s="136">
        <f ca="1">IF(ABS(((A47-C47)/'normal case'!D48)-D46)&lt;0.0000001,D46,(A47-C47)/'normal case'!D48)</f>
        <v>0</v>
      </c>
      <c r="E47" s="136">
        <f ca="1">IF(ABS(D47-(G47*('normal case'!M48/100))/'normal case'!D48-E46)&lt;0.00001,E46,D47-(G47*('normal case'!M48/100))/'normal case'!D48)</f>
        <v>0</v>
      </c>
      <c r="F47" s="137">
        <f ca="1">F46*(1+'normal case'!L47/100)</f>
        <v>2.4378542053013459</v>
      </c>
      <c r="G47" s="135">
        <f ca="1">C47-A47+G46*(1+'normal case'!M47/100)</f>
        <v>0</v>
      </c>
      <c r="H47" s="136">
        <f ca="1">IF(ABS(G47/'normal case'!D48-H46)&lt;0.0000001,H46,G47/'normal case'!D48)</f>
        <v>0</v>
      </c>
    </row>
    <row r="48" spans="1:8">
      <c r="A48" s="135">
        <f ca="1">('main page'!$U$31/100)*'normal case'!D49</f>
        <v>20</v>
      </c>
      <c r="B48" s="136">
        <f t="shared" ca="1" si="0"/>
        <v>0</v>
      </c>
      <c r="C48" s="135">
        <f ca="1">'normal case'!AG49-'normal case'!AG48+IF(controls!$B$33=1,(1+(('main page'!$K$35/100)))*C47,'public finance'!C47)</f>
        <v>20</v>
      </c>
      <c r="D48" s="136">
        <f ca="1">IF(ABS(((A48-C48)/'normal case'!D49)-D47)&lt;0.0000001,D47,(A48-C48)/'normal case'!D49)</f>
        <v>0</v>
      </c>
      <c r="E48" s="136">
        <f ca="1">IF(ABS(D48-(G48*('normal case'!M49/100))/'normal case'!D49-E47)&lt;0.00001,E47,D48-(G48*('normal case'!M49/100))/'normal case'!D49)</f>
        <v>0</v>
      </c>
      <c r="F48" s="137">
        <f ca="1">F47*(1+'normal case'!L48/100)</f>
        <v>2.4866112894073726</v>
      </c>
      <c r="G48" s="135">
        <f ca="1">C48-A48+G47*(1+'normal case'!M48/100)</f>
        <v>0</v>
      </c>
      <c r="H48" s="136">
        <f ca="1">IF(ABS(G48/'normal case'!D49-H47)&lt;0.0000001,H47,G48/'normal case'!D49)</f>
        <v>0</v>
      </c>
    </row>
    <row r="49" spans="1:8">
      <c r="A49" s="135">
        <f ca="1">('main page'!$U$31/100)*'normal case'!D50</f>
        <v>20</v>
      </c>
      <c r="B49" s="136">
        <f t="shared" ca="1" si="0"/>
        <v>0</v>
      </c>
      <c r="C49" s="135">
        <f ca="1">'normal case'!AG50-'normal case'!AG49+IF(controls!$B$33=1,(1+(('main page'!$K$35/100)))*C48,'public finance'!C48)</f>
        <v>20</v>
      </c>
      <c r="D49" s="136">
        <f ca="1">IF(ABS(((A49-C49)/'normal case'!D50)-D48)&lt;0.0000001,D48,(A49-C49)/'normal case'!D50)</f>
        <v>0</v>
      </c>
      <c r="E49" s="136">
        <f ca="1">IF(ABS(D49-(G49*('normal case'!M50/100))/'normal case'!D50-E48)&lt;0.00001,E48,D49-(G49*('normal case'!M50/100))/'normal case'!D50)</f>
        <v>0</v>
      </c>
      <c r="F49" s="137">
        <f ca="1">F48*(1+'normal case'!L49/100)</f>
        <v>2.53634351519552</v>
      </c>
      <c r="G49" s="135">
        <f ca="1">C49-A49+G48*(1+'normal case'!M49/100)</f>
        <v>0</v>
      </c>
      <c r="H49" s="136">
        <f ca="1">IF(ABS(G49/'normal case'!D50-H48)&lt;0.0000001,H48,G49/'normal case'!D50)</f>
        <v>0</v>
      </c>
    </row>
    <row r="50" spans="1:8">
      <c r="A50" s="135">
        <f ca="1">('main page'!$U$31/100)*'normal case'!D51</f>
        <v>20</v>
      </c>
      <c r="B50" s="136">
        <f t="shared" ca="1" si="0"/>
        <v>0</v>
      </c>
      <c r="C50" s="135">
        <f ca="1">'normal case'!AG51-'normal case'!AG50+IF(controls!$B$33=1,(1+(('main page'!$K$35/100)))*C49,'public finance'!C49)</f>
        <v>20</v>
      </c>
      <c r="D50" s="136">
        <f ca="1">IF(ABS(((A50-C50)/'normal case'!D51)-D49)&lt;0.0000001,D49,(A50-C50)/'normal case'!D51)</f>
        <v>0</v>
      </c>
      <c r="E50" s="136">
        <f ca="1">IF(ABS(D50-(G50*('normal case'!M51/100))/'normal case'!D51-E49)&lt;0.00001,E49,D50-(G50*('normal case'!M51/100))/'normal case'!D51)</f>
        <v>0</v>
      </c>
      <c r="F50" s="137">
        <f ca="1">F49*(1+'normal case'!L50/100)</f>
        <v>2.5870703854994304</v>
      </c>
      <c r="G50" s="135">
        <f ca="1">C50-A50+G49*(1+'normal case'!M50/100)</f>
        <v>0</v>
      </c>
      <c r="H50" s="136">
        <f ca="1">IF(ABS(G50/'normal case'!D51-H49)&lt;0.0000001,H49,G50/'normal case'!D51)</f>
        <v>0</v>
      </c>
    </row>
    <row r="51" spans="1:8">
      <c r="A51" s="135">
        <f ca="1">('main page'!$U$31/100)*'normal case'!D52</f>
        <v>20</v>
      </c>
      <c r="B51" s="136">
        <f t="shared" ca="1" si="0"/>
        <v>0</v>
      </c>
      <c r="C51" s="135">
        <f ca="1">'normal case'!AG52-'normal case'!AG51+IF(controls!$B$33=1,(1+(('main page'!$K$35/100)))*C50,'public finance'!C50)</f>
        <v>20</v>
      </c>
      <c r="D51" s="136">
        <f ca="1">IF(ABS(((A51-C51)/'normal case'!D52)-D50)&lt;0.0000001,D50,(A51-C51)/'normal case'!D52)</f>
        <v>0</v>
      </c>
      <c r="E51" s="136">
        <f ca="1">IF(ABS(D51-(G51*('normal case'!M52/100))/'normal case'!D52-E50)&lt;0.00001,E50,D51-(G51*('normal case'!M52/100))/'normal case'!D52)</f>
        <v>0</v>
      </c>
      <c r="F51" s="137">
        <f ca="1">F50*(1+'normal case'!L51/100)</f>
        <v>2.6388117932094191</v>
      </c>
      <c r="G51" s="135">
        <f ca="1">C51-A51+G50*(1+'normal case'!M51/100)</f>
        <v>0</v>
      </c>
      <c r="H51" s="136">
        <f ca="1">IF(ABS(G51/'normal case'!D52-H50)&lt;0.0000001,H50,G51/'normal case'!D52)</f>
        <v>0</v>
      </c>
    </row>
    <row r="52" spans="1:8">
      <c r="A52" s="135">
        <f ca="1">('main page'!$U$31/100)*'normal case'!D53</f>
        <v>20</v>
      </c>
      <c r="B52" s="136">
        <f t="shared" ca="1" si="0"/>
        <v>0</v>
      </c>
      <c r="C52" s="135">
        <f ca="1">'normal case'!AG53-'normal case'!AG52+IF(controls!$B$33=1,(1+(('main page'!$K$35/100)))*C51,'public finance'!C51)</f>
        <v>20</v>
      </c>
      <c r="D52" s="136">
        <f ca="1">IF(ABS(((A52-C52)/'normal case'!D53)-D51)&lt;0.0000001,D51,(A52-C52)/'normal case'!D53)</f>
        <v>0</v>
      </c>
      <c r="E52" s="136">
        <f ca="1">IF(ABS(D52-(G52*('normal case'!M53/100))/'normal case'!D53-E51)&lt;0.00001,E51,D52-(G52*('normal case'!M53/100))/'normal case'!D53)</f>
        <v>0</v>
      </c>
      <c r="F52" s="137">
        <f ca="1">F51*(1+'normal case'!L52/100)</f>
        <v>2.6915880290736074</v>
      </c>
      <c r="G52" s="135">
        <f ca="1">C52-A52+G51*(1+'normal case'!M52/100)</f>
        <v>0</v>
      </c>
      <c r="H52" s="136">
        <f ca="1">IF(ABS(G52/'normal case'!D53-H51)&lt;0.0000001,H51,G52/'normal case'!D53)</f>
        <v>0</v>
      </c>
    </row>
    <row r="53" spans="1:8">
      <c r="A53" s="135">
        <f ca="1">('main page'!$U$31/100)*'normal case'!D54</f>
        <v>20</v>
      </c>
      <c r="B53" s="136">
        <f t="shared" ca="1" si="0"/>
        <v>0</v>
      </c>
      <c r="C53" s="135">
        <f ca="1">'normal case'!AG54-'normal case'!AG53+IF(controls!$B$33=1,(1+(('main page'!$K$35/100)))*C52,'public finance'!C52)</f>
        <v>20</v>
      </c>
      <c r="D53" s="136">
        <f ca="1">IF(ABS(((A53-C53)/'normal case'!D54)-D52)&lt;0.0000001,D52,(A53-C53)/'normal case'!D54)</f>
        <v>0</v>
      </c>
      <c r="E53" s="136">
        <f ca="1">IF(ABS(D53-(G53*('normal case'!M54/100))/'normal case'!D54-E52)&lt;0.00001,E52,D53-(G53*('normal case'!M54/100))/'normal case'!D54)</f>
        <v>0</v>
      </c>
      <c r="F53" s="137">
        <f ca="1">F52*(1+'normal case'!L53/100)</f>
        <v>2.7454197896550796</v>
      </c>
      <c r="G53" s="135">
        <f ca="1">C53-A53+G52*(1+'normal case'!M53/100)</f>
        <v>0</v>
      </c>
      <c r="H53" s="136">
        <f ca="1">IF(ABS(G53/'normal case'!D54-H52)&lt;0.0000001,H52,G53/'normal case'!D54)</f>
        <v>0</v>
      </c>
    </row>
    <row r="54" spans="1:8">
      <c r="A54" s="135">
        <f ca="1">('main page'!$U$31/100)*'normal case'!D55</f>
        <v>20</v>
      </c>
      <c r="B54" s="136">
        <f t="shared" ca="1" si="0"/>
        <v>0</v>
      </c>
      <c r="C54" s="135">
        <f ca="1">'normal case'!AG55-'normal case'!AG54+IF(controls!$B$33=1,(1+(('main page'!$K$35/100)))*C53,'public finance'!C53)</f>
        <v>20</v>
      </c>
      <c r="D54" s="136">
        <f ca="1">IF(ABS(((A54-C54)/'normal case'!D55)-D53)&lt;0.0000001,D53,(A54-C54)/'normal case'!D55)</f>
        <v>0</v>
      </c>
      <c r="E54" s="136">
        <f ca="1">IF(ABS(D54-(G54*('normal case'!M55/100))/'normal case'!D55-E53)&lt;0.00001,E53,D54-(G54*('normal case'!M55/100))/'normal case'!D55)</f>
        <v>0</v>
      </c>
      <c r="F54" s="137">
        <f ca="1">F53*(1+'normal case'!L54/100)</f>
        <v>2.8003281854481812</v>
      </c>
      <c r="G54" s="135">
        <f ca="1">C54-A54+G53*(1+'normal case'!M54/100)</f>
        <v>0</v>
      </c>
      <c r="H54" s="136">
        <f ca="1">IF(ABS(G54/'normal case'!D55-H53)&lt;0.0000001,H53,G54/'normal case'!D55)</f>
        <v>0</v>
      </c>
    </row>
    <row r="55" spans="1:8">
      <c r="A55" s="135">
        <f ca="1">('main page'!$U$31/100)*'normal case'!D56</f>
        <v>20</v>
      </c>
      <c r="B55" s="136">
        <f t="shared" ca="1" si="0"/>
        <v>0</v>
      </c>
      <c r="C55" s="135">
        <f ca="1">'normal case'!AG56-'normal case'!AG55+IF(controls!$B$33=1,(1+(('main page'!$K$35/100)))*C54,'public finance'!C54)</f>
        <v>20</v>
      </c>
      <c r="D55" s="136">
        <f ca="1">IF(ABS(((A55-C55)/'normal case'!D56)-D54)&lt;0.0000001,D54,(A55-C55)/'normal case'!D56)</f>
        <v>0</v>
      </c>
      <c r="E55" s="136">
        <f ca="1">IF(ABS(D55-(G55*('normal case'!M56/100))/'normal case'!D56-E54)&lt;0.00001,E54,D55-(G55*('normal case'!M56/100))/'normal case'!D56)</f>
        <v>0</v>
      </c>
      <c r="F55" s="137">
        <f ca="1">F54*(1+'normal case'!L55/100)</f>
        <v>2.8563347491571447</v>
      </c>
      <c r="G55" s="135">
        <f ca="1">C55-A55+G54*(1+'normal case'!M55/100)</f>
        <v>0</v>
      </c>
      <c r="H55" s="136">
        <f ca="1">IF(ABS(G55/'normal case'!D56-H54)&lt;0.0000001,H54,G55/'normal case'!D56)</f>
        <v>0</v>
      </c>
    </row>
    <row r="56" spans="1:8">
      <c r="A56" s="135">
        <f ca="1">('main page'!$U$31/100)*'normal case'!D57</f>
        <v>20</v>
      </c>
      <c r="B56" s="136">
        <f t="shared" ca="1" si="0"/>
        <v>0</v>
      </c>
      <c r="C56" s="135">
        <f ca="1">'normal case'!AG57-'normal case'!AG56+IF(controls!$B$33=1,(1+(('main page'!$K$35/100)))*C55,'public finance'!C55)</f>
        <v>20</v>
      </c>
      <c r="D56" s="136">
        <f ca="1">IF(ABS(((A56-C56)/'normal case'!D57)-D55)&lt;0.0000001,D55,(A56-C56)/'normal case'!D57)</f>
        <v>0</v>
      </c>
      <c r="E56" s="136">
        <f ca="1">IF(ABS(D56-(G56*('normal case'!M57/100))/'normal case'!D57-E55)&lt;0.00001,E55,D56-(G56*('normal case'!M57/100))/'normal case'!D57)</f>
        <v>0</v>
      </c>
      <c r="F56" s="137">
        <f ca="1">F55*(1+'normal case'!L56/100)</f>
        <v>2.9134614441402875</v>
      </c>
      <c r="G56" s="135">
        <f ca="1">C56-A56+G55*(1+'normal case'!M56/100)</f>
        <v>0</v>
      </c>
      <c r="H56" s="136">
        <f ca="1">IF(ABS(G56/'normal case'!D57-H55)&lt;0.0000001,H55,G56/'normal case'!D57)</f>
        <v>0</v>
      </c>
    </row>
    <row r="57" spans="1:8">
      <c r="A57" s="135">
        <f ca="1">('main page'!$U$31/100)*'normal case'!D58</f>
        <v>20</v>
      </c>
      <c r="B57" s="136">
        <f t="shared" ca="1" si="0"/>
        <v>0</v>
      </c>
      <c r="C57" s="135">
        <f ca="1">'normal case'!AG58-'normal case'!AG57+IF(controls!$B$33=1,(1+(('main page'!$K$35/100)))*C56,'public finance'!C56)</f>
        <v>20</v>
      </c>
      <c r="D57" s="136">
        <f ca="1">IF(ABS(((A57-C57)/'normal case'!D58)-D56)&lt;0.0000001,D56,(A57-C57)/'normal case'!D58)</f>
        <v>0</v>
      </c>
      <c r="E57" s="136">
        <f ca="1">IF(ABS(D57-(G57*('normal case'!M58/100))/'normal case'!D58-E56)&lt;0.00001,E56,D57-(G57*('normal case'!M58/100))/'normal case'!D58)</f>
        <v>0</v>
      </c>
      <c r="F57" s="137">
        <f ca="1">F56*(1+'normal case'!L57/100)</f>
        <v>2.9717306730230932</v>
      </c>
      <c r="G57" s="135">
        <f ca="1">C57-A57+G56*(1+'normal case'!M57/100)</f>
        <v>0</v>
      </c>
      <c r="H57" s="136">
        <f ca="1">IF(ABS(G57/'normal case'!D58-H56)&lt;0.0000001,H56,G57/'normal case'!D58)</f>
        <v>0</v>
      </c>
    </row>
    <row r="58" spans="1:8">
      <c r="A58" s="135">
        <f ca="1">('main page'!$U$31/100)*'normal case'!D59</f>
        <v>20</v>
      </c>
      <c r="B58" s="136">
        <f t="shared" ca="1" si="0"/>
        <v>0</v>
      </c>
      <c r="C58" s="135">
        <f ca="1">'normal case'!AG59-'normal case'!AG58+IF(controls!$B$33=1,(1+(('main page'!$K$35/100)))*C57,'public finance'!C57)</f>
        <v>20</v>
      </c>
      <c r="D58" s="136">
        <f ca="1">IF(ABS(((A58-C58)/'normal case'!D59)-D57)&lt;0.0000001,D57,(A58-C58)/'normal case'!D59)</f>
        <v>0</v>
      </c>
      <c r="E58" s="136">
        <f ca="1">IF(ABS(D58-(G58*('normal case'!M59/100))/'normal case'!D59-E57)&lt;0.00001,E57,D58-(G58*('normal case'!M59/100))/'normal case'!D59)</f>
        <v>0</v>
      </c>
      <c r="F58" s="137">
        <f ca="1">F57*(1+'normal case'!L58/100)</f>
        <v>3.0311652864835552</v>
      </c>
      <c r="G58" s="135">
        <f ca="1">C58-A58+G57*(1+'normal case'!M58/100)</f>
        <v>0</v>
      </c>
      <c r="H58" s="136">
        <f ca="1">IF(ABS(G58/'normal case'!D59-H57)&lt;0.0000001,H57,G58/'normal case'!D59)</f>
        <v>0</v>
      </c>
    </row>
    <row r="59" spans="1:8">
      <c r="A59" s="135">
        <f ca="1">('main page'!$U$31/100)*'normal case'!D60</f>
        <v>20</v>
      </c>
      <c r="B59" s="136">
        <f t="shared" ca="1" si="0"/>
        <v>0</v>
      </c>
      <c r="C59" s="135">
        <f ca="1">'normal case'!AG60-'normal case'!AG59+IF(controls!$B$33=1,(1+(('main page'!$K$35/100)))*C58,'public finance'!C58)</f>
        <v>20</v>
      </c>
      <c r="D59" s="136">
        <f ca="1">IF(ABS(((A59-C59)/'normal case'!D60)-D58)&lt;0.0000001,D58,(A59-C59)/'normal case'!D60)</f>
        <v>0</v>
      </c>
      <c r="E59" s="136">
        <f ca="1">IF(ABS(D59-(G59*('normal case'!M60/100))/'normal case'!D60-E58)&lt;0.00001,E58,D59-(G59*('normal case'!M60/100))/'normal case'!D60)</f>
        <v>0</v>
      </c>
      <c r="F59" s="137">
        <f ca="1">F58*(1+'normal case'!L59/100)</f>
        <v>3.0917885922132262</v>
      </c>
      <c r="G59" s="135">
        <f ca="1">C59-A59+G58*(1+'normal case'!M59/100)</f>
        <v>0</v>
      </c>
      <c r="H59" s="136">
        <f ca="1">IF(ABS(G59/'normal case'!D60-H58)&lt;0.0000001,H58,G59/'normal case'!D60)</f>
        <v>0</v>
      </c>
    </row>
    <row r="60" spans="1:8">
      <c r="A60" s="135">
        <f ca="1">('main page'!$U$31/100)*'normal case'!D61</f>
        <v>20</v>
      </c>
      <c r="B60" s="136">
        <f t="shared" ca="1" si="0"/>
        <v>0</v>
      </c>
      <c r="C60" s="135">
        <f ca="1">'normal case'!AG61-'normal case'!AG60+IF(controls!$B$33=1,(1+(('main page'!$K$35/100)))*C59,'public finance'!C59)</f>
        <v>20</v>
      </c>
      <c r="D60" s="136">
        <f ca="1">IF(ABS(((A60-C60)/'normal case'!D61)-D59)&lt;0.0000001,D59,(A60-C60)/'normal case'!D61)</f>
        <v>0</v>
      </c>
      <c r="E60" s="136">
        <f ca="1">IF(ABS(D60-(G60*('normal case'!M61/100))/'normal case'!D61-E59)&lt;0.00001,E59,D60-(G60*('normal case'!M61/100))/'normal case'!D61)</f>
        <v>0</v>
      </c>
      <c r="F60" s="137">
        <f ca="1">F59*(1+'normal case'!L60/100)</f>
        <v>3.1536243640574906</v>
      </c>
      <c r="G60" s="135">
        <f ca="1">C60-A60+G59*(1+'normal case'!M60/100)</f>
        <v>0</v>
      </c>
      <c r="H60" s="136">
        <f ca="1">IF(ABS(G60/'normal case'!D61-H59)&lt;0.0000001,H59,G60/'normal case'!D61)</f>
        <v>0</v>
      </c>
    </row>
    <row r="61" spans="1:8">
      <c r="A61" s="135">
        <f ca="1">('main page'!$U$31/100)*'normal case'!D62</f>
        <v>20</v>
      </c>
      <c r="B61" s="136">
        <f t="shared" ca="1" si="0"/>
        <v>0</v>
      </c>
      <c r="C61" s="135">
        <f ca="1">'normal case'!AG62-'normal case'!AG61+IF(controls!$B$33=1,(1+(('main page'!$K$35/100)))*C60,'public finance'!C60)</f>
        <v>20</v>
      </c>
      <c r="D61" s="136">
        <f ca="1">IF(ABS(((A61-C61)/'normal case'!D62)-D60)&lt;0.0000001,D60,(A61-C61)/'normal case'!D62)</f>
        <v>0</v>
      </c>
      <c r="E61" s="136">
        <f ca="1">IF(ABS(D61-(G61*('normal case'!M62/100))/'normal case'!D62-E60)&lt;0.00001,E60,D61-(G61*('normal case'!M62/100))/'normal case'!D62)</f>
        <v>0</v>
      </c>
      <c r="F61" s="137">
        <f ca="1">F60*(1+'normal case'!L61/100)</f>
        <v>3.2166968513386403</v>
      </c>
      <c r="G61" s="135">
        <f ca="1">C61-A61+G60*(1+'normal case'!M61/100)</f>
        <v>0</v>
      </c>
      <c r="H61" s="136">
        <f ca="1">IF(ABS(G61/'normal case'!D62-H60)&lt;0.0000001,H60,G61/'normal case'!D62)</f>
        <v>0</v>
      </c>
    </row>
    <row r="62" spans="1:8">
      <c r="A62" s="135">
        <f ca="1">('main page'!$U$31/100)*'normal case'!D63</f>
        <v>20</v>
      </c>
      <c r="B62" s="136">
        <f t="shared" ca="1" si="0"/>
        <v>0</v>
      </c>
      <c r="C62" s="135">
        <f ca="1">'normal case'!AG63-'normal case'!AG62+IF(controls!$B$33=1,(1+(('main page'!$K$35/100)))*C61,'public finance'!C61)</f>
        <v>20</v>
      </c>
      <c r="D62" s="136">
        <f ca="1">IF(ABS(((A62-C62)/'normal case'!D63)-D61)&lt;0.0000001,D61,(A62-C62)/'normal case'!D63)</f>
        <v>0</v>
      </c>
      <c r="E62" s="136">
        <f ca="1">IF(ABS(D62-(G62*('normal case'!M63/100))/'normal case'!D63-E61)&lt;0.00001,E61,D62-(G62*('normal case'!M63/100))/'normal case'!D63)</f>
        <v>0</v>
      </c>
      <c r="F62" s="137">
        <f ca="1">F61*(1+'normal case'!L62/100)</f>
        <v>3.2810307883654133</v>
      </c>
      <c r="G62" s="135">
        <f ca="1">C62-A62+G61*(1+'normal case'!M62/100)</f>
        <v>0</v>
      </c>
      <c r="H62" s="136">
        <f ca="1">IF(ABS(G62/'normal case'!D63-H61)&lt;0.0000001,H61,G62/'normal case'!D63)</f>
        <v>0</v>
      </c>
    </row>
    <row r="63" spans="1:8">
      <c r="A63" s="135">
        <f ca="1">('main page'!$U$31/100)*'normal case'!D64</f>
        <v>20</v>
      </c>
      <c r="B63" s="136">
        <f t="shared" ca="1" si="0"/>
        <v>0</v>
      </c>
      <c r="C63" s="135">
        <f ca="1">'normal case'!AG64-'normal case'!AG63+IF(controls!$B$33=1,(1+(('main page'!$K$35/100)))*C62,'public finance'!C62)</f>
        <v>20</v>
      </c>
      <c r="D63" s="136">
        <f ca="1">IF(ABS(((A63-C63)/'normal case'!D64)-D62)&lt;0.0000001,D62,(A63-C63)/'normal case'!D64)</f>
        <v>0</v>
      </c>
      <c r="E63" s="136">
        <f ca="1">IF(ABS(D63-(G63*('normal case'!M64/100))/'normal case'!D64-E62)&lt;0.00001,E62,D63-(G63*('normal case'!M64/100))/'normal case'!D64)</f>
        <v>0</v>
      </c>
      <c r="F63" s="137">
        <f ca="1">F62*(1+'normal case'!L63/100)</f>
        <v>3.3466514041327216</v>
      </c>
      <c r="G63" s="135">
        <f ca="1">C63-A63+G62*(1+'normal case'!M63/100)</f>
        <v>0</v>
      </c>
      <c r="H63" s="136">
        <f ca="1">IF(ABS(G63/'normal case'!D64-H62)&lt;0.0000001,H62,G63/'normal case'!D64)</f>
        <v>0</v>
      </c>
    </row>
    <row r="64" spans="1:8">
      <c r="A64" s="135">
        <f ca="1">('main page'!$U$31/100)*'normal case'!D65</f>
        <v>20</v>
      </c>
      <c r="B64" s="136">
        <f t="shared" ca="1" si="0"/>
        <v>0</v>
      </c>
      <c r="C64" s="135">
        <f ca="1">'normal case'!AG65-'normal case'!AG64+IF(controls!$B$33=1,(1+(('main page'!$K$35/100)))*C63,'public finance'!C63)</f>
        <v>20</v>
      </c>
      <c r="D64" s="136">
        <f ca="1">IF(ABS(((A64-C64)/'normal case'!D65)-D63)&lt;0.0000001,D63,(A64-C64)/'normal case'!D65)</f>
        <v>0</v>
      </c>
      <c r="E64" s="136">
        <f ca="1">IF(ABS(D64-(G64*('normal case'!M65/100))/'normal case'!D65-E63)&lt;0.00001,E63,D64-(G64*('normal case'!M65/100))/'normal case'!D65)</f>
        <v>0</v>
      </c>
      <c r="F64" s="137">
        <f ca="1">F63*(1+'normal case'!L64/100)</f>
        <v>3.4135844322153761</v>
      </c>
      <c r="G64" s="135">
        <f ca="1">C64-A64+G63*(1+'normal case'!M64/100)</f>
        <v>0</v>
      </c>
      <c r="H64" s="136">
        <f ca="1">IF(ABS(G64/'normal case'!D65-H63)&lt;0.0000001,H63,G64/'normal case'!D65)</f>
        <v>0</v>
      </c>
    </row>
    <row r="65" spans="1:8">
      <c r="A65" s="135">
        <f ca="1">('main page'!$U$31/100)*'normal case'!D66</f>
        <v>20</v>
      </c>
      <c r="B65" s="136">
        <f t="shared" ca="1" si="0"/>
        <v>0</v>
      </c>
      <c r="C65" s="135">
        <f ca="1">'normal case'!AG66-'normal case'!AG65+IF(controls!$B$33=1,(1+(('main page'!$K$35/100)))*C64,'public finance'!C64)</f>
        <v>20</v>
      </c>
      <c r="D65" s="136">
        <f ca="1">IF(ABS(((A65-C65)/'normal case'!D66)-D64)&lt;0.0000001,D64,(A65-C65)/'normal case'!D66)</f>
        <v>0</v>
      </c>
      <c r="E65" s="136">
        <f ca="1">IF(ABS(D65-(G65*('normal case'!M66/100))/'normal case'!D66-E64)&lt;0.00001,E64,D65-(G65*('normal case'!M66/100))/'normal case'!D66)</f>
        <v>0</v>
      </c>
      <c r="F65" s="137">
        <f ca="1">F64*(1+'normal case'!L65/100)</f>
        <v>3.4818561208596837</v>
      </c>
      <c r="G65" s="135">
        <f ca="1">C65-A65+G64*(1+'normal case'!M65/100)</f>
        <v>0</v>
      </c>
      <c r="H65" s="136">
        <f ca="1">IF(ABS(G65/'normal case'!D66-H64)&lt;0.0000001,H64,G65/'normal case'!D66)</f>
        <v>0</v>
      </c>
    </row>
    <row r="66" spans="1:8">
      <c r="A66" s="135">
        <f ca="1">('main page'!$U$31/100)*'normal case'!D67</f>
        <v>20</v>
      </c>
      <c r="B66" s="136">
        <f t="shared" ca="1" si="0"/>
        <v>0</v>
      </c>
      <c r="C66" s="135">
        <f ca="1">'normal case'!AG67-'normal case'!AG66+IF(controls!$B$33=1,(1+(('main page'!$K$35/100)))*C65,'public finance'!C65)</f>
        <v>20</v>
      </c>
      <c r="D66" s="136">
        <f ca="1">IF(ABS(((A66-C66)/'normal case'!D67)-D65)&lt;0.0000001,D65,(A66-C66)/'normal case'!D67)</f>
        <v>0</v>
      </c>
      <c r="E66" s="136">
        <f ca="1">IF(ABS(D66-(G66*('normal case'!M67/100))/'normal case'!D67-E65)&lt;0.00001,E65,D66-(G66*('normal case'!M67/100))/'normal case'!D67)</f>
        <v>0</v>
      </c>
      <c r="F66" s="137">
        <f ca="1">F65*(1+'normal case'!L66/100)</f>
        <v>3.5514932432768775</v>
      </c>
      <c r="G66" s="135">
        <f ca="1">C66-A66+G65*(1+'normal case'!M66/100)</f>
        <v>0</v>
      </c>
      <c r="H66" s="136">
        <f ca="1">IF(ABS(G66/'normal case'!D67-H65)&lt;0.0000001,H65,G66/'normal case'!D67)</f>
        <v>0</v>
      </c>
    </row>
    <row r="67" spans="1:8">
      <c r="A67" s="135">
        <f ca="1">('main page'!$U$31/100)*'normal case'!D68</f>
        <v>20</v>
      </c>
      <c r="B67" s="136">
        <f t="shared" ca="1" si="0"/>
        <v>0</v>
      </c>
      <c r="C67" s="135">
        <f ca="1">'normal case'!AG68-'normal case'!AG67+IF(controls!$B$33=1,(1+(('main page'!$K$35/100)))*C66,'public finance'!C66)</f>
        <v>20</v>
      </c>
      <c r="D67" s="136">
        <f ca="1">IF(ABS(((A67-C67)/'normal case'!D68)-D66)&lt;0.0000001,D66,(A67-C67)/'normal case'!D68)</f>
        <v>0</v>
      </c>
      <c r="E67" s="136">
        <f ca="1">IF(ABS(D67-(G67*('normal case'!M68/100))/'normal case'!D68-E66)&lt;0.00001,E66,D67-(G67*('normal case'!M68/100))/'normal case'!D68)</f>
        <v>0</v>
      </c>
      <c r="F67" s="137">
        <f ca="1">F66*(1+'normal case'!L67/100)</f>
        <v>3.6225231081424152</v>
      </c>
      <c r="G67" s="135">
        <f ca="1">C67-A67+G66*(1+'normal case'!M67/100)</f>
        <v>0</v>
      </c>
      <c r="H67" s="136">
        <f ca="1">IF(ABS(G67/'normal case'!D68-H66)&lt;0.0000001,H66,G67/'normal case'!D68)</f>
        <v>0</v>
      </c>
    </row>
    <row r="68" spans="1:8">
      <c r="A68" s="135">
        <f ca="1">('main page'!$U$31/100)*'normal case'!D69</f>
        <v>20</v>
      </c>
      <c r="B68" s="136">
        <f t="shared" ca="1" si="0"/>
        <v>0</v>
      </c>
      <c r="C68" s="135">
        <f ca="1">'normal case'!AG69-'normal case'!AG68+IF(controls!$B$33=1,(1+(('main page'!$K$35/100)))*C67,'public finance'!C67)</f>
        <v>20</v>
      </c>
      <c r="D68" s="136">
        <f ca="1">IF(ABS(((A68-C68)/'normal case'!D69)-D67)&lt;0.0000001,D67,(A68-C68)/'normal case'!D69)</f>
        <v>0</v>
      </c>
      <c r="E68" s="136">
        <f ca="1">IF(ABS(D68-(G68*('normal case'!M69/100))/'normal case'!D69-E67)&lt;0.00001,E67,D68-(G68*('normal case'!M69/100))/'normal case'!D69)</f>
        <v>0</v>
      </c>
      <c r="F68" s="137">
        <f ca="1">F67*(1+'normal case'!L68/100)</f>
        <v>3.6949735703052635</v>
      </c>
      <c r="G68" s="135">
        <f ca="1">C68-A68+G67*(1+'normal case'!M68/100)</f>
        <v>0</v>
      </c>
      <c r="H68" s="136">
        <f ca="1">IF(ABS(G68/'normal case'!D69-H67)&lt;0.0000001,H67,G68/'normal case'!D69)</f>
        <v>0</v>
      </c>
    </row>
    <row r="69" spans="1:8">
      <c r="A69" s="135">
        <f ca="1">('main page'!$U$31/100)*'normal case'!D70</f>
        <v>20</v>
      </c>
      <c r="B69" s="136">
        <f t="shared" ca="1" si="0"/>
        <v>0</v>
      </c>
      <c r="C69" s="135">
        <f ca="1">'normal case'!AG70-'normal case'!AG69+IF(controls!$B$33=1,(1+(('main page'!$K$35/100)))*C68,'public finance'!C68)</f>
        <v>20</v>
      </c>
      <c r="D69" s="136">
        <f ca="1">IF(ABS(((A69-C69)/'normal case'!D70)-D68)&lt;0.0000001,D68,(A69-C69)/'normal case'!D70)</f>
        <v>0</v>
      </c>
      <c r="E69" s="136">
        <f ca="1">IF(ABS(D69-(G69*('normal case'!M70/100))/'normal case'!D70-E68)&lt;0.00001,E68,D69-(G69*('normal case'!M70/100))/'normal case'!D70)</f>
        <v>0</v>
      </c>
      <c r="F69" s="137">
        <f ca="1">F68*(1+'normal case'!L69/100)</f>
        <v>3.7688730417113687</v>
      </c>
      <c r="G69" s="135">
        <f ca="1">C69-A69+G68*(1+'normal case'!M69/100)</f>
        <v>0</v>
      </c>
      <c r="H69" s="136">
        <f ca="1">IF(ABS(G69/'normal case'!D70-H68)&lt;0.0000001,H68,G69/'normal case'!D70)</f>
        <v>0</v>
      </c>
    </row>
    <row r="70" spans="1:8">
      <c r="A70" s="135">
        <f ca="1">('main page'!$U$31/100)*'normal case'!D71</f>
        <v>20</v>
      </c>
      <c r="B70" s="136">
        <f t="shared" ca="1" si="0"/>
        <v>0</v>
      </c>
      <c r="C70" s="135">
        <f ca="1">'normal case'!AG71-'normal case'!AG70+IF(controls!$B$33=1,(1+(('main page'!$K$35/100)))*C69,'public finance'!C69)</f>
        <v>20</v>
      </c>
      <c r="D70" s="136">
        <f ca="1">IF(ABS(((A70-C70)/'normal case'!D71)-D69)&lt;0.0000001,D69,(A70-C70)/'normal case'!D71)</f>
        <v>0</v>
      </c>
      <c r="E70" s="136">
        <f ca="1">IF(ABS(D70-(G70*('normal case'!M71/100))/'normal case'!D71-E69)&lt;0.00001,E69,D70-(G70*('normal case'!M71/100))/'normal case'!D71)</f>
        <v>0</v>
      </c>
      <c r="F70" s="137">
        <f ca="1">F69*(1+'normal case'!L70/100)</f>
        <v>3.844250502545596</v>
      </c>
      <c r="G70" s="135">
        <f ca="1">C70-A70+G69*(1+'normal case'!M70/100)</f>
        <v>0</v>
      </c>
      <c r="H70" s="136">
        <f ca="1">IF(ABS(G70/'normal case'!D71-H69)&lt;0.0000001,H69,G70/'normal case'!D71)</f>
        <v>0</v>
      </c>
    </row>
    <row r="71" spans="1:8">
      <c r="A71" s="135">
        <f ca="1">('main page'!$U$31/100)*'normal case'!D72</f>
        <v>20</v>
      </c>
      <c r="B71" s="136">
        <f t="shared" ca="1" si="0"/>
        <v>0</v>
      </c>
      <c r="C71" s="135">
        <f ca="1">'normal case'!AG72-'normal case'!AG71+IF(controls!$B$33=1,(1+(('main page'!$K$35/100)))*C70,'public finance'!C70)</f>
        <v>20</v>
      </c>
      <c r="D71" s="136">
        <f ca="1">IF(ABS(((A71-C71)/'normal case'!D72)-D70)&lt;0.0000001,D70,(A71-C71)/'normal case'!D72)</f>
        <v>0</v>
      </c>
      <c r="E71" s="136">
        <f ca="1">IF(ABS(D71-(G71*('normal case'!M72/100))/'normal case'!D72-E70)&lt;0.00001,E70,D71-(G71*('normal case'!M72/100))/'normal case'!D72)</f>
        <v>0</v>
      </c>
      <c r="F71" s="137">
        <f ca="1">F70*(1+'normal case'!L71/100)</f>
        <v>3.9211355125965079</v>
      </c>
      <c r="G71" s="135">
        <f ca="1">C71-A71+G70*(1+'normal case'!M71/100)</f>
        <v>0</v>
      </c>
      <c r="H71" s="136">
        <f ca="1">IF(ABS(G71/'normal case'!D72-H70)&lt;0.0000001,H70,G71/'normal case'!D72)</f>
        <v>0</v>
      </c>
    </row>
    <row r="72" spans="1:8">
      <c r="A72" s="135">
        <f ca="1">('main page'!$U$31/100)*'normal case'!D73</f>
        <v>20</v>
      </c>
      <c r="B72" s="136">
        <f t="shared" ca="1" si="0"/>
        <v>0</v>
      </c>
      <c r="C72" s="135">
        <f ca="1">'normal case'!AG73-'normal case'!AG72+IF(controls!$B$33=1,(1+(('main page'!$K$35/100)))*C71,'public finance'!C71)</f>
        <v>20</v>
      </c>
      <c r="D72" s="136">
        <f ca="1">IF(ABS(((A72-C72)/'normal case'!D73)-D71)&lt;0.0000001,D71,(A72-C72)/'normal case'!D73)</f>
        <v>0</v>
      </c>
      <c r="E72" s="136">
        <f ca="1">IF(ABS(D72-(G72*('normal case'!M73/100))/'normal case'!D73-E71)&lt;0.00001,E71,D72-(G72*('normal case'!M73/100))/'normal case'!D73)</f>
        <v>0</v>
      </c>
      <c r="F72" s="137">
        <f ca="1">F71*(1+'normal case'!L72/100)</f>
        <v>3.9995582228484383</v>
      </c>
      <c r="G72" s="135">
        <f ca="1">C72-A72+G71*(1+'normal case'!M72/100)</f>
        <v>0</v>
      </c>
      <c r="H72" s="136">
        <f ca="1">IF(ABS(G72/'normal case'!D73-H71)&lt;0.0000001,H71,G72/'normal case'!D73)</f>
        <v>0</v>
      </c>
    </row>
    <row r="73" spans="1:8">
      <c r="A73" s="135">
        <f ca="1">('main page'!$U$31/100)*'normal case'!D74</f>
        <v>20</v>
      </c>
      <c r="B73" s="136">
        <f t="shared" ca="1" si="0"/>
        <v>0</v>
      </c>
      <c r="C73" s="135">
        <f ca="1">'normal case'!AG74-'normal case'!AG73+IF(controls!$B$33=1,(1+(('main page'!$K$35/100)))*C72,'public finance'!C72)</f>
        <v>20</v>
      </c>
      <c r="D73" s="136">
        <f ca="1">IF(ABS(((A73-C73)/'normal case'!D74)-D72)&lt;0.0000001,D72,(A73-C73)/'normal case'!D74)</f>
        <v>0</v>
      </c>
      <c r="E73" s="136">
        <f ca="1">IF(ABS(D73-(G73*('normal case'!M74/100))/'normal case'!D74-E72)&lt;0.00001,E72,D73-(G73*('normal case'!M74/100))/'normal case'!D74)</f>
        <v>0</v>
      </c>
      <c r="F73" s="137">
        <f ca="1">F72*(1+'normal case'!L73/100)</f>
        <v>4.0795493873054074</v>
      </c>
      <c r="G73" s="135">
        <f ca="1">C73-A73+G72*(1+'normal case'!M73/100)</f>
        <v>0</v>
      </c>
      <c r="H73" s="136">
        <f ca="1">IF(ABS(G73/'normal case'!D74-H72)&lt;0.0000001,H72,G73/'normal case'!D74)</f>
        <v>0</v>
      </c>
    </row>
    <row r="74" spans="1:8">
      <c r="A74" s="135">
        <f ca="1">('main page'!$U$31/100)*'normal case'!D75</f>
        <v>20</v>
      </c>
      <c r="B74" s="136">
        <f t="shared" ca="1" si="0"/>
        <v>0</v>
      </c>
      <c r="C74" s="135">
        <f ca="1">'normal case'!AG75-'normal case'!AG74+IF(controls!$B$33=1,(1+(('main page'!$K$35/100)))*C73,'public finance'!C73)</f>
        <v>20</v>
      </c>
      <c r="D74" s="136">
        <f ca="1">IF(ABS(((A74-C74)/'normal case'!D75)-D73)&lt;0.0000001,D73,(A74-C74)/'normal case'!D75)</f>
        <v>0</v>
      </c>
      <c r="E74" s="136">
        <f ca="1">IF(ABS(D74-(G74*('normal case'!M75/100))/'normal case'!D75-E73)&lt;0.00001,E73,D74-(G74*('normal case'!M75/100))/'normal case'!D75)</f>
        <v>0</v>
      </c>
      <c r="F74" s="137">
        <f ca="1">F73*(1+'normal case'!L74/100)</f>
        <v>4.1611403750515157</v>
      </c>
      <c r="G74" s="135">
        <f ca="1">C74-A74+G73*(1+'normal case'!M74/100)</f>
        <v>0</v>
      </c>
      <c r="H74" s="136">
        <f ca="1">IF(ABS(G74/'normal case'!D75-H73)&lt;0.0000001,H73,G74/'normal case'!D75)</f>
        <v>0</v>
      </c>
    </row>
    <row r="75" spans="1:8">
      <c r="A75" s="135">
        <f ca="1">('main page'!$U$31/100)*'normal case'!D76</f>
        <v>20</v>
      </c>
      <c r="B75" s="136">
        <f t="shared" ca="1" si="0"/>
        <v>0</v>
      </c>
      <c r="C75" s="135">
        <f ca="1">'normal case'!AG76-'normal case'!AG75+IF(controls!$B$33=1,(1+(('main page'!$K$35/100)))*C74,'public finance'!C74)</f>
        <v>20</v>
      </c>
      <c r="D75" s="136">
        <f ca="1">IF(ABS(((A75-C75)/'normal case'!D76)-D74)&lt;0.0000001,D74,(A75-C75)/'normal case'!D76)</f>
        <v>0</v>
      </c>
      <c r="E75" s="136">
        <f ca="1">IF(ABS(D75-(G75*('normal case'!M76/100))/'normal case'!D76-E74)&lt;0.00001,E74,D75-(G75*('normal case'!M76/100))/'normal case'!D76)</f>
        <v>0</v>
      </c>
      <c r="F75" s="137">
        <f ca="1">F74*(1+'normal case'!L75/100)</f>
        <v>4.2443631825525463</v>
      </c>
      <c r="G75" s="135">
        <f ca="1">C75-A75+G74*(1+'normal case'!M75/100)</f>
        <v>0</v>
      </c>
      <c r="H75" s="136">
        <f ca="1">IF(ABS(G75/'normal case'!D76-H74)&lt;0.0000001,H74,G75/'normal case'!D76)</f>
        <v>0</v>
      </c>
    </row>
    <row r="76" spans="1:8">
      <c r="A76" s="135">
        <f ca="1">('main page'!$U$31/100)*'normal case'!D77</f>
        <v>20</v>
      </c>
      <c r="B76" s="136">
        <f t="shared" ca="1" si="0"/>
        <v>0</v>
      </c>
      <c r="C76" s="135">
        <f ca="1">'normal case'!AG77-'normal case'!AG76+IF(controls!$B$33=1,(1+(('main page'!$K$35/100)))*C75,'public finance'!C75)</f>
        <v>20</v>
      </c>
      <c r="D76" s="136">
        <f ca="1">IF(ABS(((A76-C76)/'normal case'!D77)-D75)&lt;0.0000001,D75,(A76-C76)/'normal case'!D77)</f>
        <v>0</v>
      </c>
      <c r="E76" s="136">
        <f ca="1">IF(ABS(D76-(G76*('normal case'!M77/100))/'normal case'!D77-E75)&lt;0.00001,E75,D76-(G76*('normal case'!M77/100))/'normal case'!D77)</f>
        <v>0</v>
      </c>
      <c r="F76" s="137">
        <f ca="1">F75*(1+'normal case'!L76/100)</f>
        <v>4.3292504462035977</v>
      </c>
      <c r="G76" s="135">
        <f ca="1">C76-A76+G75*(1+'normal case'!M76/100)</f>
        <v>0</v>
      </c>
      <c r="H76" s="136">
        <f ca="1">IF(ABS(G76/'normal case'!D77-H75)&lt;0.0000001,H75,G76/'normal case'!D77)</f>
        <v>0</v>
      </c>
    </row>
    <row r="77" spans="1:8">
      <c r="A77" s="135">
        <f ca="1">('main page'!$U$31/100)*'normal case'!D78</f>
        <v>20</v>
      </c>
      <c r="B77" s="136">
        <f t="shared" ca="1" si="0"/>
        <v>0</v>
      </c>
      <c r="C77" s="135">
        <f ca="1">'normal case'!AG78-'normal case'!AG77+IF(controls!$B$33=1,(1+(('main page'!$K$35/100)))*C76,'public finance'!C76)</f>
        <v>20</v>
      </c>
      <c r="D77" s="136">
        <f ca="1">IF(ABS(((A77-C77)/'normal case'!D78)-D76)&lt;0.0000001,D76,(A77-C77)/'normal case'!D78)</f>
        <v>0</v>
      </c>
      <c r="E77" s="136">
        <f ca="1">IF(ABS(D77-(G77*('normal case'!M78/100))/'normal case'!D78-E76)&lt;0.00001,E76,D77-(G77*('normal case'!M78/100))/'normal case'!D78)</f>
        <v>0</v>
      </c>
      <c r="F77" s="137">
        <f ca="1">F76*(1+'normal case'!L77/100)</f>
        <v>4.4158354551276693</v>
      </c>
      <c r="G77" s="135">
        <f ca="1">C77-A77+G76*(1+'normal case'!M77/100)</f>
        <v>0</v>
      </c>
      <c r="H77" s="136">
        <f ca="1">IF(ABS(G77/'normal case'!D78-H76)&lt;0.0000001,H76,G77/'normal case'!D78)</f>
        <v>0</v>
      </c>
    </row>
    <row r="78" spans="1:8">
      <c r="A78" s="135">
        <f ca="1">('main page'!$U$31/100)*'normal case'!D79</f>
        <v>20</v>
      </c>
      <c r="B78" s="136">
        <f t="shared" ca="1" si="0"/>
        <v>0</v>
      </c>
      <c r="C78" s="135">
        <f ca="1">'normal case'!AG79-'normal case'!AG78+IF(controls!$B$33=1,(1+(('main page'!$K$35/100)))*C77,'public finance'!C77)</f>
        <v>20</v>
      </c>
      <c r="D78" s="136">
        <f ca="1">IF(ABS(((A78-C78)/'normal case'!D79)-D77)&lt;0.0000001,D77,(A78-C78)/'normal case'!D79)</f>
        <v>0</v>
      </c>
      <c r="E78" s="136">
        <f ca="1">IF(ABS(D78-(G78*('normal case'!M79/100))/'normal case'!D79-E77)&lt;0.00001,E77,D78-(G78*('normal case'!M79/100))/'normal case'!D79)</f>
        <v>0</v>
      </c>
      <c r="F78" s="137">
        <f ca="1">F77*(1+'normal case'!L78/100)</f>
        <v>4.5041521642302227</v>
      </c>
      <c r="G78" s="135">
        <f ca="1">C78-A78+G77*(1+'normal case'!M78/100)</f>
        <v>0</v>
      </c>
      <c r="H78" s="136">
        <f ca="1">IF(ABS(G78/'normal case'!D79-H77)&lt;0.0000001,H77,G78/'normal case'!D79)</f>
        <v>0</v>
      </c>
    </row>
    <row r="79" spans="1:8">
      <c r="A79" s="135">
        <f ca="1">('main page'!$U$31/100)*'normal case'!D80</f>
        <v>20</v>
      </c>
      <c r="B79" s="136">
        <f t="shared" ca="1" si="0"/>
        <v>0</v>
      </c>
      <c r="C79" s="135">
        <f ca="1">'normal case'!AG80-'normal case'!AG79+IF(controls!$B$33=1,(1+(('main page'!$K$35/100)))*C78,'public finance'!C78)</f>
        <v>20</v>
      </c>
      <c r="D79" s="136">
        <f ca="1">IF(ABS(((A79-C79)/'normal case'!D80)-D78)&lt;0.0000001,D78,(A79-C79)/'normal case'!D80)</f>
        <v>0</v>
      </c>
      <c r="E79" s="136">
        <f ca="1">IF(ABS(D79-(G79*('normal case'!M80/100))/'normal case'!D80-E78)&lt;0.00001,E78,D79-(G79*('normal case'!M80/100))/'normal case'!D80)</f>
        <v>0</v>
      </c>
      <c r="F79" s="137">
        <f ca="1">F78*(1+'normal case'!L79/100)</f>
        <v>4.5942352075148269</v>
      </c>
      <c r="G79" s="135">
        <f ca="1">C79-A79+G78*(1+'normal case'!M79/100)</f>
        <v>0</v>
      </c>
      <c r="H79" s="136">
        <f ca="1">IF(ABS(G79/'normal case'!D80-H78)&lt;0.0000001,H78,G79/'normal case'!D80)</f>
        <v>0</v>
      </c>
    </row>
    <row r="80" spans="1:8">
      <c r="A80" s="135">
        <f ca="1">('main page'!$U$31/100)*'normal case'!D81</f>
        <v>20</v>
      </c>
      <c r="B80" s="136">
        <f t="shared" ca="1" si="0"/>
        <v>0</v>
      </c>
      <c r="C80" s="135">
        <f ca="1">'normal case'!AG81-'normal case'!AG80+IF(controls!$B$33=1,(1+(('main page'!$K$35/100)))*C79,'public finance'!C79)</f>
        <v>20</v>
      </c>
      <c r="D80" s="136">
        <f ca="1">IF(ABS(((A80-C80)/'normal case'!D81)-D79)&lt;0.0000001,D79,(A80-C80)/'normal case'!D81)</f>
        <v>0</v>
      </c>
      <c r="E80" s="136">
        <f ca="1">IF(ABS(D80-(G80*('normal case'!M81/100))/'normal case'!D81-E79)&lt;0.00001,E79,D80-(G80*('normal case'!M81/100))/'normal case'!D81)</f>
        <v>0</v>
      </c>
      <c r="F80" s="137">
        <f ca="1">F79*(1+'normal case'!L80/100)</f>
        <v>4.6861199116651235</v>
      </c>
      <c r="G80" s="135">
        <f ca="1">C80-A80+G79*(1+'normal case'!M80/100)</f>
        <v>0</v>
      </c>
      <c r="H80" s="136">
        <f ca="1">IF(ABS(G80/'normal case'!D81-H79)&lt;0.0000001,H79,G80/'normal case'!D81)</f>
        <v>0</v>
      </c>
    </row>
    <row r="81" spans="1:12">
      <c r="A81" s="135">
        <f ca="1">('main page'!$U$31/100)*'normal case'!D82</f>
        <v>20</v>
      </c>
      <c r="B81" s="136">
        <f t="shared" ca="1" si="0"/>
        <v>0</v>
      </c>
      <c r="C81" s="135">
        <f ca="1">'normal case'!AG82-'normal case'!AG81+IF(controls!$B$33=1,(1+(('main page'!$K$35/100)))*C80,'public finance'!C80)</f>
        <v>20</v>
      </c>
      <c r="D81" s="136">
        <f ca="1">IF(ABS(((A81-C81)/'normal case'!D82)-D80)&lt;0.0000001,D80,(A81-C81)/'normal case'!D82)</f>
        <v>0</v>
      </c>
      <c r="E81" s="136">
        <f ca="1">IF(ABS(D81-(G81*('normal case'!M82/100))/'normal case'!D82-E80)&lt;0.00001,E80,D81-(G81*('normal case'!M82/100))/'normal case'!D82)</f>
        <v>0</v>
      </c>
      <c r="F81" s="137">
        <f ca="1">F80*(1+'normal case'!L81/100)</f>
        <v>4.7798423098984264</v>
      </c>
      <c r="G81" s="135">
        <f ca="1">C81-A81+G80*(1+'normal case'!M81/100)</f>
        <v>0</v>
      </c>
      <c r="H81" s="136">
        <f ca="1">IF(ABS(G81/'normal case'!D82-H80)&lt;0.0000001,H80,G81/'normal case'!D82)</f>
        <v>0</v>
      </c>
    </row>
    <row r="82" spans="1:12">
      <c r="A82" s="135">
        <f ca="1">('main page'!$U$31/100)*'normal case'!D83</f>
        <v>20</v>
      </c>
      <c r="B82" s="136">
        <f t="shared" ca="1" si="0"/>
        <v>0</v>
      </c>
      <c r="C82" s="135">
        <f ca="1">'normal case'!AG83-'normal case'!AG82+IF(controls!$B$33=1,(1+(('main page'!$K$35/100)))*C81,'public finance'!C81)</f>
        <v>20</v>
      </c>
      <c r="D82" s="136">
        <f ca="1">IF(ABS(((A82-C82)/'normal case'!D83)-D81)&lt;0.0000001,D81,(A82-C82)/'normal case'!D83)</f>
        <v>0</v>
      </c>
      <c r="E82" s="136">
        <f ca="1">IF(ABS(D82-(G82*('normal case'!M83/100))/'normal case'!D83-E81)&lt;0.00001,E81,D82-(G82*('normal case'!M83/100))/'normal case'!D83)</f>
        <v>0</v>
      </c>
      <c r="F82" s="137">
        <f ca="1">F81*(1+'normal case'!L82/100)</f>
        <v>4.8754391560963954</v>
      </c>
      <c r="G82" s="135">
        <f ca="1">C82-A82+G81*(1+'normal case'!M82/100)</f>
        <v>0</v>
      </c>
      <c r="H82" s="136">
        <f ca="1">IF(ABS(G82/'normal case'!D83-H81)&lt;0.0000001,H81,G82/'normal case'!D83)</f>
        <v>0</v>
      </c>
    </row>
    <row r="83" spans="1:12">
      <c r="A83" s="135">
        <f ca="1">('main page'!$U$31/100)*'normal case'!D84</f>
        <v>20</v>
      </c>
      <c r="B83" s="136">
        <f t="shared" ca="1" si="0"/>
        <v>0</v>
      </c>
      <c r="C83" s="135">
        <f ca="1">'normal case'!AG84-'normal case'!AG83+IF(controls!$B$33=1,(1+(('main page'!$K$35/100)))*C82,'public finance'!C82)</f>
        <v>20</v>
      </c>
      <c r="D83" s="136">
        <f ca="1">IF(ABS(((A83-C83)/'normal case'!D84)-D82)&lt;0.0000001,D82,(A83-C83)/'normal case'!D84)</f>
        <v>0</v>
      </c>
      <c r="E83" s="136">
        <f ca="1">IF(ABS(D83-(G83*('normal case'!M84/100))/'normal case'!D84-E82)&lt;0.00001,E82,D83-(G83*('normal case'!M84/100))/'normal case'!D84)</f>
        <v>0</v>
      </c>
      <c r="F83" s="137">
        <f ca="1">F82*(1+'normal case'!L83/100)</f>
        <v>4.9729479392183231</v>
      </c>
      <c r="G83" s="135">
        <f ca="1">C83-A83+G82*(1+'normal case'!M83/100)</f>
        <v>0</v>
      </c>
      <c r="H83" s="136">
        <f ca="1">IF(ABS(G83/'normal case'!D84-H82)&lt;0.0000001,H82,G83/'normal case'!D84)</f>
        <v>0</v>
      </c>
    </row>
    <row r="84" spans="1:12">
      <c r="A84" s="135">
        <f ca="1">('main page'!$U$31/100)*'normal case'!D85</f>
        <v>20</v>
      </c>
      <c r="B84" s="136">
        <f t="shared" ca="1" si="0"/>
        <v>0</v>
      </c>
      <c r="C84" s="135">
        <f ca="1">'normal case'!AG85-'normal case'!AG84+IF(controls!$B$33=1,(1+(('main page'!$K$35/100)))*C83,'public finance'!C83)</f>
        <v>20</v>
      </c>
      <c r="D84" s="136">
        <f ca="1">IF(ABS(((A84-C84)/'normal case'!D85)-D83)&lt;0.0000001,D83,(A84-C84)/'normal case'!D85)</f>
        <v>0</v>
      </c>
      <c r="E84" s="136">
        <f ca="1">IF(ABS(D84-(G84*('normal case'!M85/100))/'normal case'!D85-E83)&lt;0.00001,E83,D84-(G84*('normal case'!M85/100))/'normal case'!D85)</f>
        <v>0</v>
      </c>
      <c r="F84" s="137">
        <f ca="1">F83*(1+'normal case'!L84/100)</f>
        <v>5.07240689800269</v>
      </c>
      <c r="G84" s="135">
        <f ca="1">C84-A84+G83*(1+'normal case'!M84/100)</f>
        <v>0</v>
      </c>
      <c r="H84" s="136">
        <f ca="1">IF(ABS(G84/'normal case'!D85-H83)&lt;0.0000001,H83,G84/'normal case'!D85)</f>
        <v>0</v>
      </c>
    </row>
    <row r="85" spans="1:12">
      <c r="A85" s="135">
        <f ca="1">('main page'!$U$31/100)*'normal case'!D86</f>
        <v>20</v>
      </c>
      <c r="B85" s="136">
        <f t="shared" ca="1" si="0"/>
        <v>0</v>
      </c>
      <c r="C85" s="135">
        <f ca="1">'normal case'!AG86-'normal case'!AG85+IF(controls!$B$33=1,(1+(('main page'!$K$35/100)))*C84,'public finance'!C84)</f>
        <v>20</v>
      </c>
      <c r="D85" s="136">
        <f ca="1">IF(ABS(((A85-C85)/'normal case'!D86)-D84)&lt;0.0000001,D84,(A85-C85)/'normal case'!D86)</f>
        <v>0</v>
      </c>
      <c r="E85" s="136">
        <f ca="1">IF(ABS(D85-(G85*('normal case'!M86/100))/'normal case'!D86-E84)&lt;0.00001,E84,D85-(G85*('normal case'!M86/100))/'normal case'!D86)</f>
        <v>0</v>
      </c>
      <c r="F85" s="137">
        <f ca="1">F84*(1+'normal case'!L85/100)</f>
        <v>5.1738550359627435</v>
      </c>
      <c r="G85" s="135">
        <f ca="1">C85-A85+G84*(1+'normal case'!M85/100)</f>
        <v>0</v>
      </c>
      <c r="H85" s="136">
        <f ca="1">IF(ABS(G85/'normal case'!D86-H84)&lt;0.0000001,H84,G85/'normal case'!D86)</f>
        <v>0</v>
      </c>
      <c r="L85" s="179">
        <f>0.09981-0.1</f>
        <v>-1.9000000000000961E-4</v>
      </c>
    </row>
    <row r="86" spans="1:12">
      <c r="A86" s="135">
        <f ca="1">('main page'!$U$31/100)*'normal case'!D87</f>
        <v>20</v>
      </c>
      <c r="B86" s="136">
        <f t="shared" ca="1" si="0"/>
        <v>0</v>
      </c>
      <c r="C86" s="135">
        <f ca="1">'normal case'!AG87-'normal case'!AG86+IF(controls!$B$33=1,(1+(('main page'!$K$35/100)))*C85,'public finance'!C85)</f>
        <v>20</v>
      </c>
      <c r="D86" s="136">
        <f ca="1">IF(ABS(((A86-C86)/'normal case'!D87)-D85)&lt;0.0000001,D85,(A86-C86)/'normal case'!D87)</f>
        <v>0</v>
      </c>
      <c r="E86" s="136">
        <f ca="1">IF(ABS(D86-(G86*('normal case'!M87/100))/'normal case'!D87-E85)&lt;0.00001,E85,D86-(G86*('normal case'!M87/100))/'normal case'!D87)</f>
        <v>0</v>
      </c>
      <c r="F86" s="137">
        <f ca="1">F85*(1+'normal case'!L86/100)</f>
        <v>5.2773321366819985</v>
      </c>
      <c r="G86" s="135">
        <f ca="1">C86-A86+G85*(1+'normal case'!M86/100)</f>
        <v>0</v>
      </c>
      <c r="H86" s="136">
        <f ca="1">IF(ABS(G86/'normal case'!D87-H85)&lt;0.0000001,H85,G86/'normal case'!D87)</f>
        <v>0</v>
      </c>
      <c r="L86" s="179">
        <f>0.1001-0.0999</f>
        <v>1.9999999999999185E-4</v>
      </c>
    </row>
    <row r="87" spans="1:12">
      <c r="A87" s="135">
        <f ca="1">('main page'!$U$31/100)*'normal case'!D88</f>
        <v>20</v>
      </c>
      <c r="B87" s="136">
        <f t="shared" ca="1" si="0"/>
        <v>0</v>
      </c>
      <c r="C87" s="135">
        <f ca="1">'normal case'!AG88-'normal case'!AG87+IF(controls!$B$33=1,(1+(('main page'!$K$35/100)))*C86,'public finance'!C86)</f>
        <v>20</v>
      </c>
      <c r="D87" s="136">
        <f ca="1">IF(ABS(((A87-C87)/'normal case'!D88)-D86)&lt;0.0000001,D86,(A87-C87)/'normal case'!D88)</f>
        <v>0</v>
      </c>
      <c r="E87" s="136">
        <f ca="1">IF(ABS(D87-(G87*('normal case'!M88/100))/'normal case'!D88-E86)&lt;0.00001,E86,D87-(G87*('normal case'!M88/100))/'normal case'!D88)</f>
        <v>0</v>
      </c>
      <c r="F87" s="137">
        <f ca="1">F86*(1+'normal case'!L87/100)</f>
        <v>5.3828787794156385</v>
      </c>
      <c r="G87" s="135">
        <f ca="1">C87-A87+G86*(1+'normal case'!M87/100)</f>
        <v>0</v>
      </c>
      <c r="H87" s="136">
        <f ca="1">IF(ABS(G87/'normal case'!D88-H86)&lt;0.0000001,H86,G87/'normal case'!D88)</f>
        <v>0</v>
      </c>
    </row>
    <row r="88" spans="1:12">
      <c r="A88" s="135">
        <f ca="1">('main page'!$U$31/100)*'normal case'!D89</f>
        <v>20</v>
      </c>
      <c r="B88" s="136">
        <f t="shared" ca="1" si="0"/>
        <v>0</v>
      </c>
      <c r="C88" s="135">
        <f ca="1">'normal case'!AG89-'normal case'!AG88+IF(controls!$B$33=1,(1+(('main page'!$K$35/100)))*C87,'public finance'!C87)</f>
        <v>20</v>
      </c>
      <c r="D88" s="136">
        <f ca="1">IF(ABS(((A88-C88)/'normal case'!D89)-D87)&lt;0.0000001,D87,(A88-C88)/'normal case'!D89)</f>
        <v>0</v>
      </c>
      <c r="E88" s="136">
        <f ca="1">IF(ABS(D88-(G88*('normal case'!M89/100))/'normal case'!D89-E87)&lt;0.00001,E87,D88-(G88*('normal case'!M89/100))/'normal case'!D89)</f>
        <v>0</v>
      </c>
      <c r="F88" s="137">
        <f ca="1">F87*(1+'normal case'!L88/100)</f>
        <v>5.4905363550039512</v>
      </c>
      <c r="G88" s="135">
        <f ca="1">C88-A88+G87*(1+'normal case'!M88/100)</f>
        <v>0</v>
      </c>
      <c r="H88" s="136">
        <f ca="1">IF(ABS(G88/'normal case'!D89-H87)&lt;0.0000001,H87,G88/'normal case'!D89)</f>
        <v>0</v>
      </c>
    </row>
    <row r="89" spans="1:12">
      <c r="A89" s="135">
        <f ca="1">('main page'!$U$31/100)*'normal case'!D90</f>
        <v>20</v>
      </c>
      <c r="B89" s="136">
        <f t="shared" ca="1" si="0"/>
        <v>0</v>
      </c>
      <c r="C89" s="135">
        <f ca="1">'normal case'!AG90-'normal case'!AG89+IF(controls!$B$33=1,(1+(('main page'!$K$35/100)))*C88,'public finance'!C88)</f>
        <v>20</v>
      </c>
      <c r="D89" s="136">
        <f ca="1">IF(ABS(((A89-C89)/'normal case'!D90)-D88)&lt;0.0000001,D88,(A89-C89)/'normal case'!D90)</f>
        <v>0</v>
      </c>
      <c r="E89" s="136">
        <f ca="1">IF(ABS(D89-(G89*('normal case'!M90/100))/'normal case'!D90-E88)&lt;0.00001,E88,D89-(G89*('normal case'!M90/100))/'normal case'!D90)</f>
        <v>0</v>
      </c>
      <c r="F89" s="137">
        <f ca="1">F88*(1+'normal case'!L89/100)</f>
        <v>5.6003470821040304</v>
      </c>
      <c r="G89" s="135">
        <f ca="1">C89-A89+G88*(1+'normal case'!M89/100)</f>
        <v>0</v>
      </c>
      <c r="H89" s="136">
        <f ca="1">IF(ABS(G89/'normal case'!D90-H88)&lt;0.0000001,H88,G89/'normal case'!D90)</f>
        <v>0</v>
      </c>
    </row>
    <row r="90" spans="1:12">
      <c r="A90" s="135">
        <f ca="1">('main page'!$U$31/100)*'normal case'!D91</f>
        <v>20</v>
      </c>
      <c r="B90" s="136">
        <f t="shared" ca="1" si="0"/>
        <v>0</v>
      </c>
      <c r="C90" s="135">
        <f ca="1">'normal case'!AG91-'normal case'!AG90+IF(controls!$B$33=1,(1+(('main page'!$K$35/100)))*C89,'public finance'!C89)</f>
        <v>20</v>
      </c>
      <c r="D90" s="136">
        <f ca="1">IF(ABS(((A90-C90)/'normal case'!D91)-D89)&lt;0.0000001,D89,(A90-C90)/'normal case'!D91)</f>
        <v>0</v>
      </c>
      <c r="E90" s="136">
        <f ca="1">IF(ABS(D90-(G90*('normal case'!M91/100))/'normal case'!D91-E89)&lt;0.00001,E89,D90-(G90*('normal case'!M91/100))/'normal case'!D91)</f>
        <v>0</v>
      </c>
      <c r="F90" s="137">
        <f ca="1">F89*(1+'normal case'!L90/100)</f>
        <v>5.7123540237461112</v>
      </c>
      <c r="G90" s="135">
        <f ca="1">C90-A90+G89*(1+'normal case'!M90/100)</f>
        <v>0</v>
      </c>
      <c r="H90" s="136">
        <f ca="1">IF(ABS(G90/'normal case'!D91-H89)&lt;0.0000001,H89,G90/'normal case'!D91)</f>
        <v>0</v>
      </c>
    </row>
    <row r="91" spans="1:12">
      <c r="A91" s="135">
        <f ca="1">('main page'!$U$31/100)*'normal case'!D92</f>
        <v>20</v>
      </c>
      <c r="B91" s="136">
        <f t="shared" ca="1" si="0"/>
        <v>0</v>
      </c>
      <c r="C91" s="135">
        <f ca="1">'normal case'!AG92-'normal case'!AG91+IF(controls!$B$33=1,(1+(('main page'!$K$35/100)))*C90,'public finance'!C90)</f>
        <v>20</v>
      </c>
      <c r="D91" s="136">
        <f ca="1">IF(ABS(((A91-C91)/'normal case'!D92)-D90)&lt;0.0000001,D90,(A91-C91)/'normal case'!D92)</f>
        <v>0</v>
      </c>
      <c r="E91" s="136">
        <f ca="1">IF(ABS(D91-(G91*('normal case'!M92/100))/'normal case'!D92-E90)&lt;0.00001,E90,D91-(G91*('normal case'!M92/100))/'normal case'!D92)</f>
        <v>0</v>
      </c>
      <c r="F91" s="137">
        <f ca="1">F90*(1+'normal case'!L91/100)</f>
        <v>5.8266011042210337</v>
      </c>
      <c r="G91" s="135">
        <f ca="1">C91-A91+G90*(1+'normal case'!M91/100)</f>
        <v>0</v>
      </c>
      <c r="H91" s="136">
        <f ca="1">IF(ABS(G91/'normal case'!D92-H90)&lt;0.0000001,H90,G91/'normal case'!D92)</f>
        <v>0</v>
      </c>
    </row>
    <row r="92" spans="1:12">
      <c r="A92" s="135">
        <f ca="1">('main page'!$U$31/100)*'normal case'!D93</f>
        <v>20</v>
      </c>
      <c r="B92" s="136">
        <f t="shared" ca="1" si="0"/>
        <v>0</v>
      </c>
      <c r="C92" s="135">
        <f ca="1">'normal case'!AG93-'normal case'!AG92+IF(controls!$B$33=1,(1+(('main page'!$K$35/100)))*C91,'public finance'!C91)</f>
        <v>20</v>
      </c>
      <c r="D92" s="136">
        <f ca="1">IF(ABS(((A92-C92)/'normal case'!D93)-D91)&lt;0.0000001,D91,(A92-C92)/'normal case'!D93)</f>
        <v>0</v>
      </c>
      <c r="E92" s="136">
        <f ca="1">IF(ABS(D92-(G92*('normal case'!M93/100))/'normal case'!D93-E91)&lt;0.00001,E91,D92-(G92*('normal case'!M93/100))/'normal case'!D93)</f>
        <v>0</v>
      </c>
      <c r="F92" s="137">
        <f ca="1">F91*(1+'normal case'!L92/100)</f>
        <v>5.9431331263054545</v>
      </c>
      <c r="G92" s="135">
        <f ca="1">C92-A92+G91*(1+'normal case'!M92/100)</f>
        <v>0</v>
      </c>
      <c r="H92" s="136">
        <f ca="1">IF(ABS(G92/'normal case'!D93-H91)&lt;0.0000001,H91,G92/'normal case'!D93)</f>
        <v>0</v>
      </c>
    </row>
    <row r="93" spans="1:12">
      <c r="A93" s="135">
        <f ca="1">('main page'!$U$31/100)*'normal case'!D94</f>
        <v>20</v>
      </c>
      <c r="B93" s="136">
        <f t="shared" ca="1" si="0"/>
        <v>0</v>
      </c>
      <c r="C93" s="135">
        <f ca="1">'normal case'!AG94-'normal case'!AG93+IF(controls!$B$33=1,(1+(('main page'!$K$35/100)))*C92,'public finance'!C92)</f>
        <v>20</v>
      </c>
      <c r="D93" s="136">
        <f ca="1">IF(ABS(((A93-C93)/'normal case'!D94)-D92)&lt;0.0000001,D92,(A93-C93)/'normal case'!D94)</f>
        <v>0</v>
      </c>
      <c r="E93" s="136">
        <f ca="1">IF(ABS(D93-(G93*('normal case'!M94/100))/'normal case'!D94-E92)&lt;0.00001,E92,D93-(G93*('normal case'!M94/100))/'normal case'!D94)</f>
        <v>0</v>
      </c>
      <c r="F93" s="137">
        <f ca="1">F92*(1+'normal case'!L93/100)</f>
        <v>6.0619957888315641</v>
      </c>
      <c r="G93" s="135">
        <f ca="1">C93-A93+G92*(1+'normal case'!M93/100)</f>
        <v>0</v>
      </c>
      <c r="H93" s="136">
        <f ca="1">IF(ABS(G93/'normal case'!D94-H92)&lt;0.0000001,H92,G93/'normal case'!D94)</f>
        <v>0</v>
      </c>
    </row>
    <row r="94" spans="1:12">
      <c r="A94" s="135">
        <f ca="1">('main page'!$U$31/100)*'normal case'!D95</f>
        <v>20</v>
      </c>
      <c r="B94" s="136">
        <f t="shared" ca="1" si="0"/>
        <v>0</v>
      </c>
      <c r="C94" s="135">
        <f ca="1">'normal case'!AG95-'normal case'!AG94+IF(controls!$B$33=1,(1+(('main page'!$K$35/100)))*C93,'public finance'!C93)</f>
        <v>20</v>
      </c>
      <c r="D94" s="136">
        <f ca="1">IF(ABS(((A94-C94)/'normal case'!D95)-D93)&lt;0.0000001,D93,(A94-C94)/'normal case'!D95)</f>
        <v>0</v>
      </c>
      <c r="E94" s="136">
        <f ca="1">IF(ABS(D94-(G94*('normal case'!M95/100))/'normal case'!D95-E93)&lt;0.00001,E93,D94-(G94*('normal case'!M95/100))/'normal case'!D95)</f>
        <v>0</v>
      </c>
      <c r="F94" s="137">
        <f ca="1">F93*(1+'normal case'!L94/100)</f>
        <v>6.1832357046081956</v>
      </c>
      <c r="G94" s="135">
        <f ca="1">C94-A94+G93*(1+'normal case'!M94/100)</f>
        <v>0</v>
      </c>
      <c r="H94" s="136">
        <f ca="1">IF(ABS(G94/'normal case'!D95-H93)&lt;0.0000001,H93,G94/'normal case'!D95)</f>
        <v>0</v>
      </c>
    </row>
    <row r="95" spans="1:12">
      <c r="A95" s="135">
        <f ca="1">('main page'!$U$31/100)*'normal case'!D96</f>
        <v>20</v>
      </c>
      <c r="B95" s="136">
        <f t="shared" ca="1" si="0"/>
        <v>0</v>
      </c>
      <c r="C95" s="135">
        <f ca="1">'normal case'!AG96-'normal case'!AG95+IF(controls!$B$33=1,(1+(('main page'!$K$35/100)))*C94,'public finance'!C94)</f>
        <v>20</v>
      </c>
      <c r="D95" s="136">
        <f ca="1">IF(ABS(((A95-C95)/'normal case'!D96)-D94)&lt;0.0000001,D94,(A95-C95)/'normal case'!D96)</f>
        <v>0</v>
      </c>
      <c r="E95" s="136">
        <f ca="1">IF(ABS(D95-(G95*('normal case'!M96/100))/'normal case'!D96-E94)&lt;0.00001,E94,D95-(G95*('normal case'!M96/100))/'normal case'!D96)</f>
        <v>0</v>
      </c>
      <c r="F95" s="137">
        <f ca="1">F94*(1+'normal case'!L95/100)</f>
        <v>6.3069004187003594</v>
      </c>
      <c r="G95" s="135">
        <f ca="1">C95-A95+G94*(1+'normal case'!M95/100)</f>
        <v>0</v>
      </c>
      <c r="H95" s="136">
        <f ca="1">IF(ABS(G95/'normal case'!D96-H94)&lt;0.0000001,H94,G95/'normal case'!D96)</f>
        <v>0</v>
      </c>
    </row>
    <row r="96" spans="1:12">
      <c r="A96" s="135">
        <f ca="1">('main page'!$U$31/100)*'normal case'!D97</f>
        <v>20</v>
      </c>
      <c r="B96" s="136">
        <f t="shared" ca="1" si="0"/>
        <v>0</v>
      </c>
      <c r="C96" s="135">
        <f ca="1">'normal case'!AG97-'normal case'!AG96+IF(controls!$B$33=1,(1+(('main page'!$K$35/100)))*C95,'public finance'!C95)</f>
        <v>20</v>
      </c>
      <c r="D96" s="136">
        <f ca="1">IF(ABS(((A96-C96)/'normal case'!D97)-D95)&lt;0.0000001,D95,(A96-C96)/'normal case'!D97)</f>
        <v>0</v>
      </c>
      <c r="E96" s="136">
        <f ca="1">IF(ABS(D96-(G96*('normal case'!M97/100))/'normal case'!D97-E95)&lt;0.00001,E95,D96-(G96*('normal case'!M97/100))/'normal case'!D97)</f>
        <v>0</v>
      </c>
      <c r="F96" s="137">
        <f ca="1">F95*(1+'normal case'!L96/100)</f>
        <v>6.4330384270743668</v>
      </c>
      <c r="G96" s="135">
        <f ca="1">C96-A96+G95*(1+'normal case'!M96/100)</f>
        <v>0</v>
      </c>
      <c r="H96" s="136">
        <f ca="1">IF(ABS(G96/'normal case'!D97-H95)&lt;0.0000001,H95,G96/'normal case'!D97)</f>
        <v>0</v>
      </c>
    </row>
    <row r="97" spans="1:8">
      <c r="A97" s="135">
        <f ca="1">('main page'!$U$31/100)*'normal case'!D98</f>
        <v>20</v>
      </c>
      <c r="B97" s="136">
        <f t="shared" ca="1" si="0"/>
        <v>0</v>
      </c>
      <c r="C97" s="135">
        <f ca="1">'normal case'!AG98-'normal case'!AG97+IF(controls!$B$33=1,(1+(('main page'!$K$35/100)))*C96,'public finance'!C96)</f>
        <v>20</v>
      </c>
      <c r="D97" s="136">
        <f ca="1">IF(ABS(((A97-C97)/'normal case'!D98)-D96)&lt;0.0000001,D96,(A97-C97)/'normal case'!D98)</f>
        <v>0</v>
      </c>
      <c r="E97" s="136">
        <f ca="1">IF(ABS(D97-(G97*('normal case'!M98/100))/'normal case'!D98-E96)&lt;0.00001,E96,D97-(G97*('normal case'!M98/100))/'normal case'!D98)</f>
        <v>0</v>
      </c>
      <c r="F97" s="137">
        <f ca="1">F96*(1+'normal case'!L97/100)</f>
        <v>6.5616991956158541</v>
      </c>
      <c r="G97" s="135">
        <f ca="1">C97-A97+G96*(1+'normal case'!M97/100)</f>
        <v>0</v>
      </c>
      <c r="H97" s="136">
        <f ca="1">IF(ABS(G97/'normal case'!D98-H96)&lt;0.0000001,H96,G97/'normal case'!D98)</f>
        <v>0</v>
      </c>
    </row>
    <row r="98" spans="1:8">
      <c r="A98" s="135">
        <f ca="1">('main page'!$U$31/100)*'normal case'!D99</f>
        <v>20</v>
      </c>
      <c r="B98" s="136">
        <f t="shared" ca="1" si="0"/>
        <v>0</v>
      </c>
      <c r="C98" s="135">
        <f ca="1">'normal case'!AG99-'normal case'!AG98+IF(controls!$B$33=1,(1+(('main page'!$K$35/100)))*C97,'public finance'!C97)</f>
        <v>20</v>
      </c>
      <c r="D98" s="136">
        <f ca="1">IF(ABS(((A98-C98)/'normal case'!D99)-D97)&lt;0.0000001,D97,(A98-C98)/'normal case'!D99)</f>
        <v>0</v>
      </c>
      <c r="E98" s="136">
        <f ca="1">IF(ABS(D98-(G98*('normal case'!M99/100))/'normal case'!D99-E97)&lt;0.00001,E97,D98-(G98*('normal case'!M99/100))/'normal case'!D99)</f>
        <v>0</v>
      </c>
      <c r="F98" s="137">
        <f ca="1">F97*(1+'normal case'!L98/100)</f>
        <v>6.692933179528171</v>
      </c>
      <c r="G98" s="135">
        <f ca="1">C98-A98+G97*(1+'normal case'!M98/100)</f>
        <v>0</v>
      </c>
      <c r="H98" s="136">
        <f ca="1">IF(ABS(G98/'normal case'!D99-H97)&lt;0.0000001,H97,G98/'normal case'!D99)</f>
        <v>0</v>
      </c>
    </row>
    <row r="99" spans="1:8">
      <c r="A99" s="135">
        <f ca="1">('main page'!$U$31/100)*'normal case'!D100</f>
        <v>20</v>
      </c>
      <c r="B99" s="136">
        <f t="shared" ca="1" si="0"/>
        <v>0</v>
      </c>
      <c r="C99" s="135">
        <f ca="1">'normal case'!AG100-'normal case'!AG99+IF(controls!$B$33=1,(1+(('main page'!$K$35/100)))*C98,'public finance'!C98)</f>
        <v>20</v>
      </c>
      <c r="D99" s="136">
        <f ca="1">IF(ABS(((A99-C99)/'normal case'!D100)-D98)&lt;0.0000001,D98,(A99-C99)/'normal case'!D100)</f>
        <v>0</v>
      </c>
      <c r="E99" s="136">
        <f ca="1">IF(ABS(D99-(G99*('normal case'!M100/100))/'normal case'!D100-E98)&lt;0.00001,E98,D99-(G99*('normal case'!M100/100))/'normal case'!D100)</f>
        <v>0</v>
      </c>
      <c r="F99" s="137">
        <f ca="1">F98*(1+'normal case'!L99/100)</f>
        <v>6.8267918431187349</v>
      </c>
      <c r="G99" s="135">
        <f ca="1">C99-A99+G98*(1+'normal case'!M99/100)</f>
        <v>0</v>
      </c>
      <c r="H99" s="136">
        <f ca="1">IF(ABS(G99/'normal case'!D100-H98)&lt;0.0000001,H98,G99/'normal case'!D100)</f>
        <v>0</v>
      </c>
    </row>
    <row r="100" spans="1:8">
      <c r="A100" s="135">
        <f ca="1">('main page'!$U$31/100)*'normal case'!D101</f>
        <v>20</v>
      </c>
      <c r="B100" s="136">
        <f t="shared" ca="1" si="0"/>
        <v>0</v>
      </c>
      <c r="C100" s="135">
        <f ca="1">'normal case'!AG101-'normal case'!AG100+IF(controls!$B$33=1,(1+(('main page'!$K$35/100)))*C99,'public finance'!C99)</f>
        <v>20</v>
      </c>
      <c r="D100" s="136">
        <f ca="1">IF(ABS(((A100-C100)/'normal case'!D101)-D99)&lt;0.0000001,D99,(A100-C100)/'normal case'!D101)</f>
        <v>0</v>
      </c>
      <c r="E100" s="136">
        <f ca="1">IF(ABS(D100-(G100*('normal case'!M101/100))/'normal case'!D101-E99)&lt;0.00001,E99,D100-(G100*('normal case'!M101/100))/'normal case'!D101)</f>
        <v>0</v>
      </c>
      <c r="F100" s="137">
        <f ca="1">F99*(1+'normal case'!L100/100)</f>
        <v>6.9633276799811101</v>
      </c>
      <c r="G100" s="135">
        <f ca="1">C100-A100+G99*(1+'normal case'!M100/100)</f>
        <v>0</v>
      </c>
      <c r="H100" s="136">
        <f ca="1">IF(ABS(G100/'normal case'!D101-H99)&lt;0.0000001,H99,G100/'normal case'!D101)</f>
        <v>0</v>
      </c>
    </row>
    <row r="101" spans="1:8">
      <c r="A101" s="135">
        <f ca="1">('main page'!$U$31/100)*'normal case'!D102</f>
        <v>20</v>
      </c>
      <c r="B101" s="136"/>
      <c r="C101" s="135">
        <f ca="1">'normal case'!AG102-'normal case'!AG101+IF(controls!$B$33=1,(1+(('main page'!$K$35/100)))*C100,'public finance'!C100)</f>
        <v>20</v>
      </c>
      <c r="D101" s="136">
        <f ca="1">IF(ABS(((A101-C101)/'normal case'!D102)-D100)&lt;0.0000001,D100,(A101-C101)/'normal case'!D102)</f>
        <v>0</v>
      </c>
      <c r="E101" s="136">
        <f ca="1">IF(ABS(D101-(G101*('normal case'!M102/100))/'normal case'!D102-E100)&lt;0.00001,E100,D101-(G101*('normal case'!M102/100))/'normal case'!D102)</f>
        <v>0</v>
      </c>
      <c r="F101" s="137">
        <f ca="1">F100*(1+'normal case'!L101/100)</f>
        <v>7.1025942335807324</v>
      </c>
      <c r="G101" s="135">
        <f ca="1">C101-A101+G100*(1+'normal case'!M101/100)</f>
        <v>0</v>
      </c>
      <c r="H101" s="136">
        <f ca="1">IF(ABS(G101/'normal case'!D102-H100)&lt;0.0000001,H100,G101/'normal case'!D102)</f>
        <v>0</v>
      </c>
    </row>
    <row r="102" spans="1:8">
      <c r="A102" s="135">
        <f ca="1">('main page'!$U$31/100)*'normal case'!D103</f>
        <v>20</v>
      </c>
      <c r="B102" s="136"/>
      <c r="C102" s="135">
        <f ca="1">'normal case'!AG103-'normal case'!AG102+IF(controls!$B$33=1,(1+(('main page'!$K$35/100)))*C101,'public finance'!C101)</f>
        <v>20</v>
      </c>
      <c r="D102" s="136">
        <f ca="1">IF(ABS(((A102-C102)/'normal case'!D103)-D101)&lt;0.0000001,D101,(A102-C102)/'normal case'!D103)</f>
        <v>0</v>
      </c>
      <c r="E102" s="136">
        <f ca="1">IF(ABS(D102-(G102*('normal case'!M103/100))/'normal case'!D103-E101)&lt;0.00001,E101,D102-(G102*('normal case'!M103/100))/'normal case'!D103)</f>
        <v>0</v>
      </c>
      <c r="F102" s="137">
        <f ca="1">F101*(1+'normal case'!L102/100)</f>
        <v>7.2446461182523469</v>
      </c>
      <c r="G102" s="135">
        <f ca="1">C102-A102+G101*(1+'normal case'!M102/100)</f>
        <v>0</v>
      </c>
      <c r="H102" s="136">
        <f ca="1">IF(ABS(G102/'normal case'!D103-H101)&lt;0.0000001,H101,G102/'normal case'!D103)</f>
        <v>0</v>
      </c>
    </row>
    <row r="103" spans="1:8">
      <c r="A103" s="135">
        <f ca="1">('main page'!$U$31/100)*'normal case'!D104</f>
        <v>20</v>
      </c>
      <c r="B103" s="136"/>
      <c r="C103" s="135">
        <f ca="1">'normal case'!AG104-'normal case'!AG103+IF(controls!$B$33=1,(1+(('main page'!$K$35/100)))*C102,'public finance'!C102)</f>
        <v>20</v>
      </c>
      <c r="D103" s="136">
        <f ca="1">IF(ABS(((A103-C103)/'normal case'!D104)-D102)&lt;0.0000001,D102,(A103-C103)/'normal case'!D104)</f>
        <v>0</v>
      </c>
      <c r="E103" s="136">
        <f ca="1">IF(ABS(D103-(G103*('normal case'!M104/100))/'normal case'!D104-E102)&lt;0.00001,E102,D103-(G103*('normal case'!M104/100))/'normal case'!D104)</f>
        <v>0</v>
      </c>
      <c r="F103" s="137">
        <f ca="1">F102*(1+'normal case'!L103/100)</f>
        <v>7.389539040617394</v>
      </c>
      <c r="G103" s="135">
        <f ca="1">C103-A103+G102*(1+'normal case'!M103/100)</f>
        <v>0</v>
      </c>
      <c r="H103" s="136">
        <f ca="1">IF(ABS(G103/'normal case'!D104-H102)&lt;0.0000001,H102,G103/'normal case'!D104)</f>
        <v>0</v>
      </c>
    </row>
    <row r="104" spans="1:8">
      <c r="A104" s="135">
        <f ca="1">('main page'!$U$31/100)*'normal case'!D105</f>
        <v>20</v>
      </c>
      <c r="B104" s="136"/>
      <c r="C104" s="135">
        <f ca="1">'normal case'!AG105-'normal case'!AG104+IF(controls!$B$33=1,(1+(('main page'!$K$35/100)))*C103,'public finance'!C103)</f>
        <v>20</v>
      </c>
      <c r="D104" s="136">
        <f ca="1">IF(ABS(((A104-C104)/'normal case'!D105)-D103)&lt;0.0000001,D103,(A104-C104)/'normal case'!D105)</f>
        <v>0</v>
      </c>
      <c r="E104" s="136">
        <f ca="1">IF(ABS(D104-(G104*('normal case'!M105/100))/'normal case'!D105-E103)&lt;0.00001,E103,D104-(G104*('normal case'!M105/100))/'normal case'!D105)</f>
        <v>0</v>
      </c>
      <c r="F104" s="137">
        <f ca="1">F103*(1+'normal case'!L104/100)</f>
        <v>7.5373298214297417</v>
      </c>
      <c r="G104" s="135">
        <f ca="1">C104-A104+G103*(1+'normal case'!M104/100)</f>
        <v>0</v>
      </c>
      <c r="H104" s="136">
        <f ca="1">IF(ABS(G104/'normal case'!D105-H103)&lt;0.0000001,H103,G104/'normal case'!D105)</f>
        <v>0</v>
      </c>
    </row>
    <row r="105" spans="1:8">
      <c r="A105" s="135">
        <f ca="1">('main page'!$U$31/100)*'normal case'!D106</f>
        <v>20</v>
      </c>
      <c r="B105" s="136"/>
      <c r="C105" s="135">
        <f ca="1">'normal case'!AG106-'normal case'!AG105+IF(controls!$B$33=1,(1+(('main page'!$K$35/100)))*C104,'public finance'!C104)</f>
        <v>20</v>
      </c>
      <c r="D105" s="136">
        <f ca="1">IF(ABS(((A105-C105)/'normal case'!D106)-D104)&lt;0.0000001,D104,(A105-C105)/'normal case'!D106)</f>
        <v>0</v>
      </c>
      <c r="E105" s="136">
        <f ca="1">IF(ABS(D105-(G105*('normal case'!M106/100))/'normal case'!D106-E104)&lt;0.00001,E104,D105-(G105*('normal case'!M106/100))/'normal case'!D106)</f>
        <v>0</v>
      </c>
      <c r="F105" s="137">
        <f ca="1">F104*(1+'normal case'!L105/100)</f>
        <v>7.688076417858337</v>
      </c>
      <c r="G105" s="135">
        <f ca="1">C105-A105+G104*(1+'normal case'!M105/100)</f>
        <v>0</v>
      </c>
      <c r="H105" s="136">
        <f ca="1">IF(ABS(G105/'normal case'!D106-H104)&lt;0.0000001,H104,G105/'normal case'!D106)</f>
        <v>0</v>
      </c>
    </row>
    <row r="106" spans="1:8">
      <c r="A106" s="135">
        <f ca="1">('main page'!$U$31/100)*'normal case'!D107</f>
        <v>20</v>
      </c>
      <c r="B106" s="136"/>
      <c r="C106" s="135">
        <f ca="1">'normal case'!AG107-'normal case'!AG106+IF(controls!$B$33=1,(1+(('main page'!$K$35/100)))*C105,'public finance'!C105)</f>
        <v>20</v>
      </c>
      <c r="D106" s="136">
        <f ca="1">IF(ABS(((A106-C106)/'normal case'!D107)-D105)&lt;0.0000001,D105,(A106-C106)/'normal case'!D107)</f>
        <v>0</v>
      </c>
      <c r="E106" s="136">
        <f ca="1">IF(ABS(D106-(G106*('normal case'!M107/100))/'normal case'!D107-E105)&lt;0.00001,E105,D106-(G106*('normal case'!M107/100))/'normal case'!D107)</f>
        <v>0</v>
      </c>
      <c r="F106" s="137">
        <f ca="1">F105*(1+'normal case'!L106/100)</f>
        <v>7.8418379462155041</v>
      </c>
      <c r="G106" s="135">
        <f ca="1">C106-A106+G105*(1+'normal case'!M106/100)</f>
        <v>0</v>
      </c>
      <c r="H106" s="136">
        <f ca="1">IF(ABS(G106/'normal case'!D107-H105)&lt;0.0000001,H105,G106/'normal case'!D107)</f>
        <v>0</v>
      </c>
    </row>
    <row r="107" spans="1:8">
      <c r="A107" s="135">
        <f ca="1">('main page'!$U$31/100)*'normal case'!D108</f>
        <v>20</v>
      </c>
      <c r="B107" s="136"/>
      <c r="C107" s="135">
        <f ca="1">'normal case'!AG108-'normal case'!AG107+IF(controls!$B$33=1,(1+(('main page'!$K$35/100)))*C106,'public finance'!C106)</f>
        <v>20</v>
      </c>
      <c r="D107" s="136">
        <f ca="1">IF(ABS(((A107-C107)/'normal case'!D108)-D106)&lt;0.0000001,D106,(A107-C107)/'normal case'!D108)</f>
        <v>0</v>
      </c>
      <c r="E107" s="136">
        <f ca="1">IF(ABS(D107-(G107*('normal case'!M108/100))/'normal case'!D108-E106)&lt;0.00001,E106,D107-(G107*('normal case'!M108/100))/'normal case'!D108)</f>
        <v>0</v>
      </c>
      <c r="F107" s="137">
        <f ca="1">F106*(1+'normal case'!L107/100)</f>
        <v>7.9986747051398144</v>
      </c>
      <c r="G107" s="135">
        <f ca="1">C107-A107+G106*(1+'normal case'!M107/100)</f>
        <v>0</v>
      </c>
      <c r="H107" s="136">
        <f ca="1">IF(ABS(G107/'normal case'!D108-H106)&lt;0.0000001,H106,G107/'normal case'!D108)</f>
        <v>0</v>
      </c>
    </row>
    <row r="108" spans="1:8">
      <c r="A108" s="135">
        <f ca="1">('main page'!$U$31/100)*'normal case'!D109</f>
        <v>20</v>
      </c>
      <c r="B108" s="136"/>
      <c r="C108" s="135">
        <f ca="1">'normal case'!AG109-'normal case'!AG108+IF(controls!$B$33=1,(1+(('main page'!$K$35/100)))*C107,'public finance'!C107)</f>
        <v>20</v>
      </c>
      <c r="D108" s="136">
        <f ca="1">IF(ABS(((A108-C108)/'normal case'!D109)-D107)&lt;0.0000001,D107,(A108-C108)/'normal case'!D109)</f>
        <v>0</v>
      </c>
      <c r="E108" s="136">
        <f ca="1">IF(ABS(D108-(G108*('normal case'!M109/100))/'normal case'!D109-E107)&lt;0.00001,E107,D108-(G108*('normal case'!M109/100))/'normal case'!D109)</f>
        <v>0</v>
      </c>
      <c r="F108" s="137">
        <f ca="1">F107*(1+'normal case'!L108/100)</f>
        <v>8.1586481992426112</v>
      </c>
      <c r="G108" s="135">
        <f ca="1">C108-A108+G107*(1+'normal case'!M108/100)</f>
        <v>0</v>
      </c>
      <c r="H108" s="136">
        <f ca="1">IF(ABS(G108/'normal case'!D109-H107)&lt;0.0000001,H107,G108/'normal case'!D109)</f>
        <v>0</v>
      </c>
    </row>
    <row r="109" spans="1:8">
      <c r="A109" s="135">
        <f ca="1">('main page'!$U$31/100)*'normal case'!D110</f>
        <v>20</v>
      </c>
      <c r="B109" s="136"/>
      <c r="C109" s="135">
        <f ca="1">'normal case'!AG110-'normal case'!AG109+IF(controls!$B$33=1,(1+(('main page'!$K$35/100)))*C108,'public finance'!C108)</f>
        <v>20</v>
      </c>
      <c r="D109" s="136">
        <f ca="1">IF(ABS(((A109-C109)/'normal case'!D110)-D108)&lt;0.0000001,D108,(A109-C109)/'normal case'!D110)</f>
        <v>0</v>
      </c>
      <c r="E109" s="136">
        <f ca="1">IF(ABS(D109-(G109*('normal case'!M110/100))/'normal case'!D110-E108)&lt;0.00001,E108,D109-(G109*('normal case'!M110/100))/'normal case'!D110)</f>
        <v>0</v>
      </c>
      <c r="F109" s="137">
        <f ca="1">F108*(1+'normal case'!L109/100)</f>
        <v>8.3218211632274635</v>
      </c>
      <c r="G109" s="135">
        <f ca="1">C109-A109+G108*(1+'normal case'!M109/100)</f>
        <v>0</v>
      </c>
      <c r="H109" s="136">
        <f ca="1">IF(ABS(G109/'normal case'!D110-H108)&lt;0.0000001,H108,G109/'normal case'!D110)</f>
        <v>0</v>
      </c>
    </row>
    <row r="110" spans="1:8">
      <c r="A110" s="135">
        <f ca="1">('main page'!$U$31/100)*'normal case'!D111</f>
        <v>20</v>
      </c>
      <c r="B110" s="136"/>
      <c r="C110" s="135">
        <f ca="1">'normal case'!AG111-'normal case'!AG110+IF(controls!$B$33=1,(1+(('main page'!$K$35/100)))*C109,'public finance'!C109)</f>
        <v>20</v>
      </c>
      <c r="D110" s="136">
        <f ca="1">IF(ABS(((A110-C110)/'normal case'!D111)-D109)&lt;0.0000001,D109,(A110-C110)/'normal case'!D111)</f>
        <v>0</v>
      </c>
      <c r="E110" s="136">
        <f ca="1">IF(ABS(D110-(G110*('normal case'!M111/100))/'normal case'!D111-E109)&lt;0.00001,E109,D110-(G110*('normal case'!M111/100))/'normal case'!D111)</f>
        <v>0</v>
      </c>
      <c r="F110" s="137">
        <f ca="1">F109*(1+'normal case'!L110/100)</f>
        <v>8.4882575864920131</v>
      </c>
      <c r="G110" s="135">
        <f ca="1">C110-A110+G109*(1+'normal case'!M110/100)</f>
        <v>0</v>
      </c>
      <c r="H110" s="136">
        <f ca="1">IF(ABS(G110/'normal case'!D111-H109)&lt;0.0000001,H109,G110/'normal case'!D111)</f>
        <v>0</v>
      </c>
    </row>
    <row r="111" spans="1:8">
      <c r="A111" s="135">
        <f ca="1">('main page'!$U$31/100)*'normal case'!D112</f>
        <v>20</v>
      </c>
      <c r="B111" s="136"/>
      <c r="C111" s="135">
        <f ca="1">'normal case'!AG112-'normal case'!AG111+IF(controls!$B$33=1,(1+(('main page'!$K$35/100)))*C110,'public finance'!C110)</f>
        <v>20</v>
      </c>
      <c r="D111" s="136">
        <f ca="1">IF(ABS(((A111-C111)/'normal case'!D112)-D110)&lt;0.0000001,D110,(A111-C111)/'normal case'!D112)</f>
        <v>0</v>
      </c>
      <c r="E111" s="136">
        <f ca="1">IF(ABS(D111-(G111*('normal case'!M112/100))/'normal case'!D112-E110)&lt;0.00001,E110,D111-(G111*('normal case'!M112/100))/'normal case'!D112)</f>
        <v>0</v>
      </c>
      <c r="F111" s="137">
        <f ca="1">F110*(1+'normal case'!L111/100)</f>
        <v>8.6580227382218542</v>
      </c>
      <c r="G111" s="135">
        <f ca="1">C111-A111+G110*(1+'normal case'!M111/100)</f>
        <v>0</v>
      </c>
      <c r="H111" s="136">
        <f ca="1">IF(ABS(G111/'normal case'!D112-H110)&lt;0.0000001,H110,G111/'normal case'!D112)</f>
        <v>0</v>
      </c>
    </row>
    <row r="112" spans="1:8">
      <c r="A112" s="135">
        <f ca="1">('main page'!$U$31/100)*'normal case'!D113</f>
        <v>20</v>
      </c>
      <c r="B112" s="136"/>
      <c r="C112" s="135">
        <f ca="1">'normal case'!AG113-'normal case'!AG112+IF(controls!$B$33=1,(1+(('main page'!$K$35/100)))*C111,'public finance'!C111)</f>
        <v>20</v>
      </c>
      <c r="D112" s="136">
        <f ca="1">IF(ABS(((A112-C112)/'normal case'!D113)-D111)&lt;0.0000001,D111,(A112-C112)/'normal case'!D113)</f>
        <v>0</v>
      </c>
      <c r="E112" s="136">
        <f ca="1">IF(ABS(D112-(G112*('normal case'!M113/100))/'normal case'!D113-E111)&lt;0.00001,E111,D112-(G112*('normal case'!M113/100))/'normal case'!D113)</f>
        <v>0</v>
      </c>
      <c r="F112" s="137">
        <f ca="1">F111*(1+'normal case'!L112/100)</f>
        <v>8.8311831929862912</v>
      </c>
      <c r="G112" s="135">
        <f ca="1">C112-A112+G111*(1+'normal case'!M112/100)</f>
        <v>0</v>
      </c>
      <c r="H112" s="136">
        <f ca="1">IF(ABS(G112/'normal case'!D113-H111)&lt;0.0000001,H111,G112/'normal case'!D113)</f>
        <v>0</v>
      </c>
    </row>
    <row r="113" spans="1:8">
      <c r="A113" s="135">
        <f ca="1">('main page'!$U$31/100)*'normal case'!D114</f>
        <v>20</v>
      </c>
      <c r="B113" s="136"/>
      <c r="C113" s="135">
        <f ca="1">'normal case'!AG114-'normal case'!AG113+IF(controls!$B$33=1,(1+(('main page'!$K$35/100)))*C112,'public finance'!C112)</f>
        <v>20</v>
      </c>
      <c r="D113" s="136">
        <f ca="1">IF(ABS(((A113-C113)/'normal case'!D114)-D112)&lt;0.0000001,D112,(A113-C113)/'normal case'!D114)</f>
        <v>0</v>
      </c>
      <c r="E113" s="136">
        <f ca="1">IF(ABS(D113-(G113*('normal case'!M114/100))/'normal case'!D114-E112)&lt;0.00001,E112,D113-(G113*('normal case'!M114/100))/'normal case'!D114)</f>
        <v>0</v>
      </c>
      <c r="F113" s="137">
        <f ca="1">F112*(1+'normal case'!L113/100)</f>
        <v>9.0078068568460168</v>
      </c>
      <c r="G113" s="135">
        <f ca="1">C113-A113+G112*(1+'normal case'!M113/100)</f>
        <v>0</v>
      </c>
      <c r="H113" s="136">
        <f ca="1">IF(ABS(G113/'normal case'!D114-H112)&lt;0.0000001,H112,G113/'normal case'!D114)</f>
        <v>0</v>
      </c>
    </row>
    <row r="114" spans="1:8">
      <c r="A114" s="135">
        <f ca="1">('main page'!$U$31/100)*'normal case'!D115</f>
        <v>20</v>
      </c>
      <c r="B114" s="136"/>
      <c r="C114" s="135">
        <f ca="1">'normal case'!AG115-'normal case'!AG114+IF(controls!$B$33=1,(1+(('main page'!$K$35/100)))*C113,'public finance'!C113)</f>
        <v>20</v>
      </c>
      <c r="D114" s="136">
        <f ca="1">IF(ABS(((A114-C114)/'normal case'!D115)-D113)&lt;0.0000001,D113,(A114-C114)/'normal case'!D115)</f>
        <v>0</v>
      </c>
      <c r="E114" s="136">
        <f ca="1">IF(ABS(D114-(G114*('normal case'!M115/100))/'normal case'!D115-E113)&lt;0.00001,E113,D114-(G114*('normal case'!M115/100))/'normal case'!D115)</f>
        <v>0</v>
      </c>
      <c r="F114" s="137">
        <f ca="1">F113*(1+'normal case'!L114/100)</f>
        <v>9.1879629939829375</v>
      </c>
      <c r="G114" s="135">
        <f ca="1">C114-A114+G113*(1+'normal case'!M114/100)</f>
        <v>0</v>
      </c>
      <c r="H114" s="136">
        <f ca="1">IF(ABS(G114/'normal case'!D115-H113)&lt;0.0000001,H113,G114/'normal case'!D115)</f>
        <v>0</v>
      </c>
    </row>
    <row r="115" spans="1:8">
      <c r="A115" s="135">
        <f ca="1">('main page'!$U$31/100)*'normal case'!D116</f>
        <v>20</v>
      </c>
      <c r="B115" s="136"/>
      <c r="C115" s="135">
        <f ca="1">'normal case'!AG116-'normal case'!AG115+IF(controls!$B$33=1,(1+(('main page'!$K$35/100)))*C114,'public finance'!C114)</f>
        <v>20</v>
      </c>
      <c r="D115" s="136">
        <f ca="1">IF(ABS(((A115-C115)/'normal case'!D116)-D114)&lt;0.0000001,D114,(A115-C115)/'normal case'!D116)</f>
        <v>0</v>
      </c>
      <c r="E115" s="136">
        <f ca="1">IF(ABS(D115-(G115*('normal case'!M116/100))/'normal case'!D116-E114)&lt;0.00001,E114,D115-(G115*('normal case'!M116/100))/'normal case'!D116)</f>
        <v>0</v>
      </c>
      <c r="F115" s="137">
        <f ca="1">F114*(1+'normal case'!L115/100)</f>
        <v>9.3717222538625968</v>
      </c>
      <c r="G115" s="135">
        <f ca="1">C115-A115+G114*(1+'normal case'!M115/100)</f>
        <v>0</v>
      </c>
      <c r="H115" s="136">
        <f ca="1">IF(ABS(G115/'normal case'!D116-H114)&lt;0.0000001,H114,G115/'normal case'!D116)</f>
        <v>0</v>
      </c>
    </row>
    <row r="116" spans="1:8">
      <c r="A116" s="135">
        <f ca="1">('main page'!$U$31/100)*'normal case'!D117</f>
        <v>20</v>
      </c>
      <c r="B116" s="136"/>
      <c r="C116" s="135">
        <f ca="1">'normal case'!AG117-'normal case'!AG116+IF(controls!$B$33=1,(1+(('main page'!$K$35/100)))*C115,'public finance'!C115)</f>
        <v>20</v>
      </c>
      <c r="D116" s="136">
        <f ca="1">IF(ABS(((A116-C116)/'normal case'!D117)-D115)&lt;0.0000001,D115,(A116-C116)/'normal case'!D117)</f>
        <v>0</v>
      </c>
      <c r="E116" s="136">
        <f ca="1">IF(ABS(D116-(G116*('normal case'!M117/100))/'normal case'!D117-E115)&lt;0.00001,E115,D116-(G116*('normal case'!M117/100))/'normal case'!D117)</f>
        <v>0</v>
      </c>
      <c r="F116" s="137">
        <f ca="1">F115*(1+'normal case'!L116/100)</f>
        <v>9.5591566989398498</v>
      </c>
      <c r="G116" s="135">
        <f ca="1">C116-A116+G115*(1+'normal case'!M116/100)</f>
        <v>0</v>
      </c>
      <c r="H116" s="136">
        <f ca="1">IF(ABS(G116/'normal case'!D117-H115)&lt;0.0000001,H115,G116/'normal case'!D117)</f>
        <v>0</v>
      </c>
    </row>
    <row r="117" spans="1:8">
      <c r="A117" s="135">
        <f ca="1">('main page'!$U$31/100)*'normal case'!D118</f>
        <v>20</v>
      </c>
      <c r="B117" s="136"/>
      <c r="C117" s="135">
        <f ca="1">'normal case'!AG118-'normal case'!AG117+IF(controls!$B$33=1,(1+(('main page'!$K$35/100)))*C116,'public finance'!C116)</f>
        <v>20</v>
      </c>
      <c r="D117" s="136">
        <f ca="1">IF(ABS(((A117-C117)/'normal case'!D118)-D116)&lt;0.0000001,D116,(A117-C117)/'normal case'!D118)</f>
        <v>0</v>
      </c>
      <c r="E117" s="136">
        <f ca="1">IF(ABS(D117-(G117*('normal case'!M118/100))/'normal case'!D118-E116)&lt;0.00001,E116,D117-(G117*('normal case'!M118/100))/'normal case'!D118)</f>
        <v>0</v>
      </c>
      <c r="F117" s="137">
        <f ca="1">F116*(1+'normal case'!L117/100)</f>
        <v>9.7503398329186464</v>
      </c>
      <c r="G117" s="135">
        <f ca="1">C117-A117+G116*(1+'normal case'!M117/100)</f>
        <v>0</v>
      </c>
      <c r="H117" s="136">
        <f ca="1">IF(ABS(G117/'normal case'!D118-H116)&lt;0.0000001,H116,G117/'normal case'!D118)</f>
        <v>0</v>
      </c>
    </row>
    <row r="118" spans="1:8">
      <c r="A118" s="135">
        <f ca="1">('main page'!$U$31/100)*'normal case'!D119</f>
        <v>20</v>
      </c>
      <c r="B118" s="136"/>
      <c r="C118" s="135">
        <f ca="1">'normal case'!AG119-'normal case'!AG118+IF(controls!$B$33=1,(1+(('main page'!$K$35/100)))*C117,'public finance'!C117)</f>
        <v>20</v>
      </c>
      <c r="D118" s="136">
        <f ca="1">IF(ABS(((A118-C118)/'normal case'!D119)-D117)&lt;0.0000001,D117,(A118-C118)/'normal case'!D119)</f>
        <v>0</v>
      </c>
      <c r="E118" s="136">
        <f ca="1">IF(ABS(D118-(G118*('normal case'!M119/100))/'normal case'!D119-E117)&lt;0.00001,E117,D118-(G118*('normal case'!M119/100))/'normal case'!D119)</f>
        <v>0</v>
      </c>
      <c r="F118" s="137">
        <f ca="1">F117*(1+'normal case'!L118/100)</f>
        <v>9.9453466295770188</v>
      </c>
      <c r="G118" s="135">
        <f ca="1">C118-A118+G117*(1+'normal case'!M118/100)</f>
        <v>0</v>
      </c>
      <c r="H118" s="136">
        <f ca="1">IF(ABS(G118/'normal case'!D119-H117)&lt;0.0000001,H117,G118/'normal case'!D119)</f>
        <v>0</v>
      </c>
    </row>
    <row r="119" spans="1:8">
      <c r="A119" s="135">
        <f ca="1">('main page'!$U$31/100)*'normal case'!D120</f>
        <v>20</v>
      </c>
      <c r="B119" s="136"/>
      <c r="C119" s="135">
        <f ca="1">'normal case'!AG120-'normal case'!AG119+IF(controls!$B$33=1,(1+(('main page'!$K$35/100)))*C118,'public finance'!C118)</f>
        <v>20</v>
      </c>
      <c r="D119" s="136">
        <f ca="1">IF(ABS(((A119-C119)/'normal case'!D120)-D118)&lt;0.0000001,D118,(A119-C119)/'normal case'!D120)</f>
        <v>0</v>
      </c>
      <c r="E119" s="136">
        <f ca="1">IF(ABS(D119-(G119*('normal case'!M120/100))/'normal case'!D120-E118)&lt;0.00001,E118,D119-(G119*('normal case'!M120/100))/'normal case'!D120)</f>
        <v>0</v>
      </c>
      <c r="F119" s="137">
        <f ca="1">F118*(1+'normal case'!L119/100)</f>
        <v>10.14425356216856</v>
      </c>
      <c r="G119" s="135">
        <f ca="1">C119-A119+G118*(1+'normal case'!M119/100)</f>
        <v>0</v>
      </c>
      <c r="H119" s="136">
        <f ca="1">IF(ABS(G119/'normal case'!D120-H118)&lt;0.0000001,H118,G119/'normal case'!D120)</f>
        <v>0</v>
      </c>
    </row>
    <row r="120" spans="1:8">
      <c r="A120" s="135">
        <f ca="1">('main page'!$U$31/100)*'normal case'!D121</f>
        <v>20</v>
      </c>
      <c r="B120" s="136"/>
      <c r="C120" s="135">
        <f ca="1">'normal case'!AG121-'normal case'!AG120+IF(controls!$B$33=1,(1+(('main page'!$K$35/100)))*C119,'public finance'!C119)</f>
        <v>20</v>
      </c>
      <c r="D120" s="136">
        <f ca="1">IF(ABS(((A120-C120)/'normal case'!D121)-D119)&lt;0.0000001,D119,(A120-C120)/'normal case'!D121)</f>
        <v>0</v>
      </c>
      <c r="E120" s="136">
        <f ca="1">IF(ABS(D120-(G120*('normal case'!M121/100))/'normal case'!D121-E119)&lt;0.00001,E119,D120-(G120*('normal case'!M121/100))/'normal case'!D121)</f>
        <v>0</v>
      </c>
      <c r="F120" s="137">
        <f ca="1">F119*(1+'normal case'!L120/100)</f>
        <v>10.34713863341193</v>
      </c>
      <c r="G120" s="135">
        <f ca="1">C120-A120+G119*(1+'normal case'!M120/100)</f>
        <v>0</v>
      </c>
      <c r="H120" s="136">
        <f ca="1">IF(ABS(G120/'normal case'!D121-H119)&lt;0.0000001,H119,G120/'normal case'!D121)</f>
        <v>0</v>
      </c>
    </row>
    <row r="121" spans="1:8">
      <c r="A121" s="135">
        <f ca="1">('main page'!$U$31/100)*'normal case'!D122</f>
        <v>20</v>
      </c>
      <c r="B121" s="136"/>
      <c r="C121" s="135">
        <f ca="1">'normal case'!AG122-'normal case'!AG121+IF(controls!$B$33=1,(1+(('main page'!$K$35/100)))*C120,'public finance'!C120)</f>
        <v>20</v>
      </c>
      <c r="D121" s="136">
        <f ca="1">IF(ABS(((A121-C121)/'normal case'!D122)-D120)&lt;0.0000001,D120,(A121-C121)/'normal case'!D122)</f>
        <v>0</v>
      </c>
      <c r="E121" s="136">
        <f ca="1">IF(ABS(D121-(G121*('normal case'!M122/100))/'normal case'!D122-E120)&lt;0.00001,E120,D121-(G121*('normal case'!M122/100))/'normal case'!D122)</f>
        <v>0</v>
      </c>
      <c r="F121" s="137">
        <f ca="1">F120*(1+'normal case'!L121/100)</f>
        <v>10.554081406080169</v>
      </c>
      <c r="G121" s="135">
        <f ca="1">C121-A121+G120*(1+'normal case'!M121/100)</f>
        <v>0</v>
      </c>
      <c r="H121" s="136">
        <f ca="1">IF(ABS(G121/'normal case'!D122-H120)&lt;0.0000001,H120,G121/'normal case'!D122)</f>
        <v>0</v>
      </c>
    </row>
    <row r="122" spans="1:8">
      <c r="A122" s="135">
        <f ca="1">('main page'!$U$31/100)*'normal case'!D123</f>
        <v>20</v>
      </c>
      <c r="B122" s="136"/>
      <c r="C122" s="135">
        <f ca="1">'normal case'!AG123-'normal case'!AG122+IF(controls!$B$33=1,(1+(('main page'!$K$35/100)))*C121,'public finance'!C121)</f>
        <v>20</v>
      </c>
      <c r="D122" s="136">
        <f ca="1">IF(ABS(((A122-C122)/'normal case'!D123)-D121)&lt;0.0000001,D121,(A122-C122)/'normal case'!D123)</f>
        <v>0</v>
      </c>
      <c r="E122" s="136">
        <f ca="1">IF(ABS(D122-(G122*('normal case'!M123/100))/'normal case'!D123-E121)&lt;0.00001,E121,D122-(G122*('normal case'!M123/100))/'normal case'!D123)</f>
        <v>0</v>
      </c>
      <c r="F122" s="137">
        <f ca="1">F121*(1+'normal case'!L122/100)</f>
        <v>10.765163034201771</v>
      </c>
      <c r="G122" s="135">
        <f ca="1">C122-A122+G121*(1+'normal case'!M122/100)</f>
        <v>0</v>
      </c>
      <c r="H122" s="136">
        <f ca="1">IF(ABS(G122/'normal case'!D123-H121)&lt;0.0000001,H121,G122/'normal case'!D123)</f>
        <v>0</v>
      </c>
    </row>
    <row r="123" spans="1:8">
      <c r="A123" s="135">
        <f ca="1">('main page'!$U$31/100)*'normal case'!D124</f>
        <v>20</v>
      </c>
      <c r="B123" s="136"/>
      <c r="C123" s="135">
        <f ca="1">'normal case'!AG124-'normal case'!AG123+IF(controls!$B$33=1,(1+(('main page'!$K$35/100)))*C122,'public finance'!C122)</f>
        <v>20</v>
      </c>
      <c r="D123" s="136">
        <f ca="1">IF(ABS(((A123-C123)/'normal case'!D124)-D122)&lt;0.0000001,D122,(A123-C123)/'normal case'!D124)</f>
        <v>0</v>
      </c>
      <c r="E123" s="136">
        <f ca="1">IF(ABS(D123-(G123*('normal case'!M124/100))/'normal case'!D124-E122)&lt;0.00001,E122,D123-(G123*('normal case'!M124/100))/'normal case'!D124)</f>
        <v>0</v>
      </c>
      <c r="F123" s="137">
        <f ca="1">F122*(1+'normal case'!L123/100)</f>
        <v>10.980466294885806</v>
      </c>
      <c r="G123" s="135">
        <f ca="1">C123-A123+G122*(1+'normal case'!M123/100)</f>
        <v>0</v>
      </c>
      <c r="H123" s="136">
        <f ca="1">IF(ABS(G123/'normal case'!D124-H122)&lt;0.0000001,H122,G123/'normal case'!D124)</f>
        <v>0</v>
      </c>
    </row>
    <row r="124" spans="1:8">
      <c r="A124" s="135">
        <f ca="1">('main page'!$U$31/100)*'normal case'!D125</f>
        <v>20</v>
      </c>
      <c r="B124" s="136"/>
      <c r="C124" s="135">
        <f ca="1">'normal case'!AG125-'normal case'!AG124+IF(controls!$B$33=1,(1+(('main page'!$K$35/100)))*C123,'public finance'!C123)</f>
        <v>20</v>
      </c>
      <c r="D124" s="136">
        <f ca="1">IF(ABS(((A124-C124)/'normal case'!D125)-D123)&lt;0.0000001,D123,(A124-C124)/'normal case'!D125)</f>
        <v>0</v>
      </c>
      <c r="E124" s="136">
        <f ca="1">IF(ABS(D124-(G124*('normal case'!M125/100))/'normal case'!D125-E123)&lt;0.00001,E123,D124-(G124*('normal case'!M125/100))/'normal case'!D125)</f>
        <v>0</v>
      </c>
      <c r="F124" s="137">
        <f ca="1">F123*(1+'normal case'!L124/100)</f>
        <v>11.200075620783522</v>
      </c>
      <c r="G124" s="135">
        <f ca="1">C124-A124+G123*(1+'normal case'!M124/100)</f>
        <v>0</v>
      </c>
      <c r="H124" s="136">
        <f ca="1">IF(ABS(G124/'normal case'!D125-H123)&lt;0.0000001,H123,G124/'normal case'!D125)</f>
        <v>0</v>
      </c>
    </row>
    <row r="125" spans="1:8">
      <c r="A125" s="135">
        <f ca="1">('main page'!$U$31/100)*'normal case'!D126</f>
        <v>20</v>
      </c>
      <c r="B125" s="136"/>
      <c r="C125" s="135">
        <f ca="1">'normal case'!AG126-'normal case'!AG125+IF(controls!$B$33=1,(1+(('main page'!$K$35/100)))*C124,'public finance'!C124)</f>
        <v>20</v>
      </c>
      <c r="D125" s="136">
        <f ca="1">IF(ABS(((A125-C125)/'normal case'!D126)-D124)&lt;0.0000001,D124,(A125-C125)/'normal case'!D126)</f>
        <v>0</v>
      </c>
      <c r="E125" s="136">
        <f ca="1">IF(ABS(D125-(G125*('normal case'!M126/100))/'normal case'!D126-E124)&lt;0.00001,E124,D125-(G125*('normal case'!M126/100))/'normal case'!D126)</f>
        <v>0</v>
      </c>
      <c r="F125" s="137">
        <f ca="1">F124*(1+'normal case'!L125/100)</f>
        <v>11.424077133199193</v>
      </c>
      <c r="G125" s="135">
        <f ca="1">C125-A125+G124*(1+'normal case'!M125/100)</f>
        <v>0</v>
      </c>
      <c r="H125" s="136">
        <f ca="1">IF(ABS(G125/'normal case'!D126-H124)&lt;0.0000001,H124,G125/'normal case'!D126)</f>
        <v>0</v>
      </c>
    </row>
    <row r="126" spans="1:8">
      <c r="A126" s="135">
        <f ca="1">('main page'!$U$31/100)*'normal case'!D127</f>
        <v>20</v>
      </c>
      <c r="B126" s="136"/>
      <c r="C126" s="135">
        <f ca="1">'normal case'!AG127-'normal case'!AG126+IF(controls!$B$33=1,(1+(('main page'!$K$35/100)))*C125,'public finance'!C125)</f>
        <v>20</v>
      </c>
      <c r="D126" s="136">
        <f ca="1">IF(ABS(((A126-C126)/'normal case'!D127)-D125)&lt;0.0000001,D125,(A126-C126)/'normal case'!D127)</f>
        <v>0</v>
      </c>
      <c r="E126" s="136">
        <f ca="1">IF(ABS(D126-(G126*('normal case'!M127/100))/'normal case'!D127-E125)&lt;0.00001,E125,D126-(G126*('normal case'!M127/100))/'normal case'!D127)</f>
        <v>0</v>
      </c>
      <c r="F126" s="137">
        <f ca="1">F125*(1+'normal case'!L126/100)</f>
        <v>11.652558675863176</v>
      </c>
      <c r="G126" s="135">
        <f ca="1">C126-A126+G125*(1+'normal case'!M126/100)</f>
        <v>0</v>
      </c>
      <c r="H126" s="136">
        <f ca="1">IF(ABS(G126/'normal case'!D127-H125)&lt;0.0000001,H125,G126/'normal case'!D127)</f>
        <v>0</v>
      </c>
    </row>
    <row r="127" spans="1:8">
      <c r="A127" s="135">
        <f ca="1">('main page'!$U$31/100)*'normal case'!D128</f>
        <v>20</v>
      </c>
      <c r="B127" s="136"/>
      <c r="C127" s="135">
        <f ca="1">'normal case'!AG128-'normal case'!AG127+IF(controls!$B$33=1,(1+(('main page'!$K$35/100)))*C126,'public finance'!C126)</f>
        <v>20</v>
      </c>
      <c r="D127" s="136">
        <f ca="1">IF(ABS(((A127-C127)/'normal case'!D128)-D126)&lt;0.0000001,D126,(A127-C127)/'normal case'!D128)</f>
        <v>0</v>
      </c>
      <c r="E127" s="136">
        <f ca="1">IF(ABS(D127-(G127*('normal case'!M128/100))/'normal case'!D128-E126)&lt;0.00001,E126,D127-(G127*('normal case'!M128/100))/'normal case'!D128)</f>
        <v>0</v>
      </c>
      <c r="F127" s="137">
        <f ca="1">F126*(1+'normal case'!L127/100)</f>
        <v>11.88560984938044</v>
      </c>
      <c r="G127" s="135">
        <f ca="1">C127-A127+G126*(1+'normal case'!M127/100)</f>
        <v>0</v>
      </c>
      <c r="H127" s="136">
        <f ca="1">IF(ABS(G127/'normal case'!D128-H126)&lt;0.0000001,H126,G127/'normal case'!D128)</f>
        <v>0</v>
      </c>
    </row>
    <row r="128" spans="1:8">
      <c r="A128" s="135">
        <f ca="1">('main page'!$U$31/100)*'normal case'!D129</f>
        <v>20</v>
      </c>
      <c r="B128" s="136"/>
      <c r="C128" s="135">
        <f ca="1">'normal case'!AG129-'normal case'!AG128+IF(controls!$B$33=1,(1+(('main page'!$K$35/100)))*C127,'public finance'!C127)</f>
        <v>20</v>
      </c>
      <c r="D128" s="136">
        <f ca="1">IF(ABS(((A128-C128)/'normal case'!D129)-D127)&lt;0.0000001,D127,(A128-C128)/'normal case'!D129)</f>
        <v>0</v>
      </c>
      <c r="E128" s="136">
        <f ca="1">IF(ABS(D128-(G128*('normal case'!M129/100))/'normal case'!D129-E127)&lt;0.00001,E127,D128-(G128*('normal case'!M129/100))/'normal case'!D129)</f>
        <v>0</v>
      </c>
      <c r="F128" s="137">
        <f ca="1">F127*(1+'normal case'!L128/100)</f>
        <v>12.123322046368049</v>
      </c>
      <c r="G128" s="135">
        <f ca="1">C128-A128+G127*(1+'normal case'!M128/100)</f>
        <v>0</v>
      </c>
      <c r="H128" s="136">
        <f ca="1">IF(ABS(G128/'normal case'!D129-H127)&lt;0.0000001,H127,G128/'normal case'!D129)</f>
        <v>0</v>
      </c>
    </row>
    <row r="129" spans="1:8">
      <c r="A129" s="135">
        <f ca="1">('main page'!$U$31/100)*'normal case'!D130</f>
        <v>20</v>
      </c>
      <c r="B129" s="136"/>
      <c r="C129" s="135">
        <f ca="1">'normal case'!AG130-'normal case'!AG129+IF(controls!$B$33=1,(1+(('main page'!$K$35/100)))*C128,'public finance'!C128)</f>
        <v>20</v>
      </c>
      <c r="D129" s="136">
        <f ca="1">IF(ABS(((A129-C129)/'normal case'!D130)-D128)&lt;0.0000001,D128,(A129-C129)/'normal case'!D130)</f>
        <v>0</v>
      </c>
      <c r="E129" s="136">
        <f ca="1">IF(ABS(D129-(G129*('normal case'!M130/100))/'normal case'!D130-E128)&lt;0.00001,E128,D129-(G129*('normal case'!M130/100))/'normal case'!D130)</f>
        <v>0</v>
      </c>
      <c r="F129" s="137">
        <f ca="1">F128*(1+'normal case'!L129/100)</f>
        <v>12.36578848729541</v>
      </c>
      <c r="G129" s="135">
        <f ca="1">C129-A129+G128*(1+'normal case'!M129/100)</f>
        <v>0</v>
      </c>
      <c r="H129" s="136">
        <f ca="1">IF(ABS(G129/'normal case'!D130-H128)&lt;0.0000001,H128,G129/'normal case'!D130)</f>
        <v>0</v>
      </c>
    </row>
    <row r="130" spans="1:8">
      <c r="A130" s="135">
        <f ca="1">('main page'!$U$31/100)*'normal case'!D131</f>
        <v>20</v>
      </c>
      <c r="B130" s="136"/>
      <c r="C130" s="135">
        <f ca="1">'normal case'!AG131-'normal case'!AG130+IF(controls!$B$33=1,(1+(('main page'!$K$35/100)))*C129,'public finance'!C129)</f>
        <v>20</v>
      </c>
      <c r="D130" s="136">
        <f ca="1">IF(ABS(((A130-C130)/'normal case'!D131)-D129)&lt;0.0000001,D129,(A130-C130)/'normal case'!D131)</f>
        <v>0</v>
      </c>
      <c r="E130" s="136">
        <f ca="1">IF(ABS(D130-(G130*('normal case'!M131/100))/'normal case'!D131-E129)&lt;0.00001,E129,D130-(G130*('normal case'!M131/100))/'normal case'!D131)</f>
        <v>0</v>
      </c>
      <c r="F130" s="137">
        <f ca="1">F129*(1+'normal case'!L130/100)</f>
        <v>12.613104257041318</v>
      </c>
      <c r="G130" s="135">
        <f ca="1">C130-A130+G129*(1+'normal case'!M130/100)</f>
        <v>0</v>
      </c>
      <c r="H130" s="136">
        <f ca="1">IF(ABS(G130/'normal case'!D131-H129)&lt;0.0000001,H129,G130/'normal case'!D131)</f>
        <v>0</v>
      </c>
    </row>
    <row r="131" spans="1:8">
      <c r="A131" s="135">
        <f ca="1">('main page'!$U$31/100)*'normal case'!D132</f>
        <v>20</v>
      </c>
      <c r="B131" s="136"/>
      <c r="C131" s="135">
        <f ca="1">'normal case'!AG132-'normal case'!AG131+IF(controls!$B$33=1,(1+(('main page'!$K$35/100)))*C130,'public finance'!C130)</f>
        <v>20</v>
      </c>
      <c r="D131" s="136">
        <f ca="1">IF(ABS(((A131-C131)/'normal case'!D132)-D130)&lt;0.0000001,D130,(A131-C131)/'normal case'!D132)</f>
        <v>0</v>
      </c>
      <c r="E131" s="136">
        <f ca="1">IF(ABS(D131-(G131*('normal case'!M132/100))/'normal case'!D132-E130)&lt;0.00001,E130,D131-(G131*('normal case'!M132/100))/'normal case'!D132)</f>
        <v>0</v>
      </c>
      <c r="F131" s="137">
        <f ca="1">F130*(1+'normal case'!L131/100)</f>
        <v>12.865366342182144</v>
      </c>
      <c r="G131" s="135">
        <f ca="1">C131-A131+G130*(1+'normal case'!M131/100)</f>
        <v>0</v>
      </c>
      <c r="H131" s="136">
        <f ca="1">IF(ABS(G131/'normal case'!D132-H130)&lt;0.0000001,H130,G131/'normal case'!D132)</f>
        <v>0</v>
      </c>
    </row>
    <row r="132" spans="1:8">
      <c r="A132" s="135">
        <f ca="1">('main page'!$U$31/100)*'normal case'!D133</f>
        <v>20</v>
      </c>
      <c r="B132" s="136"/>
      <c r="C132" s="135">
        <f ca="1">'normal case'!AG133-'normal case'!AG132+IF(controls!$B$33=1,(1+(('main page'!$K$35/100)))*C131,'public finance'!C131)</f>
        <v>20</v>
      </c>
      <c r="D132" s="136">
        <f ca="1">IF(ABS(((A132-C132)/'normal case'!D133)-D131)&lt;0.0000001,D131,(A132-C132)/'normal case'!D133)</f>
        <v>0</v>
      </c>
      <c r="E132" s="136">
        <f ca="1">IF(ABS(D132-(G132*('normal case'!M133/100))/'normal case'!D133-E131)&lt;0.00001,E131,D132-(G132*('normal case'!M133/100))/'normal case'!D133)</f>
        <v>0</v>
      </c>
      <c r="F132" s="137">
        <f ca="1">F131*(1+'normal case'!L132/100)</f>
        <v>13.122673669025787</v>
      </c>
      <c r="G132" s="135">
        <f ca="1">C132-A132+G131*(1+'normal case'!M132/100)</f>
        <v>0</v>
      </c>
      <c r="H132" s="136">
        <f ca="1">IF(ABS(G132/'normal case'!D133-H131)&lt;0.0000001,H131,G132/'normal case'!D133)</f>
        <v>0</v>
      </c>
    </row>
    <row r="133" spans="1:8">
      <c r="A133" s="135">
        <f ca="1">('main page'!$U$31/100)*'normal case'!D134</f>
        <v>20</v>
      </c>
      <c r="B133" s="136"/>
      <c r="C133" s="135">
        <f ca="1">'normal case'!AG134-'normal case'!AG133+IF(controls!$B$33=1,(1+(('main page'!$K$35/100)))*C132,'public finance'!C132)</f>
        <v>20</v>
      </c>
      <c r="D133" s="136">
        <f ca="1">IF(ABS(((A133-C133)/'normal case'!D134)-D132)&lt;0.0000001,D132,(A133-C133)/'normal case'!D134)</f>
        <v>0</v>
      </c>
      <c r="E133" s="136">
        <f ca="1">IF(ABS(D133-(G133*('normal case'!M134/100))/'normal case'!D134-E132)&lt;0.00001,E132,D133-(G133*('normal case'!M134/100))/'normal case'!D134)</f>
        <v>0</v>
      </c>
      <c r="F133" s="137">
        <f ca="1">F132*(1+'normal case'!L133/100)</f>
        <v>13.385127142406303</v>
      </c>
      <c r="G133" s="135">
        <f ca="1">C133-A133+G132*(1+'normal case'!M133/100)</f>
        <v>0</v>
      </c>
      <c r="H133" s="136">
        <f ca="1">IF(ABS(G133/'normal case'!D134-H132)&lt;0.0000001,H132,G133/'normal case'!D134)</f>
        <v>0</v>
      </c>
    </row>
    <row r="134" spans="1:8">
      <c r="A134" s="135">
        <f ca="1">('main page'!$U$31/100)*'normal case'!D135</f>
        <v>20</v>
      </c>
      <c r="B134" s="136"/>
      <c r="C134" s="135">
        <f ca="1">'normal case'!AG135-'normal case'!AG134+IF(controls!$B$33=1,(1+(('main page'!$K$35/100)))*C133,'public finance'!C133)</f>
        <v>20</v>
      </c>
      <c r="D134" s="136">
        <f ca="1">IF(ABS(((A134-C134)/'normal case'!D135)-D133)&lt;0.0000001,D133,(A134-C134)/'normal case'!D135)</f>
        <v>0</v>
      </c>
      <c r="E134" s="136">
        <f ca="1">IF(ABS(D134-(G134*('normal case'!M135/100))/'normal case'!D135-E133)&lt;0.00001,E133,D134-(G134*('normal case'!M135/100))/'normal case'!D135)</f>
        <v>0</v>
      </c>
      <c r="F134" s="137">
        <f ca="1">F133*(1+'normal case'!L134/100)</f>
        <v>13.652829685254428</v>
      </c>
      <c r="G134" s="135">
        <f ca="1">C134-A134+G133*(1+'normal case'!M134/100)</f>
        <v>0</v>
      </c>
      <c r="H134" s="136">
        <f ca="1">IF(ABS(G134/'normal case'!D135-H133)&lt;0.0000001,H133,G134/'normal case'!D135)</f>
        <v>0</v>
      </c>
    </row>
    <row r="135" spans="1:8">
      <c r="A135" s="135">
        <f ca="1">('main page'!$U$31/100)*'normal case'!D136</f>
        <v>20</v>
      </c>
      <c r="B135" s="136"/>
      <c r="C135" s="135">
        <f ca="1">'normal case'!AG136-'normal case'!AG135+IF(controls!$B$33=1,(1+(('main page'!$K$35/100)))*C134,'public finance'!C134)</f>
        <v>20</v>
      </c>
      <c r="D135" s="136">
        <f ca="1">IF(ABS(((A135-C135)/'normal case'!D136)-D134)&lt;0.0000001,D134,(A135-C135)/'normal case'!D136)</f>
        <v>0</v>
      </c>
      <c r="E135" s="136">
        <f ca="1">IF(ABS(D135-(G135*('normal case'!M136/100))/'normal case'!D136-E134)&lt;0.00001,E134,D135-(G135*('normal case'!M136/100))/'normal case'!D136)</f>
        <v>0</v>
      </c>
      <c r="F135" s="137">
        <f ca="1">F134*(1+'normal case'!L135/100)</f>
        <v>13.925886278959517</v>
      </c>
      <c r="G135" s="135">
        <f ca="1">C135-A135+G134*(1+'normal case'!M135/100)</f>
        <v>0</v>
      </c>
      <c r="H135" s="136">
        <f ca="1">IF(ABS(G135/'normal case'!D136-H134)&lt;0.0000001,H134,G135/'normal case'!D136)</f>
        <v>0</v>
      </c>
    </row>
    <row r="136" spans="1:8">
      <c r="A136" s="135">
        <f ca="1">('main page'!$U$31/100)*'normal case'!D137</f>
        <v>20</v>
      </c>
      <c r="B136" s="136"/>
      <c r="C136" s="135">
        <f ca="1">'normal case'!AG137-'normal case'!AG136+IF(controls!$B$33=1,(1+(('main page'!$K$35/100)))*C135,'public finance'!C135)</f>
        <v>20</v>
      </c>
      <c r="D136" s="136">
        <f ca="1">IF(ABS(((A136-C136)/'normal case'!D137)-D135)&lt;0.0000001,D135,(A136-C136)/'normal case'!D137)</f>
        <v>0</v>
      </c>
      <c r="E136" s="136">
        <f ca="1">IF(ABS(D136-(G136*('normal case'!M137/100))/'normal case'!D137-E135)&lt;0.00001,E135,D136-(G136*('normal case'!M137/100))/'normal case'!D137)</f>
        <v>0</v>
      </c>
      <c r="F136" s="137">
        <f ca="1">F135*(1+'normal case'!L136/100)</f>
        <v>14.204404004538707</v>
      </c>
      <c r="G136" s="135">
        <f ca="1">C136-A136+G135*(1+'normal case'!M136/100)</f>
        <v>0</v>
      </c>
      <c r="H136" s="136">
        <f ca="1">IF(ABS(G136/'normal case'!D137-H135)&lt;0.0000001,H135,G136/'normal case'!D137)</f>
        <v>0</v>
      </c>
    </row>
    <row r="137" spans="1:8">
      <c r="A137" s="135">
        <f ca="1">('main page'!$U$31/100)*'normal case'!D138</f>
        <v>20</v>
      </c>
      <c r="B137" s="136"/>
      <c r="C137" s="135">
        <f ca="1">'normal case'!AG138-'normal case'!AG137+IF(controls!$B$33=1,(1+(('main page'!$K$35/100)))*C136,'public finance'!C136)</f>
        <v>20</v>
      </c>
      <c r="D137" s="136">
        <f ca="1">IF(ABS(((A137-C137)/'normal case'!D138)-D136)&lt;0.0000001,D136,(A137-C137)/'normal case'!D138)</f>
        <v>0</v>
      </c>
      <c r="E137" s="136">
        <f ca="1">IF(ABS(D137-(G137*('normal case'!M138/100))/'normal case'!D138-E136)&lt;0.00001,E136,D137-(G137*('normal case'!M138/100))/'normal case'!D138)</f>
        <v>0</v>
      </c>
      <c r="F137" s="137">
        <f ca="1">F136*(1+'normal case'!L137/100)</f>
        <v>14.488492084629481</v>
      </c>
      <c r="G137" s="135">
        <f ca="1">C137-A137+G136*(1+'normal case'!M137/100)</f>
        <v>0</v>
      </c>
      <c r="H137" s="136">
        <f ca="1">IF(ABS(G137/'normal case'!D138-H136)&lt;0.0000001,H136,G137/'normal case'!D138)</f>
        <v>0</v>
      </c>
    </row>
    <row r="138" spans="1:8">
      <c r="A138" s="135">
        <f ca="1">('main page'!$U$31/100)*'normal case'!D139</f>
        <v>20</v>
      </c>
      <c r="B138" s="136"/>
      <c r="C138" s="135">
        <f ca="1">'normal case'!AG139-'normal case'!AG138+IF(controls!$B$33=1,(1+(('main page'!$K$35/100)))*C137,'public finance'!C137)</f>
        <v>20</v>
      </c>
      <c r="D138" s="136">
        <f ca="1">IF(ABS(((A138-C138)/'normal case'!D139)-D137)&lt;0.0000001,D137,(A138-C138)/'normal case'!D139)</f>
        <v>0</v>
      </c>
      <c r="E138" s="136">
        <f ca="1">IF(ABS(D138-(G138*('normal case'!M139/100))/'normal case'!D139-E137)&lt;0.00001,E137,D138-(G138*('normal case'!M139/100))/'normal case'!D139)</f>
        <v>0</v>
      </c>
      <c r="F138" s="137">
        <f ca="1">F137*(1+'normal case'!L138/100)</f>
        <v>14.77826192632207</v>
      </c>
      <c r="G138" s="135">
        <f ca="1">C138-A138+G137*(1+'normal case'!M138/100)</f>
        <v>0</v>
      </c>
      <c r="H138" s="136">
        <f ca="1">IF(ABS(G138/'normal case'!D139-H137)&lt;0.0000001,H137,G138/'normal case'!D139)</f>
        <v>0</v>
      </c>
    </row>
    <row r="139" spans="1:8">
      <c r="A139" s="135">
        <f ca="1">('main page'!$U$31/100)*'normal case'!D140</f>
        <v>20</v>
      </c>
      <c r="B139" s="136"/>
      <c r="C139" s="135">
        <f ca="1">'normal case'!AG140-'normal case'!AG139+IF(controls!$B$33=1,(1+(('main page'!$K$35/100)))*C138,'public finance'!C138)</f>
        <v>20</v>
      </c>
      <c r="D139" s="136">
        <f ca="1">IF(ABS(((A139-C139)/'normal case'!D140)-D138)&lt;0.0000001,D138,(A139-C139)/'normal case'!D140)</f>
        <v>0</v>
      </c>
      <c r="E139" s="136">
        <f ca="1">IF(ABS(D139-(G139*('normal case'!M140/100))/'normal case'!D140-E138)&lt;0.00001,E138,D139-(G139*('normal case'!M140/100))/'normal case'!D140)</f>
        <v>0</v>
      </c>
      <c r="F139" s="137">
        <f ca="1">F138*(1+'normal case'!L139/100)</f>
        <v>15.073827164848511</v>
      </c>
      <c r="G139" s="135">
        <f ca="1">C139-A139+G138*(1+'normal case'!M139/100)</f>
        <v>0</v>
      </c>
      <c r="H139" s="136">
        <f ca="1">IF(ABS(G139/'normal case'!D140-H138)&lt;0.0000001,H138,G139/'normal case'!D140)</f>
        <v>0</v>
      </c>
    </row>
    <row r="140" spans="1:8">
      <c r="A140" s="135">
        <f ca="1">('main page'!$U$31/100)*'normal case'!D141</f>
        <v>20</v>
      </c>
      <c r="B140" s="136"/>
      <c r="C140" s="135">
        <f ca="1">'normal case'!AG141-'normal case'!AG140+IF(controls!$B$33=1,(1+(('main page'!$K$35/100)))*C139,'public finance'!C139)</f>
        <v>20</v>
      </c>
      <c r="D140" s="136">
        <f ca="1">IF(ABS(((A140-C140)/'normal case'!D141)-D139)&lt;0.0000001,D139,(A140-C140)/'normal case'!D141)</f>
        <v>0</v>
      </c>
      <c r="E140" s="136">
        <f ca="1">IF(ABS(D140-(G140*('normal case'!M141/100))/'normal case'!D141-E139)&lt;0.00001,E139,D140-(G140*('normal case'!M141/100))/'normal case'!D141)</f>
        <v>0</v>
      </c>
      <c r="F140" s="137">
        <f ca="1">F139*(1+'normal case'!L140/100)</f>
        <v>15.375303708145482</v>
      </c>
      <c r="G140" s="135">
        <f ca="1">C140-A140+G139*(1+'normal case'!M140/100)</f>
        <v>0</v>
      </c>
      <c r="H140" s="136">
        <f ca="1">IF(ABS(G140/'normal case'!D141-H139)&lt;0.0000001,H139,G140/'normal case'!D141)</f>
        <v>0</v>
      </c>
    </row>
    <row r="141" spans="1:8">
      <c r="A141" s="135">
        <f ca="1">('main page'!$U$31/100)*'normal case'!D142</f>
        <v>20</v>
      </c>
      <c r="B141" s="136"/>
      <c r="C141" s="135">
        <f ca="1">'normal case'!AG142-'normal case'!AG141+IF(controls!$B$33=1,(1+(('main page'!$K$35/100)))*C140,'public finance'!C140)</f>
        <v>20</v>
      </c>
      <c r="D141" s="136">
        <f ca="1">IF(ABS(((A141-C141)/'normal case'!D142)-D140)&lt;0.0000001,D140,(A141-C141)/'normal case'!D142)</f>
        <v>0</v>
      </c>
      <c r="E141" s="136">
        <f ca="1">IF(ABS(D141-(G141*('normal case'!M142/100))/'normal case'!D142-E140)&lt;0.00001,E140,D141-(G141*('normal case'!M142/100))/'normal case'!D142)</f>
        <v>0</v>
      </c>
      <c r="F141" s="137">
        <f ca="1">F140*(1+'normal case'!L141/100)</f>
        <v>15.682809782308393</v>
      </c>
      <c r="G141" s="135">
        <f ca="1">C141-A141+G140*(1+'normal case'!M141/100)</f>
        <v>0</v>
      </c>
      <c r="H141" s="136">
        <f ca="1">IF(ABS(G141/'normal case'!D142-H140)&lt;0.0000001,H140,G141/'normal case'!D142)</f>
        <v>0</v>
      </c>
    </row>
    <row r="142" spans="1:8">
      <c r="A142" s="135">
        <f ca="1">('main page'!$U$31/100)*'normal case'!D143</f>
        <v>20</v>
      </c>
      <c r="B142" s="136"/>
      <c r="C142" s="135">
        <f ca="1">'normal case'!AG143-'normal case'!AG142+IF(controls!$B$33=1,(1+(('main page'!$K$35/100)))*C141,'public finance'!C141)</f>
        <v>20</v>
      </c>
      <c r="D142" s="136">
        <f ca="1">IF(ABS(((A142-C142)/'normal case'!D143)-D141)&lt;0.0000001,D141,(A142-C142)/'normal case'!D143)</f>
        <v>0</v>
      </c>
      <c r="E142" s="136">
        <f ca="1">IF(ABS(D142-(G142*('normal case'!M143/100))/'normal case'!D143-E141)&lt;0.00001,E141,D142-(G142*('normal case'!M143/100))/'normal case'!D143)</f>
        <v>0</v>
      </c>
      <c r="F142" s="137">
        <f ca="1">F141*(1+'normal case'!L142/100)</f>
        <v>15.996465977954561</v>
      </c>
      <c r="G142" s="135">
        <f ca="1">C142-A142+G141*(1+'normal case'!M142/100)</f>
        <v>0</v>
      </c>
      <c r="H142" s="136">
        <f ca="1">IF(ABS(G142/'normal case'!D143-H141)&lt;0.0000001,H141,G142/'normal case'!D143)</f>
        <v>0</v>
      </c>
    </row>
    <row r="143" spans="1:8">
      <c r="A143" s="135">
        <f ca="1">('main page'!$U$31/100)*'normal case'!D144</f>
        <v>20</v>
      </c>
      <c r="B143" s="136"/>
      <c r="C143" s="135">
        <f ca="1">'normal case'!AG144-'normal case'!AG143+IF(controls!$B$33=1,(1+(('main page'!$K$35/100)))*C142,'public finance'!C142)</f>
        <v>20</v>
      </c>
      <c r="D143" s="136">
        <f ca="1">IF(ABS(((A143-C143)/'normal case'!D144)-D142)&lt;0.0000001,D142,(A143-C143)/'normal case'!D144)</f>
        <v>0</v>
      </c>
      <c r="E143" s="136">
        <f ca="1">IF(ABS(D143-(G143*('normal case'!M144/100))/'normal case'!D144-E142)&lt;0.00001,E142,D143-(G143*('normal case'!M144/100))/'normal case'!D144)</f>
        <v>0</v>
      </c>
      <c r="F143" s="137">
        <f ca="1">F142*(1+'normal case'!L143/100)</f>
        <v>16.316395297513651</v>
      </c>
      <c r="G143" s="135">
        <f ca="1">C143-A143+G142*(1+'normal case'!M143/100)</f>
        <v>0</v>
      </c>
      <c r="H143" s="136">
        <f ca="1">IF(ABS(G143/'normal case'!D144-H142)&lt;0.0000001,H142,G143/'normal case'!D144)</f>
        <v>0</v>
      </c>
    </row>
    <row r="144" spans="1:8">
      <c r="A144" s="135">
        <f ca="1">('main page'!$U$31/100)*'normal case'!D145</f>
        <v>20</v>
      </c>
      <c r="B144" s="136"/>
      <c r="C144" s="135">
        <f ca="1">'normal case'!AG145-'normal case'!AG144+IF(controls!$B$33=1,(1+(('main page'!$K$35/100)))*C143,'public finance'!C143)</f>
        <v>20</v>
      </c>
      <c r="D144" s="136">
        <f ca="1">IF(ABS(((A144-C144)/'normal case'!D145)-D143)&lt;0.0000001,D143,(A144-C144)/'normal case'!D145)</f>
        <v>0</v>
      </c>
      <c r="E144" s="136">
        <f ca="1">IF(ABS(D144-(G144*('normal case'!M145/100))/'normal case'!D145-E143)&lt;0.00001,E143,D144-(G144*('normal case'!M145/100))/'normal case'!D145)</f>
        <v>0</v>
      </c>
      <c r="F144" s="137">
        <f ca="1">F143*(1+'normal case'!L144/100)</f>
        <v>16.642723203463923</v>
      </c>
      <c r="G144" s="135">
        <f ca="1">C144-A144+G143*(1+'normal case'!M144/100)</f>
        <v>0</v>
      </c>
      <c r="H144" s="136">
        <f ca="1">IF(ABS(G144/'normal case'!D145-H143)&lt;0.0000001,H143,G144/'normal case'!D145)</f>
        <v>0</v>
      </c>
    </row>
    <row r="145" spans="1:8">
      <c r="A145" s="135">
        <f ca="1">('main page'!$U$31/100)*'normal case'!D146</f>
        <v>20</v>
      </c>
      <c r="B145" s="136"/>
      <c r="C145" s="135">
        <f ca="1">'normal case'!AG146-'normal case'!AG145+IF(controls!$B$33=1,(1+(('main page'!$K$35/100)))*C144,'public finance'!C144)</f>
        <v>20</v>
      </c>
      <c r="D145" s="136">
        <f ca="1">IF(ABS(((A145-C145)/'normal case'!D146)-D144)&lt;0.0000001,D144,(A145-C145)/'normal case'!D146)</f>
        <v>0</v>
      </c>
      <c r="E145" s="136">
        <f ca="1">IF(ABS(D145-(G145*('normal case'!M146/100))/'normal case'!D146-E144)&lt;0.00001,E144,D145-(G145*('normal case'!M146/100))/'normal case'!D146)</f>
        <v>0</v>
      </c>
      <c r="F145" s="137">
        <f ca="1">F144*(1+'normal case'!L145/100)</f>
        <v>16.975577667533202</v>
      </c>
      <c r="G145" s="135">
        <f ca="1">C145-A145+G144*(1+'normal case'!M145/100)</f>
        <v>0</v>
      </c>
      <c r="H145" s="136">
        <f ca="1">IF(ABS(G145/'normal case'!D146-H144)&lt;0.0000001,H144,G145/'normal case'!D146)</f>
        <v>0</v>
      </c>
    </row>
    <row r="146" spans="1:8">
      <c r="A146" s="135">
        <f ca="1">('main page'!$U$31/100)*'normal case'!D147</f>
        <v>20</v>
      </c>
      <c r="B146" s="136"/>
      <c r="C146" s="135">
        <f ca="1">'normal case'!AG147-'normal case'!AG146+IF(controls!$B$33=1,(1+(('main page'!$K$35/100)))*C145,'public finance'!C145)</f>
        <v>20</v>
      </c>
      <c r="D146" s="136">
        <f ca="1">IF(ABS(((A146-C146)/'normal case'!D147)-D145)&lt;0.0000001,D145,(A146-C146)/'normal case'!D147)</f>
        <v>0</v>
      </c>
      <c r="E146" s="136">
        <f ca="1">IF(ABS(D146-(G146*('normal case'!M147/100))/'normal case'!D147-E145)&lt;0.00001,E145,D146-(G146*('normal case'!M147/100))/'normal case'!D147)</f>
        <v>0</v>
      </c>
      <c r="F146" s="137">
        <f ca="1">F145*(1+'normal case'!L146/100)</f>
        <v>17.315089220883866</v>
      </c>
      <c r="G146" s="135">
        <f ca="1">C146-A146+G145*(1+'normal case'!M146/100)</f>
        <v>0</v>
      </c>
      <c r="H146" s="136">
        <f ca="1">IF(ABS(G146/'normal case'!D147-H145)&lt;0.0000001,H145,G146/'normal case'!D147)</f>
        <v>0</v>
      </c>
    </row>
    <row r="147" spans="1:8">
      <c r="A147" s="135">
        <f ca="1">('main page'!$U$31/100)*'normal case'!D148</f>
        <v>20</v>
      </c>
      <c r="B147" s="136"/>
      <c r="C147" s="135">
        <f ca="1">'normal case'!AG148-'normal case'!AG147+IF(controls!$B$33=1,(1+(('main page'!$K$35/100)))*C146,'public finance'!C146)</f>
        <v>20</v>
      </c>
      <c r="D147" s="136">
        <f ca="1">IF(ABS(((A147-C147)/'normal case'!D148)-D146)&lt;0.0000001,D146,(A147-C147)/'normal case'!D148)</f>
        <v>0</v>
      </c>
      <c r="E147" s="136">
        <f ca="1">IF(ABS(D147-(G147*('normal case'!M148/100))/'normal case'!D148-E146)&lt;0.00001,E146,D147-(G147*('normal case'!M148/100))/'normal case'!D148)</f>
        <v>0</v>
      </c>
      <c r="F147" s="137">
        <f ca="1">F146*(1+'normal case'!L147/100)</f>
        <v>17.661391005301542</v>
      </c>
      <c r="G147" s="135">
        <f ca="1">C147-A147+G146*(1+'normal case'!M147/100)</f>
        <v>0</v>
      </c>
      <c r="H147" s="136">
        <f ca="1">IF(ABS(G147/'normal case'!D148-H146)&lt;0.0000001,H146,G147/'normal case'!D148)</f>
        <v>0</v>
      </c>
    </row>
    <row r="148" spans="1:8">
      <c r="A148" s="135">
        <f ca="1">('main page'!$U$31/100)*'normal case'!D149</f>
        <v>20</v>
      </c>
      <c r="B148" s="136"/>
      <c r="C148" s="135">
        <f ca="1">'normal case'!AG149-'normal case'!AG148+IF(controls!$B$33=1,(1+(('main page'!$K$35/100)))*C147,'public finance'!C147)</f>
        <v>20</v>
      </c>
      <c r="D148" s="136">
        <f ca="1">IF(ABS(((A148-C148)/'normal case'!D149)-D147)&lt;0.0000001,D147,(A148-C148)/'normal case'!D149)</f>
        <v>0</v>
      </c>
      <c r="E148" s="136">
        <f ca="1">IF(ABS(D148-(G148*('normal case'!M149/100))/'normal case'!D149-E147)&lt;0.00001,E147,D148-(G148*('normal case'!M149/100))/'normal case'!D149)</f>
        <v>0</v>
      </c>
      <c r="F148" s="137">
        <f ca="1">F147*(1+'normal case'!L148/100)</f>
        <v>18.014618825407574</v>
      </c>
      <c r="G148" s="135">
        <f ca="1">C148-A148+G147*(1+'normal case'!M148/100)</f>
        <v>0</v>
      </c>
      <c r="H148" s="136">
        <f ca="1">IF(ABS(G148/'normal case'!D149-H147)&lt;0.0000001,H147,G148/'normal case'!D149)</f>
        <v>0</v>
      </c>
    </row>
    <row r="149" spans="1:8">
      <c r="A149" s="135">
        <f ca="1">('main page'!$U$31/100)*'normal case'!D150</f>
        <v>20</v>
      </c>
      <c r="B149" s="136"/>
      <c r="C149" s="135">
        <f ca="1">'normal case'!AG150-'normal case'!AG149+IF(controls!$B$33=1,(1+(('main page'!$K$35/100)))*C148,'public finance'!C148)</f>
        <v>20</v>
      </c>
      <c r="D149" s="136">
        <f ca="1">IF(ABS(((A149-C149)/'normal case'!D150)-D148)&lt;0.0000001,D148,(A149-C149)/'normal case'!D150)</f>
        <v>0</v>
      </c>
      <c r="E149" s="136">
        <f ca="1">IF(ABS(D149-(G149*('normal case'!M150/100))/'normal case'!D150-E148)&lt;0.00001,E148,D149-(G149*('normal case'!M150/100))/'normal case'!D150)</f>
        <v>0</v>
      </c>
      <c r="F149" s="137">
        <f ca="1">F148*(1+'normal case'!L149/100)</f>
        <v>18.374911201915726</v>
      </c>
      <c r="G149" s="135">
        <f ca="1">C149-A149+G148*(1+'normal case'!M149/100)</f>
        <v>0</v>
      </c>
      <c r="H149" s="136">
        <f ca="1">IF(ABS(G149/'normal case'!D150-H148)&lt;0.0000001,H148,G149/'normal case'!D150)</f>
        <v>0</v>
      </c>
    </row>
    <row r="150" spans="1:8">
      <c r="A150" s="135">
        <f ca="1">('main page'!$U$31/100)*'normal case'!D151</f>
        <v>20</v>
      </c>
      <c r="B150" s="136"/>
      <c r="C150" s="135">
        <f ca="1">'normal case'!AG151-'normal case'!AG150+IF(controls!$B$33=1,(1+(('main page'!$K$35/100)))*C149,'public finance'!C149)</f>
        <v>20</v>
      </c>
      <c r="D150" s="136">
        <f ca="1">IF(ABS(((A150-C150)/'normal case'!D151)-D149)&lt;0.0000001,D149,(A150-C150)/'normal case'!D151)</f>
        <v>0</v>
      </c>
      <c r="E150" s="136">
        <f ca="1">IF(ABS(D150-(G150*('normal case'!M151/100))/'normal case'!D151-E149)&lt;0.00001,E149,D150-(G150*('normal case'!M151/100))/'normal case'!D151)</f>
        <v>0</v>
      </c>
      <c r="F150" s="137">
        <f ca="1">F149*(1+'normal case'!L150/100)</f>
        <v>18.74240942595404</v>
      </c>
      <c r="G150" s="135">
        <f ca="1">C150-A150+G149*(1+'normal case'!M150/100)</f>
        <v>0</v>
      </c>
      <c r="H150" s="136">
        <f ca="1">IF(ABS(G150/'normal case'!D151-H149)&lt;0.0000001,H149,G150/'normal case'!D151)</f>
        <v>0</v>
      </c>
    </row>
    <row r="151" spans="1:8">
      <c r="A151" s="135">
        <f ca="1">('main page'!$U$31/100)*'normal case'!D152</f>
        <v>20</v>
      </c>
      <c r="B151" s="136"/>
      <c r="C151" s="135">
        <f ca="1">'normal case'!AG152-'normal case'!AG151+IF(controls!$B$33=1,(1+(('main page'!$K$35/100)))*C150,'public finance'!C150)</f>
        <v>20</v>
      </c>
      <c r="D151" s="136">
        <f ca="1">IF(ABS(((A151-C151)/'normal case'!D152)-D150)&lt;0.0000001,D150,(A151-C151)/'normal case'!D152)</f>
        <v>0</v>
      </c>
      <c r="E151" s="136">
        <f ca="1">IF(ABS(D151-(G151*('normal case'!M152/100))/'normal case'!D152-E150)&lt;0.00001,E150,D151-(G151*('normal case'!M152/100))/'normal case'!D152)</f>
        <v>0</v>
      </c>
      <c r="F151" s="137">
        <f ca="1">F150*(1+'normal case'!L151/100)</f>
        <v>19.117257614473122</v>
      </c>
      <c r="G151" s="135">
        <f ca="1">C151-A151+G150*(1+'normal case'!M151/100)</f>
        <v>0</v>
      </c>
      <c r="H151" s="136">
        <f ca="1">IF(ABS(G151/'normal case'!D152-H150)&lt;0.0000001,H150,G151/'normal case'!D152)</f>
        <v>0</v>
      </c>
    </row>
    <row r="152" spans="1:8">
      <c r="A152" s="135">
        <f ca="1">('main page'!$U$31/100)*'normal case'!D153</f>
        <v>20</v>
      </c>
      <c r="B152" s="136"/>
      <c r="C152" s="135">
        <f ca="1">'normal case'!AG153-'normal case'!AG152+IF(controls!$B$33=1,(1+(('main page'!$K$35/100)))*C151,'public finance'!C151)</f>
        <v>20</v>
      </c>
      <c r="D152" s="136">
        <f ca="1">IF(ABS(((A152-C152)/'normal case'!D153)-D151)&lt;0.0000001,D151,(A152-C152)/'normal case'!D153)</f>
        <v>0</v>
      </c>
      <c r="E152" s="136">
        <f ca="1">IF(ABS(D152-(G152*('normal case'!M153/100))/'normal case'!D153-E151)&lt;0.00001,E151,D152-(G152*('normal case'!M153/100))/'normal case'!D153)</f>
        <v>0</v>
      </c>
      <c r="F152" s="137">
        <f ca="1">F151*(1+'normal case'!L152/100)</f>
        <v>19.499602766762585</v>
      </c>
      <c r="G152" s="135">
        <f ca="1">C152-A152+G151*(1+'normal case'!M152/100)</f>
        <v>0</v>
      </c>
      <c r="H152" s="136">
        <f ca="1">IF(ABS(G152/'normal case'!D153-H151)&lt;0.0000001,H151,G152/'normal case'!D153)</f>
        <v>0</v>
      </c>
    </row>
    <row r="153" spans="1:8">
      <c r="A153" s="135">
        <f ca="1">('main page'!$U$31/100)*'normal case'!D154</f>
        <v>20</v>
      </c>
      <c r="B153" s="136"/>
      <c r="C153" s="135">
        <f ca="1">'normal case'!AG154-'normal case'!AG153+IF(controls!$B$33=1,(1+(('main page'!$K$35/100)))*C152,'public finance'!C152)</f>
        <v>20</v>
      </c>
      <c r="D153" s="136">
        <f ca="1">IF(ABS(((A153-C153)/'normal case'!D154)-D152)&lt;0.0000001,D152,(A153-C153)/'normal case'!D154)</f>
        <v>0</v>
      </c>
      <c r="E153" s="136">
        <f ca="1">IF(ABS(D153-(G153*('normal case'!M154/100))/'normal case'!D154-E152)&lt;0.00001,E152,D153-(G153*('normal case'!M154/100))/'normal case'!D154)</f>
        <v>0</v>
      </c>
      <c r="F153" s="137">
        <f ca="1">F152*(1+'normal case'!L153/100)</f>
        <v>19.889594822097838</v>
      </c>
      <c r="G153" s="135">
        <f ca="1">C153-A153+G152*(1+'normal case'!M153/100)</f>
        <v>0</v>
      </c>
      <c r="H153" s="136">
        <f ca="1">IF(ABS(G153/'normal case'!D154-H152)&lt;0.0000001,H152,G153/'normal case'!D154)</f>
        <v>0</v>
      </c>
    </row>
    <row r="154" spans="1:8">
      <c r="A154" s="135">
        <f ca="1">('main page'!$U$31/100)*'normal case'!D155</f>
        <v>20</v>
      </c>
      <c r="B154" s="136"/>
      <c r="C154" s="135">
        <f ca="1">'normal case'!AG155-'normal case'!AG154+IF(controls!$B$33=1,(1+(('main page'!$K$35/100)))*C153,'public finance'!C153)</f>
        <v>20</v>
      </c>
      <c r="D154" s="136">
        <f ca="1">IF(ABS(((A154-C154)/'normal case'!D155)-D153)&lt;0.0000001,D153,(A154-C154)/'normal case'!D155)</f>
        <v>0</v>
      </c>
      <c r="E154" s="136">
        <f ca="1">IF(ABS(D154-(G154*('normal case'!M155/100))/'normal case'!D155-E153)&lt;0.00001,E153,D154-(G154*('normal case'!M155/100))/'normal case'!D155)</f>
        <v>0</v>
      </c>
      <c r="F154" s="137">
        <f ca="1">F153*(1+'normal case'!L154/100)</f>
        <v>20.287386718539796</v>
      </c>
      <c r="G154" s="135">
        <f ca="1">C154-A154+G153*(1+'normal case'!M154/100)</f>
        <v>0</v>
      </c>
      <c r="H154" s="136">
        <f ca="1">IF(ABS(G154/'normal case'!D155-H153)&lt;0.0000001,H153,G154/'normal case'!D155)</f>
        <v>0</v>
      </c>
    </row>
    <row r="155" spans="1:8">
      <c r="A155" s="135">
        <f ca="1">('main page'!$U$31/100)*'normal case'!D156</f>
        <v>20</v>
      </c>
      <c r="B155" s="136"/>
      <c r="C155" s="135">
        <f ca="1">'normal case'!AG156-'normal case'!AG155+IF(controls!$B$33=1,(1+(('main page'!$K$35/100)))*C154,'public finance'!C154)</f>
        <v>20</v>
      </c>
      <c r="D155" s="136">
        <f ca="1">IF(ABS(((A155-C155)/'normal case'!D156)-D154)&lt;0.0000001,D154,(A155-C155)/'normal case'!D156)</f>
        <v>0</v>
      </c>
      <c r="E155" s="136">
        <f ca="1">IF(ABS(D155-(G155*('normal case'!M156/100))/'normal case'!D156-E154)&lt;0.00001,E154,D155-(G155*('normal case'!M156/100))/'normal case'!D156)</f>
        <v>0</v>
      </c>
      <c r="F155" s="137">
        <f ca="1">F154*(1+'normal case'!L155/100)</f>
        <v>20.693134452910591</v>
      </c>
      <c r="G155" s="135">
        <f ca="1">C155-A155+G154*(1+'normal case'!M155/100)</f>
        <v>0</v>
      </c>
      <c r="H155" s="136">
        <f ca="1">IF(ABS(G155/'normal case'!D156-H154)&lt;0.0000001,H154,G155/'normal case'!D156)</f>
        <v>0</v>
      </c>
    </row>
    <row r="156" spans="1:8">
      <c r="A156" s="135">
        <f ca="1">('main page'!$U$31/100)*'normal case'!D157</f>
        <v>20</v>
      </c>
      <c r="B156" s="136"/>
      <c r="C156" s="135">
        <f ca="1">'normal case'!AG157-'normal case'!AG156+IF(controls!$B$33=1,(1+(('main page'!$K$35/100)))*C155,'public finance'!C155)</f>
        <v>20</v>
      </c>
      <c r="D156" s="136">
        <f ca="1">IF(ABS(((A156-C156)/'normal case'!D157)-D155)&lt;0.0000001,D155,(A156-C156)/'normal case'!D157)</f>
        <v>0</v>
      </c>
      <c r="E156" s="136">
        <f ca="1">IF(ABS(D156-(G156*('normal case'!M157/100))/'normal case'!D157-E155)&lt;0.00001,E155,D156-(G156*('normal case'!M157/100))/'normal case'!D157)</f>
        <v>0</v>
      </c>
      <c r="F156" s="137">
        <f ca="1">F155*(1+'normal case'!L156/100)</f>
        <v>21.106997141968804</v>
      </c>
      <c r="G156" s="135">
        <f ca="1">C156-A156+G155*(1+'normal case'!M156/100)</f>
        <v>0</v>
      </c>
      <c r="H156" s="136">
        <f ca="1">IF(ABS(G156/'normal case'!D157-H155)&lt;0.0000001,H155,G156/'normal case'!D157)</f>
        <v>0</v>
      </c>
    </row>
    <row r="157" spans="1:8">
      <c r="A157" s="135">
        <f ca="1">('main page'!$U$31/100)*'normal case'!D158</f>
        <v>20</v>
      </c>
      <c r="B157" s="136"/>
      <c r="C157" s="135">
        <f ca="1">'normal case'!AG158-'normal case'!AG157+IF(controls!$B$33=1,(1+(('main page'!$K$35/100)))*C156,'public finance'!C156)</f>
        <v>20</v>
      </c>
      <c r="D157" s="136">
        <f ca="1">IF(ABS(((A157-C157)/'normal case'!D158)-D156)&lt;0.0000001,D156,(A157-C157)/'normal case'!D158)</f>
        <v>0</v>
      </c>
      <c r="E157" s="136">
        <f ca="1">IF(ABS(D157-(G157*('normal case'!M158/100))/'normal case'!D158-E156)&lt;0.00001,E156,D157-(G157*('normal case'!M158/100))/'normal case'!D158)</f>
        <v>0</v>
      </c>
      <c r="F157" s="137">
        <f ca="1">F156*(1+'normal case'!L157/100)</f>
        <v>21.52913708480818</v>
      </c>
      <c r="G157" s="135">
        <f ca="1">C157-A157+G156*(1+'normal case'!M157/100)</f>
        <v>0</v>
      </c>
      <c r="H157" s="136">
        <f ca="1">IF(ABS(G157/'normal case'!D158-H156)&lt;0.0000001,H156,G157/'normal case'!D158)</f>
        <v>0</v>
      </c>
    </row>
    <row r="158" spans="1:8">
      <c r="A158" s="135">
        <f ca="1">('main page'!$U$31/100)*'normal case'!D159</f>
        <v>20</v>
      </c>
      <c r="B158" s="136"/>
      <c r="C158" s="135">
        <f ca="1">'normal case'!AG159-'normal case'!AG158+IF(controls!$B$33=1,(1+(('main page'!$K$35/100)))*C157,'public finance'!C157)</f>
        <v>20</v>
      </c>
      <c r="D158" s="136">
        <f ca="1">IF(ABS(((A158-C158)/'normal case'!D159)-D157)&lt;0.0000001,D157,(A158-C158)/'normal case'!D159)</f>
        <v>0</v>
      </c>
      <c r="E158" s="136">
        <f ca="1">IF(ABS(D158-(G158*('normal case'!M159/100))/'normal case'!D159-E157)&lt;0.00001,E157,D158-(G158*('normal case'!M159/100))/'normal case'!D159)</f>
        <v>0</v>
      </c>
      <c r="F158" s="137">
        <f ca="1">F157*(1+'normal case'!L158/100)</f>
        <v>21.959719826504344</v>
      </c>
      <c r="G158" s="135">
        <f ca="1">C158-A158+G157*(1+'normal case'!M158/100)</f>
        <v>0</v>
      </c>
      <c r="H158" s="136">
        <f ca="1">IF(ABS(G158/'normal case'!D159-H157)&lt;0.0000001,H157,G158/'normal case'!D159)</f>
        <v>0</v>
      </c>
    </row>
    <row r="159" spans="1:8">
      <c r="A159" s="135">
        <f ca="1">('main page'!$U$31/100)*'normal case'!D160</f>
        <v>20</v>
      </c>
      <c r="B159" s="136"/>
      <c r="C159" s="135">
        <f ca="1">'normal case'!AG160-'normal case'!AG159+IF(controls!$B$33=1,(1+(('main page'!$K$35/100)))*C158,'public finance'!C158)</f>
        <v>20</v>
      </c>
      <c r="D159" s="136">
        <f ca="1">IF(ABS(((A159-C159)/'normal case'!D160)-D158)&lt;0.0000001,D158,(A159-C159)/'normal case'!D160)</f>
        <v>0</v>
      </c>
      <c r="E159" s="136">
        <f ca="1">IF(ABS(D159-(G159*('normal case'!M160/100))/'normal case'!D160-E158)&lt;0.00001,E158,D159-(G159*('normal case'!M160/100))/'normal case'!D160)</f>
        <v>0</v>
      </c>
      <c r="F159" s="137">
        <f ca="1">F158*(1+'normal case'!L159/100)</f>
        <v>22.398914223034431</v>
      </c>
      <c r="G159" s="135">
        <f ca="1">C159-A159+G158*(1+'normal case'!M159/100)</f>
        <v>0</v>
      </c>
      <c r="H159" s="136">
        <f ca="1">IF(ABS(G159/'normal case'!D160-H158)&lt;0.0000001,H158,G159/'normal case'!D160)</f>
        <v>0</v>
      </c>
    </row>
    <row r="160" spans="1:8">
      <c r="A160" s="135">
        <f ca="1">('main page'!$U$31/100)*'normal case'!D161</f>
        <v>20</v>
      </c>
      <c r="B160" s="136"/>
      <c r="C160" s="135">
        <f ca="1">'normal case'!AG161-'normal case'!AG160+IF(controls!$B$33=1,(1+(('main page'!$K$35/100)))*C159,'public finance'!C159)</f>
        <v>20</v>
      </c>
      <c r="D160" s="136">
        <f ca="1">IF(ABS(((A160-C160)/'normal case'!D161)-D159)&lt;0.0000001,D159,(A160-C160)/'normal case'!D161)</f>
        <v>0</v>
      </c>
      <c r="E160" s="136">
        <f ca="1">IF(ABS(D160-(G160*('normal case'!M161/100))/'normal case'!D161-E159)&lt;0.00001,E159,D160-(G160*('normal case'!M161/100))/'normal case'!D161)</f>
        <v>0</v>
      </c>
      <c r="F160" s="137">
        <f ca="1">F159*(1+'normal case'!L160/100)</f>
        <v>22.84689250749512</v>
      </c>
      <c r="G160" s="135">
        <f ca="1">C160-A160+G159*(1+'normal case'!M160/100)</f>
        <v>0</v>
      </c>
      <c r="H160" s="136">
        <f ca="1">IF(ABS(G160/'normal case'!D161-H159)&lt;0.0000001,H159,G160/'normal case'!D161)</f>
        <v>0</v>
      </c>
    </row>
    <row r="161" spans="1:8">
      <c r="A161" s="135">
        <f ca="1">('main page'!$U$31/100)*'normal case'!D162</f>
        <v>20</v>
      </c>
      <c r="B161" s="136"/>
      <c r="C161" s="135">
        <f ca="1">'normal case'!AG162-'normal case'!AG161+IF(controls!$B$33=1,(1+(('main page'!$K$35/100)))*C160,'public finance'!C160)</f>
        <v>20</v>
      </c>
      <c r="D161" s="136">
        <f ca="1">IF(ABS(((A161-C161)/'normal case'!D162)-D160)&lt;0.0000001,D160,(A161-C161)/'normal case'!D162)</f>
        <v>0</v>
      </c>
      <c r="E161" s="136">
        <f ca="1">IF(ABS(D161-(G161*('normal case'!M162/100))/'normal case'!D162-E160)&lt;0.00001,E160,D161-(G161*('normal case'!M162/100))/'normal case'!D162)</f>
        <v>0</v>
      </c>
      <c r="F161" s="137">
        <f ca="1">F160*(1+'normal case'!L161/100)</f>
        <v>23.303830357645023</v>
      </c>
      <c r="G161" s="135">
        <f ca="1">C161-A161+G160*(1+'normal case'!M161/100)</f>
        <v>0</v>
      </c>
      <c r="H161" s="136">
        <f ca="1">IF(ABS(G161/'normal case'!D162-H160)&lt;0.0000001,H160,G161/'normal case'!D162)</f>
        <v>0</v>
      </c>
    </row>
    <row r="162" spans="1:8">
      <c r="A162" s="135">
        <f ca="1">('main page'!$U$31/100)*'normal case'!D163</f>
        <v>20</v>
      </c>
      <c r="B162" s="136"/>
      <c r="C162" s="135">
        <f ca="1">'normal case'!AG163-'normal case'!AG162+IF(controls!$B$33=1,(1+(('main page'!$K$35/100)))*C161,'public finance'!C161)</f>
        <v>20</v>
      </c>
      <c r="D162" s="136">
        <f ca="1">IF(ABS(((A162-C162)/'normal case'!D163)-D161)&lt;0.0000001,D161,(A162-C162)/'normal case'!D163)</f>
        <v>0</v>
      </c>
      <c r="E162" s="136">
        <f ca="1">IF(ABS(D162-(G162*('normal case'!M163/100))/'normal case'!D163-E161)&lt;0.00001,E161,D162-(G162*('normal case'!M163/100))/'normal case'!D163)</f>
        <v>0</v>
      </c>
      <c r="F162" s="137">
        <f ca="1">F161*(1+'normal case'!L162/100)</f>
        <v>23.769906964797922</v>
      </c>
      <c r="G162" s="135">
        <f ca="1">C162-A162+G161*(1+'normal case'!M162/100)</f>
        <v>0</v>
      </c>
      <c r="H162" s="136">
        <f ca="1">IF(ABS(G162/'normal case'!D163-H161)&lt;0.0000001,H161,G162/'normal case'!D163)</f>
        <v>0</v>
      </c>
    </row>
    <row r="163" spans="1:8">
      <c r="A163" s="135">
        <f ca="1">('main page'!$U$31/100)*'normal case'!D164</f>
        <v>20</v>
      </c>
      <c r="B163" s="136"/>
      <c r="C163" s="135">
        <f ca="1">'normal case'!AG164-'normal case'!AG163+IF(controls!$B$33=1,(1+(('main page'!$K$35/100)))*C162,'public finance'!C162)</f>
        <v>20</v>
      </c>
      <c r="D163" s="136">
        <f ca="1">IF(ABS(((A163-C163)/'normal case'!D164)-D162)&lt;0.0000001,D162,(A163-C163)/'normal case'!D164)</f>
        <v>0</v>
      </c>
      <c r="E163" s="136">
        <f ca="1">IF(ABS(D163-(G163*('normal case'!M164/100))/'normal case'!D164-E162)&lt;0.00001,E162,D163-(G163*('normal case'!M164/100))/'normal case'!D164)</f>
        <v>0</v>
      </c>
      <c r="F163" s="137">
        <f ca="1">F162*(1+'normal case'!L163/100)</f>
        <v>24.24530510409388</v>
      </c>
      <c r="G163" s="135">
        <f ca="1">C163-A163+G162*(1+'normal case'!M163/100)</f>
        <v>0</v>
      </c>
      <c r="H163" s="136">
        <f ca="1">IF(ABS(G163/'normal case'!D164-H162)&lt;0.0000001,H162,G163/'normal case'!D164)</f>
        <v>0</v>
      </c>
    </row>
    <row r="164" spans="1:8">
      <c r="A164" s="135">
        <f ca="1">('main page'!$U$31/100)*'normal case'!D165</f>
        <v>20</v>
      </c>
      <c r="B164" s="136"/>
      <c r="C164" s="135">
        <f ca="1">'normal case'!AG165-'normal case'!AG164+IF(controls!$B$33=1,(1+(('main page'!$K$35/100)))*C163,'public finance'!C163)</f>
        <v>20</v>
      </c>
      <c r="D164" s="136">
        <f ca="1">IF(ABS(((A164-C164)/'normal case'!D165)-D163)&lt;0.0000001,D163,(A164-C164)/'normal case'!D165)</f>
        <v>0</v>
      </c>
      <c r="E164" s="136">
        <f ca="1">IF(ABS(D164-(G164*('normal case'!M165/100))/'normal case'!D165-E163)&lt;0.00001,E163,D164-(G164*('normal case'!M165/100))/'normal case'!D165)</f>
        <v>0</v>
      </c>
      <c r="F164" s="137">
        <f ca="1">F163*(1+'normal case'!L164/100)</f>
        <v>24.73021120617576</v>
      </c>
      <c r="G164" s="135">
        <f ca="1">C164-A164+G163*(1+'normal case'!M164/100)</f>
        <v>0</v>
      </c>
      <c r="H164" s="136">
        <f ca="1">IF(ABS(G164/'normal case'!D165-H163)&lt;0.0000001,H163,G164/'normal case'!D165)</f>
        <v>0</v>
      </c>
    </row>
    <row r="165" spans="1:8">
      <c r="A165" s="135">
        <f ca="1">('main page'!$U$31/100)*'normal case'!D166</f>
        <v>20</v>
      </c>
      <c r="B165" s="136"/>
      <c r="C165" s="135">
        <f ca="1">'normal case'!AG166-'normal case'!AG165+IF(controls!$B$33=1,(1+(('main page'!$K$35/100)))*C164,'public finance'!C164)</f>
        <v>20</v>
      </c>
      <c r="D165" s="136">
        <f ca="1">IF(ABS(((A165-C165)/'normal case'!D166)-D164)&lt;0.0000001,D164,(A165-C165)/'normal case'!D166)</f>
        <v>0</v>
      </c>
      <c r="E165" s="136">
        <f ca="1">IF(ABS(D165-(G165*('normal case'!M166/100))/'normal case'!D166-E164)&lt;0.00001,E164,D165-(G165*('normal case'!M166/100))/'normal case'!D166)</f>
        <v>0</v>
      </c>
      <c r="F165" s="137">
        <f ca="1">F164*(1+'normal case'!L165/100)</f>
        <v>25.224815430299277</v>
      </c>
      <c r="G165" s="135">
        <f ca="1">C165-A165+G164*(1+'normal case'!M165/100)</f>
        <v>0</v>
      </c>
      <c r="H165" s="136">
        <f ca="1">IF(ABS(G165/'normal case'!D166-H164)&lt;0.0000001,H164,G165/'normal case'!D166)</f>
        <v>0</v>
      </c>
    </row>
    <row r="166" spans="1:8">
      <c r="A166" s="135">
        <f ca="1">('main page'!$U$31/100)*'normal case'!D167</f>
        <v>20</v>
      </c>
      <c r="B166" s="136"/>
      <c r="C166" s="135">
        <f ca="1">'normal case'!AG167-'normal case'!AG166+IF(controls!$B$33=1,(1+(('main page'!$K$35/100)))*C165,'public finance'!C165)</f>
        <v>20</v>
      </c>
      <c r="D166" s="136">
        <f ca="1">IF(ABS(((A166-C166)/'normal case'!D167)-D165)&lt;0.0000001,D165,(A166-C166)/'normal case'!D167)</f>
        <v>0</v>
      </c>
      <c r="E166" s="136">
        <f ca="1">IF(ABS(D166-(G166*('normal case'!M167/100))/'normal case'!D167-E165)&lt;0.00001,E165,D166-(G166*('normal case'!M167/100))/'normal case'!D167)</f>
        <v>0</v>
      </c>
      <c r="F166" s="137">
        <f ca="1">F165*(1+'normal case'!L166/100)</f>
        <v>25.729311738905263</v>
      </c>
      <c r="G166" s="135">
        <f ca="1">C166-A166+G165*(1+'normal case'!M166/100)</f>
        <v>0</v>
      </c>
      <c r="H166" s="136">
        <f ca="1">IF(ABS(G166/'normal case'!D167-H165)&lt;0.0000001,H165,G166/'normal case'!D167)</f>
        <v>0</v>
      </c>
    </row>
    <row r="167" spans="1:8">
      <c r="A167" s="135">
        <f ca="1">('main page'!$U$31/100)*'normal case'!D168</f>
        <v>20</v>
      </c>
      <c r="B167" s="136"/>
      <c r="C167" s="135">
        <f ca="1">'normal case'!AG168-'normal case'!AG167+IF(controls!$B$33=1,(1+(('main page'!$K$35/100)))*C166,'public finance'!C166)</f>
        <v>20</v>
      </c>
      <c r="D167" s="136">
        <f ca="1">IF(ABS(((A167-C167)/'normal case'!D168)-D166)&lt;0.0000001,D166,(A167-C167)/'normal case'!D168)</f>
        <v>0</v>
      </c>
      <c r="E167" s="136">
        <f ca="1">IF(ABS(D167-(G167*('normal case'!M168/100))/'normal case'!D168-E166)&lt;0.00001,E166,D167-(G167*('normal case'!M168/100))/'normal case'!D168)</f>
        <v>0</v>
      </c>
      <c r="F167" s="137">
        <f ca="1">F166*(1+'normal case'!L167/100)</f>
        <v>26.243897973683367</v>
      </c>
      <c r="G167" s="135">
        <f ca="1">C167-A167+G166*(1+'normal case'!M167/100)</f>
        <v>0</v>
      </c>
      <c r="H167" s="136">
        <f ca="1">IF(ABS(G167/'normal case'!D168-H166)&lt;0.0000001,H166,G167/'normal case'!D168)</f>
        <v>0</v>
      </c>
    </row>
    <row r="168" spans="1:8">
      <c r="A168" s="135">
        <f ca="1">('main page'!$U$31/100)*'normal case'!D169</f>
        <v>20</v>
      </c>
      <c r="B168" s="136"/>
      <c r="C168" s="135">
        <f ca="1">'normal case'!AG169-'normal case'!AG168+IF(controls!$B$33=1,(1+(('main page'!$K$35/100)))*C167,'public finance'!C167)</f>
        <v>20</v>
      </c>
      <c r="D168" s="136">
        <f ca="1">IF(ABS(((A168-C168)/'normal case'!D169)-D167)&lt;0.0000001,D167,(A168-C168)/'normal case'!D169)</f>
        <v>0</v>
      </c>
      <c r="E168" s="136">
        <f ca="1">IF(ABS(D168-(G168*('normal case'!M169/100))/'normal case'!D169-E167)&lt;0.00001,E167,D168-(G168*('normal case'!M169/100))/'normal case'!D169)</f>
        <v>0</v>
      </c>
      <c r="F168" s="137">
        <f ca="1">F167*(1+'normal case'!L168/100)</f>
        <v>26.768775933157034</v>
      </c>
      <c r="G168" s="135">
        <f ca="1">C168-A168+G167*(1+'normal case'!M168/100)</f>
        <v>0</v>
      </c>
      <c r="H168" s="136">
        <f ca="1">IF(ABS(G168/'normal case'!D169-H167)&lt;0.0000001,H167,G168/'normal case'!D169)</f>
        <v>0</v>
      </c>
    </row>
    <row r="169" spans="1:8">
      <c r="A169" s="135">
        <f ca="1">('main page'!$U$31/100)*'normal case'!D170</f>
        <v>20</v>
      </c>
      <c r="B169" s="136"/>
      <c r="C169" s="135">
        <f ca="1">'normal case'!AG170-'normal case'!AG169+IF(controls!$B$33=1,(1+(('main page'!$K$35/100)))*C168,'public finance'!C168)</f>
        <v>20</v>
      </c>
      <c r="D169" s="136">
        <f ca="1">IF(ABS(((A169-C169)/'normal case'!D170)-D168)&lt;0.0000001,D168,(A169-C169)/'normal case'!D170)</f>
        <v>0</v>
      </c>
      <c r="E169" s="136">
        <f ca="1">IF(ABS(D169-(G169*('normal case'!M170/100))/'normal case'!D170-E168)&lt;0.00001,E168,D169-(G169*('normal case'!M170/100))/'normal case'!D170)</f>
        <v>0</v>
      </c>
      <c r="F169" s="137">
        <f ca="1">F168*(1+'normal case'!L169/100)</f>
        <v>27.304151451820175</v>
      </c>
      <c r="G169" s="135">
        <f ca="1">C169-A169+G168*(1+'normal case'!M169/100)</f>
        <v>0</v>
      </c>
      <c r="H169" s="136">
        <f ca="1">IF(ABS(G169/'normal case'!D170-H168)&lt;0.0000001,H168,G169/'normal case'!D170)</f>
        <v>0</v>
      </c>
    </row>
    <row r="170" spans="1:8">
      <c r="A170" s="135">
        <f ca="1">('main page'!$U$31/100)*'normal case'!D171</f>
        <v>20</v>
      </c>
      <c r="B170" s="136"/>
      <c r="C170" s="135">
        <f ca="1">'normal case'!AG171-'normal case'!AG170+IF(controls!$B$33=1,(1+(('main page'!$K$35/100)))*C169,'public finance'!C169)</f>
        <v>20</v>
      </c>
      <c r="D170" s="136">
        <f ca="1">IF(ABS(((A170-C170)/'normal case'!D171)-D169)&lt;0.0000001,D169,(A170-C170)/'normal case'!D171)</f>
        <v>0</v>
      </c>
      <c r="E170" s="136">
        <f ca="1">IF(ABS(D170-(G170*('normal case'!M171/100))/'normal case'!D171-E169)&lt;0.00001,E169,D170-(G170*('normal case'!M171/100))/'normal case'!D171)</f>
        <v>0</v>
      </c>
      <c r="F170" s="137">
        <f ca="1">F169*(1+'normal case'!L170/100)</f>
        <v>27.850234480856578</v>
      </c>
      <c r="G170" s="135">
        <f ca="1">C170-A170+G169*(1+'normal case'!M170/100)</f>
        <v>0</v>
      </c>
      <c r="H170" s="136">
        <f ca="1">IF(ABS(G170/'normal case'!D171-H169)&lt;0.0000001,H169,G170/'normal case'!D171)</f>
        <v>0</v>
      </c>
    </row>
    <row r="171" spans="1:8">
      <c r="A171" s="135">
        <f ca="1">('main page'!$U$31/100)*'normal case'!D172</f>
        <v>20</v>
      </c>
      <c r="B171" s="136"/>
      <c r="C171" s="135">
        <f ca="1">'normal case'!AG172-'normal case'!AG171+IF(controls!$B$33=1,(1+(('main page'!$K$35/100)))*C170,'public finance'!C170)</f>
        <v>20</v>
      </c>
      <c r="D171" s="136">
        <f ca="1">IF(ABS(((A171-C171)/'normal case'!D172)-D170)&lt;0.0000001,D170,(A171-C171)/'normal case'!D172)</f>
        <v>0</v>
      </c>
      <c r="E171" s="136">
        <f ca="1">IF(ABS(D171-(G171*('normal case'!M172/100))/'normal case'!D172-E170)&lt;0.00001,E170,D171-(G171*('normal case'!M172/100))/'normal case'!D172)</f>
        <v>0</v>
      </c>
      <c r="F171" s="137">
        <f ca="1">F170*(1+'normal case'!L171/100)</f>
        <v>28.407239170473709</v>
      </c>
      <c r="G171" s="135">
        <f ca="1">C171-A171+G170*(1+'normal case'!M171/100)</f>
        <v>0</v>
      </c>
      <c r="H171" s="136">
        <f ca="1">IF(ABS(G171/'normal case'!D172-H170)&lt;0.0000001,H170,G171/'normal case'!D172)</f>
        <v>0</v>
      </c>
    </row>
    <row r="172" spans="1:8">
      <c r="A172" s="135">
        <f ca="1">('main page'!$U$31/100)*'normal case'!D173</f>
        <v>20</v>
      </c>
      <c r="B172" s="136"/>
      <c r="C172" s="135">
        <f ca="1">'normal case'!AG173-'normal case'!AG172+IF(controls!$B$33=1,(1+(('main page'!$K$35/100)))*C171,'public finance'!C171)</f>
        <v>20</v>
      </c>
      <c r="D172" s="136">
        <f ca="1">IF(ABS(((A172-C172)/'normal case'!D173)-D171)&lt;0.0000001,D171,(A172-C172)/'normal case'!D173)</f>
        <v>0</v>
      </c>
      <c r="E172" s="136">
        <f ca="1">IF(ABS(D172-(G172*('normal case'!M173/100))/'normal case'!D173-E171)&lt;0.00001,E171,D172-(G172*('normal case'!M173/100))/'normal case'!D173)</f>
        <v>0</v>
      </c>
      <c r="F172" s="137">
        <f ca="1">F171*(1+'normal case'!L172/100)</f>
        <v>28.975383953883185</v>
      </c>
      <c r="G172" s="135">
        <f ca="1">C172-A172+G171*(1+'normal case'!M172/100)</f>
        <v>0</v>
      </c>
      <c r="H172" s="136">
        <f ca="1">IF(ABS(G172/'normal case'!D173-H171)&lt;0.0000001,H171,G172/'normal case'!D173)</f>
        <v>0</v>
      </c>
    </row>
    <row r="173" spans="1:8">
      <c r="A173" s="135">
        <f ca="1">('main page'!$U$31/100)*'normal case'!D174</f>
        <v>20</v>
      </c>
      <c r="B173" s="136"/>
      <c r="C173" s="135">
        <f ca="1">'normal case'!AG174-'normal case'!AG173+IF(controls!$B$33=1,(1+(('main page'!$K$35/100)))*C172,'public finance'!C172)</f>
        <v>20</v>
      </c>
      <c r="D173" s="136">
        <f ca="1">IF(ABS(((A173-C173)/'normal case'!D174)-D172)&lt;0.0000001,D172,(A173-C173)/'normal case'!D174)</f>
        <v>0</v>
      </c>
      <c r="E173" s="136">
        <f ca="1">IF(ABS(D173-(G173*('normal case'!M174/100))/'normal case'!D174-E172)&lt;0.00001,E172,D173-(G173*('normal case'!M174/100))/'normal case'!D174)</f>
        <v>0</v>
      </c>
      <c r="F173" s="137">
        <f ca="1">F172*(1+'normal case'!L173/100)</f>
        <v>29.55489163296085</v>
      </c>
      <c r="G173" s="135">
        <f ca="1">C173-A173+G172*(1+'normal case'!M173/100)</f>
        <v>0</v>
      </c>
      <c r="H173" s="136">
        <f ca="1">IF(ABS(G173/'normal case'!D174-H172)&lt;0.0000001,H172,G173/'normal case'!D174)</f>
        <v>0</v>
      </c>
    </row>
    <row r="174" spans="1:8">
      <c r="A174" s="135">
        <f ca="1">('main page'!$U$31/100)*'normal case'!D175</f>
        <v>20</v>
      </c>
      <c r="B174" s="136"/>
      <c r="C174" s="135">
        <f ca="1">'normal case'!AG175-'normal case'!AG174+IF(controls!$B$33=1,(1+(('main page'!$K$35/100)))*C173,'public finance'!C173)</f>
        <v>20</v>
      </c>
      <c r="D174" s="136">
        <f ca="1">IF(ABS(((A174-C174)/'normal case'!D175)-D173)&lt;0.0000001,D173,(A174-C174)/'normal case'!D175)</f>
        <v>0</v>
      </c>
      <c r="E174" s="136">
        <f ca="1">IF(ABS(D174-(G174*('normal case'!M175/100))/'normal case'!D175-E173)&lt;0.00001,E173,D174-(G174*('normal case'!M175/100))/'normal case'!D175)</f>
        <v>0</v>
      </c>
      <c r="F174" s="137">
        <f ca="1">F173*(1+'normal case'!L174/100)</f>
        <v>30.145989465620065</v>
      </c>
      <c r="G174" s="135">
        <f ca="1">C174-A174+G173*(1+'normal case'!M174/100)</f>
        <v>0</v>
      </c>
      <c r="H174" s="136">
        <f ca="1">IF(ABS(G174/'normal case'!D175-H173)&lt;0.0000001,H173,G174/'normal case'!D175)</f>
        <v>0</v>
      </c>
    </row>
    <row r="175" spans="1:8">
      <c r="A175" s="135">
        <f ca="1">('main page'!$U$31/100)*'normal case'!D176</f>
        <v>20</v>
      </c>
      <c r="B175" s="136"/>
      <c r="C175" s="135">
        <f ca="1">'normal case'!AG176-'normal case'!AG175+IF(controls!$B$33=1,(1+(('main page'!$K$35/100)))*C174,'public finance'!C174)</f>
        <v>20</v>
      </c>
      <c r="D175" s="136">
        <f ca="1">IF(ABS(((A175-C175)/'normal case'!D176)-D174)&lt;0.0000001,D174,(A175-C175)/'normal case'!D176)</f>
        <v>0</v>
      </c>
      <c r="E175" s="136">
        <f ca="1">IF(ABS(D175-(G175*('normal case'!M176/100))/'normal case'!D176-E174)&lt;0.00001,E174,D175-(G175*('normal case'!M176/100))/'normal case'!D176)</f>
        <v>0</v>
      </c>
      <c r="F175" s="137">
        <f ca="1">F174*(1+'normal case'!L175/100)</f>
        <v>30.748909254932467</v>
      </c>
      <c r="G175" s="135">
        <f ca="1">C175-A175+G174*(1+'normal case'!M175/100)</f>
        <v>0</v>
      </c>
      <c r="H175" s="136">
        <f ca="1">IF(ABS(G175/'normal case'!D176-H174)&lt;0.0000001,H174,G175/'normal case'!D176)</f>
        <v>0</v>
      </c>
    </row>
    <row r="176" spans="1:8">
      <c r="A176" s="135">
        <f ca="1">('main page'!$U$31/100)*'normal case'!D177</f>
        <v>20</v>
      </c>
      <c r="B176" s="136"/>
      <c r="C176" s="135">
        <f ca="1">'normal case'!AG177-'normal case'!AG176+IF(controls!$B$33=1,(1+(('main page'!$K$35/100)))*C175,'public finance'!C175)</f>
        <v>20</v>
      </c>
      <c r="D176" s="136">
        <f ca="1">IF(ABS(((A176-C176)/'normal case'!D177)-D175)&lt;0.0000001,D175,(A176-C176)/'normal case'!D177)</f>
        <v>0</v>
      </c>
      <c r="E176" s="136">
        <f ca="1">IF(ABS(D176-(G176*('normal case'!M177/100))/'normal case'!D177-E175)&lt;0.00001,E175,D176-(G176*('normal case'!M177/100))/'normal case'!D177)</f>
        <v>0</v>
      </c>
      <c r="F176" s="137">
        <f ca="1">F175*(1+'normal case'!L176/100)</f>
        <v>31.363887440031117</v>
      </c>
      <c r="G176" s="135">
        <f ca="1">C176-A176+G175*(1+'normal case'!M176/100)</f>
        <v>0</v>
      </c>
      <c r="H176" s="136">
        <f ca="1">IF(ABS(G176/'normal case'!D177-H175)&lt;0.0000001,H175,G176/'normal case'!D177)</f>
        <v>0</v>
      </c>
    </row>
    <row r="177" spans="1:8">
      <c r="A177" s="135">
        <f ca="1">('main page'!$U$31/100)*'normal case'!D178</f>
        <v>20</v>
      </c>
      <c r="B177" s="136"/>
      <c r="C177" s="135">
        <f ca="1">'normal case'!AG178-'normal case'!AG177+IF(controls!$B$33=1,(1+(('main page'!$K$35/100)))*C176,'public finance'!C176)</f>
        <v>20</v>
      </c>
      <c r="D177" s="136">
        <f ca="1">IF(ABS(((A177-C177)/'normal case'!D178)-D176)&lt;0.0000001,D176,(A177-C177)/'normal case'!D178)</f>
        <v>0</v>
      </c>
      <c r="E177" s="136">
        <f ca="1">IF(ABS(D177-(G177*('normal case'!M178/100))/'normal case'!D178-E176)&lt;0.00001,E176,D177-(G177*('normal case'!M178/100))/'normal case'!D178)</f>
        <v>0</v>
      </c>
      <c r="F177" s="137">
        <f ca="1">F176*(1+'normal case'!L177/100)</f>
        <v>31.99116518883174</v>
      </c>
      <c r="G177" s="135">
        <f ca="1">C177-A177+G176*(1+'normal case'!M177/100)</f>
        <v>0</v>
      </c>
      <c r="H177" s="136">
        <f ca="1">IF(ABS(G177/'normal case'!D178-H176)&lt;0.0000001,H176,G177/'normal case'!D178)</f>
        <v>0</v>
      </c>
    </row>
    <row r="178" spans="1:8">
      <c r="A178" s="135">
        <f ca="1">('main page'!$U$31/100)*'normal case'!D179</f>
        <v>20</v>
      </c>
      <c r="B178" s="136"/>
      <c r="C178" s="135">
        <f ca="1">'normal case'!AG179-'normal case'!AG178+IF(controls!$B$33=1,(1+(('main page'!$K$35/100)))*C177,'public finance'!C177)</f>
        <v>20</v>
      </c>
      <c r="D178" s="136">
        <f ca="1">IF(ABS(((A178-C178)/'normal case'!D179)-D177)&lt;0.0000001,D177,(A178-C178)/'normal case'!D179)</f>
        <v>0</v>
      </c>
      <c r="E178" s="136">
        <f ca="1">IF(ABS(D178-(G178*('normal case'!M179/100))/'normal case'!D179-E177)&lt;0.00001,E177,D178-(G178*('normal case'!M179/100))/'normal case'!D179)</f>
        <v>0</v>
      </c>
      <c r="F178" s="137">
        <f ca="1">F177*(1+'normal case'!L178/100)</f>
        <v>32.630988492608374</v>
      </c>
      <c r="G178" s="135">
        <f ca="1">C178-A178+G177*(1+'normal case'!M178/100)</f>
        <v>0</v>
      </c>
      <c r="H178" s="136">
        <f ca="1">IF(ABS(G178/'normal case'!D179-H177)&lt;0.0000001,H177,G178/'normal case'!D179)</f>
        <v>0</v>
      </c>
    </row>
    <row r="179" spans="1:8">
      <c r="A179" s="135">
        <f ca="1">('main page'!$U$31/100)*'normal case'!D180</f>
        <v>20</v>
      </c>
      <c r="B179" s="136"/>
      <c r="C179" s="135">
        <f ca="1">'normal case'!AG180-'normal case'!AG179+IF(controls!$B$33=1,(1+(('main page'!$K$35/100)))*C178,'public finance'!C178)</f>
        <v>20</v>
      </c>
      <c r="D179" s="136">
        <f ca="1">IF(ABS(((A179-C179)/'normal case'!D180)-D178)&lt;0.0000001,D178,(A179-C179)/'normal case'!D180)</f>
        <v>0</v>
      </c>
      <c r="E179" s="136">
        <f ca="1">IF(ABS(D179-(G179*('normal case'!M180/100))/'normal case'!D180-E178)&lt;0.00001,E178,D179-(G179*('normal case'!M180/100))/'normal case'!D180)</f>
        <v>0</v>
      </c>
      <c r="F179" s="137">
        <f ca="1">F178*(1+'normal case'!L179/100)</f>
        <v>33.28360826246054</v>
      </c>
      <c r="G179" s="135">
        <f ca="1">C179-A179+G178*(1+'normal case'!M179/100)</f>
        <v>0</v>
      </c>
      <c r="H179" s="136">
        <f ca="1">IF(ABS(G179/'normal case'!D180-H178)&lt;0.0000001,H178,G179/'normal case'!D180)</f>
        <v>0</v>
      </c>
    </row>
    <row r="180" spans="1:8">
      <c r="A180" s="135">
        <f ca="1">('main page'!$U$31/100)*'normal case'!D181</f>
        <v>20</v>
      </c>
      <c r="B180" s="136"/>
      <c r="C180" s="135">
        <f ca="1">'normal case'!AG181-'normal case'!AG180+IF(controls!$B$33=1,(1+(('main page'!$K$35/100)))*C179,'public finance'!C179)</f>
        <v>20</v>
      </c>
      <c r="D180" s="136">
        <f ca="1">IF(ABS(((A180-C180)/'normal case'!D181)-D179)&lt;0.0000001,D179,(A180-C180)/'normal case'!D181)</f>
        <v>0</v>
      </c>
      <c r="E180" s="136">
        <f ca="1">IF(ABS(D180-(G180*('normal case'!M181/100))/'normal case'!D181-E179)&lt;0.00001,E179,D180-(G180*('normal case'!M181/100))/'normal case'!D181)</f>
        <v>0</v>
      </c>
      <c r="F180" s="137">
        <f ca="1">F179*(1+'normal case'!L180/100)</f>
        <v>33.949280427709752</v>
      </c>
      <c r="G180" s="135">
        <f ca="1">C180-A180+G179*(1+'normal case'!M180/100)</f>
        <v>0</v>
      </c>
      <c r="H180" s="136">
        <f ca="1">IF(ABS(G180/'normal case'!D181-H179)&lt;0.0000001,H179,G180/'normal case'!D181)</f>
        <v>0</v>
      </c>
    </row>
    <row r="181" spans="1:8">
      <c r="A181" s="135">
        <f ca="1">('main page'!$U$31/100)*'normal case'!D182</f>
        <v>20</v>
      </c>
      <c r="B181" s="136"/>
      <c r="C181" s="135">
        <f ca="1">'normal case'!AG182-'normal case'!AG181+IF(controls!$B$33=1,(1+(('main page'!$K$35/100)))*C180,'public finance'!C180)</f>
        <v>20</v>
      </c>
      <c r="D181" s="136">
        <f ca="1">IF(ABS(((A181-C181)/'normal case'!D182)-D180)&lt;0.0000001,D180,(A181-C181)/'normal case'!D182)</f>
        <v>0</v>
      </c>
      <c r="E181" s="136">
        <f ca="1">IF(ABS(D181-(G181*('normal case'!M182/100))/'normal case'!D182-E180)&lt;0.00001,E180,D181-(G181*('normal case'!M182/100))/'normal case'!D182)</f>
        <v>0</v>
      </c>
      <c r="F181" s="137">
        <f ca="1">F180*(1+'normal case'!L181/100)</f>
        <v>34.628266036263945</v>
      </c>
      <c r="G181" s="135">
        <f ca="1">C181-A181+G180*(1+'normal case'!M181/100)</f>
        <v>0</v>
      </c>
      <c r="H181" s="136">
        <f ca="1">IF(ABS(G181/'normal case'!D182-H180)&lt;0.0000001,H180,G181/'normal case'!D182)</f>
        <v>0</v>
      </c>
    </row>
    <row r="182" spans="1:8">
      <c r="A182" s="135">
        <f ca="1">('main page'!$U$31/100)*'normal case'!D183</f>
        <v>20</v>
      </c>
      <c r="B182" s="136"/>
      <c r="C182" s="135">
        <f ca="1">'normal case'!AG183-'normal case'!AG182+IF(controls!$B$33=1,(1+(('main page'!$K$35/100)))*C181,'public finance'!C181)</f>
        <v>20</v>
      </c>
      <c r="D182" s="136">
        <f ca="1">IF(ABS(((A182-C182)/'normal case'!D183)-D181)&lt;0.0000001,D181,(A182-C182)/'normal case'!D183)</f>
        <v>0</v>
      </c>
      <c r="E182" s="136">
        <f ca="1">IF(ABS(D182-(G182*('normal case'!M183/100))/'normal case'!D183-E181)&lt;0.00001,E181,D182-(G182*('normal case'!M183/100))/'normal case'!D183)</f>
        <v>0</v>
      </c>
      <c r="F182" s="137">
        <f ca="1">F181*(1+'normal case'!L182/100)</f>
        <v>35.320831356989224</v>
      </c>
      <c r="G182" s="135">
        <f ca="1">C182-A182+G181*(1+'normal case'!M182/100)</f>
        <v>0</v>
      </c>
      <c r="H182" s="136">
        <f ca="1">IF(ABS(G182/'normal case'!D183-H181)&lt;0.0000001,H181,G182/'normal case'!D183)</f>
        <v>0</v>
      </c>
    </row>
    <row r="183" spans="1:8">
      <c r="A183" s="135">
        <f ca="1">('main page'!$U$31/100)*'normal case'!D184</f>
        <v>20</v>
      </c>
      <c r="B183" s="136"/>
      <c r="C183" s="135">
        <f ca="1">'normal case'!AG184-'normal case'!AG183+IF(controls!$B$33=1,(1+(('main page'!$K$35/100)))*C182,'public finance'!C182)</f>
        <v>20</v>
      </c>
      <c r="D183" s="136">
        <f ca="1">IF(ABS(((A183-C183)/'normal case'!D184)-D182)&lt;0.0000001,D182,(A183-C183)/'normal case'!D184)</f>
        <v>0</v>
      </c>
      <c r="E183" s="136">
        <f ca="1">IF(ABS(D183-(G183*('normal case'!M184/100))/'normal case'!D184-E182)&lt;0.00001,E182,D183-(G183*('normal case'!M184/100))/'normal case'!D184)</f>
        <v>0</v>
      </c>
      <c r="F183" s="137">
        <f ca="1">F182*(1+'normal case'!L183/100)</f>
        <v>36.027247984129012</v>
      </c>
      <c r="G183" s="135">
        <f ca="1">C183-A183+G182*(1+'normal case'!M183/100)</f>
        <v>0</v>
      </c>
      <c r="H183" s="136">
        <f ca="1">IF(ABS(G183/'normal case'!D184-H182)&lt;0.0000001,H182,G183/'normal case'!D184)</f>
        <v>0</v>
      </c>
    </row>
    <row r="184" spans="1:8">
      <c r="A184" s="135">
        <f ca="1">('main page'!$U$31/100)*'normal case'!D185</f>
        <v>20</v>
      </c>
      <c r="B184" s="136"/>
      <c r="C184" s="135">
        <f ca="1">'normal case'!AG185-'normal case'!AG184+IF(controls!$B$33=1,(1+(('main page'!$K$35/100)))*C183,'public finance'!C183)</f>
        <v>20</v>
      </c>
      <c r="D184" s="136">
        <f ca="1">IF(ABS(((A184-C184)/'normal case'!D185)-D183)&lt;0.0000001,D183,(A184-C184)/'normal case'!D185)</f>
        <v>0</v>
      </c>
      <c r="E184" s="136">
        <f ca="1">IF(ABS(D184-(G184*('normal case'!M185/100))/'normal case'!D185-E183)&lt;0.00001,E183,D184-(G184*('normal case'!M185/100))/'normal case'!D185)</f>
        <v>0</v>
      </c>
      <c r="F184" s="137">
        <f ca="1">F183*(1+'normal case'!L184/100)</f>
        <v>36.747792943811596</v>
      </c>
      <c r="G184" s="135">
        <f ca="1">C184-A184+G183*(1+'normal case'!M184/100)</f>
        <v>0</v>
      </c>
      <c r="H184" s="136">
        <f ca="1">IF(ABS(G184/'normal case'!D185-H183)&lt;0.0000001,H183,G184/'normal case'!D185)</f>
        <v>0</v>
      </c>
    </row>
    <row r="185" spans="1:8">
      <c r="A185" s="135">
        <f ca="1">('main page'!$U$31/100)*'normal case'!D186</f>
        <v>20</v>
      </c>
      <c r="B185" s="136"/>
      <c r="C185" s="135">
        <f ca="1">'normal case'!AG186-'normal case'!AG185+IF(controls!$B$33=1,(1+(('main page'!$K$35/100)))*C184,'public finance'!C184)</f>
        <v>20</v>
      </c>
      <c r="D185" s="136">
        <f ca="1">IF(ABS(((A185-C185)/'normal case'!D186)-D184)&lt;0.0000001,D184,(A185-C185)/'normal case'!D186)</f>
        <v>0</v>
      </c>
      <c r="E185" s="136">
        <f ca="1">IF(ABS(D185-(G185*('normal case'!M186/100))/'normal case'!D186-E184)&lt;0.00001,E184,D185-(G185*('normal case'!M186/100))/'normal case'!D186)</f>
        <v>0</v>
      </c>
      <c r="F185" s="137">
        <f ca="1">F184*(1+'normal case'!L185/100)</f>
        <v>37.48274880268783</v>
      </c>
      <c r="G185" s="135">
        <f ca="1">C185-A185+G184*(1+'normal case'!M185/100)</f>
        <v>0</v>
      </c>
      <c r="H185" s="136">
        <f ca="1">IF(ABS(G185/'normal case'!D186-H184)&lt;0.0000001,H184,G185/'normal case'!D186)</f>
        <v>0</v>
      </c>
    </row>
    <row r="186" spans="1:8">
      <c r="A186" s="135">
        <f ca="1">('main page'!$U$31/100)*'normal case'!D187</f>
        <v>20</v>
      </c>
      <c r="B186" s="136"/>
      <c r="C186" s="135">
        <f ca="1">'normal case'!AG187-'normal case'!AG186+IF(controls!$B$33=1,(1+(('main page'!$K$35/100)))*C185,'public finance'!C185)</f>
        <v>20</v>
      </c>
      <c r="D186" s="136">
        <f ca="1">IF(ABS(((A186-C186)/'normal case'!D187)-D185)&lt;0.0000001,D185,(A186-C186)/'normal case'!D187)</f>
        <v>0</v>
      </c>
      <c r="E186" s="136">
        <f ca="1">IF(ABS(D186-(G186*('normal case'!M187/100))/'normal case'!D187-E185)&lt;0.00001,E185,D186-(G186*('normal case'!M187/100))/'normal case'!D187)</f>
        <v>0</v>
      </c>
      <c r="F186" s="137">
        <f ca="1">F185*(1+'normal case'!L186/100)</f>
        <v>38.232403778741585</v>
      </c>
      <c r="G186" s="135">
        <f ca="1">C186-A186+G185*(1+'normal case'!M186/100)</f>
        <v>0</v>
      </c>
      <c r="H186" s="136">
        <f ca="1">IF(ABS(G186/'normal case'!D187-H185)&lt;0.0000001,H185,G186/'normal case'!D187)</f>
        <v>0</v>
      </c>
    </row>
    <row r="187" spans="1:8">
      <c r="A187" s="135">
        <f ca="1">('main page'!$U$31/100)*'normal case'!D188</f>
        <v>20</v>
      </c>
      <c r="B187" s="136"/>
      <c r="C187" s="135">
        <f ca="1">'normal case'!AG188-'normal case'!AG187+IF(controls!$B$33=1,(1+(('main page'!$K$35/100)))*C186,'public finance'!C186)</f>
        <v>20</v>
      </c>
      <c r="D187" s="136">
        <f ca="1">IF(ABS(((A187-C187)/'normal case'!D188)-D186)&lt;0.0000001,D186,(A187-C187)/'normal case'!D188)</f>
        <v>0</v>
      </c>
      <c r="E187" s="136">
        <f ca="1">IF(ABS(D187-(G187*('normal case'!M188/100))/'normal case'!D188-E186)&lt;0.00001,E186,D187-(G187*('normal case'!M188/100))/'normal case'!D188)</f>
        <v>0</v>
      </c>
      <c r="F187" s="137">
        <f ca="1">F186*(1+'normal case'!L187/100)</f>
        <v>38.997051854316418</v>
      </c>
      <c r="G187" s="135">
        <f ca="1">C187-A187+G186*(1+'normal case'!M187/100)</f>
        <v>0</v>
      </c>
      <c r="H187" s="136">
        <f ca="1">IF(ABS(G187/'normal case'!D188-H186)&lt;0.0000001,H186,G187/'normal case'!D188)</f>
        <v>0</v>
      </c>
    </row>
    <row r="188" spans="1:8">
      <c r="A188" s="135">
        <f ca="1">('main page'!$U$31/100)*'normal case'!D189</f>
        <v>20</v>
      </c>
      <c r="B188" s="136"/>
      <c r="C188" s="135">
        <f ca="1">'normal case'!AG189-'normal case'!AG188+IF(controls!$B$33=1,(1+(('main page'!$K$35/100)))*C187,'public finance'!C187)</f>
        <v>20</v>
      </c>
      <c r="D188" s="136">
        <f ca="1">IF(ABS(((A188-C188)/'normal case'!D189)-D187)&lt;0.0000001,D187,(A188-C188)/'normal case'!D189)</f>
        <v>0</v>
      </c>
      <c r="E188" s="136">
        <f ca="1">IF(ABS(D188-(G188*('normal case'!M189/100))/'normal case'!D189-E187)&lt;0.00001,E187,D188-(G188*('normal case'!M189/100))/'normal case'!D189)</f>
        <v>0</v>
      </c>
      <c r="F188" s="137">
        <f ca="1">F187*(1+'normal case'!L188/100)</f>
        <v>39.776992891402749</v>
      </c>
      <c r="G188" s="135">
        <f ca="1">C188-A188+G187*(1+'normal case'!M188/100)</f>
        <v>0</v>
      </c>
      <c r="H188" s="136">
        <f ca="1">IF(ABS(G188/'normal case'!D189-H187)&lt;0.0000001,H187,G188/'normal case'!D189)</f>
        <v>0</v>
      </c>
    </row>
    <row r="189" spans="1:8">
      <c r="A189" s="135">
        <f ca="1">('main page'!$U$31/100)*'normal case'!D190</f>
        <v>20</v>
      </c>
      <c r="B189" s="136"/>
      <c r="C189" s="135">
        <f ca="1">'normal case'!AG190-'normal case'!AG189+IF(controls!$B$33=1,(1+(('main page'!$K$35/100)))*C188,'public finance'!C188)</f>
        <v>20</v>
      </c>
      <c r="D189" s="136">
        <f ca="1">IF(ABS(((A189-C189)/'normal case'!D190)-D188)&lt;0.0000001,D188,(A189-C189)/'normal case'!D190)</f>
        <v>0</v>
      </c>
      <c r="E189" s="136">
        <f ca="1">IF(ABS(D189-(G189*('normal case'!M190/100))/'normal case'!D190-E188)&lt;0.00001,E188,D189-(G189*('normal case'!M190/100))/'normal case'!D190)</f>
        <v>0</v>
      </c>
      <c r="F189" s="137">
        <f ca="1">F188*(1+'normal case'!L189/100)</f>
        <v>40.572532749230803</v>
      </c>
      <c r="G189" s="135">
        <f ca="1">C189-A189+G188*(1+'normal case'!M189/100)</f>
        <v>0</v>
      </c>
      <c r="H189" s="136">
        <f ca="1">IF(ABS(G189/'normal case'!D190-H188)&lt;0.0000001,H188,G189/'normal case'!D190)</f>
        <v>0</v>
      </c>
    </row>
    <row r="190" spans="1:8">
      <c r="A190" s="135">
        <f ca="1">('main page'!$U$31/100)*'normal case'!D191</f>
        <v>20</v>
      </c>
      <c r="B190" s="136"/>
      <c r="C190" s="135">
        <f ca="1">'normal case'!AG191-'normal case'!AG190+IF(controls!$B$33=1,(1+(('main page'!$K$35/100)))*C189,'public finance'!C189)</f>
        <v>20</v>
      </c>
      <c r="D190" s="136">
        <f ca="1">IF(ABS(((A190-C190)/'normal case'!D191)-D189)&lt;0.0000001,D189,(A190-C190)/'normal case'!D191)</f>
        <v>0</v>
      </c>
      <c r="E190" s="136">
        <f ca="1">IF(ABS(D190-(G190*('normal case'!M191/100))/'normal case'!D191-E189)&lt;0.00001,E189,D190-(G190*('normal case'!M191/100))/'normal case'!D191)</f>
        <v>0</v>
      </c>
      <c r="F190" s="137">
        <f ca="1">F189*(1+'normal case'!L190/100)</f>
        <v>41.383983404215421</v>
      </c>
      <c r="G190" s="135">
        <f ca="1">C190-A190+G189*(1+'normal case'!M190/100)</f>
        <v>0</v>
      </c>
      <c r="H190" s="136">
        <f ca="1">IF(ABS(G190/'normal case'!D191-H189)&lt;0.0000001,H189,G190/'normal case'!D191)</f>
        <v>0</v>
      </c>
    </row>
    <row r="191" spans="1:8">
      <c r="A191" s="135">
        <f ca="1">('main page'!$U$31/100)*'normal case'!D192</f>
        <v>20</v>
      </c>
      <c r="B191" s="136"/>
      <c r="C191" s="135">
        <f ca="1">'normal case'!AG192-'normal case'!AG191+IF(controls!$B$33=1,(1+(('main page'!$K$35/100)))*C190,'public finance'!C190)</f>
        <v>20</v>
      </c>
      <c r="D191" s="136">
        <f ca="1">IF(ABS(((A191-C191)/'normal case'!D192)-D190)&lt;0.0000001,D190,(A191-C191)/'normal case'!D192)</f>
        <v>0</v>
      </c>
      <c r="E191" s="136">
        <f ca="1">IF(ABS(D191-(G191*('normal case'!M192/100))/'normal case'!D192-E190)&lt;0.00001,E190,D191-(G191*('normal case'!M192/100))/'normal case'!D192)</f>
        <v>0</v>
      </c>
      <c r="F191" s="137">
        <f ca="1">F190*(1+'normal case'!L191/100)</f>
        <v>42.211663072299729</v>
      </c>
      <c r="G191" s="135">
        <f ca="1">C191-A191+G190*(1+'normal case'!M191/100)</f>
        <v>0</v>
      </c>
      <c r="H191" s="136">
        <f ca="1">IF(ABS(G191/'normal case'!D192-H190)&lt;0.0000001,H190,G191/'normal case'!D192)</f>
        <v>0</v>
      </c>
    </row>
    <row r="192" spans="1:8">
      <c r="A192" s="135">
        <f ca="1">('main page'!$U$31/100)*'normal case'!D193</f>
        <v>20</v>
      </c>
      <c r="B192" s="136"/>
      <c r="C192" s="135">
        <f ca="1">'normal case'!AG193-'normal case'!AG192+IF(controls!$B$33=1,(1+(('main page'!$K$35/100)))*C191,'public finance'!C191)</f>
        <v>20</v>
      </c>
      <c r="D192" s="136">
        <f ca="1">IF(ABS(((A192-C192)/'normal case'!D193)-D191)&lt;0.0000001,D191,(A192-C192)/'normal case'!D193)</f>
        <v>0</v>
      </c>
      <c r="E192" s="136">
        <f ca="1">IF(ABS(D192-(G192*('normal case'!M193/100))/'normal case'!D193-E191)&lt;0.00001,E191,D192-(G192*('normal case'!M193/100))/'normal case'!D193)</f>
        <v>0</v>
      </c>
      <c r="F192" s="137">
        <f ca="1">F191*(1+'normal case'!L192/100)</f>
        <v>43.055896333745721</v>
      </c>
      <c r="G192" s="135">
        <f ca="1">C192-A192+G191*(1+'normal case'!M192/100)</f>
        <v>0</v>
      </c>
      <c r="H192" s="136">
        <f ca="1">IF(ABS(G192/'normal case'!D193-H191)&lt;0.0000001,H191,G192/'normal case'!D193)</f>
        <v>0</v>
      </c>
    </row>
    <row r="193" spans="1:8">
      <c r="A193" s="135">
        <f ca="1">('main page'!$U$31/100)*'normal case'!D194</f>
        <v>20</v>
      </c>
      <c r="B193" s="136"/>
      <c r="C193" s="135">
        <f ca="1">'normal case'!AG194-'normal case'!AG193+IF(controls!$B$33=1,(1+(('main page'!$K$35/100)))*C192,'public finance'!C192)</f>
        <v>20</v>
      </c>
      <c r="D193" s="136">
        <f ca="1">IF(ABS(((A193-C193)/'normal case'!D194)-D192)&lt;0.0000001,D192,(A193-C193)/'normal case'!D194)</f>
        <v>0</v>
      </c>
      <c r="E193" s="136">
        <f ca="1">IF(ABS(D193-(G193*('normal case'!M194/100))/'normal case'!D194-E192)&lt;0.00001,E192,D193-(G193*('normal case'!M194/100))/'normal case'!D194)</f>
        <v>0</v>
      </c>
      <c r="F193" s="137">
        <f ca="1">F192*(1+'normal case'!L193/100)</f>
        <v>43.917014260420636</v>
      </c>
      <c r="G193" s="135">
        <f ca="1">C193-A193+G192*(1+'normal case'!M193/100)</f>
        <v>0</v>
      </c>
      <c r="H193" s="136">
        <f ca="1">IF(ABS(G193/'normal case'!D194-H192)&lt;0.0000001,H192,G193/'normal case'!D194)</f>
        <v>0</v>
      </c>
    </row>
    <row r="194" spans="1:8">
      <c r="A194" s="135">
        <f ca="1">('main page'!$U$31/100)*'normal case'!D195</f>
        <v>20</v>
      </c>
      <c r="B194" s="136"/>
      <c r="C194" s="135">
        <f ca="1">'normal case'!AG195-'normal case'!AG194+IF(controls!$B$33=1,(1+(('main page'!$K$35/100)))*C193,'public finance'!C193)</f>
        <v>20</v>
      </c>
      <c r="D194" s="136">
        <f ca="1">IF(ABS(((A194-C194)/'normal case'!D195)-D193)&lt;0.0000001,D193,(A194-C194)/'normal case'!D195)</f>
        <v>0</v>
      </c>
      <c r="E194" s="136">
        <f ca="1">IF(ABS(D194-(G194*('normal case'!M195/100))/'normal case'!D195-E193)&lt;0.00001,E193,D194-(G194*('normal case'!M195/100))/'normal case'!D195)</f>
        <v>0</v>
      </c>
      <c r="F194" s="137">
        <f ca="1">F193*(1+'normal case'!L194/100)</f>
        <v>44.795354545629053</v>
      </c>
      <c r="G194" s="135">
        <f ca="1">C194-A194+G193*(1+'normal case'!M194/100)</f>
        <v>0</v>
      </c>
      <c r="H194" s="136">
        <f ca="1">IF(ABS(G194/'normal case'!D195-H193)&lt;0.0000001,H193,G194/'normal case'!D195)</f>
        <v>0</v>
      </c>
    </row>
    <row r="195" spans="1:8">
      <c r="A195" s="135">
        <f ca="1">('main page'!$U$31/100)*'normal case'!D196</f>
        <v>20</v>
      </c>
      <c r="B195" s="136"/>
      <c r="C195" s="135">
        <f ca="1">'normal case'!AG196-'normal case'!AG195+IF(controls!$B$33=1,(1+(('main page'!$K$35/100)))*C194,'public finance'!C194)</f>
        <v>20</v>
      </c>
      <c r="D195" s="136">
        <f ca="1">IF(ABS(((A195-C195)/'normal case'!D196)-D194)&lt;0.0000001,D194,(A195-C195)/'normal case'!D196)</f>
        <v>0</v>
      </c>
      <c r="E195" s="136">
        <f ca="1">IF(ABS(D195-(G195*('normal case'!M196/100))/'normal case'!D196-E194)&lt;0.00001,E194,D195-(G195*('normal case'!M196/100))/'normal case'!D196)</f>
        <v>0</v>
      </c>
      <c r="F195" s="137">
        <f ca="1">F194*(1+'normal case'!L195/100)</f>
        <v>45.691261636541633</v>
      </c>
      <c r="G195" s="135">
        <f ca="1">C195-A195+G194*(1+'normal case'!M195/100)</f>
        <v>0</v>
      </c>
      <c r="H195" s="136">
        <f ca="1">IF(ABS(G195/'normal case'!D196-H194)&lt;0.0000001,H194,G195/'normal case'!D196)</f>
        <v>0</v>
      </c>
    </row>
    <row r="196" spans="1:8">
      <c r="A196" s="135">
        <f ca="1">('main page'!$U$31/100)*'normal case'!D197</f>
        <v>20</v>
      </c>
      <c r="B196" s="136"/>
      <c r="C196" s="135">
        <f ca="1">'normal case'!AG197-'normal case'!AG196+IF(controls!$B$33=1,(1+(('main page'!$K$35/100)))*C195,'public finance'!C195)</f>
        <v>20</v>
      </c>
      <c r="D196" s="136">
        <f ca="1">IF(ABS(((A196-C196)/'normal case'!D197)-D195)&lt;0.0000001,D195,(A196-C196)/'normal case'!D197)</f>
        <v>0</v>
      </c>
      <c r="E196" s="136">
        <f ca="1">IF(ABS(D196-(G196*('normal case'!M197/100))/'normal case'!D197-E195)&lt;0.00001,E195,D196-(G196*('normal case'!M197/100))/'normal case'!D197)</f>
        <v>0</v>
      </c>
      <c r="F196" s="137">
        <f ca="1">F195*(1+'normal case'!L196/100)</f>
        <v>46.605086869272469</v>
      </c>
      <c r="G196" s="135">
        <f ca="1">C196-A196+G195*(1+'normal case'!M196/100)</f>
        <v>0</v>
      </c>
      <c r="H196" s="136">
        <f ca="1">IF(ABS(G196/'normal case'!D197-H195)&lt;0.0000001,H195,G196/'normal case'!D197)</f>
        <v>0</v>
      </c>
    </row>
    <row r="197" spans="1:8">
      <c r="A197" s="135">
        <f ca="1">('main page'!$U$31/100)*'normal case'!D198</f>
        <v>20</v>
      </c>
      <c r="B197" s="136"/>
      <c r="C197" s="135">
        <f ca="1">'normal case'!AG198-'normal case'!AG197+IF(controls!$B$33=1,(1+(('main page'!$K$35/100)))*C196,'public finance'!C196)</f>
        <v>20</v>
      </c>
      <c r="D197" s="136">
        <f ca="1">IF(ABS(((A197-C197)/'normal case'!D198)-D196)&lt;0.0000001,D196,(A197-C197)/'normal case'!D198)</f>
        <v>0</v>
      </c>
      <c r="E197" s="136">
        <f ca="1">IF(ABS(D197-(G197*('normal case'!M198/100))/'normal case'!D198-E196)&lt;0.00001,E196,D197-(G197*('normal case'!M198/100))/'normal case'!D198)</f>
        <v>0</v>
      </c>
      <c r="F197" s="137">
        <f ca="1">F196*(1+'normal case'!L197/100)</f>
        <v>47.537188606657921</v>
      </c>
      <c r="G197" s="135">
        <f ca="1">C197-A197+G196*(1+'normal case'!M197/100)</f>
        <v>0</v>
      </c>
      <c r="H197" s="136">
        <f ca="1">IF(ABS(G197/'normal case'!D198-H196)&lt;0.0000001,H196,G197/'normal case'!D198)</f>
        <v>0</v>
      </c>
    </row>
    <row r="198" spans="1:8">
      <c r="A198" s="135">
        <f ca="1">('main page'!$U$31/100)*'normal case'!D199</f>
        <v>20</v>
      </c>
      <c r="B198" s="136"/>
      <c r="C198" s="135">
        <f ca="1">'normal case'!AG199-'normal case'!AG198+IF(controls!$B$33=1,(1+(('main page'!$K$35/100)))*C197,'public finance'!C197)</f>
        <v>20</v>
      </c>
      <c r="D198" s="136">
        <f ca="1">IF(ABS(((A198-C198)/'normal case'!D199)-D197)&lt;0.0000001,D197,(A198-C198)/'normal case'!D199)</f>
        <v>0</v>
      </c>
      <c r="E198" s="136">
        <f ca="1">IF(ABS(D198-(G198*('normal case'!M199/100))/'normal case'!D199-E197)&lt;0.00001,E197,D198-(G198*('normal case'!M199/100))/'normal case'!D199)</f>
        <v>0</v>
      </c>
      <c r="F198" s="137">
        <f ca="1">F197*(1+'normal case'!L198/100)</f>
        <v>48.487932378791079</v>
      </c>
      <c r="G198" s="135">
        <f ca="1">C198-A198+G197*(1+'normal case'!M198/100)</f>
        <v>0</v>
      </c>
      <c r="H198" s="136">
        <f ca="1">IF(ABS(G198/'normal case'!D199-H197)&lt;0.0000001,H197,G198/'normal case'!D199)</f>
        <v>0</v>
      </c>
    </row>
    <row r="199" spans="1:8">
      <c r="A199" s="135">
        <f ca="1">('main page'!$U$31/100)*'normal case'!D200</f>
        <v>20</v>
      </c>
      <c r="B199" s="136"/>
      <c r="C199" s="135">
        <f ca="1">'normal case'!AG200-'normal case'!AG199+IF(controls!$B$33=1,(1+(('main page'!$K$35/100)))*C198,'public finance'!C198)</f>
        <v>20</v>
      </c>
      <c r="D199" s="136">
        <f ca="1">IF(ABS(((A199-C199)/'normal case'!D200)-D198)&lt;0.0000001,D198,(A199-C199)/'normal case'!D200)</f>
        <v>0</v>
      </c>
      <c r="E199" s="136">
        <f ca="1">IF(ABS(D199-(G199*('normal case'!M200/100))/'normal case'!D200-E198)&lt;0.00001,E198,D199-(G199*('normal case'!M200/100))/'normal case'!D200)</f>
        <v>0</v>
      </c>
      <c r="F199" s="137">
        <f ca="1">F198*(1+'normal case'!L199/100)</f>
        <v>49.457691026366902</v>
      </c>
      <c r="G199" s="135">
        <f ca="1">C199-A199+G198*(1+'normal case'!M199/100)</f>
        <v>0</v>
      </c>
      <c r="H199" s="136">
        <f ca="1">IF(ABS(G199/'normal case'!D200-H198)&lt;0.0000001,H198,G199/'normal case'!D200)</f>
        <v>0</v>
      </c>
    </row>
    <row r="200" spans="1:8">
      <c r="A200" s="135">
        <f ca="1">('main page'!$U$31/100)*'normal case'!D201</f>
        <v>20</v>
      </c>
      <c r="B200" s="136"/>
      <c r="C200" s="135">
        <f ca="1">'normal case'!AG201-'normal case'!AG200+IF(controls!$B$33=1,(1+(('main page'!$K$35/100)))*C199,'public finance'!C199)</f>
        <v>20</v>
      </c>
      <c r="D200" s="136">
        <f ca="1">IF(ABS(((A200-C200)/'normal case'!D201)-D199)&lt;0.0000001,D199,(A200-C200)/'normal case'!D201)</f>
        <v>0</v>
      </c>
      <c r="E200" s="136">
        <f ca="1">IF(ABS(D200-(G200*('normal case'!M201/100))/'normal case'!D201-E199)&lt;0.00001,E199,D200-(G200*('normal case'!M201/100))/'normal case'!D201)</f>
        <v>0</v>
      </c>
      <c r="F200" s="137">
        <f ca="1">F199*(1+'normal case'!L200/100)</f>
        <v>50.446844846894244</v>
      </c>
      <c r="G200" s="135">
        <f ca="1">C200-A200+G199*(1+'normal case'!M200/100)</f>
        <v>0</v>
      </c>
      <c r="H200" s="136">
        <f ca="1">IF(ABS(G200/'normal case'!D201-H199)&lt;0.0000001,H199,G200/'normal case'!D201)</f>
        <v>0</v>
      </c>
    </row>
    <row r="201" spans="1:8">
      <c r="A201" s="135">
        <f ca="1">('main page'!$U$31/100)*'normal case'!D202</f>
        <v>20</v>
      </c>
      <c r="B201" s="136"/>
      <c r="C201" s="135">
        <f ca="1">'normal case'!AG202-'normal case'!AG201+IF(controls!$B$33=1,(1+(('main page'!$K$35/100)))*C200,'public finance'!C200)</f>
        <v>20</v>
      </c>
      <c r="D201" s="136">
        <f ca="1">IF(ABS(((A201-C201)/'normal case'!D202)-D200)&lt;0.0000001,D200,(A201-C201)/'normal case'!D202)</f>
        <v>0</v>
      </c>
      <c r="E201" s="136">
        <f ca="1">IF(ABS(D201-(G201*('normal case'!M202/100))/'normal case'!D202-E200)&lt;0.00001,E200,D201-(G201*('normal case'!M202/100))/'normal case'!D202)</f>
        <v>0</v>
      </c>
      <c r="F201" s="137">
        <f ca="1">F200*(1+'normal case'!L201/100)</f>
        <v>51.455781743832127</v>
      </c>
      <c r="G201" s="135">
        <f ca="1">C201-A201+G200*(1+'normal case'!M201/100)</f>
        <v>0</v>
      </c>
      <c r="H201" s="136">
        <f ca="1">IF(ABS(G201/'normal case'!D202-H200)&lt;0.0000001,H200,G201/'normal case'!D202)</f>
        <v>0</v>
      </c>
    </row>
    <row r="202" spans="1:8">
      <c r="A202" s="135">
        <f ca="1">('main page'!$U$31/100)*'normal case'!D203</f>
        <v>20</v>
      </c>
      <c r="B202" s="136"/>
      <c r="C202" s="135">
        <f ca="1">'normal case'!AG203-'normal case'!AG202+IF(controls!$B$33=1,(1+(('main page'!$K$35/100)))*C201,'public finance'!C201)</f>
        <v>20</v>
      </c>
      <c r="D202" s="136">
        <f ca="1">IF(ABS(((A202-C202)/'normal case'!D203)-D201)&lt;0.0000001,D201,(A202-C202)/'normal case'!D203)</f>
        <v>0</v>
      </c>
      <c r="E202" s="136">
        <f ca="1">IF(ABS(D202-(G202*('normal case'!M203/100))/'normal case'!D203-E201)&lt;0.00001,E201,D202-(G202*('normal case'!M203/100))/'normal case'!D203)</f>
        <v>0</v>
      </c>
      <c r="F202" s="137">
        <f ca="1">F201*(1+'normal case'!L202/100)</f>
        <v>52.484897378708773</v>
      </c>
      <c r="G202" s="135">
        <f ca="1">C202-A202+G201*(1+'normal case'!M202/100)</f>
        <v>0</v>
      </c>
      <c r="H202" s="136">
        <f ca="1">IF(ABS(G202/'normal case'!D203-H201)&lt;0.0000001,H201,G202/'normal case'!D203)</f>
        <v>0</v>
      </c>
    </row>
    <row r="203" spans="1:8">
      <c r="A203" s="135">
        <f ca="1">('main page'!$U$31/100)*'normal case'!D204</f>
        <v>20</v>
      </c>
      <c r="B203" s="136"/>
      <c r="C203" s="135">
        <f ca="1">'normal case'!AG204-'normal case'!AG203+IF(controls!$B$33=1,(1+(('main page'!$K$35/100)))*C202,'public finance'!C202)</f>
        <v>20</v>
      </c>
      <c r="D203" s="136">
        <f ca="1">IF(ABS(((A203-C203)/'normal case'!D204)-D202)&lt;0.0000001,D202,(A203-C203)/'normal case'!D204)</f>
        <v>0</v>
      </c>
      <c r="E203" s="136">
        <f ca="1">IF(ABS(D203-(G203*('normal case'!M204/100))/'normal case'!D204-E202)&lt;0.00001,E202,D203-(G203*('normal case'!M204/100))/'normal case'!D204)</f>
        <v>0</v>
      </c>
      <c r="F203" s="137">
        <f ca="1">F202*(1+'normal case'!L203/100)</f>
        <v>53.534595326282947</v>
      </c>
      <c r="G203" s="135">
        <f ca="1">C203-A203+G202*(1+'normal case'!M203/100)</f>
        <v>0</v>
      </c>
      <c r="H203" s="136">
        <f ca="1">IF(ABS(G203/'normal case'!D204-H202)&lt;0.0000001,H202,G203/'normal case'!D204)</f>
        <v>0</v>
      </c>
    </row>
    <row r="204" spans="1:8">
      <c r="A204" s="135">
        <f ca="1">('main page'!$U$31/100)*'normal case'!D205</f>
        <v>20</v>
      </c>
      <c r="B204" s="136"/>
      <c r="C204" s="135">
        <f ca="1">'normal case'!AG205-'normal case'!AG204+IF(controls!$B$33=1,(1+(('main page'!$K$35/100)))*C203,'public finance'!C203)</f>
        <v>20</v>
      </c>
      <c r="D204" s="136">
        <f ca="1">IF(ABS(((A204-C204)/'normal case'!D205)-D203)&lt;0.0000001,D203,(A204-C204)/'normal case'!D205)</f>
        <v>0</v>
      </c>
      <c r="E204" s="136">
        <f ca="1">IF(ABS(D204-(G204*('normal case'!M205/100))/'normal case'!D205-E203)&lt;0.00001,E203,D204-(G204*('normal case'!M205/100))/'normal case'!D205)</f>
        <v>0</v>
      </c>
      <c r="F204" s="137">
        <f ca="1">F203*(1+'normal case'!L204/100)</f>
        <v>54.605287232808607</v>
      </c>
      <c r="G204" s="135">
        <f ca="1">C204-A204+G203*(1+'normal case'!M204/100)</f>
        <v>0</v>
      </c>
      <c r="H204" s="136">
        <f ca="1">IF(ABS(G204/'normal case'!D205-H203)&lt;0.0000001,H203,G204/'normal case'!D205)</f>
        <v>0</v>
      </c>
    </row>
    <row r="205" spans="1:8">
      <c r="A205" s="135">
        <f ca="1">('main page'!$U$31/100)*'normal case'!D206</f>
        <v>20</v>
      </c>
      <c r="B205" s="136"/>
      <c r="C205" s="135">
        <f ca="1">'normal case'!AG206-'normal case'!AG205+IF(controls!$B$33=1,(1+(('main page'!$K$35/100)))*C204,'public finance'!C204)</f>
        <v>20</v>
      </c>
      <c r="D205" s="136">
        <f ca="1">IF(ABS(((A205-C205)/'normal case'!D206)-D204)&lt;0.0000001,D204,(A205-C205)/'normal case'!D206)</f>
        <v>0</v>
      </c>
      <c r="E205" s="136">
        <f ca="1">IF(ABS(D205-(G205*('normal case'!M206/100))/'normal case'!D206-E204)&lt;0.00001,E204,D205-(G205*('normal case'!M206/100))/'normal case'!D206)</f>
        <v>0</v>
      </c>
      <c r="F205" s="137">
        <f ca="1">F204*(1+'normal case'!L205/100)</f>
        <v>55.69739297746478</v>
      </c>
      <c r="G205" s="135">
        <f ca="1">C205-A205+G204*(1+'normal case'!M205/100)</f>
        <v>0</v>
      </c>
      <c r="H205" s="136">
        <f ca="1">IF(ABS(G205/'normal case'!D206-H204)&lt;0.0000001,H204,G205/'normal case'!D206)</f>
        <v>0</v>
      </c>
    </row>
    <row r="206" spans="1:8">
      <c r="A206" s="135">
        <f ca="1">('main page'!$U$31/100)*'normal case'!D207</f>
        <v>20</v>
      </c>
      <c r="B206" s="136"/>
      <c r="C206" s="135">
        <f ca="1">'normal case'!AG207-'normal case'!AG206+IF(controls!$B$33=1,(1+(('main page'!$K$35/100)))*C205,'public finance'!C205)</f>
        <v>20</v>
      </c>
      <c r="D206" s="136">
        <f ca="1">IF(ABS(((A206-C206)/'normal case'!D207)-D205)&lt;0.0000001,D205,(A206-C206)/'normal case'!D207)</f>
        <v>0</v>
      </c>
      <c r="E206" s="136">
        <f ca="1">IF(ABS(D206-(G206*('normal case'!M207/100))/'normal case'!D207-E205)&lt;0.00001,E205,D206-(G206*('normal case'!M207/100))/'normal case'!D207)</f>
        <v>0</v>
      </c>
      <c r="F206" s="137">
        <f ca="1">F205*(1+'normal case'!L206/100)</f>
        <v>56.811340837014079</v>
      </c>
      <c r="G206" s="135">
        <f ca="1">C206-A206+G205*(1+'normal case'!M206/100)</f>
        <v>0</v>
      </c>
      <c r="H206" s="136">
        <f ca="1">IF(ABS(G206/'normal case'!D207-H205)&lt;0.0000001,H205,G206/'normal case'!D207)</f>
        <v>0</v>
      </c>
    </row>
    <row r="207" spans="1:8">
      <c r="A207" s="135">
        <f ca="1">('main page'!$U$31/100)*'normal case'!D208</f>
        <v>20</v>
      </c>
      <c r="B207" s="136"/>
      <c r="C207" s="135">
        <f ca="1">'normal case'!AG208-'normal case'!AG207+IF(controls!$B$33=1,(1+(('main page'!$K$35/100)))*C206,'public finance'!C206)</f>
        <v>20</v>
      </c>
      <c r="D207" s="136">
        <f ca="1">IF(ABS(((A207-C207)/'normal case'!D208)-D206)&lt;0.0000001,D206,(A207-C207)/'normal case'!D208)</f>
        <v>0</v>
      </c>
      <c r="E207" s="136">
        <f ca="1">IF(ABS(D207-(G207*('normal case'!M208/100))/'normal case'!D208-E206)&lt;0.00001,E206,D207-(G207*('normal case'!M208/100))/'normal case'!D208)</f>
        <v>0</v>
      </c>
      <c r="F207" s="137">
        <f ca="1">F206*(1+'normal case'!L207/100)</f>
        <v>57.947567653754362</v>
      </c>
      <c r="G207" s="135">
        <f ca="1">C207-A207+G206*(1+'normal case'!M207/100)</f>
        <v>0</v>
      </c>
      <c r="H207" s="136">
        <f ca="1">IF(ABS(G207/'normal case'!D208-H206)&lt;0.0000001,H206,G207/'normal case'!D208)</f>
        <v>0</v>
      </c>
    </row>
    <row r="208" spans="1:8">
      <c r="A208" s="135">
        <f ca="1">('main page'!$U$31/100)*'normal case'!D209</f>
        <v>20</v>
      </c>
      <c r="B208" s="136"/>
      <c r="C208" s="135">
        <f ca="1">'normal case'!AG209-'normal case'!AG208+IF(controls!$B$33=1,(1+(('main page'!$K$35/100)))*C207,'public finance'!C207)</f>
        <v>20</v>
      </c>
      <c r="D208" s="136">
        <f ca="1">IF(ABS(((A208-C208)/'normal case'!D209)-D207)&lt;0.0000001,D207,(A208-C208)/'normal case'!D209)</f>
        <v>0</v>
      </c>
      <c r="E208" s="136">
        <f ca="1">IF(ABS(D208-(G208*('normal case'!M209/100))/'normal case'!D209-E207)&lt;0.00001,E207,D208-(G208*('normal case'!M209/100))/'normal case'!D209)</f>
        <v>0</v>
      </c>
      <c r="F208" s="137">
        <f ca="1">F207*(1+'normal case'!L208/100)</f>
        <v>59.106519006829451</v>
      </c>
      <c r="G208" s="135">
        <f ca="1">C208-A208+G207*(1+'normal case'!M208/100)</f>
        <v>0</v>
      </c>
      <c r="H208" s="136">
        <f ca="1">IF(ABS(G208/'normal case'!D209-H207)&lt;0.0000001,H207,G208/'normal case'!D209)</f>
        <v>0</v>
      </c>
    </row>
    <row r="209" spans="1:8">
      <c r="A209" s="135">
        <f ca="1">('main page'!$U$31/100)*'normal case'!D210</f>
        <v>20</v>
      </c>
      <c r="B209" s="136"/>
      <c r="C209" s="135">
        <f ca="1">'normal case'!AG210-'normal case'!AG209+IF(controls!$B$33=1,(1+(('main page'!$K$35/100)))*C208,'public finance'!C208)</f>
        <v>20</v>
      </c>
      <c r="D209" s="136">
        <f ca="1">IF(ABS(((A209-C209)/'normal case'!D210)-D208)&lt;0.0000001,D208,(A209-C209)/'normal case'!D210)</f>
        <v>0</v>
      </c>
      <c r="E209" s="136">
        <f ca="1">IF(ABS(D209-(G209*('normal case'!M210/100))/'normal case'!D210-E208)&lt;0.00001,E208,D209-(G209*('normal case'!M210/100))/'normal case'!D210)</f>
        <v>0</v>
      </c>
      <c r="F209" s="137">
        <f ca="1">F208*(1+'normal case'!L209/100)</f>
        <v>60.288649386966043</v>
      </c>
      <c r="G209" s="135">
        <f ca="1">C209-A209+G208*(1+'normal case'!M209/100)</f>
        <v>0</v>
      </c>
      <c r="H209" s="136">
        <f ca="1">IF(ABS(G209/'normal case'!D210-H208)&lt;0.0000001,H208,G209/'normal case'!D210)</f>
        <v>0</v>
      </c>
    </row>
    <row r="210" spans="1:8">
      <c r="A210" s="135">
        <f ca="1">('main page'!$U$31/100)*'normal case'!D211</f>
        <v>20</v>
      </c>
      <c r="B210" s="136"/>
      <c r="C210" s="135">
        <f ca="1">'normal case'!AG211-'normal case'!AG210+IF(controls!$B$33=1,(1+(('main page'!$K$35/100)))*C209,'public finance'!C209)</f>
        <v>20</v>
      </c>
      <c r="D210" s="136">
        <f ca="1">IF(ABS(((A210-C210)/'normal case'!D211)-D209)&lt;0.0000001,D209,(A210-C210)/'normal case'!D211)</f>
        <v>0</v>
      </c>
      <c r="E210" s="136">
        <f ca="1">IF(ABS(D210-(G210*('normal case'!M211/100))/'normal case'!D211-E209)&lt;0.00001,E209,D210-(G210*('normal case'!M211/100))/'normal case'!D211)</f>
        <v>0</v>
      </c>
      <c r="F210" s="137">
        <f ca="1">F209*(1+'normal case'!L210/100)</f>
        <v>61.494422374705366</v>
      </c>
      <c r="G210" s="135">
        <f ca="1">C210-A210+G209*(1+'normal case'!M210/100)</f>
        <v>0</v>
      </c>
      <c r="H210" s="136">
        <f ca="1">IF(ABS(G210/'normal case'!D211-H209)&lt;0.0000001,H209,G210/'normal case'!D211)</f>
        <v>0</v>
      </c>
    </row>
    <row r="211" spans="1:8">
      <c r="A211" s="135">
        <f ca="1">('main page'!$U$31/100)*'normal case'!D212</f>
        <v>20</v>
      </c>
      <c r="B211" s="136"/>
      <c r="C211" s="135">
        <f ca="1">'normal case'!AG212-'normal case'!AG211+IF(controls!$B$33=1,(1+(('main page'!$K$35/100)))*C210,'public finance'!C210)</f>
        <v>20</v>
      </c>
      <c r="D211" s="136">
        <f ca="1">IF(ABS(((A211-C211)/'normal case'!D212)-D210)&lt;0.0000001,D210,(A211-C211)/'normal case'!D212)</f>
        <v>0</v>
      </c>
      <c r="E211" s="136">
        <f ca="1">IF(ABS(D211-(G211*('normal case'!M212/100))/'normal case'!D212-E210)&lt;0.00001,E210,D211-(G211*('normal case'!M212/100))/'normal case'!D212)</f>
        <v>0</v>
      </c>
      <c r="F211" s="137">
        <f ca="1">F210*(1+'normal case'!L211/100)</f>
        <v>62.724310822199477</v>
      </c>
      <c r="G211" s="135">
        <f ca="1">C211-A211+G210*(1+'normal case'!M211/100)</f>
        <v>0</v>
      </c>
      <c r="H211" s="136">
        <f ca="1">IF(ABS(G211/'normal case'!D212-H210)&lt;0.0000001,H210,G211/'normal case'!D212)</f>
        <v>0</v>
      </c>
    </row>
    <row r="212" spans="1:8">
      <c r="A212" s="135">
        <f ca="1">('main page'!$U$31/100)*'normal case'!D213</f>
        <v>20</v>
      </c>
      <c r="B212" s="136"/>
      <c r="C212" s="135">
        <f ca="1">'normal case'!AG213-'normal case'!AG212+IF(controls!$B$33=1,(1+(('main page'!$K$35/100)))*C211,'public finance'!C211)</f>
        <v>20</v>
      </c>
      <c r="D212" s="136">
        <f ca="1">IF(ABS(((A212-C212)/'normal case'!D213)-D211)&lt;0.0000001,D211,(A212-C212)/'normal case'!D213)</f>
        <v>0</v>
      </c>
      <c r="E212" s="136">
        <f ca="1">IF(ABS(D212-(G212*('normal case'!M213/100))/'normal case'!D213-E211)&lt;0.00001,E211,D212-(G212*('normal case'!M213/100))/'normal case'!D213)</f>
        <v>0</v>
      </c>
      <c r="F212" s="137">
        <f ca="1">F211*(1+'normal case'!L212/100)</f>
        <v>63.978797038643471</v>
      </c>
      <c r="G212" s="135">
        <f ca="1">C212-A212+G211*(1+'normal case'!M212/100)</f>
        <v>0</v>
      </c>
      <c r="H212" s="136">
        <f ca="1">IF(ABS(G212/'normal case'!D213-H211)&lt;0.0000001,H211,G212/'normal case'!D213)</f>
        <v>0</v>
      </c>
    </row>
    <row r="213" spans="1:8">
      <c r="A213" s="135">
        <f ca="1">('main page'!$U$31/100)*'normal case'!D214</f>
        <v>20</v>
      </c>
      <c r="B213" s="136"/>
      <c r="C213" s="135">
        <f ca="1">'normal case'!AG214-'normal case'!AG213+IF(controls!$B$33=1,(1+(('main page'!$K$35/100)))*C212,'public finance'!C212)</f>
        <v>20</v>
      </c>
      <c r="D213" s="136">
        <f ca="1">IF(ABS(((A213-C213)/'normal case'!D214)-D212)&lt;0.0000001,D212,(A213-C213)/'normal case'!D214)</f>
        <v>0</v>
      </c>
      <c r="E213" s="136">
        <f ca="1">IF(ABS(D213-(G213*('normal case'!M214/100))/'normal case'!D214-E212)&lt;0.00001,E212,D213-(G213*('normal case'!M214/100))/'normal case'!D214)</f>
        <v>0</v>
      </c>
      <c r="F213" s="137">
        <f ca="1">F212*(1+'normal case'!L213/100)</f>
        <v>65.258372979416336</v>
      </c>
      <c r="G213" s="135">
        <f ca="1">C213-A213+G212*(1+'normal case'!M213/100)</f>
        <v>0</v>
      </c>
      <c r="H213" s="136">
        <f ca="1">IF(ABS(G213/'normal case'!D214-H212)&lt;0.0000001,H212,G213/'normal case'!D214)</f>
        <v>0</v>
      </c>
    </row>
    <row r="214" spans="1:8">
      <c r="A214" s="135">
        <f ca="1">('main page'!$U$31/100)*'normal case'!D215</f>
        <v>20</v>
      </c>
      <c r="B214" s="136"/>
      <c r="C214" s="135">
        <f ca="1">'normal case'!AG215-'normal case'!AG214+IF(controls!$B$33=1,(1+(('main page'!$K$35/100)))*C213,'public finance'!C213)</f>
        <v>20</v>
      </c>
      <c r="D214" s="136">
        <f ca="1">IF(ABS(((A214-C214)/'normal case'!D215)-D213)&lt;0.0000001,D213,(A214-C214)/'normal case'!D215)</f>
        <v>0</v>
      </c>
      <c r="E214" s="136">
        <f ca="1">IF(ABS(D214-(G214*('normal case'!M215/100))/'normal case'!D215-E213)&lt;0.00001,E213,D214-(G214*('normal case'!M215/100))/'normal case'!D215)</f>
        <v>0</v>
      </c>
      <c r="F214" s="137">
        <f ca="1">F213*(1+'normal case'!L214/100)</f>
        <v>66.563540439004669</v>
      </c>
      <c r="G214" s="135">
        <f ca="1">C214-A214+G213*(1+'normal case'!M214/100)</f>
        <v>0</v>
      </c>
      <c r="H214" s="136">
        <f ca="1">IF(ABS(G214/'normal case'!D215-H213)&lt;0.0000001,H213,G214/'normal case'!D215)</f>
        <v>0</v>
      </c>
    </row>
    <row r="215" spans="1:8">
      <c r="A215" s="135">
        <f ca="1">('main page'!$U$31/100)*'normal case'!D216</f>
        <v>20</v>
      </c>
      <c r="B215" s="136"/>
      <c r="C215" s="135">
        <f ca="1">'normal case'!AG216-'normal case'!AG215+IF(controls!$B$33=1,(1+(('main page'!$K$35/100)))*C214,'public finance'!C214)</f>
        <v>20</v>
      </c>
      <c r="D215" s="136">
        <f ca="1">IF(ABS(((A215-C215)/'normal case'!D216)-D214)&lt;0.0000001,D214,(A215-C215)/'normal case'!D216)</f>
        <v>0</v>
      </c>
      <c r="E215" s="136">
        <f ca="1">IF(ABS(D215-(G215*('normal case'!M216/100))/'normal case'!D216-E214)&lt;0.00001,E214,D215-(G215*('normal case'!M216/100))/'normal case'!D216)</f>
        <v>0</v>
      </c>
      <c r="F215" s="137">
        <f ca="1">F214*(1+'normal case'!L215/100)</f>
        <v>67.894811247784759</v>
      </c>
      <c r="G215" s="135">
        <f ca="1">C215-A215+G214*(1+'normal case'!M215/100)</f>
        <v>0</v>
      </c>
      <c r="H215" s="136">
        <f ca="1">IF(ABS(G215/'normal case'!D216-H214)&lt;0.0000001,H214,G215/'normal case'!D216)</f>
        <v>0</v>
      </c>
    </row>
    <row r="216" spans="1:8">
      <c r="A216" s="135">
        <f ca="1">('main page'!$U$31/100)*'normal case'!D217</f>
        <v>20</v>
      </c>
      <c r="B216" s="136"/>
      <c r="C216" s="135">
        <f ca="1">'normal case'!AG217-'normal case'!AG216+IF(controls!$B$33=1,(1+(('main page'!$K$35/100)))*C215,'public finance'!C215)</f>
        <v>20</v>
      </c>
      <c r="D216" s="136">
        <f ca="1">IF(ABS(((A216-C216)/'normal case'!D217)-D215)&lt;0.0000001,D215,(A216-C216)/'normal case'!D217)</f>
        <v>0</v>
      </c>
      <c r="E216" s="136">
        <f ca="1">IF(ABS(D216-(G216*('normal case'!M217/100))/'normal case'!D217-E215)&lt;0.00001,E215,D216-(G216*('normal case'!M217/100))/'normal case'!D217)</f>
        <v>0</v>
      </c>
      <c r="F216" s="137">
        <f ca="1">F215*(1+'normal case'!L216/100)</f>
        <v>69.252707472740454</v>
      </c>
      <c r="G216" s="135">
        <f ca="1">C216-A216+G215*(1+'normal case'!M216/100)</f>
        <v>0</v>
      </c>
      <c r="H216" s="136">
        <f ca="1">IF(ABS(G216/'normal case'!D217-H215)&lt;0.0000001,H215,G216/'normal case'!D217)</f>
        <v>0</v>
      </c>
    </row>
    <row r="217" spans="1:8">
      <c r="A217" s="135">
        <f ca="1">('main page'!$U$31/100)*'normal case'!D218</f>
        <v>20</v>
      </c>
      <c r="B217" s="136"/>
      <c r="C217" s="135">
        <f ca="1">'normal case'!AG218-'normal case'!AG217+IF(controls!$B$33=1,(1+(('main page'!$K$35/100)))*C216,'public finance'!C216)</f>
        <v>20</v>
      </c>
      <c r="D217" s="136">
        <f ca="1">IF(ABS(((A217-C217)/'normal case'!D218)-D216)&lt;0.0000001,D216,(A217-C217)/'normal case'!D218)</f>
        <v>0</v>
      </c>
      <c r="E217" s="136">
        <f ca="1">IF(ABS(D217-(G217*('normal case'!M218/100))/'normal case'!D218-E216)&lt;0.00001,E216,D217-(G217*('normal case'!M218/100))/'normal case'!D218)</f>
        <v>0</v>
      </c>
      <c r="F217" s="137">
        <f ca="1">F216*(1+'normal case'!L217/100)</f>
        <v>70.637761622195271</v>
      </c>
      <c r="G217" s="135">
        <f ca="1">C217-A217+G216*(1+'normal case'!M217/100)</f>
        <v>0</v>
      </c>
      <c r="H217" s="136">
        <f ca="1">IF(ABS(G217/'normal case'!D218-H216)&lt;0.0000001,H216,G217/'normal case'!D218)</f>
        <v>0</v>
      </c>
    </row>
    <row r="218" spans="1:8">
      <c r="A218" s="135">
        <f ca="1">('main page'!$U$31/100)*'normal case'!D219</f>
        <v>20</v>
      </c>
      <c r="B218" s="136"/>
      <c r="C218" s="135">
        <f ca="1">'normal case'!AG219-'normal case'!AG218+IF(controls!$B$33=1,(1+(('main page'!$K$35/100)))*C217,'public finance'!C217)</f>
        <v>20</v>
      </c>
      <c r="D218" s="136">
        <f ca="1">IF(ABS(((A218-C218)/'normal case'!D219)-D217)&lt;0.0000001,D217,(A218-C218)/'normal case'!D219)</f>
        <v>0</v>
      </c>
      <c r="E218" s="136">
        <f ca="1">IF(ABS(D218-(G218*('normal case'!M219/100))/'normal case'!D219-E217)&lt;0.00001,E217,D218-(G218*('normal case'!M219/100))/'normal case'!D219)</f>
        <v>0</v>
      </c>
      <c r="F218" s="137">
        <f ca="1">F217*(1+'normal case'!L218/100)</f>
        <v>72.050516854639184</v>
      </c>
      <c r="G218" s="135">
        <f ca="1">C218-A218+G217*(1+'normal case'!M218/100)</f>
        <v>0</v>
      </c>
      <c r="H218" s="136">
        <f ca="1">IF(ABS(G218/'normal case'!D219-H217)&lt;0.0000001,H217,G218/'normal case'!D219)</f>
        <v>0</v>
      </c>
    </row>
    <row r="219" spans="1:8">
      <c r="A219" s="135">
        <f ca="1">('main page'!$U$31/100)*'normal case'!D220</f>
        <v>20</v>
      </c>
      <c r="B219" s="136"/>
      <c r="C219" s="135">
        <f ca="1">'normal case'!AG220-'normal case'!AG219+IF(controls!$B$33=1,(1+(('main page'!$K$35/100)))*C218,'public finance'!C218)</f>
        <v>20</v>
      </c>
      <c r="D219" s="136">
        <f ca="1">IF(ABS(((A219-C219)/'normal case'!D220)-D218)&lt;0.0000001,D218,(A219-C219)/'normal case'!D220)</f>
        <v>0</v>
      </c>
      <c r="E219" s="136">
        <f ca="1">IF(ABS(D219-(G219*('normal case'!M220/100))/'normal case'!D220-E218)&lt;0.00001,E218,D219-(G219*('normal case'!M220/100))/'normal case'!D220)</f>
        <v>0</v>
      </c>
      <c r="F219" s="137">
        <f ca="1">F218*(1+'normal case'!L219/100)</f>
        <v>73.491527191731976</v>
      </c>
      <c r="G219" s="135">
        <f ca="1">C219-A219+G218*(1+'normal case'!M219/100)</f>
        <v>0</v>
      </c>
      <c r="H219" s="136">
        <f ca="1">IF(ABS(G219/'normal case'!D220-H218)&lt;0.0000001,H218,G219/'normal case'!D220)</f>
        <v>0</v>
      </c>
    </row>
    <row r="220" spans="1:8">
      <c r="A220" s="135">
        <f ca="1">('main page'!$U$31/100)*'normal case'!D221</f>
        <v>20</v>
      </c>
      <c r="B220" s="136"/>
      <c r="C220" s="135">
        <f ca="1">'normal case'!AG221-'normal case'!AG220+IF(controls!$B$33=1,(1+(('main page'!$K$35/100)))*C219,'public finance'!C219)</f>
        <v>20</v>
      </c>
      <c r="D220" s="136">
        <f ca="1">IF(ABS(((A220-C220)/'normal case'!D221)-D219)&lt;0.0000001,D219,(A220-C220)/'normal case'!D221)</f>
        <v>0</v>
      </c>
      <c r="E220" s="136">
        <f ca="1">IF(ABS(D220-(G220*('normal case'!M221/100))/'normal case'!D221-E219)&lt;0.00001,E219,D220-(G220*('normal case'!M221/100))/'normal case'!D221)</f>
        <v>0</v>
      </c>
      <c r="F220" s="137">
        <f ca="1">F219*(1+'normal case'!L220/100)</f>
        <v>74.961357735566622</v>
      </c>
      <c r="G220" s="135">
        <f ca="1">C220-A220+G219*(1+'normal case'!M220/100)</f>
        <v>0</v>
      </c>
      <c r="H220" s="136">
        <f ca="1">IF(ABS(G220/'normal case'!D221-H219)&lt;0.0000001,H219,G220/'normal case'!D221)</f>
        <v>0</v>
      </c>
    </row>
    <row r="221" spans="1:8">
      <c r="A221" s="135">
        <f ca="1">('main page'!$U$31/100)*'normal case'!D222</f>
        <v>20</v>
      </c>
      <c r="B221" s="136"/>
      <c r="C221" s="135">
        <f ca="1">'normal case'!AG222-'normal case'!AG221+IF(controls!$B$33=1,(1+(('main page'!$K$35/100)))*C220,'public finance'!C220)</f>
        <v>20</v>
      </c>
      <c r="D221" s="136">
        <f ca="1">IF(ABS(((A221-C221)/'normal case'!D222)-D220)&lt;0.0000001,D220,(A221-C221)/'normal case'!D222)</f>
        <v>0</v>
      </c>
      <c r="E221" s="136">
        <f ca="1">IF(ABS(D221-(G221*('normal case'!M222/100))/'normal case'!D222-E220)&lt;0.00001,E220,D221-(G221*('normal case'!M222/100))/'normal case'!D222)</f>
        <v>0</v>
      </c>
      <c r="F221" s="137">
        <f ca="1">F220*(1+'normal case'!L221/100)</f>
        <v>76.460584890277957</v>
      </c>
      <c r="G221" s="135">
        <f ca="1">C221-A221+G220*(1+'normal case'!M221/100)</f>
        <v>0</v>
      </c>
      <c r="H221" s="136">
        <f ca="1">IF(ABS(G221/'normal case'!D222-H220)&lt;0.0000001,H220,G221/'normal case'!D222)</f>
        <v>0</v>
      </c>
    </row>
    <row r="222" spans="1:8">
      <c r="A222" s="135">
        <f ca="1">('main page'!$U$31/100)*'normal case'!D223</f>
        <v>20</v>
      </c>
      <c r="B222" s="136"/>
      <c r="C222" s="135">
        <f ca="1">'normal case'!AG223-'normal case'!AG222+IF(controls!$B$33=1,(1+(('main page'!$K$35/100)))*C221,'public finance'!C221)</f>
        <v>20</v>
      </c>
      <c r="D222" s="136">
        <f ca="1">IF(ABS(((A222-C222)/'normal case'!D223)-D221)&lt;0.0000001,D221,(A222-C222)/'normal case'!D223)</f>
        <v>0</v>
      </c>
      <c r="E222" s="136">
        <f ca="1">IF(ABS(D222-(G222*('normal case'!M223/100))/'normal case'!D223-E221)&lt;0.00001,E221,D222-(G222*('normal case'!M223/100))/'normal case'!D223)</f>
        <v>0</v>
      </c>
      <c r="F222" s="137">
        <f ca="1">F221*(1+'normal case'!L222/100)</f>
        <v>77.989796588083522</v>
      </c>
      <c r="G222" s="135">
        <f ca="1">C222-A222+G221*(1+'normal case'!M222/100)</f>
        <v>0</v>
      </c>
      <c r="H222" s="136">
        <f ca="1">IF(ABS(G222/'normal case'!D223-H221)&lt;0.0000001,H221,G222/'normal case'!D223)</f>
        <v>0</v>
      </c>
    </row>
    <row r="223" spans="1:8">
      <c r="A223" s="135">
        <f ca="1">('main page'!$U$31/100)*'normal case'!D224</f>
        <v>20</v>
      </c>
      <c r="B223" s="136"/>
      <c r="C223" s="135">
        <f ca="1">'normal case'!AG224-'normal case'!AG223+IF(controls!$B$33=1,(1+(('main page'!$K$35/100)))*C222,'public finance'!C222)</f>
        <v>20</v>
      </c>
      <c r="D223" s="136">
        <f ca="1">IF(ABS(((A223-C223)/'normal case'!D224)-D222)&lt;0.0000001,D222,(A223-C223)/'normal case'!D224)</f>
        <v>0</v>
      </c>
      <c r="E223" s="136">
        <f ca="1">IF(ABS(D223-(G223*('normal case'!M224/100))/'normal case'!D224-E222)&lt;0.00001,E222,D223-(G223*('normal case'!M224/100))/'normal case'!D224)</f>
        <v>0</v>
      </c>
      <c r="F223" s="137">
        <f ca="1">F222*(1+'normal case'!L223/100)</f>
        <v>79.549592519845191</v>
      </c>
      <c r="G223" s="135">
        <f ca="1">C223-A223+G222*(1+'normal case'!M223/100)</f>
        <v>0</v>
      </c>
      <c r="H223" s="136">
        <f ca="1">IF(ABS(G223/'normal case'!D224-H222)&lt;0.0000001,H222,G223/'normal case'!D224)</f>
        <v>0</v>
      </c>
    </row>
    <row r="224" spans="1:8">
      <c r="A224" s="135">
        <f ca="1">('main page'!$U$31/100)*'normal case'!D225</f>
        <v>20</v>
      </c>
      <c r="B224" s="136"/>
      <c r="C224" s="135">
        <f ca="1">'normal case'!AG225-'normal case'!AG224+IF(controls!$B$33=1,(1+(('main page'!$K$35/100)))*C223,'public finance'!C223)</f>
        <v>20</v>
      </c>
      <c r="D224" s="136">
        <f ca="1">IF(ABS(((A224-C224)/'normal case'!D225)-D223)&lt;0.0000001,D223,(A224-C224)/'normal case'!D225)</f>
        <v>0</v>
      </c>
      <c r="E224" s="136">
        <f ca="1">IF(ABS(D224-(G224*('normal case'!M225/100))/'normal case'!D225-E223)&lt;0.00001,E223,D224-(G224*('normal case'!M225/100))/'normal case'!D225)</f>
        <v>0</v>
      </c>
      <c r="F224" s="137">
        <f ca="1">F223*(1+'normal case'!L224/100)</f>
        <v>81.140584370242095</v>
      </c>
      <c r="G224" s="135">
        <f ca="1">C224-A224+G223*(1+'normal case'!M224/100)</f>
        <v>0</v>
      </c>
      <c r="H224" s="136">
        <f ca="1">IF(ABS(G224/'normal case'!D225-H223)&lt;0.0000001,H223,G224/'normal case'!D225)</f>
        <v>0</v>
      </c>
    </row>
    <row r="225" spans="1:8">
      <c r="A225" s="135">
        <f ca="1">('main page'!$U$31/100)*'normal case'!D226</f>
        <v>20</v>
      </c>
      <c r="B225" s="136"/>
      <c r="C225" s="135">
        <f ca="1">'normal case'!AG226-'normal case'!AG225+IF(controls!$B$33=1,(1+(('main page'!$K$35/100)))*C224,'public finance'!C224)</f>
        <v>20</v>
      </c>
      <c r="D225" s="136">
        <f ca="1">IF(ABS(((A225-C225)/'normal case'!D226)-D224)&lt;0.0000001,D224,(A225-C225)/'normal case'!D226)</f>
        <v>0</v>
      </c>
      <c r="E225" s="136">
        <f ca="1">IF(ABS(D225-(G225*('normal case'!M226/100))/'normal case'!D226-E224)&lt;0.00001,E224,D225-(G225*('normal case'!M226/100))/'normal case'!D226)</f>
        <v>0</v>
      </c>
      <c r="F225" s="137">
        <f ca="1">F224*(1+'normal case'!L225/100)</f>
        <v>82.763396057646943</v>
      </c>
      <c r="G225" s="135">
        <f ca="1">C225-A225+G224*(1+'normal case'!M225/100)</f>
        <v>0</v>
      </c>
      <c r="H225" s="136">
        <f ca="1">IF(ABS(G225/'normal case'!D226-H224)&lt;0.0000001,H224,G225/'normal case'!D226)</f>
        <v>0</v>
      </c>
    </row>
    <row r="226" spans="1:8">
      <c r="A226" s="135">
        <f ca="1">('main page'!$U$31/100)*'normal case'!D227</f>
        <v>20</v>
      </c>
      <c r="B226" s="136"/>
      <c r="C226" s="135">
        <f ca="1">'normal case'!AG227-'normal case'!AG226+IF(controls!$B$33=1,(1+(('main page'!$K$35/100)))*C225,'public finance'!C225)</f>
        <v>20</v>
      </c>
      <c r="D226" s="136">
        <f ca="1">IF(ABS(((A226-C226)/'normal case'!D227)-D225)&lt;0.0000001,D225,(A226-C226)/'normal case'!D227)</f>
        <v>0</v>
      </c>
      <c r="E226" s="136">
        <f ca="1">IF(ABS(D226-(G226*('normal case'!M227/100))/'normal case'!D227-E225)&lt;0.00001,E225,D226-(G226*('normal case'!M227/100))/'normal case'!D227)</f>
        <v>0</v>
      </c>
      <c r="F226" s="137">
        <f ca="1">F225*(1+'normal case'!L226/100)</f>
        <v>84.418663978799884</v>
      </c>
      <c r="G226" s="135">
        <f ca="1">C226-A226+G225*(1+'normal case'!M226/100)</f>
        <v>0</v>
      </c>
      <c r="H226" s="136">
        <f ca="1">IF(ABS(G226/'normal case'!D227-H225)&lt;0.0000001,H225,G226/'normal case'!D227)</f>
        <v>0</v>
      </c>
    </row>
    <row r="227" spans="1:8">
      <c r="A227" s="135">
        <f ca="1">('main page'!$U$31/100)*'normal case'!D228</f>
        <v>20</v>
      </c>
      <c r="B227" s="136"/>
      <c r="C227" s="135">
        <f ca="1">'normal case'!AG228-'normal case'!AG227+IF(controls!$B$33=1,(1+(('main page'!$K$35/100)))*C226,'public finance'!C226)</f>
        <v>20</v>
      </c>
      <c r="D227" s="136">
        <f ca="1">IF(ABS(((A227-C227)/'normal case'!D228)-D226)&lt;0.0000001,D226,(A227-C227)/'normal case'!D228)</f>
        <v>0</v>
      </c>
      <c r="E227" s="136">
        <f ca="1">IF(ABS(D227-(G227*('normal case'!M228/100))/'normal case'!D228-E226)&lt;0.00001,E226,D227-(G227*('normal case'!M228/100))/'normal case'!D228)</f>
        <v>0</v>
      </c>
      <c r="F227" s="137">
        <f ca="1">F226*(1+'normal case'!L227/100)</f>
        <v>86.107037258375883</v>
      </c>
      <c r="G227" s="135">
        <f ca="1">C227-A227+G226*(1+'normal case'!M227/100)</f>
        <v>0</v>
      </c>
      <c r="H227" s="136">
        <f ca="1">IF(ABS(G227/'normal case'!D228-H226)&lt;0.0000001,H226,G227/'normal case'!D228)</f>
        <v>0</v>
      </c>
    </row>
    <row r="228" spans="1:8">
      <c r="A228" s="135">
        <f ca="1">('main page'!$U$31/100)*'normal case'!D229</f>
        <v>20</v>
      </c>
      <c r="B228" s="136"/>
      <c r="C228" s="135">
        <f ca="1">'normal case'!AG229-'normal case'!AG228+IF(controls!$B$33=1,(1+(('main page'!$K$35/100)))*C227,'public finance'!C227)</f>
        <v>20</v>
      </c>
      <c r="D228" s="136">
        <f ca="1">IF(ABS(((A228-C228)/'normal case'!D229)-D227)&lt;0.0000001,D227,(A228-C228)/'normal case'!D229)</f>
        <v>0</v>
      </c>
      <c r="E228" s="136">
        <f ca="1">IF(ABS(D228-(G228*('normal case'!M229/100))/'normal case'!D229-E227)&lt;0.00001,E227,D228-(G228*('normal case'!M229/100))/'normal case'!D229)</f>
        <v>0</v>
      </c>
      <c r="F228" s="137">
        <f ca="1">F227*(1+'normal case'!L228/100)</f>
        <v>87.829178003543404</v>
      </c>
      <c r="G228" s="135">
        <f ca="1">C228-A228+G227*(1+'normal case'!M228/100)</f>
        <v>0</v>
      </c>
      <c r="H228" s="136">
        <f ca="1">IF(ABS(G228/'normal case'!D229-H227)&lt;0.0000001,H227,G228/'normal case'!D229)</f>
        <v>0</v>
      </c>
    </row>
    <row r="229" spans="1:8">
      <c r="A229" s="135">
        <f ca="1">('main page'!$U$31/100)*'normal case'!D230</f>
        <v>20</v>
      </c>
      <c r="B229" s="136"/>
      <c r="C229" s="135">
        <f ca="1">'normal case'!AG230-'normal case'!AG229+IF(controls!$B$33=1,(1+(('main page'!$K$35/100)))*C228,'public finance'!C228)</f>
        <v>20</v>
      </c>
      <c r="D229" s="136">
        <f ca="1">IF(ABS(((A229-C229)/'normal case'!D230)-D228)&lt;0.0000001,D228,(A229-C229)/'normal case'!D230)</f>
        <v>0</v>
      </c>
      <c r="E229" s="136">
        <f ca="1">IF(ABS(D229-(G229*('normal case'!M230/100))/'normal case'!D230-E228)&lt;0.00001,E228,D229-(G229*('normal case'!M230/100))/'normal case'!D230)</f>
        <v>0</v>
      </c>
      <c r="F229" s="137">
        <f ca="1">F228*(1+'normal case'!L229/100)</f>
        <v>89.58576156361427</v>
      </c>
      <c r="G229" s="135">
        <f ca="1">C229-A229+G228*(1+'normal case'!M229/100)</f>
        <v>0</v>
      </c>
      <c r="H229" s="136">
        <f ca="1">IF(ABS(G229/'normal case'!D230-H228)&lt;0.0000001,H228,G229/'normal case'!D230)</f>
        <v>0</v>
      </c>
    </row>
    <row r="230" spans="1:8">
      <c r="A230" s="135">
        <f ca="1">('main page'!$U$31/100)*'normal case'!D231</f>
        <v>20</v>
      </c>
      <c r="B230" s="136"/>
      <c r="C230" s="135">
        <f ca="1">'normal case'!AG231-'normal case'!AG230+IF(controls!$B$33=1,(1+(('main page'!$K$35/100)))*C229,'public finance'!C229)</f>
        <v>20</v>
      </c>
      <c r="D230" s="136">
        <f ca="1">IF(ABS(((A230-C230)/'normal case'!D231)-D229)&lt;0.0000001,D229,(A230-C230)/'normal case'!D231)</f>
        <v>0</v>
      </c>
      <c r="E230" s="136">
        <f ca="1">IF(ABS(D230-(G230*('normal case'!M231/100))/'normal case'!D231-E229)&lt;0.00001,E229,D230-(G230*('normal case'!M231/100))/'normal case'!D231)</f>
        <v>0</v>
      </c>
      <c r="F230" s="137">
        <f ca="1">F229*(1+'normal case'!L230/100)</f>
        <v>91.377476794886562</v>
      </c>
      <c r="G230" s="135">
        <f ca="1">C230-A230+G229*(1+'normal case'!M230/100)</f>
        <v>0</v>
      </c>
      <c r="H230" s="136">
        <f ca="1">IF(ABS(G230/'normal case'!D231-H229)&lt;0.0000001,H229,G230/'normal case'!D231)</f>
        <v>0</v>
      </c>
    </row>
    <row r="231" spans="1:8">
      <c r="A231" s="135">
        <f ca="1">('main page'!$U$31/100)*'normal case'!D232</f>
        <v>20</v>
      </c>
      <c r="B231" s="136"/>
      <c r="C231" s="135">
        <f ca="1">'normal case'!AG232-'normal case'!AG231+IF(controls!$B$33=1,(1+(('main page'!$K$35/100)))*C230,'public finance'!C230)</f>
        <v>20</v>
      </c>
      <c r="D231" s="136">
        <f ca="1">IF(ABS(((A231-C231)/'normal case'!D232)-D230)&lt;0.0000001,D230,(A231-C231)/'normal case'!D232)</f>
        <v>0</v>
      </c>
      <c r="E231" s="136">
        <f ca="1">IF(ABS(D231-(G231*('normal case'!M232/100))/'normal case'!D232-E230)&lt;0.00001,E230,D231-(G231*('normal case'!M232/100))/'normal case'!D232)</f>
        <v>0</v>
      </c>
      <c r="F231" s="137">
        <f ca="1">F230*(1+'normal case'!L231/100)</f>
        <v>93.205026330784293</v>
      </c>
      <c r="G231" s="135">
        <f ca="1">C231-A231+G230*(1+'normal case'!M231/100)</f>
        <v>0</v>
      </c>
      <c r="H231" s="136">
        <f ca="1">IF(ABS(G231/'normal case'!D232-H230)&lt;0.0000001,H230,G231/'normal case'!D232)</f>
        <v>0</v>
      </c>
    </row>
    <row r="232" spans="1:8">
      <c r="A232" s="135">
        <f ca="1">('main page'!$U$31/100)*'normal case'!D233</f>
        <v>20</v>
      </c>
      <c r="B232" s="136"/>
      <c r="C232" s="135">
        <f ca="1">'normal case'!AG233-'normal case'!AG232+IF(controls!$B$33=1,(1+(('main page'!$K$35/100)))*C231,'public finance'!C231)</f>
        <v>20</v>
      </c>
      <c r="D232" s="136">
        <f ca="1">IF(ABS(((A232-C232)/'normal case'!D233)-D231)&lt;0.0000001,D231,(A232-C232)/'normal case'!D233)</f>
        <v>0</v>
      </c>
      <c r="E232" s="136">
        <f ca="1">IF(ABS(D232-(G232*('normal case'!M233/100))/'normal case'!D233-E231)&lt;0.00001,E231,D232-(G232*('normal case'!M233/100))/'normal case'!D233)</f>
        <v>0</v>
      </c>
      <c r="F232" s="137">
        <f ca="1">F231*(1+'normal case'!L232/100)</f>
        <v>95.069126857399979</v>
      </c>
      <c r="G232" s="135">
        <f ca="1">C232-A232+G231*(1+'normal case'!M232/100)</f>
        <v>0</v>
      </c>
      <c r="H232" s="136">
        <f ca="1">IF(ABS(G232/'normal case'!D233-H231)&lt;0.0000001,H231,G232/'normal case'!D233)</f>
        <v>0</v>
      </c>
    </row>
    <row r="233" spans="1:8">
      <c r="A233" s="135">
        <f ca="1">('main page'!$U$31/100)*'normal case'!D234</f>
        <v>20</v>
      </c>
      <c r="B233" s="136"/>
      <c r="C233" s="135">
        <f ca="1">'normal case'!AG234-'normal case'!AG233+IF(controls!$B$33=1,(1+(('main page'!$K$35/100)))*C232,'public finance'!C232)</f>
        <v>20</v>
      </c>
      <c r="D233" s="136">
        <f ca="1">IF(ABS(((A233-C233)/'normal case'!D234)-D232)&lt;0.0000001,D232,(A233-C233)/'normal case'!D234)</f>
        <v>0</v>
      </c>
      <c r="E233" s="136">
        <f ca="1">IF(ABS(D233-(G233*('normal case'!M234/100))/'normal case'!D234-E232)&lt;0.00001,E232,D233-(G233*('normal case'!M234/100))/'normal case'!D234)</f>
        <v>0</v>
      </c>
      <c r="F233" s="137">
        <f ca="1">F232*(1+'normal case'!L233/100)</f>
        <v>96.970509394547975</v>
      </c>
      <c r="G233" s="135">
        <f ca="1">C233-A233+G232*(1+'normal case'!M233/100)</f>
        <v>0</v>
      </c>
      <c r="H233" s="136">
        <f ca="1">IF(ABS(G233/'normal case'!D234-H232)&lt;0.0000001,H232,G233/'normal case'!D234)</f>
        <v>0</v>
      </c>
    </row>
    <row r="234" spans="1:8">
      <c r="A234" s="135">
        <f ca="1">('main page'!$U$31/100)*'normal case'!D235</f>
        <v>20</v>
      </c>
      <c r="B234" s="136"/>
      <c r="C234" s="135">
        <f ca="1">'normal case'!AG235-'normal case'!AG234+IF(controls!$B$33=1,(1+(('main page'!$K$35/100)))*C233,'public finance'!C233)</f>
        <v>20</v>
      </c>
      <c r="D234" s="136">
        <f ca="1">IF(ABS(((A234-C234)/'normal case'!D235)-D233)&lt;0.0000001,D233,(A234-C234)/'normal case'!D235)</f>
        <v>0</v>
      </c>
      <c r="E234" s="136">
        <f ca="1">IF(ABS(D234-(G234*('normal case'!M235/100))/'normal case'!D235-E233)&lt;0.00001,E233,D234-(G234*('normal case'!M235/100))/'normal case'!D235)</f>
        <v>0</v>
      </c>
      <c r="F234" s="137">
        <f ca="1">F233*(1+'normal case'!L234/100)</f>
        <v>98.909919582438931</v>
      </c>
      <c r="G234" s="135">
        <f ca="1">C234-A234+G233*(1+'normal case'!M234/100)</f>
        <v>0</v>
      </c>
      <c r="H234" s="136">
        <f ca="1">IF(ABS(G234/'normal case'!D235-H233)&lt;0.0000001,H233,G234/'normal case'!D235)</f>
        <v>0</v>
      </c>
    </row>
    <row r="235" spans="1:8">
      <c r="A235" s="135">
        <f ca="1">('main page'!$U$31/100)*'normal case'!D236</f>
        <v>20</v>
      </c>
      <c r="B235" s="136"/>
      <c r="C235" s="135">
        <f ca="1">'normal case'!AG236-'normal case'!AG235+IF(controls!$B$33=1,(1+(('main page'!$K$35/100)))*C234,'public finance'!C234)</f>
        <v>20</v>
      </c>
      <c r="D235" s="136">
        <f ca="1">IF(ABS(((A235-C235)/'normal case'!D236)-D234)&lt;0.0000001,D234,(A235-C235)/'normal case'!D236)</f>
        <v>0</v>
      </c>
      <c r="E235" s="136">
        <f ca="1">IF(ABS(D235-(G235*('normal case'!M236/100))/'normal case'!D236-E234)&lt;0.00001,E234,D235-(G235*('normal case'!M236/100))/'normal case'!D236)</f>
        <v>0</v>
      </c>
      <c r="F235" s="137">
        <f ca="1">F234*(1+'normal case'!L235/100)</f>
        <v>100.88811797408771</v>
      </c>
      <c r="G235" s="135">
        <f ca="1">C235-A235+G234*(1+'normal case'!M235/100)</f>
        <v>0</v>
      </c>
      <c r="H235" s="136">
        <f ca="1">IF(ABS(G235/'normal case'!D236-H234)&lt;0.0000001,H234,G235/'normal case'!D236)</f>
        <v>0</v>
      </c>
    </row>
    <row r="236" spans="1:8">
      <c r="A236" s="135">
        <f ca="1">('main page'!$U$31/100)*'normal case'!D237</f>
        <v>20</v>
      </c>
      <c r="B236" s="136"/>
      <c r="C236" s="135">
        <f ca="1">'normal case'!AG237-'normal case'!AG236+IF(controls!$B$33=1,(1+(('main page'!$K$35/100)))*C235,'public finance'!C235)</f>
        <v>20</v>
      </c>
      <c r="D236" s="136">
        <f ca="1">IF(ABS(((A236-C236)/'normal case'!D237)-D235)&lt;0.0000001,D235,(A236-C236)/'normal case'!D237)</f>
        <v>0</v>
      </c>
      <c r="E236" s="136">
        <f ca="1">IF(ABS(D236-(G236*('normal case'!M237/100))/'normal case'!D237-E235)&lt;0.00001,E235,D236-(G236*('normal case'!M237/100))/'normal case'!D237)</f>
        <v>0</v>
      </c>
      <c r="F236" s="137">
        <f ca="1">F235*(1+'normal case'!L236/100)</f>
        <v>102.90588033356946</v>
      </c>
      <c r="G236" s="135">
        <f ca="1">C236-A236+G235*(1+'normal case'!M236/100)</f>
        <v>0</v>
      </c>
      <c r="H236" s="136">
        <f ca="1">IF(ABS(G236/'normal case'!D237-H235)&lt;0.0000001,H235,G236/'normal case'!D237)</f>
        <v>0</v>
      </c>
    </row>
    <row r="237" spans="1:8">
      <c r="A237" s="135">
        <f ca="1">('main page'!$U$31/100)*'normal case'!D238</f>
        <v>20</v>
      </c>
      <c r="B237" s="136"/>
      <c r="C237" s="135">
        <f ca="1">'normal case'!AG238-'normal case'!AG237+IF(controls!$B$33=1,(1+(('main page'!$K$35/100)))*C236,'public finance'!C236)</f>
        <v>20</v>
      </c>
      <c r="D237" s="136">
        <f ca="1">IF(ABS(((A237-C237)/'normal case'!D238)-D236)&lt;0.0000001,D236,(A237-C237)/'normal case'!D238)</f>
        <v>0</v>
      </c>
      <c r="E237" s="136">
        <f ca="1">IF(ABS(D237-(G237*('normal case'!M238/100))/'normal case'!D238-E236)&lt;0.00001,E236,D237-(G237*('normal case'!M238/100))/'normal case'!D238)</f>
        <v>0</v>
      </c>
      <c r="F237" s="137">
        <f ca="1">F236*(1+'normal case'!L237/100)</f>
        <v>104.96399794024084</v>
      </c>
      <c r="G237" s="135">
        <f ca="1">C237-A237+G236*(1+'normal case'!M237/100)</f>
        <v>0</v>
      </c>
      <c r="H237" s="136">
        <f ca="1">IF(ABS(G237/'normal case'!D238-H236)&lt;0.0000001,H236,G237/'normal case'!D238)</f>
        <v>0</v>
      </c>
    </row>
    <row r="238" spans="1:8">
      <c r="A238" s="135">
        <f ca="1">('main page'!$U$31/100)*'normal case'!D239</f>
        <v>20</v>
      </c>
      <c r="B238" s="136"/>
      <c r="C238" s="135">
        <f ca="1">'normal case'!AG239-'normal case'!AG238+IF(controls!$B$33=1,(1+(('main page'!$K$35/100)))*C237,'public finance'!C237)</f>
        <v>20</v>
      </c>
      <c r="D238" s="136">
        <f ca="1">IF(ABS(((A238-C238)/'normal case'!D239)-D237)&lt;0.0000001,D237,(A238-C238)/'normal case'!D239)</f>
        <v>0</v>
      </c>
      <c r="E238" s="136">
        <f ca="1">IF(ABS(D238-(G238*('normal case'!M239/100))/'normal case'!D239-E237)&lt;0.00001,E237,D238-(G238*('normal case'!M239/100))/'normal case'!D239)</f>
        <v>0</v>
      </c>
      <c r="F238" s="137">
        <f ca="1">F237*(1+'normal case'!L238/100)</f>
        <v>107.06327789904566</v>
      </c>
      <c r="G238" s="135">
        <f ca="1">C238-A238+G237*(1+'normal case'!M238/100)</f>
        <v>0</v>
      </c>
      <c r="H238" s="136">
        <f ca="1">IF(ABS(G238/'normal case'!D239-H237)&lt;0.0000001,H237,G238/'normal case'!D239)</f>
        <v>0</v>
      </c>
    </row>
    <row r="239" spans="1:8">
      <c r="A239" s="135">
        <f ca="1">('main page'!$U$31/100)*'normal case'!D240</f>
        <v>20</v>
      </c>
      <c r="B239" s="136"/>
      <c r="C239" s="135">
        <f ca="1">'normal case'!AG240-'normal case'!AG239+IF(controls!$B$33=1,(1+(('main page'!$K$35/100)))*C238,'public finance'!C238)</f>
        <v>20</v>
      </c>
      <c r="D239" s="136">
        <f ca="1">IF(ABS(((A239-C239)/'normal case'!D240)-D238)&lt;0.0000001,D238,(A239-C239)/'normal case'!D240)</f>
        <v>0</v>
      </c>
      <c r="E239" s="136">
        <f ca="1">IF(ABS(D239-(G239*('normal case'!M240/100))/'normal case'!D240-E238)&lt;0.00001,E238,D239-(G239*('normal case'!M240/100))/'normal case'!D240)</f>
        <v>0</v>
      </c>
      <c r="F239" s="137">
        <f ca="1">F238*(1+'normal case'!L239/100)</f>
        <v>109.20454345702657</v>
      </c>
      <c r="G239" s="135">
        <f ca="1">C239-A239+G238*(1+'normal case'!M239/100)</f>
        <v>0</v>
      </c>
      <c r="H239" s="136">
        <f ca="1">IF(ABS(G239/'normal case'!D240-H238)&lt;0.0000001,H238,G239/'normal case'!D240)</f>
        <v>0</v>
      </c>
    </row>
    <row r="240" spans="1:8">
      <c r="A240" s="135">
        <f ca="1">('main page'!$U$31/100)*'normal case'!D241</f>
        <v>20</v>
      </c>
      <c r="B240" s="136"/>
      <c r="C240" s="135">
        <f ca="1">'normal case'!AG241-'normal case'!AG240+IF(controls!$B$33=1,(1+(('main page'!$K$35/100)))*C239,'public finance'!C239)</f>
        <v>20</v>
      </c>
      <c r="D240" s="136">
        <f ca="1">IF(ABS(((A240-C240)/'normal case'!D241)-D239)&lt;0.0000001,D239,(A240-C240)/'normal case'!D241)</f>
        <v>0</v>
      </c>
      <c r="E240" s="136">
        <f ca="1">IF(ABS(D240-(G240*('normal case'!M241/100))/'normal case'!D241-E239)&lt;0.00001,E239,D240-(G240*('normal case'!M241/100))/'normal case'!D241)</f>
        <v>0</v>
      </c>
      <c r="F240" s="137">
        <f ca="1">F239*(1+'normal case'!L240/100)</f>
        <v>111.38863432616711</v>
      </c>
      <c r="G240" s="135">
        <f ca="1">C240-A240+G239*(1+'normal case'!M240/100)</f>
        <v>0</v>
      </c>
      <c r="H240" s="136">
        <f ca="1">IF(ABS(G240/'normal case'!D241-H239)&lt;0.0000001,H239,G240/'normal case'!D241)</f>
        <v>0</v>
      </c>
    </row>
    <row r="241" spans="1:8">
      <c r="A241" s="135">
        <f ca="1">('main page'!$U$31/100)*'normal case'!D242</f>
        <v>20</v>
      </c>
      <c r="B241" s="136"/>
      <c r="C241" s="135">
        <f ca="1">'normal case'!AG242-'normal case'!AG241+IF(controls!$B$33=1,(1+(('main page'!$K$35/100)))*C240,'public finance'!C240)</f>
        <v>20</v>
      </c>
      <c r="D241" s="136">
        <f ca="1">IF(ABS(((A241-C241)/'normal case'!D242)-D240)&lt;0.0000001,D240,(A241-C241)/'normal case'!D242)</f>
        <v>0</v>
      </c>
      <c r="E241" s="136">
        <f ca="1">IF(ABS(D241-(G241*('normal case'!M242/100))/'normal case'!D242-E240)&lt;0.00001,E240,D241-(G241*('normal case'!M242/100))/'normal case'!D242)</f>
        <v>0</v>
      </c>
      <c r="F241" s="137">
        <f ca="1">F240*(1+'normal case'!L241/100)</f>
        <v>113.61640701269044</v>
      </c>
      <c r="G241" s="135">
        <f ca="1">C241-A241+G240*(1+'normal case'!M241/100)</f>
        <v>0</v>
      </c>
      <c r="H241" s="136">
        <f ca="1">IF(ABS(G241/'normal case'!D242-H240)&lt;0.0000001,H240,G241/'normal case'!D242)</f>
        <v>0</v>
      </c>
    </row>
    <row r="242" spans="1:8">
      <c r="A242" s="135">
        <f ca="1">('main page'!$U$31/100)*'normal case'!D243</f>
        <v>20</v>
      </c>
      <c r="B242" s="136"/>
      <c r="C242" s="135">
        <f ca="1">'normal case'!AG243-'normal case'!AG242+IF(controls!$B$33=1,(1+(('main page'!$K$35/100)))*C241,'public finance'!C241)</f>
        <v>20</v>
      </c>
      <c r="D242" s="136">
        <f ca="1">IF(ABS(((A242-C242)/'normal case'!D243)-D241)&lt;0.0000001,D241,(A242-C242)/'normal case'!D243)</f>
        <v>0</v>
      </c>
      <c r="E242" s="136">
        <f ca="1">IF(ABS(D242-(G242*('normal case'!M243/100))/'normal case'!D243-E241)&lt;0.00001,E241,D242-(G242*('normal case'!M243/100))/'normal case'!D243)</f>
        <v>0</v>
      </c>
      <c r="F242" s="137">
        <f ca="1">F241*(1+'normal case'!L242/100)</f>
        <v>115.88873515294425</v>
      </c>
      <c r="G242" s="135">
        <f ca="1">C242-A242+G241*(1+'normal case'!M242/100)</f>
        <v>0</v>
      </c>
      <c r="H242" s="136">
        <f ca="1">IF(ABS(G242/'normal case'!D243-H241)&lt;0.0000001,H241,G242/'normal case'!D243)</f>
        <v>0</v>
      </c>
    </row>
    <row r="243" spans="1:8">
      <c r="A243" s="135">
        <f ca="1">('main page'!$U$31/100)*'normal case'!D244</f>
        <v>20</v>
      </c>
      <c r="B243" s="136"/>
      <c r="C243" s="135">
        <f ca="1">'normal case'!AG244-'normal case'!AG243+IF(controls!$B$33=1,(1+(('main page'!$K$35/100)))*C242,'public finance'!C242)</f>
        <v>20</v>
      </c>
      <c r="D243" s="136">
        <f ca="1">IF(ABS(((A243-C243)/'normal case'!D244)-D242)&lt;0.0000001,D242,(A243-C243)/'normal case'!D244)</f>
        <v>0</v>
      </c>
      <c r="E243" s="136">
        <f ca="1">IF(ABS(D243-(G243*('normal case'!M244/100))/'normal case'!D244-E242)&lt;0.00001,E242,D243-(G243*('normal case'!M244/100))/'normal case'!D244)</f>
        <v>0</v>
      </c>
      <c r="F243" s="137">
        <f ca="1">F242*(1+'normal case'!L243/100)</f>
        <v>118.20650985600314</v>
      </c>
      <c r="G243" s="135">
        <f ca="1">C243-A243+G242*(1+'normal case'!M243/100)</f>
        <v>0</v>
      </c>
      <c r="H243" s="136">
        <f ca="1">IF(ABS(G243/'normal case'!D244-H242)&lt;0.0000001,H242,G243/'normal case'!D244)</f>
        <v>0</v>
      </c>
    </row>
    <row r="244" spans="1:8">
      <c r="A244" s="135">
        <f ca="1">('main page'!$U$31/100)*'normal case'!D245</f>
        <v>20</v>
      </c>
      <c r="B244" s="136"/>
      <c r="C244" s="135">
        <f ca="1">'normal case'!AG245-'normal case'!AG244+IF(controls!$B$33=1,(1+(('main page'!$K$35/100)))*C243,'public finance'!C243)</f>
        <v>20</v>
      </c>
      <c r="D244" s="136">
        <f ca="1">IF(ABS(((A244-C244)/'normal case'!D245)-D243)&lt;0.0000001,D243,(A244-C244)/'normal case'!D245)</f>
        <v>0</v>
      </c>
      <c r="E244" s="136">
        <f ca="1">IF(ABS(D244-(G244*('normal case'!M245/100))/'normal case'!D245-E243)&lt;0.00001,E243,D244-(G244*('normal case'!M245/100))/'normal case'!D245)</f>
        <v>0</v>
      </c>
      <c r="F244" s="137">
        <f ca="1">F243*(1+'normal case'!L244/100)</f>
        <v>120.5706400531232</v>
      </c>
      <c r="G244" s="135">
        <f ca="1">C244-A244+G243*(1+'normal case'!M244/100)</f>
        <v>0</v>
      </c>
      <c r="H244" s="136">
        <f ca="1">IF(ABS(G244/'normal case'!D245-H243)&lt;0.0000001,H243,G244/'normal case'!D245)</f>
        <v>0</v>
      </c>
    </row>
    <row r="245" spans="1:8">
      <c r="A245" s="135">
        <f ca="1">('main page'!$U$31/100)*'normal case'!D246</f>
        <v>20</v>
      </c>
      <c r="B245" s="136"/>
      <c r="C245" s="135">
        <f ca="1">'normal case'!AG246-'normal case'!AG245+IF(controls!$B$33=1,(1+(('main page'!$K$35/100)))*C244,'public finance'!C244)</f>
        <v>20</v>
      </c>
      <c r="D245" s="136">
        <f ca="1">IF(ABS(((A245-C245)/'normal case'!D246)-D244)&lt;0.0000001,D244,(A245-C245)/'normal case'!D246)</f>
        <v>0</v>
      </c>
      <c r="E245" s="136">
        <f ca="1">IF(ABS(D245-(G245*('normal case'!M246/100))/'normal case'!D246-E244)&lt;0.00001,E244,D245-(G245*('normal case'!M246/100))/'normal case'!D246)</f>
        <v>0</v>
      </c>
      <c r="F245" s="137">
        <f ca="1">F244*(1+'normal case'!L245/100)</f>
        <v>122.98205285418567</v>
      </c>
      <c r="G245" s="135">
        <f ca="1">C245-A245+G244*(1+'normal case'!M245/100)</f>
        <v>0</v>
      </c>
      <c r="H245" s="136">
        <f ca="1">IF(ABS(G245/'normal case'!D246-H244)&lt;0.0000001,H244,G245/'normal case'!D246)</f>
        <v>0</v>
      </c>
    </row>
    <row r="246" spans="1:8">
      <c r="A246" s="135">
        <f ca="1">('main page'!$U$31/100)*'normal case'!D247</f>
        <v>20</v>
      </c>
      <c r="B246" s="136"/>
      <c r="C246" s="135">
        <f ca="1">'normal case'!AG247-'normal case'!AG246+IF(controls!$B$33=1,(1+(('main page'!$K$35/100)))*C245,'public finance'!C245)</f>
        <v>20</v>
      </c>
      <c r="D246" s="136">
        <f ca="1">IF(ABS(((A246-C246)/'normal case'!D247)-D245)&lt;0.0000001,D245,(A246-C246)/'normal case'!D247)</f>
        <v>0</v>
      </c>
      <c r="E246" s="136">
        <f ca="1">IF(ABS(D246-(G246*('normal case'!M247/100))/'normal case'!D247-E245)&lt;0.00001,E245,D246-(G246*('normal case'!M247/100))/'normal case'!D247)</f>
        <v>0</v>
      </c>
      <c r="F246" s="137">
        <f ca="1">F245*(1+'normal case'!L246/100)</f>
        <v>125.44169391126938</v>
      </c>
      <c r="G246" s="135">
        <f ca="1">C246-A246+G245*(1+'normal case'!M246/100)</f>
        <v>0</v>
      </c>
      <c r="H246" s="136">
        <f ca="1">IF(ABS(G246/'normal case'!D247-H245)&lt;0.0000001,H245,G246/'normal case'!D247)</f>
        <v>0</v>
      </c>
    </row>
    <row r="247" spans="1:8">
      <c r="A247" s="135">
        <f ca="1">('main page'!$U$31/100)*'normal case'!D248</f>
        <v>20</v>
      </c>
      <c r="B247" s="136"/>
      <c r="C247" s="135">
        <f ca="1">'normal case'!AG248-'normal case'!AG247+IF(controls!$B$33=1,(1+(('main page'!$K$35/100)))*C246,'public finance'!C246)</f>
        <v>20</v>
      </c>
      <c r="D247" s="136">
        <f ca="1">IF(ABS(((A247-C247)/'normal case'!D248)-D246)&lt;0.0000001,D246,(A247-C247)/'normal case'!D248)</f>
        <v>0</v>
      </c>
      <c r="E247" s="136">
        <f ca="1">IF(ABS(D247-(G247*('normal case'!M248/100))/'normal case'!D248-E246)&lt;0.00001,E246,D247-(G247*('normal case'!M248/100))/'normal case'!D248)</f>
        <v>0</v>
      </c>
      <c r="F247" s="137">
        <f ca="1">F246*(1+'normal case'!L247/100)</f>
        <v>127.95052778949477</v>
      </c>
      <c r="G247" s="135">
        <f ca="1">C247-A247+G246*(1+'normal case'!M247/100)</f>
        <v>0</v>
      </c>
      <c r="H247" s="136">
        <f ca="1">IF(ABS(G247/'normal case'!D248-H246)&lt;0.0000001,H246,G247/'normal case'!D248)</f>
        <v>0</v>
      </c>
    </row>
    <row r="248" spans="1:8">
      <c r="A248" s="135">
        <f ca="1">('main page'!$U$31/100)*'normal case'!D249</f>
        <v>20</v>
      </c>
      <c r="B248" s="136"/>
      <c r="C248" s="135">
        <f ca="1">'normal case'!AG249-'normal case'!AG248+IF(controls!$B$33=1,(1+(('main page'!$K$35/100)))*C247,'public finance'!C247)</f>
        <v>20</v>
      </c>
      <c r="D248" s="136">
        <f ca="1">IF(ABS(((A248-C248)/'normal case'!D249)-D247)&lt;0.0000001,D247,(A248-C248)/'normal case'!D249)</f>
        <v>0</v>
      </c>
      <c r="E248" s="136">
        <f ca="1">IF(ABS(D248-(G248*('normal case'!M249/100))/'normal case'!D249-E247)&lt;0.00001,E247,D248-(G248*('normal case'!M249/100))/'normal case'!D249)</f>
        <v>0</v>
      </c>
      <c r="F248" s="137">
        <f ca="1">F247*(1+'normal case'!L248/100)</f>
        <v>130.50953834528468</v>
      </c>
      <c r="G248" s="135">
        <f ca="1">C248-A248+G247*(1+'normal case'!M248/100)</f>
        <v>0</v>
      </c>
      <c r="H248" s="136">
        <f ca="1">IF(ABS(G248/'normal case'!D249-H247)&lt;0.0000001,H247,G248/'normal case'!D249)</f>
        <v>0</v>
      </c>
    </row>
    <row r="249" spans="1:8">
      <c r="A249" s="135">
        <f ca="1">('main page'!$U$31/100)*'normal case'!D250</f>
        <v>20</v>
      </c>
      <c r="B249" s="136"/>
      <c r="C249" s="135">
        <f ca="1">'normal case'!AG250-'normal case'!AG249+IF(controls!$B$33=1,(1+(('main page'!$K$35/100)))*C248,'public finance'!C248)</f>
        <v>20</v>
      </c>
      <c r="D249" s="136">
        <f ca="1">IF(ABS(((A249-C249)/'normal case'!D250)-D248)&lt;0.0000001,D248,(A249-C249)/'normal case'!D250)</f>
        <v>0</v>
      </c>
      <c r="E249" s="136">
        <f ca="1">IF(ABS(D249-(G249*('normal case'!M250/100))/'normal case'!D250-E248)&lt;0.00001,E248,D249-(G249*('normal case'!M250/100))/'normal case'!D250)</f>
        <v>0</v>
      </c>
      <c r="F249" s="137">
        <f ca="1">F248*(1+'normal case'!L249/100)</f>
        <v>133.11972911219038</v>
      </c>
      <c r="G249" s="135">
        <f ca="1">C249-A249+G248*(1+'normal case'!M249/100)</f>
        <v>0</v>
      </c>
      <c r="H249" s="136">
        <f ca="1">IF(ABS(G249/'normal case'!D250-H248)&lt;0.0000001,H248,G249/'normal case'!D250)</f>
        <v>0</v>
      </c>
    </row>
    <row r="250" spans="1:8">
      <c r="A250" s="135">
        <f ca="1">('main page'!$U$31/100)*'normal case'!D251</f>
        <v>20</v>
      </c>
      <c r="B250" s="136"/>
      <c r="C250" s="135">
        <f ca="1">'normal case'!AG251-'normal case'!AG250+IF(controls!$B$33=1,(1+(('main page'!$K$35/100)))*C249,'public finance'!C249)</f>
        <v>20</v>
      </c>
      <c r="D250" s="136">
        <f ca="1">IF(ABS(((A250-C250)/'normal case'!D251)-D249)&lt;0.0000001,D249,(A250-C250)/'normal case'!D251)</f>
        <v>0</v>
      </c>
      <c r="E250" s="136">
        <f ca="1">IF(ABS(D250-(G250*('normal case'!M251/100))/'normal case'!D251-E249)&lt;0.00001,E249,D250-(G250*('normal case'!M251/100))/'normal case'!D251)</f>
        <v>0</v>
      </c>
      <c r="F250" s="137">
        <f ca="1">F249*(1+'normal case'!L250/100)</f>
        <v>135.7821236944342</v>
      </c>
      <c r="G250" s="135">
        <f ca="1">C250-A250+G249*(1+'normal case'!M250/100)</f>
        <v>0</v>
      </c>
      <c r="H250" s="136">
        <f ca="1">IF(ABS(G250/'normal case'!D251-H249)&lt;0.0000001,H249,G250/'normal case'!D251)</f>
        <v>0</v>
      </c>
    </row>
    <row r="251" spans="1:8">
      <c r="A251" s="135">
        <f ca="1">('main page'!$U$31/100)*'normal case'!D252</f>
        <v>20</v>
      </c>
      <c r="B251" s="136"/>
      <c r="C251" s="135">
        <f ca="1">'normal case'!AG252-'normal case'!AG251+IF(controls!$B$33=1,(1+(('main page'!$K$35/100)))*C250,'public finance'!C250)</f>
        <v>20</v>
      </c>
      <c r="D251" s="136">
        <f ca="1">IF(ABS(((A251-C251)/'normal case'!D252)-D250)&lt;0.0000001,D250,(A251-C251)/'normal case'!D252)</f>
        <v>0</v>
      </c>
      <c r="E251" s="136">
        <f ca="1">IF(ABS(D251-(G251*('normal case'!M252/100))/'normal case'!D252-E250)&lt;0.00001,E250,D251-(G251*('normal case'!M252/100))/'normal case'!D252)</f>
        <v>0</v>
      </c>
      <c r="F251" s="137">
        <f ca="1">F250*(1+'normal case'!L251/100)</f>
        <v>138.4977661683229</v>
      </c>
      <c r="G251" s="135">
        <f ca="1">C251-A251+G250*(1+'normal case'!M251/100)</f>
        <v>0</v>
      </c>
      <c r="H251" s="136">
        <f ca="1">IF(ABS(G251/'normal case'!D252-H250)&lt;0.0000001,H250,G251/'normal case'!D252)</f>
        <v>0</v>
      </c>
    </row>
    <row r="252" spans="1:8">
      <c r="A252" s="135">
        <f ca="1">('main page'!$U$31/100)*'normal case'!D253</f>
        <v>20</v>
      </c>
      <c r="B252" s="136"/>
      <c r="C252" s="135">
        <f ca="1">'normal case'!AG253-'normal case'!AG252+IF(controls!$B$33=1,(1+(('main page'!$K$35/100)))*C251,'public finance'!C251)</f>
        <v>20</v>
      </c>
      <c r="D252" s="136">
        <f ca="1">IF(ABS(((A252-C252)/'normal case'!D253)-D251)&lt;0.0000001,D251,(A252-C252)/'normal case'!D253)</f>
        <v>0</v>
      </c>
      <c r="E252" s="136">
        <f ca="1">IF(ABS(D252-(G252*('normal case'!M253/100))/'normal case'!D253-E251)&lt;0.00001,E251,D252-(G252*('normal case'!M253/100))/'normal case'!D253)</f>
        <v>0</v>
      </c>
      <c r="F252" s="137">
        <f ca="1">F251*(1+'normal case'!L252/100)</f>
        <v>141.26772149168937</v>
      </c>
      <c r="G252" s="135">
        <f ca="1">C252-A252+G251*(1+'normal case'!M252/100)</f>
        <v>0</v>
      </c>
      <c r="H252" s="136">
        <f ca="1">IF(ABS(G252/'normal case'!D253-H251)&lt;0.0000001,H251,G252/'normal case'!D253)</f>
        <v>0</v>
      </c>
    </row>
    <row r="253" spans="1:8">
      <c r="A253" s="135">
        <f ca="1">('main page'!$U$31/100)*'normal case'!D254</f>
        <v>20</v>
      </c>
      <c r="B253" s="136"/>
      <c r="C253" s="135">
        <f ca="1">'normal case'!AG254-'normal case'!AG253+IF(controls!$B$33=1,(1+(('main page'!$K$35/100)))*C252,'public finance'!C252)</f>
        <v>20</v>
      </c>
      <c r="D253" s="136">
        <f ca="1">IF(ABS(((A253-C253)/'normal case'!D254)-D252)&lt;0.0000001,D252,(A253-C253)/'normal case'!D254)</f>
        <v>0</v>
      </c>
      <c r="E253" s="136">
        <f ca="1">IF(ABS(D253-(G253*('normal case'!M254/100))/'normal case'!D254-E252)&lt;0.00001,E252,D253-(G253*('normal case'!M254/100))/'normal case'!D254)</f>
        <v>0</v>
      </c>
      <c r="F253" s="137">
        <f ca="1">F252*(1+'normal case'!L253/100)</f>
        <v>144.09307592152317</v>
      </c>
      <c r="G253" s="135">
        <f ca="1">C253-A253+G252*(1+'normal case'!M253/100)</f>
        <v>0</v>
      </c>
      <c r="H253" s="136">
        <f ca="1">IF(ABS(G253/'normal case'!D254-H252)&lt;0.0000001,H252,G253/'normal case'!D254)</f>
        <v>0</v>
      </c>
    </row>
    <row r="254" spans="1:8">
      <c r="A254" s="135">
        <f ca="1">('main page'!$U$31/100)*'normal case'!D255</f>
        <v>20</v>
      </c>
      <c r="B254" s="136"/>
      <c r="C254" s="135">
        <f ca="1">'normal case'!AG255-'normal case'!AG254+IF(controls!$B$33=1,(1+(('main page'!$K$35/100)))*C253,'public finance'!C253)</f>
        <v>20</v>
      </c>
      <c r="D254" s="136">
        <f ca="1">IF(ABS(((A254-C254)/'normal case'!D255)-D253)&lt;0.0000001,D253,(A254-C254)/'normal case'!D255)</f>
        <v>0</v>
      </c>
      <c r="E254" s="136">
        <f ca="1">IF(ABS(D254-(G254*('normal case'!M255/100))/'normal case'!D255-E253)&lt;0.00001,E253,D254-(G254*('normal case'!M255/100))/'normal case'!D255)</f>
        <v>0</v>
      </c>
      <c r="F254" s="137">
        <f ca="1">F253*(1+'normal case'!L254/100)</f>
        <v>146.97493743995364</v>
      </c>
      <c r="G254" s="135">
        <f ca="1">C254-A254+G253*(1+'normal case'!M254/100)</f>
        <v>0</v>
      </c>
      <c r="H254" s="136">
        <f ca="1">IF(ABS(G254/'normal case'!D255-H253)&lt;0.0000001,H253,G254/'normal case'!D255)</f>
        <v>0</v>
      </c>
    </row>
    <row r="255" spans="1:8">
      <c r="A255" s="135">
        <f ca="1">('main page'!$U$31/100)*'normal case'!D256</f>
        <v>20</v>
      </c>
      <c r="B255" s="136"/>
      <c r="C255" s="135">
        <f ca="1">'normal case'!AG256-'normal case'!AG255+IF(controls!$B$33=1,(1+(('main page'!$K$35/100)))*C254,'public finance'!C254)</f>
        <v>20</v>
      </c>
      <c r="D255" s="136">
        <f ca="1">IF(ABS(((A255-C255)/'normal case'!D256)-D254)&lt;0.0000001,D254,(A255-C255)/'normal case'!D256)</f>
        <v>0</v>
      </c>
      <c r="E255" s="136">
        <f ca="1">IF(ABS(D255-(G255*('normal case'!M256/100))/'normal case'!D256-E254)&lt;0.00001,E254,D255-(G255*('normal case'!M256/100))/'normal case'!D256)</f>
        <v>0</v>
      </c>
      <c r="F255" s="137">
        <f ca="1">F254*(1+'normal case'!L255/100)</f>
        <v>149.91443618875272</v>
      </c>
      <c r="G255" s="135">
        <f ca="1">C255-A255+G254*(1+'normal case'!M255/100)</f>
        <v>0</v>
      </c>
      <c r="H255" s="136">
        <f ca="1">IF(ABS(G255/'normal case'!D256-H254)&lt;0.0000001,H254,G255/'normal case'!D256)</f>
        <v>0</v>
      </c>
    </row>
    <row r="256" spans="1:8">
      <c r="A256" s="135">
        <f ca="1">('main page'!$U$31/100)*'normal case'!D257</f>
        <v>20</v>
      </c>
      <c r="B256" s="136"/>
      <c r="C256" s="135">
        <f ca="1">'normal case'!AG257-'normal case'!AG256+IF(controls!$B$33=1,(1+(('main page'!$K$35/100)))*C255,'public finance'!C255)</f>
        <v>20</v>
      </c>
      <c r="D256" s="136">
        <f ca="1">IF(ABS(((A256-C256)/'normal case'!D257)-D255)&lt;0.0000001,D255,(A256-C256)/'normal case'!D257)</f>
        <v>0</v>
      </c>
      <c r="E256" s="136">
        <f ca="1">IF(ABS(D256-(G256*('normal case'!M257/100))/'normal case'!D257-E255)&lt;0.00001,E255,D256-(G256*('normal case'!M257/100))/'normal case'!D257)</f>
        <v>0</v>
      </c>
      <c r="F256" s="137">
        <f ca="1">F255*(1+'normal case'!L256/100)</f>
        <v>152.91272491252778</v>
      </c>
      <c r="G256" s="135">
        <f ca="1">C256-A256+G255*(1+'normal case'!M256/100)</f>
        <v>0</v>
      </c>
      <c r="H256" s="136">
        <f ca="1">IF(ABS(G256/'normal case'!D257-H255)&lt;0.0000001,H255,G256/'normal case'!D257)</f>
        <v>0</v>
      </c>
    </row>
    <row r="257" spans="1:8">
      <c r="A257" s="135">
        <f ca="1">('main page'!$U$31/100)*'normal case'!D258</f>
        <v>20</v>
      </c>
      <c r="B257" s="136"/>
      <c r="C257" s="135">
        <f ca="1">'normal case'!AG258-'normal case'!AG257+IF(controls!$B$33=1,(1+(('main page'!$K$35/100)))*C256,'public finance'!C256)</f>
        <v>20</v>
      </c>
      <c r="D257" s="136">
        <f ca="1">IF(ABS(((A257-C257)/'normal case'!D258)-D256)&lt;0.0000001,D256,(A257-C257)/'normal case'!D258)</f>
        <v>0</v>
      </c>
      <c r="E257" s="136">
        <f ca="1">IF(ABS(D257-(G257*('normal case'!M258/100))/'normal case'!D258-E256)&lt;0.00001,E256,D257-(G257*('normal case'!M258/100))/'normal case'!D258)</f>
        <v>0</v>
      </c>
      <c r="F257" s="137">
        <f ca="1">F256*(1+'normal case'!L257/100)</f>
        <v>155.97097941077834</v>
      </c>
      <c r="G257" s="135">
        <f ca="1">C257-A257+G256*(1+'normal case'!M257/100)</f>
        <v>0</v>
      </c>
      <c r="H257" s="136">
        <f ca="1">IF(ABS(G257/'normal case'!D258-H256)&lt;0.0000001,H256,G257/'normal case'!D258)</f>
        <v>0</v>
      </c>
    </row>
    <row r="258" spans="1:8">
      <c r="A258" s="135">
        <f ca="1">('main page'!$U$31/100)*'normal case'!D259</f>
        <v>20</v>
      </c>
      <c r="B258" s="136"/>
      <c r="C258" s="135">
        <f ca="1">'normal case'!AG259-'normal case'!AG258+IF(controls!$B$33=1,(1+(('main page'!$K$35/100)))*C257,'public finance'!C257)</f>
        <v>20</v>
      </c>
      <c r="D258" s="136">
        <f ca="1">IF(ABS(((A258-C258)/'normal case'!D259)-D257)&lt;0.0000001,D257,(A258-C258)/'normal case'!D259)</f>
        <v>0</v>
      </c>
      <c r="E258" s="136">
        <f ca="1">IF(ABS(D258-(G258*('normal case'!M259/100))/'normal case'!D259-E257)&lt;0.00001,E257,D258-(G258*('normal case'!M259/100))/'normal case'!D259)</f>
        <v>0</v>
      </c>
      <c r="F258" s="137">
        <f ca="1">F257*(1+'normal case'!L258/100)</f>
        <v>159.09039899899392</v>
      </c>
      <c r="G258" s="135">
        <f ca="1">C258-A258+G257*(1+'normal case'!M258/100)</f>
        <v>0</v>
      </c>
      <c r="H258" s="136">
        <f ca="1">IF(ABS(G258/'normal case'!D259-H257)&lt;0.0000001,H257,G258/'normal case'!D259)</f>
        <v>0</v>
      </c>
    </row>
    <row r="259" spans="1:8">
      <c r="A259" s="135">
        <f ca="1">('main page'!$U$31/100)*'normal case'!D260</f>
        <v>20</v>
      </c>
      <c r="B259" s="136"/>
      <c r="C259" s="135">
        <f ca="1">'normal case'!AG260-'normal case'!AG259+IF(controls!$B$33=1,(1+(('main page'!$K$35/100)))*C258,'public finance'!C258)</f>
        <v>20</v>
      </c>
      <c r="D259" s="136">
        <f ca="1">IF(ABS(((A259-C259)/'normal case'!D260)-D258)&lt;0.0000001,D258,(A259-C259)/'normal case'!D260)</f>
        <v>0</v>
      </c>
      <c r="E259" s="136">
        <f ca="1">IF(ABS(D259-(G259*('normal case'!M260/100))/'normal case'!D260-E258)&lt;0.00001,E258,D259-(G259*('normal case'!M260/100))/'normal case'!D260)</f>
        <v>0</v>
      </c>
      <c r="F259" s="137">
        <f ca="1">F258*(1+'normal case'!L259/100)</f>
        <v>162.2722069789738</v>
      </c>
      <c r="G259" s="135">
        <f ca="1">C259-A259+G258*(1+'normal case'!M259/100)</f>
        <v>0</v>
      </c>
      <c r="H259" s="136">
        <f ca="1">IF(ABS(G259/'normal case'!D260-H258)&lt;0.0000001,H258,G259/'normal case'!D260)</f>
        <v>0</v>
      </c>
    </row>
    <row r="260" spans="1:8">
      <c r="A260" s="135">
        <f ca="1">('main page'!$U$31/100)*'normal case'!D261</f>
        <v>20</v>
      </c>
      <c r="B260" s="136"/>
      <c r="C260" s="135">
        <f ca="1">'normal case'!AG261-'normal case'!AG260+IF(controls!$B$33=1,(1+(('main page'!$K$35/100)))*C259,'public finance'!C259)</f>
        <v>20</v>
      </c>
      <c r="D260" s="136">
        <f ca="1">IF(ABS(((A260-C260)/'normal case'!D261)-D259)&lt;0.0000001,D259,(A260-C260)/'normal case'!D261)</f>
        <v>0</v>
      </c>
      <c r="E260" s="136">
        <f ca="1">IF(ABS(D260-(G260*('normal case'!M261/100))/'normal case'!D261-E259)&lt;0.00001,E259,D260-(G260*('normal case'!M261/100))/'normal case'!D261)</f>
        <v>0</v>
      </c>
      <c r="F260" s="137">
        <f ca="1">F259*(1+'normal case'!L260/100)</f>
        <v>165.51765111855329</v>
      </c>
      <c r="G260" s="135">
        <f ca="1">C260-A260+G259*(1+'normal case'!M260/100)</f>
        <v>0</v>
      </c>
      <c r="H260" s="136">
        <f ca="1">IF(ABS(G260/'normal case'!D261-H259)&lt;0.0000001,H259,G260/'normal case'!D261)</f>
        <v>0</v>
      </c>
    </row>
    <row r="261" spans="1:8">
      <c r="A261" s="135">
        <f ca="1">('main page'!$U$31/100)*'normal case'!D262</f>
        <v>20</v>
      </c>
      <c r="B261" s="136"/>
      <c r="C261" s="135">
        <f ca="1">'normal case'!AG262-'normal case'!AG261+IF(controls!$B$33=1,(1+(('main page'!$K$35/100)))*C260,'public finance'!C260)</f>
        <v>20</v>
      </c>
      <c r="D261" s="136">
        <f ca="1">IF(ABS(((A261-C261)/'normal case'!D262)-D260)&lt;0.0000001,D260,(A261-C261)/'normal case'!D262)</f>
        <v>0</v>
      </c>
      <c r="E261" s="136">
        <f ca="1">IF(ABS(D261-(G261*('normal case'!M262/100))/'normal case'!D262-E260)&lt;0.00001,E260,D261-(G261*('normal case'!M262/100))/'normal case'!D262)</f>
        <v>0</v>
      </c>
      <c r="F261" s="137">
        <f ca="1">F260*(1+'normal case'!L261/100)</f>
        <v>168.82800414092435</v>
      </c>
      <c r="G261" s="135">
        <f ca="1">C261-A261+G260*(1+'normal case'!M261/100)</f>
        <v>0</v>
      </c>
      <c r="H261" s="136">
        <f ca="1">IF(ABS(G261/'normal case'!D262-H260)&lt;0.0000001,H260,G261/'normal case'!D262)</f>
        <v>0</v>
      </c>
    </row>
    <row r="262" spans="1:8">
      <c r="A262" s="135">
        <f ca="1">('main page'!$U$31/100)*'normal case'!D263</f>
        <v>20</v>
      </c>
      <c r="B262" s="136"/>
      <c r="C262" s="135">
        <f ca="1">'normal case'!AG263-'normal case'!AG262+IF(controls!$B$33=1,(1+(('main page'!$K$35/100)))*C261,'public finance'!C261)</f>
        <v>20</v>
      </c>
      <c r="D262" s="136">
        <f ca="1">IF(ABS(((A262-C262)/'normal case'!D263)-D261)&lt;0.0000001,D261,(A262-C262)/'normal case'!D263)</f>
        <v>0</v>
      </c>
      <c r="E262" s="136">
        <f ca="1">IF(ABS(D262-(G262*('normal case'!M263/100))/'normal case'!D263-E261)&lt;0.00001,E261,D262-(G262*('normal case'!M263/100))/'normal case'!D263)</f>
        <v>0</v>
      </c>
      <c r="F262" s="137">
        <f ca="1">F261*(1+'normal case'!L262/100)</f>
        <v>172.20456422374284</v>
      </c>
      <c r="G262" s="135">
        <f ca="1">C262-A262+G261*(1+'normal case'!M262/100)</f>
        <v>0</v>
      </c>
      <c r="H262" s="136">
        <f ca="1">IF(ABS(G262/'normal case'!D263-H261)&lt;0.0000001,H261,G262/'normal case'!D263)</f>
        <v>0</v>
      </c>
    </row>
    <row r="263" spans="1:8">
      <c r="A263" s="135">
        <f ca="1">('main page'!$U$31/100)*'normal case'!D264</f>
        <v>20</v>
      </c>
      <c r="B263" s="136"/>
      <c r="C263" s="135">
        <f ca="1">'normal case'!AG264-'normal case'!AG263+IF(controls!$B$33=1,(1+(('main page'!$K$35/100)))*C262,'public finance'!C262)</f>
        <v>20</v>
      </c>
      <c r="D263" s="136">
        <f ca="1">IF(ABS(((A263-C263)/'normal case'!D264)-D262)&lt;0.0000001,D262,(A263-C263)/'normal case'!D264)</f>
        <v>0</v>
      </c>
      <c r="E263" s="136">
        <f ca="1">IF(ABS(D263-(G263*('normal case'!M264/100))/'normal case'!D264-E262)&lt;0.00001,E262,D263-(G263*('normal case'!M264/100))/'normal case'!D264)</f>
        <v>0</v>
      </c>
      <c r="F263" s="137">
        <f ca="1">F262*(1+'normal case'!L263/100)</f>
        <v>175.6486555082177</v>
      </c>
      <c r="G263" s="135">
        <f ca="1">C263-A263+G262*(1+'normal case'!M263/100)</f>
        <v>0</v>
      </c>
      <c r="H263" s="136">
        <f ca="1">IF(ABS(G263/'normal case'!D264-H262)&lt;0.0000001,H262,G263/'normal case'!D264)</f>
        <v>0</v>
      </c>
    </row>
    <row r="264" spans="1:8">
      <c r="A264" s="135">
        <f ca="1">('main page'!$U$31/100)*'normal case'!D265</f>
        <v>20</v>
      </c>
      <c r="B264" s="136"/>
      <c r="C264" s="135">
        <f ca="1">'normal case'!AG265-'normal case'!AG264+IF(controls!$B$33=1,(1+(('main page'!$K$35/100)))*C263,'public finance'!C263)</f>
        <v>20</v>
      </c>
      <c r="D264" s="136">
        <f ca="1">IF(ABS(((A264-C264)/'normal case'!D265)-D263)&lt;0.0000001,D263,(A264-C264)/'normal case'!D265)</f>
        <v>0</v>
      </c>
      <c r="E264" s="136">
        <f ca="1">IF(ABS(D264-(G264*('normal case'!M265/100))/'normal case'!D265-E263)&lt;0.00001,E263,D264-(G264*('normal case'!M265/100))/'normal case'!D265)</f>
        <v>0</v>
      </c>
      <c r="F264" s="137">
        <f ca="1">F263*(1+'normal case'!L264/100)</f>
        <v>179.16162861838205</v>
      </c>
      <c r="G264" s="135">
        <f ca="1">C264-A264+G263*(1+'normal case'!M264/100)</f>
        <v>0</v>
      </c>
      <c r="H264" s="136">
        <f ca="1">IF(ABS(G264/'normal case'!D265-H263)&lt;0.0000001,H263,G264/'normal case'!D265)</f>
        <v>0</v>
      </c>
    </row>
    <row r="265" spans="1:8">
      <c r="A265" s="135">
        <f ca="1">('main page'!$U$31/100)*'normal case'!D266</f>
        <v>20</v>
      </c>
      <c r="B265" s="136"/>
      <c r="C265" s="135">
        <f ca="1">'normal case'!AG266-'normal case'!AG265+IF(controls!$B$33=1,(1+(('main page'!$K$35/100)))*C264,'public finance'!C264)</f>
        <v>20</v>
      </c>
      <c r="D265" s="136">
        <f ca="1">IF(ABS(((A265-C265)/'normal case'!D266)-D264)&lt;0.0000001,D264,(A265-C265)/'normal case'!D266)</f>
        <v>0</v>
      </c>
      <c r="E265" s="136">
        <f ca="1">IF(ABS(D265-(G265*('normal case'!M266/100))/'normal case'!D266-E264)&lt;0.00001,E264,D265-(G265*('normal case'!M266/100))/'normal case'!D266)</f>
        <v>0</v>
      </c>
      <c r="F265" s="137">
        <f ca="1">F264*(1+'normal case'!L265/100)</f>
        <v>182.7448611907497</v>
      </c>
      <c r="G265" s="135">
        <f ca="1">C265-A265+G264*(1+'normal case'!M265/100)</f>
        <v>0</v>
      </c>
      <c r="H265" s="136">
        <f ca="1">IF(ABS(G265/'normal case'!D266-H264)&lt;0.0000001,H264,G265/'normal case'!D266)</f>
        <v>0</v>
      </c>
    </row>
    <row r="266" spans="1:8">
      <c r="A266" s="135">
        <f ca="1">('main page'!$U$31/100)*'normal case'!D267</f>
        <v>20</v>
      </c>
      <c r="B266" s="136"/>
      <c r="C266" s="135">
        <f ca="1">'normal case'!AG267-'normal case'!AG266+IF(controls!$B$33=1,(1+(('main page'!$K$35/100)))*C265,'public finance'!C265)</f>
        <v>20</v>
      </c>
      <c r="D266" s="136">
        <f ca="1">IF(ABS(((A266-C266)/'normal case'!D267)-D265)&lt;0.0000001,D265,(A266-C266)/'normal case'!D267)</f>
        <v>0</v>
      </c>
      <c r="E266" s="136">
        <f ca="1">IF(ABS(D266-(G266*('normal case'!M267/100))/'normal case'!D267-E265)&lt;0.00001,E265,D266-(G266*('normal case'!M267/100))/'normal case'!D267)</f>
        <v>0</v>
      </c>
      <c r="F266" s="137">
        <f ca="1">F265*(1+'normal case'!L266/100)</f>
        <v>186.3997584145647</v>
      </c>
      <c r="G266" s="135">
        <f ca="1">C266-A266+G265*(1+'normal case'!M266/100)</f>
        <v>0</v>
      </c>
      <c r="H266" s="136">
        <f ca="1">IF(ABS(G266/'normal case'!D267-H265)&lt;0.0000001,H265,G266/'normal case'!D267)</f>
        <v>0</v>
      </c>
    </row>
    <row r="267" spans="1:8">
      <c r="A267" s="135">
        <f ca="1">('main page'!$U$31/100)*'normal case'!D268</f>
        <v>20</v>
      </c>
      <c r="B267" s="136"/>
      <c r="C267" s="135">
        <f ca="1">'normal case'!AG268-'normal case'!AG267+IF(controls!$B$33=1,(1+(('main page'!$K$35/100)))*C266,'public finance'!C266)</f>
        <v>20</v>
      </c>
      <c r="D267" s="136">
        <f ca="1">IF(ABS(((A267-C267)/'normal case'!D268)-D266)&lt;0.0000001,D266,(A267-C267)/'normal case'!D268)</f>
        <v>0</v>
      </c>
      <c r="E267" s="136">
        <f ca="1">IF(ABS(D267-(G267*('normal case'!M268/100))/'normal case'!D268-E266)&lt;0.00001,E266,D267-(G267*('normal case'!M268/100))/'normal case'!D268)</f>
        <v>0</v>
      </c>
      <c r="F267" s="137">
        <f ca="1">F266*(1+'normal case'!L267/100)</f>
        <v>190.127753582856</v>
      </c>
      <c r="G267" s="135">
        <f ca="1">C267-A267+G266*(1+'normal case'!M267/100)</f>
        <v>0</v>
      </c>
      <c r="H267" s="136">
        <f ca="1">IF(ABS(G267/'normal case'!D268-H266)&lt;0.0000001,H266,G267/'normal case'!D268)</f>
        <v>0</v>
      </c>
    </row>
    <row r="268" spans="1:8">
      <c r="A268" s="135">
        <f ca="1">('main page'!$U$31/100)*'normal case'!D269</f>
        <v>20</v>
      </c>
      <c r="B268" s="136"/>
      <c r="C268" s="135">
        <f ca="1">'normal case'!AG269-'normal case'!AG268+IF(controls!$B$33=1,(1+(('main page'!$K$35/100)))*C267,'public finance'!C267)</f>
        <v>20</v>
      </c>
      <c r="D268" s="136">
        <f ca="1">IF(ABS(((A268-C268)/'normal case'!D269)-D267)&lt;0.0000001,D267,(A268-C268)/'normal case'!D269)</f>
        <v>0</v>
      </c>
      <c r="E268" s="136">
        <f ca="1">IF(ABS(D268-(G268*('normal case'!M269/100))/'normal case'!D269-E267)&lt;0.00001,E267,D268-(G268*('normal case'!M269/100))/'normal case'!D269)</f>
        <v>0</v>
      </c>
      <c r="F268" s="137">
        <f ca="1">F267*(1+'normal case'!L268/100)</f>
        <v>193.93030865451311</v>
      </c>
      <c r="G268" s="135">
        <f ca="1">C268-A268+G267*(1+'normal case'!M268/100)</f>
        <v>0</v>
      </c>
      <c r="H268" s="136">
        <f ca="1">IF(ABS(G268/'normal case'!D269-H267)&lt;0.0000001,H267,G268/'normal case'!D269)</f>
        <v>0</v>
      </c>
    </row>
    <row r="269" spans="1:8">
      <c r="A269" s="135">
        <f ca="1">('main page'!$U$31/100)*'normal case'!D270</f>
        <v>20</v>
      </c>
      <c r="B269" s="136"/>
      <c r="C269" s="135">
        <f ca="1">'normal case'!AG270-'normal case'!AG269+IF(controls!$B$33=1,(1+(('main page'!$K$35/100)))*C268,'public finance'!C268)</f>
        <v>20</v>
      </c>
      <c r="D269" s="136">
        <f ca="1">IF(ABS(((A269-C269)/'normal case'!D270)-D268)&lt;0.0000001,D268,(A269-C269)/'normal case'!D270)</f>
        <v>0</v>
      </c>
      <c r="E269" s="136">
        <f ca="1">IF(ABS(D269-(G269*('normal case'!M270/100))/'normal case'!D270-E268)&lt;0.00001,E268,D269-(G269*('normal case'!M270/100))/'normal case'!D270)</f>
        <v>0</v>
      </c>
      <c r="F269" s="137">
        <f ca="1">F268*(1+'normal case'!L269/100)</f>
        <v>197.80891482760339</v>
      </c>
      <c r="G269" s="135">
        <f ca="1">C269-A269+G268*(1+'normal case'!M269/100)</f>
        <v>0</v>
      </c>
      <c r="H269" s="136">
        <f ca="1">IF(ABS(G269/'normal case'!D270-H268)&lt;0.0000001,H268,G269/'normal case'!D270)</f>
        <v>0</v>
      </c>
    </row>
    <row r="270" spans="1:8">
      <c r="A270" s="135">
        <f ca="1">('main page'!$U$31/100)*'normal case'!D271</f>
        <v>20</v>
      </c>
      <c r="B270" s="136"/>
      <c r="C270" s="135">
        <f ca="1">'normal case'!AG271-'normal case'!AG270+IF(controls!$B$33=1,(1+(('main page'!$K$35/100)))*C269,'public finance'!C269)</f>
        <v>20</v>
      </c>
      <c r="D270" s="136">
        <f ca="1">IF(ABS(((A270-C270)/'normal case'!D271)-D269)&lt;0.0000001,D269,(A270-C270)/'normal case'!D271)</f>
        <v>0</v>
      </c>
      <c r="E270" s="136">
        <f ca="1">IF(ABS(D270-(G270*('normal case'!M271/100))/'normal case'!D271-E269)&lt;0.00001,E269,D270-(G270*('normal case'!M271/100))/'normal case'!D271)</f>
        <v>0</v>
      </c>
      <c r="F270" s="137">
        <f ca="1">F269*(1+'normal case'!L270/100)</f>
        <v>201.76509312415547</v>
      </c>
      <c r="G270" s="135">
        <f ca="1">C270-A270+G269*(1+'normal case'!M270/100)</f>
        <v>0</v>
      </c>
      <c r="H270" s="136">
        <f ca="1">IF(ABS(G270/'normal case'!D271-H269)&lt;0.0000001,H269,G270/'normal case'!D271)</f>
        <v>0</v>
      </c>
    </row>
    <row r="271" spans="1:8">
      <c r="A271" s="135">
        <f ca="1">('main page'!$U$31/100)*'normal case'!D272</f>
        <v>20</v>
      </c>
      <c r="B271" s="136"/>
      <c r="C271" s="135">
        <f ca="1">'normal case'!AG272-'normal case'!AG271+IF(controls!$B$33=1,(1+(('main page'!$K$35/100)))*C270,'public finance'!C270)</f>
        <v>20</v>
      </c>
      <c r="D271" s="136">
        <f ca="1">IF(ABS(((A271-C271)/'normal case'!D272)-D270)&lt;0.0000001,D270,(A271-C271)/'normal case'!D272)</f>
        <v>0</v>
      </c>
      <c r="E271" s="136">
        <f ca="1">IF(ABS(D271-(G271*('normal case'!M272/100))/'normal case'!D272-E270)&lt;0.00001,E270,D271-(G271*('normal case'!M272/100))/'normal case'!D272)</f>
        <v>0</v>
      </c>
      <c r="F271" s="137">
        <f ca="1">F270*(1+'normal case'!L271/100)</f>
        <v>205.80039498663859</v>
      </c>
      <c r="G271" s="135">
        <f ca="1">C271-A271+G270*(1+'normal case'!M271/100)</f>
        <v>0</v>
      </c>
      <c r="H271" s="136">
        <f ca="1">IF(ABS(G271/'normal case'!D272-H270)&lt;0.0000001,H270,G271/'normal case'!D272)</f>
        <v>0</v>
      </c>
    </row>
    <row r="272" spans="1:8">
      <c r="A272" s="135">
        <f ca="1">('main page'!$U$31/100)*'normal case'!D273</f>
        <v>20</v>
      </c>
      <c r="B272" s="136"/>
      <c r="C272" s="135">
        <f ca="1">'normal case'!AG273-'normal case'!AG272+IF(controls!$B$33=1,(1+(('main page'!$K$35/100)))*C271,'public finance'!C271)</f>
        <v>20</v>
      </c>
      <c r="D272" s="136">
        <f ca="1">IF(ABS(((A272-C272)/'normal case'!D273)-D271)&lt;0.0000001,D271,(A272-C272)/'normal case'!D273)</f>
        <v>0</v>
      </c>
      <c r="E272" s="136">
        <f ca="1">IF(ABS(D272-(G272*('normal case'!M273/100))/'normal case'!D273-E271)&lt;0.00001,E271,D272-(G272*('normal case'!M273/100))/'normal case'!D273)</f>
        <v>0</v>
      </c>
      <c r="F272" s="137">
        <f ca="1">F271*(1+'normal case'!L272/100)</f>
        <v>209.91640288637137</v>
      </c>
      <c r="G272" s="135">
        <f ca="1">C272-A272+G271*(1+'normal case'!M272/100)</f>
        <v>0</v>
      </c>
      <c r="H272" s="136">
        <f ca="1">IF(ABS(G272/'normal case'!D273-H271)&lt;0.0000001,H271,G272/'normal case'!D273)</f>
        <v>0</v>
      </c>
    </row>
    <row r="273" spans="1:8">
      <c r="A273" s="135">
        <f ca="1">('main page'!$U$31/100)*'normal case'!D274</f>
        <v>20</v>
      </c>
      <c r="B273" s="136"/>
      <c r="C273" s="135">
        <f ca="1">'normal case'!AG274-'normal case'!AG273+IF(controls!$B$33=1,(1+(('main page'!$K$35/100)))*C272,'public finance'!C272)</f>
        <v>20</v>
      </c>
      <c r="D273" s="136">
        <f ca="1">IF(ABS(((A273-C273)/'normal case'!D274)-D272)&lt;0.0000001,D272,(A273-C273)/'normal case'!D274)</f>
        <v>0</v>
      </c>
      <c r="E273" s="136">
        <f ca="1">IF(ABS(D273-(G273*('normal case'!M274/100))/'normal case'!D274-E272)&lt;0.00001,E272,D273-(G273*('normal case'!M274/100))/'normal case'!D274)</f>
        <v>0</v>
      </c>
      <c r="F273" s="137">
        <f ca="1">F272*(1+'normal case'!L273/100)</f>
        <v>214.1147309440988</v>
      </c>
      <c r="G273" s="135">
        <f ca="1">C273-A273+G272*(1+'normal case'!M273/100)</f>
        <v>0</v>
      </c>
      <c r="H273" s="136">
        <f ca="1">IF(ABS(G273/'normal case'!D274-H272)&lt;0.0000001,H272,G273/'normal case'!D274)</f>
        <v>0</v>
      </c>
    </row>
    <row r="274" spans="1:8">
      <c r="A274" s="135">
        <f ca="1">('main page'!$U$31/100)*'normal case'!D275</f>
        <v>20</v>
      </c>
      <c r="B274" s="136"/>
      <c r="C274" s="135">
        <f ca="1">'normal case'!AG275-'normal case'!AG274+IF(controls!$B$33=1,(1+(('main page'!$K$35/100)))*C273,'public finance'!C273)</f>
        <v>20</v>
      </c>
      <c r="D274" s="136">
        <f ca="1">IF(ABS(((A274-C274)/'normal case'!D275)-D273)&lt;0.0000001,D273,(A274-C274)/'normal case'!D275)</f>
        <v>0</v>
      </c>
      <c r="E274" s="136">
        <f ca="1">IF(ABS(D274-(G274*('normal case'!M275/100))/'normal case'!D275-E273)&lt;0.00001,E273,D274-(G274*('normal case'!M275/100))/'normal case'!D275)</f>
        <v>0</v>
      </c>
      <c r="F274" s="137">
        <f ca="1">F273*(1+'normal case'!L274/100)</f>
        <v>218.39702556298079</v>
      </c>
      <c r="G274" s="135">
        <f ca="1">C274-A274+G273*(1+'normal case'!M274/100)</f>
        <v>0</v>
      </c>
      <c r="H274" s="136">
        <f ca="1">IF(ABS(G274/'normal case'!D275-H273)&lt;0.0000001,H273,G274/'normal case'!D275)</f>
        <v>0</v>
      </c>
    </row>
    <row r="275" spans="1:8">
      <c r="A275" s="135">
        <f ca="1">('main page'!$U$31/100)*'normal case'!D276</f>
        <v>20</v>
      </c>
      <c r="B275" s="136"/>
      <c r="C275" s="135">
        <f ca="1">'normal case'!AG276-'normal case'!AG275+IF(controls!$B$33=1,(1+(('main page'!$K$35/100)))*C274,'public finance'!C274)</f>
        <v>20</v>
      </c>
      <c r="D275" s="136">
        <f ca="1">IF(ABS(((A275-C275)/'normal case'!D276)-D274)&lt;0.0000001,D274,(A275-C275)/'normal case'!D276)</f>
        <v>0</v>
      </c>
      <c r="E275" s="136">
        <f ca="1">IF(ABS(D275-(G275*('normal case'!M276/100))/'normal case'!D276-E274)&lt;0.00001,E274,D275-(G275*('normal case'!M276/100))/'normal case'!D276)</f>
        <v>0</v>
      </c>
      <c r="F275" s="137">
        <f ca="1">F274*(1+'normal case'!L275/100)</f>
        <v>222.76496607424042</v>
      </c>
      <c r="G275" s="135">
        <f ca="1">C275-A275+G274*(1+'normal case'!M275/100)</f>
        <v>0</v>
      </c>
      <c r="H275" s="136">
        <f ca="1">IF(ABS(G275/'normal case'!D276-H274)&lt;0.0000001,H274,G275/'normal case'!D276)</f>
        <v>0</v>
      </c>
    </row>
    <row r="276" spans="1:8">
      <c r="A276" s="135">
        <f ca="1">('main page'!$U$31/100)*'normal case'!D277</f>
        <v>20</v>
      </c>
      <c r="B276" s="136"/>
      <c r="C276" s="135">
        <f ca="1">'normal case'!AG277-'normal case'!AG276+IF(controls!$B$33=1,(1+(('main page'!$K$35/100)))*C275,'public finance'!C275)</f>
        <v>20</v>
      </c>
      <c r="D276" s="136">
        <f ca="1">IF(ABS(((A276-C276)/'normal case'!D277)-D275)&lt;0.0000001,D275,(A276-C276)/'normal case'!D277)</f>
        <v>0</v>
      </c>
      <c r="E276" s="136">
        <f ca="1">IF(ABS(D276-(G276*('normal case'!M277/100))/'normal case'!D277-E275)&lt;0.00001,E275,D276-(G276*('normal case'!M277/100))/'normal case'!D277)</f>
        <v>0</v>
      </c>
      <c r="F276" s="137">
        <f ca="1">F275*(1+'normal case'!L276/100)</f>
        <v>227.22026539572522</v>
      </c>
      <c r="G276" s="135">
        <f ca="1">C276-A276+G275*(1+'normal case'!M276/100)</f>
        <v>0</v>
      </c>
      <c r="H276" s="136">
        <f ca="1">IF(ABS(G276/'normal case'!D277-H275)&lt;0.0000001,H275,G276/'normal case'!D277)</f>
        <v>0</v>
      </c>
    </row>
    <row r="277" spans="1:8">
      <c r="A277" s="135">
        <f ca="1">('main page'!$U$31/100)*'normal case'!D278</f>
        <v>20</v>
      </c>
      <c r="B277" s="136"/>
      <c r="C277" s="135">
        <f ca="1">'normal case'!AG278-'normal case'!AG277+IF(controls!$B$33=1,(1+(('main page'!$K$35/100)))*C276,'public finance'!C276)</f>
        <v>20</v>
      </c>
      <c r="D277" s="136">
        <f ca="1">IF(ABS(((A277-C277)/'normal case'!D278)-D276)&lt;0.0000001,D276,(A277-C277)/'normal case'!D278)</f>
        <v>0</v>
      </c>
      <c r="E277" s="136">
        <f ca="1">IF(ABS(D277-(G277*('normal case'!M278/100))/'normal case'!D278-E276)&lt;0.00001,E276,D277-(G277*('normal case'!M278/100))/'normal case'!D278)</f>
        <v>0</v>
      </c>
      <c r="F277" s="137">
        <f ca="1">F276*(1+'normal case'!L277/100)</f>
        <v>231.76467070363972</v>
      </c>
      <c r="G277" s="135">
        <f ca="1">C277-A277+G276*(1+'normal case'!M277/100)</f>
        <v>0</v>
      </c>
      <c r="H277" s="136">
        <f ca="1">IF(ABS(G277/'normal case'!D278-H276)&lt;0.0000001,H276,G277/'normal case'!D278)</f>
        <v>0</v>
      </c>
    </row>
    <row r="278" spans="1:8">
      <c r="A278" s="135">
        <f ca="1">('main page'!$U$31/100)*'normal case'!D279</f>
        <v>20</v>
      </c>
      <c r="B278" s="136"/>
      <c r="C278" s="135">
        <f ca="1">'normal case'!AG279-'normal case'!AG278+IF(controls!$B$33=1,(1+(('main page'!$K$35/100)))*C277,'public finance'!C277)</f>
        <v>20</v>
      </c>
      <c r="D278" s="136">
        <f ca="1">IF(ABS(((A278-C278)/'normal case'!D279)-D277)&lt;0.0000001,D277,(A278-C278)/'normal case'!D279)</f>
        <v>0</v>
      </c>
      <c r="E278" s="136">
        <f ca="1">IF(ABS(D278-(G278*('normal case'!M279/100))/'normal case'!D279-E277)&lt;0.00001,E277,D278-(G278*('normal case'!M279/100))/'normal case'!D279)</f>
        <v>0</v>
      </c>
      <c r="F278" s="137">
        <f ca="1">F277*(1+'normal case'!L278/100)</f>
        <v>236.39996411771253</v>
      </c>
      <c r="G278" s="135">
        <f ca="1">C278-A278+G277*(1+'normal case'!M278/100)</f>
        <v>0</v>
      </c>
      <c r="H278" s="136">
        <f ca="1">IF(ABS(G278/'normal case'!D279-H277)&lt;0.0000001,H277,G278/'normal case'!D279)</f>
        <v>0</v>
      </c>
    </row>
    <row r="279" spans="1:8">
      <c r="A279" s="135">
        <f ca="1">('main page'!$U$31/100)*'normal case'!D280</f>
        <v>20</v>
      </c>
      <c r="B279" s="136"/>
      <c r="C279" s="135">
        <f ca="1">'normal case'!AG280-'normal case'!AG279+IF(controls!$B$33=1,(1+(('main page'!$K$35/100)))*C278,'public finance'!C278)</f>
        <v>20</v>
      </c>
      <c r="D279" s="136">
        <f ca="1">IF(ABS(((A279-C279)/'normal case'!D280)-D278)&lt;0.0000001,D278,(A279-C279)/'normal case'!D280)</f>
        <v>0</v>
      </c>
      <c r="E279" s="136">
        <f ca="1">IF(ABS(D279-(G279*('normal case'!M280/100))/'normal case'!D280-E278)&lt;0.00001,E278,D279-(G279*('normal case'!M280/100))/'normal case'!D280)</f>
        <v>0</v>
      </c>
      <c r="F279" s="137">
        <f ca="1">F278*(1+'normal case'!L279/100)</f>
        <v>241.12796340006679</v>
      </c>
      <c r="G279" s="135">
        <f ca="1">C279-A279+G278*(1+'normal case'!M279/100)</f>
        <v>0</v>
      </c>
      <c r="H279" s="136">
        <f ca="1">IF(ABS(G279/'normal case'!D280-H278)&lt;0.0000001,H278,G279/'normal case'!D280)</f>
        <v>0</v>
      </c>
    </row>
    <row r="280" spans="1:8">
      <c r="A280" s="135">
        <f ca="1">('main page'!$U$31/100)*'normal case'!D281</f>
        <v>20</v>
      </c>
      <c r="B280" s="136"/>
      <c r="C280" s="135">
        <f ca="1">'normal case'!AG281-'normal case'!AG280+IF(controls!$B$33=1,(1+(('main page'!$K$35/100)))*C279,'public finance'!C279)</f>
        <v>20</v>
      </c>
      <c r="D280" s="136">
        <f ca="1">IF(ABS(((A280-C280)/'normal case'!D281)-D279)&lt;0.0000001,D279,(A280-C280)/'normal case'!D281)</f>
        <v>0</v>
      </c>
      <c r="E280" s="136">
        <f ca="1">IF(ABS(D280-(G280*('normal case'!M281/100))/'normal case'!D281-E279)&lt;0.00001,E279,D280-(G280*('normal case'!M281/100))/'normal case'!D281)</f>
        <v>0</v>
      </c>
      <c r="F280" s="137">
        <f ca="1">F279*(1+'normal case'!L280/100)</f>
        <v>245.95052266806812</v>
      </c>
      <c r="G280" s="135">
        <f ca="1">C280-A280+G279*(1+'normal case'!M280/100)</f>
        <v>0</v>
      </c>
      <c r="H280" s="136">
        <f ca="1">IF(ABS(G280/'normal case'!D281-H279)&lt;0.0000001,H279,G280/'normal case'!D281)</f>
        <v>0</v>
      </c>
    </row>
    <row r="281" spans="1:8">
      <c r="A281" s="135">
        <f ca="1">('main page'!$U$31/100)*'normal case'!D282</f>
        <v>20</v>
      </c>
      <c r="B281" s="136"/>
      <c r="C281" s="135">
        <f ca="1">'normal case'!AG282-'normal case'!AG281+IF(controls!$B$33=1,(1+(('main page'!$K$35/100)))*C280,'public finance'!C280)</f>
        <v>20</v>
      </c>
      <c r="D281" s="136">
        <f ca="1">IF(ABS(((A281-C281)/'normal case'!D282)-D280)&lt;0.0000001,D280,(A281-C281)/'normal case'!D282)</f>
        <v>0</v>
      </c>
      <c r="E281" s="136">
        <f ca="1">IF(ABS(D281-(G281*('normal case'!M282/100))/'normal case'!D282-E280)&lt;0.00001,E280,D281-(G281*('normal case'!M282/100))/'normal case'!D282)</f>
        <v>0</v>
      </c>
      <c r="F281" s="137">
        <f ca="1">F280*(1+'normal case'!L281/100)</f>
        <v>250.8695331214295</v>
      </c>
      <c r="G281" s="135">
        <f ca="1">C281-A281+G280*(1+'normal case'!M281/100)</f>
        <v>0</v>
      </c>
      <c r="H281" s="136">
        <f ca="1">IF(ABS(G281/'normal case'!D282-H280)&lt;0.0000001,H280,G281/'normal case'!D282)</f>
        <v>0</v>
      </c>
    </row>
    <row r="282" spans="1:8">
      <c r="A282" s="135">
        <f ca="1">('main page'!$U$31/100)*'normal case'!D283</f>
        <v>20</v>
      </c>
      <c r="B282" s="136"/>
      <c r="C282" s="135">
        <f ca="1">'normal case'!AG283-'normal case'!AG282+IF(controls!$B$33=1,(1+(('main page'!$K$35/100)))*C281,'public finance'!C281)</f>
        <v>20</v>
      </c>
      <c r="D282" s="136">
        <f ca="1">IF(ABS(((A282-C282)/'normal case'!D283)-D281)&lt;0.0000001,D281,(A282-C282)/'normal case'!D283)</f>
        <v>0</v>
      </c>
      <c r="E282" s="136">
        <f ca="1">IF(ABS(D282-(G282*('normal case'!M283/100))/'normal case'!D283-E281)&lt;0.00001,E281,D282-(G282*('normal case'!M283/100))/'normal case'!D283)</f>
        <v>0</v>
      </c>
      <c r="F282" s="137">
        <f ca="1">F281*(1+'normal case'!L282/100)</f>
        <v>255.88692378385809</v>
      </c>
      <c r="G282" s="135">
        <f ca="1">C282-A282+G281*(1+'normal case'!M282/100)</f>
        <v>0</v>
      </c>
      <c r="H282" s="136">
        <f ca="1">IF(ABS(G282/'normal case'!D283-H281)&lt;0.0000001,H281,G282/'normal case'!D283)</f>
        <v>0</v>
      </c>
    </row>
    <row r="283" spans="1:8">
      <c r="A283" s="135">
        <f ca="1">('main page'!$U$31/100)*'normal case'!D284</f>
        <v>20</v>
      </c>
      <c r="B283" s="136"/>
      <c r="C283" s="135">
        <f ca="1">'normal case'!AG284-'normal case'!AG283+IF(controls!$B$33=1,(1+(('main page'!$K$35/100)))*C282,'public finance'!C282)</f>
        <v>20</v>
      </c>
      <c r="D283" s="136">
        <f ca="1">IF(ABS(((A283-C283)/'normal case'!D284)-D282)&lt;0.0000001,D282,(A283-C283)/'normal case'!D284)</f>
        <v>0</v>
      </c>
      <c r="E283" s="136">
        <f ca="1">IF(ABS(D283-(G283*('normal case'!M284/100))/'normal case'!D284-E282)&lt;0.00001,E282,D283-(G283*('normal case'!M284/100))/'normal case'!D284)</f>
        <v>0</v>
      </c>
      <c r="F283" s="137">
        <f ca="1">F282*(1+'normal case'!L283/100)</f>
        <v>261.00466225953528</v>
      </c>
      <c r="G283" s="135">
        <f ca="1">C283-A283+G282*(1+'normal case'!M283/100)</f>
        <v>0</v>
      </c>
      <c r="H283" s="136">
        <f ca="1">IF(ABS(G283/'normal case'!D284-H282)&lt;0.0000001,H282,G283/'normal case'!D284)</f>
        <v>0</v>
      </c>
    </row>
    <row r="284" spans="1:8">
      <c r="A284" s="135">
        <f ca="1">('main page'!$U$31/100)*'normal case'!D285</f>
        <v>20</v>
      </c>
      <c r="B284" s="136"/>
      <c r="C284" s="135">
        <f ca="1">'normal case'!AG285-'normal case'!AG284+IF(controls!$B$33=1,(1+(('main page'!$K$35/100)))*C283,'public finance'!C283)</f>
        <v>20</v>
      </c>
      <c r="D284" s="136">
        <f ca="1">IF(ABS(((A284-C284)/'normal case'!D285)-D283)&lt;0.0000001,D283,(A284-C284)/'normal case'!D285)</f>
        <v>0</v>
      </c>
      <c r="E284" s="136">
        <f ca="1">IF(ABS(D284-(G284*('normal case'!M285/100))/'normal case'!D285-E283)&lt;0.00001,E283,D284-(G284*('normal case'!M285/100))/'normal case'!D285)</f>
        <v>0</v>
      </c>
      <c r="F284" s="137">
        <f ca="1">F283*(1+'normal case'!L284/100)</f>
        <v>266.22475550472598</v>
      </c>
      <c r="G284" s="135">
        <f ca="1">C284-A284+G283*(1+'normal case'!M284/100)</f>
        <v>0</v>
      </c>
      <c r="H284" s="136">
        <f ca="1">IF(ABS(G284/'normal case'!D285-H283)&lt;0.0000001,H283,G284/'normal case'!D285)</f>
        <v>0</v>
      </c>
    </row>
    <row r="285" spans="1:8">
      <c r="A285" s="135">
        <f ca="1">('main page'!$U$31/100)*'normal case'!D286</f>
        <v>20</v>
      </c>
      <c r="B285" s="136"/>
      <c r="C285" s="135">
        <f ca="1">'normal case'!AG286-'normal case'!AG285+IF(controls!$B$33=1,(1+(('main page'!$K$35/100)))*C284,'public finance'!C284)</f>
        <v>20</v>
      </c>
      <c r="D285" s="136">
        <f ca="1">IF(ABS(((A285-C285)/'normal case'!D286)-D284)&lt;0.0000001,D284,(A285-C285)/'normal case'!D286)</f>
        <v>0</v>
      </c>
      <c r="E285" s="136">
        <f ca="1">IF(ABS(D285-(G285*('normal case'!M286/100))/'normal case'!D286-E284)&lt;0.00001,E284,D285-(G285*('normal case'!M286/100))/'normal case'!D286)</f>
        <v>0</v>
      </c>
      <c r="F285" s="137">
        <f ca="1">F284*(1+'normal case'!L285/100)</f>
        <v>271.54925061482049</v>
      </c>
      <c r="G285" s="135">
        <f ca="1">C285-A285+G284*(1+'normal case'!M285/100)</f>
        <v>0</v>
      </c>
      <c r="H285" s="136">
        <f ca="1">IF(ABS(G285/'normal case'!D286-H284)&lt;0.0000001,H284,G285/'normal case'!D286)</f>
        <v>0</v>
      </c>
    </row>
    <row r="286" spans="1:8">
      <c r="A286" s="135">
        <f ca="1">('main page'!$U$31/100)*'normal case'!D287</f>
        <v>20</v>
      </c>
      <c r="B286" s="136"/>
      <c r="C286" s="135">
        <f ca="1">'normal case'!AG287-'normal case'!AG286+IF(controls!$B$33=1,(1+(('main page'!$K$35/100)))*C285,'public finance'!C285)</f>
        <v>20</v>
      </c>
      <c r="D286" s="136">
        <f ca="1">IF(ABS(((A286-C286)/'normal case'!D287)-D285)&lt;0.0000001,D285,(A286-C286)/'normal case'!D287)</f>
        <v>0</v>
      </c>
      <c r="E286" s="136">
        <f ca="1">IF(ABS(D286-(G286*('normal case'!M287/100))/'normal case'!D287-E285)&lt;0.00001,E285,D286-(G286*('normal case'!M287/100))/'normal case'!D287)</f>
        <v>0</v>
      </c>
      <c r="F286" s="137">
        <f ca="1">F285*(1+'normal case'!L286/100)</f>
        <v>276.98023562711688</v>
      </c>
      <c r="G286" s="135">
        <f ca="1">C286-A286+G285*(1+'normal case'!M286/100)</f>
        <v>0</v>
      </c>
      <c r="H286" s="136">
        <f ca="1">IF(ABS(G286/'normal case'!D287-H285)&lt;0.0000001,H285,G286/'normal case'!D287)</f>
        <v>0</v>
      </c>
    </row>
    <row r="287" spans="1:8">
      <c r="A287" s="135">
        <f ca="1">('main page'!$U$31/100)*'normal case'!D288</f>
        <v>20</v>
      </c>
      <c r="B287" s="136"/>
      <c r="C287" s="135">
        <f ca="1">'normal case'!AG288-'normal case'!AG287+IF(controls!$B$33=1,(1+(('main page'!$K$35/100)))*C286,'public finance'!C286)</f>
        <v>20</v>
      </c>
      <c r="D287" s="136">
        <f ca="1">IF(ABS(((A287-C287)/'normal case'!D288)-D286)&lt;0.0000001,D286,(A287-C287)/'normal case'!D288)</f>
        <v>0</v>
      </c>
      <c r="E287" s="136">
        <f ca="1">IF(ABS(D287-(G287*('normal case'!M288/100))/'normal case'!D288-E286)&lt;0.00001,E286,D287-(G287*('normal case'!M288/100))/'normal case'!D288)</f>
        <v>0</v>
      </c>
      <c r="F287" s="137">
        <f ca="1">F286*(1+'normal case'!L287/100)</f>
        <v>282.51984033965925</v>
      </c>
      <c r="G287" s="135">
        <f ca="1">C287-A287+G286*(1+'normal case'!M287/100)</f>
        <v>0</v>
      </c>
      <c r="H287" s="136">
        <f ca="1">IF(ABS(G287/'normal case'!D288-H286)&lt;0.0000001,H286,G287/'normal case'!D288)</f>
        <v>0</v>
      </c>
    </row>
    <row r="288" spans="1:8">
      <c r="A288" s="135">
        <f ca="1">('main page'!$U$31/100)*'normal case'!D289</f>
        <v>20</v>
      </c>
      <c r="B288" s="136"/>
      <c r="C288" s="135">
        <f ca="1">'normal case'!AG289-'normal case'!AG288+IF(controls!$B$33=1,(1+(('main page'!$K$35/100)))*C287,'public finance'!C287)</f>
        <v>20</v>
      </c>
      <c r="D288" s="136">
        <f ca="1">IF(ABS(((A288-C288)/'normal case'!D289)-D287)&lt;0.0000001,D287,(A288-C288)/'normal case'!D289)</f>
        <v>0</v>
      </c>
      <c r="E288" s="136">
        <f ca="1">IF(ABS(D288-(G288*('normal case'!M289/100))/'normal case'!D289-E287)&lt;0.00001,E287,D288-(G288*('normal case'!M289/100))/'normal case'!D289)</f>
        <v>0</v>
      </c>
      <c r="F288" s="137">
        <f ca="1">F287*(1+'normal case'!L288/100)</f>
        <v>288.17023714645245</v>
      </c>
      <c r="G288" s="135">
        <f ca="1">C288-A288+G287*(1+'normal case'!M288/100)</f>
        <v>0</v>
      </c>
      <c r="H288" s="136">
        <f ca="1">IF(ABS(G288/'normal case'!D289-H287)&lt;0.0000001,H287,G288/'normal case'!D289)</f>
        <v>0</v>
      </c>
    </row>
    <row r="289" spans="1:8">
      <c r="A289" s="135">
        <f ca="1">('main page'!$U$31/100)*'normal case'!D290</f>
        <v>20</v>
      </c>
      <c r="B289" s="136"/>
      <c r="C289" s="135">
        <f ca="1">'normal case'!AG290-'normal case'!AG289+IF(controls!$B$33=1,(1+(('main page'!$K$35/100)))*C288,'public finance'!C288)</f>
        <v>20</v>
      </c>
      <c r="D289" s="136">
        <f ca="1">IF(ABS(((A289-C289)/'normal case'!D290)-D288)&lt;0.0000001,D288,(A289-C289)/'normal case'!D290)</f>
        <v>0</v>
      </c>
      <c r="E289" s="136">
        <f ca="1">IF(ABS(D289-(G289*('normal case'!M290/100))/'normal case'!D290-E288)&lt;0.00001,E288,D289-(G289*('normal case'!M290/100))/'normal case'!D290)</f>
        <v>0</v>
      </c>
      <c r="F289" s="137">
        <f ca="1">F288*(1+'normal case'!L289/100)</f>
        <v>293.93364188938148</v>
      </c>
      <c r="G289" s="135">
        <f ca="1">C289-A289+G288*(1+'normal case'!M289/100)</f>
        <v>0</v>
      </c>
      <c r="H289" s="136">
        <f ca="1">IF(ABS(G289/'normal case'!D290-H288)&lt;0.0000001,H288,G289/'normal case'!D290)</f>
        <v>0</v>
      </c>
    </row>
    <row r="290" spans="1:8">
      <c r="A290" s="135">
        <f ca="1">('main page'!$U$31/100)*'normal case'!D291</f>
        <v>20</v>
      </c>
      <c r="B290" s="136"/>
      <c r="C290" s="135">
        <f ca="1">'normal case'!AG291-'normal case'!AG290+IF(controls!$B$33=1,(1+(('main page'!$K$35/100)))*C289,'public finance'!C289)</f>
        <v>20</v>
      </c>
      <c r="D290" s="136">
        <f ca="1">IF(ABS(((A290-C290)/'normal case'!D291)-D289)&lt;0.0000001,D289,(A290-C290)/'normal case'!D291)</f>
        <v>0</v>
      </c>
      <c r="E290" s="136">
        <f ca="1">IF(ABS(D290-(G290*('normal case'!M291/100))/'normal case'!D291-E289)&lt;0.00001,E289,D290-(G290*('normal case'!M291/100))/'normal case'!D291)</f>
        <v>0</v>
      </c>
      <c r="F290" s="137">
        <f ca="1">F289*(1+'normal case'!L290/100)</f>
        <v>299.81231472716911</v>
      </c>
      <c r="G290" s="135">
        <f ca="1">C290-A290+G289*(1+'normal case'!M290/100)</f>
        <v>0</v>
      </c>
      <c r="H290" s="136">
        <f ca="1">IF(ABS(G290/'normal case'!D291-H289)&lt;0.0000001,H289,G290/'normal case'!D291)</f>
        <v>0</v>
      </c>
    </row>
    <row r="291" spans="1:8">
      <c r="A291" s="135">
        <f ca="1">('main page'!$U$31/100)*'normal case'!D292</f>
        <v>20</v>
      </c>
      <c r="B291" s="136"/>
      <c r="C291" s="135">
        <f ca="1">'normal case'!AG292-'normal case'!AG291+IF(controls!$B$33=1,(1+(('main page'!$K$35/100)))*C290,'public finance'!C290)</f>
        <v>20</v>
      </c>
      <c r="D291" s="136">
        <f ca="1">IF(ABS(((A291-C291)/'normal case'!D292)-D290)&lt;0.0000001,D290,(A291-C291)/'normal case'!D292)</f>
        <v>0</v>
      </c>
      <c r="E291" s="136">
        <f ca="1">IF(ABS(D291-(G291*('normal case'!M292/100))/'normal case'!D292-E290)&lt;0.00001,E290,D291-(G291*('normal case'!M292/100))/'normal case'!D292)</f>
        <v>0</v>
      </c>
      <c r="F291" s="137">
        <f ca="1">F290*(1+'normal case'!L291/100)</f>
        <v>305.80856102171248</v>
      </c>
      <c r="G291" s="135">
        <f ca="1">C291-A291+G290*(1+'normal case'!M291/100)</f>
        <v>0</v>
      </c>
      <c r="H291" s="136">
        <f ca="1">IF(ABS(G291/'normal case'!D292-H290)&lt;0.0000001,H290,G291/'normal case'!D292)</f>
        <v>0</v>
      </c>
    </row>
    <row r="292" spans="1:8">
      <c r="A292" s="135">
        <f ca="1">('main page'!$U$31/100)*'normal case'!D293</f>
        <v>20</v>
      </c>
      <c r="B292" s="136"/>
      <c r="C292" s="135">
        <f ca="1">'normal case'!AG293-'normal case'!AG292+IF(controls!$B$33=1,(1+(('main page'!$K$35/100)))*C291,'public finance'!C291)</f>
        <v>20</v>
      </c>
      <c r="D292" s="136">
        <f ca="1">IF(ABS(((A292-C292)/'normal case'!D293)-D291)&lt;0.0000001,D291,(A292-C292)/'normal case'!D293)</f>
        <v>0</v>
      </c>
      <c r="E292" s="136">
        <f ca="1">IF(ABS(D292-(G292*('normal case'!M293/100))/'normal case'!D293-E291)&lt;0.00001,E291,D292-(G292*('normal case'!M293/100))/'normal case'!D293)</f>
        <v>0</v>
      </c>
      <c r="F292" s="137">
        <f ca="1">F291*(1+'normal case'!L292/100)</f>
        <v>311.92473224214672</v>
      </c>
      <c r="G292" s="135">
        <f ca="1">C292-A292+G291*(1+'normal case'!M292/100)</f>
        <v>0</v>
      </c>
      <c r="H292" s="136">
        <f ca="1">IF(ABS(G292/'normal case'!D293-H291)&lt;0.0000001,H291,G292/'normal case'!D293)</f>
        <v>0</v>
      </c>
    </row>
    <row r="293" spans="1:8">
      <c r="A293" s="135">
        <f ca="1">('main page'!$U$31/100)*'normal case'!D294</f>
        <v>20</v>
      </c>
      <c r="B293" s="136"/>
      <c r="C293" s="135">
        <f ca="1">'normal case'!AG294-'normal case'!AG293+IF(controls!$B$33=1,(1+(('main page'!$K$35/100)))*C292,'public finance'!C292)</f>
        <v>20</v>
      </c>
      <c r="D293" s="136">
        <f ca="1">IF(ABS(((A293-C293)/'normal case'!D294)-D292)&lt;0.0000001,D292,(A293-C293)/'normal case'!D294)</f>
        <v>0</v>
      </c>
      <c r="E293" s="136">
        <f ca="1">IF(ABS(D293-(G293*('normal case'!M294/100))/'normal case'!D294-E292)&lt;0.00001,E292,D293-(G293*('normal case'!M294/100))/'normal case'!D294)</f>
        <v>0</v>
      </c>
      <c r="F293" s="137">
        <f ca="1">F292*(1+'normal case'!L293/100)</f>
        <v>318.16322688698966</v>
      </c>
      <c r="G293" s="135">
        <f ca="1">C293-A293+G292*(1+'normal case'!M293/100)</f>
        <v>0</v>
      </c>
      <c r="H293" s="136">
        <f ca="1">IF(ABS(G293/'normal case'!D294-H292)&lt;0.0000001,H292,G293/'normal case'!D294)</f>
        <v>0</v>
      </c>
    </row>
    <row r="294" spans="1:8">
      <c r="A294" s="135">
        <f ca="1">('main page'!$U$31/100)*'normal case'!D295</f>
        <v>20</v>
      </c>
      <c r="B294" s="136"/>
      <c r="C294" s="135">
        <f ca="1">'normal case'!AG295-'normal case'!AG294+IF(controls!$B$33=1,(1+(('main page'!$K$35/100)))*C293,'public finance'!C293)</f>
        <v>20</v>
      </c>
      <c r="D294" s="136">
        <f ca="1">IF(ABS(((A294-C294)/'normal case'!D295)-D293)&lt;0.0000001,D293,(A294-C294)/'normal case'!D295)</f>
        <v>0</v>
      </c>
      <c r="E294" s="136">
        <f ca="1">IF(ABS(D294-(G294*('normal case'!M295/100))/'normal case'!D295-E293)&lt;0.00001,E293,D294-(G294*('normal case'!M295/100))/'normal case'!D295)</f>
        <v>0</v>
      </c>
      <c r="F294" s="137">
        <f ca="1">F293*(1+'normal case'!L294/100)</f>
        <v>324.52649142472944</v>
      </c>
      <c r="G294" s="135">
        <f ca="1">C294-A294+G293*(1+'normal case'!M294/100)</f>
        <v>0</v>
      </c>
      <c r="H294" s="136">
        <f ca="1">IF(ABS(G294/'normal case'!D295-H293)&lt;0.0000001,H293,G294/'normal case'!D295)</f>
        <v>0</v>
      </c>
    </row>
    <row r="295" spans="1:8">
      <c r="A295" s="135">
        <f ca="1">('main page'!$U$31/100)*'normal case'!D296</f>
        <v>20</v>
      </c>
      <c r="B295" s="136"/>
      <c r="C295" s="135">
        <f ca="1">'normal case'!AG296-'normal case'!AG295+IF(controls!$B$33=1,(1+(('main page'!$K$35/100)))*C294,'public finance'!C294)</f>
        <v>20</v>
      </c>
      <c r="D295" s="136">
        <f ca="1">IF(ABS(((A295-C295)/'normal case'!D296)-D294)&lt;0.0000001,D294,(A295-C295)/'normal case'!D296)</f>
        <v>0</v>
      </c>
      <c r="E295" s="136">
        <f ca="1">IF(ABS(D295-(G295*('normal case'!M296/100))/'normal case'!D296-E294)&lt;0.00001,E294,D295-(G295*('normal case'!M296/100))/'normal case'!D296)</f>
        <v>0</v>
      </c>
      <c r="F295" s="137">
        <f ca="1">F294*(1+'normal case'!L295/100)</f>
        <v>331.01702125322402</v>
      </c>
      <c r="G295" s="135">
        <f ca="1">C295-A295+G294*(1+'normal case'!M295/100)</f>
        <v>0</v>
      </c>
      <c r="H295" s="136">
        <f ca="1">IF(ABS(G295/'normal case'!D296-H294)&lt;0.0000001,H294,G295/'normal case'!D296)</f>
        <v>0</v>
      </c>
    </row>
    <row r="296" spans="1:8">
      <c r="A296" s="135">
        <f ca="1">('main page'!$U$31/100)*'normal case'!D297</f>
        <v>20</v>
      </c>
      <c r="B296" s="136"/>
      <c r="C296" s="135">
        <f ca="1">'normal case'!AG297-'normal case'!AG296+IF(controls!$B$33=1,(1+(('main page'!$K$35/100)))*C295,'public finance'!C295)</f>
        <v>20</v>
      </c>
      <c r="D296" s="136">
        <f ca="1">IF(ABS(((A296-C296)/'normal case'!D297)-D295)&lt;0.0000001,D295,(A296-C296)/'normal case'!D297)</f>
        <v>0</v>
      </c>
      <c r="E296" s="136">
        <f ca="1">IF(ABS(D296-(G296*('normal case'!M297/100))/'normal case'!D297-E295)&lt;0.00001,E295,D296-(G296*('normal case'!M297/100))/'normal case'!D297)</f>
        <v>0</v>
      </c>
      <c r="F296" s="137">
        <f ca="1">F295*(1+'normal case'!L296/100)</f>
        <v>337.63736167828853</v>
      </c>
      <c r="G296" s="135">
        <f ca="1">C296-A296+G295*(1+'normal case'!M296/100)</f>
        <v>0</v>
      </c>
      <c r="H296" s="136">
        <f ca="1">IF(ABS(G296/'normal case'!D297-H295)&lt;0.0000001,H295,G296/'normal case'!D297)</f>
        <v>0</v>
      </c>
    </row>
    <row r="297" spans="1:8">
      <c r="A297" s="135">
        <f ca="1">('main page'!$U$31/100)*'normal case'!D298</f>
        <v>20</v>
      </c>
      <c r="B297" s="136"/>
      <c r="C297" s="135">
        <f ca="1">'normal case'!AG298-'normal case'!AG297+IF(controls!$B$33=1,(1+(('main page'!$K$35/100)))*C296,'public finance'!C296)</f>
        <v>20</v>
      </c>
      <c r="D297" s="136">
        <f ca="1">IF(ABS(((A297-C297)/'normal case'!D298)-D296)&lt;0.0000001,D296,(A297-C297)/'normal case'!D298)</f>
        <v>0</v>
      </c>
      <c r="E297" s="136">
        <f ca="1">IF(ABS(D297-(G297*('normal case'!M298/100))/'normal case'!D298-E296)&lt;0.00001,E296,D297-(G297*('normal case'!M298/100))/'normal case'!D298)</f>
        <v>0</v>
      </c>
      <c r="F297" s="137">
        <f ca="1">F296*(1+'normal case'!L297/100)</f>
        <v>344.39010891185433</v>
      </c>
      <c r="G297" s="135">
        <f ca="1">C297-A297+G296*(1+'normal case'!M297/100)</f>
        <v>0</v>
      </c>
      <c r="H297" s="136">
        <f ca="1">IF(ABS(G297/'normal case'!D298-H296)&lt;0.0000001,H296,G297/'normal case'!D298)</f>
        <v>0</v>
      </c>
    </row>
    <row r="298" spans="1:8">
      <c r="A298" s="135">
        <f ca="1">('main page'!$U$31/100)*'normal case'!D299</f>
        <v>20</v>
      </c>
      <c r="B298" s="136"/>
      <c r="C298" s="135">
        <f ca="1">'normal case'!AG299-'normal case'!AG298+IF(controls!$B$33=1,(1+(('main page'!$K$35/100)))*C297,'public finance'!C297)</f>
        <v>20</v>
      </c>
      <c r="D298" s="136">
        <f ca="1">IF(ABS(((A298-C298)/'normal case'!D299)-D297)&lt;0.0000001,D297,(A298-C298)/'normal case'!D299)</f>
        <v>0</v>
      </c>
      <c r="E298" s="136">
        <f ca="1">IF(ABS(D298-(G298*('normal case'!M299/100))/'normal case'!D299-E297)&lt;0.00001,E297,D298-(G298*('normal case'!M299/100))/'normal case'!D299)</f>
        <v>0</v>
      </c>
      <c r="F298" s="137">
        <f ca="1">F297*(1+'normal case'!L298/100)</f>
        <v>351.27791109009144</v>
      </c>
      <c r="G298" s="135">
        <f ca="1">C298-A298+G297*(1+'normal case'!M298/100)</f>
        <v>0</v>
      </c>
      <c r="H298" s="136">
        <f ca="1">IF(ABS(G298/'normal case'!D299-H297)&lt;0.0000001,H297,G298/'normal case'!D299)</f>
        <v>0</v>
      </c>
    </row>
    <row r="299" spans="1:8">
      <c r="A299" s="135">
        <f ca="1">('main page'!$U$31/100)*'normal case'!D300</f>
        <v>20</v>
      </c>
      <c r="B299" s="136"/>
      <c r="C299" s="135">
        <f ca="1">'normal case'!AG300-'normal case'!AG299+IF(controls!$B$33=1,(1+(('main page'!$K$35/100)))*C298,'public finance'!C298)</f>
        <v>20</v>
      </c>
      <c r="D299" s="136">
        <f ca="1">IF(ABS(((A299-C299)/'normal case'!D300)-D298)&lt;0.0000001,D298,(A299-C299)/'normal case'!D300)</f>
        <v>0</v>
      </c>
      <c r="E299" s="136">
        <f ca="1">IF(ABS(D299-(G299*('normal case'!M300/100))/'normal case'!D300-E298)&lt;0.00001,E298,D299-(G299*('normal case'!M300/100))/'normal case'!D300)</f>
        <v>0</v>
      </c>
      <c r="F299" s="137">
        <f ca="1">F298*(1+'normal case'!L299/100)</f>
        <v>358.30346931189325</v>
      </c>
      <c r="G299" s="135">
        <f ca="1">C299-A299+G298*(1+'normal case'!M299/100)</f>
        <v>0</v>
      </c>
      <c r="H299" s="136">
        <f ca="1">IF(ABS(G299/'normal case'!D300-H298)&lt;0.0000001,H298,G299/'normal case'!D300)</f>
        <v>0</v>
      </c>
    </row>
    <row r="300" spans="1:8">
      <c r="A300" s="135">
        <f ca="1">('main page'!$U$31/100)*'normal case'!D301</f>
        <v>20</v>
      </c>
      <c r="B300" s="136"/>
      <c r="C300" s="135">
        <f ca="1">'normal case'!AG301-'normal case'!AG300+IF(controls!$B$33=1,(1+(('main page'!$K$35/100)))*C299,'public finance'!C299)</f>
        <v>20</v>
      </c>
      <c r="D300" s="136">
        <f ca="1">IF(ABS(((A300-C300)/'normal case'!D301)-D299)&lt;0.0000001,D299,(A300-C300)/'normal case'!D301)</f>
        <v>0</v>
      </c>
      <c r="E300" s="136">
        <f ca="1">IF(ABS(D300-(G300*('normal case'!M301/100))/'normal case'!D301-E299)&lt;0.00001,E299,D300-(G300*('normal case'!M301/100))/'normal case'!D301)</f>
        <v>0</v>
      </c>
      <c r="F300" s="137">
        <f ca="1">F299*(1+'normal case'!L300/100)</f>
        <v>365.46953869813115</v>
      </c>
      <c r="G300" s="135">
        <f ca="1">C300-A300+G299*(1+'normal case'!M300/100)</f>
        <v>0</v>
      </c>
      <c r="H300" s="136">
        <f ca="1">IF(ABS(G300/'normal case'!D301-H299)&lt;0.0000001,H299,G300/'normal case'!D301)</f>
        <v>0</v>
      </c>
    </row>
    <row r="301" spans="1:8">
      <c r="A301" s="135">
        <f ca="1">('main page'!$U$31/100)*'normal case'!D302</f>
        <v>20</v>
      </c>
      <c r="B301" s="136"/>
      <c r="C301" s="135">
        <f ca="1">'normal case'!AG302-'normal case'!AG301+IF(controls!$B$33=1,(1+(('main page'!$K$35/100)))*C300,'public finance'!C300)</f>
        <v>20</v>
      </c>
      <c r="D301" s="136">
        <f ca="1">IF(ABS(((A301-C301)/'normal case'!D302)-D300)&lt;0.0000001,D300,(A301-C301)/'normal case'!D302)</f>
        <v>0</v>
      </c>
      <c r="E301" s="136">
        <f ca="1">IF(ABS(D301-(G301*('normal case'!M302/100))/'normal case'!D302-E300)&lt;0.00001,E300,D301-(G301*('normal case'!M302/100))/'normal case'!D302)</f>
        <v>0</v>
      </c>
      <c r="F301" s="137">
        <f ca="1">F300*(1+'normal case'!L301/100)</f>
        <v>372.77892947209375</v>
      </c>
      <c r="G301" s="135">
        <f ca="1">C301-A301+G300*(1+'normal case'!M301/100)</f>
        <v>0</v>
      </c>
      <c r="H301" s="136">
        <f ca="1">IF(ABS(G301/'normal case'!D302-H300)&lt;0.0000001,H300,G301/'normal case'!D302)</f>
        <v>0</v>
      </c>
    </row>
    <row r="302" spans="1:8">
      <c r="A302" s="135">
        <f ca="1">('main page'!$U$31/100)*'normal case'!D303</f>
        <v>20</v>
      </c>
      <c r="B302" s="136"/>
      <c r="C302" s="135">
        <f ca="1">'normal case'!AG303-'normal case'!AG302+IF(controls!$B$33=1,(1+(('main page'!$K$35/100)))*C301,'public finance'!C301)</f>
        <v>20</v>
      </c>
      <c r="D302" s="136">
        <f ca="1">IF(ABS(((A302-C302)/'normal case'!D303)-D301)&lt;0.0000001,D301,(A302-C302)/'normal case'!D303)</f>
        <v>0</v>
      </c>
      <c r="E302" s="136">
        <f ca="1">IF(ABS(D302-(G302*('normal case'!M303/100))/'normal case'!D303-E301)&lt;0.00001,E301,D302-(G302*('normal case'!M303/100))/'normal case'!D303)</f>
        <v>0</v>
      </c>
      <c r="F302" s="137">
        <f ca="1">F301*(1+'normal case'!L302/100)</f>
        <v>380.23450806153562</v>
      </c>
      <c r="G302" s="135">
        <f ca="1">C302-A302+G301*(1+'normal case'!M302/100)</f>
        <v>0</v>
      </c>
      <c r="H302" s="136">
        <f ca="1">IF(ABS(G302/'normal case'!D303-H301)&lt;0.0000001,H301,G302/'normal case'!D303)</f>
        <v>0</v>
      </c>
    </row>
    <row r="303" spans="1:8">
      <c r="A303" s="135">
        <f ca="1">('main page'!$U$31/100)*'normal case'!D304</f>
        <v>20</v>
      </c>
      <c r="B303" s="136"/>
      <c r="C303" s="135">
        <f ca="1">'normal case'!AG304-'normal case'!AG303+IF(controls!$B$33=1,(1+(('main page'!$K$35/100)))*C302,'public finance'!C302)</f>
        <v>20</v>
      </c>
      <c r="D303" s="136">
        <f ca="1">IF(ABS(((A303-C303)/'normal case'!D304)-D302)&lt;0.0000001,D302,(A303-C303)/'normal case'!D304)</f>
        <v>0</v>
      </c>
      <c r="E303" s="136">
        <f ca="1">IF(ABS(D303-(G303*('normal case'!M304/100))/'normal case'!D304-E302)&lt;0.00001,E302,D303-(G303*('normal case'!M304/100))/'normal case'!D304)</f>
        <v>0</v>
      </c>
      <c r="F303" s="137">
        <f ca="1">F302*(1+'normal case'!L303/100)</f>
        <v>387.83919822276636</v>
      </c>
      <c r="G303" s="135">
        <f ca="1">C303-A303+G302*(1+'normal case'!M303/100)</f>
        <v>0</v>
      </c>
      <c r="H303" s="136">
        <f ca="1">IF(ABS(G303/'normal case'!D304-H302)&lt;0.0000001,H302,G303/'normal case'!D304)</f>
        <v>0</v>
      </c>
    </row>
    <row r="304" spans="1:8">
      <c r="A304" s="135">
        <f ca="1">('main page'!$U$31/100)*'normal case'!D305</f>
        <v>20</v>
      </c>
      <c r="B304" s="136"/>
      <c r="C304" s="135">
        <f ca="1">'normal case'!AG305-'normal case'!AG304+IF(controls!$B$33=1,(1+(('main page'!$K$35/100)))*C303,'public finance'!C303)</f>
        <v>20</v>
      </c>
      <c r="D304" s="136">
        <f ca="1">IF(ABS(((A304-C304)/'normal case'!D305)-D303)&lt;0.0000001,D303,(A304-C304)/'normal case'!D305)</f>
        <v>0</v>
      </c>
      <c r="E304" s="136">
        <f ca="1">IF(ABS(D304-(G304*('normal case'!M305/100))/'normal case'!D305-E303)&lt;0.00001,E303,D304-(G304*('normal case'!M305/100))/'normal case'!D305)</f>
        <v>0</v>
      </c>
      <c r="F304" s="137">
        <f ca="1">F303*(1+'normal case'!L304/100)</f>
        <v>395.59598218722169</v>
      </c>
      <c r="G304" s="135">
        <f ca="1">C304-A304+G303*(1+'normal case'!M304/100)</f>
        <v>0</v>
      </c>
      <c r="H304" s="136">
        <f ca="1">IF(ABS(G304/'normal case'!D305-H303)&lt;0.0000001,H303,G304/'normal case'!D305)</f>
        <v>0</v>
      </c>
    </row>
    <row r="305" spans="1:8">
      <c r="A305" s="135">
        <f ca="1">('main page'!$U$31/100)*'normal case'!D306</f>
        <v>20</v>
      </c>
      <c r="B305" s="136"/>
      <c r="C305" s="135">
        <f ca="1">'normal case'!AG306-'normal case'!AG305+IF(controls!$B$33=1,(1+(('main page'!$K$35/100)))*C304,'public finance'!C304)</f>
        <v>20</v>
      </c>
      <c r="D305" s="136">
        <f ca="1">IF(ABS(((A305-C305)/'normal case'!D306)-D304)&lt;0.0000001,D304,(A305-C305)/'normal case'!D306)</f>
        <v>0</v>
      </c>
      <c r="E305" s="136">
        <f ca="1">IF(ABS(D305-(G305*('normal case'!M306/100))/'normal case'!D306-E304)&lt;0.00001,E304,D305-(G305*('normal case'!M306/100))/'normal case'!D306)</f>
        <v>0</v>
      </c>
      <c r="F305" s="137">
        <f ca="1">F304*(1+'normal case'!L305/100)</f>
        <v>403.50790183096615</v>
      </c>
      <c r="G305" s="135">
        <f ca="1">C305-A305+G304*(1+'normal case'!M305/100)</f>
        <v>0</v>
      </c>
      <c r="H305" s="136">
        <f ca="1">IF(ABS(G305/'normal case'!D306-H304)&lt;0.0000001,H304,G305/'normal case'!D306)</f>
        <v>0</v>
      </c>
    </row>
    <row r="306" spans="1:8">
      <c r="A306" s="135">
        <f ca="1">('main page'!$U$31/100)*'normal case'!D307</f>
        <v>20</v>
      </c>
      <c r="B306" s="136"/>
      <c r="C306" s="135">
        <f ca="1">'normal case'!AG307-'normal case'!AG306+IF(controls!$B$33=1,(1+(('main page'!$K$35/100)))*C305,'public finance'!C305)</f>
        <v>20</v>
      </c>
      <c r="D306" s="136">
        <f ca="1">IF(ABS(((A306-C306)/'normal case'!D307)-D305)&lt;0.0000001,D305,(A306-C306)/'normal case'!D307)</f>
        <v>0</v>
      </c>
      <c r="E306" s="136">
        <f ca="1">IF(ABS(D306-(G306*('normal case'!M307/100))/'normal case'!D307-E305)&lt;0.00001,E305,D306-(G306*('normal case'!M307/100))/'normal case'!D307)</f>
        <v>0</v>
      </c>
      <c r="F306" s="137">
        <f ca="1">F305*(1+'normal case'!L306/100)</f>
        <v>411.57805986758547</v>
      </c>
      <c r="G306" s="135">
        <f ca="1">C306-A306+G305*(1+'normal case'!M306/100)</f>
        <v>0</v>
      </c>
      <c r="H306" s="136">
        <f ca="1">IF(ABS(G306/'normal case'!D307-H305)&lt;0.0000001,H305,G306/'normal case'!D307)</f>
        <v>0</v>
      </c>
    </row>
    <row r="307" spans="1:8">
      <c r="A307" s="135">
        <f ca="1">('main page'!$U$31/100)*'normal case'!D308</f>
        <v>20</v>
      </c>
      <c r="B307" s="136"/>
      <c r="C307" s="135">
        <f ca="1">'normal case'!AG308-'normal case'!AG307+IF(controls!$B$33=1,(1+(('main page'!$K$35/100)))*C306,'public finance'!C306)</f>
        <v>20</v>
      </c>
      <c r="D307" s="136">
        <f ca="1">IF(ABS(((A307-C307)/'normal case'!D308)-D306)&lt;0.0000001,D306,(A307-C307)/'normal case'!D308)</f>
        <v>0</v>
      </c>
      <c r="E307" s="136">
        <f ca="1">IF(ABS(D307-(G307*('normal case'!M308/100))/'normal case'!D308-E306)&lt;0.00001,E306,D307-(G307*('normal case'!M308/100))/'normal case'!D308)</f>
        <v>0</v>
      </c>
      <c r="F307" s="137">
        <f ca="1">F306*(1+'normal case'!L307/100)</f>
        <v>419.80962106493718</v>
      </c>
      <c r="G307" s="135">
        <f ca="1">C307-A307+G306*(1+'normal case'!M307/100)</f>
        <v>0</v>
      </c>
      <c r="H307" s="136">
        <f ca="1">IF(ABS(G307/'normal case'!D308-H306)&lt;0.0000001,H306,G307/'normal case'!D308)</f>
        <v>0</v>
      </c>
    </row>
    <row r="308" spans="1:8">
      <c r="A308" s="135">
        <f ca="1">('main page'!$U$31/100)*'normal case'!D309</f>
        <v>20</v>
      </c>
      <c r="B308" s="136"/>
      <c r="C308" s="135">
        <f ca="1">'normal case'!AG309-'normal case'!AG308+IF(controls!$B$33=1,(1+(('main page'!$K$35/100)))*C307,'public finance'!C307)</f>
        <v>20</v>
      </c>
      <c r="D308" s="136">
        <f ca="1">IF(ABS(((A308-C308)/'normal case'!D309)-D307)&lt;0.0000001,D307,(A308-C308)/'normal case'!D309)</f>
        <v>0</v>
      </c>
      <c r="E308" s="136">
        <f ca="1">IF(ABS(D308-(G308*('normal case'!M309/100))/'normal case'!D309-E307)&lt;0.00001,E307,D308-(G308*('normal case'!M309/100))/'normal case'!D309)</f>
        <v>0</v>
      </c>
      <c r="F308" s="137">
        <f ca="1">F307*(1+'normal case'!L308/100)</f>
        <v>428.20581348623591</v>
      </c>
      <c r="G308" s="135">
        <f ca="1">C308-A308+G307*(1+'normal case'!M308/100)</f>
        <v>0</v>
      </c>
      <c r="H308" s="136">
        <f ca="1">IF(ABS(G308/'normal case'!D309-H307)&lt;0.0000001,H307,G308/'normal case'!D309)</f>
        <v>0</v>
      </c>
    </row>
    <row r="309" spans="1:8">
      <c r="A309" s="135">
        <f ca="1">('main page'!$U$31/100)*'normal case'!D310</f>
        <v>20</v>
      </c>
      <c r="B309" s="136"/>
      <c r="C309" s="135">
        <f ca="1">'normal case'!AG310-'normal case'!AG309+IF(controls!$B$33=1,(1+(('main page'!$K$35/100)))*C308,'public finance'!C308)</f>
        <v>20</v>
      </c>
      <c r="D309" s="136">
        <f ca="1">IF(ABS(((A309-C309)/'normal case'!D310)-D308)&lt;0.0000001,D308,(A309-C309)/'normal case'!D310)</f>
        <v>0</v>
      </c>
      <c r="E309" s="136">
        <f ca="1">IF(ABS(D309-(G309*('normal case'!M310/100))/'normal case'!D310-E308)&lt;0.00001,E308,D309-(G309*('normal case'!M310/100))/'normal case'!D310)</f>
        <v>0</v>
      </c>
      <c r="F309" s="137">
        <f ca="1">F308*(1+'normal case'!L309/100)</f>
        <v>436.76992975596062</v>
      </c>
      <c r="G309" s="135">
        <f ca="1">C309-A309+G308*(1+'normal case'!M309/100)</f>
        <v>0</v>
      </c>
      <c r="H309" s="136">
        <f ca="1">IF(ABS(G309/'normal case'!D310-H308)&lt;0.0000001,H308,G309/'normal case'!D310)</f>
        <v>0</v>
      </c>
    </row>
    <row r="310" spans="1:8">
      <c r="A310" s="135">
        <f ca="1">('main page'!$U$31/100)*'normal case'!D311</f>
        <v>20</v>
      </c>
      <c r="B310" s="136"/>
      <c r="C310" s="135">
        <f ca="1">'normal case'!AG311-'normal case'!AG310+IF(controls!$B$33=1,(1+(('main page'!$K$35/100)))*C309,'public finance'!C309)</f>
        <v>20</v>
      </c>
      <c r="D310" s="136">
        <f ca="1">IF(ABS(((A310-C310)/'normal case'!D311)-D309)&lt;0.0000001,D309,(A310-C310)/'normal case'!D311)</f>
        <v>0</v>
      </c>
      <c r="E310" s="136">
        <f ca="1">IF(ABS(D310-(G310*('normal case'!M311/100))/'normal case'!D311-E309)&lt;0.00001,E309,D310-(G310*('normal case'!M311/100))/'normal case'!D311)</f>
        <v>0</v>
      </c>
      <c r="F310" s="137">
        <f ca="1">F309*(1+'normal case'!L310/100)</f>
        <v>445.50532835107981</v>
      </c>
      <c r="G310" s="135">
        <f ca="1">C310-A310+G309*(1+'normal case'!M310/100)</f>
        <v>0</v>
      </c>
      <c r="H310" s="136">
        <f ca="1">IF(ABS(G310/'normal case'!D311-H309)&lt;0.0000001,H309,G310/'normal case'!D311)</f>
        <v>0</v>
      </c>
    </row>
    <row r="311" spans="1:8">
      <c r="A311" s="135">
        <f ca="1">('main page'!$U$31/100)*'normal case'!D312</f>
        <v>20</v>
      </c>
      <c r="B311" s="136"/>
      <c r="C311" s="135">
        <f ca="1">'normal case'!AG312-'normal case'!AG311+IF(controls!$B$33=1,(1+(('main page'!$K$35/100)))*C310,'public finance'!C310)</f>
        <v>20</v>
      </c>
      <c r="D311" s="136">
        <f ca="1">IF(ABS(((A311-C311)/'normal case'!D312)-D310)&lt;0.0000001,D310,(A311-C311)/'normal case'!D312)</f>
        <v>0</v>
      </c>
      <c r="E311" s="136">
        <f ca="1">IF(ABS(D311-(G311*('normal case'!M312/100))/'normal case'!D312-E310)&lt;0.00001,E310,D311-(G311*('normal case'!M312/100))/'normal case'!D312)</f>
        <v>0</v>
      </c>
      <c r="F311" s="137">
        <f ca="1">F310*(1+'normal case'!L311/100)</f>
        <v>454.41543491810143</v>
      </c>
      <c r="G311" s="135">
        <f ca="1">C311-A311+G310*(1+'normal case'!M311/100)</f>
        <v>0</v>
      </c>
      <c r="H311" s="136">
        <f ca="1">IF(ABS(G311/'normal case'!D312-H310)&lt;0.0000001,H310,G311/'normal case'!D312)</f>
        <v>0</v>
      </c>
    </row>
    <row r="312" spans="1:8">
      <c r="A312" s="135">
        <f ca="1">('main page'!$U$31/100)*'normal case'!D313</f>
        <v>20</v>
      </c>
      <c r="B312" s="136"/>
      <c r="C312" s="135">
        <f ca="1">'normal case'!AG313-'normal case'!AG312+IF(controls!$B$33=1,(1+(('main page'!$K$35/100)))*C311,'public finance'!C311)</f>
        <v>20</v>
      </c>
      <c r="D312" s="136">
        <f ca="1">IF(ABS(((A312-C312)/'normal case'!D313)-D311)&lt;0.0000001,D311,(A312-C312)/'normal case'!D313)</f>
        <v>0</v>
      </c>
      <c r="E312" s="136">
        <f ca="1">IF(ABS(D312-(G312*('normal case'!M313/100))/'normal case'!D313-E311)&lt;0.00001,E311,D312-(G312*('normal case'!M313/100))/'normal case'!D313)</f>
        <v>0</v>
      </c>
      <c r="F312" s="137">
        <f ca="1">F311*(1+'normal case'!L312/100)</f>
        <v>463.50374361646345</v>
      </c>
      <c r="G312" s="135">
        <f ca="1">C312-A312+G311*(1+'normal case'!M312/100)</f>
        <v>0</v>
      </c>
      <c r="H312" s="136">
        <f ca="1">IF(ABS(G312/'normal case'!D313-H311)&lt;0.0000001,H311,G312/'normal case'!D313)</f>
        <v>0</v>
      </c>
    </row>
    <row r="313" spans="1:8">
      <c r="A313" s="135">
        <f ca="1">('main page'!$U$31/100)*'normal case'!D314</f>
        <v>20</v>
      </c>
      <c r="B313" s="136"/>
      <c r="C313" s="135">
        <f ca="1">'normal case'!AG314-'normal case'!AG313+IF(controls!$B$33=1,(1+(('main page'!$K$35/100)))*C312,'public finance'!C312)</f>
        <v>20</v>
      </c>
      <c r="D313" s="136">
        <f ca="1">IF(ABS(((A313-C313)/'normal case'!D314)-D312)&lt;0.0000001,D312,(A313-C313)/'normal case'!D314)</f>
        <v>0</v>
      </c>
      <c r="E313" s="136">
        <f ca="1">IF(ABS(D313-(G313*('normal case'!M314/100))/'normal case'!D314-E312)&lt;0.00001,E312,D313-(G313*('normal case'!M314/100))/'normal case'!D314)</f>
        <v>0</v>
      </c>
      <c r="F313" s="137">
        <f ca="1">F312*(1+'normal case'!L313/100)</f>
        <v>472.77381848879276</v>
      </c>
      <c r="G313" s="135">
        <f ca="1">C313-A313+G312*(1+'normal case'!M313/100)</f>
        <v>0</v>
      </c>
      <c r="H313" s="136">
        <f ca="1">IF(ABS(G313/'normal case'!D314-H312)&lt;0.0000001,H312,G313/'normal case'!D314)</f>
        <v>0</v>
      </c>
    </row>
    <row r="314" spans="1:8">
      <c r="A314" s="135">
        <f ca="1">('main page'!$U$31/100)*'normal case'!D315</f>
        <v>20</v>
      </c>
      <c r="B314" s="136"/>
      <c r="C314" s="135">
        <f ca="1">'normal case'!AG315-'normal case'!AG314+IF(controls!$B$33=1,(1+(('main page'!$K$35/100)))*C313,'public finance'!C313)</f>
        <v>20</v>
      </c>
      <c r="D314" s="136">
        <f ca="1">IF(ABS(((A314-C314)/'normal case'!D315)-D313)&lt;0.0000001,D313,(A314-C314)/'normal case'!D315)</f>
        <v>0</v>
      </c>
      <c r="E314" s="136">
        <f ca="1">IF(ABS(D314-(G314*('normal case'!M315/100))/'normal case'!D315-E313)&lt;0.00001,E313,D314-(G314*('normal case'!M315/100))/'normal case'!D315)</f>
        <v>0</v>
      </c>
      <c r="F314" s="137">
        <f ca="1">F313*(1+'normal case'!L314/100)</f>
        <v>482.22929485856861</v>
      </c>
      <c r="G314" s="135">
        <f ca="1">C314-A314+G313*(1+'normal case'!M314/100)</f>
        <v>0</v>
      </c>
      <c r="H314" s="136">
        <f ca="1">IF(ABS(G314/'normal case'!D315-H313)&lt;0.0000001,H313,G314/'normal case'!D315)</f>
        <v>0</v>
      </c>
    </row>
    <row r="315" spans="1:8">
      <c r="A315" s="135">
        <f ca="1">('main page'!$U$31/100)*'normal case'!D316</f>
        <v>20</v>
      </c>
      <c r="B315" s="136"/>
      <c r="C315" s="135">
        <f ca="1">'normal case'!AG316-'normal case'!AG315+IF(controls!$B$33=1,(1+(('main page'!$K$35/100)))*C314,'public finance'!C314)</f>
        <v>20</v>
      </c>
      <c r="D315" s="136">
        <f ca="1">IF(ABS(((A315-C315)/'normal case'!D316)-D314)&lt;0.0000001,D314,(A315-C315)/'normal case'!D316)</f>
        <v>0</v>
      </c>
      <c r="E315" s="136">
        <f ca="1">IF(ABS(D315-(G315*('normal case'!M316/100))/'normal case'!D316-E314)&lt;0.00001,E314,D315-(G315*('normal case'!M316/100))/'normal case'!D316)</f>
        <v>0</v>
      </c>
      <c r="F315" s="137">
        <f ca="1">F314*(1+'normal case'!L315/100)</f>
        <v>491.87388075574</v>
      </c>
      <c r="G315" s="135">
        <f ca="1">C315-A315+G314*(1+'normal case'!M315/100)</f>
        <v>0</v>
      </c>
      <c r="H315" s="136">
        <f ca="1">IF(ABS(G315/'normal case'!D316-H314)&lt;0.0000001,H314,G315/'normal case'!D316)</f>
        <v>0</v>
      </c>
    </row>
    <row r="316" spans="1:8">
      <c r="A316" s="135">
        <f ca="1">('main page'!$U$31/100)*'normal case'!D317</f>
        <v>20</v>
      </c>
      <c r="B316" s="136"/>
      <c r="C316" s="135">
        <f ca="1">'normal case'!AG317-'normal case'!AG316+IF(controls!$B$33=1,(1+(('main page'!$K$35/100)))*C315,'public finance'!C315)</f>
        <v>20</v>
      </c>
      <c r="D316" s="136">
        <f ca="1">IF(ABS(((A316-C316)/'normal case'!D317)-D315)&lt;0.0000001,D315,(A316-C316)/'normal case'!D317)</f>
        <v>0</v>
      </c>
      <c r="E316" s="136">
        <f ca="1">IF(ABS(D316-(G316*('normal case'!M317/100))/'normal case'!D317-E315)&lt;0.00001,E315,D316-(G316*('normal case'!M317/100))/'normal case'!D317)</f>
        <v>0</v>
      </c>
      <c r="F316" s="137">
        <f ca="1">F315*(1+'normal case'!L316/100)</f>
        <v>501.71135837085484</v>
      </c>
      <c r="G316" s="135">
        <f ca="1">C316-A316+G315*(1+'normal case'!M316/100)</f>
        <v>0</v>
      </c>
      <c r="H316" s="136">
        <f ca="1">IF(ABS(G316/'normal case'!D317-H315)&lt;0.0000001,H315,G316/'normal case'!D317)</f>
        <v>0</v>
      </c>
    </row>
    <row r="317" spans="1:8">
      <c r="A317" s="135">
        <f ca="1">('main page'!$U$31/100)*'normal case'!D318</f>
        <v>20</v>
      </c>
      <c r="B317" s="136"/>
      <c r="C317" s="135">
        <f ca="1">'normal case'!AG318-'normal case'!AG317+IF(controls!$B$33=1,(1+(('main page'!$K$35/100)))*C316,'public finance'!C316)</f>
        <v>20</v>
      </c>
      <c r="D317" s="136">
        <f ca="1">IF(ABS(((A317-C317)/'normal case'!D318)-D316)&lt;0.0000001,D316,(A317-C317)/'normal case'!D318)</f>
        <v>0</v>
      </c>
      <c r="E317" s="136">
        <f ca="1">IF(ABS(D317-(G317*('normal case'!M318/100))/'normal case'!D318-E316)&lt;0.00001,E316,D317-(G317*('normal case'!M318/100))/'normal case'!D318)</f>
        <v>0</v>
      </c>
      <c r="F317" s="137">
        <f ca="1">F316*(1+'normal case'!L317/100)</f>
        <v>511.74558553827194</v>
      </c>
      <c r="G317" s="135">
        <f ca="1">C317-A317+G316*(1+'normal case'!M317/100)</f>
        <v>0</v>
      </c>
      <c r="H317" s="136">
        <f ca="1">IF(ABS(G317/'normal case'!D318-H316)&lt;0.0000001,H316,G317/'normal case'!D318)</f>
        <v>0</v>
      </c>
    </row>
    <row r="318" spans="1:8">
      <c r="A318" s="135">
        <f ca="1">('main page'!$U$31/100)*'normal case'!D319</f>
        <v>20</v>
      </c>
      <c r="B318" s="136"/>
      <c r="C318" s="135">
        <f ca="1">'normal case'!AG319-'normal case'!AG318+IF(controls!$B$33=1,(1+(('main page'!$K$35/100)))*C317,'public finance'!C317)</f>
        <v>20</v>
      </c>
      <c r="D318" s="136">
        <f ca="1">IF(ABS(((A318-C318)/'normal case'!D319)-D317)&lt;0.0000001,D317,(A318-C318)/'normal case'!D319)</f>
        <v>0</v>
      </c>
      <c r="E318" s="136">
        <f ca="1">IF(ABS(D318-(G318*('normal case'!M319/100))/'normal case'!D319-E317)&lt;0.00001,E317,D318-(G318*('normal case'!M319/100))/'normal case'!D319)</f>
        <v>0</v>
      </c>
      <c r="F318" s="137">
        <f ca="1">F317*(1+'normal case'!L318/100)</f>
        <v>521.9804972490374</v>
      </c>
      <c r="G318" s="135">
        <f ca="1">C318-A318+G317*(1+'normal case'!M318/100)</f>
        <v>0</v>
      </c>
      <c r="H318" s="136">
        <f ca="1">IF(ABS(G318/'normal case'!D319-H317)&lt;0.0000001,H317,G318/'normal case'!D319)</f>
        <v>0</v>
      </c>
    </row>
    <row r="319" spans="1:8">
      <c r="A319" s="135">
        <f ca="1">('main page'!$U$31/100)*'normal case'!D320</f>
        <v>20</v>
      </c>
      <c r="B319" s="136"/>
      <c r="C319" s="135">
        <f ca="1">'normal case'!AG320-'normal case'!AG319+IF(controls!$B$33=1,(1+(('main page'!$K$35/100)))*C318,'public finance'!C318)</f>
        <v>20</v>
      </c>
      <c r="D319" s="136">
        <f ca="1">IF(ABS(((A319-C319)/'normal case'!D320)-D318)&lt;0.0000001,D318,(A319-C319)/'normal case'!D320)</f>
        <v>0</v>
      </c>
      <c r="E319" s="136">
        <f ca="1">IF(ABS(D319-(G319*('normal case'!M320/100))/'normal case'!D320-E318)&lt;0.00001,E318,D319-(G319*('normal case'!M320/100))/'normal case'!D320)</f>
        <v>0</v>
      </c>
      <c r="F319" s="137">
        <f ca="1">F318*(1+'normal case'!L319/100)</f>
        <v>532.4201071940181</v>
      </c>
      <c r="G319" s="135">
        <f ca="1">C319-A319+G318*(1+'normal case'!M319/100)</f>
        <v>0</v>
      </c>
      <c r="H319" s="136">
        <f ca="1">IF(ABS(G319/'normal case'!D320-H318)&lt;0.0000001,H318,G319/'normal case'!D320)</f>
        <v>0</v>
      </c>
    </row>
    <row r="320" spans="1:8">
      <c r="A320" s="135">
        <f ca="1">('main page'!$U$31/100)*'normal case'!D321</f>
        <v>20</v>
      </c>
      <c r="B320" s="136"/>
      <c r="C320" s="135">
        <f ca="1">'normal case'!AG321-'normal case'!AG320+IF(controls!$B$33=1,(1+(('main page'!$K$35/100)))*C319,'public finance'!C319)</f>
        <v>20</v>
      </c>
      <c r="D320" s="136">
        <f ca="1">IF(ABS(((A320-C320)/'normal case'!D321)-D319)&lt;0.0000001,D319,(A320-C320)/'normal case'!D321)</f>
        <v>0</v>
      </c>
      <c r="E320" s="136">
        <f ca="1">IF(ABS(D320-(G320*('normal case'!M321/100))/'normal case'!D321-E319)&lt;0.00001,E319,D320-(G320*('normal case'!M321/100))/'normal case'!D321)</f>
        <v>0</v>
      </c>
      <c r="F320" s="137">
        <f ca="1">F319*(1+'normal case'!L320/100)</f>
        <v>543.06850933789849</v>
      </c>
      <c r="G320" s="135">
        <f ca="1">C320-A320+G319*(1+'normal case'!M320/100)</f>
        <v>0</v>
      </c>
      <c r="H320" s="136">
        <f ca="1">IF(ABS(G320/'normal case'!D321-H319)&lt;0.0000001,H319,G320/'normal case'!D321)</f>
        <v>0</v>
      </c>
    </row>
    <row r="321" spans="1:8">
      <c r="A321" s="135">
        <f ca="1">('main page'!$U$31/100)*'normal case'!D322</f>
        <v>20</v>
      </c>
      <c r="B321" s="136"/>
      <c r="C321" s="135">
        <f ca="1">'normal case'!AG322-'normal case'!AG321+IF(controls!$B$33=1,(1+(('main page'!$K$35/100)))*C320,'public finance'!C320)</f>
        <v>20</v>
      </c>
      <c r="D321" s="136">
        <f ca="1">IF(ABS(((A321-C321)/'normal case'!D322)-D320)&lt;0.0000001,D320,(A321-C321)/'normal case'!D322)</f>
        <v>0</v>
      </c>
      <c r="E321" s="136">
        <f ca="1">IF(ABS(D321-(G321*('normal case'!M322/100))/'normal case'!D322-E320)&lt;0.00001,E320,D321-(G321*('normal case'!M322/100))/'normal case'!D322)</f>
        <v>0</v>
      </c>
      <c r="F321" s="137">
        <f ca="1">F320*(1+'normal case'!L321/100)</f>
        <v>553.92987952465649</v>
      </c>
      <c r="G321" s="135">
        <f ca="1">C321-A321+G320*(1+'normal case'!M321/100)</f>
        <v>0</v>
      </c>
      <c r="H321" s="136">
        <f ca="1">IF(ABS(G321/'normal case'!D322-H320)&lt;0.0000001,H320,G321/'normal case'!D322)</f>
        <v>0</v>
      </c>
    </row>
    <row r="322" spans="1:8">
      <c r="A322" s="135">
        <f ca="1">('main page'!$U$31/100)*'normal case'!D323</f>
        <v>20</v>
      </c>
      <c r="B322" s="136"/>
      <c r="C322" s="135">
        <f ca="1">'normal case'!AG323-'normal case'!AG322+IF(controls!$B$33=1,(1+(('main page'!$K$35/100)))*C321,'public finance'!C321)</f>
        <v>20</v>
      </c>
      <c r="D322" s="136">
        <f ca="1">IF(ABS(((A322-C322)/'normal case'!D323)-D321)&lt;0.0000001,D321,(A322-C322)/'normal case'!D323)</f>
        <v>0</v>
      </c>
      <c r="E322" s="136">
        <f ca="1">IF(ABS(D322-(G322*('normal case'!M323/100))/'normal case'!D323-E321)&lt;0.00001,E321,D322-(G322*('normal case'!M323/100))/'normal case'!D323)</f>
        <v>0</v>
      </c>
      <c r="F322" s="137">
        <f ca="1">F321*(1+'normal case'!L322/100)</f>
        <v>565.00847711514962</v>
      </c>
      <c r="G322" s="135">
        <f ca="1">C322-A322+G321*(1+'normal case'!M322/100)</f>
        <v>0</v>
      </c>
      <c r="H322" s="136">
        <f ca="1">IF(ABS(G322/'normal case'!D323-H321)&lt;0.0000001,H321,G322/'normal case'!D323)</f>
        <v>0</v>
      </c>
    </row>
    <row r="323" spans="1:8">
      <c r="A323" s="135">
        <f ca="1">('main page'!$U$31/100)*'normal case'!D324</f>
        <v>20</v>
      </c>
      <c r="B323" s="136"/>
      <c r="C323" s="135">
        <f ca="1">'normal case'!AG324-'normal case'!AG323+IF(controls!$B$33=1,(1+(('main page'!$K$35/100)))*C322,'public finance'!C322)</f>
        <v>20</v>
      </c>
      <c r="D323" s="136">
        <f ca="1">IF(ABS(((A323-C323)/'normal case'!D324)-D322)&lt;0.0000001,D322,(A323-C323)/'normal case'!D324)</f>
        <v>0</v>
      </c>
      <c r="E323" s="136">
        <f ca="1">IF(ABS(D323-(G323*('normal case'!M324/100))/'normal case'!D324-E322)&lt;0.00001,E322,D323-(G323*('normal case'!M324/100))/'normal case'!D324)</f>
        <v>0</v>
      </c>
      <c r="F323" s="137">
        <f ca="1">F322*(1+'normal case'!L323/100)</f>
        <v>576.30864665745264</v>
      </c>
      <c r="G323" s="135">
        <f ca="1">C323-A323+G322*(1+'normal case'!M323/100)</f>
        <v>0</v>
      </c>
      <c r="H323" s="136">
        <f ca="1">IF(ABS(G323/'normal case'!D324-H322)&lt;0.0000001,H322,G323/'normal case'!D324)</f>
        <v>0</v>
      </c>
    </row>
    <row r="324" spans="1:8">
      <c r="A324" s="135">
        <f ca="1">('main page'!$U$31/100)*'normal case'!D325</f>
        <v>20</v>
      </c>
      <c r="B324" s="136"/>
      <c r="C324" s="135">
        <f ca="1">'normal case'!AG325-'normal case'!AG324+IF(controls!$B$33=1,(1+(('main page'!$K$35/100)))*C323,'public finance'!C323)</f>
        <v>20</v>
      </c>
      <c r="D324" s="136">
        <f ca="1">IF(ABS(((A324-C324)/'normal case'!D325)-D323)&lt;0.0000001,D323,(A324-C324)/'normal case'!D325)</f>
        <v>0</v>
      </c>
      <c r="E324" s="136">
        <f ca="1">IF(ABS(D324-(G324*('normal case'!M325/100))/'normal case'!D325-E323)&lt;0.00001,E323,D324-(G324*('normal case'!M325/100))/'normal case'!D325)</f>
        <v>0</v>
      </c>
      <c r="F324" s="137">
        <f ca="1">F323*(1+'normal case'!L324/100)</f>
        <v>587.83481959060168</v>
      </c>
      <c r="G324" s="135">
        <f ca="1">C324-A324+G323*(1+'normal case'!M324/100)</f>
        <v>0</v>
      </c>
      <c r="H324" s="136">
        <f ca="1">IF(ABS(G324/'normal case'!D325-H323)&lt;0.0000001,H323,G324/'normal case'!D325)</f>
        <v>0</v>
      </c>
    </row>
    <row r="325" spans="1:8">
      <c r="A325" s="135">
        <f ca="1">('main page'!$U$31/100)*'normal case'!D326</f>
        <v>20</v>
      </c>
      <c r="B325" s="136"/>
      <c r="C325" s="135">
        <f ca="1">'normal case'!AG326-'normal case'!AG325+IF(controls!$B$33=1,(1+(('main page'!$K$35/100)))*C324,'public finance'!C324)</f>
        <v>20</v>
      </c>
      <c r="D325" s="136">
        <f ca="1">IF(ABS(((A325-C325)/'normal case'!D326)-D324)&lt;0.0000001,D324,(A325-C325)/'normal case'!D326)</f>
        <v>0</v>
      </c>
      <c r="E325" s="136">
        <f ca="1">IF(ABS(D325-(G325*('normal case'!M326/100))/'normal case'!D326-E324)&lt;0.00001,E324,D325-(G325*('normal case'!M326/100))/'normal case'!D326)</f>
        <v>0</v>
      </c>
      <c r="F325" s="137">
        <f ca="1">F324*(1+'normal case'!L325/100)</f>
        <v>599.59151598241374</v>
      </c>
      <c r="G325" s="135">
        <f ca="1">C325-A325+G324*(1+'normal case'!M325/100)</f>
        <v>0</v>
      </c>
      <c r="H325" s="136">
        <f ca="1">IF(ABS(G325/'normal case'!D326-H324)&lt;0.0000001,H324,G325/'normal case'!D326)</f>
        <v>0</v>
      </c>
    </row>
    <row r="326" spans="1:8">
      <c r="A326" s="135">
        <f ca="1">('main page'!$U$31/100)*'normal case'!D327</f>
        <v>20</v>
      </c>
      <c r="B326" s="136"/>
      <c r="C326" s="135">
        <f ca="1">'normal case'!AG327-'normal case'!AG326+IF(controls!$B$33=1,(1+(('main page'!$K$35/100)))*C325,'public finance'!C325)</f>
        <v>20</v>
      </c>
      <c r="D326" s="136">
        <f ca="1">IF(ABS(((A326-C326)/'normal case'!D327)-D325)&lt;0.0000001,D325,(A326-C326)/'normal case'!D327)</f>
        <v>0</v>
      </c>
      <c r="E326" s="136">
        <f ca="1">IF(ABS(D326-(G326*('normal case'!M327/100))/'normal case'!D327-E325)&lt;0.00001,E325,D326-(G326*('normal case'!M327/100))/'normal case'!D327)</f>
        <v>0</v>
      </c>
      <c r="F326" s="137">
        <f ca="1">F325*(1+'normal case'!L326/100)</f>
        <v>611.58334630206207</v>
      </c>
      <c r="G326" s="135">
        <f ca="1">C326-A326+G325*(1+'normal case'!M326/100)</f>
        <v>0</v>
      </c>
      <c r="H326" s="136">
        <f ca="1">IF(ABS(G326/'normal case'!D327-H325)&lt;0.0000001,H325,G326/'normal case'!D327)</f>
        <v>0</v>
      </c>
    </row>
    <row r="327" spans="1:8">
      <c r="A327" s="135">
        <f ca="1">('main page'!$U$31/100)*'normal case'!D328</f>
        <v>20</v>
      </c>
      <c r="B327" s="136"/>
      <c r="C327" s="135">
        <f ca="1">'normal case'!AG328-'normal case'!AG327+IF(controls!$B$33=1,(1+(('main page'!$K$35/100)))*C326,'public finance'!C326)</f>
        <v>20</v>
      </c>
      <c r="D327" s="136">
        <f ca="1">IF(ABS(((A327-C327)/'normal case'!D328)-D326)&lt;0.0000001,D326,(A327-C327)/'normal case'!D328)</f>
        <v>0</v>
      </c>
      <c r="E327" s="136">
        <f ca="1">IF(ABS(D327-(G327*('normal case'!M328/100))/'normal case'!D328-E326)&lt;0.00001,E326,D327-(G327*('normal case'!M328/100))/'normal case'!D328)</f>
        <v>0</v>
      </c>
      <c r="F327" s="137">
        <f ca="1">F326*(1+'normal case'!L327/100)</f>
        <v>623.81501322810334</v>
      </c>
      <c r="G327" s="135">
        <f ca="1">C327-A327+G326*(1+'normal case'!M327/100)</f>
        <v>0</v>
      </c>
      <c r="H327" s="136">
        <f ca="1">IF(ABS(G327/'normal case'!D328-H326)&lt;0.0000001,H326,G327/'normal case'!D328)</f>
        <v>0</v>
      </c>
    </row>
    <row r="328" spans="1:8">
      <c r="A328" s="135">
        <f ca="1">('main page'!$U$31/100)*'normal case'!D329</f>
        <v>20</v>
      </c>
      <c r="B328" s="136"/>
      <c r="C328" s="135">
        <f ca="1">'normal case'!AG329-'normal case'!AG328+IF(controls!$B$33=1,(1+(('main page'!$K$35/100)))*C327,'public finance'!C327)</f>
        <v>20</v>
      </c>
      <c r="D328" s="136">
        <f ca="1">IF(ABS(((A328-C328)/'normal case'!D329)-D327)&lt;0.0000001,D327,(A328-C328)/'normal case'!D329)</f>
        <v>0</v>
      </c>
      <c r="E328" s="136">
        <f ca="1">IF(ABS(D328-(G328*('normal case'!M329/100))/'normal case'!D329-E327)&lt;0.00001,E327,D328-(G328*('normal case'!M329/100))/'normal case'!D329)</f>
        <v>0</v>
      </c>
      <c r="F328" s="137">
        <f ca="1">F327*(1+'normal case'!L328/100)</f>
        <v>636.29131349266538</v>
      </c>
      <c r="G328" s="135">
        <f ca="1">C328-A328+G327*(1+'normal case'!M328/100)</f>
        <v>0</v>
      </c>
      <c r="H328" s="136">
        <f ca="1">IF(ABS(G328/'normal case'!D329-H327)&lt;0.0000001,H327,G328/'normal case'!D329)</f>
        <v>0</v>
      </c>
    </row>
    <row r="329" spans="1:8">
      <c r="A329" s="135">
        <f ca="1">('main page'!$U$31/100)*'normal case'!D330</f>
        <v>20</v>
      </c>
      <c r="B329" s="136"/>
      <c r="C329" s="135">
        <f ca="1">'normal case'!AG330-'normal case'!AG329+IF(controls!$B$33=1,(1+(('main page'!$K$35/100)))*C328,'public finance'!C328)</f>
        <v>20</v>
      </c>
      <c r="D329" s="136">
        <f ca="1">IF(ABS(((A329-C329)/'normal case'!D330)-D328)&lt;0.0000001,D328,(A329-C329)/'normal case'!D330)</f>
        <v>0</v>
      </c>
      <c r="E329" s="136">
        <f ca="1">IF(ABS(D329-(G329*('normal case'!M330/100))/'normal case'!D330-E328)&lt;0.00001,E328,D329-(G329*('normal case'!M330/100))/'normal case'!D330)</f>
        <v>0</v>
      </c>
      <c r="F329" s="137">
        <f ca="1">F328*(1+'normal case'!L329/100)</f>
        <v>649.0171397625187</v>
      </c>
      <c r="G329" s="135">
        <f ca="1">C329-A329+G328*(1+'normal case'!M329/100)</f>
        <v>0</v>
      </c>
      <c r="H329" s="136">
        <f ca="1">IF(ABS(G329/'normal case'!D330-H328)&lt;0.0000001,H328,G329/'normal case'!D330)</f>
        <v>0</v>
      </c>
    </row>
    <row r="330" spans="1:8">
      <c r="A330" s="135">
        <f ca="1">('main page'!$U$31/100)*'normal case'!D331</f>
        <v>20</v>
      </c>
      <c r="B330" s="136"/>
      <c r="C330" s="135">
        <f ca="1">'normal case'!AG331-'normal case'!AG330+IF(controls!$B$33=1,(1+(('main page'!$K$35/100)))*C329,'public finance'!C329)</f>
        <v>20</v>
      </c>
      <c r="D330" s="136">
        <f ca="1">IF(ABS(((A330-C330)/'normal case'!D331)-D329)&lt;0.0000001,D329,(A330-C330)/'normal case'!D331)</f>
        <v>0</v>
      </c>
      <c r="E330" s="136">
        <f ca="1">IF(ABS(D330-(G330*('normal case'!M331/100))/'normal case'!D331-E329)&lt;0.00001,E329,D330-(G330*('normal case'!M331/100))/'normal case'!D331)</f>
        <v>0</v>
      </c>
      <c r="F330" s="137">
        <f ca="1">F329*(1+'normal case'!L330/100)</f>
        <v>661.9974825577691</v>
      </c>
      <c r="G330" s="135">
        <f ca="1">C330-A330+G329*(1+'normal case'!M330/100)</f>
        <v>0</v>
      </c>
      <c r="H330" s="136">
        <f ca="1">IF(ABS(G330/'normal case'!D331-H329)&lt;0.0000001,H329,G330/'normal case'!D331)</f>
        <v>0</v>
      </c>
    </row>
    <row r="331" spans="1:8">
      <c r="A331" s="135">
        <f ca="1">('main page'!$U$31/100)*'normal case'!D332</f>
        <v>20</v>
      </c>
      <c r="B331" s="136"/>
      <c r="C331" s="135">
        <f ca="1">'normal case'!AG332-'normal case'!AG331+IF(controls!$B$33=1,(1+(('main page'!$K$35/100)))*C330,'public finance'!C330)</f>
        <v>20</v>
      </c>
      <c r="D331" s="136">
        <f ca="1">IF(ABS(((A331-C331)/'normal case'!D332)-D330)&lt;0.0000001,D330,(A331-C331)/'normal case'!D332)</f>
        <v>0</v>
      </c>
      <c r="E331" s="136">
        <f ca="1">IF(ABS(D331-(G331*('normal case'!M332/100))/'normal case'!D332-E330)&lt;0.00001,E330,D331-(G331*('normal case'!M332/100))/'normal case'!D332)</f>
        <v>0</v>
      </c>
      <c r="F331" s="137">
        <f ca="1">F330*(1+'normal case'!L331/100)</f>
        <v>675.23743220892447</v>
      </c>
      <c r="G331" s="135">
        <f ca="1">C331-A331+G330*(1+'normal case'!M331/100)</f>
        <v>0</v>
      </c>
      <c r="H331" s="136">
        <f ca="1">IF(ABS(G331/'normal case'!D332-H330)&lt;0.0000001,H330,G331/'normal case'!D332)</f>
        <v>0</v>
      </c>
    </row>
    <row r="332" spans="1:8">
      <c r="A332" s="135">
        <f ca="1">('main page'!$U$31/100)*'normal case'!D333</f>
        <v>20</v>
      </c>
      <c r="B332" s="136"/>
      <c r="C332" s="135">
        <f ca="1">'normal case'!AG333-'normal case'!AG332+IF(controls!$B$33=1,(1+(('main page'!$K$35/100)))*C331,'public finance'!C331)</f>
        <v>20</v>
      </c>
      <c r="D332" s="136">
        <f ca="1">IF(ABS(((A332-C332)/'normal case'!D333)-D331)&lt;0.0000001,D331,(A332-C332)/'normal case'!D333)</f>
        <v>0</v>
      </c>
      <c r="E332" s="136">
        <f ca="1">IF(ABS(D332-(G332*('normal case'!M333/100))/'normal case'!D333-E331)&lt;0.00001,E331,D332-(G332*('normal case'!M333/100))/'normal case'!D333)</f>
        <v>0</v>
      </c>
      <c r="F332" s="137">
        <f ca="1">F331*(1+'normal case'!L332/100)</f>
        <v>688.74218085310292</v>
      </c>
      <c r="G332" s="135">
        <f ca="1">C332-A332+G331*(1+'normal case'!M332/100)</f>
        <v>0</v>
      </c>
      <c r="H332" s="136">
        <f ca="1">IF(ABS(G332/'normal case'!D333-H331)&lt;0.0000001,H331,G332/'normal case'!D333)</f>
        <v>0</v>
      </c>
    </row>
    <row r="333" spans="1:8">
      <c r="A333" s="135">
        <f ca="1">('main page'!$U$31/100)*'normal case'!D334</f>
        <v>20</v>
      </c>
      <c r="B333" s="136"/>
      <c r="C333" s="135">
        <f ca="1">'normal case'!AG334-'normal case'!AG333+IF(controls!$B$33=1,(1+(('main page'!$K$35/100)))*C332,'public finance'!C332)</f>
        <v>20</v>
      </c>
      <c r="D333" s="136">
        <f ca="1">IF(ABS(((A333-C333)/'normal case'!D334)-D332)&lt;0.0000001,D332,(A333-C333)/'normal case'!D334)</f>
        <v>0</v>
      </c>
      <c r="E333" s="136">
        <f ca="1">IF(ABS(D333-(G333*('normal case'!M334/100))/'normal case'!D334-E332)&lt;0.00001,E332,D333-(G333*('normal case'!M334/100))/'normal case'!D334)</f>
        <v>0</v>
      </c>
      <c r="F333" s="137">
        <f ca="1">F332*(1+'normal case'!L333/100)</f>
        <v>702.51702447016498</v>
      </c>
      <c r="G333" s="135">
        <f ca="1">C333-A333+G332*(1+'normal case'!M333/100)</f>
        <v>0</v>
      </c>
      <c r="H333" s="136">
        <f ca="1">IF(ABS(G333/'normal case'!D334-H332)&lt;0.0000001,H332,G333/'normal case'!D334)</f>
        <v>0</v>
      </c>
    </row>
    <row r="334" spans="1:8">
      <c r="A334" s="135">
        <f ca="1">('main page'!$U$31/100)*'normal case'!D335</f>
        <v>20</v>
      </c>
      <c r="B334" s="136"/>
      <c r="C334" s="135">
        <f ca="1">'normal case'!AG335-'normal case'!AG334+IF(controls!$B$33=1,(1+(('main page'!$K$35/100)))*C333,'public finance'!C333)</f>
        <v>20</v>
      </c>
      <c r="D334" s="136">
        <f ca="1">IF(ABS(((A334-C334)/'normal case'!D335)-D333)&lt;0.0000001,D333,(A334-C334)/'normal case'!D335)</f>
        <v>0</v>
      </c>
      <c r="E334" s="136">
        <f ca="1">IF(ABS(D334-(G334*('normal case'!M335/100))/'normal case'!D335-E333)&lt;0.00001,E333,D334-(G334*('normal case'!M335/100))/'normal case'!D335)</f>
        <v>0</v>
      </c>
      <c r="F334" s="137">
        <f ca="1">F333*(1+'normal case'!L334/100)</f>
        <v>716.56736495956829</v>
      </c>
      <c r="G334" s="135">
        <f ca="1">C334-A334+G333*(1+'normal case'!M334/100)</f>
        <v>0</v>
      </c>
      <c r="H334" s="136">
        <f ca="1">IF(ABS(G334/'normal case'!D335-H333)&lt;0.0000001,H333,G334/'normal case'!D335)</f>
        <v>0</v>
      </c>
    </row>
    <row r="335" spans="1:8">
      <c r="A335" s="135">
        <f ca="1">('main page'!$U$31/100)*'normal case'!D336</f>
        <v>20</v>
      </c>
      <c r="B335" s="136"/>
      <c r="C335" s="135">
        <f ca="1">'normal case'!AG336-'normal case'!AG335+IF(controls!$B$33=1,(1+(('main page'!$K$35/100)))*C334,'public finance'!C334)</f>
        <v>20</v>
      </c>
      <c r="D335" s="136">
        <f ca="1">IF(ABS(((A335-C335)/'normal case'!D336)-D334)&lt;0.0000001,D334,(A335-C335)/'normal case'!D336)</f>
        <v>0</v>
      </c>
      <c r="E335" s="136">
        <f ca="1">IF(ABS(D335-(G335*('normal case'!M336/100))/'normal case'!D336-E334)&lt;0.00001,E334,D335-(G335*('normal case'!M336/100))/'normal case'!D336)</f>
        <v>0</v>
      </c>
      <c r="F335" s="137">
        <f ca="1">F334*(1+'normal case'!L335/100)</f>
        <v>730.8987122587597</v>
      </c>
      <c r="G335" s="135">
        <f ca="1">C335-A335+G334*(1+'normal case'!M335/100)</f>
        <v>0</v>
      </c>
      <c r="H335" s="136">
        <f ca="1">IF(ABS(G335/'normal case'!D336-H334)&lt;0.0000001,H334,G335/'normal case'!D336)</f>
        <v>0</v>
      </c>
    </row>
    <row r="336" spans="1:8">
      <c r="A336" s="135">
        <f ca="1">('main page'!$U$31/100)*'normal case'!D337</f>
        <v>20</v>
      </c>
      <c r="B336" s="136"/>
      <c r="C336" s="135">
        <f ca="1">'normal case'!AG337-'normal case'!AG336+IF(controls!$B$33=1,(1+(('main page'!$K$35/100)))*C335,'public finance'!C335)</f>
        <v>20</v>
      </c>
      <c r="D336" s="136">
        <f ca="1">IF(ABS(((A336-C336)/'normal case'!D337)-D335)&lt;0.0000001,D335,(A336-C336)/'normal case'!D337)</f>
        <v>0</v>
      </c>
      <c r="E336" s="136">
        <f ca="1">IF(ABS(D336-(G336*('normal case'!M337/100))/'normal case'!D337-E335)&lt;0.00001,E335,D336-(G336*('normal case'!M337/100))/'normal case'!D337)</f>
        <v>0</v>
      </c>
      <c r="F336" s="137">
        <f ca="1">F335*(1+'normal case'!L336/100)</f>
        <v>745.51668650393492</v>
      </c>
      <c r="G336" s="135">
        <f ca="1">C336-A336+G335*(1+'normal case'!M336/100)</f>
        <v>0</v>
      </c>
      <c r="H336" s="136">
        <f ca="1">IF(ABS(G336/'normal case'!D337-H335)&lt;0.0000001,H335,G336/'normal case'!D337)</f>
        <v>0</v>
      </c>
    </row>
    <row r="337" spans="1:8">
      <c r="A337" s="135">
        <f ca="1">('main page'!$U$31/100)*'normal case'!D338</f>
        <v>20</v>
      </c>
      <c r="B337" s="136"/>
      <c r="C337" s="135">
        <f ca="1">'normal case'!AG338-'normal case'!AG337+IF(controls!$B$33=1,(1+(('main page'!$K$35/100)))*C336,'public finance'!C336)</f>
        <v>20</v>
      </c>
      <c r="D337" s="136">
        <f ca="1">IF(ABS(((A337-C337)/'normal case'!D338)-D336)&lt;0.0000001,D336,(A337-C337)/'normal case'!D338)</f>
        <v>0</v>
      </c>
      <c r="E337" s="136">
        <f ca="1">IF(ABS(D337-(G337*('normal case'!M338/100))/'normal case'!D338-E336)&lt;0.00001,E336,D337-(G337*('normal case'!M338/100))/'normal case'!D338)</f>
        <v>0</v>
      </c>
      <c r="F337" s="137">
        <f ca="1">F336*(1+'normal case'!L337/100)</f>
        <v>760.42702023401364</v>
      </c>
      <c r="G337" s="135">
        <f ca="1">C337-A337+G336*(1+'normal case'!M337/100)</f>
        <v>0</v>
      </c>
      <c r="H337" s="136">
        <f ca="1">IF(ABS(G337/'normal case'!D338-H336)&lt;0.0000001,H336,G337/'normal case'!D338)</f>
        <v>0</v>
      </c>
    </row>
    <row r="338" spans="1:8">
      <c r="A338" s="135">
        <f ca="1">('main page'!$U$31/100)*'normal case'!D339</f>
        <v>20</v>
      </c>
      <c r="B338" s="136"/>
      <c r="C338" s="135">
        <f ca="1">'normal case'!AG339-'normal case'!AG338+IF(controls!$B$33=1,(1+(('main page'!$K$35/100)))*C337,'public finance'!C337)</f>
        <v>20</v>
      </c>
      <c r="D338" s="136">
        <f ca="1">IF(ABS(((A338-C338)/'normal case'!D339)-D337)&lt;0.0000001,D337,(A338-C338)/'normal case'!D339)</f>
        <v>0</v>
      </c>
      <c r="E338" s="136">
        <f ca="1">IF(ABS(D338-(G338*('normal case'!M339/100))/'normal case'!D339-E337)&lt;0.00001,E337,D338-(G338*('normal case'!M339/100))/'normal case'!D339)</f>
        <v>0</v>
      </c>
      <c r="F338" s="137">
        <f ca="1">F337*(1+'normal case'!L338/100)</f>
        <v>775.63556063869396</v>
      </c>
      <c r="G338" s="135">
        <f ca="1">C338-A338+G337*(1+'normal case'!M338/100)</f>
        <v>0</v>
      </c>
      <c r="H338" s="136">
        <f ca="1">IF(ABS(G338/'normal case'!D339-H337)&lt;0.0000001,H337,G338/'normal case'!D339)</f>
        <v>0</v>
      </c>
    </row>
    <row r="339" spans="1:8">
      <c r="A339" s="135">
        <f ca="1">('main page'!$U$31/100)*'normal case'!D340</f>
        <v>20</v>
      </c>
      <c r="B339" s="136"/>
      <c r="C339" s="135">
        <f ca="1">'normal case'!AG340-'normal case'!AG339+IF(controls!$B$33=1,(1+(('main page'!$K$35/100)))*C338,'public finance'!C338)</f>
        <v>20</v>
      </c>
      <c r="D339" s="136">
        <f ca="1">IF(ABS(((A339-C339)/'normal case'!D340)-D338)&lt;0.0000001,D338,(A339-C339)/'normal case'!D340)</f>
        <v>0</v>
      </c>
      <c r="E339" s="136">
        <f ca="1">IF(ABS(D339-(G339*('normal case'!M340/100))/'normal case'!D340-E338)&lt;0.00001,E338,D339-(G339*('normal case'!M340/100))/'normal case'!D340)</f>
        <v>0</v>
      </c>
      <c r="F339" s="137">
        <f ca="1">F338*(1+'normal case'!L339/100)</f>
        <v>791.14827185146783</v>
      </c>
      <c r="G339" s="135">
        <f ca="1">C339-A339+G338*(1+'normal case'!M339/100)</f>
        <v>0</v>
      </c>
      <c r="H339" s="136">
        <f ca="1">IF(ABS(G339/'normal case'!D340-H338)&lt;0.0000001,H338,G339/'normal case'!D340)</f>
        <v>0</v>
      </c>
    </row>
    <row r="340" spans="1:8">
      <c r="A340" s="135">
        <f ca="1">('main page'!$U$31/100)*'normal case'!D341</f>
        <v>20</v>
      </c>
      <c r="B340" s="136"/>
      <c r="C340" s="135">
        <f ca="1">'normal case'!AG341-'normal case'!AG340+IF(controls!$B$33=1,(1+(('main page'!$K$35/100)))*C339,'public finance'!C339)</f>
        <v>20</v>
      </c>
      <c r="D340" s="136">
        <f ca="1">IF(ABS(((A340-C340)/'normal case'!D341)-D339)&lt;0.0000001,D339,(A340-C340)/'normal case'!D341)</f>
        <v>0</v>
      </c>
      <c r="E340" s="136">
        <f ca="1">IF(ABS(D340-(G340*('normal case'!M341/100))/'normal case'!D341-E339)&lt;0.00001,E339,D340-(G340*('normal case'!M341/100))/'normal case'!D341)</f>
        <v>0</v>
      </c>
      <c r="F340" s="137">
        <f ca="1">F339*(1+'normal case'!L340/100)</f>
        <v>806.97123728849715</v>
      </c>
      <c r="G340" s="135">
        <f ca="1">C340-A340+G339*(1+'normal case'!M340/100)</f>
        <v>0</v>
      </c>
      <c r="H340" s="136">
        <f ca="1">IF(ABS(G340/'normal case'!D341-H339)&lt;0.0000001,H339,G340/'normal case'!D341)</f>
        <v>0</v>
      </c>
    </row>
    <row r="341" spans="1:8">
      <c r="A341" s="135">
        <f ca="1">('main page'!$U$31/100)*'normal case'!D342</f>
        <v>20</v>
      </c>
      <c r="B341" s="136"/>
      <c r="C341" s="135">
        <f ca="1">'normal case'!AG342-'normal case'!AG341+IF(controls!$B$33=1,(1+(('main page'!$K$35/100)))*C340,'public finance'!C340)</f>
        <v>20</v>
      </c>
      <c r="D341" s="136">
        <f ca="1">IF(ABS(((A341-C341)/'normal case'!D342)-D340)&lt;0.0000001,D340,(A341-C341)/'normal case'!D342)</f>
        <v>0</v>
      </c>
      <c r="E341" s="136">
        <f ca="1">IF(ABS(D341-(G341*('normal case'!M342/100))/'normal case'!D342-E340)&lt;0.00001,E340,D341-(G341*('normal case'!M342/100))/'normal case'!D342)</f>
        <v>0</v>
      </c>
      <c r="F341" s="137">
        <f ca="1">F340*(1+'normal case'!L341/100)</f>
        <v>823.11066203426708</v>
      </c>
      <c r="G341" s="135">
        <f ca="1">C341-A341+G340*(1+'normal case'!M341/100)</f>
        <v>0</v>
      </c>
      <c r="H341" s="136">
        <f ca="1">IF(ABS(G341/'normal case'!D342-H340)&lt;0.0000001,H340,G341/'normal case'!D342)</f>
        <v>0</v>
      </c>
    </row>
    <row r="342" spans="1:8">
      <c r="A342" s="135">
        <f ca="1">('main page'!$U$31/100)*'normal case'!D343</f>
        <v>20</v>
      </c>
      <c r="B342" s="136"/>
      <c r="C342" s="135">
        <f ca="1">'normal case'!AG343-'normal case'!AG342+IF(controls!$B$33=1,(1+(('main page'!$K$35/100)))*C341,'public finance'!C341)</f>
        <v>20</v>
      </c>
      <c r="D342" s="136">
        <f ca="1">IF(ABS(((A342-C342)/'normal case'!D343)-D341)&lt;0.0000001,D341,(A342-C342)/'normal case'!D343)</f>
        <v>0</v>
      </c>
      <c r="E342" s="136">
        <f ca="1">IF(ABS(D342-(G342*('normal case'!M343/100))/'normal case'!D343-E341)&lt;0.00001,E341,D342-(G342*('normal case'!M343/100))/'normal case'!D343)</f>
        <v>0</v>
      </c>
      <c r="F342" s="137">
        <f ca="1">F341*(1+'normal case'!L342/100)</f>
        <v>839.57287527495248</v>
      </c>
      <c r="G342" s="135">
        <f ca="1">C342-A342+G341*(1+'normal case'!M342/100)</f>
        <v>0</v>
      </c>
      <c r="H342" s="136">
        <f ca="1">IF(ABS(G342/'normal case'!D343-H341)&lt;0.0000001,H341,G342/'normal case'!D343)</f>
        <v>0</v>
      </c>
    </row>
    <row r="343" spans="1:8">
      <c r="A343" s="135">
        <f ca="1">('main page'!$U$31/100)*'normal case'!D344</f>
        <v>20</v>
      </c>
      <c r="B343" s="136"/>
      <c r="C343" s="135">
        <f ca="1">'normal case'!AG344-'normal case'!AG343+IF(controls!$B$33=1,(1+(('main page'!$K$35/100)))*C342,'public finance'!C342)</f>
        <v>20</v>
      </c>
      <c r="D343" s="136">
        <f ca="1">IF(ABS(((A343-C343)/'normal case'!D344)-D342)&lt;0.0000001,D342,(A343-C343)/'normal case'!D344)</f>
        <v>0</v>
      </c>
      <c r="E343" s="136">
        <f ca="1">IF(ABS(D343-(G343*('normal case'!M344/100))/'normal case'!D344-E342)&lt;0.00001,E342,D343-(G343*('normal case'!M344/100))/'normal case'!D344)</f>
        <v>0</v>
      </c>
      <c r="F343" s="137">
        <f ca="1">F342*(1+'normal case'!L343/100)</f>
        <v>856.36433278045149</v>
      </c>
      <c r="G343" s="135">
        <f ca="1">C343-A343+G342*(1+'normal case'!M343/100)</f>
        <v>0</v>
      </c>
      <c r="H343" s="136">
        <f ca="1">IF(ABS(G343/'normal case'!D344-H342)&lt;0.0000001,H342,G343/'normal case'!D344)</f>
        <v>0</v>
      </c>
    </row>
    <row r="344" spans="1:8">
      <c r="A344" s="135">
        <f ca="1">('main page'!$U$31/100)*'normal case'!D345</f>
        <v>20</v>
      </c>
      <c r="B344" s="136"/>
      <c r="C344" s="135">
        <f ca="1">'normal case'!AG345-'normal case'!AG344+IF(controls!$B$33=1,(1+(('main page'!$K$35/100)))*C343,'public finance'!C343)</f>
        <v>20</v>
      </c>
      <c r="D344" s="136">
        <f ca="1">IF(ABS(((A344-C344)/'normal case'!D345)-D343)&lt;0.0000001,D343,(A344-C344)/'normal case'!D345)</f>
        <v>0</v>
      </c>
      <c r="E344" s="136">
        <f ca="1">IF(ABS(D344-(G344*('normal case'!M345/100))/'normal case'!D345-E343)&lt;0.00001,E343,D344-(G344*('normal case'!M345/100))/'normal case'!D345)</f>
        <v>0</v>
      </c>
      <c r="F344" s="137">
        <f ca="1">F343*(1+'normal case'!L344/100)</f>
        <v>873.49161943606055</v>
      </c>
      <c r="G344" s="135">
        <f ca="1">C344-A344+G343*(1+'normal case'!M344/100)</f>
        <v>0</v>
      </c>
      <c r="H344" s="136">
        <f ca="1">IF(ABS(G344/'normal case'!D345-H343)&lt;0.0000001,H343,G344/'normal case'!D345)</f>
        <v>0</v>
      </c>
    </row>
    <row r="345" spans="1:8">
      <c r="A345" s="135">
        <f ca="1">('main page'!$U$31/100)*'normal case'!D346</f>
        <v>20</v>
      </c>
      <c r="B345" s="136"/>
      <c r="C345" s="135">
        <f ca="1">'normal case'!AG346-'normal case'!AG345+IF(controls!$B$33=1,(1+(('main page'!$K$35/100)))*C344,'public finance'!C344)</f>
        <v>20</v>
      </c>
      <c r="D345" s="136">
        <f ca="1">IF(ABS(((A345-C345)/'normal case'!D346)-D344)&lt;0.0000001,D344,(A345-C345)/'normal case'!D346)</f>
        <v>0</v>
      </c>
      <c r="E345" s="136">
        <f ca="1">IF(ABS(D345-(G345*('normal case'!M346/100))/'normal case'!D346-E344)&lt;0.00001,E344,D345-(G345*('normal case'!M346/100))/'normal case'!D346)</f>
        <v>0</v>
      </c>
      <c r="F345" s="137">
        <f ca="1">F344*(1+'normal case'!L345/100)</f>
        <v>890.96145182478176</v>
      </c>
      <c r="G345" s="135">
        <f ca="1">C345-A345+G344*(1+'normal case'!M345/100)</f>
        <v>0</v>
      </c>
      <c r="H345" s="136">
        <f ca="1">IF(ABS(G345/'normal case'!D346-H344)&lt;0.0000001,H344,G345/'normal case'!D346)</f>
        <v>0</v>
      </c>
    </row>
    <row r="346" spans="1:8">
      <c r="A346" s="135">
        <f ca="1">('main page'!$U$31/100)*'normal case'!D347</f>
        <v>20</v>
      </c>
      <c r="B346" s="136"/>
      <c r="C346" s="135">
        <f ca="1">'normal case'!AG347-'normal case'!AG346+IF(controls!$B$33=1,(1+(('main page'!$K$35/100)))*C345,'public finance'!C345)</f>
        <v>20</v>
      </c>
      <c r="D346" s="136">
        <f ca="1">IF(ABS(((A346-C346)/'normal case'!D347)-D345)&lt;0.0000001,D345,(A346-C346)/'normal case'!D347)</f>
        <v>0</v>
      </c>
      <c r="E346" s="136">
        <f ca="1">IF(ABS(D346-(G346*('normal case'!M347/100))/'normal case'!D347-E345)&lt;0.00001,E345,D346-(G346*('normal case'!M347/100))/'normal case'!D347)</f>
        <v>0</v>
      </c>
      <c r="F346" s="137">
        <f ca="1">F345*(1+'normal case'!L346/100)</f>
        <v>908.78068086127746</v>
      </c>
      <c r="G346" s="135">
        <f ca="1">C346-A346+G345*(1+'normal case'!M346/100)</f>
        <v>0</v>
      </c>
      <c r="H346" s="136">
        <f ca="1">IF(ABS(G346/'normal case'!D347-H345)&lt;0.0000001,H345,G346/'normal case'!D347)</f>
        <v>0</v>
      </c>
    </row>
    <row r="347" spans="1:8">
      <c r="A347" s="135">
        <f ca="1">('main page'!$U$31/100)*'normal case'!D348</f>
        <v>20</v>
      </c>
      <c r="B347" s="136"/>
      <c r="C347" s="135">
        <f ca="1">'normal case'!AG348-'normal case'!AG347+IF(controls!$B$33=1,(1+(('main page'!$K$35/100)))*C346,'public finance'!C346)</f>
        <v>20</v>
      </c>
      <c r="D347" s="136">
        <f ca="1">IF(ABS(((A347-C347)/'normal case'!D348)-D346)&lt;0.0000001,D346,(A347-C347)/'normal case'!D348)</f>
        <v>0</v>
      </c>
      <c r="E347" s="136">
        <f ca="1">IF(ABS(D347-(G347*('normal case'!M348/100))/'normal case'!D348-E346)&lt;0.00001,E346,D347-(G347*('normal case'!M348/100))/'normal case'!D348)</f>
        <v>0</v>
      </c>
      <c r="F347" s="137">
        <f ca="1">F346*(1+'normal case'!L347/100)</f>
        <v>926.95629447850308</v>
      </c>
      <c r="G347" s="135">
        <f ca="1">C347-A347+G346*(1+'normal case'!M347/100)</f>
        <v>0</v>
      </c>
      <c r="H347" s="136">
        <f ca="1">IF(ABS(G347/'normal case'!D348-H346)&lt;0.0000001,H346,G347/'normal case'!D348)</f>
        <v>0</v>
      </c>
    </row>
    <row r="348" spans="1:8">
      <c r="A348" s="135">
        <f ca="1">('main page'!$U$31/100)*'normal case'!D349</f>
        <v>20</v>
      </c>
      <c r="B348" s="136"/>
      <c r="C348" s="135">
        <f ca="1">'normal case'!AG349-'normal case'!AG348+IF(controls!$B$33=1,(1+(('main page'!$K$35/100)))*C347,'public finance'!C347)</f>
        <v>20</v>
      </c>
      <c r="D348" s="136">
        <f ca="1">IF(ABS(((A348-C348)/'normal case'!D349)-D347)&lt;0.0000001,D347,(A348-C348)/'normal case'!D349)</f>
        <v>0</v>
      </c>
      <c r="E348" s="136">
        <f ca="1">IF(ABS(D348-(G348*('normal case'!M349/100))/'normal case'!D349-E347)&lt;0.00001,E347,D348-(G348*('normal case'!M349/100))/'normal case'!D349)</f>
        <v>0</v>
      </c>
      <c r="F348" s="137">
        <f ca="1">F347*(1+'normal case'!L348/100)</f>
        <v>945.49542036807316</v>
      </c>
      <c r="G348" s="135">
        <f ca="1">C348-A348+G347*(1+'normal case'!M348/100)</f>
        <v>0</v>
      </c>
      <c r="H348" s="136">
        <f ca="1">IF(ABS(G348/'normal case'!D349-H347)&lt;0.0000001,H347,G348/'normal case'!D349)</f>
        <v>0</v>
      </c>
    </row>
    <row r="349" spans="1:8">
      <c r="A349" s="135">
        <f ca="1">('main page'!$U$31/100)*'normal case'!D350</f>
        <v>20</v>
      </c>
      <c r="B349" s="136"/>
      <c r="C349" s="135">
        <f ca="1">'normal case'!AG350-'normal case'!AG349+IF(controls!$B$33=1,(1+(('main page'!$K$35/100)))*C348,'public finance'!C348)</f>
        <v>20</v>
      </c>
      <c r="D349" s="136">
        <f ca="1">IF(ABS(((A349-C349)/'normal case'!D350)-D348)&lt;0.0000001,D348,(A349-C349)/'normal case'!D350)</f>
        <v>0</v>
      </c>
      <c r="E349" s="136">
        <f ca="1">IF(ABS(D349-(G349*('normal case'!M350/100))/'normal case'!D350-E348)&lt;0.00001,E348,D349-(G349*('normal case'!M350/100))/'normal case'!D350)</f>
        <v>0</v>
      </c>
      <c r="F349" s="137">
        <f ca="1">F348*(1+'normal case'!L349/100)</f>
        <v>964.40532877543467</v>
      </c>
      <c r="G349" s="135">
        <f ca="1">C349-A349+G348*(1+'normal case'!M349/100)</f>
        <v>0</v>
      </c>
      <c r="H349" s="136">
        <f ca="1">IF(ABS(G349/'normal case'!D350-H348)&lt;0.0000001,H348,G349/'normal case'!D350)</f>
        <v>0</v>
      </c>
    </row>
    <row r="350" spans="1:8">
      <c r="A350" s="135">
        <f ca="1">('main page'!$U$31/100)*'normal case'!D351</f>
        <v>20</v>
      </c>
      <c r="B350" s="136"/>
      <c r="C350" s="135">
        <f ca="1">'normal case'!AG351-'normal case'!AG350+IF(controls!$B$33=1,(1+(('main page'!$K$35/100)))*C349,'public finance'!C349)</f>
        <v>20</v>
      </c>
      <c r="D350" s="136">
        <f ca="1">IF(ABS(((A350-C350)/'normal case'!D351)-D349)&lt;0.0000001,D349,(A350-C350)/'normal case'!D351)</f>
        <v>0</v>
      </c>
      <c r="E350" s="136">
        <f ca="1">IF(ABS(D350-(G350*('normal case'!M351/100))/'normal case'!D351-E349)&lt;0.00001,E349,D350-(G350*('normal case'!M351/100))/'normal case'!D351)</f>
        <v>0</v>
      </c>
      <c r="F350" s="137">
        <f ca="1">F349*(1+'normal case'!L350/100)</f>
        <v>983.69343535094333</v>
      </c>
      <c r="G350" s="135">
        <f ca="1">C350-A350+G349*(1+'normal case'!M350/100)</f>
        <v>0</v>
      </c>
      <c r="H350" s="136">
        <f ca="1">IF(ABS(G350/'normal case'!D351-H349)&lt;0.0000001,H349,G350/'normal case'!D351)</f>
        <v>0</v>
      </c>
    </row>
    <row r="351" spans="1:8">
      <c r="A351" s="135">
        <f ca="1">('main page'!$U$31/100)*'normal case'!D352</f>
        <v>20</v>
      </c>
      <c r="B351" s="136"/>
      <c r="C351" s="135">
        <f ca="1">'normal case'!AG352-'normal case'!AG351+IF(controls!$B$33=1,(1+(('main page'!$K$35/100)))*C350,'public finance'!C350)</f>
        <v>20</v>
      </c>
      <c r="D351" s="136">
        <f ca="1">IF(ABS(((A351-C351)/'normal case'!D352)-D350)&lt;0.0000001,D350,(A351-C351)/'normal case'!D352)</f>
        <v>0</v>
      </c>
      <c r="E351" s="136">
        <f ca="1">IF(ABS(D351-(G351*('normal case'!M352/100))/'normal case'!D352-E350)&lt;0.00001,E350,D351-(G351*('normal case'!M352/100))/'normal case'!D352)</f>
        <v>0</v>
      </c>
      <c r="F351" s="137">
        <f ca="1">F350*(1+'normal case'!L351/100)</f>
        <v>1003.3673040579622</v>
      </c>
      <c r="G351" s="135">
        <f ca="1">C351-A351+G350*(1+'normal case'!M351/100)</f>
        <v>0</v>
      </c>
      <c r="H351" s="136">
        <f ca="1">IF(ABS(G351/'normal case'!D352-H350)&lt;0.0000001,H350,G351/'normal case'!D352)</f>
        <v>0</v>
      </c>
    </row>
    <row r="352" spans="1:8">
      <c r="A352" s="135">
        <f ca="1">('main page'!$U$31/100)*'normal case'!D353</f>
        <v>20</v>
      </c>
      <c r="B352" s="136"/>
      <c r="C352" s="135">
        <f ca="1">'normal case'!AG353-'normal case'!AG352+IF(controls!$B$33=1,(1+(('main page'!$K$35/100)))*C351,'public finance'!C351)</f>
        <v>20</v>
      </c>
      <c r="D352" s="136">
        <f ca="1">IF(ABS(((A352-C352)/'normal case'!D353)-D351)&lt;0.0000001,D351,(A352-C352)/'normal case'!D353)</f>
        <v>0</v>
      </c>
      <c r="E352" s="136">
        <f ca="1">IF(ABS(D352-(G352*('normal case'!M353/100))/'normal case'!D353-E351)&lt;0.00001,E351,D352-(G352*('normal case'!M353/100))/'normal case'!D353)</f>
        <v>0</v>
      </c>
      <c r="F352" s="137">
        <f ca="1">F351*(1+'normal case'!L352/100)</f>
        <v>1023.4346501391215</v>
      </c>
      <c r="G352" s="135">
        <f ca="1">C352-A352+G351*(1+'normal case'!M352/100)</f>
        <v>0</v>
      </c>
      <c r="H352" s="136">
        <f ca="1">IF(ABS(G352/'normal case'!D353-H351)&lt;0.0000001,H351,G352/'normal case'!D353)</f>
        <v>0</v>
      </c>
    </row>
    <row r="353" spans="1:8">
      <c r="A353" s="135">
        <f ca="1">('main page'!$U$31/100)*'normal case'!D354</f>
        <v>20</v>
      </c>
      <c r="B353" s="136"/>
      <c r="C353" s="135">
        <f ca="1">'normal case'!AG354-'normal case'!AG353+IF(controls!$B$33=1,(1+(('main page'!$K$35/100)))*C352,'public finance'!C352)</f>
        <v>20</v>
      </c>
      <c r="D353" s="136">
        <f ca="1">IF(ABS(((A353-C353)/'normal case'!D354)-D352)&lt;0.0000001,D352,(A353-C353)/'normal case'!D354)</f>
        <v>0</v>
      </c>
      <c r="E353" s="136">
        <f ca="1">IF(ABS(D353-(G353*('normal case'!M354/100))/'normal case'!D354-E352)&lt;0.00001,E352,D353-(G353*('normal case'!M354/100))/'normal case'!D354)</f>
        <v>0</v>
      </c>
      <c r="F353" s="137">
        <f ca="1">F352*(1+'normal case'!L353/100)</f>
        <v>1043.9033431419039</v>
      </c>
      <c r="G353" s="135">
        <f ca="1">C353-A353+G352*(1+'normal case'!M353/100)</f>
        <v>0</v>
      </c>
      <c r="H353" s="136">
        <f ca="1">IF(ABS(G353/'normal case'!D354-H352)&lt;0.0000001,H352,G353/'normal case'!D354)</f>
        <v>0</v>
      </c>
    </row>
    <row r="354" spans="1:8">
      <c r="A354" s="135">
        <f ca="1">('main page'!$U$31/100)*'normal case'!D355</f>
        <v>20</v>
      </c>
      <c r="B354" s="136"/>
      <c r="C354" s="135">
        <f ca="1">'normal case'!AG355-'normal case'!AG354+IF(controls!$B$33=1,(1+(('main page'!$K$35/100)))*C353,'public finance'!C353)</f>
        <v>20</v>
      </c>
      <c r="D354" s="136">
        <f ca="1">IF(ABS(((A354-C354)/'normal case'!D355)-D353)&lt;0.0000001,D353,(A354-C354)/'normal case'!D355)</f>
        <v>0</v>
      </c>
      <c r="E354" s="136">
        <f ca="1">IF(ABS(D354-(G354*('normal case'!M355/100))/'normal case'!D355-E353)&lt;0.00001,E353,D354-(G354*('normal case'!M355/100))/'normal case'!D355)</f>
        <v>0</v>
      </c>
      <c r="F354" s="137">
        <f ca="1">F353*(1+'normal case'!L354/100)</f>
        <v>1064.7814100047419</v>
      </c>
      <c r="G354" s="135">
        <f ca="1">C354-A354+G353*(1+'normal case'!M354/100)</f>
        <v>0</v>
      </c>
      <c r="H354" s="136">
        <f ca="1">IF(ABS(G354/'normal case'!D355-H353)&lt;0.0000001,H353,G354/'normal case'!D355)</f>
        <v>0</v>
      </c>
    </row>
    <row r="355" spans="1:8">
      <c r="A355" s="135">
        <f ca="1">('main page'!$U$31/100)*'normal case'!D356</f>
        <v>20</v>
      </c>
      <c r="B355" s="136"/>
      <c r="C355" s="135">
        <f ca="1">'normal case'!AG356-'normal case'!AG355+IF(controls!$B$33=1,(1+(('main page'!$K$35/100)))*C354,'public finance'!C354)</f>
        <v>20</v>
      </c>
      <c r="D355" s="136">
        <f ca="1">IF(ABS(((A355-C355)/'normal case'!D356)-D354)&lt;0.0000001,D354,(A355-C355)/'normal case'!D356)</f>
        <v>0</v>
      </c>
      <c r="E355" s="136">
        <f ca="1">IF(ABS(D355-(G355*('normal case'!M356/100))/'normal case'!D356-E354)&lt;0.00001,E354,D355-(G355*('normal case'!M356/100))/'normal case'!D356)</f>
        <v>0</v>
      </c>
      <c r="F355" s="137">
        <f ca="1">F354*(1+'normal case'!L355/100)</f>
        <v>1086.0770382048368</v>
      </c>
      <c r="G355" s="135">
        <f ca="1">C355-A355+G354*(1+'normal case'!M355/100)</f>
        <v>0</v>
      </c>
      <c r="H355" s="136">
        <f ca="1">IF(ABS(G355/'normal case'!D356-H354)&lt;0.0000001,H354,G355/'normal case'!D356)</f>
        <v>0</v>
      </c>
    </row>
    <row r="356" spans="1:8">
      <c r="A356" s="135">
        <f ca="1">('main page'!$U$31/100)*'normal case'!D357</f>
        <v>20</v>
      </c>
      <c r="B356" s="136"/>
      <c r="C356" s="135">
        <f ca="1">'normal case'!AG357-'normal case'!AG356+IF(controls!$B$33=1,(1+(('main page'!$K$35/100)))*C355,'public finance'!C355)</f>
        <v>20</v>
      </c>
      <c r="D356" s="136">
        <f ca="1">IF(ABS(((A356-C356)/'normal case'!D357)-D355)&lt;0.0000001,D355,(A356-C356)/'normal case'!D357)</f>
        <v>0</v>
      </c>
      <c r="E356" s="136">
        <f ca="1">IF(ABS(D356-(G356*('normal case'!M357/100))/'normal case'!D357-E355)&lt;0.00001,E355,D356-(G356*('normal case'!M357/100))/'normal case'!D357)</f>
        <v>0</v>
      </c>
      <c r="F356" s="137">
        <f ca="1">F355*(1+'normal case'!L356/100)</f>
        <v>1107.7985789689335</v>
      </c>
      <c r="G356" s="135">
        <f ca="1">C356-A356+G355*(1+'normal case'!M356/100)</f>
        <v>0</v>
      </c>
      <c r="H356" s="136">
        <f ca="1">IF(ABS(G356/'normal case'!D357-H355)&lt;0.0000001,H355,G356/'normal case'!D357)</f>
        <v>0</v>
      </c>
    </row>
    <row r="357" spans="1:8">
      <c r="A357" s="135">
        <f ca="1">('main page'!$U$31/100)*'normal case'!D358</f>
        <v>20</v>
      </c>
      <c r="B357" s="136"/>
      <c r="C357" s="135">
        <f ca="1">'normal case'!AG358-'normal case'!AG357+IF(controls!$B$33=1,(1+(('main page'!$K$35/100)))*C356,'public finance'!C356)</f>
        <v>20</v>
      </c>
      <c r="D357" s="136">
        <f ca="1">IF(ABS(((A357-C357)/'normal case'!D358)-D356)&lt;0.0000001,D356,(A357-C357)/'normal case'!D358)</f>
        <v>0</v>
      </c>
      <c r="E357" s="136">
        <f ca="1">IF(ABS(D357-(G357*('normal case'!M358/100))/'normal case'!D358-E356)&lt;0.00001,E356,D357-(G357*('normal case'!M358/100))/'normal case'!D358)</f>
        <v>0</v>
      </c>
      <c r="F357" s="137">
        <f ca="1">F356*(1+'normal case'!L357/100)</f>
        <v>1129.9545505483122</v>
      </c>
      <c r="G357" s="135">
        <f ca="1">C357-A357+G356*(1+'normal case'!M357/100)</f>
        <v>0</v>
      </c>
      <c r="H357" s="136">
        <f ca="1">IF(ABS(G357/'normal case'!D358-H356)&lt;0.0000001,H356,G357/'normal case'!D358)</f>
        <v>0</v>
      </c>
    </row>
    <row r="358" spans="1:8">
      <c r="A358" s="135">
        <f ca="1">('main page'!$U$31/100)*'normal case'!D359</f>
        <v>20</v>
      </c>
      <c r="B358" s="136"/>
      <c r="C358" s="135">
        <f ca="1">'normal case'!AG359-'normal case'!AG358+IF(controls!$B$33=1,(1+(('main page'!$K$35/100)))*C357,'public finance'!C357)</f>
        <v>20</v>
      </c>
      <c r="D358" s="136">
        <f ca="1">IF(ABS(((A358-C358)/'normal case'!D359)-D357)&lt;0.0000001,D357,(A358-C358)/'normal case'!D359)</f>
        <v>0</v>
      </c>
      <c r="E358" s="136">
        <f ca="1">IF(ABS(D358-(G358*('normal case'!M359/100))/'normal case'!D359-E357)&lt;0.00001,E357,D358-(G358*('normal case'!M359/100))/'normal case'!D359)</f>
        <v>0</v>
      </c>
      <c r="F358" s="137">
        <f ca="1">F357*(1+'normal case'!L358/100)</f>
        <v>1152.5536415592785</v>
      </c>
      <c r="G358" s="135">
        <f ca="1">C358-A358+G357*(1+'normal case'!M358/100)</f>
        <v>0</v>
      </c>
      <c r="H358" s="136">
        <f ca="1">IF(ABS(G358/'normal case'!D359-H357)&lt;0.0000001,H357,G358/'normal case'!D359)</f>
        <v>0</v>
      </c>
    </row>
    <row r="359" spans="1:8">
      <c r="A359" s="135">
        <f ca="1">('main page'!$U$31/100)*'normal case'!D360</f>
        <v>20</v>
      </c>
      <c r="B359" s="136"/>
      <c r="C359" s="135">
        <f ca="1">'normal case'!AG360-'normal case'!AG359+IF(controls!$B$33=1,(1+(('main page'!$K$35/100)))*C358,'public finance'!C358)</f>
        <v>20</v>
      </c>
      <c r="D359" s="136">
        <f ca="1">IF(ABS(((A359-C359)/'normal case'!D360)-D358)&lt;0.0000001,D358,(A359-C359)/'normal case'!D360)</f>
        <v>0</v>
      </c>
      <c r="E359" s="136">
        <f ca="1">IF(ABS(D359-(G359*('normal case'!M360/100))/'normal case'!D360-E358)&lt;0.00001,E358,D359-(G359*('normal case'!M360/100))/'normal case'!D360)</f>
        <v>0</v>
      </c>
      <c r="F359" s="137">
        <f ca="1">F358*(1+'normal case'!L359/100)</f>
        <v>1175.6047143904641</v>
      </c>
      <c r="G359" s="135">
        <f ca="1">C359-A359+G358*(1+'normal case'!M359/100)</f>
        <v>0</v>
      </c>
      <c r="H359" s="136">
        <f ca="1">IF(ABS(G359/'normal case'!D360-H358)&lt;0.0000001,H358,G359/'normal case'!D360)</f>
        <v>0</v>
      </c>
    </row>
    <row r="360" spans="1:8">
      <c r="A360" s="135">
        <f ca="1">('main page'!$U$31/100)*'normal case'!D361</f>
        <v>20</v>
      </c>
      <c r="B360" s="136"/>
      <c r="C360" s="135">
        <f ca="1">'normal case'!AG361-'normal case'!AG360+IF(controls!$B$33=1,(1+(('main page'!$K$35/100)))*C359,'public finance'!C359)</f>
        <v>20</v>
      </c>
      <c r="D360" s="136">
        <f ca="1">IF(ABS(((A360-C360)/'normal case'!D361)-D359)&lt;0.0000001,D359,(A360-C360)/'normal case'!D361)</f>
        <v>0</v>
      </c>
      <c r="E360" s="136">
        <f ca="1">IF(ABS(D360-(G360*('normal case'!M361/100))/'normal case'!D361-E359)&lt;0.00001,E359,D360-(G360*('normal case'!M361/100))/'normal case'!D361)</f>
        <v>0</v>
      </c>
      <c r="F360" s="137">
        <f ca="1">F359*(1+'normal case'!L360/100)</f>
        <v>1199.1168086782734</v>
      </c>
      <c r="G360" s="135">
        <f ca="1">C360-A360+G359*(1+'normal case'!M360/100)</f>
        <v>0</v>
      </c>
      <c r="H360" s="136">
        <f ca="1">IF(ABS(G360/'normal case'!D361-H359)&lt;0.0000001,H359,G360/'normal case'!D361)</f>
        <v>0</v>
      </c>
    </row>
    <row r="361" spans="1:8">
      <c r="A361" s="135">
        <f ca="1">('main page'!$U$31/100)*'normal case'!D362</f>
        <v>20</v>
      </c>
      <c r="B361" s="136"/>
      <c r="C361" s="135">
        <f ca="1">'normal case'!AG362-'normal case'!AG361+IF(controls!$B$33=1,(1+(('main page'!$K$35/100)))*C360,'public finance'!C360)</f>
        <v>20</v>
      </c>
      <c r="D361" s="136">
        <f ca="1">IF(ABS(((A361-C361)/'normal case'!D362)-D360)&lt;0.0000001,D360,(A361-C361)/'normal case'!D362)</f>
        <v>0</v>
      </c>
      <c r="E361" s="136">
        <f ca="1">IF(ABS(D361-(G361*('normal case'!M362/100))/'normal case'!D362-E360)&lt;0.00001,E360,D361-(G361*('normal case'!M362/100))/'normal case'!D362)</f>
        <v>0</v>
      </c>
      <c r="F361" s="137">
        <f ca="1">F360*(1+'normal case'!L361/100)</f>
        <v>1223.0991448518389</v>
      </c>
      <c r="G361" s="135">
        <f ca="1">C361-A361+G360*(1+'normal case'!M361/100)</f>
        <v>0</v>
      </c>
      <c r="H361" s="136">
        <f ca="1">IF(ABS(G361/'normal case'!D362-H360)&lt;0.0000001,H360,G361/'normal case'!D362)</f>
        <v>0</v>
      </c>
    </row>
    <row r="362" spans="1:8">
      <c r="A362" s="135">
        <f ca="1">('main page'!$U$31/100)*'normal case'!D363</f>
        <v>20</v>
      </c>
      <c r="B362" s="136"/>
      <c r="C362" s="135">
        <f ca="1">'normal case'!AG363-'normal case'!AG362+IF(controls!$B$33=1,(1+(('main page'!$K$35/100)))*C361,'public finance'!C361)</f>
        <v>20</v>
      </c>
      <c r="D362" s="136">
        <f ca="1">IF(ABS(((A362-C362)/'normal case'!D363)-D361)&lt;0.0000001,D361,(A362-C362)/'normal case'!D363)</f>
        <v>0</v>
      </c>
      <c r="E362" s="136">
        <f ca="1">IF(ABS(D362-(G362*('normal case'!M363/100))/'normal case'!D363-E361)&lt;0.00001,E361,D362-(G362*('normal case'!M363/100))/'normal case'!D363)</f>
        <v>0</v>
      </c>
      <c r="F362" s="137">
        <f ca="1">F361*(1+'normal case'!L362/100)</f>
        <v>1247.5611277488756</v>
      </c>
      <c r="G362" s="135">
        <f ca="1">C362-A362+G361*(1+'normal case'!M362/100)</f>
        <v>0</v>
      </c>
      <c r="H362" s="136">
        <f ca="1">IF(ABS(G362/'normal case'!D363-H361)&lt;0.0000001,H361,G362/'normal case'!D363)</f>
        <v>0</v>
      </c>
    </row>
    <row r="363" spans="1:8">
      <c r="A363" s="135">
        <f ca="1">('main page'!$U$31/100)*'normal case'!D364</f>
        <v>20</v>
      </c>
      <c r="B363" s="136"/>
      <c r="C363" s="135">
        <f ca="1">'normal case'!AG364-'normal case'!AG363+IF(controls!$B$33=1,(1+(('main page'!$K$35/100)))*C362,'public finance'!C362)</f>
        <v>20</v>
      </c>
      <c r="D363" s="136">
        <f ca="1">IF(ABS(((A363-C363)/'normal case'!D364)-D362)&lt;0.0000001,D362,(A363-C363)/'normal case'!D364)</f>
        <v>0</v>
      </c>
      <c r="E363" s="136">
        <f ca="1">IF(ABS(D363-(G363*('normal case'!M364/100))/'normal case'!D364-E362)&lt;0.00001,E362,D363-(G363*('normal case'!M364/100))/'normal case'!D364)</f>
        <v>0</v>
      </c>
      <c r="F363" s="137">
        <f ca="1">F362*(1+'normal case'!L363/100)</f>
        <v>1272.5123503038531</v>
      </c>
      <c r="G363" s="135">
        <f ca="1">C363-A363+G362*(1+'normal case'!M363/100)</f>
        <v>0</v>
      </c>
      <c r="H363" s="136">
        <f ca="1">IF(ABS(G363/'normal case'!D364-H362)&lt;0.0000001,H362,G363/'normal case'!D364)</f>
        <v>0</v>
      </c>
    </row>
    <row r="364" spans="1:8">
      <c r="A364" s="135">
        <f ca="1">('main page'!$U$31/100)*'normal case'!D365</f>
        <v>20</v>
      </c>
      <c r="B364" s="136"/>
      <c r="C364" s="135">
        <f ca="1">'normal case'!AG365-'normal case'!AG364+IF(controls!$B$33=1,(1+(('main page'!$K$35/100)))*C363,'public finance'!C363)</f>
        <v>20</v>
      </c>
      <c r="D364" s="136">
        <f ca="1">IF(ABS(((A364-C364)/'normal case'!D365)-D363)&lt;0.0000001,D363,(A364-C364)/'normal case'!D365)</f>
        <v>0</v>
      </c>
      <c r="E364" s="136">
        <f ca="1">IF(ABS(D364-(G364*('normal case'!M365/100))/'normal case'!D365-E363)&lt;0.00001,E363,D364-(G364*('normal case'!M365/100))/'normal case'!D365)</f>
        <v>0</v>
      </c>
      <c r="F364" s="137">
        <f ca="1">F363*(1+'normal case'!L364/100)</f>
        <v>1297.9625973099301</v>
      </c>
      <c r="G364" s="135">
        <f ca="1">C364-A364+G363*(1+'normal case'!M364/100)</f>
        <v>0</v>
      </c>
      <c r="H364" s="136">
        <f ca="1">IF(ABS(G364/'normal case'!D365-H363)&lt;0.0000001,H363,G364/'normal case'!D365)</f>
        <v>0</v>
      </c>
    </row>
    <row r="365" spans="1:8">
      <c r="A365" s="135">
        <f ca="1">('main page'!$U$31/100)*'normal case'!D366</f>
        <v>20</v>
      </c>
      <c r="B365" s="136"/>
      <c r="C365" s="135">
        <f ca="1">'normal case'!AG366-'normal case'!AG365+IF(controls!$B$33=1,(1+(('main page'!$K$35/100)))*C364,'public finance'!C364)</f>
        <v>20</v>
      </c>
      <c r="D365" s="136">
        <f ca="1">IF(ABS(((A365-C365)/'normal case'!D366)-D364)&lt;0.0000001,D364,(A365-C365)/'normal case'!D366)</f>
        <v>0</v>
      </c>
      <c r="E365" s="136">
        <f ca="1">IF(ABS(D365-(G365*('normal case'!M366/100))/'normal case'!D366-E364)&lt;0.00001,E364,D365-(G365*('normal case'!M366/100))/'normal case'!D366)</f>
        <v>0</v>
      </c>
      <c r="F365" s="137">
        <f ca="1">F364*(1+'normal case'!L365/100)</f>
        <v>1323.9218492561288</v>
      </c>
      <c r="G365" s="135">
        <f ca="1">C365-A365+G364*(1+'normal case'!M365/100)</f>
        <v>0</v>
      </c>
      <c r="H365" s="136">
        <f ca="1">IF(ABS(G365/'normal case'!D366-H364)&lt;0.0000001,H364,G365/'normal case'!D366)</f>
        <v>0</v>
      </c>
    </row>
    <row r="366" spans="1:8">
      <c r="A366" s="135">
        <f ca="1">('main page'!$U$31/100)*'normal case'!D367</f>
        <v>20</v>
      </c>
      <c r="B366" s="136"/>
      <c r="C366" s="135">
        <f ca="1">'normal case'!AG367-'normal case'!AG366+IF(controls!$B$33=1,(1+(('main page'!$K$35/100)))*C365,'public finance'!C365)</f>
        <v>20</v>
      </c>
      <c r="D366" s="136">
        <f ca="1">IF(ABS(((A366-C366)/'normal case'!D367)-D365)&lt;0.0000001,D365,(A366-C366)/'normal case'!D367)</f>
        <v>0</v>
      </c>
      <c r="E366" s="136">
        <f ca="1">IF(ABS(D366-(G366*('normal case'!M367/100))/'normal case'!D367-E365)&lt;0.00001,E365,D366-(G366*('normal case'!M367/100))/'normal case'!D367)</f>
        <v>0</v>
      </c>
      <c r="F366" s="137">
        <f ca="1">F365*(1+'normal case'!L366/100)</f>
        <v>1350.4002862412515</v>
      </c>
      <c r="G366" s="135">
        <f ca="1">C366-A366+G365*(1+'normal case'!M366/100)</f>
        <v>0</v>
      </c>
      <c r="H366" s="136">
        <f ca="1">IF(ABS(G366/'normal case'!D367-H365)&lt;0.0000001,H365,G366/'normal case'!D367)</f>
        <v>0</v>
      </c>
    </row>
    <row r="367" spans="1:8">
      <c r="A367" s="135">
        <f ca="1">('main page'!$U$31/100)*'normal case'!D368</f>
        <v>20</v>
      </c>
      <c r="B367" s="136"/>
      <c r="C367" s="135">
        <f ca="1">'normal case'!AG368-'normal case'!AG367+IF(controls!$B$33=1,(1+(('main page'!$K$35/100)))*C366,'public finance'!C366)</f>
        <v>20</v>
      </c>
      <c r="D367" s="136">
        <f ca="1">IF(ABS(((A367-C367)/'normal case'!D368)-D366)&lt;0.0000001,D366,(A367-C367)/'normal case'!D368)</f>
        <v>0</v>
      </c>
      <c r="E367" s="136">
        <f ca="1">IF(ABS(D367-(G367*('normal case'!M368/100))/'normal case'!D368-E366)&lt;0.00001,E366,D367-(G367*('normal case'!M368/100))/'normal case'!D368)</f>
        <v>0</v>
      </c>
      <c r="F367" s="137">
        <f ca="1">F366*(1+'normal case'!L367/100)</f>
        <v>1377.4082919660766</v>
      </c>
      <c r="G367" s="135">
        <f ca="1">C367-A367+G366*(1+'normal case'!M367/100)</f>
        <v>0</v>
      </c>
      <c r="H367" s="136">
        <f ca="1">IF(ABS(G367/'normal case'!D368-H366)&lt;0.0000001,H366,G367/'normal case'!D368)</f>
        <v>0</v>
      </c>
    </row>
    <row r="368" spans="1:8">
      <c r="A368" s="135">
        <f ca="1">('main page'!$U$31/100)*'normal case'!D369</f>
        <v>20</v>
      </c>
      <c r="B368" s="136"/>
      <c r="C368" s="135">
        <f ca="1">'normal case'!AG369-'normal case'!AG368+IF(controls!$B$33=1,(1+(('main page'!$K$35/100)))*C367,'public finance'!C367)</f>
        <v>20</v>
      </c>
      <c r="D368" s="136">
        <f ca="1">IF(ABS(((A368-C368)/'normal case'!D369)-D367)&lt;0.0000001,D367,(A368-C368)/'normal case'!D369)</f>
        <v>0</v>
      </c>
      <c r="E368" s="136">
        <f ca="1">IF(ABS(D368-(G368*('normal case'!M369/100))/'normal case'!D369-E367)&lt;0.00001,E367,D368-(G368*('normal case'!M369/100))/'normal case'!D369)</f>
        <v>0</v>
      </c>
      <c r="F368" s="137">
        <f ca="1">F367*(1+'normal case'!L368/100)</f>
        <v>1404.9564578053983</v>
      </c>
      <c r="G368" s="135">
        <f ca="1">C368-A368+G367*(1+'normal case'!M368/100)</f>
        <v>0</v>
      </c>
      <c r="H368" s="136">
        <f ca="1">IF(ABS(G368/'normal case'!D369-H367)&lt;0.0000001,H367,G368/'normal case'!D369)</f>
        <v>0</v>
      </c>
    </row>
    <row r="369" spans="1:8">
      <c r="A369" s="135">
        <f ca="1">('main page'!$U$31/100)*'normal case'!D370</f>
        <v>20</v>
      </c>
      <c r="B369" s="136"/>
      <c r="C369" s="135">
        <f ca="1">'normal case'!AG370-'normal case'!AG369+IF(controls!$B$33=1,(1+(('main page'!$K$35/100)))*C368,'public finance'!C368)</f>
        <v>20</v>
      </c>
      <c r="D369" s="136">
        <f ca="1">IF(ABS(((A369-C369)/'normal case'!D370)-D368)&lt;0.0000001,D368,(A369-C369)/'normal case'!D370)</f>
        <v>0</v>
      </c>
      <c r="E369" s="136">
        <f ca="1">IF(ABS(D369-(G369*('normal case'!M370/100))/'normal case'!D370-E368)&lt;0.00001,E368,D369-(G369*('normal case'!M370/100))/'normal case'!D370)</f>
        <v>0</v>
      </c>
      <c r="F369" s="137">
        <f ca="1">F368*(1+'normal case'!L369/100)</f>
        <v>1433.0555869615062</v>
      </c>
      <c r="G369" s="135">
        <f ca="1">C369-A369+G368*(1+'normal case'!M369/100)</f>
        <v>0</v>
      </c>
      <c r="H369" s="136">
        <f ca="1">IF(ABS(G369/'normal case'!D370-H368)&lt;0.0000001,H368,G369/'normal case'!D370)</f>
        <v>0</v>
      </c>
    </row>
    <row r="370" spans="1:8">
      <c r="A370" s="135">
        <f ca="1">('main page'!$U$31/100)*'normal case'!D371</f>
        <v>20</v>
      </c>
      <c r="B370" s="136"/>
      <c r="C370" s="135">
        <f ca="1">'normal case'!AG371-'normal case'!AG370+IF(controls!$B$33=1,(1+(('main page'!$K$35/100)))*C369,'public finance'!C369)</f>
        <v>20</v>
      </c>
      <c r="D370" s="136">
        <f ca="1">IF(ABS(((A370-C370)/'normal case'!D371)-D369)&lt;0.0000001,D369,(A370-C370)/'normal case'!D371)</f>
        <v>0</v>
      </c>
      <c r="E370" s="136">
        <f ca="1">IF(ABS(D370-(G370*('normal case'!M371/100))/'normal case'!D371-E369)&lt;0.00001,E369,D370-(G370*('normal case'!M371/100))/'normal case'!D371)</f>
        <v>0</v>
      </c>
      <c r="F370" s="137">
        <f ca="1">F369*(1+'normal case'!L370/100)</f>
        <v>1461.7166987007363</v>
      </c>
      <c r="G370" s="135">
        <f ca="1">C370-A370+G369*(1+'normal case'!M370/100)</f>
        <v>0</v>
      </c>
      <c r="H370" s="136">
        <f ca="1">IF(ABS(G370/'normal case'!D371-H369)&lt;0.0000001,H369,G370/'normal case'!D371)</f>
        <v>0</v>
      </c>
    </row>
    <row r="371" spans="1:8">
      <c r="A371" s="135">
        <f ca="1">('main page'!$U$31/100)*'normal case'!D372</f>
        <v>20</v>
      </c>
      <c r="B371" s="136"/>
      <c r="C371" s="135">
        <f ca="1">'normal case'!AG372-'normal case'!AG371+IF(controls!$B$33=1,(1+(('main page'!$K$35/100)))*C370,'public finance'!C370)</f>
        <v>20</v>
      </c>
      <c r="D371" s="136">
        <f ca="1">IF(ABS(((A371-C371)/'normal case'!D372)-D370)&lt;0.0000001,D370,(A371-C371)/'normal case'!D372)</f>
        <v>0</v>
      </c>
      <c r="E371" s="136">
        <f ca="1">IF(ABS(D371-(G371*('normal case'!M372/100))/'normal case'!D372-E370)&lt;0.00001,E370,D371-(G371*('normal case'!M372/100))/'normal case'!D372)</f>
        <v>0</v>
      </c>
      <c r="F371" s="137">
        <f ca="1">F370*(1+'normal case'!L371/100)</f>
        <v>1490.9510326747511</v>
      </c>
      <c r="G371" s="135">
        <f ca="1">C371-A371+G370*(1+'normal case'!M371/100)</f>
        <v>0</v>
      </c>
      <c r="H371" s="136">
        <f ca="1">IF(ABS(G371/'normal case'!D372-H370)&lt;0.0000001,H370,G371/'normal case'!D372)</f>
        <v>0</v>
      </c>
    </row>
    <row r="372" spans="1:8">
      <c r="A372" s="135">
        <f ca="1">('main page'!$U$31/100)*'normal case'!D373</f>
        <v>20</v>
      </c>
      <c r="B372" s="136"/>
      <c r="C372" s="135">
        <f ca="1">'normal case'!AG373-'normal case'!AG372+IF(controls!$B$33=1,(1+(('main page'!$K$35/100)))*C371,'public finance'!C371)</f>
        <v>20</v>
      </c>
      <c r="D372" s="136">
        <f ca="1">IF(ABS(((A372-C372)/'normal case'!D373)-D371)&lt;0.0000001,D371,(A372-C372)/'normal case'!D373)</f>
        <v>0</v>
      </c>
      <c r="E372" s="136">
        <f ca="1">IF(ABS(D372-(G372*('normal case'!M373/100))/'normal case'!D373-E371)&lt;0.00001,E371,D372-(G372*('normal case'!M373/100))/'normal case'!D373)</f>
        <v>0</v>
      </c>
      <c r="F372" s="137">
        <f ca="1">F371*(1+'normal case'!L372/100)</f>
        <v>1520.7700533282461</v>
      </c>
      <c r="G372" s="135">
        <f ca="1">C372-A372+G371*(1+'normal case'!M372/100)</f>
        <v>0</v>
      </c>
      <c r="H372" s="136">
        <f ca="1">IF(ABS(G372/'normal case'!D373-H371)&lt;0.0000001,H371,G372/'normal case'!D373)</f>
        <v>0</v>
      </c>
    </row>
    <row r="373" spans="1:8">
      <c r="A373" s="135">
        <f ca="1">('main page'!$U$31/100)*'normal case'!D374</f>
        <v>20</v>
      </c>
      <c r="B373" s="136"/>
      <c r="C373" s="135">
        <f ca="1">'normal case'!AG374-'normal case'!AG373+IF(controls!$B$33=1,(1+(('main page'!$K$35/100)))*C372,'public finance'!C372)</f>
        <v>20</v>
      </c>
      <c r="D373" s="136">
        <f ca="1">IF(ABS(((A373-C373)/'normal case'!D374)-D372)&lt;0.0000001,D372,(A373-C373)/'normal case'!D374)</f>
        <v>0</v>
      </c>
      <c r="E373" s="136">
        <f ca="1">IF(ABS(D373-(G373*('normal case'!M374/100))/'normal case'!D374-E372)&lt;0.00001,E372,D373-(G373*('normal case'!M374/100))/'normal case'!D374)</f>
        <v>0</v>
      </c>
      <c r="F373" s="137">
        <f ca="1">F372*(1+'normal case'!L373/100)</f>
        <v>1551.1854543948111</v>
      </c>
      <c r="G373" s="135">
        <f ca="1">C373-A373+G372*(1+'normal case'!M373/100)</f>
        <v>0</v>
      </c>
      <c r="H373" s="136">
        <f ca="1">IF(ABS(G373/'normal case'!D374-H372)&lt;0.0000001,H372,G373/'normal case'!D374)</f>
        <v>0</v>
      </c>
    </row>
    <row r="374" spans="1:8">
      <c r="A374" s="135">
        <f ca="1">('main page'!$U$31/100)*'normal case'!D375</f>
        <v>20</v>
      </c>
      <c r="B374" s="136"/>
      <c r="C374" s="135">
        <f ca="1">'normal case'!AG375-'normal case'!AG374+IF(controls!$B$33=1,(1+(('main page'!$K$35/100)))*C373,'public finance'!C373)</f>
        <v>20</v>
      </c>
      <c r="D374" s="136">
        <f ca="1">IF(ABS(((A374-C374)/'normal case'!D375)-D373)&lt;0.0000001,D373,(A374-C374)/'normal case'!D375)</f>
        <v>0</v>
      </c>
      <c r="E374" s="136">
        <f ca="1">IF(ABS(D374-(G374*('normal case'!M375/100))/'normal case'!D375-E373)&lt;0.00001,E373,D374-(G374*('normal case'!M375/100))/'normal case'!D375)</f>
        <v>0</v>
      </c>
      <c r="F374" s="137">
        <f ca="1">F373*(1+'normal case'!L374/100)</f>
        <v>1582.2091634827075</v>
      </c>
      <c r="G374" s="135">
        <f ca="1">C374-A374+G373*(1+'normal case'!M374/100)</f>
        <v>0</v>
      </c>
      <c r="H374" s="136">
        <f ca="1">IF(ABS(G374/'normal case'!D375-H373)&lt;0.0000001,H373,G374/'normal case'!D375)</f>
        <v>0</v>
      </c>
    </row>
    <row r="375" spans="1:8">
      <c r="A375" s="135">
        <f ca="1">('main page'!$U$31/100)*'normal case'!D376</f>
        <v>20</v>
      </c>
      <c r="B375" s="136"/>
      <c r="C375" s="135">
        <f ca="1">'normal case'!AG376-'normal case'!AG375+IF(controls!$B$33=1,(1+(('main page'!$K$35/100)))*C374,'public finance'!C374)</f>
        <v>20</v>
      </c>
      <c r="D375" s="136">
        <f ca="1">IF(ABS(((A375-C375)/'normal case'!D376)-D374)&lt;0.0000001,D374,(A375-C375)/'normal case'!D376)</f>
        <v>0</v>
      </c>
      <c r="E375" s="136">
        <f ca="1">IF(ABS(D375-(G375*('normal case'!M376/100))/'normal case'!D376-E374)&lt;0.00001,E374,D375-(G375*('normal case'!M376/100))/'normal case'!D376)</f>
        <v>0</v>
      </c>
      <c r="F375" s="137">
        <f ca="1">F374*(1+'normal case'!L375/100)</f>
        <v>1613.8533467523616</v>
      </c>
      <c r="G375" s="135">
        <f ca="1">C375-A375+G374*(1+'normal case'!M375/100)</f>
        <v>0</v>
      </c>
      <c r="H375" s="136">
        <f ca="1">IF(ABS(G375/'normal case'!D376-H374)&lt;0.0000001,H374,G375/'normal case'!D376)</f>
        <v>0</v>
      </c>
    </row>
    <row r="376" spans="1:8">
      <c r="A376" s="135">
        <f ca="1">('main page'!$U$31/100)*'normal case'!D377</f>
        <v>20</v>
      </c>
      <c r="B376" s="136"/>
      <c r="C376" s="135">
        <f ca="1">'normal case'!AG377-'normal case'!AG376+IF(controls!$B$33=1,(1+(('main page'!$K$35/100)))*C375,'public finance'!C375)</f>
        <v>20</v>
      </c>
      <c r="D376" s="136">
        <f ca="1">IF(ABS(((A376-C376)/'normal case'!D377)-D375)&lt;0.0000001,D375,(A376-C376)/'normal case'!D377)</f>
        <v>0</v>
      </c>
      <c r="E376" s="136">
        <f ca="1">IF(ABS(D376-(G376*('normal case'!M377/100))/'normal case'!D377-E375)&lt;0.00001,E375,D376-(G376*('normal case'!M377/100))/'normal case'!D377)</f>
        <v>0</v>
      </c>
      <c r="F376" s="137">
        <f ca="1">F375*(1+'normal case'!L376/100)</f>
        <v>1646.1304136874089</v>
      </c>
      <c r="G376" s="135">
        <f ca="1">C376-A376+G375*(1+'normal case'!M376/100)</f>
        <v>0</v>
      </c>
      <c r="H376" s="136">
        <f ca="1">IF(ABS(G376/'normal case'!D377-H375)&lt;0.0000001,H375,G376/'normal case'!D377)</f>
        <v>0</v>
      </c>
    </row>
    <row r="377" spans="1:8">
      <c r="A377" s="135">
        <f ca="1">('main page'!$U$31/100)*'normal case'!D378</f>
        <v>20</v>
      </c>
      <c r="B377" s="136"/>
      <c r="C377" s="135">
        <f ca="1">'normal case'!AG378-'normal case'!AG377+IF(controls!$B$33=1,(1+(('main page'!$K$35/100)))*C376,'public finance'!C376)</f>
        <v>20</v>
      </c>
      <c r="D377" s="136">
        <f ca="1">IF(ABS(((A377-C377)/'normal case'!D378)-D376)&lt;0.0000001,D376,(A377-C377)/'normal case'!D378)</f>
        <v>0</v>
      </c>
      <c r="E377" s="136">
        <f ca="1">IF(ABS(D377-(G377*('normal case'!M378/100))/'normal case'!D378-E376)&lt;0.00001,E376,D377-(G377*('normal case'!M378/100))/'normal case'!D378)</f>
        <v>0</v>
      </c>
      <c r="F377" s="137">
        <f ca="1">F376*(1+'normal case'!L377/100)</f>
        <v>1679.0530219611571</v>
      </c>
      <c r="G377" s="135">
        <f ca="1">C377-A377+G376*(1+'normal case'!M377/100)</f>
        <v>0</v>
      </c>
      <c r="H377" s="136">
        <f ca="1">IF(ABS(G377/'normal case'!D378-H376)&lt;0.0000001,H376,G377/'normal case'!D378)</f>
        <v>0</v>
      </c>
    </row>
    <row r="378" spans="1:8">
      <c r="A378" s="135">
        <f ca="1">('main page'!$U$31/100)*'normal case'!D379</f>
        <v>20</v>
      </c>
      <c r="B378" s="136"/>
      <c r="C378" s="135">
        <f ca="1">'normal case'!AG379-'normal case'!AG378+IF(controls!$B$33=1,(1+(('main page'!$K$35/100)))*C377,'public finance'!C377)</f>
        <v>20</v>
      </c>
      <c r="D378" s="136">
        <f ca="1">IF(ABS(((A378-C378)/'normal case'!D379)-D377)&lt;0.0000001,D377,(A378-C378)/'normal case'!D379)</f>
        <v>0</v>
      </c>
      <c r="E378" s="136">
        <f ca="1">IF(ABS(D378-(G378*('normal case'!M379/100))/'normal case'!D379-E377)&lt;0.00001,E377,D378-(G378*('normal case'!M379/100))/'normal case'!D379)</f>
        <v>0</v>
      </c>
      <c r="F378" s="137">
        <f ca="1">F377*(1+'normal case'!L378/100)</f>
        <v>1712.6340824003803</v>
      </c>
      <c r="G378" s="135">
        <f ca="1">C378-A378+G377*(1+'normal case'!M378/100)</f>
        <v>0</v>
      </c>
      <c r="H378" s="136">
        <f ca="1">IF(ABS(G378/'normal case'!D379-H377)&lt;0.0000001,H377,G378/'normal case'!D379)</f>
        <v>0</v>
      </c>
    </row>
    <row r="379" spans="1:8">
      <c r="A379" s="135">
        <f ca="1">('main page'!$U$31/100)*'normal case'!D380</f>
        <v>20</v>
      </c>
      <c r="B379" s="136"/>
      <c r="C379" s="135">
        <f ca="1">'normal case'!AG380-'normal case'!AG379+IF(controls!$B$33=1,(1+(('main page'!$K$35/100)))*C378,'public finance'!C378)</f>
        <v>20</v>
      </c>
      <c r="D379" s="136">
        <f ca="1">IF(ABS(((A379-C379)/'normal case'!D380)-D378)&lt;0.0000001,D378,(A379-C379)/'normal case'!D380)</f>
        <v>0</v>
      </c>
      <c r="E379" s="136">
        <f ca="1">IF(ABS(D379-(G379*('normal case'!M380/100))/'normal case'!D380-E378)&lt;0.00001,E378,D379-(G379*('normal case'!M380/100))/'normal case'!D380)</f>
        <v>0</v>
      </c>
      <c r="F379" s="137">
        <f ca="1">F378*(1+'normal case'!L379/100)</f>
        <v>1746.8867640483879</v>
      </c>
      <c r="G379" s="135">
        <f ca="1">C379-A379+G378*(1+'normal case'!M379/100)</f>
        <v>0</v>
      </c>
      <c r="H379" s="136">
        <f ca="1">IF(ABS(G379/'normal case'!D380-H378)&lt;0.0000001,H378,G379/'normal case'!D380)</f>
        <v>0</v>
      </c>
    </row>
    <row r="380" spans="1:8">
      <c r="A380" s="135">
        <f ca="1">('main page'!$U$31/100)*'normal case'!D381</f>
        <v>20</v>
      </c>
      <c r="B380" s="136"/>
      <c r="C380" s="135">
        <f ca="1">'normal case'!AG381-'normal case'!AG380+IF(controls!$B$33=1,(1+(('main page'!$K$35/100)))*C379,'public finance'!C379)</f>
        <v>20</v>
      </c>
      <c r="D380" s="136">
        <f ca="1">IF(ABS(((A380-C380)/'normal case'!D381)-D379)&lt;0.0000001,D379,(A380-C380)/'normal case'!D381)</f>
        <v>0</v>
      </c>
      <c r="E380" s="136">
        <f ca="1">IF(ABS(D380-(G380*('normal case'!M381/100))/'normal case'!D381-E379)&lt;0.00001,E379,D380-(G380*('normal case'!M381/100))/'normal case'!D381)</f>
        <v>0</v>
      </c>
      <c r="F380" s="137">
        <f ca="1">F379*(1+'normal case'!L380/100)</f>
        <v>1781.8244993293558</v>
      </c>
      <c r="G380" s="135">
        <f ca="1">C380-A380+G379*(1+'normal case'!M380/100)</f>
        <v>0</v>
      </c>
      <c r="H380" s="136">
        <f ca="1">IF(ABS(G380/'normal case'!D381-H379)&lt;0.0000001,H379,G380/'normal case'!D381)</f>
        <v>0</v>
      </c>
    </row>
    <row r="381" spans="1:8">
      <c r="A381" s="135">
        <f ca="1">('main page'!$U$31/100)*'normal case'!D382</f>
        <v>20</v>
      </c>
      <c r="B381" s="136"/>
      <c r="C381" s="135">
        <f ca="1">'normal case'!AG382-'normal case'!AG381+IF(controls!$B$33=1,(1+(('main page'!$K$35/100)))*C380,'public finance'!C380)</f>
        <v>20</v>
      </c>
      <c r="D381" s="136">
        <f ca="1">IF(ABS(((A381-C381)/'normal case'!D382)-D380)&lt;0.0000001,D380,(A381-C381)/'normal case'!D382)</f>
        <v>0</v>
      </c>
      <c r="E381" s="136">
        <f ca="1">IF(ABS(D381-(G381*('normal case'!M382/100))/'normal case'!D382-E380)&lt;0.00001,E380,D381-(G381*('normal case'!M382/100))/'normal case'!D382)</f>
        <v>0</v>
      </c>
      <c r="F381" s="137">
        <f ca="1">F380*(1+'normal case'!L381/100)</f>
        <v>1817.4609893159429</v>
      </c>
      <c r="G381" s="135">
        <f ca="1">C381-A381+G380*(1+'normal case'!M381/100)</f>
        <v>0</v>
      </c>
      <c r="H381" s="136">
        <f ca="1">IF(ABS(G381/'normal case'!D382-H380)&lt;0.0000001,H380,G381/'normal case'!D382)</f>
        <v>0</v>
      </c>
    </row>
    <row r="382" spans="1:8">
      <c r="A382" s="135">
        <f ca="1">('main page'!$U$31/100)*'normal case'!D383</f>
        <v>20</v>
      </c>
      <c r="B382" s="136"/>
      <c r="C382" s="135">
        <f ca="1">'normal case'!AG383-'normal case'!AG382+IF(controls!$B$33=1,(1+(('main page'!$K$35/100)))*C381,'public finance'!C381)</f>
        <v>20</v>
      </c>
      <c r="D382" s="136">
        <f ca="1">IF(ABS(((A382-C382)/'normal case'!D383)-D381)&lt;0.0000001,D381,(A382-C382)/'normal case'!D383)</f>
        <v>0</v>
      </c>
      <c r="E382" s="136">
        <f ca="1">IF(ABS(D382-(G382*('normal case'!M383/100))/'normal case'!D383-E381)&lt;0.00001,E381,D382-(G382*('normal case'!M383/100))/'normal case'!D383)</f>
        <v>0</v>
      </c>
      <c r="F382" s="137">
        <f ca="1">F381*(1+'normal case'!L382/100)</f>
        <v>1853.8102091022618</v>
      </c>
      <c r="G382" s="135">
        <f ca="1">C382-A382+G381*(1+'normal case'!M382/100)</f>
        <v>0</v>
      </c>
      <c r="H382" s="136">
        <f ca="1">IF(ABS(G382/'normal case'!D383-H381)&lt;0.0000001,H381,G382/'normal case'!D383)</f>
        <v>0</v>
      </c>
    </row>
    <row r="383" spans="1:8">
      <c r="A383" s="135">
        <f ca="1">('main page'!$U$31/100)*'normal case'!D384</f>
        <v>20</v>
      </c>
      <c r="B383" s="136"/>
      <c r="C383" s="135">
        <f ca="1">'normal case'!AG384-'normal case'!AG383+IF(controls!$B$33=1,(1+(('main page'!$K$35/100)))*C382,'public finance'!C382)</f>
        <v>20</v>
      </c>
      <c r="D383" s="136">
        <f ca="1">IF(ABS(((A383-C383)/'normal case'!D384)-D382)&lt;0.0000001,D382,(A383-C383)/'normal case'!D384)</f>
        <v>0</v>
      </c>
      <c r="E383" s="136">
        <f ca="1">IF(ABS(D383-(G383*('normal case'!M384/100))/'normal case'!D384-E382)&lt;0.00001,E382,D383-(G383*('normal case'!M384/100))/'normal case'!D384)</f>
        <v>0</v>
      </c>
      <c r="F383" s="137">
        <f ca="1">F382*(1+'normal case'!L383/100)</f>
        <v>1890.8864132843071</v>
      </c>
      <c r="G383" s="135">
        <f ca="1">C383-A383+G382*(1+'normal case'!M383/100)</f>
        <v>0</v>
      </c>
      <c r="H383" s="136">
        <f ca="1">IF(ABS(G383/'normal case'!D384-H382)&lt;0.0000001,H382,G383/'normal case'!D384)</f>
        <v>0</v>
      </c>
    </row>
    <row r="384" spans="1:8">
      <c r="A384" s="135">
        <f ca="1">('main page'!$U$31/100)*'normal case'!D385</f>
        <v>20</v>
      </c>
      <c r="B384" s="136"/>
      <c r="C384" s="135">
        <f ca="1">'normal case'!AG385-'normal case'!AG384+IF(controls!$B$33=1,(1+(('main page'!$K$35/100)))*C383,'public finance'!C383)</f>
        <v>20</v>
      </c>
      <c r="D384" s="136">
        <f ca="1">IF(ABS(((A384-C384)/'normal case'!D385)-D383)&lt;0.0000001,D383,(A384-C384)/'normal case'!D385)</f>
        <v>0</v>
      </c>
      <c r="E384" s="136">
        <f ca="1">IF(ABS(D384-(G384*('normal case'!M385/100))/'normal case'!D385-E383)&lt;0.00001,E383,D384-(G384*('normal case'!M385/100))/'normal case'!D385)</f>
        <v>0</v>
      </c>
      <c r="F384" s="137">
        <f ca="1">F383*(1+'normal case'!L384/100)</f>
        <v>1928.7041415499932</v>
      </c>
      <c r="G384" s="135">
        <f ca="1">C384-A384+G383*(1+'normal case'!M384/100)</f>
        <v>0</v>
      </c>
      <c r="H384" s="136">
        <f ca="1">IF(ABS(G384/'normal case'!D385-H383)&lt;0.0000001,H383,G384/'normal case'!D385)</f>
        <v>0</v>
      </c>
    </row>
    <row r="385" spans="1:8">
      <c r="A385" s="135">
        <f ca="1">('main page'!$U$31/100)*'normal case'!D386</f>
        <v>20</v>
      </c>
      <c r="B385" s="136"/>
      <c r="C385" s="135">
        <f ca="1">'normal case'!AG386-'normal case'!AG385+IF(controls!$B$33=1,(1+(('main page'!$K$35/100)))*C384,'public finance'!C384)</f>
        <v>20</v>
      </c>
      <c r="D385" s="136">
        <f ca="1">IF(ABS(((A385-C385)/'normal case'!D386)-D384)&lt;0.0000001,D384,(A385-C385)/'normal case'!D386)</f>
        <v>0</v>
      </c>
      <c r="E385" s="136">
        <f ca="1">IF(ABS(D385-(G385*('normal case'!M386/100))/'normal case'!D386-E384)&lt;0.00001,E384,D385-(G385*('normal case'!M386/100))/'normal case'!D386)</f>
        <v>0</v>
      </c>
      <c r="F385" s="137">
        <f ca="1">F384*(1+'normal case'!L385/100)</f>
        <v>1967.2782243809932</v>
      </c>
      <c r="G385" s="135">
        <f ca="1">C385-A385+G384*(1+'normal case'!M385/100)</f>
        <v>0</v>
      </c>
      <c r="H385" s="136">
        <f ca="1">IF(ABS(G385/'normal case'!D386-H384)&lt;0.0000001,H384,G385/'normal case'!D386)</f>
        <v>0</v>
      </c>
    </row>
    <row r="386" spans="1:8">
      <c r="A386" s="135">
        <f ca="1">('main page'!$U$31/100)*'normal case'!D387</f>
        <v>20</v>
      </c>
      <c r="B386" s="136"/>
      <c r="C386" s="135">
        <f ca="1">'normal case'!AG387-'normal case'!AG386+IF(controls!$B$33=1,(1+(('main page'!$K$35/100)))*C385,'public finance'!C385)</f>
        <v>20</v>
      </c>
      <c r="D386" s="136">
        <f ca="1">IF(ABS(((A386-C386)/'normal case'!D387)-D385)&lt;0.0000001,D385,(A386-C386)/'normal case'!D387)</f>
        <v>0</v>
      </c>
      <c r="E386" s="136">
        <f ca="1">IF(ABS(D386-(G386*('normal case'!M387/100))/'normal case'!D387-E385)&lt;0.00001,E385,D386-(G386*('normal case'!M387/100))/'normal case'!D387)</f>
        <v>0</v>
      </c>
      <c r="F386" s="137">
        <f ca="1">F385*(1+'normal case'!L386/100)</f>
        <v>2006.623788868613</v>
      </c>
      <c r="G386" s="135">
        <f ca="1">C386-A386+G385*(1+'normal case'!M386/100)</f>
        <v>0</v>
      </c>
      <c r="H386" s="136">
        <f ca="1">IF(ABS(G386/'normal case'!D387-H385)&lt;0.0000001,H385,G386/'normal case'!D387)</f>
        <v>0</v>
      </c>
    </row>
    <row r="387" spans="1:8">
      <c r="A387" s="135">
        <f ca="1">('main page'!$U$31/100)*'normal case'!D388</f>
        <v>20</v>
      </c>
      <c r="B387" s="136"/>
      <c r="C387" s="135">
        <f ca="1">'normal case'!AG388-'normal case'!AG387+IF(controls!$B$33=1,(1+(('main page'!$K$35/100)))*C386,'public finance'!C386)</f>
        <v>20</v>
      </c>
      <c r="D387" s="136">
        <f ca="1">IF(ABS(((A387-C387)/'normal case'!D388)-D386)&lt;0.0000001,D386,(A387-C387)/'normal case'!D388)</f>
        <v>0</v>
      </c>
      <c r="E387" s="136">
        <f ca="1">IF(ABS(D387-(G387*('normal case'!M388/100))/'normal case'!D388-E386)&lt;0.00001,E386,D387-(G387*('normal case'!M388/100))/'normal case'!D388)</f>
        <v>0</v>
      </c>
      <c r="F387" s="137">
        <f ca="1">F386*(1+'normal case'!L387/100)</f>
        <v>2046.7562646459853</v>
      </c>
      <c r="G387" s="135">
        <f ca="1">C387-A387+G386*(1+'normal case'!M387/100)</f>
        <v>0</v>
      </c>
      <c r="H387" s="136">
        <f ca="1">IF(ABS(G387/'normal case'!D388-H386)&lt;0.0000001,H386,G387/'normal case'!D388)</f>
        <v>0</v>
      </c>
    </row>
    <row r="388" spans="1:8">
      <c r="A388" s="135">
        <f ca="1">('main page'!$U$31/100)*'normal case'!D389</f>
        <v>20</v>
      </c>
      <c r="B388" s="136"/>
      <c r="C388" s="135">
        <f ca="1">'normal case'!AG389-'normal case'!AG388+IF(controls!$B$33=1,(1+(('main page'!$K$35/100)))*C387,'public finance'!C387)</f>
        <v>20</v>
      </c>
      <c r="D388" s="136">
        <f ca="1">IF(ABS(((A388-C388)/'normal case'!D389)-D387)&lt;0.0000001,D387,(A388-C388)/'normal case'!D389)</f>
        <v>0</v>
      </c>
      <c r="E388" s="136">
        <f ca="1">IF(ABS(D388-(G388*('normal case'!M389/100))/'normal case'!D389-E387)&lt;0.00001,E387,D388-(G388*('normal case'!M389/100))/'normal case'!D389)</f>
        <v>0</v>
      </c>
      <c r="F388" s="137">
        <f ca="1">F387*(1+'normal case'!L388/100)</f>
        <v>2087.6913899389051</v>
      </c>
      <c r="G388" s="135">
        <f ca="1">C388-A388+G387*(1+'normal case'!M388/100)</f>
        <v>0</v>
      </c>
      <c r="H388" s="136">
        <f ca="1">IF(ABS(G388/'normal case'!D389-H387)&lt;0.0000001,H387,G388/'normal case'!D389)</f>
        <v>0</v>
      </c>
    </row>
    <row r="389" spans="1:8">
      <c r="A389" s="135">
        <f ca="1">('main page'!$U$31/100)*'normal case'!D390</f>
        <v>20</v>
      </c>
      <c r="B389" s="136"/>
      <c r="C389" s="135">
        <f ca="1">'normal case'!AG390-'normal case'!AG389+IF(controls!$B$33=1,(1+(('main page'!$K$35/100)))*C388,'public finance'!C388)</f>
        <v>20</v>
      </c>
      <c r="D389" s="136">
        <f ca="1">IF(ABS(((A389-C389)/'normal case'!D390)-D388)&lt;0.0000001,D388,(A389-C389)/'normal case'!D390)</f>
        <v>0</v>
      </c>
      <c r="E389" s="136">
        <f ca="1">IF(ABS(D389-(G389*('normal case'!M390/100))/'normal case'!D390-E388)&lt;0.00001,E388,D389-(G389*('normal case'!M390/100))/'normal case'!D390)</f>
        <v>0</v>
      </c>
      <c r="F389" s="137">
        <f ca="1">F388*(1+'normal case'!L389/100)</f>
        <v>2129.4452177376834</v>
      </c>
      <c r="G389" s="135">
        <f ca="1">C389-A389+G388*(1+'normal case'!M389/100)</f>
        <v>0</v>
      </c>
      <c r="H389" s="136">
        <f ca="1">IF(ABS(G389/'normal case'!D390-H388)&lt;0.0000001,H388,G389/'normal case'!D390)</f>
        <v>0</v>
      </c>
    </row>
    <row r="390" spans="1:8">
      <c r="A390" s="135">
        <f ca="1">('main page'!$U$31/100)*'normal case'!D391</f>
        <v>20</v>
      </c>
      <c r="B390" s="136"/>
      <c r="C390" s="135">
        <f ca="1">'normal case'!AG391-'normal case'!AG390+IF(controls!$B$33=1,(1+(('main page'!$K$35/100)))*C389,'public finance'!C389)</f>
        <v>20</v>
      </c>
      <c r="D390" s="136">
        <f ca="1">IF(ABS(((A390-C390)/'normal case'!D391)-D389)&lt;0.0000001,D389,(A390-C390)/'normal case'!D391)</f>
        <v>0</v>
      </c>
      <c r="E390" s="136">
        <f ca="1">IF(ABS(D390-(G390*('normal case'!M391/100))/'normal case'!D391-E389)&lt;0.00001,E389,D390-(G390*('normal case'!M391/100))/'normal case'!D391)</f>
        <v>0</v>
      </c>
      <c r="F390" s="137">
        <f ca="1">F389*(1+'normal case'!L390/100)</f>
        <v>2172.034122092437</v>
      </c>
      <c r="G390" s="135">
        <f ca="1">C390-A390+G389*(1+'normal case'!M390/100)</f>
        <v>0</v>
      </c>
      <c r="H390" s="136">
        <f ca="1">IF(ABS(G390/'normal case'!D391-H389)&lt;0.0000001,H389,G390/'normal case'!D391)</f>
        <v>0</v>
      </c>
    </row>
    <row r="391" spans="1:8">
      <c r="A391" s="135">
        <f ca="1">('main page'!$U$31/100)*'normal case'!D392</f>
        <v>20</v>
      </c>
      <c r="B391" s="136"/>
      <c r="C391" s="135">
        <f ca="1">'normal case'!AG392-'normal case'!AG391+IF(controls!$B$33=1,(1+(('main page'!$K$35/100)))*C390,'public finance'!C390)</f>
        <v>20</v>
      </c>
      <c r="D391" s="136">
        <f ca="1">IF(ABS(((A391-C391)/'normal case'!D392)-D390)&lt;0.0000001,D390,(A391-C391)/'normal case'!D392)</f>
        <v>0</v>
      </c>
      <c r="E391" s="136">
        <f ca="1">IF(ABS(D391-(G391*('normal case'!M392/100))/'normal case'!D392-E390)&lt;0.00001,E390,D391-(G391*('normal case'!M392/100))/'normal case'!D392)</f>
        <v>0</v>
      </c>
      <c r="F391" s="137">
        <f ca="1">F390*(1+'normal case'!L391/100)</f>
        <v>2215.4748045342858</v>
      </c>
      <c r="G391" s="135">
        <f ca="1">C391-A391+G390*(1+'normal case'!M391/100)</f>
        <v>0</v>
      </c>
      <c r="H391" s="136">
        <f ca="1">IF(ABS(G391/'normal case'!D392-H390)&lt;0.0000001,H390,G391/'normal case'!D392)</f>
        <v>0</v>
      </c>
    </row>
    <row r="392" spans="1:8">
      <c r="A392" s="135">
        <f ca="1">('main page'!$U$31/100)*'normal case'!D393</f>
        <v>20</v>
      </c>
      <c r="B392" s="136"/>
      <c r="C392" s="135">
        <f ca="1">'normal case'!AG393-'normal case'!AG392+IF(controls!$B$33=1,(1+(('main page'!$K$35/100)))*C391,'public finance'!C391)</f>
        <v>20</v>
      </c>
      <c r="D392" s="136">
        <f ca="1">IF(ABS(((A392-C392)/'normal case'!D393)-D391)&lt;0.0000001,D391,(A392-C392)/'normal case'!D393)</f>
        <v>0</v>
      </c>
      <c r="E392" s="136">
        <f ca="1">IF(ABS(D392-(G392*('normal case'!M393/100))/'normal case'!D393-E391)&lt;0.00001,E391,D392-(G392*('normal case'!M393/100))/'normal case'!D393)</f>
        <v>0</v>
      </c>
      <c r="F392" s="137">
        <f ca="1">F391*(1+'normal case'!L392/100)</f>
        <v>2259.7843006249714</v>
      </c>
      <c r="G392" s="135">
        <f ca="1">C392-A392+G391*(1+'normal case'!M392/100)</f>
        <v>0</v>
      </c>
      <c r="H392" s="136">
        <f ca="1">IF(ABS(G392/'normal case'!D393-H391)&lt;0.0000001,H391,G392/'normal case'!D393)</f>
        <v>0</v>
      </c>
    </row>
    <row r="393" spans="1:8">
      <c r="A393" s="135">
        <f ca="1">('main page'!$U$31/100)*'normal case'!D394</f>
        <v>20</v>
      </c>
      <c r="B393" s="136"/>
      <c r="C393" s="135">
        <f ca="1">'normal case'!AG394-'normal case'!AG393+IF(controls!$B$33=1,(1+(('main page'!$K$35/100)))*C392,'public finance'!C392)</f>
        <v>20</v>
      </c>
      <c r="D393" s="136">
        <f ca="1">IF(ABS(((A393-C393)/'normal case'!D394)-D392)&lt;0.0000001,D392,(A393-C393)/'normal case'!D394)</f>
        <v>0</v>
      </c>
      <c r="E393" s="136">
        <f ca="1">IF(ABS(D393-(G393*('normal case'!M394/100))/'normal case'!D394-E392)&lt;0.00001,E392,D393-(G393*('normal case'!M394/100))/'normal case'!D394)</f>
        <v>0</v>
      </c>
      <c r="F393" s="137">
        <f ca="1">F392*(1+'normal case'!L393/100)</f>
        <v>2304.979986637471</v>
      </c>
      <c r="G393" s="135">
        <f ca="1">C393-A393+G392*(1+'normal case'!M393/100)</f>
        <v>0</v>
      </c>
      <c r="H393" s="136">
        <f ca="1">IF(ABS(G393/'normal case'!D394-H392)&lt;0.0000001,H392,G393/'normal case'!D394)</f>
        <v>0</v>
      </c>
    </row>
    <row r="394" spans="1:8">
      <c r="A394" s="135">
        <f ca="1">('main page'!$U$31/100)*'normal case'!D395</f>
        <v>20</v>
      </c>
      <c r="B394" s="136"/>
      <c r="C394" s="135">
        <f ca="1">'normal case'!AG395-'normal case'!AG394+IF(controls!$B$33=1,(1+(('main page'!$K$35/100)))*C393,'public finance'!C393)</f>
        <v>20</v>
      </c>
      <c r="D394" s="136">
        <f ca="1">IF(ABS(((A394-C394)/'normal case'!D395)-D393)&lt;0.0000001,D393,(A394-C394)/'normal case'!D395)</f>
        <v>0</v>
      </c>
      <c r="E394" s="136">
        <f ca="1">IF(ABS(D394-(G394*('normal case'!M395/100))/'normal case'!D395-E393)&lt;0.00001,E393,D394-(G394*('normal case'!M395/100))/'normal case'!D395)</f>
        <v>0</v>
      </c>
      <c r="F394" s="137">
        <f ca="1">F393*(1+'normal case'!L394/100)</f>
        <v>2351.0795863702206</v>
      </c>
      <c r="G394" s="135">
        <f ca="1">C394-A394+G393*(1+'normal case'!M394/100)</f>
        <v>0</v>
      </c>
      <c r="H394" s="136">
        <f ca="1">IF(ABS(G394/'normal case'!D395-H393)&lt;0.0000001,H393,G394/'normal case'!D395)</f>
        <v>0</v>
      </c>
    </row>
    <row r="395" spans="1:8">
      <c r="A395" s="135">
        <f ca="1">('main page'!$U$31/100)*'normal case'!D396</f>
        <v>20</v>
      </c>
      <c r="B395" s="136"/>
      <c r="C395" s="135">
        <f ca="1">'normal case'!AG396-'normal case'!AG395+IF(controls!$B$33=1,(1+(('main page'!$K$35/100)))*C394,'public finance'!C394)</f>
        <v>20</v>
      </c>
      <c r="D395" s="136">
        <f ca="1">IF(ABS(((A395-C395)/'normal case'!D396)-D394)&lt;0.0000001,D394,(A395-C395)/'normal case'!D396)</f>
        <v>0</v>
      </c>
      <c r="E395" s="136">
        <f ca="1">IF(ABS(D395-(G395*('normal case'!M396/100))/'normal case'!D396-E394)&lt;0.00001,E394,D395-(G395*('normal case'!M396/100))/'normal case'!D396)</f>
        <v>0</v>
      </c>
      <c r="F395" s="137">
        <f ca="1">F394*(1+'normal case'!L395/100)</f>
        <v>2398.1011780976251</v>
      </c>
      <c r="G395" s="135">
        <f ca="1">C395-A395+G394*(1+'normal case'!M395/100)</f>
        <v>0</v>
      </c>
      <c r="H395" s="136">
        <f ca="1">IF(ABS(G395/'normal case'!D396-H394)&lt;0.0000001,H394,G395/'normal case'!D396)</f>
        <v>0</v>
      </c>
    </row>
    <row r="396" spans="1:8">
      <c r="A396" s="135">
        <f ca="1">('main page'!$U$31/100)*'normal case'!D397</f>
        <v>20</v>
      </c>
      <c r="B396" s="136"/>
      <c r="C396" s="135">
        <f ca="1">'normal case'!AG397-'normal case'!AG396+IF(controls!$B$33=1,(1+(('main page'!$K$35/100)))*C395,'public finance'!C395)</f>
        <v>20</v>
      </c>
      <c r="D396" s="136">
        <f ca="1">IF(ABS(((A396-C396)/'normal case'!D397)-D395)&lt;0.0000001,D395,(A396-C396)/'normal case'!D397)</f>
        <v>0</v>
      </c>
      <c r="E396" s="136">
        <f ca="1">IF(ABS(D396-(G396*('normal case'!M397/100))/'normal case'!D397-E395)&lt;0.00001,E395,D396-(G396*('normal case'!M397/100))/'normal case'!D397)</f>
        <v>0</v>
      </c>
      <c r="F396" s="137">
        <f ca="1">F395*(1+'normal case'!L396/100)</f>
        <v>2446.0632016595778</v>
      </c>
      <c r="G396" s="135">
        <f ca="1">C396-A396+G395*(1+'normal case'!M396/100)</f>
        <v>0</v>
      </c>
      <c r="H396" s="136">
        <f ca="1">IF(ABS(G396/'normal case'!D397-H395)&lt;0.0000001,H395,G396/'normal case'!D397)</f>
        <v>0</v>
      </c>
    </row>
    <row r="397" spans="1:8">
      <c r="A397" s="135">
        <f ca="1">('main page'!$U$31/100)*'normal case'!D398</f>
        <v>20</v>
      </c>
      <c r="B397" s="136"/>
      <c r="C397" s="135">
        <f ca="1">'normal case'!AG398-'normal case'!AG397+IF(controls!$B$33=1,(1+(('main page'!$K$35/100)))*C396,'public finance'!C396)</f>
        <v>20</v>
      </c>
      <c r="D397" s="136">
        <f ca="1">IF(ABS(((A397-C397)/'normal case'!D398)-D396)&lt;0.0000001,D396,(A397-C397)/'normal case'!D398)</f>
        <v>0</v>
      </c>
      <c r="E397" s="136">
        <f ca="1">IF(ABS(D397-(G397*('normal case'!M398/100))/'normal case'!D398-E396)&lt;0.00001,E396,D397-(G397*('normal case'!M398/100))/'normal case'!D398)</f>
        <v>0</v>
      </c>
      <c r="F397" s="137">
        <f ca="1">F396*(1+'normal case'!L397/100)</f>
        <v>2494.9844656927694</v>
      </c>
      <c r="G397" s="135">
        <f ca="1">C397-A397+G396*(1+'normal case'!M397/100)</f>
        <v>0</v>
      </c>
      <c r="H397" s="136">
        <f ca="1">IF(ABS(G397/'normal case'!D398-H396)&lt;0.0000001,H396,G397/'normal case'!D398)</f>
        <v>0</v>
      </c>
    </row>
    <row r="398" spans="1:8">
      <c r="A398" s="135">
        <f ca="1">('main page'!$U$31/100)*'normal case'!D399</f>
        <v>20</v>
      </c>
      <c r="B398" s="136"/>
      <c r="C398" s="135">
        <f ca="1">'normal case'!AG399-'normal case'!AG398+IF(controls!$B$33=1,(1+(('main page'!$K$35/100)))*C397,'public finance'!C397)</f>
        <v>20</v>
      </c>
      <c r="D398" s="136">
        <f ca="1">IF(ABS(((A398-C398)/'normal case'!D399)-D397)&lt;0.0000001,D397,(A398-C398)/'normal case'!D399)</f>
        <v>0</v>
      </c>
      <c r="E398" s="136">
        <f ca="1">IF(ABS(D398-(G398*('normal case'!M399/100))/'normal case'!D399-E397)&lt;0.00001,E397,D398-(G398*('normal case'!M399/100))/'normal case'!D399)</f>
        <v>0</v>
      </c>
      <c r="F398" s="137">
        <f ca="1">F397*(1+'normal case'!L398/100)</f>
        <v>2544.884155006625</v>
      </c>
      <c r="G398" s="135">
        <f ca="1">C398-A398+G397*(1+'normal case'!M398/100)</f>
        <v>0</v>
      </c>
      <c r="H398" s="136">
        <f ca="1">IF(ABS(G398/'normal case'!D399-H397)&lt;0.0000001,H397,G398/'normal case'!D399)</f>
        <v>0</v>
      </c>
    </row>
    <row r="399" spans="1:8">
      <c r="A399" s="135">
        <f ca="1">('main page'!$U$31/100)*'normal case'!D400</f>
        <v>20</v>
      </c>
      <c r="B399" s="136"/>
      <c r="C399" s="135">
        <f ca="1">'normal case'!AG400-'normal case'!AG399+IF(controls!$B$33=1,(1+(('main page'!$K$35/100)))*C398,'public finance'!C398)</f>
        <v>20</v>
      </c>
      <c r="D399" s="136">
        <f ca="1">IF(ABS(((A399-C399)/'normal case'!D400)-D398)&lt;0.0000001,D398,(A399-C399)/'normal case'!D400)</f>
        <v>0</v>
      </c>
      <c r="E399" s="136">
        <f ca="1">IF(ABS(D399-(G399*('normal case'!M400/100))/'normal case'!D400-E398)&lt;0.00001,E398,D399-(G399*('normal case'!M400/100))/'normal case'!D400)</f>
        <v>0</v>
      </c>
      <c r="F399" s="137">
        <f ca="1">F398*(1+'normal case'!L399/100)</f>
        <v>2595.7818381067573</v>
      </c>
      <c r="G399" s="135">
        <f ca="1">C399-A399+G398*(1+'normal case'!M399/100)</f>
        <v>0</v>
      </c>
      <c r="H399" s="136">
        <f ca="1">IF(ABS(G399/'normal case'!D400-H398)&lt;0.0000001,H398,G399/'normal case'!D400)</f>
        <v>0</v>
      </c>
    </row>
    <row r="400" spans="1:8">
      <c r="A400" s="135">
        <f ca="1">('main page'!$U$31/100)*'normal case'!D401</f>
        <v>20</v>
      </c>
      <c r="B400" s="136"/>
      <c r="C400" s="135">
        <f ca="1">'normal case'!AG401-'normal case'!AG400+IF(controls!$B$33=1,(1+(('main page'!$K$35/100)))*C399,'public finance'!C399)</f>
        <v>20</v>
      </c>
      <c r="D400" s="136">
        <f ca="1">IF(ABS(((A400-C400)/'normal case'!D401)-D399)&lt;0.0000001,D399,(A400-C400)/'normal case'!D401)</f>
        <v>0</v>
      </c>
      <c r="E400" s="136">
        <f ca="1">IF(ABS(D400-(G400*('normal case'!M401/100))/'normal case'!D401-E399)&lt;0.00001,E399,D400-(G400*('normal case'!M401/100))/'normal case'!D401)</f>
        <v>0</v>
      </c>
      <c r="F400" s="137">
        <f ca="1">F399*(1+'normal case'!L400/100)</f>
        <v>2647.6974748688926</v>
      </c>
      <c r="G400" s="135">
        <f ca="1">C400-A400+G399*(1+'normal case'!M400/100)</f>
        <v>0</v>
      </c>
      <c r="H400" s="136">
        <f ca="1">IF(ABS(G400/'normal case'!D401-H399)&lt;0.0000001,H399,G400/'normal case'!D401)</f>
        <v>0</v>
      </c>
    </row>
    <row r="401" spans="1:8">
      <c r="A401" s="135">
        <f ca="1">('main page'!$U$31/100)*'normal case'!D402</f>
        <v>20</v>
      </c>
      <c r="B401" s="136"/>
      <c r="C401" s="135">
        <f ca="1">'normal case'!AG402-'normal case'!AG401+IF(controls!$B$33=1,(1+(('main page'!$K$35/100)))*C400,'public finance'!C400)</f>
        <v>20</v>
      </c>
      <c r="D401" s="136">
        <f ca="1">IF(ABS(((A401-C401)/'normal case'!D402)-D400)&lt;0.0000001,D400,(A401-C401)/'normal case'!D402)</f>
        <v>0</v>
      </c>
      <c r="E401" s="136">
        <f ca="1">IF(ABS(D401-(G401*('normal case'!M402/100))/'normal case'!D402-E400)&lt;0.00001,E400,D401-(G401*('normal case'!M402/100))/'normal case'!D402)</f>
        <v>0</v>
      </c>
      <c r="F401" s="137">
        <f ca="1">F400*(1+'normal case'!L401/100)</f>
        <v>2700.6514243662705</v>
      </c>
      <c r="G401" s="135">
        <f ca="1">C401-A401+G400*(1+'normal case'!M401/100)</f>
        <v>0</v>
      </c>
      <c r="H401" s="136">
        <f ca="1">IF(ABS(G401/'normal case'!D402-H400)&lt;0.0000001,H400,G401/'normal case'!D402)</f>
        <v>0</v>
      </c>
    </row>
    <row r="402" spans="1:8">
      <c r="A402" s="135">
        <f ca="1">('main page'!$U$31/100)*'normal case'!D403</f>
        <v>20</v>
      </c>
      <c r="B402" s="136"/>
      <c r="C402" s="135">
        <f ca="1">'normal case'!AG403-'normal case'!AG402+IF(controls!$B$33=1,(1+(('main page'!$K$35/100)))*C401,'public finance'!C401)</f>
        <v>20</v>
      </c>
      <c r="D402" s="136">
        <f ca="1">IF(ABS(((A402-C402)/'normal case'!D403)-D401)&lt;0.0000001,D401,(A402-C402)/'normal case'!D403)</f>
        <v>0</v>
      </c>
      <c r="E402" s="136">
        <f ca="1">IF(ABS(D402-(G402*('normal case'!M403/100))/'normal case'!D403-E401)&lt;0.00001,E401,D402-(G402*('normal case'!M403/100))/'normal case'!D403)</f>
        <v>0</v>
      </c>
      <c r="F402" s="137">
        <f ca="1">F401*(1+'normal case'!L402/100)</f>
        <v>2754.6644528535958</v>
      </c>
      <c r="G402" s="135">
        <f ca="1">C402-A402+G401*(1+'normal case'!M402/100)</f>
        <v>0</v>
      </c>
      <c r="H402" s="136">
        <f ca="1">IF(ABS(G402/'normal case'!D403-H401)&lt;0.0000001,H401,G402/'normal case'!D403)</f>
        <v>0</v>
      </c>
    </row>
    <row r="403" spans="1:8">
      <c r="A403" s="135">
        <f ca="1">('main page'!$U$31/100)*'normal case'!D404</f>
        <v>20</v>
      </c>
      <c r="B403" s="136"/>
      <c r="C403" s="135">
        <f ca="1">'normal case'!AG404-'normal case'!AG403+IF(controls!$B$33=1,(1+(('main page'!$K$35/100)))*C402,'public finance'!C402)</f>
        <v>20</v>
      </c>
      <c r="D403" s="136">
        <f ca="1">IF(ABS(((A403-C403)/'normal case'!D404)-D402)&lt;0.0000001,D402,(A403-C403)/'normal case'!D404)</f>
        <v>0</v>
      </c>
      <c r="E403" s="136">
        <f ca="1">IF(ABS(D403-(G403*('normal case'!M404/100))/'normal case'!D404-E402)&lt;0.00001,E402,D403-(G403*('normal case'!M404/100))/'normal case'!D404)</f>
        <v>0</v>
      </c>
      <c r="F403" s="137">
        <f ca="1">F402*(1+'normal case'!L403/100)</f>
        <v>2809.7577419106678</v>
      </c>
      <c r="G403" s="135">
        <f ca="1">C403-A403+G402*(1+'normal case'!M403/100)</f>
        <v>0</v>
      </c>
      <c r="H403" s="136">
        <f ca="1">IF(ABS(G403/'normal case'!D404-H402)&lt;0.0000001,H402,G403/'normal case'!D404)</f>
        <v>0</v>
      </c>
    </row>
    <row r="404" spans="1:8">
      <c r="A404" s="135">
        <f ca="1">('main page'!$U$31/100)*'normal case'!D405</f>
        <v>20</v>
      </c>
      <c r="B404" s="136"/>
      <c r="C404" s="135">
        <f ca="1">'normal case'!AG405-'normal case'!AG404+IF(controls!$B$33=1,(1+(('main page'!$K$35/100)))*C403,'public finance'!C403)</f>
        <v>20</v>
      </c>
      <c r="D404" s="136">
        <f ca="1">IF(ABS(((A404-C404)/'normal case'!D405)-D403)&lt;0.0000001,D403,(A404-C404)/'normal case'!D405)</f>
        <v>0</v>
      </c>
      <c r="E404" s="136">
        <f ca="1">IF(ABS(D404-(G404*('normal case'!M405/100))/'normal case'!D405-E403)&lt;0.00001,E403,D404-(G404*('normal case'!M405/100))/'normal case'!D405)</f>
        <v>0</v>
      </c>
      <c r="F404" s="137">
        <f ca="1">F403*(1+'normal case'!L404/100)</f>
        <v>2865.9528967488814</v>
      </c>
      <c r="G404" s="135">
        <f ca="1">C404-A404+G403*(1+'normal case'!M404/100)</f>
        <v>0</v>
      </c>
      <c r="H404" s="136">
        <f ca="1">IF(ABS(G404/'normal case'!D405-H403)&lt;0.0000001,H403,G404/'normal case'!D405)</f>
        <v>0</v>
      </c>
    </row>
    <row r="405" spans="1:8">
      <c r="A405" s="135">
        <f ca="1">('main page'!$U$31/100)*'normal case'!D406</f>
        <v>20</v>
      </c>
      <c r="B405" s="136"/>
      <c r="C405" s="135">
        <f ca="1">'normal case'!AG406-'normal case'!AG405+IF(controls!$B$33=1,(1+(('main page'!$K$35/100)))*C404,'public finance'!C404)</f>
        <v>20</v>
      </c>
      <c r="D405" s="136">
        <f ca="1">IF(ABS(((A405-C405)/'normal case'!D406)-D404)&lt;0.0000001,D404,(A405-C405)/'normal case'!D406)</f>
        <v>0</v>
      </c>
      <c r="E405" s="136">
        <f ca="1">IF(ABS(D405-(G405*('normal case'!M406/100))/'normal case'!D406-E404)&lt;0.00001,E404,D405-(G405*('normal case'!M406/100))/'normal case'!D406)</f>
        <v>0</v>
      </c>
      <c r="F405" s="137">
        <f ca="1">F404*(1+'normal case'!L405/100)</f>
        <v>2923.2719546838589</v>
      </c>
      <c r="G405" s="135">
        <f ca="1">C405-A405+G404*(1+'normal case'!M405/100)</f>
        <v>0</v>
      </c>
      <c r="H405" s="136">
        <f ca="1">IF(ABS(G405/'normal case'!D406-H404)&lt;0.0000001,H404,G405/'normal case'!D406)</f>
        <v>0</v>
      </c>
    </row>
    <row r="406" spans="1:8">
      <c r="A406" s="135">
        <f ca="1">('main page'!$U$31/100)*'normal case'!D407</f>
        <v>20</v>
      </c>
      <c r="B406" s="136"/>
      <c r="C406" s="135">
        <f ca="1">'normal case'!AG407-'normal case'!AG406+IF(controls!$B$33=1,(1+(('main page'!$K$35/100)))*C405,'public finance'!C405)</f>
        <v>20</v>
      </c>
      <c r="D406" s="136">
        <f ca="1">IF(ABS(((A406-C406)/'normal case'!D407)-D405)&lt;0.0000001,D405,(A406-C406)/'normal case'!D407)</f>
        <v>0</v>
      </c>
      <c r="E406" s="136">
        <f ca="1">IF(ABS(D406-(G406*('normal case'!M407/100))/'normal case'!D407-E405)&lt;0.00001,E405,D406-(G406*('normal case'!M407/100))/'normal case'!D407)</f>
        <v>0</v>
      </c>
      <c r="F406" s="137">
        <f ca="1">F405*(1+'normal case'!L406/100)</f>
        <v>2981.737393777536</v>
      </c>
      <c r="G406" s="135">
        <f ca="1">C406-A406+G405*(1+'normal case'!M406/100)</f>
        <v>0</v>
      </c>
      <c r="H406" s="136">
        <f ca="1">IF(ABS(G406/'normal case'!D407-H405)&lt;0.0000001,H405,G406/'normal case'!D407)</f>
        <v>0</v>
      </c>
    </row>
    <row r="407" spans="1:8">
      <c r="A407" s="135">
        <f ca="1">('main page'!$U$31/100)*'normal case'!D408</f>
        <v>20</v>
      </c>
      <c r="B407" s="136"/>
      <c r="C407" s="135">
        <f ca="1">'normal case'!AG408-'normal case'!AG407+IF(controls!$B$33=1,(1+(('main page'!$K$35/100)))*C406,'public finance'!C406)</f>
        <v>20</v>
      </c>
      <c r="D407" s="136">
        <f ca="1">IF(ABS(((A407-C407)/'normal case'!D408)-D406)&lt;0.0000001,D406,(A407-C407)/'normal case'!D408)</f>
        <v>0</v>
      </c>
      <c r="E407" s="136">
        <f ca="1">IF(ABS(D407-(G407*('normal case'!M408/100))/'normal case'!D408-E406)&lt;0.00001,E406,D407-(G407*('normal case'!M408/100))/'normal case'!D408)</f>
        <v>0</v>
      </c>
      <c r="F407" s="137">
        <f ca="1">F406*(1+'normal case'!L407/100)</f>
        <v>3041.3721416530866</v>
      </c>
      <c r="G407" s="135">
        <f ca="1">C407-A407+G406*(1+'normal case'!M407/100)</f>
        <v>0</v>
      </c>
      <c r="H407" s="136">
        <f ca="1">IF(ABS(G407/'normal case'!D408-H406)&lt;0.0000001,H406,G407/'normal case'!D408)</f>
        <v>0</v>
      </c>
    </row>
    <row r="408" spans="1:8">
      <c r="A408" s="135">
        <f ca="1">('main page'!$U$31/100)*'normal case'!D409</f>
        <v>20</v>
      </c>
      <c r="B408" s="136"/>
      <c r="C408" s="135">
        <f ca="1">'normal case'!AG409-'normal case'!AG408+IF(controls!$B$33=1,(1+(('main page'!$K$35/100)))*C407,'public finance'!C407)</f>
        <v>20</v>
      </c>
      <c r="D408" s="136">
        <f ca="1">IF(ABS(((A408-C408)/'normal case'!D409)-D407)&lt;0.0000001,D407,(A408-C408)/'normal case'!D409)</f>
        <v>0</v>
      </c>
      <c r="E408" s="136">
        <f ca="1">IF(ABS(D408-(G408*('normal case'!M409/100))/'normal case'!D409-E407)&lt;0.00001,E407,D408-(G408*('normal case'!M409/100))/'normal case'!D409)</f>
        <v>0</v>
      </c>
      <c r="F408" s="137">
        <f ca="1">F407*(1+'normal case'!L408/100)</f>
        <v>3102.1995844861485</v>
      </c>
      <c r="G408" s="135">
        <f ca="1">C408-A408+G407*(1+'normal case'!M408/100)</f>
        <v>0</v>
      </c>
      <c r="H408" s="136">
        <f ca="1">IF(ABS(G408/'normal case'!D409-H407)&lt;0.0000001,H407,G408/'normal case'!D409)</f>
        <v>0</v>
      </c>
    </row>
    <row r="409" spans="1:8">
      <c r="A409" s="135">
        <f ca="1">('main page'!$U$31/100)*'normal case'!D410</f>
        <v>20</v>
      </c>
      <c r="B409" s="136"/>
      <c r="C409" s="135">
        <f ca="1">'normal case'!AG410-'normal case'!AG409+IF(controls!$B$33=1,(1+(('main page'!$K$35/100)))*C408,'public finance'!C408)</f>
        <v>20</v>
      </c>
      <c r="D409" s="136">
        <f ca="1">IF(ABS(((A409-C409)/'normal case'!D410)-D408)&lt;0.0000001,D408,(A409-C409)/'normal case'!D410)</f>
        <v>0</v>
      </c>
      <c r="E409" s="136">
        <f ca="1">IF(ABS(D409-(G409*('normal case'!M410/100))/'normal case'!D410-E408)&lt;0.00001,E408,D409-(G409*('normal case'!M410/100))/'normal case'!D410)</f>
        <v>0</v>
      </c>
      <c r="F409" s="137">
        <f ca="1">F408*(1+'normal case'!L409/100)</f>
        <v>3164.2435761758716</v>
      </c>
      <c r="G409" s="135">
        <f ca="1">C409-A409+G408*(1+'normal case'!M409/100)</f>
        <v>0</v>
      </c>
      <c r="H409" s="136">
        <f ca="1">IF(ABS(G409/'normal case'!D410-H408)&lt;0.0000001,H408,G409/'normal case'!D410)</f>
        <v>0</v>
      </c>
    </row>
    <row r="410" spans="1:8">
      <c r="A410" s="135">
        <f ca="1">('main page'!$U$31/100)*'normal case'!D411</f>
        <v>20</v>
      </c>
      <c r="B410" s="136"/>
      <c r="C410" s="135">
        <f ca="1">'normal case'!AG411-'normal case'!AG410+IF(controls!$B$33=1,(1+(('main page'!$K$35/100)))*C409,'public finance'!C409)</f>
        <v>20</v>
      </c>
      <c r="D410" s="136">
        <f ca="1">IF(ABS(((A410-C410)/'normal case'!D411)-D409)&lt;0.0000001,D409,(A410-C410)/'normal case'!D411)</f>
        <v>0</v>
      </c>
      <c r="E410" s="136">
        <f ca="1">IF(ABS(D410-(G410*('normal case'!M411/100))/'normal case'!D411-E409)&lt;0.00001,E409,D410-(G410*('normal case'!M411/100))/'normal case'!D411)</f>
        <v>0</v>
      </c>
      <c r="F410" s="137">
        <f ca="1">F409*(1+'normal case'!L410/100)</f>
        <v>3227.5284476993888</v>
      </c>
      <c r="G410" s="135">
        <f ca="1">C410-A410+G409*(1+'normal case'!M410/100)</f>
        <v>0</v>
      </c>
      <c r="H410" s="136">
        <f ca="1">IF(ABS(G410/'normal case'!D411-H409)&lt;0.0000001,H409,G410/'normal case'!D411)</f>
        <v>0</v>
      </c>
    </row>
    <row r="411" spans="1:8">
      <c r="A411" s="135">
        <f ca="1">('main page'!$U$31/100)*'normal case'!D412</f>
        <v>20</v>
      </c>
      <c r="B411" s="136"/>
      <c r="C411" s="135">
        <f ca="1">'normal case'!AG412-'normal case'!AG411+IF(controls!$B$33=1,(1+(('main page'!$K$35/100)))*C410,'public finance'!C410)</f>
        <v>20</v>
      </c>
      <c r="D411" s="136">
        <f ca="1">IF(ABS(((A411-C411)/'normal case'!D412)-D410)&lt;0.0000001,D410,(A411-C411)/'normal case'!D412)</f>
        <v>0</v>
      </c>
      <c r="E411" s="136">
        <f ca="1">IF(ABS(D411-(G411*('normal case'!M412/100))/'normal case'!D412-E410)&lt;0.00001,E410,D411-(G411*('normal case'!M412/100))/'normal case'!D412)</f>
        <v>0</v>
      </c>
      <c r="F411" s="137">
        <f ca="1">F410*(1+'normal case'!L411/100)</f>
        <v>3292.0790166533766</v>
      </c>
      <c r="G411" s="135">
        <f ca="1">C411-A411+G410*(1+'normal case'!M411/100)</f>
        <v>0</v>
      </c>
      <c r="H411" s="136">
        <f ca="1">IF(ABS(G411/'normal case'!D412-H410)&lt;0.0000001,H410,G411/'normal case'!D412)</f>
        <v>0</v>
      </c>
    </row>
    <row r="412" spans="1:8">
      <c r="A412" s="135">
        <f ca="1">('main page'!$U$31/100)*'normal case'!D413</f>
        <v>20</v>
      </c>
      <c r="B412" s="136"/>
      <c r="C412" s="135">
        <f ca="1">'normal case'!AG413-'normal case'!AG412+IF(controls!$B$33=1,(1+(('main page'!$K$35/100)))*C411,'public finance'!C411)</f>
        <v>20</v>
      </c>
      <c r="D412" s="136">
        <f ca="1">IF(ABS(((A412-C412)/'normal case'!D413)-D411)&lt;0.0000001,D411,(A412-C412)/'normal case'!D413)</f>
        <v>0</v>
      </c>
      <c r="E412" s="136">
        <f ca="1">IF(ABS(D412-(G412*('normal case'!M413/100))/'normal case'!D413-E411)&lt;0.00001,E411,D412-(G412*('normal case'!M413/100))/'normal case'!D413)</f>
        <v>0</v>
      </c>
      <c r="F412" s="137">
        <f ca="1">F411*(1+'normal case'!L412/100)</f>
        <v>3357.9205969864443</v>
      </c>
      <c r="G412" s="135">
        <f ca="1">C412-A412+G411*(1+'normal case'!M412/100)</f>
        <v>0</v>
      </c>
      <c r="H412" s="136">
        <f ca="1">IF(ABS(G412/'normal case'!D413-H411)&lt;0.0000001,H411,G412/'normal case'!D413)</f>
        <v>0</v>
      </c>
    </row>
    <row r="413" spans="1:8">
      <c r="A413" s="135">
        <f ca="1">('main page'!$U$31/100)*'normal case'!D414</f>
        <v>20</v>
      </c>
      <c r="B413" s="136"/>
      <c r="C413" s="135">
        <f ca="1">'normal case'!AG414-'normal case'!AG413+IF(controls!$B$33=1,(1+(('main page'!$K$35/100)))*C412,'public finance'!C412)</f>
        <v>20</v>
      </c>
      <c r="D413" s="136">
        <f ca="1">IF(ABS(((A413-C413)/'normal case'!D414)-D412)&lt;0.0000001,D412,(A413-C413)/'normal case'!D414)</f>
        <v>0</v>
      </c>
      <c r="E413" s="136">
        <f ca="1">IF(ABS(D413-(G413*('normal case'!M414/100))/'normal case'!D414-E412)&lt;0.00001,E412,D413-(G413*('normal case'!M414/100))/'normal case'!D414)</f>
        <v>0</v>
      </c>
      <c r="F413" s="137">
        <f ca="1">F412*(1+'normal case'!L413/100)</f>
        <v>3425.0790089261732</v>
      </c>
      <c r="G413" s="135">
        <f ca="1">C413-A413+G412*(1+'normal case'!M413/100)</f>
        <v>0</v>
      </c>
      <c r="H413" s="136">
        <f ca="1">IF(ABS(G413/'normal case'!D414-H412)&lt;0.0000001,H412,G413/'normal case'!D414)</f>
        <v>0</v>
      </c>
    </row>
    <row r="414" spans="1:8">
      <c r="A414" s="135">
        <f ca="1">('main page'!$U$31/100)*'normal case'!D415</f>
        <v>20</v>
      </c>
      <c r="B414" s="136"/>
      <c r="C414" s="135">
        <f ca="1">'normal case'!AG415-'normal case'!AG414+IF(controls!$B$33=1,(1+(('main page'!$K$35/100)))*C413,'public finance'!C413)</f>
        <v>20</v>
      </c>
      <c r="D414" s="136">
        <f ca="1">IF(ABS(((A414-C414)/'normal case'!D415)-D413)&lt;0.0000001,D413,(A414-C414)/'normal case'!D415)</f>
        <v>0</v>
      </c>
      <c r="E414" s="136">
        <f ca="1">IF(ABS(D414-(G414*('normal case'!M415/100))/'normal case'!D415-E413)&lt;0.00001,E413,D414-(G414*('normal case'!M415/100))/'normal case'!D415)</f>
        <v>0</v>
      </c>
      <c r="F414" s="137">
        <f ca="1">F413*(1+'normal case'!L414/100)</f>
        <v>3493.5805891046966</v>
      </c>
      <c r="G414" s="135">
        <f ca="1">C414-A414+G413*(1+'normal case'!M414/100)</f>
        <v>0</v>
      </c>
      <c r="H414" s="136">
        <f ca="1">IF(ABS(G414/'normal case'!D415-H413)&lt;0.0000001,H413,G414/'normal case'!D415)</f>
        <v>0</v>
      </c>
    </row>
    <row r="415" spans="1:8">
      <c r="A415" s="135">
        <f ca="1">('main page'!$U$31/100)*'normal case'!D416</f>
        <v>20</v>
      </c>
      <c r="B415" s="136"/>
      <c r="C415" s="135">
        <f ca="1">'normal case'!AG416-'normal case'!AG415+IF(controls!$B$33=1,(1+(('main page'!$K$35/100)))*C414,'public finance'!C414)</f>
        <v>20</v>
      </c>
      <c r="D415" s="136">
        <f ca="1">IF(ABS(((A415-C415)/'normal case'!D416)-D414)&lt;0.0000001,D414,(A415-C415)/'normal case'!D416)</f>
        <v>0</v>
      </c>
      <c r="E415" s="136">
        <f ca="1">IF(ABS(D415-(G415*('normal case'!M416/100))/'normal case'!D416-E414)&lt;0.00001,E414,D415-(G415*('normal case'!M416/100))/'normal case'!D416)</f>
        <v>0</v>
      </c>
      <c r="F415" s="137">
        <f ca="1">F414*(1+'normal case'!L415/100)</f>
        <v>3563.4522008867907</v>
      </c>
      <c r="G415" s="135">
        <f ca="1">C415-A415+G414*(1+'normal case'!M415/100)</f>
        <v>0</v>
      </c>
      <c r="H415" s="136">
        <f ca="1">IF(ABS(G415/'normal case'!D416-H414)&lt;0.0000001,H414,G415/'normal case'!D416)</f>
        <v>0</v>
      </c>
    </row>
    <row r="416" spans="1:8">
      <c r="A416" s="135">
        <f ca="1">('main page'!$U$31/100)*'normal case'!D417</f>
        <v>20</v>
      </c>
      <c r="B416" s="136"/>
      <c r="C416" s="135">
        <f ca="1">'normal case'!AG417-'normal case'!AG416+IF(controls!$B$33=1,(1+(('main page'!$K$35/100)))*C415,'public finance'!C415)</f>
        <v>20</v>
      </c>
      <c r="D416" s="136">
        <f ca="1">IF(ABS(((A416-C416)/'normal case'!D417)-D415)&lt;0.0000001,D415,(A416-C416)/'normal case'!D417)</f>
        <v>0</v>
      </c>
      <c r="E416" s="136">
        <f ca="1">IF(ABS(D416-(G416*('normal case'!M417/100))/'normal case'!D417-E415)&lt;0.00001,E415,D416-(G416*('normal case'!M417/100))/'normal case'!D417)</f>
        <v>0</v>
      </c>
      <c r="F416" s="137">
        <f ca="1">F415*(1+'normal case'!L416/100)</f>
        <v>3634.7212449045264</v>
      </c>
      <c r="G416" s="135">
        <f ca="1">C416-A416+G415*(1+'normal case'!M416/100)</f>
        <v>0</v>
      </c>
      <c r="H416" s="136">
        <f ca="1">IF(ABS(G416/'normal case'!D417-H415)&lt;0.0000001,H415,G416/'normal case'!D417)</f>
        <v>0</v>
      </c>
    </row>
    <row r="417" spans="1:8">
      <c r="A417" s="135">
        <f ca="1">('main page'!$U$31/100)*'normal case'!D418</f>
        <v>20</v>
      </c>
      <c r="B417" s="136"/>
      <c r="C417" s="135">
        <f ca="1">'normal case'!AG418-'normal case'!AG417+IF(controls!$B$33=1,(1+(('main page'!$K$35/100)))*C416,'public finance'!C416)</f>
        <v>20</v>
      </c>
      <c r="D417" s="136">
        <f ca="1">IF(ABS(((A417-C417)/'normal case'!D418)-D416)&lt;0.0000001,D416,(A417-C417)/'normal case'!D418)</f>
        <v>0</v>
      </c>
      <c r="E417" s="136">
        <f ca="1">IF(ABS(D417-(G417*('normal case'!M418/100))/'normal case'!D418-E416)&lt;0.00001,E416,D417-(G417*('normal case'!M418/100))/'normal case'!D418)</f>
        <v>0</v>
      </c>
      <c r="F417" s="137">
        <f ca="1">F416*(1+'normal case'!L417/100)</f>
        <v>3707.4156698026172</v>
      </c>
      <c r="G417" s="135">
        <f ca="1">C417-A417+G416*(1+'normal case'!M417/100)</f>
        <v>0</v>
      </c>
      <c r="H417" s="136">
        <f ca="1">IF(ABS(G417/'normal case'!D418-H416)&lt;0.0000001,H416,G417/'normal case'!D418)</f>
        <v>0</v>
      </c>
    </row>
    <row r="418" spans="1:8">
      <c r="A418" s="135">
        <f ca="1">('main page'!$U$31/100)*'normal case'!D419</f>
        <v>20</v>
      </c>
      <c r="B418" s="136"/>
      <c r="C418" s="135">
        <f ca="1">'normal case'!AG419-'normal case'!AG418+IF(controls!$B$33=1,(1+(('main page'!$K$35/100)))*C417,'public finance'!C417)</f>
        <v>20</v>
      </c>
      <c r="D418" s="136">
        <f ca="1">IF(ABS(((A418-C418)/'normal case'!D419)-D417)&lt;0.0000001,D417,(A418-C418)/'normal case'!D419)</f>
        <v>0</v>
      </c>
      <c r="E418" s="136">
        <f ca="1">IF(ABS(D418-(G418*('normal case'!M419/100))/'normal case'!D419-E417)&lt;0.00001,E417,D418-(G418*('normal case'!M419/100))/'normal case'!D419)</f>
        <v>0</v>
      </c>
      <c r="F418" s="137">
        <f ca="1">F417*(1+'normal case'!L418/100)</f>
        <v>3781.5639831986696</v>
      </c>
      <c r="G418" s="135">
        <f ca="1">C418-A418+G417*(1+'normal case'!M418/100)</f>
        <v>0</v>
      </c>
      <c r="H418" s="136">
        <f ca="1">IF(ABS(G418/'normal case'!D419-H417)&lt;0.0000001,H417,G418/'normal case'!D419)</f>
        <v>0</v>
      </c>
    </row>
    <row r="419" spans="1:8">
      <c r="A419" s="135">
        <f ca="1">('main page'!$U$31/100)*'normal case'!D420</f>
        <v>20</v>
      </c>
      <c r="B419" s="136"/>
      <c r="C419" s="135">
        <f ca="1">'normal case'!AG420-'normal case'!AG419+IF(controls!$B$33=1,(1+(('main page'!$K$35/100)))*C418,'public finance'!C418)</f>
        <v>20</v>
      </c>
      <c r="D419" s="136">
        <f ca="1">IF(ABS(((A419-C419)/'normal case'!D420)-D418)&lt;0.0000001,D418,(A419-C419)/'normal case'!D420)</f>
        <v>0</v>
      </c>
      <c r="E419" s="136">
        <f ca="1">IF(ABS(D419-(G419*('normal case'!M420/100))/'normal case'!D420-E418)&lt;0.00001,E418,D419-(G419*('normal case'!M420/100))/'normal case'!D420)</f>
        <v>0</v>
      </c>
      <c r="F419" s="137">
        <f ca="1">F418*(1+'normal case'!L419/100)</f>
        <v>3857.1952628626432</v>
      </c>
      <c r="G419" s="135">
        <f ca="1">C419-A419+G418*(1+'normal case'!M419/100)</f>
        <v>0</v>
      </c>
      <c r="H419" s="136">
        <f ca="1">IF(ABS(G419/'normal case'!D420-H418)&lt;0.0000001,H418,G419/'normal case'!D420)</f>
        <v>0</v>
      </c>
    </row>
    <row r="420" spans="1:8">
      <c r="A420" s="135">
        <f ca="1">('main page'!$U$31/100)*'normal case'!D421</f>
        <v>20</v>
      </c>
      <c r="B420" s="136"/>
      <c r="C420" s="135">
        <f ca="1">'normal case'!AG421-'normal case'!AG420+IF(controls!$B$33=1,(1+(('main page'!$K$35/100)))*C419,'public finance'!C419)</f>
        <v>20</v>
      </c>
      <c r="D420" s="136">
        <f ca="1">IF(ABS(((A420-C420)/'normal case'!D421)-D419)&lt;0.0000001,D419,(A420-C420)/'normal case'!D421)</f>
        <v>0</v>
      </c>
      <c r="E420" s="136">
        <f ca="1">IF(ABS(D420-(G420*('normal case'!M421/100))/'normal case'!D421-E419)&lt;0.00001,E419,D420-(G420*('normal case'!M421/100))/'normal case'!D421)</f>
        <v>0</v>
      </c>
      <c r="F420" s="137">
        <f ca="1">F419*(1+'normal case'!L420/100)</f>
        <v>3934.3391681198959</v>
      </c>
      <c r="G420" s="135">
        <f ca="1">C420-A420+G419*(1+'normal case'!M420/100)</f>
        <v>0</v>
      </c>
      <c r="H420" s="136">
        <f ca="1">IF(ABS(G420/'normal case'!D421-H419)&lt;0.0000001,H419,G420/'normal case'!D421)</f>
        <v>0</v>
      </c>
    </row>
    <row r="421" spans="1:8">
      <c r="A421" s="135">
        <f ca="1">('main page'!$U$31/100)*'normal case'!D422</f>
        <v>20</v>
      </c>
      <c r="B421" s="136"/>
      <c r="C421" s="135">
        <f ca="1">'normal case'!AG422-'normal case'!AG421+IF(controls!$B$33=1,(1+(('main page'!$K$35/100)))*C420,'public finance'!C420)</f>
        <v>20</v>
      </c>
      <c r="D421" s="136">
        <f ca="1">IF(ABS(((A421-C421)/'normal case'!D422)-D420)&lt;0.0000001,D420,(A421-C421)/'normal case'!D422)</f>
        <v>0</v>
      </c>
      <c r="E421" s="136">
        <f ca="1">IF(ABS(D421-(G421*('normal case'!M422/100))/'normal case'!D422-E420)&lt;0.00001,E420,D421-(G421*('normal case'!M422/100))/'normal case'!D422)</f>
        <v>0</v>
      </c>
      <c r="F421" s="137">
        <f ca="1">F420*(1+'normal case'!L421/100)</f>
        <v>4013.0259514822937</v>
      </c>
      <c r="G421" s="135">
        <f ca="1">C421-A421+G420*(1+'normal case'!M421/100)</f>
        <v>0</v>
      </c>
      <c r="H421" s="136">
        <f ca="1">IF(ABS(G421/'normal case'!D422-H420)&lt;0.0000001,H420,G421/'normal case'!D422)</f>
        <v>0</v>
      </c>
    </row>
    <row r="422" spans="1:8">
      <c r="A422" s="135">
        <f ca="1">('main page'!$U$31/100)*'normal case'!D423</f>
        <v>20</v>
      </c>
      <c r="B422" s="136"/>
      <c r="C422" s="135">
        <f ca="1">'normal case'!AG423-'normal case'!AG422+IF(controls!$B$33=1,(1+(('main page'!$K$35/100)))*C421,'public finance'!C421)</f>
        <v>20</v>
      </c>
      <c r="D422" s="136">
        <f ca="1">IF(ABS(((A422-C422)/'normal case'!D423)-D421)&lt;0.0000001,D421,(A422-C422)/'normal case'!D423)</f>
        <v>0</v>
      </c>
      <c r="E422" s="136">
        <f ca="1">IF(ABS(D422-(G422*('normal case'!M423/100))/'normal case'!D423-E421)&lt;0.00001,E421,D422-(G422*('normal case'!M423/100))/'normal case'!D423)</f>
        <v>0</v>
      </c>
      <c r="F422" s="137">
        <f ca="1">F421*(1+'normal case'!L422/100)</f>
        <v>4093.2864705119396</v>
      </c>
      <c r="G422" s="135">
        <f ca="1">C422-A422+G421*(1+'normal case'!M422/100)</f>
        <v>0</v>
      </c>
      <c r="H422" s="136">
        <f ca="1">IF(ABS(G422/'normal case'!D423-H421)&lt;0.0000001,H421,G422/'normal case'!D423)</f>
        <v>0</v>
      </c>
    </row>
    <row r="423" spans="1:8">
      <c r="A423" s="135">
        <f ca="1">('main page'!$U$31/100)*'normal case'!D424</f>
        <v>20</v>
      </c>
      <c r="B423" s="136"/>
      <c r="C423" s="135">
        <f ca="1">'normal case'!AG424-'normal case'!AG423+IF(controls!$B$33=1,(1+(('main page'!$K$35/100)))*C422,'public finance'!C422)</f>
        <v>20</v>
      </c>
      <c r="D423" s="136">
        <f ca="1">IF(ABS(((A423-C423)/'normal case'!D424)-D422)&lt;0.0000001,D422,(A423-C423)/'normal case'!D424)</f>
        <v>0</v>
      </c>
      <c r="E423" s="136">
        <f ca="1">IF(ABS(D423-(G423*('normal case'!M424/100))/'normal case'!D424-E422)&lt;0.00001,E422,D423-(G423*('normal case'!M424/100))/'normal case'!D424)</f>
        <v>0</v>
      </c>
      <c r="F423" s="137">
        <f ca="1">F422*(1+'normal case'!L423/100)</f>
        <v>4175.1521999221786</v>
      </c>
      <c r="G423" s="135">
        <f ca="1">C423-A423+G422*(1+'normal case'!M423/100)</f>
        <v>0</v>
      </c>
      <c r="H423" s="136">
        <f ca="1">IF(ABS(G423/'normal case'!D424-H422)&lt;0.0000001,H422,G423/'normal case'!D424)</f>
        <v>0</v>
      </c>
    </row>
    <row r="424" spans="1:8">
      <c r="A424" s="135">
        <f ca="1">('main page'!$U$31/100)*'normal case'!D425</f>
        <v>20</v>
      </c>
      <c r="B424" s="136"/>
      <c r="C424" s="135">
        <f ca="1">'normal case'!AG425-'normal case'!AG424+IF(controls!$B$33=1,(1+(('main page'!$K$35/100)))*C423,'public finance'!C423)</f>
        <v>20</v>
      </c>
      <c r="D424" s="136">
        <f ca="1">IF(ABS(((A424-C424)/'normal case'!D425)-D423)&lt;0.0000001,D423,(A424-C424)/'normal case'!D425)</f>
        <v>0</v>
      </c>
      <c r="E424" s="136">
        <f ca="1">IF(ABS(D424-(G424*('normal case'!M425/100))/'normal case'!D425-E423)&lt;0.00001,E423,D424-(G424*('normal case'!M425/100))/'normal case'!D425)</f>
        <v>0</v>
      </c>
      <c r="F424" s="137">
        <f ca="1">F423*(1+'normal case'!L424/100)</f>
        <v>4258.6552439206225</v>
      </c>
      <c r="G424" s="135">
        <f ca="1">C424-A424+G423*(1+'normal case'!M424/100)</f>
        <v>0</v>
      </c>
      <c r="H424" s="136">
        <f ca="1">IF(ABS(G424/'normal case'!D425-H423)&lt;0.0000001,H423,G424/'normal case'!D425)</f>
        <v>0</v>
      </c>
    </row>
    <row r="425" spans="1:8">
      <c r="A425" s="135">
        <f ca="1">('main page'!$U$31/100)*'normal case'!D426</f>
        <v>20</v>
      </c>
      <c r="B425" s="136"/>
      <c r="C425" s="135">
        <f ca="1">'normal case'!AG426-'normal case'!AG425+IF(controls!$B$33=1,(1+(('main page'!$K$35/100)))*C424,'public finance'!C424)</f>
        <v>20</v>
      </c>
      <c r="D425" s="136">
        <f ca="1">IF(ABS(((A425-C425)/'normal case'!D426)-D424)&lt;0.0000001,D424,(A425-C425)/'normal case'!D426)</f>
        <v>0</v>
      </c>
      <c r="E425" s="136">
        <f ca="1">IF(ABS(D425-(G425*('normal case'!M426/100))/'normal case'!D426-E424)&lt;0.00001,E424,D425-(G425*('normal case'!M426/100))/'normal case'!D426)</f>
        <v>0</v>
      </c>
      <c r="F425" s="137">
        <f ca="1">F424*(1+'normal case'!L425/100)</f>
        <v>4343.8283487990348</v>
      </c>
      <c r="G425" s="135">
        <f ca="1">C425-A425+G424*(1+'normal case'!M425/100)</f>
        <v>0</v>
      </c>
      <c r="H425" s="136">
        <f ca="1">IF(ABS(G425/'normal case'!D426-H424)&lt;0.0000001,H424,G425/'normal case'!D426)</f>
        <v>0</v>
      </c>
    </row>
    <row r="426" spans="1:8">
      <c r="A426" s="135">
        <f ca="1">('main page'!$U$31/100)*'normal case'!D427</f>
        <v>20</v>
      </c>
      <c r="B426" s="136"/>
      <c r="C426" s="135">
        <f ca="1">'normal case'!AG427-'normal case'!AG426+IF(controls!$B$33=1,(1+(('main page'!$K$35/100)))*C425,'public finance'!C425)</f>
        <v>20</v>
      </c>
      <c r="D426" s="136">
        <f ca="1">IF(ABS(((A426-C426)/'normal case'!D427)-D425)&lt;0.0000001,D425,(A426-C426)/'normal case'!D427)</f>
        <v>0</v>
      </c>
      <c r="E426" s="136">
        <f ca="1">IF(ABS(D426-(G426*('normal case'!M427/100))/'normal case'!D427-E425)&lt;0.00001,E425,D426-(G426*('normal case'!M427/100))/'normal case'!D427)</f>
        <v>0</v>
      </c>
      <c r="F426" s="137">
        <f ca="1">F425*(1+'normal case'!L426/100)</f>
        <v>4430.7049157750153</v>
      </c>
      <c r="G426" s="135">
        <f ca="1">C426-A426+G425*(1+'normal case'!M426/100)</f>
        <v>0</v>
      </c>
      <c r="H426" s="136">
        <f ca="1">IF(ABS(G426/'normal case'!D427-H425)&lt;0.0000001,H425,G426/'normal case'!D427)</f>
        <v>0</v>
      </c>
    </row>
    <row r="427" spans="1:8">
      <c r="A427" s="135">
        <f ca="1">('main page'!$U$31/100)*'normal case'!D428</f>
        <v>20</v>
      </c>
      <c r="B427" s="136"/>
      <c r="C427" s="135">
        <f ca="1">'normal case'!AG428-'normal case'!AG427+IF(controls!$B$33=1,(1+(('main page'!$K$35/100)))*C426,'public finance'!C426)</f>
        <v>20</v>
      </c>
      <c r="D427" s="136">
        <f ca="1">IF(ABS(((A427-C427)/'normal case'!D428)-D426)&lt;0.0000001,D426,(A427-C427)/'normal case'!D428)</f>
        <v>0</v>
      </c>
      <c r="E427" s="136">
        <f ca="1">IF(ABS(D427-(G427*('normal case'!M428/100))/'normal case'!D428-E426)&lt;0.00001,E426,D427-(G427*('normal case'!M428/100))/'normal case'!D428)</f>
        <v>0</v>
      </c>
      <c r="F427" s="137">
        <f ca="1">F426*(1+'normal case'!L427/100)</f>
        <v>4519.3190140905153</v>
      </c>
      <c r="G427" s="135">
        <f ca="1">C427-A427+G426*(1+'normal case'!M427/100)</f>
        <v>0</v>
      </c>
      <c r="H427" s="136">
        <f ca="1">IF(ABS(G427/'normal case'!D428-H426)&lt;0.0000001,H426,G427/'normal case'!D428)</f>
        <v>0</v>
      </c>
    </row>
    <row r="428" spans="1:8">
      <c r="A428" s="135">
        <f ca="1">('main page'!$U$31/100)*'normal case'!D429</f>
        <v>20</v>
      </c>
      <c r="B428" s="136"/>
      <c r="C428" s="135">
        <f ca="1">'normal case'!AG429-'normal case'!AG428+IF(controls!$B$33=1,(1+(('main page'!$K$35/100)))*C427,'public finance'!C427)</f>
        <v>20</v>
      </c>
      <c r="D428" s="136">
        <f ca="1">IF(ABS(((A428-C428)/'normal case'!D429)-D427)&lt;0.0000001,D427,(A428-C428)/'normal case'!D429)</f>
        <v>0</v>
      </c>
      <c r="E428" s="136">
        <f ca="1">IF(ABS(D428-(G428*('normal case'!M429/100))/'normal case'!D429-E427)&lt;0.00001,E427,D428-(G428*('normal case'!M429/100))/'normal case'!D429)</f>
        <v>0</v>
      </c>
      <c r="F428" s="137">
        <f ca="1">F427*(1+'normal case'!L428/100)</f>
        <v>4609.7053943723258</v>
      </c>
      <c r="G428" s="135">
        <f ca="1">C428-A428+G427*(1+'normal case'!M428/100)</f>
        <v>0</v>
      </c>
      <c r="H428" s="136">
        <f ca="1">IF(ABS(G428/'normal case'!D429-H427)&lt;0.0000001,H427,G428/'normal case'!D429)</f>
        <v>0</v>
      </c>
    </row>
    <row r="429" spans="1:8">
      <c r="A429" s="135">
        <f ca="1">('main page'!$U$31/100)*'normal case'!D430</f>
        <v>20</v>
      </c>
      <c r="B429" s="136"/>
      <c r="C429" s="135">
        <f ca="1">'normal case'!AG430-'normal case'!AG429+IF(controls!$B$33=1,(1+(('main page'!$K$35/100)))*C428,'public finance'!C428)</f>
        <v>20</v>
      </c>
      <c r="D429" s="136">
        <f ca="1">IF(ABS(((A429-C429)/'normal case'!D430)-D428)&lt;0.0000001,D428,(A429-C429)/'normal case'!D430)</f>
        <v>0</v>
      </c>
      <c r="E429" s="136">
        <f ca="1">IF(ABS(D429-(G429*('normal case'!M430/100))/'normal case'!D430-E428)&lt;0.00001,E428,D429-(G429*('normal case'!M430/100))/'normal case'!D430)</f>
        <v>0</v>
      </c>
      <c r="F429" s="137">
        <f ca="1">F428*(1+'normal case'!L429/100)</f>
        <v>4701.8995022597728</v>
      </c>
      <c r="G429" s="135">
        <f ca="1">C429-A429+G428*(1+'normal case'!M429/100)</f>
        <v>0</v>
      </c>
      <c r="H429" s="136">
        <f ca="1">IF(ABS(G429/'normal case'!D430-H428)&lt;0.0000001,H428,G429/'normal case'!D430)</f>
        <v>0</v>
      </c>
    </row>
    <row r="430" spans="1:8">
      <c r="A430" s="135">
        <f ca="1">('main page'!$U$31/100)*'normal case'!D431</f>
        <v>20</v>
      </c>
      <c r="B430" s="136"/>
      <c r="C430" s="135">
        <f ca="1">'normal case'!AG431-'normal case'!AG430+IF(controls!$B$33=1,(1+(('main page'!$K$35/100)))*C429,'public finance'!C429)</f>
        <v>20</v>
      </c>
      <c r="D430" s="136">
        <f ca="1">IF(ABS(((A430-C430)/'normal case'!D431)-D429)&lt;0.0000001,D429,(A430-C430)/'normal case'!D431)</f>
        <v>0</v>
      </c>
      <c r="E430" s="136">
        <f ca="1">IF(ABS(D430-(G430*('normal case'!M431/100))/'normal case'!D431-E429)&lt;0.00001,E429,D430-(G430*('normal case'!M431/100))/'normal case'!D431)</f>
        <v>0</v>
      </c>
      <c r="F430" s="137">
        <f ca="1">F429*(1+'normal case'!L430/100)</f>
        <v>4795.9374923049681</v>
      </c>
      <c r="G430" s="135">
        <f ca="1">C430-A430+G429*(1+'normal case'!M430/100)</f>
        <v>0</v>
      </c>
      <c r="H430" s="136">
        <f ca="1">IF(ABS(G430/'normal case'!D431-H429)&lt;0.0000001,H429,G430/'normal case'!D431)</f>
        <v>0</v>
      </c>
    </row>
    <row r="431" spans="1:8">
      <c r="A431" s="135">
        <f ca="1">('main page'!$U$31/100)*'normal case'!D432</f>
        <v>20</v>
      </c>
      <c r="B431" s="136"/>
      <c r="C431" s="135">
        <f ca="1">'normal case'!AG432-'normal case'!AG431+IF(controls!$B$33=1,(1+(('main page'!$K$35/100)))*C430,'public finance'!C430)</f>
        <v>20</v>
      </c>
      <c r="D431" s="136">
        <f ca="1">IF(ABS(((A431-C431)/'normal case'!D432)-D430)&lt;0.0000001,D430,(A431-C431)/'normal case'!D432)</f>
        <v>0</v>
      </c>
      <c r="E431" s="136">
        <f ca="1">IF(ABS(D431-(G431*('normal case'!M432/100))/'normal case'!D432-E430)&lt;0.00001,E430,D431-(G431*('normal case'!M432/100))/'normal case'!D432)</f>
        <v>0</v>
      </c>
      <c r="F431" s="137">
        <f ca="1">F430*(1+'normal case'!L431/100)</f>
        <v>4891.8562421510678</v>
      </c>
      <c r="G431" s="135">
        <f ca="1">C431-A431+G430*(1+'normal case'!M431/100)</f>
        <v>0</v>
      </c>
      <c r="H431" s="136">
        <f ca="1">IF(ABS(G431/'normal case'!D432-H430)&lt;0.0000001,H430,G431/'normal case'!D432)</f>
        <v>0</v>
      </c>
    </row>
    <row r="432" spans="1:8">
      <c r="A432" s="135">
        <f ca="1">('main page'!$U$31/100)*'normal case'!D433</f>
        <v>20</v>
      </c>
      <c r="B432" s="136"/>
      <c r="C432" s="135">
        <f ca="1">'normal case'!AG433-'normal case'!AG432+IF(controls!$B$33=1,(1+(('main page'!$K$35/100)))*C431,'public finance'!C431)</f>
        <v>20</v>
      </c>
      <c r="D432" s="136">
        <f ca="1">IF(ABS(((A432-C432)/'normal case'!D433)-D431)&lt;0.0000001,D431,(A432-C432)/'normal case'!D433)</f>
        <v>0</v>
      </c>
      <c r="E432" s="136">
        <f ca="1">IF(ABS(D432-(G432*('normal case'!M433/100))/'normal case'!D433-E431)&lt;0.00001,E431,D432-(G432*('normal case'!M433/100))/'normal case'!D433)</f>
        <v>0</v>
      </c>
      <c r="F432" s="137">
        <f ca="1">F431*(1+'normal case'!L432/100)</f>
        <v>4989.693366994089</v>
      </c>
      <c r="G432" s="135">
        <f ca="1">C432-A432+G431*(1+'normal case'!M432/100)</f>
        <v>0</v>
      </c>
      <c r="H432" s="136">
        <f ca="1">IF(ABS(G432/'normal case'!D433-H431)&lt;0.0000001,H431,G432/'normal case'!D433)</f>
        <v>0</v>
      </c>
    </row>
    <row r="433" spans="1:8">
      <c r="A433" s="135">
        <f ca="1">('main page'!$U$31/100)*'normal case'!D434</f>
        <v>20</v>
      </c>
      <c r="B433" s="136"/>
      <c r="C433" s="135">
        <f ca="1">'normal case'!AG434-'normal case'!AG433+IF(controls!$B$33=1,(1+(('main page'!$K$35/100)))*C432,'public finance'!C432)</f>
        <v>20</v>
      </c>
      <c r="D433" s="136">
        <f ca="1">IF(ABS(((A433-C433)/'normal case'!D434)-D432)&lt;0.0000001,D432,(A433-C433)/'normal case'!D434)</f>
        <v>0</v>
      </c>
      <c r="E433" s="136">
        <f ca="1">IF(ABS(D433-(G433*('normal case'!M434/100))/'normal case'!D434-E432)&lt;0.00001,E432,D433-(G433*('normal case'!M434/100))/'normal case'!D434)</f>
        <v>0</v>
      </c>
      <c r="F433" s="137">
        <f ca="1">F432*(1+'normal case'!L433/100)</f>
        <v>5089.4872343339712</v>
      </c>
      <c r="G433" s="135">
        <f ca="1">C433-A433+G432*(1+'normal case'!M433/100)</f>
        <v>0</v>
      </c>
      <c r="H433" s="136">
        <f ca="1">IF(ABS(G433/'normal case'!D434-H432)&lt;0.0000001,H432,G433/'normal case'!D434)</f>
        <v>0</v>
      </c>
    </row>
    <row r="434" spans="1:8">
      <c r="A434" s="135">
        <f ca="1">('main page'!$U$31/100)*'normal case'!D435</f>
        <v>20</v>
      </c>
      <c r="B434" s="136"/>
      <c r="C434" s="135">
        <f ca="1">'normal case'!AG435-'normal case'!AG434+IF(controls!$B$33=1,(1+(('main page'!$K$35/100)))*C433,'public finance'!C433)</f>
        <v>20</v>
      </c>
      <c r="D434" s="136">
        <f ca="1">IF(ABS(((A434-C434)/'normal case'!D435)-D433)&lt;0.0000001,D433,(A434-C434)/'normal case'!D435)</f>
        <v>0</v>
      </c>
      <c r="E434" s="136">
        <f ca="1">IF(ABS(D434-(G434*('normal case'!M435/100))/'normal case'!D435-E433)&lt;0.00001,E433,D434-(G434*('normal case'!M435/100))/'normal case'!D435)</f>
        <v>0</v>
      </c>
      <c r="F434" s="137">
        <f ca="1">F433*(1+'normal case'!L434/100)</f>
        <v>5191.2769790206503</v>
      </c>
      <c r="G434" s="135">
        <f ca="1">C434-A434+G433*(1+'normal case'!M434/100)</f>
        <v>0</v>
      </c>
      <c r="H434" s="136">
        <f ca="1">IF(ABS(G434/'normal case'!D435-H433)&lt;0.0000001,H433,G434/'normal case'!D435)</f>
        <v>0</v>
      </c>
    </row>
    <row r="435" spans="1:8">
      <c r="A435" s="135">
        <f ca="1">('main page'!$U$31/100)*'normal case'!D436</f>
        <v>20</v>
      </c>
      <c r="B435" s="136"/>
      <c r="C435" s="135">
        <f ca="1">'normal case'!AG436-'normal case'!AG435+IF(controls!$B$33=1,(1+(('main page'!$K$35/100)))*C434,'public finance'!C434)</f>
        <v>20</v>
      </c>
      <c r="D435" s="136">
        <f ca="1">IF(ABS(((A435-C435)/'normal case'!D436)-D434)&lt;0.0000001,D434,(A435-C435)/'normal case'!D436)</f>
        <v>0</v>
      </c>
      <c r="E435" s="136">
        <f ca="1">IF(ABS(D435-(G435*('normal case'!M436/100))/'normal case'!D436-E434)&lt;0.00001,E434,D435-(G435*('normal case'!M436/100))/'normal case'!D436)</f>
        <v>0</v>
      </c>
      <c r="F435" s="137">
        <f ca="1">F434*(1+'normal case'!L435/100)</f>
        <v>5295.1025186010638</v>
      </c>
      <c r="G435" s="135">
        <f ca="1">C435-A435+G434*(1+'normal case'!M435/100)</f>
        <v>0</v>
      </c>
      <c r="H435" s="136">
        <f ca="1">IF(ABS(G435/'normal case'!D436-H434)&lt;0.0000001,H434,G435/'normal case'!D436)</f>
        <v>0</v>
      </c>
    </row>
    <row r="436" spans="1:8">
      <c r="A436" s="135">
        <f ca="1">('main page'!$U$31/100)*'normal case'!D437</f>
        <v>20</v>
      </c>
      <c r="B436" s="136"/>
      <c r="C436" s="135">
        <f ca="1">'normal case'!AG437-'normal case'!AG436+IF(controls!$B$33=1,(1+(('main page'!$K$35/100)))*C435,'public finance'!C435)</f>
        <v>20</v>
      </c>
      <c r="D436" s="136">
        <f ca="1">IF(ABS(((A436-C436)/'normal case'!D437)-D435)&lt;0.0000001,D435,(A436-C436)/'normal case'!D437)</f>
        <v>0</v>
      </c>
      <c r="E436" s="136">
        <f ca="1">IF(ABS(D436-(G436*('normal case'!M437/100))/'normal case'!D437-E435)&lt;0.00001,E435,D436-(G436*('normal case'!M437/100))/'normal case'!D437)</f>
        <v>0</v>
      </c>
      <c r="F436" s="137">
        <f ca="1">F435*(1+'normal case'!L436/100)</f>
        <v>5401.004568973085</v>
      </c>
      <c r="G436" s="135">
        <f ca="1">C436-A436+G435*(1+'normal case'!M436/100)</f>
        <v>0</v>
      </c>
      <c r="H436" s="136">
        <f ca="1">IF(ABS(G436/'normal case'!D437-H435)&lt;0.0000001,H435,G436/'normal case'!D437)</f>
        <v>0</v>
      </c>
    </row>
    <row r="437" spans="1:8">
      <c r="A437" s="135">
        <f ca="1">('main page'!$U$31/100)*'normal case'!D438</f>
        <v>20</v>
      </c>
      <c r="B437" s="136"/>
      <c r="C437" s="135">
        <f ca="1">'normal case'!AG438-'normal case'!AG437+IF(controls!$B$33=1,(1+(('main page'!$K$35/100)))*C436,'public finance'!C436)</f>
        <v>20</v>
      </c>
      <c r="D437" s="136">
        <f ca="1">IF(ABS(((A437-C437)/'normal case'!D438)-D436)&lt;0.0000001,D436,(A437-C437)/'normal case'!D438)</f>
        <v>0</v>
      </c>
      <c r="E437" s="136">
        <f ca="1">IF(ABS(D437-(G437*('normal case'!M438/100))/'normal case'!D438-E436)&lt;0.00001,E436,D437-(G437*('normal case'!M438/100))/'normal case'!D438)</f>
        <v>0</v>
      </c>
      <c r="F437" s="137">
        <f ca="1">F436*(1+'normal case'!L437/100)</f>
        <v>5509.0246603525466</v>
      </c>
      <c r="G437" s="135">
        <f ca="1">C437-A437+G436*(1+'normal case'!M437/100)</f>
        <v>0</v>
      </c>
      <c r="H437" s="136">
        <f ca="1">IF(ABS(G437/'normal case'!D438-H436)&lt;0.0000001,H436,G437/'normal case'!D438)</f>
        <v>0</v>
      </c>
    </row>
    <row r="438" spans="1:8">
      <c r="A438" s="135">
        <f ca="1">('main page'!$U$31/100)*'normal case'!D439</f>
        <v>20</v>
      </c>
      <c r="B438" s="136"/>
      <c r="C438" s="135">
        <f ca="1">'normal case'!AG439-'normal case'!AG438+IF(controls!$B$33=1,(1+(('main page'!$K$35/100)))*C437,'public finance'!C437)</f>
        <v>20</v>
      </c>
      <c r="D438" s="136">
        <f ca="1">IF(ABS(((A438-C438)/'normal case'!D439)-D437)&lt;0.0000001,D437,(A438-C438)/'normal case'!D439)</f>
        <v>0</v>
      </c>
      <c r="E438" s="136">
        <f ca="1">IF(ABS(D438-(G438*('normal case'!M439/100))/'normal case'!D439-E437)&lt;0.00001,E437,D438-(G438*('normal case'!M439/100))/'normal case'!D439)</f>
        <v>0</v>
      </c>
      <c r="F438" s="137">
        <f ca="1">F437*(1+'normal case'!L438/100)</f>
        <v>5619.2051535595974</v>
      </c>
      <c r="G438" s="135">
        <f ca="1">C438-A438+G437*(1+'normal case'!M438/100)</f>
        <v>0</v>
      </c>
      <c r="H438" s="136">
        <f ca="1">IF(ABS(G438/'normal case'!D439-H437)&lt;0.0000001,H437,G438/'normal case'!D439)</f>
        <v>0</v>
      </c>
    </row>
    <row r="439" spans="1:8">
      <c r="A439" s="135">
        <f ca="1">('main page'!$U$31/100)*'normal case'!D440</f>
        <v>20</v>
      </c>
      <c r="B439" s="136"/>
      <c r="C439" s="135">
        <f ca="1">'normal case'!AG440-'normal case'!AG439+IF(controls!$B$33=1,(1+(('main page'!$K$35/100)))*C438,'public finance'!C438)</f>
        <v>20</v>
      </c>
      <c r="D439" s="136">
        <f ca="1">IF(ABS(((A439-C439)/'normal case'!D440)-D438)&lt;0.0000001,D438,(A439-C439)/'normal case'!D440)</f>
        <v>0</v>
      </c>
      <c r="E439" s="136">
        <f ca="1">IF(ABS(D439-(G439*('normal case'!M440/100))/'normal case'!D440-E438)&lt;0.00001,E438,D439-(G439*('normal case'!M440/100))/'normal case'!D440)</f>
        <v>0</v>
      </c>
      <c r="F439" s="137">
        <f ca="1">F438*(1+'normal case'!L439/100)</f>
        <v>5731.5892566307894</v>
      </c>
      <c r="G439" s="135">
        <f ca="1">C439-A439+G438*(1+'normal case'!M439/100)</f>
        <v>0</v>
      </c>
      <c r="H439" s="136">
        <f ca="1">IF(ABS(G439/'normal case'!D440-H438)&lt;0.0000001,H438,G439/'normal case'!D440)</f>
        <v>0</v>
      </c>
    </row>
    <row r="440" spans="1:8">
      <c r="A440" s="135">
        <f ca="1">('main page'!$U$31/100)*'normal case'!D441</f>
        <v>20</v>
      </c>
      <c r="B440" s="136"/>
      <c r="C440" s="135">
        <f ca="1">'normal case'!AG441-'normal case'!AG440+IF(controls!$B$33=1,(1+(('main page'!$K$35/100)))*C439,'public finance'!C439)</f>
        <v>20</v>
      </c>
      <c r="D440" s="136">
        <f ca="1">IF(ABS(((A440-C440)/'normal case'!D441)-D439)&lt;0.0000001,D439,(A440-C440)/'normal case'!D441)</f>
        <v>0</v>
      </c>
      <c r="E440" s="136">
        <f ca="1">IF(ABS(D440-(G440*('normal case'!M441/100))/'normal case'!D441-E439)&lt;0.00001,E439,D440-(G440*('normal case'!M441/100))/'normal case'!D441)</f>
        <v>0</v>
      </c>
      <c r="F440" s="137">
        <f ca="1">F439*(1+'normal case'!L440/100)</f>
        <v>5846.2210417634051</v>
      </c>
      <c r="G440" s="135">
        <f ca="1">C440-A440+G439*(1+'normal case'!M440/100)</f>
        <v>0</v>
      </c>
      <c r="H440" s="136">
        <f ca="1">IF(ABS(G440/'normal case'!D441-H439)&lt;0.0000001,H439,G440/'normal case'!D441)</f>
        <v>0</v>
      </c>
    </row>
    <row r="441" spans="1:8">
      <c r="A441" s="135">
        <f ca="1">('main page'!$U$31/100)*'normal case'!D442</f>
        <v>20</v>
      </c>
      <c r="B441" s="136"/>
      <c r="C441" s="135">
        <f ca="1">'normal case'!AG442-'normal case'!AG441+IF(controls!$B$33=1,(1+(('main page'!$K$35/100)))*C440,'public finance'!C440)</f>
        <v>20</v>
      </c>
      <c r="D441" s="136">
        <f ca="1">IF(ABS(((A441-C441)/'normal case'!D442)-D440)&lt;0.0000001,D440,(A441-C441)/'normal case'!D442)</f>
        <v>0</v>
      </c>
      <c r="E441" s="136">
        <f ca="1">IF(ABS(D441-(G441*('normal case'!M442/100))/'normal case'!D442-E440)&lt;0.00001,E440,D441-(G441*('normal case'!M442/100))/'normal case'!D442)</f>
        <v>0</v>
      </c>
      <c r="F441" s="137">
        <f ca="1">F440*(1+'normal case'!L441/100)</f>
        <v>5963.1454625986735</v>
      </c>
      <c r="G441" s="135">
        <f ca="1">C441-A441+G440*(1+'normal case'!M441/100)</f>
        <v>0</v>
      </c>
      <c r="H441" s="136">
        <f ca="1">IF(ABS(G441/'normal case'!D442-H440)&lt;0.0000001,H440,G441/'normal case'!D442)</f>
        <v>0</v>
      </c>
    </row>
    <row r="442" spans="1:8">
      <c r="A442" s="135">
        <f ca="1">('main page'!$U$31/100)*'normal case'!D443</f>
        <v>20</v>
      </c>
      <c r="B442" s="136"/>
      <c r="C442" s="135">
        <f ca="1">'normal case'!AG443-'normal case'!AG442+IF(controls!$B$33=1,(1+(('main page'!$K$35/100)))*C441,'public finance'!C441)</f>
        <v>20</v>
      </c>
      <c r="D442" s="136">
        <f ca="1">IF(ABS(((A442-C442)/'normal case'!D443)-D441)&lt;0.0000001,D441,(A442-C442)/'normal case'!D443)</f>
        <v>0</v>
      </c>
      <c r="E442" s="136">
        <f ca="1">IF(ABS(D442-(G442*('normal case'!M443/100))/'normal case'!D443-E441)&lt;0.00001,E441,D442-(G442*('normal case'!M443/100))/'normal case'!D443)</f>
        <v>0</v>
      </c>
      <c r="F442" s="137">
        <f ca="1">F441*(1+'normal case'!L442/100)</f>
        <v>6082.4083718506472</v>
      </c>
      <c r="G442" s="135">
        <f ca="1">C442-A442+G441*(1+'normal case'!M442/100)</f>
        <v>0</v>
      </c>
      <c r="H442" s="136">
        <f ca="1">IF(ABS(G442/'normal case'!D443-H441)&lt;0.0000001,H441,G442/'normal case'!D443)</f>
        <v>0</v>
      </c>
    </row>
    <row r="443" spans="1:8">
      <c r="A443" s="135">
        <f ca="1">('main page'!$U$31/100)*'normal case'!D444</f>
        <v>20</v>
      </c>
      <c r="B443" s="136"/>
      <c r="C443" s="135">
        <f ca="1">'normal case'!AG444-'normal case'!AG443+IF(controls!$B$33=1,(1+(('main page'!$K$35/100)))*C442,'public finance'!C442)</f>
        <v>20</v>
      </c>
      <c r="D443" s="136">
        <f ca="1">IF(ABS(((A443-C443)/'normal case'!D444)-D442)&lt;0.0000001,D442,(A443-C443)/'normal case'!D444)</f>
        <v>0</v>
      </c>
      <c r="E443" s="136">
        <f ca="1">IF(ABS(D443-(G443*('normal case'!M444/100))/'normal case'!D444-E442)&lt;0.00001,E442,D443-(G443*('normal case'!M444/100))/'normal case'!D444)</f>
        <v>0</v>
      </c>
      <c r="F443" s="137">
        <f ca="1">F442*(1+'normal case'!L443/100)</f>
        <v>6204.0565392876606</v>
      </c>
      <c r="G443" s="135">
        <f ca="1">C443-A443+G442*(1+'normal case'!M443/100)</f>
        <v>0</v>
      </c>
      <c r="H443" s="136">
        <f ca="1">IF(ABS(G443/'normal case'!D444-H442)&lt;0.0000001,H442,G443/'normal case'!D444)</f>
        <v>0</v>
      </c>
    </row>
    <row r="444" spans="1:8">
      <c r="A444" s="135">
        <f ca="1">('main page'!$U$31/100)*'normal case'!D445</f>
        <v>20</v>
      </c>
      <c r="B444" s="136"/>
      <c r="C444" s="135">
        <f ca="1">'normal case'!AG445-'normal case'!AG444+IF(controls!$B$33=1,(1+(('main page'!$K$35/100)))*C443,'public finance'!C443)</f>
        <v>20</v>
      </c>
      <c r="D444" s="136">
        <f ca="1">IF(ABS(((A444-C444)/'normal case'!D445)-D443)&lt;0.0000001,D443,(A444-C444)/'normal case'!D445)</f>
        <v>0</v>
      </c>
      <c r="E444" s="136">
        <f ca="1">IF(ABS(D444-(G444*('normal case'!M445/100))/'normal case'!D445-E443)&lt;0.00001,E443,D444-(G444*('normal case'!M445/100))/'normal case'!D445)</f>
        <v>0</v>
      </c>
      <c r="F444" s="137">
        <f ca="1">F443*(1+'normal case'!L444/100)</f>
        <v>6328.1376700734136</v>
      </c>
      <c r="G444" s="135">
        <f ca="1">C444-A444+G443*(1+'normal case'!M444/100)</f>
        <v>0</v>
      </c>
      <c r="H444" s="136">
        <f ca="1">IF(ABS(G444/'normal case'!D445-H443)&lt;0.0000001,H443,G444/'normal case'!D445)</f>
        <v>0</v>
      </c>
    </row>
    <row r="445" spans="1:8">
      <c r="A445" s="135">
        <f ca="1">('main page'!$U$31/100)*'normal case'!D446</f>
        <v>20</v>
      </c>
      <c r="B445" s="136"/>
      <c r="C445" s="135">
        <f ca="1">'normal case'!AG446-'normal case'!AG445+IF(controls!$B$33=1,(1+(('main page'!$K$35/100)))*C444,'public finance'!C444)</f>
        <v>20</v>
      </c>
      <c r="D445" s="136">
        <f ca="1">IF(ABS(((A445-C445)/'normal case'!D446)-D444)&lt;0.0000001,D444,(A445-C445)/'normal case'!D446)</f>
        <v>0</v>
      </c>
      <c r="E445" s="136">
        <f ca="1">IF(ABS(D445-(G445*('normal case'!M446/100))/'normal case'!D446-E444)&lt;0.00001,E444,D445-(G445*('normal case'!M446/100))/'normal case'!D446)</f>
        <v>0</v>
      </c>
      <c r="F445" s="137">
        <f ca="1">F444*(1+'normal case'!L445/100)</f>
        <v>6454.700423474882</v>
      </c>
      <c r="G445" s="135">
        <f ca="1">C445-A445+G444*(1+'normal case'!M445/100)</f>
        <v>0</v>
      </c>
      <c r="H445" s="136">
        <f ca="1">IF(ABS(G445/'normal case'!D446-H444)&lt;0.0000001,H444,G445/'normal case'!D446)</f>
        <v>0</v>
      </c>
    </row>
    <row r="446" spans="1:8">
      <c r="A446" s="135">
        <f ca="1">('main page'!$U$31/100)*'normal case'!D447</f>
        <v>20</v>
      </c>
      <c r="B446" s="136"/>
      <c r="C446" s="135">
        <f ca="1">'normal case'!AG447-'normal case'!AG446+IF(controls!$B$33=1,(1+(('main page'!$K$35/100)))*C445,'public finance'!C445)</f>
        <v>20</v>
      </c>
      <c r="D446" s="136">
        <f ca="1">IF(ABS(((A446-C446)/'normal case'!D447)-D445)&lt;0.0000001,D445,(A446-C446)/'normal case'!D447)</f>
        <v>0</v>
      </c>
      <c r="E446" s="136">
        <f ca="1">IF(ABS(D446-(G446*('normal case'!M447/100))/'normal case'!D447-E445)&lt;0.00001,E445,D446-(G446*('normal case'!M447/100))/'normal case'!D447)</f>
        <v>0</v>
      </c>
      <c r="F446" s="137">
        <f ca="1">F445*(1+'normal case'!L446/100)</f>
        <v>6583.7944319443795</v>
      </c>
      <c r="G446" s="135">
        <f ca="1">C446-A446+G445*(1+'normal case'!M446/100)</f>
        <v>0</v>
      </c>
      <c r="H446" s="136">
        <f ca="1">IF(ABS(G446/'normal case'!D447-H445)&lt;0.0000001,H445,G446/'normal case'!D447)</f>
        <v>0</v>
      </c>
    </row>
    <row r="447" spans="1:8">
      <c r="A447" s="135">
        <f ca="1">('main page'!$U$31/100)*'normal case'!D448</f>
        <v>20</v>
      </c>
      <c r="B447" s="136"/>
      <c r="C447" s="135">
        <f ca="1">'normal case'!AG448-'normal case'!AG447+IF(controls!$B$33=1,(1+(('main page'!$K$35/100)))*C446,'public finance'!C446)</f>
        <v>20</v>
      </c>
      <c r="D447" s="136">
        <f ca="1">IF(ABS(((A447-C447)/'normal case'!D448)-D446)&lt;0.0000001,D446,(A447-C447)/'normal case'!D448)</f>
        <v>0</v>
      </c>
      <c r="E447" s="136">
        <f ca="1">IF(ABS(D447-(G447*('normal case'!M448/100))/'normal case'!D448-E446)&lt;0.00001,E446,D447-(G447*('normal case'!M448/100))/'normal case'!D448)</f>
        <v>0</v>
      </c>
      <c r="F447" s="137">
        <f ca="1">F446*(1+'normal case'!L447/100)</f>
        <v>6715.4703205832675</v>
      </c>
      <c r="G447" s="135">
        <f ca="1">C447-A447+G446*(1+'normal case'!M447/100)</f>
        <v>0</v>
      </c>
      <c r="H447" s="136">
        <f ca="1">IF(ABS(G447/'normal case'!D448-H446)&lt;0.0000001,H446,G447/'normal case'!D448)</f>
        <v>0</v>
      </c>
    </row>
    <row r="448" spans="1:8">
      <c r="A448" s="135">
        <f ca="1">('main page'!$U$31/100)*'normal case'!D449</f>
        <v>20</v>
      </c>
      <c r="B448" s="136"/>
      <c r="C448" s="135">
        <f ca="1">'normal case'!AG449-'normal case'!AG448+IF(controls!$B$33=1,(1+(('main page'!$K$35/100)))*C447,'public finance'!C447)</f>
        <v>20</v>
      </c>
      <c r="D448" s="136">
        <f ca="1">IF(ABS(((A448-C448)/'normal case'!D449)-D447)&lt;0.0000001,D447,(A448-C448)/'normal case'!D449)</f>
        <v>0</v>
      </c>
      <c r="E448" s="136">
        <f ca="1">IF(ABS(D448-(G448*('normal case'!M449/100))/'normal case'!D449-E447)&lt;0.00001,E447,D448-(G448*('normal case'!M449/100))/'normal case'!D449)</f>
        <v>0</v>
      </c>
      <c r="F448" s="137">
        <f ca="1">F447*(1+'normal case'!L448/100)</f>
        <v>6849.7797269949333</v>
      </c>
      <c r="G448" s="135">
        <f ca="1">C448-A448+G447*(1+'normal case'!M448/100)</f>
        <v>0</v>
      </c>
      <c r="H448" s="136">
        <f ca="1">IF(ABS(G448/'normal case'!D449-H447)&lt;0.0000001,H447,G448/'normal case'!D449)</f>
        <v>0</v>
      </c>
    </row>
    <row r="449" spans="1:8">
      <c r="A449" s="135">
        <f ca="1">('main page'!$U$31/100)*'normal case'!D450</f>
        <v>20</v>
      </c>
      <c r="B449" s="136"/>
      <c r="C449" s="135">
        <f ca="1">'normal case'!AG450-'normal case'!AG449+IF(controls!$B$33=1,(1+(('main page'!$K$35/100)))*C448,'public finance'!C448)</f>
        <v>20</v>
      </c>
      <c r="D449" s="136">
        <f ca="1">IF(ABS(((A449-C449)/'normal case'!D450)-D448)&lt;0.0000001,D448,(A449-C449)/'normal case'!D450)</f>
        <v>0</v>
      </c>
      <c r="E449" s="136">
        <f ca="1">IF(ABS(D449-(G449*('normal case'!M450/100))/'normal case'!D450-E448)&lt;0.00001,E448,D449-(G449*('normal case'!M450/100))/'normal case'!D450)</f>
        <v>0</v>
      </c>
      <c r="F449" s="137">
        <f ca="1">F448*(1+'normal case'!L449/100)</f>
        <v>6986.7753215348321</v>
      </c>
      <c r="G449" s="135">
        <f ca="1">C449-A449+G448*(1+'normal case'!M449/100)</f>
        <v>0</v>
      </c>
      <c r="H449" s="136">
        <f ca="1">IF(ABS(G449/'normal case'!D450-H448)&lt;0.0000001,H448,G449/'normal case'!D450)</f>
        <v>0</v>
      </c>
    </row>
    <row r="450" spans="1:8">
      <c r="A450" s="135">
        <f ca="1">('main page'!$U$31/100)*'normal case'!D451</f>
        <v>20</v>
      </c>
      <c r="B450" s="136"/>
      <c r="C450" s="135">
        <f ca="1">'normal case'!AG451-'normal case'!AG450+IF(controls!$B$33=1,(1+(('main page'!$K$35/100)))*C449,'public finance'!C449)</f>
        <v>20</v>
      </c>
      <c r="D450" s="136">
        <f ca="1">IF(ABS(((A450-C450)/'normal case'!D451)-D449)&lt;0.0000001,D449,(A450-C450)/'normal case'!D451)</f>
        <v>0</v>
      </c>
      <c r="E450" s="136">
        <f ca="1">IF(ABS(D450-(G450*('normal case'!M451/100))/'normal case'!D451-E449)&lt;0.00001,E449,D450-(G450*('normal case'!M451/100))/'normal case'!D451)</f>
        <v>0</v>
      </c>
      <c r="F450" s="137">
        <f ca="1">F449*(1+'normal case'!L450/100)</f>
        <v>7126.5108279655287</v>
      </c>
      <c r="G450" s="135">
        <f ca="1">C450-A450+G449*(1+'normal case'!M450/100)</f>
        <v>0</v>
      </c>
      <c r="H450" s="136">
        <f ca="1">IF(ABS(G450/'normal case'!D451-H449)&lt;0.0000001,H449,G450/'normal case'!D451)</f>
        <v>0</v>
      </c>
    </row>
    <row r="451" spans="1:8">
      <c r="A451" s="135">
        <f ca="1">('main page'!$U$31/100)*'normal case'!D452</f>
        <v>20</v>
      </c>
      <c r="B451" s="136"/>
      <c r="C451" s="135">
        <f ca="1">'normal case'!AG452-'normal case'!AG451+IF(controls!$B$33=1,(1+(('main page'!$K$35/100)))*C450,'public finance'!C450)</f>
        <v>20</v>
      </c>
      <c r="D451" s="136">
        <f ca="1">IF(ABS(((A451-C451)/'normal case'!D452)-D450)&lt;0.0000001,D450,(A451-C451)/'normal case'!D452)</f>
        <v>0</v>
      </c>
      <c r="E451" s="136">
        <f ca="1">IF(ABS(D451-(G451*('normal case'!M452/100))/'normal case'!D452-E450)&lt;0.00001,E450,D451-(G451*('normal case'!M452/100))/'normal case'!D452)</f>
        <v>0</v>
      </c>
      <c r="F451" s="137">
        <f ca="1">F450*(1+'normal case'!L451/100)</f>
        <v>7269.041044524839</v>
      </c>
      <c r="G451" s="135">
        <f ca="1">C451-A451+G450*(1+'normal case'!M451/100)</f>
        <v>0</v>
      </c>
      <c r="H451" s="136">
        <f ca="1">IF(ABS(G451/'normal case'!D452-H450)&lt;0.0000001,H450,G451/'normal case'!D452)</f>
        <v>0</v>
      </c>
    </row>
    <row r="452" spans="1:8">
      <c r="A452" s="135">
        <f ca="1">('main page'!$U$31/100)*'normal case'!D453</f>
        <v>20</v>
      </c>
      <c r="B452" s="136"/>
      <c r="C452" s="135">
        <f ca="1">'normal case'!AG453-'normal case'!AG452+IF(controls!$B$33=1,(1+(('main page'!$K$35/100)))*C451,'public finance'!C451)</f>
        <v>20</v>
      </c>
      <c r="D452" s="136">
        <f ca="1">IF(ABS(((A452-C452)/'normal case'!D453)-D451)&lt;0.0000001,D451,(A452-C452)/'normal case'!D453)</f>
        <v>0</v>
      </c>
      <c r="E452" s="136">
        <f ca="1">IF(ABS(D452-(G452*('normal case'!M453/100))/'normal case'!D453-E451)&lt;0.00001,E451,D452-(G452*('normal case'!M453/100))/'normal case'!D453)</f>
        <v>0</v>
      </c>
      <c r="F452" s="137">
        <f ca="1">F451*(1+'normal case'!L452/100)</f>
        <v>7414.4218654153356</v>
      </c>
      <c r="G452" s="135">
        <f ca="1">C452-A452+G451*(1+'normal case'!M452/100)</f>
        <v>0</v>
      </c>
      <c r="H452" s="136">
        <f ca="1">IF(ABS(G452/'normal case'!D453-H451)&lt;0.0000001,H451,G452/'normal case'!D453)</f>
        <v>0</v>
      </c>
    </row>
    <row r="453" spans="1:8">
      <c r="A453" s="135">
        <f ca="1">('main page'!$U$31/100)*'normal case'!D454</f>
        <v>20</v>
      </c>
      <c r="B453" s="136"/>
      <c r="C453" s="135">
        <f ca="1">'normal case'!AG454-'normal case'!AG453+IF(controls!$B$33=1,(1+(('main page'!$K$35/100)))*C452,'public finance'!C452)</f>
        <v>20</v>
      </c>
      <c r="D453" s="136">
        <f ca="1">IF(ABS(((A453-C453)/'normal case'!D454)-D452)&lt;0.0000001,D452,(A453-C453)/'normal case'!D454)</f>
        <v>0</v>
      </c>
      <c r="E453" s="136">
        <f ca="1">IF(ABS(D453-(G453*('normal case'!M454/100))/'normal case'!D454-E452)&lt;0.00001,E452,D453-(G453*('normal case'!M454/100))/'normal case'!D454)</f>
        <v>0</v>
      </c>
      <c r="F453" s="137">
        <f ca="1">F452*(1+'normal case'!L453/100)</f>
        <v>7562.7103027236426</v>
      </c>
      <c r="G453" s="135">
        <f ca="1">C453-A453+G452*(1+'normal case'!M453/100)</f>
        <v>0</v>
      </c>
      <c r="H453" s="136">
        <f ca="1">IF(ABS(G453/'normal case'!D454-H452)&lt;0.0000001,H452,G453/'normal case'!D454)</f>
        <v>0</v>
      </c>
    </row>
    <row r="454" spans="1:8">
      <c r="A454" s="135">
        <f ca="1">('main page'!$U$31/100)*'normal case'!D455</f>
        <v>20</v>
      </c>
      <c r="B454" s="136"/>
      <c r="C454" s="135">
        <f ca="1">'normal case'!AG455-'normal case'!AG454+IF(controls!$B$33=1,(1+(('main page'!$K$35/100)))*C453,'public finance'!C453)</f>
        <v>20</v>
      </c>
      <c r="D454" s="136">
        <f ca="1">IF(ABS(((A454-C454)/'normal case'!D455)-D453)&lt;0.0000001,D453,(A454-C454)/'normal case'!D455)</f>
        <v>0</v>
      </c>
      <c r="E454" s="136">
        <f ca="1">IF(ABS(D454-(G454*('normal case'!M455/100))/'normal case'!D455-E453)&lt;0.00001,E453,D454-(G454*('normal case'!M455/100))/'normal case'!D455)</f>
        <v>0</v>
      </c>
      <c r="F454" s="137">
        <f ca="1">F453*(1+'normal case'!L454/100)</f>
        <v>7713.9645087781155</v>
      </c>
      <c r="G454" s="135">
        <f ca="1">C454-A454+G453*(1+'normal case'!M454/100)</f>
        <v>0</v>
      </c>
      <c r="H454" s="136">
        <f ca="1">IF(ABS(G454/'normal case'!D455-H453)&lt;0.0000001,H453,G454/'normal case'!D455)</f>
        <v>0</v>
      </c>
    </row>
    <row r="455" spans="1:8">
      <c r="A455" s="135">
        <f ca="1">('main page'!$U$31/100)*'normal case'!D456</f>
        <v>20</v>
      </c>
      <c r="B455" s="136"/>
      <c r="C455" s="135">
        <f ca="1">'normal case'!AG456-'normal case'!AG455+IF(controls!$B$33=1,(1+(('main page'!$K$35/100)))*C454,'public finance'!C454)</f>
        <v>20</v>
      </c>
      <c r="D455" s="136">
        <f ca="1">IF(ABS(((A455-C455)/'normal case'!D456)-D454)&lt;0.0000001,D454,(A455-C455)/'normal case'!D456)</f>
        <v>0</v>
      </c>
      <c r="E455" s="136">
        <f ca="1">IF(ABS(D455-(G455*('normal case'!M456/100))/'normal case'!D456-E454)&lt;0.00001,E454,D455-(G455*('normal case'!M456/100))/'normal case'!D456)</f>
        <v>0</v>
      </c>
      <c r="F455" s="137">
        <f ca="1">F454*(1+'normal case'!L455/100)</f>
        <v>7868.2437989536784</v>
      </c>
      <c r="G455" s="135">
        <f ca="1">C455-A455+G454*(1+'normal case'!M455/100)</f>
        <v>0</v>
      </c>
      <c r="H455" s="136">
        <f ca="1">IF(ABS(G455/'normal case'!D456-H454)&lt;0.0000001,H454,G455/'normal case'!D456)</f>
        <v>0</v>
      </c>
    </row>
    <row r="456" spans="1:8">
      <c r="A456" s="135">
        <f ca="1">('main page'!$U$31/100)*'normal case'!D457</f>
        <v>20</v>
      </c>
      <c r="B456" s="136"/>
      <c r="C456" s="135">
        <f ca="1">'normal case'!AG457-'normal case'!AG456+IF(controls!$B$33=1,(1+(('main page'!$K$35/100)))*C455,'public finance'!C455)</f>
        <v>20</v>
      </c>
      <c r="D456" s="136">
        <f ca="1">IF(ABS(((A456-C456)/'normal case'!D457)-D455)&lt;0.0000001,D455,(A456-C456)/'normal case'!D457)</f>
        <v>0</v>
      </c>
      <c r="E456" s="136">
        <f ca="1">IF(ABS(D456-(G456*('normal case'!M457/100))/'normal case'!D457-E455)&lt;0.00001,E455,D456-(G456*('normal case'!M457/100))/'normal case'!D457)</f>
        <v>0</v>
      </c>
      <c r="F456" s="137">
        <f ca="1">F455*(1+'normal case'!L456/100)</f>
        <v>8025.6086749327524</v>
      </c>
      <c r="G456" s="135">
        <f ca="1">C456-A456+G455*(1+'normal case'!M456/100)</f>
        <v>0</v>
      </c>
      <c r="H456" s="136">
        <f ca="1">IF(ABS(G456/'normal case'!D457-H455)&lt;0.0000001,H455,G456/'normal case'!D457)</f>
        <v>0</v>
      </c>
    </row>
    <row r="457" spans="1:8">
      <c r="A457" s="135">
        <f ca="1">('main page'!$U$31/100)*'normal case'!D458</f>
        <v>20</v>
      </c>
      <c r="B457" s="136"/>
      <c r="C457" s="135">
        <f ca="1">'normal case'!AG458-'normal case'!AG457+IF(controls!$B$33=1,(1+(('main page'!$K$35/100)))*C456,'public finance'!C456)</f>
        <v>20</v>
      </c>
      <c r="D457" s="136">
        <f ca="1">IF(ABS(((A457-C457)/'normal case'!D458)-D456)&lt;0.0000001,D456,(A457-C457)/'normal case'!D458)</f>
        <v>0</v>
      </c>
      <c r="E457" s="136">
        <f ca="1">IF(ABS(D457-(G457*('normal case'!M458/100))/'normal case'!D458-E456)&lt;0.00001,E456,D457-(G457*('normal case'!M458/100))/'normal case'!D458)</f>
        <v>0</v>
      </c>
      <c r="F457" s="137">
        <f ca="1">F456*(1+'normal case'!L457/100)</f>
        <v>8186.1208484314075</v>
      </c>
      <c r="G457" s="135">
        <f ca="1">C457-A457+G456*(1+'normal case'!M457/100)</f>
        <v>0</v>
      </c>
      <c r="H457" s="136">
        <f ca="1">IF(ABS(G457/'normal case'!D458-H456)&lt;0.0000001,H456,G457/'normal case'!D458)</f>
        <v>0</v>
      </c>
    </row>
    <row r="458" spans="1:8">
      <c r="A458" s="135">
        <f ca="1">('main page'!$U$31/100)*'normal case'!D459</f>
        <v>20</v>
      </c>
      <c r="B458" s="136"/>
      <c r="C458" s="135">
        <f ca="1">'normal case'!AG459-'normal case'!AG458+IF(controls!$B$33=1,(1+(('main page'!$K$35/100)))*C457,'public finance'!C457)</f>
        <v>20</v>
      </c>
      <c r="D458" s="136">
        <f ca="1">IF(ABS(((A458-C458)/'normal case'!D459)-D457)&lt;0.0000001,D457,(A458-C458)/'normal case'!D459)</f>
        <v>0</v>
      </c>
      <c r="E458" s="136">
        <f ca="1">IF(ABS(D458-(G458*('normal case'!M459/100))/'normal case'!D459-E457)&lt;0.00001,E457,D458-(G458*('normal case'!M459/100))/'normal case'!D459)</f>
        <v>0</v>
      </c>
      <c r="F458" s="137">
        <f ca="1">F457*(1+'normal case'!L458/100)</f>
        <v>8349.8432654000353</v>
      </c>
      <c r="G458" s="135">
        <f ca="1">C458-A458+G457*(1+'normal case'!M458/100)</f>
        <v>0</v>
      </c>
      <c r="H458" s="136">
        <f ca="1">IF(ABS(G458/'normal case'!D459-H457)&lt;0.0000001,H457,G458/'normal case'!D459)</f>
        <v>0</v>
      </c>
    </row>
    <row r="459" spans="1:8">
      <c r="A459" s="135">
        <f ca="1">('main page'!$U$31/100)*'normal case'!D460</f>
        <v>20</v>
      </c>
      <c r="B459" s="136"/>
      <c r="C459" s="135">
        <f ca="1">'normal case'!AG460-'normal case'!AG459+IF(controls!$B$33=1,(1+(('main page'!$K$35/100)))*C458,'public finance'!C458)</f>
        <v>20</v>
      </c>
      <c r="D459" s="136">
        <f ca="1">IF(ABS(((A459-C459)/'normal case'!D460)-D458)&lt;0.0000001,D458,(A459-C459)/'normal case'!D460)</f>
        <v>0</v>
      </c>
      <c r="E459" s="136">
        <f ca="1">IF(ABS(D459-(G459*('normal case'!M460/100))/'normal case'!D460-E458)&lt;0.00001,E458,D459-(G459*('normal case'!M460/100))/'normal case'!D460)</f>
        <v>0</v>
      </c>
      <c r="F459" s="137">
        <f ca="1">F458*(1+'normal case'!L459/100)</f>
        <v>8516.8401307080367</v>
      </c>
      <c r="G459" s="135">
        <f ca="1">C459-A459+G458*(1+'normal case'!M459/100)</f>
        <v>0</v>
      </c>
      <c r="H459" s="136">
        <f ca="1">IF(ABS(G459/'normal case'!D460-H458)&lt;0.0000001,H458,G459/'normal case'!D460)</f>
        <v>0</v>
      </c>
    </row>
    <row r="460" spans="1:8">
      <c r="A460" s="135">
        <f ca="1">('main page'!$U$31/100)*'normal case'!D461</f>
        <v>20</v>
      </c>
      <c r="B460" s="136"/>
      <c r="C460" s="135">
        <f ca="1">'normal case'!AG461-'normal case'!AG460+IF(controls!$B$33=1,(1+(('main page'!$K$35/100)))*C459,'public finance'!C459)</f>
        <v>20</v>
      </c>
      <c r="D460" s="136">
        <f ca="1">IF(ABS(((A460-C460)/'normal case'!D461)-D459)&lt;0.0000001,D459,(A460-C460)/'normal case'!D461)</f>
        <v>0</v>
      </c>
      <c r="E460" s="136">
        <f ca="1">IF(ABS(D460-(G460*('normal case'!M461/100))/'normal case'!D461-E459)&lt;0.00001,E459,D460-(G460*('normal case'!M461/100))/'normal case'!D461)</f>
        <v>0</v>
      </c>
      <c r="F460" s="137">
        <f ca="1">F459*(1+'normal case'!L460/100)</f>
        <v>8687.1769333221982</v>
      </c>
      <c r="G460" s="135">
        <f ca="1">C460-A460+G459*(1+'normal case'!M460/100)</f>
        <v>0</v>
      </c>
      <c r="H460" s="136">
        <f ca="1">IF(ABS(G460/'normal case'!D461-H459)&lt;0.0000001,H459,G460/'normal case'!D461)</f>
        <v>0</v>
      </c>
    </row>
    <row r="461" spans="1:8">
      <c r="A461" s="135">
        <f ca="1">('main page'!$U$31/100)*'normal case'!D462</f>
        <v>20</v>
      </c>
      <c r="B461" s="136"/>
      <c r="C461" s="135">
        <f ca="1">'normal case'!AG462-'normal case'!AG461+IF(controls!$B$33=1,(1+(('main page'!$K$35/100)))*C460,'public finance'!C460)</f>
        <v>20</v>
      </c>
      <c r="D461" s="136">
        <f ca="1">IF(ABS(((A461-C461)/'normal case'!D462)-D460)&lt;0.0000001,D460,(A461-C461)/'normal case'!D462)</f>
        <v>0</v>
      </c>
      <c r="E461" s="136">
        <f ca="1">IF(ABS(D461-(G461*('normal case'!M462/100))/'normal case'!D462-E460)&lt;0.00001,E460,D461-(G461*('normal case'!M462/100))/'normal case'!D462)</f>
        <v>0</v>
      </c>
      <c r="F461" s="137">
        <f ca="1">F460*(1+'normal case'!L461/100)</f>
        <v>8860.920471988642</v>
      </c>
      <c r="G461" s="135">
        <f ca="1">C461-A461+G460*(1+'normal case'!M461/100)</f>
        <v>0</v>
      </c>
      <c r="H461" s="136">
        <f ca="1">IF(ABS(G461/'normal case'!D462-H460)&lt;0.0000001,H460,G461/'normal case'!D462)</f>
        <v>0</v>
      </c>
    </row>
    <row r="462" spans="1:8">
      <c r="A462" s="135">
        <f ca="1">('main page'!$U$31/100)*'normal case'!D463</f>
        <v>20</v>
      </c>
      <c r="B462" s="136"/>
      <c r="C462" s="135">
        <f ca="1">'normal case'!AG463-'normal case'!AG462+IF(controls!$B$33=1,(1+(('main page'!$K$35/100)))*C461,'public finance'!C461)</f>
        <v>20</v>
      </c>
      <c r="D462" s="136">
        <f ca="1">IF(ABS(((A462-C462)/'normal case'!D463)-D461)&lt;0.0000001,D461,(A462-C462)/'normal case'!D463)</f>
        <v>0</v>
      </c>
      <c r="E462" s="136">
        <f ca="1">IF(ABS(D462-(G462*('normal case'!M463/100))/'normal case'!D463-E461)&lt;0.00001,E461,D462-(G462*('normal case'!M463/100))/'normal case'!D463)</f>
        <v>0</v>
      </c>
      <c r="F462" s="137">
        <f ca="1">F461*(1+'normal case'!L462/100)</f>
        <v>9038.1388814284146</v>
      </c>
      <c r="G462" s="135">
        <f ca="1">C462-A462+G461*(1+'normal case'!M462/100)</f>
        <v>0</v>
      </c>
      <c r="H462" s="136">
        <f ca="1">IF(ABS(G462/'normal case'!D463-H461)&lt;0.0000001,H461,G462/'normal case'!D463)</f>
        <v>0</v>
      </c>
    </row>
    <row r="463" spans="1:8">
      <c r="A463" s="135">
        <f ca="1">('main page'!$U$31/100)*'normal case'!D464</f>
        <v>20</v>
      </c>
      <c r="B463" s="136"/>
      <c r="C463" s="135">
        <f ca="1">'normal case'!AG464-'normal case'!AG463+IF(controls!$B$33=1,(1+(('main page'!$K$35/100)))*C462,'public finance'!C462)</f>
        <v>20</v>
      </c>
      <c r="D463" s="136">
        <f ca="1">IF(ABS(((A463-C463)/'normal case'!D464)-D462)&lt;0.0000001,D462,(A463-C463)/'normal case'!D464)</f>
        <v>0</v>
      </c>
      <c r="E463" s="136">
        <f ca="1">IF(ABS(D463-(G463*('normal case'!M464/100))/'normal case'!D464-E462)&lt;0.00001,E462,D463-(G463*('normal case'!M464/100))/'normal case'!D464)</f>
        <v>0</v>
      </c>
      <c r="F463" s="137">
        <f ca="1">F462*(1+'normal case'!L463/100)</f>
        <v>9218.9016590569827</v>
      </c>
      <c r="G463" s="135">
        <f ca="1">C463-A463+G462*(1+'normal case'!M463/100)</f>
        <v>0</v>
      </c>
      <c r="H463" s="136">
        <f ca="1">IF(ABS(G463/'normal case'!D464-H462)&lt;0.0000001,H462,G463/'normal case'!D464)</f>
        <v>0</v>
      </c>
    </row>
    <row r="464" spans="1:8">
      <c r="A464" s="135">
        <f ca="1">('main page'!$U$31/100)*'normal case'!D465</f>
        <v>20</v>
      </c>
      <c r="B464" s="136"/>
      <c r="C464" s="135">
        <f ca="1">'normal case'!AG465-'normal case'!AG464+IF(controls!$B$33=1,(1+(('main page'!$K$35/100)))*C463,'public finance'!C463)</f>
        <v>20</v>
      </c>
      <c r="D464" s="136">
        <f ca="1">IF(ABS(((A464-C464)/'normal case'!D465)-D463)&lt;0.0000001,D463,(A464-C464)/'normal case'!D465)</f>
        <v>0</v>
      </c>
      <c r="E464" s="136">
        <f ca="1">IF(ABS(D464-(G464*('normal case'!M465/100))/'normal case'!D465-E463)&lt;0.00001,E463,D464-(G464*('normal case'!M465/100))/'normal case'!D465)</f>
        <v>0</v>
      </c>
      <c r="F464" s="137">
        <f ca="1">F463*(1+'normal case'!L464/100)</f>
        <v>9403.2796922381222</v>
      </c>
      <c r="G464" s="135">
        <f ca="1">C464-A464+G463*(1+'normal case'!M464/100)</f>
        <v>0</v>
      </c>
      <c r="H464" s="136">
        <f ca="1">IF(ABS(G464/'normal case'!D465-H463)&lt;0.0000001,H463,G464/'normal case'!D465)</f>
        <v>0</v>
      </c>
    </row>
    <row r="465" spans="1:8">
      <c r="A465" s="135">
        <f ca="1">('main page'!$U$31/100)*'normal case'!D466</f>
        <v>20</v>
      </c>
      <c r="B465" s="136"/>
      <c r="C465" s="135">
        <f ca="1">'normal case'!AG466-'normal case'!AG465+IF(controls!$B$33=1,(1+(('main page'!$K$35/100)))*C464,'public finance'!C464)</f>
        <v>20</v>
      </c>
      <c r="D465" s="136">
        <f ca="1">IF(ABS(((A465-C465)/'normal case'!D466)-D464)&lt;0.0000001,D464,(A465-C465)/'normal case'!D466)</f>
        <v>0</v>
      </c>
      <c r="E465" s="136">
        <f ca="1">IF(ABS(D465-(G465*('normal case'!M466/100))/'normal case'!D466-E464)&lt;0.00001,E464,D465-(G465*('normal case'!M466/100))/'normal case'!D466)</f>
        <v>0</v>
      </c>
      <c r="F465" s="137">
        <f ca="1">F464*(1+'normal case'!L465/100)</f>
        <v>9591.3452860828857</v>
      </c>
      <c r="G465" s="135">
        <f ca="1">C465-A465+G464*(1+'normal case'!M465/100)</f>
        <v>0</v>
      </c>
      <c r="H465" s="136">
        <f ca="1">IF(ABS(G465/'normal case'!D466-H464)&lt;0.0000001,H464,G465/'normal case'!D466)</f>
        <v>0</v>
      </c>
    </row>
    <row r="466" spans="1:8">
      <c r="A466" s="135">
        <f ca="1">('main page'!$U$31/100)*'normal case'!D467</f>
        <v>20</v>
      </c>
      <c r="B466" s="136"/>
      <c r="C466" s="135">
        <f ca="1">'normal case'!AG467-'normal case'!AG466+IF(controls!$B$33=1,(1+(('main page'!$K$35/100)))*C465,'public finance'!C465)</f>
        <v>20</v>
      </c>
      <c r="D466" s="136">
        <f ca="1">IF(ABS(((A466-C466)/'normal case'!D467)-D465)&lt;0.0000001,D465,(A466-C466)/'normal case'!D467)</f>
        <v>0</v>
      </c>
      <c r="E466" s="136">
        <f ca="1">IF(ABS(D466-(G466*('normal case'!M467/100))/'normal case'!D467-E465)&lt;0.00001,E465,D466-(G466*('normal case'!M467/100))/'normal case'!D467)</f>
        <v>0</v>
      </c>
      <c r="F466" s="137">
        <f ca="1">F465*(1+'normal case'!L466/100)</f>
        <v>9783.1721918045441</v>
      </c>
      <c r="G466" s="135">
        <f ca="1">C466-A466+G465*(1+'normal case'!M466/100)</f>
        <v>0</v>
      </c>
      <c r="H466" s="136">
        <f ca="1">IF(ABS(G466/'normal case'!D467-H465)&lt;0.0000001,H465,G466/'normal case'!D467)</f>
        <v>0</v>
      </c>
    </row>
    <row r="467" spans="1:8">
      <c r="A467" s="135">
        <f ca="1">('main page'!$U$31/100)*'normal case'!D468</f>
        <v>20</v>
      </c>
      <c r="B467" s="136"/>
      <c r="C467" s="135">
        <f ca="1">'normal case'!AG468-'normal case'!AG467+IF(controls!$B$33=1,(1+(('main page'!$K$35/100)))*C466,'public finance'!C466)</f>
        <v>20</v>
      </c>
      <c r="D467" s="136">
        <f ca="1">IF(ABS(((A467-C467)/'normal case'!D468)-D466)&lt;0.0000001,D466,(A467-C467)/'normal case'!D468)</f>
        <v>0</v>
      </c>
      <c r="E467" s="136">
        <f ca="1">IF(ABS(D467-(G467*('normal case'!M468/100))/'normal case'!D468-E466)&lt;0.00001,E466,D467-(G467*('normal case'!M468/100))/'normal case'!D468)</f>
        <v>0</v>
      </c>
      <c r="F467" s="137">
        <f ca="1">F466*(1+'normal case'!L467/100)</f>
        <v>9978.8356356406348</v>
      </c>
      <c r="G467" s="135">
        <f ca="1">C467-A467+G466*(1+'normal case'!M467/100)</f>
        <v>0</v>
      </c>
      <c r="H467" s="136">
        <f ca="1">IF(ABS(G467/'normal case'!D468-H466)&lt;0.0000001,H466,G467/'normal case'!D468)</f>
        <v>0</v>
      </c>
    </row>
    <row r="468" spans="1:8">
      <c r="A468" s="135">
        <f ca="1">('main page'!$U$31/100)*'normal case'!D469</f>
        <v>20</v>
      </c>
      <c r="B468" s="136"/>
      <c r="C468" s="135">
        <f ca="1">'normal case'!AG469-'normal case'!AG468+IF(controls!$B$33=1,(1+(('main page'!$K$35/100)))*C467,'public finance'!C467)</f>
        <v>20</v>
      </c>
      <c r="D468" s="136">
        <f ca="1">IF(ABS(((A468-C468)/'normal case'!D469)-D467)&lt;0.0000001,D467,(A468-C468)/'normal case'!D469)</f>
        <v>0</v>
      </c>
      <c r="E468" s="136">
        <f ca="1">IF(ABS(D468-(G468*('normal case'!M469/100))/'normal case'!D469-E467)&lt;0.00001,E467,D468-(G468*('normal case'!M469/100))/'normal case'!D469)</f>
        <v>0</v>
      </c>
      <c r="F468" s="137">
        <f ca="1">F467*(1+'normal case'!L468/100)</f>
        <v>10178.412348353448</v>
      </c>
      <c r="G468" s="135">
        <f ca="1">C468-A468+G467*(1+'normal case'!M468/100)</f>
        <v>0</v>
      </c>
      <c r="H468" s="136">
        <f ca="1">IF(ABS(G468/'normal case'!D469-H467)&lt;0.0000001,H467,G468/'normal case'!D469)</f>
        <v>0</v>
      </c>
    </row>
    <row r="469" spans="1:8">
      <c r="A469" s="135">
        <f ca="1">('main page'!$U$31/100)*'normal case'!D470</f>
        <v>20</v>
      </c>
      <c r="B469" s="136"/>
      <c r="C469" s="135">
        <f ca="1">'normal case'!AG470-'normal case'!AG469+IF(controls!$B$33=1,(1+(('main page'!$K$35/100)))*C468,'public finance'!C468)</f>
        <v>20</v>
      </c>
      <c r="D469" s="136">
        <f ca="1">IF(ABS(((A469-C469)/'normal case'!D470)-D468)&lt;0.0000001,D468,(A469-C469)/'normal case'!D470)</f>
        <v>0</v>
      </c>
      <c r="E469" s="136">
        <f ca="1">IF(ABS(D469-(G469*('normal case'!M470/100))/'normal case'!D470-E468)&lt;0.00001,E468,D469-(G469*('normal case'!M470/100))/'normal case'!D470)</f>
        <v>0</v>
      </c>
      <c r="F469" s="137">
        <f ca="1">F468*(1+'normal case'!L469/100)</f>
        <v>10381.980595320516</v>
      </c>
      <c r="G469" s="135">
        <f ca="1">C469-A469+G468*(1+'normal case'!M469/100)</f>
        <v>0</v>
      </c>
      <c r="H469" s="136">
        <f ca="1">IF(ABS(G469/'normal case'!D470-H468)&lt;0.0000001,H468,G469/'normal case'!D470)</f>
        <v>0</v>
      </c>
    </row>
    <row r="470" spans="1:8">
      <c r="A470" s="135">
        <f ca="1">('main page'!$U$31/100)*'normal case'!D471</f>
        <v>20</v>
      </c>
      <c r="B470" s="136"/>
      <c r="C470" s="135">
        <f ca="1">'normal case'!AG471-'normal case'!AG470+IF(controls!$B$33=1,(1+(('main page'!$K$35/100)))*C469,'public finance'!C469)</f>
        <v>20</v>
      </c>
      <c r="D470" s="136">
        <f ca="1">IF(ABS(((A470-C470)/'normal case'!D471)-D469)&lt;0.0000001,D469,(A470-C470)/'normal case'!D471)</f>
        <v>0</v>
      </c>
      <c r="E470" s="136">
        <f ca="1">IF(ABS(D470-(G470*('normal case'!M471/100))/'normal case'!D471-E469)&lt;0.00001,E469,D470-(G470*('normal case'!M471/100))/'normal case'!D471)</f>
        <v>0</v>
      </c>
      <c r="F470" s="137">
        <f ca="1">F469*(1+'normal case'!L470/100)</f>
        <v>10589.620207226926</v>
      </c>
      <c r="G470" s="135">
        <f ca="1">C470-A470+G469*(1+'normal case'!M470/100)</f>
        <v>0</v>
      </c>
      <c r="H470" s="136">
        <f ca="1">IF(ABS(G470/'normal case'!D471-H469)&lt;0.0000001,H469,G470/'normal case'!D471)</f>
        <v>0</v>
      </c>
    </row>
    <row r="471" spans="1:8">
      <c r="A471" s="135">
        <f ca="1">('main page'!$U$31/100)*'normal case'!D472</f>
        <v>20</v>
      </c>
      <c r="B471" s="136"/>
      <c r="C471" s="135">
        <f ca="1">'normal case'!AG472-'normal case'!AG471+IF(controls!$B$33=1,(1+(('main page'!$K$35/100)))*C470,'public finance'!C470)</f>
        <v>20</v>
      </c>
      <c r="D471" s="136">
        <f ca="1">IF(ABS(((A471-C471)/'normal case'!D472)-D470)&lt;0.0000001,D470,(A471-C471)/'normal case'!D472)</f>
        <v>0</v>
      </c>
      <c r="E471" s="136">
        <f ca="1">IF(ABS(D471-(G471*('normal case'!M472/100))/'normal case'!D472-E470)&lt;0.00001,E470,D471-(G471*('normal case'!M472/100))/'normal case'!D472)</f>
        <v>0</v>
      </c>
      <c r="F471" s="137">
        <f ca="1">F470*(1+'normal case'!L471/100)</f>
        <v>10801.412611371465</v>
      </c>
      <c r="G471" s="135">
        <f ca="1">C471-A471+G470*(1+'normal case'!M471/100)</f>
        <v>0</v>
      </c>
      <c r="H471" s="136">
        <f ca="1">IF(ABS(G471/'normal case'!D472-H470)&lt;0.0000001,H470,G471/'normal case'!D472)</f>
        <v>0</v>
      </c>
    </row>
    <row r="472" spans="1:8">
      <c r="A472" s="135">
        <f ca="1">('main page'!$U$31/100)*'normal case'!D473</f>
        <v>20</v>
      </c>
      <c r="B472" s="136"/>
      <c r="C472" s="135">
        <f ca="1">'normal case'!AG473-'normal case'!AG472+IF(controls!$B$33=1,(1+(('main page'!$K$35/100)))*C471,'public finance'!C471)</f>
        <v>20</v>
      </c>
      <c r="D472" s="136">
        <f ca="1">IF(ABS(((A472-C472)/'normal case'!D473)-D471)&lt;0.0000001,D471,(A472-C472)/'normal case'!D473)</f>
        <v>0</v>
      </c>
      <c r="E472" s="136">
        <f ca="1">IF(ABS(D472-(G472*('normal case'!M473/100))/'normal case'!D473-E471)&lt;0.00001,E471,D472-(G472*('normal case'!M473/100))/'normal case'!D473)</f>
        <v>0</v>
      </c>
      <c r="F472" s="137">
        <f ca="1">F471*(1+'normal case'!L472/100)</f>
        <v>11017.440863598895</v>
      </c>
      <c r="G472" s="135">
        <f ca="1">C472-A472+G471*(1+'normal case'!M472/100)</f>
        <v>0</v>
      </c>
      <c r="H472" s="136">
        <f ca="1">IF(ABS(G472/'normal case'!D473-H471)&lt;0.0000001,H471,G472/'normal case'!D473)</f>
        <v>0</v>
      </c>
    </row>
    <row r="473" spans="1:8">
      <c r="A473" s="135">
        <f ca="1">('main page'!$U$31/100)*'normal case'!D474</f>
        <v>20</v>
      </c>
      <c r="B473" s="136"/>
      <c r="C473" s="135">
        <f ca="1">'normal case'!AG474-'normal case'!AG473+IF(controls!$B$33=1,(1+(('main page'!$K$35/100)))*C472,'public finance'!C472)</f>
        <v>20</v>
      </c>
      <c r="D473" s="136">
        <f ca="1">IF(ABS(((A473-C473)/'normal case'!D474)-D472)&lt;0.0000001,D472,(A473-C473)/'normal case'!D474)</f>
        <v>0</v>
      </c>
      <c r="E473" s="136">
        <f ca="1">IF(ABS(D473-(G473*('normal case'!M474/100))/'normal case'!D474-E472)&lt;0.00001,E472,D473-(G473*('normal case'!M474/100))/'normal case'!D474)</f>
        <v>0</v>
      </c>
      <c r="F473" s="137">
        <f ca="1">F472*(1+'normal case'!L473/100)</f>
        <v>11237.789680870874</v>
      </c>
      <c r="G473" s="135">
        <f ca="1">C473-A473+G472*(1+'normal case'!M473/100)</f>
        <v>0</v>
      </c>
      <c r="H473" s="136">
        <f ca="1">IF(ABS(G473/'normal case'!D474-H472)&lt;0.0000001,H472,G473/'normal case'!D474)</f>
        <v>0</v>
      </c>
    </row>
    <row r="474" spans="1:8">
      <c r="A474" s="135">
        <f ca="1">('main page'!$U$31/100)*'normal case'!D475</f>
        <v>20</v>
      </c>
      <c r="B474" s="136"/>
      <c r="C474" s="135">
        <f ca="1">'normal case'!AG475-'normal case'!AG474+IF(controls!$B$33=1,(1+(('main page'!$K$35/100)))*C473,'public finance'!C473)</f>
        <v>20</v>
      </c>
      <c r="D474" s="136">
        <f ca="1">IF(ABS(((A474-C474)/'normal case'!D475)-D473)&lt;0.0000001,D473,(A474-C474)/'normal case'!D475)</f>
        <v>0</v>
      </c>
      <c r="E474" s="136">
        <f ca="1">IF(ABS(D474-(G474*('normal case'!M475/100))/'normal case'!D475-E473)&lt;0.00001,E473,D474-(G474*('normal case'!M475/100))/'normal case'!D475)</f>
        <v>0</v>
      </c>
      <c r="F474" s="137">
        <f ca="1">F473*(1+'normal case'!L474/100)</f>
        <v>11462.545474488292</v>
      </c>
      <c r="G474" s="135">
        <f ca="1">C474-A474+G473*(1+'normal case'!M474/100)</f>
        <v>0</v>
      </c>
      <c r="H474" s="136">
        <f ca="1">IF(ABS(G474/'normal case'!D475-H473)&lt;0.0000001,H473,G474/'normal case'!D475)</f>
        <v>0</v>
      </c>
    </row>
    <row r="475" spans="1:8">
      <c r="A475" s="135">
        <f ca="1">('main page'!$U$31/100)*'normal case'!D476</f>
        <v>20</v>
      </c>
      <c r="B475" s="136"/>
      <c r="C475" s="135">
        <f ca="1">'normal case'!AG476-'normal case'!AG475+IF(controls!$B$33=1,(1+(('main page'!$K$35/100)))*C474,'public finance'!C474)</f>
        <v>20</v>
      </c>
      <c r="D475" s="136">
        <f ca="1">IF(ABS(((A475-C475)/'normal case'!D476)-D474)&lt;0.0000001,D474,(A475-C475)/'normal case'!D476)</f>
        <v>0</v>
      </c>
      <c r="E475" s="136">
        <f ca="1">IF(ABS(D475-(G475*('normal case'!M476/100))/'normal case'!D476-E474)&lt;0.00001,E474,D475-(G475*('normal case'!M476/100))/'normal case'!D476)</f>
        <v>0</v>
      </c>
      <c r="F475" s="137">
        <f ca="1">F474*(1+'normal case'!L475/100)</f>
        <v>11691.796383978059</v>
      </c>
      <c r="G475" s="135">
        <f ca="1">C475-A475+G474*(1+'normal case'!M475/100)</f>
        <v>0</v>
      </c>
      <c r="H475" s="136">
        <f ca="1">IF(ABS(G475/'normal case'!D476-H474)&lt;0.0000001,H474,G475/'normal case'!D476)</f>
        <v>0</v>
      </c>
    </row>
    <row r="476" spans="1:8">
      <c r="A476" s="135">
        <f ca="1">('main page'!$U$31/100)*'normal case'!D477</f>
        <v>20</v>
      </c>
      <c r="B476" s="136"/>
      <c r="C476" s="135">
        <f ca="1">'normal case'!AG477-'normal case'!AG476+IF(controls!$B$33=1,(1+(('main page'!$K$35/100)))*C475,'public finance'!C475)</f>
        <v>20</v>
      </c>
      <c r="D476" s="136">
        <f ca="1">IF(ABS(((A476-C476)/'normal case'!D477)-D475)&lt;0.0000001,D475,(A476-C476)/'normal case'!D477)</f>
        <v>0</v>
      </c>
      <c r="E476" s="136">
        <f ca="1">IF(ABS(D476-(G476*('normal case'!M477/100))/'normal case'!D477-E475)&lt;0.00001,E475,D476-(G476*('normal case'!M477/100))/'normal case'!D477)</f>
        <v>0</v>
      </c>
      <c r="F476" s="137">
        <f ca="1">F475*(1+'normal case'!L476/100)</f>
        <v>11925.63231165762</v>
      </c>
      <c r="G476" s="135">
        <f ca="1">C476-A476+G475*(1+'normal case'!M476/100)</f>
        <v>0</v>
      </c>
      <c r="H476" s="136">
        <f ca="1">IF(ABS(G476/'normal case'!D477-H475)&lt;0.0000001,H475,G476/'normal case'!D477)</f>
        <v>0</v>
      </c>
    </row>
    <row r="477" spans="1:8">
      <c r="A477" s="135">
        <f ca="1">('main page'!$U$31/100)*'normal case'!D478</f>
        <v>20</v>
      </c>
      <c r="B477" s="136"/>
      <c r="C477" s="135">
        <f ca="1">'normal case'!AG478-'normal case'!AG477+IF(controls!$B$33=1,(1+(('main page'!$K$35/100)))*C476,'public finance'!C476)</f>
        <v>20</v>
      </c>
      <c r="D477" s="136">
        <f ca="1">IF(ABS(((A477-C477)/'normal case'!D478)-D476)&lt;0.0000001,D476,(A477-C477)/'normal case'!D478)</f>
        <v>0</v>
      </c>
      <c r="E477" s="136">
        <f ca="1">IF(ABS(D477-(G477*('normal case'!M478/100))/'normal case'!D478-E476)&lt;0.00001,E476,D477-(G477*('normal case'!M478/100))/'normal case'!D478)</f>
        <v>0</v>
      </c>
      <c r="F477" s="137">
        <f ca="1">F476*(1+'normal case'!L477/100)</f>
        <v>12164.144957890772</v>
      </c>
      <c r="G477" s="135">
        <f ca="1">C477-A477+G476*(1+'normal case'!M477/100)</f>
        <v>0</v>
      </c>
      <c r="H477" s="136">
        <f ca="1">IF(ABS(G477/'normal case'!D478-H476)&lt;0.0000001,H476,G477/'normal case'!D478)</f>
        <v>0</v>
      </c>
    </row>
    <row r="478" spans="1:8">
      <c r="A478" s="135">
        <f ca="1">('main page'!$U$31/100)*'normal case'!D479</f>
        <v>20</v>
      </c>
      <c r="B478" s="136"/>
      <c r="C478" s="135">
        <f ca="1">'normal case'!AG479-'normal case'!AG478+IF(controls!$B$33=1,(1+(('main page'!$K$35/100)))*C477,'public finance'!C477)</f>
        <v>20</v>
      </c>
      <c r="D478" s="136">
        <f ca="1">IF(ABS(((A478-C478)/'normal case'!D479)-D477)&lt;0.0000001,D477,(A478-C478)/'normal case'!D479)</f>
        <v>0</v>
      </c>
      <c r="E478" s="136">
        <f ca="1">IF(ABS(D478-(G478*('normal case'!M479/100))/'normal case'!D479-E477)&lt;0.00001,E477,D478-(G478*('normal case'!M479/100))/'normal case'!D479)</f>
        <v>0</v>
      </c>
      <c r="F478" s="137">
        <f ca="1">F477*(1+'normal case'!L478/100)</f>
        <v>12407.427857048588</v>
      </c>
      <c r="G478" s="135">
        <f ca="1">C478-A478+G477*(1+'normal case'!M478/100)</f>
        <v>0</v>
      </c>
      <c r="H478" s="136">
        <f ca="1">IF(ABS(G478/'normal case'!D479-H477)&lt;0.0000001,H477,G478/'normal case'!D479)</f>
        <v>0</v>
      </c>
    </row>
    <row r="479" spans="1:8">
      <c r="A479" s="135">
        <f ca="1">('main page'!$U$31/100)*'normal case'!D480</f>
        <v>20</v>
      </c>
      <c r="B479" s="136"/>
      <c r="C479" s="135">
        <f ca="1">'normal case'!AG480-'normal case'!AG479+IF(controls!$B$33=1,(1+(('main page'!$K$35/100)))*C478,'public finance'!C478)</f>
        <v>20</v>
      </c>
      <c r="D479" s="136">
        <f ca="1">IF(ABS(((A479-C479)/'normal case'!D480)-D478)&lt;0.0000001,D478,(A479-C479)/'normal case'!D480)</f>
        <v>0</v>
      </c>
      <c r="E479" s="136">
        <f ca="1">IF(ABS(D479-(G479*('normal case'!M480/100))/'normal case'!D480-E478)&lt;0.00001,E478,D479-(G479*('normal case'!M480/100))/'normal case'!D480)</f>
        <v>0</v>
      </c>
      <c r="F479" s="137">
        <f ca="1">F478*(1+'normal case'!L479/100)</f>
        <v>12655.57641418956</v>
      </c>
      <c r="G479" s="135">
        <f ca="1">C479-A479+G478*(1+'normal case'!M479/100)</f>
        <v>0</v>
      </c>
      <c r="H479" s="136">
        <f ca="1">IF(ABS(G479/'normal case'!D480-H478)&lt;0.0000001,H478,G479/'normal case'!D480)</f>
        <v>0</v>
      </c>
    </row>
    <row r="480" spans="1:8">
      <c r="A480" s="135">
        <f ca="1">('main page'!$U$31/100)*'normal case'!D481</f>
        <v>20</v>
      </c>
      <c r="B480" s="136"/>
      <c r="C480" s="135">
        <f ca="1">'normal case'!AG481-'normal case'!AG480+IF(controls!$B$33=1,(1+(('main page'!$K$35/100)))*C479,'public finance'!C479)</f>
        <v>20</v>
      </c>
      <c r="D480" s="136">
        <f ca="1">IF(ABS(((A480-C480)/'normal case'!D481)-D479)&lt;0.0000001,D479,(A480-C480)/'normal case'!D481)</f>
        <v>0</v>
      </c>
      <c r="E480" s="136">
        <f ca="1">IF(ABS(D480-(G480*('normal case'!M481/100))/'normal case'!D481-E479)&lt;0.00001,E479,D480-(G480*('normal case'!M481/100))/'normal case'!D481)</f>
        <v>0</v>
      </c>
      <c r="F480" s="137">
        <f ca="1">F479*(1+'normal case'!L480/100)</f>
        <v>12908.687942473351</v>
      </c>
      <c r="G480" s="135">
        <f ca="1">C480-A480+G479*(1+'normal case'!M480/100)</f>
        <v>0</v>
      </c>
      <c r="H480" s="136">
        <f ca="1">IF(ABS(G480/'normal case'!D481-H479)&lt;0.0000001,H479,G480/'normal case'!D481)</f>
        <v>0</v>
      </c>
    </row>
    <row r="481" spans="1:8">
      <c r="A481" s="135">
        <f ca="1">('main page'!$U$31/100)*'normal case'!D482</f>
        <v>20</v>
      </c>
      <c r="B481" s="136"/>
      <c r="C481" s="135">
        <f ca="1">'normal case'!AG482-'normal case'!AG481+IF(controls!$B$33=1,(1+(('main page'!$K$35/100)))*C480,'public finance'!C480)</f>
        <v>20</v>
      </c>
      <c r="D481" s="136">
        <f ca="1">IF(ABS(((A481-C481)/'normal case'!D482)-D480)&lt;0.0000001,D480,(A481-C481)/'normal case'!D482)</f>
        <v>0</v>
      </c>
      <c r="E481" s="136">
        <f ca="1">IF(ABS(D481-(G481*('normal case'!M482/100))/'normal case'!D482-E480)&lt;0.00001,E480,D481-(G481*('normal case'!M482/100))/'normal case'!D482)</f>
        <v>0</v>
      </c>
      <c r="F481" s="137">
        <f ca="1">F480*(1+'normal case'!L481/100)</f>
        <v>13166.861701322818</v>
      </c>
      <c r="G481" s="135">
        <f ca="1">C481-A481+G480*(1+'normal case'!M481/100)</f>
        <v>0</v>
      </c>
      <c r="H481" s="136">
        <f ca="1">IF(ABS(G481/'normal case'!D482-H480)&lt;0.0000001,H480,G481/'normal case'!D482)</f>
        <v>0</v>
      </c>
    </row>
    <row r="482" spans="1:8">
      <c r="A482" s="135">
        <f ca="1">('main page'!$U$31/100)*'normal case'!D483</f>
        <v>20</v>
      </c>
      <c r="B482" s="136"/>
      <c r="C482" s="135">
        <f ca="1">'normal case'!AG483-'normal case'!AG482+IF(controls!$B$33=1,(1+(('main page'!$K$35/100)))*C481,'public finance'!C481)</f>
        <v>20</v>
      </c>
      <c r="D482" s="136">
        <f ca="1">IF(ABS(((A482-C482)/'normal case'!D483)-D481)&lt;0.0000001,D481,(A482-C482)/'normal case'!D483)</f>
        <v>0</v>
      </c>
      <c r="E482" s="136">
        <f ca="1">IF(ABS(D482-(G482*('normal case'!M483/100))/'normal case'!D483-E481)&lt;0.00001,E481,D482-(G482*('normal case'!M483/100))/'normal case'!D483)</f>
        <v>0</v>
      </c>
      <c r="F482" s="137">
        <f ca="1">F481*(1+'normal case'!L482/100)</f>
        <v>13430.198935349274</v>
      </c>
      <c r="G482" s="135">
        <f ca="1">C482-A482+G481*(1+'normal case'!M482/100)</f>
        <v>0</v>
      </c>
      <c r="H482" s="136">
        <f ca="1">IF(ABS(G482/'normal case'!D483-H481)&lt;0.0000001,H481,G482/'normal case'!D483)</f>
        <v>0</v>
      </c>
    </row>
    <row r="483" spans="1:8">
      <c r="A483" s="135">
        <f ca="1">('main page'!$U$31/100)*'normal case'!D484</f>
        <v>20</v>
      </c>
      <c r="B483" s="136"/>
      <c r="C483" s="135">
        <f ca="1">'normal case'!AG484-'normal case'!AG483+IF(controls!$B$33=1,(1+(('main page'!$K$35/100)))*C482,'public finance'!C482)</f>
        <v>20</v>
      </c>
      <c r="D483" s="136">
        <f ca="1">IF(ABS(((A483-C483)/'normal case'!D484)-D482)&lt;0.0000001,D482,(A483-C483)/'normal case'!D484)</f>
        <v>0</v>
      </c>
      <c r="E483" s="136">
        <f ca="1">IF(ABS(D483-(G483*('normal case'!M484/100))/'normal case'!D484-E482)&lt;0.00001,E482,D483-(G483*('normal case'!M484/100))/'normal case'!D484)</f>
        <v>0</v>
      </c>
      <c r="F483" s="137">
        <f ca="1">F482*(1+'normal case'!L483/100)</f>
        <v>13698.802914056259</v>
      </c>
      <c r="G483" s="135">
        <f ca="1">C483-A483+G482*(1+'normal case'!M483/100)</f>
        <v>0</v>
      </c>
      <c r="H483" s="136">
        <f ca="1">IF(ABS(G483/'normal case'!D484-H482)&lt;0.0000001,H482,G483/'normal case'!D484)</f>
        <v>0</v>
      </c>
    </row>
    <row r="484" spans="1:8">
      <c r="A484" s="135">
        <f ca="1">('main page'!$U$31/100)*'normal case'!D485</f>
        <v>20</v>
      </c>
      <c r="B484" s="136"/>
      <c r="C484" s="135">
        <f ca="1">'normal case'!AG485-'normal case'!AG484+IF(controls!$B$33=1,(1+(('main page'!$K$35/100)))*C483,'public finance'!C483)</f>
        <v>20</v>
      </c>
      <c r="D484" s="136">
        <f ca="1">IF(ABS(((A484-C484)/'normal case'!D485)-D483)&lt;0.0000001,D483,(A484-C484)/'normal case'!D485)</f>
        <v>0</v>
      </c>
      <c r="E484" s="136">
        <f ca="1">IF(ABS(D484-(G484*('normal case'!M485/100))/'normal case'!D485-E483)&lt;0.00001,E483,D484-(G484*('normal case'!M485/100))/'normal case'!D485)</f>
        <v>0</v>
      </c>
      <c r="F484" s="137">
        <f ca="1">F483*(1+'normal case'!L484/100)</f>
        <v>13972.778972337384</v>
      </c>
      <c r="G484" s="135">
        <f ca="1">C484-A484+G483*(1+'normal case'!M484/100)</f>
        <v>0</v>
      </c>
      <c r="H484" s="136">
        <f ca="1">IF(ABS(G484/'normal case'!D485-H483)&lt;0.0000001,H483,G484/'normal case'!D485)</f>
        <v>0</v>
      </c>
    </row>
    <row r="485" spans="1:8">
      <c r="A485" s="135">
        <f ca="1">('main page'!$U$31/100)*'normal case'!D486</f>
        <v>20</v>
      </c>
      <c r="B485" s="136"/>
      <c r="C485" s="135">
        <f ca="1">'normal case'!AG486-'normal case'!AG485+IF(controls!$B$33=1,(1+(('main page'!$K$35/100)))*C484,'public finance'!C484)</f>
        <v>20</v>
      </c>
      <c r="D485" s="136">
        <f ca="1">IF(ABS(((A485-C485)/'normal case'!D486)-D484)&lt;0.0000001,D484,(A485-C485)/'normal case'!D486)</f>
        <v>0</v>
      </c>
      <c r="E485" s="136">
        <f ca="1">IF(ABS(D485-(G485*('normal case'!M486/100))/'normal case'!D486-E484)&lt;0.00001,E484,D485-(G485*('normal case'!M486/100))/'normal case'!D486)</f>
        <v>0</v>
      </c>
      <c r="F485" s="137">
        <f ca="1">F484*(1+'normal case'!L485/100)</f>
        <v>14252.234551784133</v>
      </c>
      <c r="G485" s="135">
        <f ca="1">C485-A485+G484*(1+'normal case'!M485/100)</f>
        <v>0</v>
      </c>
      <c r="H485" s="136">
        <f ca="1">IF(ABS(G485/'normal case'!D486-H484)&lt;0.0000001,H484,G485/'normal case'!D486)</f>
        <v>0</v>
      </c>
    </row>
    <row r="486" spans="1:8">
      <c r="A486" s="135">
        <f ca="1">('main page'!$U$31/100)*'normal case'!D487</f>
        <v>20</v>
      </c>
      <c r="B486" s="136"/>
      <c r="C486" s="135">
        <f ca="1">'normal case'!AG487-'normal case'!AG486+IF(controls!$B$33=1,(1+(('main page'!$K$35/100)))*C485,'public finance'!C485)</f>
        <v>20</v>
      </c>
      <c r="D486" s="136">
        <f ca="1">IF(ABS(((A486-C486)/'normal case'!D487)-D485)&lt;0.0000001,D485,(A486-C486)/'normal case'!D487)</f>
        <v>0</v>
      </c>
      <c r="E486" s="136">
        <f ca="1">IF(ABS(D486-(G486*('normal case'!M487/100))/'normal case'!D487-E485)&lt;0.00001,E485,D486-(G486*('normal case'!M487/100))/'normal case'!D487)</f>
        <v>0</v>
      </c>
      <c r="F486" s="137">
        <f ca="1">F485*(1+'normal case'!L486/100)</f>
        <v>14537.279242819815</v>
      </c>
      <c r="G486" s="135">
        <f ca="1">C486-A486+G485*(1+'normal case'!M486/100)</f>
        <v>0</v>
      </c>
      <c r="H486" s="136">
        <f ca="1">IF(ABS(G486/'normal case'!D487-H485)&lt;0.0000001,H485,G486/'normal case'!D487)</f>
        <v>0</v>
      </c>
    </row>
    <row r="487" spans="1:8">
      <c r="A487" s="135">
        <f ca="1">('main page'!$U$31/100)*'normal case'!D488</f>
        <v>20</v>
      </c>
      <c r="B487" s="136"/>
      <c r="C487" s="135">
        <f ca="1">'normal case'!AG488-'normal case'!AG487+IF(controls!$B$33=1,(1+(('main page'!$K$35/100)))*C486,'public finance'!C486)</f>
        <v>20</v>
      </c>
      <c r="D487" s="136">
        <f ca="1">IF(ABS(((A487-C487)/'normal case'!D488)-D486)&lt;0.0000001,D486,(A487-C487)/'normal case'!D488)</f>
        <v>0</v>
      </c>
      <c r="E487" s="136">
        <f ca="1">IF(ABS(D487-(G487*('normal case'!M488/100))/'normal case'!D488-E486)&lt;0.00001,E486,D487-(G487*('normal case'!M488/100))/'normal case'!D488)</f>
        <v>0</v>
      </c>
      <c r="F487" s="137">
        <f ca="1">F486*(1+'normal case'!L487/100)</f>
        <v>14828.024827676212</v>
      </c>
      <c r="G487" s="135">
        <f ca="1">C487-A487+G486*(1+'normal case'!M487/100)</f>
        <v>0</v>
      </c>
      <c r="H487" s="136">
        <f ca="1">IF(ABS(G487/'normal case'!D488-H486)&lt;0.0000001,H486,G487/'normal case'!D488)</f>
        <v>0</v>
      </c>
    </row>
    <row r="488" spans="1:8">
      <c r="A488" s="135">
        <f ca="1">('main page'!$U$31/100)*'normal case'!D489</f>
        <v>20</v>
      </c>
      <c r="B488" s="136"/>
      <c r="C488" s="135">
        <f ca="1">'normal case'!AG489-'normal case'!AG488+IF(controls!$B$33=1,(1+(('main page'!$K$35/100)))*C487,'public finance'!C487)</f>
        <v>20</v>
      </c>
      <c r="D488" s="136">
        <f ca="1">IF(ABS(((A488-C488)/'normal case'!D489)-D487)&lt;0.0000001,D487,(A488-C488)/'normal case'!D489)</f>
        <v>0</v>
      </c>
      <c r="E488" s="136">
        <f ca="1">IF(ABS(D488-(G488*('normal case'!M489/100))/'normal case'!D489-E487)&lt;0.00001,E487,D488-(G488*('normal case'!M489/100))/'normal case'!D489)</f>
        <v>0</v>
      </c>
      <c r="F488" s="137">
        <f ca="1">F487*(1+'normal case'!L488/100)</f>
        <v>15124.585324229736</v>
      </c>
      <c r="G488" s="135">
        <f ca="1">C488-A488+G487*(1+'normal case'!M488/100)</f>
        <v>0</v>
      </c>
      <c r="H488" s="136">
        <f ca="1">IF(ABS(G488/'normal case'!D489-H487)&lt;0.0000001,H487,G488/'normal case'!D489)</f>
        <v>0</v>
      </c>
    </row>
    <row r="489" spans="1:8">
      <c r="A489" s="135">
        <f ca="1">('main page'!$U$31/100)*'normal case'!D490</f>
        <v>20</v>
      </c>
      <c r="B489" s="136"/>
      <c r="C489" s="135">
        <f ca="1">'normal case'!AG490-'normal case'!AG489+IF(controls!$B$33=1,(1+(('main page'!$K$35/100)))*C488,'public finance'!C488)</f>
        <v>20</v>
      </c>
      <c r="D489" s="136">
        <f ca="1">IF(ABS(((A489-C489)/'normal case'!D490)-D488)&lt;0.0000001,D488,(A489-C489)/'normal case'!D490)</f>
        <v>0</v>
      </c>
      <c r="E489" s="136">
        <f ca="1">IF(ABS(D489-(G489*('normal case'!M490/100))/'normal case'!D490-E488)&lt;0.00001,E488,D489-(G489*('normal case'!M490/100))/'normal case'!D490)</f>
        <v>0</v>
      </c>
      <c r="F489" s="137">
        <f ca="1">F488*(1+'normal case'!L489/100)</f>
        <v>15427.077030714332</v>
      </c>
      <c r="G489" s="135">
        <f ca="1">C489-A489+G488*(1+'normal case'!M489/100)</f>
        <v>0</v>
      </c>
      <c r="H489" s="136">
        <f ca="1">IF(ABS(G489/'normal case'!D490-H488)&lt;0.0000001,H488,G489/'normal case'!D490)</f>
        <v>0</v>
      </c>
    </row>
    <row r="490" spans="1:8">
      <c r="A490" s="135">
        <f ca="1">('main page'!$U$31/100)*'normal case'!D491</f>
        <v>20</v>
      </c>
      <c r="B490" s="136"/>
      <c r="C490" s="135">
        <f ca="1">'normal case'!AG491-'normal case'!AG490+IF(controls!$B$33=1,(1+(('main page'!$K$35/100)))*C489,'public finance'!C489)</f>
        <v>20</v>
      </c>
      <c r="D490" s="136">
        <f ca="1">IF(ABS(((A490-C490)/'normal case'!D491)-D489)&lt;0.0000001,D489,(A490-C490)/'normal case'!D491)</f>
        <v>0</v>
      </c>
      <c r="E490" s="136">
        <f ca="1">IF(ABS(D490-(G490*('normal case'!M491/100))/'normal case'!D491-E489)&lt;0.00001,E489,D490-(G490*('normal case'!M491/100))/'normal case'!D491)</f>
        <v>0</v>
      </c>
      <c r="F490" s="137">
        <f ca="1">F489*(1+'normal case'!L490/100)</f>
        <v>15735.61857132862</v>
      </c>
      <c r="G490" s="135">
        <f ca="1">C490-A490+G489*(1+'normal case'!M490/100)</f>
        <v>0</v>
      </c>
      <c r="H490" s="136">
        <f ca="1">IF(ABS(G490/'normal case'!D491-H489)&lt;0.0000001,H489,G490/'normal case'!D491)</f>
        <v>0</v>
      </c>
    </row>
    <row r="491" spans="1:8">
      <c r="A491" s="135">
        <f ca="1">('main page'!$U$31/100)*'normal case'!D492</f>
        <v>20</v>
      </c>
      <c r="B491" s="136"/>
      <c r="C491" s="135">
        <f ca="1">'normal case'!AG492-'normal case'!AG491+IF(controls!$B$33=1,(1+(('main page'!$K$35/100)))*C490,'public finance'!C490)</f>
        <v>20</v>
      </c>
      <c r="D491" s="136">
        <f ca="1">IF(ABS(((A491-C491)/'normal case'!D492)-D490)&lt;0.0000001,D490,(A491-C491)/'normal case'!D492)</f>
        <v>0</v>
      </c>
      <c r="E491" s="136">
        <f ca="1">IF(ABS(D491-(G491*('normal case'!M492/100))/'normal case'!D492-E490)&lt;0.00001,E490,D491-(G491*('normal case'!M492/100))/'normal case'!D492)</f>
        <v>0</v>
      </c>
      <c r="F491" s="137">
        <f ca="1">F490*(1+'normal case'!L491/100)</f>
        <v>16050.330942755192</v>
      </c>
      <c r="G491" s="135">
        <f ca="1">C491-A491+G490*(1+'normal case'!M491/100)</f>
        <v>0</v>
      </c>
      <c r="H491" s="136">
        <f ca="1">IF(ABS(G491/'normal case'!D492-H490)&lt;0.0000001,H490,G491/'normal case'!D492)</f>
        <v>0</v>
      </c>
    </row>
    <row r="492" spans="1:8">
      <c r="A492" s="135">
        <f ca="1">('main page'!$U$31/100)*'normal case'!D493</f>
        <v>20</v>
      </c>
      <c r="B492" s="136"/>
      <c r="C492" s="135">
        <f ca="1">'normal case'!AG493-'normal case'!AG492+IF(controls!$B$33=1,(1+(('main page'!$K$35/100)))*C491,'public finance'!C491)</f>
        <v>20</v>
      </c>
      <c r="D492" s="136">
        <f ca="1">IF(ABS(((A492-C492)/'normal case'!D493)-D491)&lt;0.0000001,D491,(A492-C492)/'normal case'!D493)</f>
        <v>0</v>
      </c>
      <c r="E492" s="136">
        <f ca="1">IF(ABS(D492-(G492*('normal case'!M493/100))/'normal case'!D493-E491)&lt;0.00001,E491,D492-(G492*('normal case'!M493/100))/'normal case'!D493)</f>
        <v>0</v>
      </c>
      <c r="F492" s="137">
        <f ca="1">F491*(1+'normal case'!L492/100)</f>
        <v>16371.337561610297</v>
      </c>
      <c r="G492" s="135">
        <f ca="1">C492-A492+G491*(1+'normal case'!M492/100)</f>
        <v>0</v>
      </c>
      <c r="H492" s="136">
        <f ca="1">IF(ABS(G492/'normal case'!D493-H491)&lt;0.0000001,H491,G492/'normal case'!D493)</f>
        <v>0</v>
      </c>
    </row>
    <row r="493" spans="1:8">
      <c r="A493" s="135">
        <f ca="1">('main page'!$U$31/100)*'normal case'!D494</f>
        <v>20</v>
      </c>
      <c r="B493" s="136"/>
      <c r="C493" s="135">
        <f ca="1">'normal case'!AG494-'normal case'!AG493+IF(controls!$B$33=1,(1+(('main page'!$K$35/100)))*C492,'public finance'!C492)</f>
        <v>20</v>
      </c>
      <c r="D493" s="136">
        <f ca="1">IF(ABS(((A493-C493)/'normal case'!D494)-D492)&lt;0.0000001,D492,(A493-C493)/'normal case'!D494)</f>
        <v>0</v>
      </c>
      <c r="E493" s="136">
        <f ca="1">IF(ABS(D493-(G493*('normal case'!M494/100))/'normal case'!D494-E492)&lt;0.00001,E492,D493-(G493*('normal case'!M494/100))/'normal case'!D494)</f>
        <v>0</v>
      </c>
      <c r="F493" s="137">
        <f ca="1">F492*(1+'normal case'!L493/100)</f>
        <v>16698.764312842504</v>
      </c>
      <c r="G493" s="135">
        <f ca="1">C493-A493+G492*(1+'normal case'!M493/100)</f>
        <v>0</v>
      </c>
      <c r="H493" s="136">
        <f ca="1">IF(ABS(G493/'normal case'!D494-H492)&lt;0.0000001,H492,G493/'normal case'!D494)</f>
        <v>0</v>
      </c>
    </row>
    <row r="494" spans="1:8">
      <c r="A494" s="135">
        <f ca="1">('main page'!$U$31/100)*'normal case'!D495</f>
        <v>20</v>
      </c>
      <c r="B494" s="136"/>
      <c r="C494" s="135">
        <f ca="1">'normal case'!AG495-'normal case'!AG494+IF(controls!$B$33=1,(1+(('main page'!$K$35/100)))*C493,'public finance'!C493)</f>
        <v>20</v>
      </c>
      <c r="D494" s="136">
        <f ca="1">IF(ABS(((A494-C494)/'normal case'!D495)-D493)&lt;0.0000001,D493,(A494-C494)/'normal case'!D495)</f>
        <v>0</v>
      </c>
      <c r="E494" s="136">
        <f ca="1">IF(ABS(D494-(G494*('normal case'!M495/100))/'normal case'!D495-E493)&lt;0.00001,E493,D494-(G494*('normal case'!M495/100))/'normal case'!D495)</f>
        <v>0</v>
      </c>
      <c r="F494" s="137">
        <f ca="1">F493*(1+'normal case'!L494/100)</f>
        <v>17032.739599099354</v>
      </c>
      <c r="G494" s="135">
        <f ca="1">C494-A494+G493*(1+'normal case'!M494/100)</f>
        <v>0</v>
      </c>
      <c r="H494" s="136">
        <f ca="1">IF(ABS(G494/'normal case'!D495-H493)&lt;0.0000001,H493,G494/'normal case'!D495)</f>
        <v>0</v>
      </c>
    </row>
    <row r="495" spans="1:8">
      <c r="A495" s="135">
        <f ca="1">('main page'!$U$31/100)*'normal case'!D496</f>
        <v>20</v>
      </c>
      <c r="B495" s="136"/>
      <c r="C495" s="135">
        <f ca="1">'normal case'!AG496-'normal case'!AG495+IF(controls!$B$33=1,(1+(('main page'!$K$35/100)))*C494,'public finance'!C494)</f>
        <v>20</v>
      </c>
      <c r="D495" s="136">
        <f ca="1">IF(ABS(((A495-C495)/'normal case'!D496)-D494)&lt;0.0000001,D494,(A495-C495)/'normal case'!D496)</f>
        <v>0</v>
      </c>
      <c r="E495" s="136">
        <f ca="1">IF(ABS(D495-(G495*('normal case'!M496/100))/'normal case'!D496-E494)&lt;0.00001,E494,D495-(G495*('normal case'!M496/100))/'normal case'!D496)</f>
        <v>0</v>
      </c>
      <c r="F495" s="137">
        <f ca="1">F494*(1+'normal case'!L495/100)</f>
        <v>17373.39439108134</v>
      </c>
      <c r="G495" s="135">
        <f ca="1">C495-A495+G494*(1+'normal case'!M495/100)</f>
        <v>0</v>
      </c>
      <c r="H495" s="136">
        <f ca="1">IF(ABS(G495/'normal case'!D496-H494)&lt;0.0000001,H494,G495/'normal case'!D496)</f>
        <v>0</v>
      </c>
    </row>
    <row r="496" spans="1:8">
      <c r="A496" s="135">
        <f ca="1">('main page'!$U$31/100)*'normal case'!D497</f>
        <v>20</v>
      </c>
      <c r="B496" s="136"/>
      <c r="C496" s="135">
        <f ca="1">'normal case'!AG497-'normal case'!AG496+IF(controls!$B$33=1,(1+(('main page'!$K$35/100)))*C495,'public finance'!C495)</f>
        <v>20</v>
      </c>
      <c r="D496" s="136">
        <f ca="1">IF(ABS(((A496-C496)/'normal case'!D497)-D495)&lt;0.0000001,D495,(A496-C496)/'normal case'!D497)</f>
        <v>0</v>
      </c>
      <c r="E496" s="136">
        <f ca="1">IF(ABS(D496-(G496*('normal case'!M497/100))/'normal case'!D497-E495)&lt;0.00001,E495,D496-(G496*('normal case'!M497/100))/'normal case'!D497)</f>
        <v>0</v>
      </c>
      <c r="F496" s="137">
        <f ca="1">F495*(1+'normal case'!L496/100)</f>
        <v>17720.862278902965</v>
      </c>
      <c r="G496" s="135">
        <f ca="1">C496-A496+G495*(1+'normal case'!M496/100)</f>
        <v>0</v>
      </c>
      <c r="H496" s="136">
        <f ca="1">IF(ABS(G496/'normal case'!D497-H495)&lt;0.0000001,H495,G496/'normal case'!D497)</f>
        <v>0</v>
      </c>
    </row>
    <row r="497" spans="1:8">
      <c r="A497" s="135">
        <f ca="1">('main page'!$U$31/100)*'normal case'!D498</f>
        <v>20</v>
      </c>
      <c r="B497" s="136"/>
      <c r="C497" s="135">
        <f ca="1">'normal case'!AG498-'normal case'!AG497+IF(controls!$B$33=1,(1+(('main page'!$K$35/100)))*C496,'public finance'!C496)</f>
        <v>20</v>
      </c>
      <c r="D497" s="136">
        <f ca="1">IF(ABS(((A497-C497)/'normal case'!D498)-D496)&lt;0.0000001,D496,(A497-C497)/'normal case'!D498)</f>
        <v>0</v>
      </c>
      <c r="E497" s="136">
        <f ca="1">IF(ABS(D497-(G497*('normal case'!M498/100))/'normal case'!D498-E496)&lt;0.00001,E496,D497-(G497*('normal case'!M498/100))/'normal case'!D498)</f>
        <v>0</v>
      </c>
      <c r="F497" s="137">
        <f ca="1">F496*(1+'normal case'!L497/100)</f>
        <v>18075.279524481026</v>
      </c>
      <c r="G497" s="135">
        <f ca="1">C497-A497+G496*(1+'normal case'!M497/100)</f>
        <v>0</v>
      </c>
      <c r="H497" s="136">
        <f ca="1">IF(ABS(G497/'normal case'!D498-H496)&lt;0.0000001,H496,G497/'normal case'!D498)</f>
        <v>0</v>
      </c>
    </row>
    <row r="498" spans="1:8">
      <c r="A498" s="135">
        <f ca="1">('main page'!$U$31/100)*'normal case'!D499</f>
        <v>20</v>
      </c>
      <c r="B498" s="136"/>
      <c r="C498" s="135">
        <f ca="1">'normal case'!AG499-'normal case'!AG498+IF(controls!$B$33=1,(1+(('main page'!$K$35/100)))*C497,'public finance'!C497)</f>
        <v>20</v>
      </c>
      <c r="D498" s="136">
        <f ca="1">IF(ABS(((A498-C498)/'normal case'!D499)-D497)&lt;0.0000001,D497,(A498-C498)/'normal case'!D499)</f>
        <v>0</v>
      </c>
      <c r="E498" s="136">
        <f ca="1">IF(ABS(D498-(G498*('normal case'!M499/100))/'normal case'!D499-E497)&lt;0.00001,E497,D498-(G498*('normal case'!M499/100))/'normal case'!D499)</f>
        <v>0</v>
      </c>
      <c r="F498" s="137">
        <f ca="1">F497*(1+'normal case'!L498/100)</f>
        <v>18436.785114970648</v>
      </c>
      <c r="G498" s="135">
        <f ca="1">C498-A498+G497*(1+'normal case'!M498/100)</f>
        <v>0</v>
      </c>
      <c r="H498" s="136">
        <f ca="1">IF(ABS(G498/'normal case'!D499-H497)&lt;0.0000001,H497,G498/'normal case'!D499)</f>
        <v>0</v>
      </c>
    </row>
    <row r="499" spans="1:8">
      <c r="A499" s="135">
        <f ca="1">('main page'!$U$31/100)*'normal case'!D500</f>
        <v>20</v>
      </c>
      <c r="B499" s="136"/>
      <c r="C499" s="135">
        <f ca="1">'normal case'!AG500-'normal case'!AG499+IF(controls!$B$33=1,(1+(('main page'!$K$35/100)))*C498,'public finance'!C498)</f>
        <v>20</v>
      </c>
      <c r="D499" s="136">
        <f ca="1">IF(ABS(((A499-C499)/'normal case'!D500)-D498)&lt;0.0000001,D498,(A499-C499)/'normal case'!D500)</f>
        <v>0</v>
      </c>
      <c r="E499" s="136">
        <f ca="1">IF(ABS(D499-(G499*('normal case'!M500/100))/'normal case'!D500-E498)&lt;0.00001,E498,D499-(G499*('normal case'!M500/100))/'normal case'!D500)</f>
        <v>0</v>
      </c>
      <c r="F499" s="137">
        <f ca="1">F498*(1+'normal case'!L499/100)</f>
        <v>18805.520817270062</v>
      </c>
      <c r="G499" s="135">
        <f ca="1">C499-A499+G498*(1+'normal case'!M499/100)</f>
        <v>0</v>
      </c>
      <c r="H499" s="136">
        <f ca="1">IF(ABS(G499/'normal case'!D500-H498)&lt;0.0000001,H498,G499/'normal case'!D500)</f>
        <v>0</v>
      </c>
    </row>
    <row r="500" spans="1:8">
      <c r="A500" s="135">
        <f ca="1">('main page'!$U$31/100)*'normal case'!D501</f>
        <v>20</v>
      </c>
      <c r="B500" s="136"/>
      <c r="C500" s="135">
        <f ca="1">'normal case'!AG501-'normal case'!AG500+IF(controls!$B$33=1,(1+(('main page'!$K$35/100)))*C499,'public finance'!C499)</f>
        <v>20</v>
      </c>
      <c r="D500" s="136">
        <f ca="1">IF(ABS(((A500-C500)/'normal case'!D501)-D499)&lt;0.0000001,D499,(A500-C500)/'normal case'!D501)</f>
        <v>0</v>
      </c>
      <c r="E500" s="136">
        <f ca="1">IF(ABS(D500-(G500*('normal case'!M501/100))/'normal case'!D501-E499)&lt;0.00001,E499,D500-(G500*('normal case'!M501/100))/'normal case'!D501)</f>
        <v>0</v>
      </c>
      <c r="F500" s="137">
        <f ca="1">F499*(1+'normal case'!L500/100)</f>
        <v>19181.631233615462</v>
      </c>
      <c r="G500" s="135">
        <f ca="1">C500-A500+G499*(1+'normal case'!M500/100)</f>
        <v>0</v>
      </c>
      <c r="H500" s="136">
        <f ca="1">IF(ABS(G500/'normal case'!D501-H499)&lt;0.0000001,H499,G500/'normal case'!D501)</f>
        <v>0</v>
      </c>
    </row>
    <row r="501" spans="1:8">
      <c r="A501" s="135">
        <f ca="1">('main page'!$U$31/100)*'normal case'!D502</f>
        <v>20</v>
      </c>
      <c r="B501" s="136"/>
      <c r="C501" s="135">
        <f ca="1">'normal case'!AG502-'normal case'!AG501+IF(controls!$B$33=1,(1+(('main page'!$K$35/100)))*C500,'public finance'!C500)</f>
        <v>20</v>
      </c>
      <c r="D501" s="136">
        <f ca="1">IF(ABS(((A501-C501)/'normal case'!D502)-D500)&lt;0.0000001,D500,(A501-C501)/'normal case'!D502)</f>
        <v>0</v>
      </c>
      <c r="E501" s="136">
        <f ca="1">IF(ABS(D501-(G501*('normal case'!M502/100))/'normal case'!D502-E500)&lt;0.00001,E500,D501-(G501*('normal case'!M502/100))/'normal case'!D502)</f>
        <v>0</v>
      </c>
      <c r="F501" s="137">
        <f ca="1">F500*(1+'normal case'!L501/100)</f>
        <v>19565.263858287773</v>
      </c>
      <c r="G501" s="135">
        <f ca="1">C501-A501+G500*(1+'normal case'!M501/100)</f>
        <v>0</v>
      </c>
      <c r="H501" s="136">
        <f ca="1">IF(ABS(G501/'normal case'!D502-H500)&lt;0.0000001,H500,G501/'normal case'!D502)</f>
        <v>0</v>
      </c>
    </row>
  </sheetData>
  <sheetProtection selectLockedCells="1"/>
  <phoneticPr fontId="3" type="noConversion"/>
  <pageMargins left="0.75" right="0.75" top="1" bottom="1" header="0" footer="0"/>
  <pageSetup paperSize="9" orientation="portrait" horizontalDpi="4294967295"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0"/>
  <dimension ref="A2:U645"/>
  <sheetViews>
    <sheetView topLeftCell="A24" workbookViewId="0">
      <selection activeCell="B47" sqref="B47"/>
    </sheetView>
  </sheetViews>
  <sheetFormatPr defaultColWidth="10.90625" defaultRowHeight="12.5"/>
  <cols>
    <col min="1" max="1" width="36.81640625" bestFit="1" customWidth="1"/>
    <col min="2" max="2" width="13.453125" bestFit="1" customWidth="1"/>
  </cols>
  <sheetData>
    <row r="2" spans="1:21" ht="13">
      <c r="A2" s="89" t="s">
        <v>58</v>
      </c>
      <c r="B2" s="86" t="str">
        <f>'inflation, income and interest'!$G$32</f>
        <v>simulator</v>
      </c>
    </row>
    <row r="3" spans="1:21" ht="13">
      <c r="A3" s="89" t="s">
        <v>59</v>
      </c>
      <c r="B3" s="90" t="b">
        <f>'inflation, income and interest'!$G$33</f>
        <v>0</v>
      </c>
      <c r="H3" s="216" t="s">
        <v>180</v>
      </c>
      <c r="I3" s="216" t="s">
        <v>181</v>
      </c>
    </row>
    <row r="4" spans="1:21" ht="13">
      <c r="A4" s="227" t="s">
        <v>182</v>
      </c>
      <c r="B4" s="90">
        <v>2</v>
      </c>
      <c r="G4">
        <f ca="1">RAND()</f>
        <v>3.6784386158949522E-2</v>
      </c>
      <c r="H4">
        <f ca="1">IF(G4&lt;0.66,1,2)</f>
        <v>1</v>
      </c>
      <c r="I4">
        <f ca="1">IF(G4&lt;0.33,2,1)</f>
        <v>2</v>
      </c>
    </row>
    <row r="5" spans="1:21" ht="13">
      <c r="A5" s="89"/>
      <c r="B5" s="228">
        <v>2</v>
      </c>
      <c r="G5">
        <f t="shared" ref="G5:G68" ca="1" si="0">RAND()</f>
        <v>0.9702179795607313</v>
      </c>
      <c r="H5">
        <f t="shared" ref="H5:H68" ca="1" si="1">IF(G5&lt;0.66,1,2)</f>
        <v>2</v>
      </c>
      <c r="I5">
        <f t="shared" ref="I5:I68" ca="1" si="2">IF(G5&lt;0.33,2,1)</f>
        <v>1</v>
      </c>
    </row>
    <row r="6" spans="1:21" ht="13">
      <c r="A6" s="89" t="s">
        <v>64</v>
      </c>
      <c r="B6" s="86">
        <v>2</v>
      </c>
      <c r="F6">
        <f>IF(controls!$B$8=FALSE,hystere!$AH$4:$AH$23,IF(controls!$B$33=1,hystere!$AH$4:$AH$23,IF(controls!$B$3=FALSE,hystere!$AH$4:$AH$23,hystere!$N$4:$N$23)))</f>
        <v>0</v>
      </c>
      <c r="G6">
        <f t="shared" ca="1" si="0"/>
        <v>0.17890462793392203</v>
      </c>
      <c r="H6">
        <f t="shared" ca="1" si="1"/>
        <v>1</v>
      </c>
      <c r="I6">
        <f t="shared" ca="1" si="2"/>
        <v>2</v>
      </c>
    </row>
    <row r="7" spans="1:21" ht="13">
      <c r="A7" s="89" t="s">
        <v>63</v>
      </c>
      <c r="B7" s="86">
        <v>2</v>
      </c>
      <c r="G7">
        <f t="shared" ca="1" si="0"/>
        <v>0.39819366353403762</v>
      </c>
      <c r="H7">
        <f t="shared" ca="1" si="1"/>
        <v>1</v>
      </c>
      <c r="I7">
        <f t="shared" ca="1" si="2"/>
        <v>1</v>
      </c>
    </row>
    <row r="8" spans="1:21">
      <c r="A8" s="89" t="s">
        <v>65</v>
      </c>
      <c r="B8" s="144"/>
      <c r="G8">
        <f t="shared" ca="1" si="0"/>
        <v>0.70874590497412548</v>
      </c>
      <c r="H8">
        <f t="shared" ca="1" si="1"/>
        <v>2</v>
      </c>
      <c r="I8">
        <f t="shared" ca="1" si="2"/>
        <v>1</v>
      </c>
    </row>
    <row r="9" spans="1:21" ht="13">
      <c r="A9" s="89" t="s">
        <v>66</v>
      </c>
      <c r="B9" s="159">
        <f>IF(controls!$B$44+controls!$B$45+controls!$B$46=2,'main page'!$K$32,IF(controls!$B$44+controls!$B$45+controls!$B$46=3,'main page'!$U$8,IF(B8=FALSE,'main page'!U8,'main page'!$U$10)))</f>
        <v>2</v>
      </c>
      <c r="G9">
        <f t="shared" ca="1" si="0"/>
        <v>0.17040257216770549</v>
      </c>
      <c r="H9">
        <f t="shared" ca="1" si="1"/>
        <v>1</v>
      </c>
      <c r="I9">
        <f t="shared" ca="1" si="2"/>
        <v>2</v>
      </c>
    </row>
    <row r="10" spans="1:21" ht="13">
      <c r="A10" s="89" t="s">
        <v>67</v>
      </c>
      <c r="B10" s="86">
        <v>2</v>
      </c>
      <c r="G10">
        <f t="shared" ca="1" si="0"/>
        <v>0.34647754561145405</v>
      </c>
      <c r="H10">
        <f t="shared" ca="1" si="1"/>
        <v>1</v>
      </c>
      <c r="I10">
        <f t="shared" ca="1" si="2"/>
        <v>1</v>
      </c>
    </row>
    <row r="11" spans="1:21" ht="14">
      <c r="A11" s="668" t="s">
        <v>68</v>
      </c>
      <c r="B11" s="91" t="s">
        <v>9</v>
      </c>
      <c r="G11">
        <f t="shared" ca="1" si="0"/>
        <v>0.88953773917610424</v>
      </c>
      <c r="H11">
        <f t="shared" ca="1" si="1"/>
        <v>2</v>
      </c>
      <c r="I11">
        <f t="shared" ca="1" si="2"/>
        <v>1</v>
      </c>
    </row>
    <row r="12" spans="1:21" ht="14">
      <c r="A12" s="668"/>
      <c r="B12" s="91" t="s">
        <v>8</v>
      </c>
      <c r="G12">
        <f t="shared" ca="1" si="0"/>
        <v>0.72191324880283825</v>
      </c>
      <c r="H12">
        <f t="shared" ca="1" si="1"/>
        <v>2</v>
      </c>
      <c r="I12">
        <f t="shared" ca="1" si="2"/>
        <v>1</v>
      </c>
    </row>
    <row r="13" spans="1:21">
      <c r="A13" s="669" t="s">
        <v>71</v>
      </c>
      <c r="B13" s="92" t="s">
        <v>57</v>
      </c>
      <c r="G13">
        <f t="shared" ca="1" si="0"/>
        <v>0.3786934642531089</v>
      </c>
      <c r="H13">
        <f t="shared" ca="1" si="1"/>
        <v>1</v>
      </c>
      <c r="I13">
        <f t="shared" ca="1" si="2"/>
        <v>1</v>
      </c>
    </row>
    <row r="14" spans="1:21">
      <c r="A14" s="670"/>
      <c r="B14" s="92" t="s">
        <v>56</v>
      </c>
      <c r="G14">
        <f t="shared" ca="1" si="0"/>
        <v>0.8583307052864676</v>
      </c>
      <c r="H14">
        <f t="shared" ca="1" si="1"/>
        <v>2</v>
      </c>
      <c r="I14">
        <f t="shared" ca="1" si="2"/>
        <v>1</v>
      </c>
    </row>
    <row r="15" spans="1:21">
      <c r="A15" s="671" t="s">
        <v>69</v>
      </c>
      <c r="B15" s="89">
        <v>6</v>
      </c>
      <c r="G15">
        <f t="shared" ca="1" si="0"/>
        <v>0.7687259008124121</v>
      </c>
      <c r="H15">
        <f t="shared" ca="1" si="1"/>
        <v>2</v>
      </c>
      <c r="I15">
        <f t="shared" ca="1" si="2"/>
        <v>1</v>
      </c>
    </row>
    <row r="16" spans="1:21">
      <c r="A16" s="671"/>
      <c r="B16" s="89">
        <v>7</v>
      </c>
      <c r="G16">
        <f t="shared" ca="1" si="0"/>
        <v>0.31922832186600225</v>
      </c>
      <c r="H16">
        <f t="shared" ca="1" si="1"/>
        <v>1</v>
      </c>
      <c r="I16">
        <f t="shared" ca="1" si="2"/>
        <v>2</v>
      </c>
    </row>
    <row r="17" spans="1:9">
      <c r="A17" s="671"/>
      <c r="B17" s="89">
        <v>8</v>
      </c>
      <c r="G17">
        <f t="shared" ca="1" si="0"/>
        <v>0.49004473867061571</v>
      </c>
      <c r="H17">
        <f t="shared" ca="1" si="1"/>
        <v>1</v>
      </c>
      <c r="I17">
        <f t="shared" ca="1" si="2"/>
        <v>1</v>
      </c>
    </row>
    <row r="18" spans="1:9">
      <c r="A18" s="671"/>
      <c r="B18" s="89">
        <v>9</v>
      </c>
      <c r="G18">
        <f t="shared" ca="1" si="0"/>
        <v>0.74659994436948729</v>
      </c>
      <c r="H18">
        <f t="shared" ca="1" si="1"/>
        <v>2</v>
      </c>
      <c r="I18">
        <f t="shared" ca="1" si="2"/>
        <v>1</v>
      </c>
    </row>
    <row r="19" spans="1:9">
      <c r="A19" s="671"/>
      <c r="B19" s="89">
        <v>10</v>
      </c>
      <c r="G19">
        <f t="shared" ca="1" si="0"/>
        <v>3.4832343996158754E-2</v>
      </c>
      <c r="H19">
        <f t="shared" ca="1" si="1"/>
        <v>1</v>
      </c>
      <c r="I19">
        <f t="shared" ca="1" si="2"/>
        <v>2</v>
      </c>
    </row>
    <row r="20" spans="1:9">
      <c r="A20" s="671"/>
      <c r="B20" s="89">
        <v>11</v>
      </c>
      <c r="G20">
        <f t="shared" ca="1" si="0"/>
        <v>0.72823545524081346</v>
      </c>
      <c r="H20">
        <f t="shared" ca="1" si="1"/>
        <v>2</v>
      </c>
      <c r="I20">
        <f t="shared" ca="1" si="2"/>
        <v>1</v>
      </c>
    </row>
    <row r="21" spans="1:9">
      <c r="A21" s="671"/>
      <c r="B21" s="89">
        <v>12</v>
      </c>
      <c r="G21">
        <f t="shared" ca="1" si="0"/>
        <v>0.81214453138670128</v>
      </c>
      <c r="H21">
        <f t="shared" ca="1" si="1"/>
        <v>2</v>
      </c>
      <c r="I21">
        <f t="shared" ca="1" si="2"/>
        <v>1</v>
      </c>
    </row>
    <row r="22" spans="1:9">
      <c r="A22" s="671"/>
      <c r="B22" s="89">
        <v>13</v>
      </c>
      <c r="G22">
        <f t="shared" ca="1" si="0"/>
        <v>0.83338981577976934</v>
      </c>
      <c r="H22">
        <f t="shared" ca="1" si="1"/>
        <v>2</v>
      </c>
      <c r="I22">
        <f t="shared" ca="1" si="2"/>
        <v>1</v>
      </c>
    </row>
    <row r="23" spans="1:9">
      <c r="A23" s="671"/>
      <c r="B23" s="89">
        <v>14</v>
      </c>
      <c r="G23">
        <f t="shared" ca="1" si="0"/>
        <v>0.7367583849560595</v>
      </c>
      <c r="H23">
        <f t="shared" ca="1" si="1"/>
        <v>2</v>
      </c>
      <c r="I23">
        <f t="shared" ca="1" si="2"/>
        <v>1</v>
      </c>
    </row>
    <row r="24" spans="1:9">
      <c r="A24" s="671"/>
      <c r="B24" s="89">
        <v>15</v>
      </c>
      <c r="G24">
        <f t="shared" ca="1" si="0"/>
        <v>0.13161610568314008</v>
      </c>
      <c r="H24">
        <f t="shared" ca="1" si="1"/>
        <v>1</v>
      </c>
      <c r="I24">
        <f t="shared" ca="1" si="2"/>
        <v>2</v>
      </c>
    </row>
    <row r="25" spans="1:9">
      <c r="A25" s="671"/>
      <c r="B25" s="89">
        <v>16</v>
      </c>
      <c r="G25">
        <f t="shared" ca="1" si="0"/>
        <v>0.24099220040916702</v>
      </c>
      <c r="H25">
        <f t="shared" ca="1" si="1"/>
        <v>1</v>
      </c>
      <c r="I25">
        <f t="shared" ca="1" si="2"/>
        <v>2</v>
      </c>
    </row>
    <row r="26" spans="1:9">
      <c r="A26" s="671"/>
      <c r="B26" s="89">
        <v>17</v>
      </c>
      <c r="G26">
        <f t="shared" ca="1" si="0"/>
        <v>0.8370459630002044</v>
      </c>
      <c r="H26">
        <f t="shared" ca="1" si="1"/>
        <v>2</v>
      </c>
      <c r="I26">
        <f t="shared" ca="1" si="2"/>
        <v>1</v>
      </c>
    </row>
    <row r="27" spans="1:9">
      <c r="A27" s="671"/>
      <c r="B27" s="89">
        <v>18</v>
      </c>
      <c r="G27">
        <f t="shared" ca="1" si="0"/>
        <v>0.6051795105778256</v>
      </c>
      <c r="H27">
        <f t="shared" ca="1" si="1"/>
        <v>1</v>
      </c>
      <c r="I27">
        <f t="shared" ca="1" si="2"/>
        <v>1</v>
      </c>
    </row>
    <row r="28" spans="1:9">
      <c r="A28" s="671"/>
      <c r="B28" s="89">
        <v>19</v>
      </c>
      <c r="G28">
        <f t="shared" ca="1" si="0"/>
        <v>0.77557269275893181</v>
      </c>
      <c r="H28">
        <f t="shared" ca="1" si="1"/>
        <v>2</v>
      </c>
      <c r="I28">
        <f t="shared" ca="1" si="2"/>
        <v>1</v>
      </c>
    </row>
    <row r="29" spans="1:9">
      <c r="A29" s="671"/>
      <c r="B29" s="89">
        <v>20</v>
      </c>
      <c r="G29">
        <f t="shared" ca="1" si="0"/>
        <v>6.8440411415302882E-2</v>
      </c>
      <c r="H29">
        <f t="shared" ca="1" si="1"/>
        <v>1</v>
      </c>
      <c r="I29">
        <f t="shared" ca="1" si="2"/>
        <v>2</v>
      </c>
    </row>
    <row r="30" spans="1:9" ht="25">
      <c r="A30" s="102" t="s">
        <v>70</v>
      </c>
      <c r="B30" s="89">
        <f>'main page'!U24-4</f>
        <v>1</v>
      </c>
      <c r="G30">
        <f t="shared" ca="1" si="0"/>
        <v>0.47728882382023052</v>
      </c>
      <c r="H30">
        <f t="shared" ca="1" si="1"/>
        <v>1</v>
      </c>
      <c r="I30">
        <f t="shared" ca="1" si="2"/>
        <v>1</v>
      </c>
    </row>
    <row r="31" spans="1:9">
      <c r="A31" s="89" t="s">
        <v>72</v>
      </c>
      <c r="B31" s="89">
        <f>IF(C31="temporary",1,2)</f>
        <v>1</v>
      </c>
      <c r="C31" t="str">
        <f>'main page'!U26</f>
        <v>temporary</v>
      </c>
      <c r="G31">
        <f t="shared" ca="1" si="0"/>
        <v>0.35890292269046054</v>
      </c>
      <c r="H31">
        <f t="shared" ca="1" si="1"/>
        <v>1</v>
      </c>
      <c r="I31">
        <f t="shared" ca="1" si="2"/>
        <v>1</v>
      </c>
    </row>
    <row r="32" spans="1:9">
      <c r="A32" s="89" t="s">
        <v>86</v>
      </c>
      <c r="B32" s="103">
        <v>10</v>
      </c>
      <c r="G32">
        <f t="shared" ca="1" si="0"/>
        <v>0.25964403852427898</v>
      </c>
      <c r="H32">
        <f t="shared" ca="1" si="1"/>
        <v>1</v>
      </c>
      <c r="I32">
        <f t="shared" ca="1" si="2"/>
        <v>2</v>
      </c>
    </row>
    <row r="33" spans="1:9" ht="13">
      <c r="A33" s="89" t="s">
        <v>87</v>
      </c>
      <c r="B33" s="90">
        <v>2</v>
      </c>
      <c r="G33">
        <f t="shared" ca="1" si="0"/>
        <v>8.9849644412811625E-2</v>
      </c>
      <c r="H33">
        <f t="shared" ca="1" si="1"/>
        <v>1</v>
      </c>
      <c r="I33">
        <f t="shared" ca="1" si="2"/>
        <v>2</v>
      </c>
    </row>
    <row r="34" spans="1:9">
      <c r="A34" s="89" t="s">
        <v>89</v>
      </c>
      <c r="B34" s="76">
        <v>0.7</v>
      </c>
      <c r="G34">
        <f t="shared" ca="1" si="0"/>
        <v>3.85491646018844E-2</v>
      </c>
      <c r="H34">
        <f t="shared" ca="1" si="1"/>
        <v>1</v>
      </c>
      <c r="I34">
        <f t="shared" ca="1" si="2"/>
        <v>2</v>
      </c>
    </row>
    <row r="35" spans="1:9">
      <c r="A35" s="672" t="s">
        <v>39</v>
      </c>
      <c r="B35">
        <f>IF(COUNT('choose m.p.'!I3)=1,1,0)</f>
        <v>1</v>
      </c>
      <c r="C35" s="114">
        <f>IF(COUNT('choose m.p.'!I3:I10)=8,8,IF(COUNT('choose m.p.'!I3:I9)=7,7,IF(COUNT('choose m.p.'!I3:I8)=6,6,IF(COUNT('choose m.p.'!I3:I7)=5,5,IF(COUNT('choose m.p.'!I3:I6)=4,4,IF(COUNT('choose m.p.'!I3:I5)=3,3,IF(COUNT('choose m.p.'!I3:I4)=2,2,1)))))))</f>
        <v>8</v>
      </c>
      <c r="G35">
        <f t="shared" ca="1" si="0"/>
        <v>0.83523630292471429</v>
      </c>
      <c r="H35">
        <f t="shared" ca="1" si="1"/>
        <v>2</v>
      </c>
      <c r="I35">
        <f t="shared" ca="1" si="2"/>
        <v>1</v>
      </c>
    </row>
    <row r="36" spans="1:9">
      <c r="A36" s="673"/>
      <c r="B36" s="114">
        <f>IF(COUNT('choose m.p.'!I3:I10)=8,8,IF(COUNT('choose m.p.'!I3:I9)=7,7,IF(COUNT('choose m.p.'!I3:I8)=6,6,IF(COUNT('choose m.p.'!I3:I7)=5,5,IF(COUNT('choose m.p.'!I3:I6)=4,4,IF(COUNT('choose m.p.'!I3:I5)=3,3,IF(COUNT('choose m.p.'!I3:I4)=2,2,B35)))))))</f>
        <v>8</v>
      </c>
      <c r="C36" s="115">
        <f>IF(COUNT('choose m.p.'!I3:I17)=15,15,IF(COUNT('choose m.p.'!I3:I16)=14,14,IF(COUNT('choose m.p.'!I3:I15)=13,13,IF(COUNT('choose m.p.'!I3:I14)=12,12,IF(COUNT('choose m.p.'!I3:I13)=11,11,IF(COUNT('choose m.p.'!I3:I12)=10,10,IF(COUNT('choose m.p.'!I3:I11)=9,9,C35)))))))</f>
        <v>8</v>
      </c>
      <c r="G36">
        <f t="shared" ca="1" si="0"/>
        <v>0.33221183013072986</v>
      </c>
      <c r="H36">
        <f t="shared" ca="1" si="1"/>
        <v>1</v>
      </c>
      <c r="I36">
        <f t="shared" ca="1" si="2"/>
        <v>1</v>
      </c>
    </row>
    <row r="37" spans="1:9">
      <c r="A37" s="673"/>
      <c r="B37" s="115">
        <f>IF(COUNT('choose m.p.'!I3:I17)=15,15,IF(COUNT('choose m.p.'!I3:I16)=14,14,IF(COUNT('choose m.p.'!I3:I15)=13,13,IF(COUNT('choose m.p.'!I3:I14)=12,12,IF(COUNT('choose m.p.'!I3:I13)=11,11,IF(COUNT('choose m.p.'!I3:I12)=10,10,IF(COUNT('choose m.p.'!I3:I11)=9,9,B36)))))))</f>
        <v>8</v>
      </c>
      <c r="C37" s="115">
        <f>IF(COUNT('choose m.p.'!I3:I22)=20,20,IF(COUNT('choose m.p.'!I3:I21)=19,19,IF(COUNT('choose m.p.'!I3:I20)=18,18,IF(COUNT('choose m.p.'!I3:I19)=17,17,IF(COUNT('choose m.p.'!I3:I18)=16,16,IF(COUNT('choose m.p.'!I3:I17)=15,15,C36))))))</f>
        <v>8</v>
      </c>
      <c r="G37">
        <f t="shared" ca="1" si="0"/>
        <v>0.79964468181420711</v>
      </c>
      <c r="H37">
        <f t="shared" ca="1" si="1"/>
        <v>2</v>
      </c>
      <c r="I37">
        <f t="shared" ca="1" si="2"/>
        <v>1</v>
      </c>
    </row>
    <row r="38" spans="1:9">
      <c r="A38" s="674"/>
      <c r="B38" s="115">
        <f>IF(COUNT('choose m.p.'!I3:I22)=20,20,IF(COUNT('choose m.p.'!I3:I21)=19,19,IF(COUNT('choose m.p.'!I3:I20)=18,18,IF(COUNT('choose m.p.'!I3:I19)=17,17,IF(COUNT('choose m.p.'!I3:I18)=16,16,IF(COUNT('choose m.p.'!I3:I17)=15,15,B37))))))</f>
        <v>8</v>
      </c>
      <c r="G38">
        <f t="shared" ca="1" si="0"/>
        <v>0.75361303163913329</v>
      </c>
      <c r="H38">
        <f t="shared" ca="1" si="1"/>
        <v>2</v>
      </c>
      <c r="I38">
        <f t="shared" ca="1" si="2"/>
        <v>1</v>
      </c>
    </row>
    <row r="39" spans="1:9">
      <c r="A39" s="118" t="s">
        <v>98</v>
      </c>
      <c r="B39" s="89" t="s">
        <v>243</v>
      </c>
      <c r="C39">
        <f>IF(B39="Demand shocks",0,IF(B39="Supply shocks",1,IF(B39="Stabilizing real interest rate",2,3)))</f>
        <v>3</v>
      </c>
      <c r="G39">
        <f t="shared" ca="1" si="0"/>
        <v>0.53713542307564011</v>
      </c>
      <c r="H39">
        <f t="shared" ca="1" si="1"/>
        <v>1</v>
      </c>
      <c r="I39">
        <f t="shared" ca="1" si="2"/>
        <v>1</v>
      </c>
    </row>
    <row r="40" spans="1:9">
      <c r="A40" s="215" t="s">
        <v>175</v>
      </c>
      <c r="B40" s="89">
        <v>3</v>
      </c>
      <c r="C40" s="216" t="s">
        <v>176</v>
      </c>
      <c r="G40">
        <f t="shared" ca="1" si="0"/>
        <v>0.6078310418684576</v>
      </c>
      <c r="H40">
        <f t="shared" ca="1" si="1"/>
        <v>1</v>
      </c>
      <c r="I40">
        <f t="shared" ca="1" si="2"/>
        <v>1</v>
      </c>
    </row>
    <row r="41" spans="1:9">
      <c r="A41" s="101" t="s">
        <v>111</v>
      </c>
      <c r="B41" s="155">
        <f>COUNT('compare results'!Q3:Q22)</f>
        <v>0</v>
      </c>
      <c r="G41">
        <f t="shared" ca="1" si="0"/>
        <v>0.38664971233189382</v>
      </c>
      <c r="H41">
        <f t="shared" ca="1" si="1"/>
        <v>1</v>
      </c>
      <c r="I41">
        <f t="shared" ca="1" si="2"/>
        <v>1</v>
      </c>
    </row>
    <row r="42" spans="1:9">
      <c r="A42" s="88"/>
      <c r="B42" s="155">
        <f>COUNT('compare results'!AF3:AF22)</f>
        <v>0</v>
      </c>
      <c r="G42">
        <f t="shared" ca="1" si="0"/>
        <v>0.46621554629781814</v>
      </c>
      <c r="H42">
        <f t="shared" ca="1" si="1"/>
        <v>1</v>
      </c>
      <c r="I42">
        <f t="shared" ca="1" si="2"/>
        <v>1</v>
      </c>
    </row>
    <row r="43" spans="1:9">
      <c r="A43" s="156"/>
      <c r="B43" s="155">
        <f>COUNT('compare results'!AU3:AU22)</f>
        <v>0</v>
      </c>
      <c r="C43" s="258"/>
      <c r="G43">
        <f t="shared" ca="1" si="0"/>
        <v>0.91989618585305544</v>
      </c>
      <c r="H43">
        <f t="shared" ca="1" si="1"/>
        <v>2</v>
      </c>
      <c r="I43">
        <f t="shared" ca="1" si="2"/>
        <v>1</v>
      </c>
    </row>
    <row r="44" spans="1:9">
      <c r="A44" s="174" t="s">
        <v>124</v>
      </c>
      <c r="B44">
        <v>0</v>
      </c>
      <c r="G44">
        <f t="shared" ca="1" si="0"/>
        <v>0.30729318832558394</v>
      </c>
      <c r="H44">
        <f t="shared" ca="1" si="1"/>
        <v>1</v>
      </c>
      <c r="I44">
        <f t="shared" ca="1" si="2"/>
        <v>2</v>
      </c>
    </row>
    <row r="45" spans="1:9">
      <c r="A45" s="174" t="s">
        <v>137</v>
      </c>
      <c r="B45">
        <v>0</v>
      </c>
      <c r="G45">
        <f t="shared" ca="1" si="0"/>
        <v>0.37973727363902843</v>
      </c>
      <c r="H45">
        <f t="shared" ca="1" si="1"/>
        <v>1</v>
      </c>
      <c r="I45">
        <f t="shared" ca="1" si="2"/>
        <v>1</v>
      </c>
    </row>
    <row r="46" spans="1:9">
      <c r="A46" s="174" t="s">
        <v>139</v>
      </c>
      <c r="B46">
        <v>0</v>
      </c>
      <c r="C46" t="s">
        <v>140</v>
      </c>
      <c r="G46">
        <f t="shared" ca="1" si="0"/>
        <v>0.66780976699655448</v>
      </c>
      <c r="H46">
        <f t="shared" ca="1" si="1"/>
        <v>2</v>
      </c>
      <c r="I46">
        <f t="shared" ca="1" si="2"/>
        <v>1</v>
      </c>
    </row>
    <row r="47" spans="1:9" ht="25">
      <c r="A47" s="217" t="s">
        <v>177</v>
      </c>
      <c r="B47" s="89" t="s">
        <v>244</v>
      </c>
      <c r="G47">
        <f t="shared" ca="1" si="0"/>
        <v>0.91856164276473729</v>
      </c>
      <c r="H47">
        <f t="shared" ca="1" si="1"/>
        <v>2</v>
      </c>
      <c r="I47">
        <f t="shared" ca="1" si="2"/>
        <v>1</v>
      </c>
    </row>
    <row r="48" spans="1:9" ht="25">
      <c r="A48" s="218" t="s">
        <v>178</v>
      </c>
      <c r="B48" s="89" t="s">
        <v>244</v>
      </c>
      <c r="G48">
        <f t="shared" ca="1" si="0"/>
        <v>0.36047776426954026</v>
      </c>
      <c r="H48">
        <f t="shared" ca="1" si="1"/>
        <v>1</v>
      </c>
      <c r="I48">
        <f t="shared" ca="1" si="2"/>
        <v>1</v>
      </c>
    </row>
    <row r="49" spans="1:9">
      <c r="A49" s="221" t="s">
        <v>179</v>
      </c>
      <c r="B49" s="89">
        <v>10</v>
      </c>
      <c r="G49">
        <f t="shared" ca="1" si="0"/>
        <v>0.32061833910030868</v>
      </c>
      <c r="H49">
        <f t="shared" ca="1" si="1"/>
        <v>1</v>
      </c>
      <c r="I49">
        <f t="shared" ca="1" si="2"/>
        <v>2</v>
      </c>
    </row>
    <row r="50" spans="1:9">
      <c r="A50" s="230" t="s">
        <v>210</v>
      </c>
      <c r="B50" s="263">
        <v>1</v>
      </c>
      <c r="G50">
        <f t="shared" ca="1" si="0"/>
        <v>0.20301922600627331</v>
      </c>
      <c r="H50">
        <f t="shared" ca="1" si="1"/>
        <v>1</v>
      </c>
      <c r="I50">
        <f t="shared" ca="1" si="2"/>
        <v>2</v>
      </c>
    </row>
    <row r="51" spans="1:9">
      <c r="A51" s="230" t="s">
        <v>211</v>
      </c>
      <c r="B51" s="263">
        <v>20</v>
      </c>
      <c r="C51" s="263">
        <f>B51-B50</f>
        <v>19</v>
      </c>
      <c r="G51">
        <f t="shared" ca="1" si="0"/>
        <v>0.34426642683970654</v>
      </c>
      <c r="H51">
        <f t="shared" ca="1" si="1"/>
        <v>1</v>
      </c>
      <c r="I51">
        <f t="shared" ca="1" si="2"/>
        <v>1</v>
      </c>
    </row>
    <row r="52" spans="1:9">
      <c r="A52" s="230" t="s">
        <v>212</v>
      </c>
      <c r="B52" s="263">
        <v>1</v>
      </c>
      <c r="G52">
        <f t="shared" ca="1" si="0"/>
        <v>0.51146774081527258</v>
      </c>
      <c r="H52">
        <f t="shared" ca="1" si="1"/>
        <v>1</v>
      </c>
      <c r="I52">
        <f t="shared" ca="1" si="2"/>
        <v>1</v>
      </c>
    </row>
    <row r="53" spans="1:9">
      <c r="A53" s="230" t="s">
        <v>213</v>
      </c>
      <c r="B53" s="263">
        <v>20</v>
      </c>
      <c r="C53" s="263">
        <f>B53-B52</f>
        <v>19</v>
      </c>
      <c r="G53">
        <f t="shared" ca="1" si="0"/>
        <v>0.92976943995460715</v>
      </c>
      <c r="H53">
        <f t="shared" ca="1" si="1"/>
        <v>2</v>
      </c>
      <c r="I53">
        <f t="shared" ca="1" si="2"/>
        <v>1</v>
      </c>
    </row>
    <row r="54" spans="1:9">
      <c r="A54" s="230" t="s">
        <v>209</v>
      </c>
      <c r="B54" s="263">
        <v>1</v>
      </c>
      <c r="G54">
        <f t="shared" ca="1" si="0"/>
        <v>0.40568470099759057</v>
      </c>
      <c r="H54">
        <f t="shared" ca="1" si="1"/>
        <v>1</v>
      </c>
      <c r="I54">
        <f t="shared" ca="1" si="2"/>
        <v>1</v>
      </c>
    </row>
    <row r="55" spans="1:9">
      <c r="A55" s="230" t="s">
        <v>214</v>
      </c>
      <c r="B55" s="263">
        <v>20</v>
      </c>
      <c r="C55" s="263">
        <f>B55-B54</f>
        <v>19</v>
      </c>
      <c r="G55">
        <f t="shared" ca="1" si="0"/>
        <v>0.19298241991385512</v>
      </c>
      <c r="H55">
        <f t="shared" ca="1" si="1"/>
        <v>1</v>
      </c>
      <c r="I55">
        <f t="shared" ca="1" si="2"/>
        <v>2</v>
      </c>
    </row>
    <row r="56" spans="1:9">
      <c r="G56">
        <f t="shared" ca="1" si="0"/>
        <v>2.6542714835642078E-2</v>
      </c>
      <c r="H56">
        <f t="shared" ca="1" si="1"/>
        <v>1</v>
      </c>
      <c r="I56">
        <f t="shared" ca="1" si="2"/>
        <v>2</v>
      </c>
    </row>
    <row r="57" spans="1:9">
      <c r="A57" s="376" t="s">
        <v>225</v>
      </c>
      <c r="B57" t="b">
        <v>0</v>
      </c>
      <c r="G57">
        <f t="shared" ca="1" si="0"/>
        <v>0.86779182639998598</v>
      </c>
      <c r="H57">
        <f t="shared" ca="1" si="1"/>
        <v>2</v>
      </c>
      <c r="I57">
        <f t="shared" ca="1" si="2"/>
        <v>1</v>
      </c>
    </row>
    <row r="58" spans="1:9">
      <c r="G58">
        <f t="shared" ca="1" si="0"/>
        <v>0.70746453054067948</v>
      </c>
      <c r="H58">
        <f t="shared" ca="1" si="1"/>
        <v>2</v>
      </c>
      <c r="I58">
        <f t="shared" ca="1" si="2"/>
        <v>1</v>
      </c>
    </row>
    <row r="59" spans="1:9">
      <c r="A59" s="230" t="s">
        <v>226</v>
      </c>
      <c r="B59" s="428">
        <v>1</v>
      </c>
      <c r="G59">
        <f t="shared" ca="1" si="0"/>
        <v>0.73939730757988453</v>
      </c>
      <c r="H59">
        <f t="shared" ca="1" si="1"/>
        <v>2</v>
      </c>
      <c r="I59">
        <f t="shared" ca="1" si="2"/>
        <v>1</v>
      </c>
    </row>
    <row r="60" spans="1:9">
      <c r="A60" s="230" t="s">
        <v>227</v>
      </c>
      <c r="B60" s="428">
        <v>20</v>
      </c>
      <c r="C60" s="428">
        <f>B60-B59</f>
        <v>19</v>
      </c>
      <c r="G60">
        <f t="shared" ca="1" si="0"/>
        <v>0.34128615950495111</v>
      </c>
      <c r="H60">
        <f t="shared" ca="1" si="1"/>
        <v>1</v>
      </c>
      <c r="I60">
        <f t="shared" ca="1" si="2"/>
        <v>1</v>
      </c>
    </row>
    <row r="61" spans="1:9">
      <c r="A61" s="230" t="s">
        <v>228</v>
      </c>
      <c r="B61" s="428">
        <v>1</v>
      </c>
      <c r="G61">
        <f t="shared" ca="1" si="0"/>
        <v>0.97182608929369529</v>
      </c>
      <c r="H61">
        <f t="shared" ca="1" si="1"/>
        <v>2</v>
      </c>
      <c r="I61">
        <f t="shared" ca="1" si="2"/>
        <v>1</v>
      </c>
    </row>
    <row r="62" spans="1:9">
      <c r="A62" s="230" t="s">
        <v>229</v>
      </c>
      <c r="B62" s="428">
        <v>20</v>
      </c>
      <c r="C62" s="428">
        <f>B62-B61</f>
        <v>19</v>
      </c>
      <c r="G62">
        <f t="shared" ca="1" si="0"/>
        <v>6.2231942859748091E-2</v>
      </c>
      <c r="H62">
        <f t="shared" ca="1" si="1"/>
        <v>1</v>
      </c>
      <c r="I62">
        <f t="shared" ca="1" si="2"/>
        <v>2</v>
      </c>
    </row>
    <row r="63" spans="1:9">
      <c r="A63" s="230" t="s">
        <v>230</v>
      </c>
      <c r="B63" s="428">
        <v>1</v>
      </c>
      <c r="G63">
        <f t="shared" ca="1" si="0"/>
        <v>0.49459818196639505</v>
      </c>
      <c r="H63">
        <f t="shared" ca="1" si="1"/>
        <v>1</v>
      </c>
      <c r="I63">
        <f t="shared" ca="1" si="2"/>
        <v>1</v>
      </c>
    </row>
    <row r="64" spans="1:9">
      <c r="A64" s="230" t="s">
        <v>231</v>
      </c>
      <c r="B64" s="428">
        <v>20</v>
      </c>
      <c r="C64" s="428">
        <f>B64-B63</f>
        <v>19</v>
      </c>
      <c r="G64">
        <f t="shared" ca="1" si="0"/>
        <v>0.82600464003666829</v>
      </c>
      <c r="H64">
        <f t="shared" ca="1" si="1"/>
        <v>2</v>
      </c>
      <c r="I64">
        <f t="shared" ca="1" si="2"/>
        <v>1</v>
      </c>
    </row>
    <row r="65" spans="1:9">
      <c r="G65">
        <f t="shared" ca="1" si="0"/>
        <v>0.50680653478239801</v>
      </c>
      <c r="H65">
        <f t="shared" ca="1" si="1"/>
        <v>1</v>
      </c>
      <c r="I65">
        <f t="shared" ca="1" si="2"/>
        <v>1</v>
      </c>
    </row>
    <row r="66" spans="1:9">
      <c r="A66" s="446" t="s">
        <v>237</v>
      </c>
      <c r="B66" s="445" t="s">
        <v>9</v>
      </c>
      <c r="G66">
        <f t="shared" ca="1" si="0"/>
        <v>0.6757157383571496</v>
      </c>
      <c r="H66">
        <f t="shared" ca="1" si="1"/>
        <v>2</v>
      </c>
      <c r="I66">
        <f t="shared" ca="1" si="2"/>
        <v>1</v>
      </c>
    </row>
    <row r="67" spans="1:9">
      <c r="A67" s="156"/>
      <c r="B67" s="445" t="s">
        <v>8</v>
      </c>
      <c r="G67">
        <f t="shared" ca="1" si="0"/>
        <v>7.3586355585466556E-2</v>
      </c>
      <c r="H67">
        <f t="shared" ca="1" si="1"/>
        <v>1</v>
      </c>
      <c r="I67">
        <f t="shared" ca="1" si="2"/>
        <v>2</v>
      </c>
    </row>
    <row r="68" spans="1:9">
      <c r="A68" s="450" t="s">
        <v>238</v>
      </c>
      <c r="B68" s="445" t="s">
        <v>9</v>
      </c>
      <c r="G68">
        <f t="shared" ca="1" si="0"/>
        <v>0.19867478669164973</v>
      </c>
      <c r="H68">
        <f t="shared" ca="1" si="1"/>
        <v>1</v>
      </c>
      <c r="I68">
        <f t="shared" ca="1" si="2"/>
        <v>2</v>
      </c>
    </row>
    <row r="69" spans="1:9">
      <c r="A69" s="156"/>
      <c r="B69" s="449" t="s">
        <v>8</v>
      </c>
      <c r="G69">
        <f t="shared" ref="G69:G132" ca="1" si="3">RAND()</f>
        <v>0.64523719258394552</v>
      </c>
      <c r="H69">
        <f t="shared" ref="H69:H132" ca="1" si="4">IF(G69&lt;0.66,1,2)</f>
        <v>1</v>
      </c>
      <c r="I69">
        <f t="shared" ref="I69:I132" ca="1" si="5">IF(G69&lt;0.33,2,1)</f>
        <v>1</v>
      </c>
    </row>
    <row r="70" spans="1:9">
      <c r="A70" s="446" t="s">
        <v>239</v>
      </c>
      <c r="B70" s="428">
        <v>5</v>
      </c>
      <c r="G70">
        <f t="shared" ca="1" si="3"/>
        <v>0.1084504696025328</v>
      </c>
      <c r="H70">
        <f t="shared" ca="1" si="4"/>
        <v>1</v>
      </c>
      <c r="I70">
        <f t="shared" ca="1" si="5"/>
        <v>2</v>
      </c>
    </row>
    <row r="71" spans="1:9">
      <c r="A71" s="88"/>
      <c r="B71" s="428">
        <v>6</v>
      </c>
      <c r="G71">
        <f t="shared" ca="1" si="3"/>
        <v>0.4195459386346424</v>
      </c>
      <c r="H71">
        <f t="shared" ca="1" si="4"/>
        <v>1</v>
      </c>
      <c r="I71">
        <f t="shared" ca="1" si="5"/>
        <v>1</v>
      </c>
    </row>
    <row r="72" spans="1:9">
      <c r="A72" s="88"/>
      <c r="B72" s="428">
        <v>7</v>
      </c>
      <c r="G72">
        <f t="shared" ca="1" si="3"/>
        <v>0.17027747694566808</v>
      </c>
      <c r="H72">
        <f t="shared" ca="1" si="4"/>
        <v>1</v>
      </c>
      <c r="I72">
        <f t="shared" ca="1" si="5"/>
        <v>2</v>
      </c>
    </row>
    <row r="73" spans="1:9">
      <c r="A73" s="88"/>
      <c r="B73" s="428">
        <v>8</v>
      </c>
      <c r="G73">
        <f t="shared" ca="1" si="3"/>
        <v>0.37698748569244978</v>
      </c>
      <c r="H73">
        <f t="shared" ca="1" si="4"/>
        <v>1</v>
      </c>
      <c r="I73">
        <f t="shared" ca="1" si="5"/>
        <v>1</v>
      </c>
    </row>
    <row r="74" spans="1:9">
      <c r="A74" s="88"/>
      <c r="B74" s="428">
        <v>9</v>
      </c>
      <c r="G74">
        <f t="shared" ca="1" si="3"/>
        <v>0.22499788497265794</v>
      </c>
      <c r="H74">
        <f t="shared" ca="1" si="4"/>
        <v>1</v>
      </c>
      <c r="I74">
        <f t="shared" ca="1" si="5"/>
        <v>2</v>
      </c>
    </row>
    <row r="75" spans="1:9">
      <c r="A75" s="88"/>
      <c r="B75" s="428">
        <v>10</v>
      </c>
      <c r="G75">
        <f t="shared" ca="1" si="3"/>
        <v>0.41122933564953035</v>
      </c>
      <c r="H75">
        <f t="shared" ca="1" si="4"/>
        <v>1</v>
      </c>
      <c r="I75">
        <f t="shared" ca="1" si="5"/>
        <v>1</v>
      </c>
    </row>
    <row r="76" spans="1:9">
      <c r="A76" s="88"/>
      <c r="B76" s="428">
        <v>11</v>
      </c>
      <c r="G76">
        <f t="shared" ca="1" si="3"/>
        <v>0.37755937308502319</v>
      </c>
      <c r="H76">
        <f t="shared" ca="1" si="4"/>
        <v>1</v>
      </c>
      <c r="I76">
        <f t="shared" ca="1" si="5"/>
        <v>1</v>
      </c>
    </row>
    <row r="77" spans="1:9">
      <c r="A77" s="156"/>
      <c r="B77" s="428">
        <v>12</v>
      </c>
      <c r="G77">
        <f t="shared" ca="1" si="3"/>
        <v>0.10927409022843459</v>
      </c>
      <c r="H77">
        <f t="shared" ca="1" si="4"/>
        <v>1</v>
      </c>
      <c r="I77">
        <f t="shared" ca="1" si="5"/>
        <v>2</v>
      </c>
    </row>
    <row r="78" spans="1:9">
      <c r="A78" s="446" t="s">
        <v>240</v>
      </c>
      <c r="B78" s="445" t="s">
        <v>57</v>
      </c>
      <c r="G78">
        <f t="shared" ca="1" si="3"/>
        <v>0.94534234742539613</v>
      </c>
      <c r="H78">
        <f t="shared" ca="1" si="4"/>
        <v>2</v>
      </c>
      <c r="I78">
        <f t="shared" ca="1" si="5"/>
        <v>1</v>
      </c>
    </row>
    <row r="79" spans="1:9">
      <c r="A79" s="156"/>
      <c r="B79" s="445" t="s">
        <v>56</v>
      </c>
      <c r="G79">
        <f t="shared" ca="1" si="3"/>
        <v>0.47571619487707018</v>
      </c>
      <c r="H79">
        <f t="shared" ca="1" si="4"/>
        <v>1</v>
      </c>
      <c r="I79">
        <f t="shared" ca="1" si="5"/>
        <v>1</v>
      </c>
    </row>
    <row r="80" spans="1:9">
      <c r="G80">
        <f t="shared" ca="1" si="3"/>
        <v>0.14585237145776941</v>
      </c>
      <c r="H80">
        <f t="shared" ca="1" si="4"/>
        <v>1</v>
      </c>
      <c r="I80">
        <f t="shared" ca="1" si="5"/>
        <v>2</v>
      </c>
    </row>
    <row r="81" spans="1:9">
      <c r="G81">
        <f t="shared" ca="1" si="3"/>
        <v>0.91447709605653449</v>
      </c>
      <c r="H81">
        <f t="shared" ca="1" si="4"/>
        <v>2</v>
      </c>
      <c r="I81">
        <f t="shared" ca="1" si="5"/>
        <v>1</v>
      </c>
    </row>
    <row r="82" spans="1:9">
      <c r="G82">
        <f t="shared" ca="1" si="3"/>
        <v>0.40185525597942195</v>
      </c>
      <c r="H82">
        <f t="shared" ca="1" si="4"/>
        <v>1</v>
      </c>
      <c r="I82">
        <f t="shared" ca="1" si="5"/>
        <v>1</v>
      </c>
    </row>
    <row r="83" spans="1:9">
      <c r="A83" s="445" t="s">
        <v>246</v>
      </c>
      <c r="B83" s="428">
        <v>1</v>
      </c>
      <c r="G83">
        <f t="shared" ca="1" si="3"/>
        <v>7.1427303039961254E-2</v>
      </c>
      <c r="H83">
        <f t="shared" ca="1" si="4"/>
        <v>1</v>
      </c>
      <c r="I83">
        <f t="shared" ca="1" si="5"/>
        <v>2</v>
      </c>
    </row>
    <row r="84" spans="1:9">
      <c r="G84">
        <f t="shared" ca="1" si="3"/>
        <v>0.98413775793229752</v>
      </c>
      <c r="H84">
        <f t="shared" ca="1" si="4"/>
        <v>2</v>
      </c>
      <c r="I84">
        <f t="shared" ca="1" si="5"/>
        <v>1</v>
      </c>
    </row>
    <row r="85" spans="1:9">
      <c r="G85">
        <f t="shared" ca="1" si="3"/>
        <v>0.39066845115516313</v>
      </c>
      <c r="H85">
        <f t="shared" ca="1" si="4"/>
        <v>1</v>
      </c>
      <c r="I85">
        <f t="shared" ca="1" si="5"/>
        <v>1</v>
      </c>
    </row>
    <row r="86" spans="1:9">
      <c r="G86">
        <f t="shared" ca="1" si="3"/>
        <v>0.77419510662796254</v>
      </c>
      <c r="H86">
        <f t="shared" ca="1" si="4"/>
        <v>2</v>
      </c>
      <c r="I86">
        <f t="shared" ca="1" si="5"/>
        <v>1</v>
      </c>
    </row>
    <row r="87" spans="1:9">
      <c r="G87">
        <f t="shared" ca="1" si="3"/>
        <v>0.45049620215680986</v>
      </c>
      <c r="H87">
        <f t="shared" ca="1" si="4"/>
        <v>1</v>
      </c>
      <c r="I87">
        <f t="shared" ca="1" si="5"/>
        <v>1</v>
      </c>
    </row>
    <row r="88" spans="1:9">
      <c r="G88">
        <f t="shared" ca="1" si="3"/>
        <v>0.65481124985229455</v>
      </c>
      <c r="H88">
        <f t="shared" ca="1" si="4"/>
        <v>1</v>
      </c>
      <c r="I88">
        <f t="shared" ca="1" si="5"/>
        <v>1</v>
      </c>
    </row>
    <row r="89" spans="1:9">
      <c r="G89">
        <f t="shared" ca="1" si="3"/>
        <v>0.58786774111087226</v>
      </c>
      <c r="H89">
        <f t="shared" ca="1" si="4"/>
        <v>1</v>
      </c>
      <c r="I89">
        <f t="shared" ca="1" si="5"/>
        <v>1</v>
      </c>
    </row>
    <row r="90" spans="1:9">
      <c r="G90">
        <f t="shared" ca="1" si="3"/>
        <v>0.7410547519682954</v>
      </c>
      <c r="H90">
        <f t="shared" ca="1" si="4"/>
        <v>2</v>
      </c>
      <c r="I90">
        <f t="shared" ca="1" si="5"/>
        <v>1</v>
      </c>
    </row>
    <row r="91" spans="1:9">
      <c r="G91">
        <f t="shared" ca="1" si="3"/>
        <v>1.1501608739946212E-2</v>
      </c>
      <c r="H91">
        <f t="shared" ca="1" si="4"/>
        <v>1</v>
      </c>
      <c r="I91">
        <f t="shared" ca="1" si="5"/>
        <v>2</v>
      </c>
    </row>
    <row r="92" spans="1:9">
      <c r="G92">
        <f t="shared" ca="1" si="3"/>
        <v>0.19117626120032616</v>
      </c>
      <c r="H92">
        <f t="shared" ca="1" si="4"/>
        <v>1</v>
      </c>
      <c r="I92">
        <f t="shared" ca="1" si="5"/>
        <v>2</v>
      </c>
    </row>
    <row r="93" spans="1:9">
      <c r="G93">
        <f t="shared" ca="1" si="3"/>
        <v>0.12776595871595431</v>
      </c>
      <c r="H93">
        <f t="shared" ca="1" si="4"/>
        <v>1</v>
      </c>
      <c r="I93">
        <f t="shared" ca="1" si="5"/>
        <v>2</v>
      </c>
    </row>
    <row r="94" spans="1:9">
      <c r="G94">
        <f t="shared" ca="1" si="3"/>
        <v>0.83963050293559816</v>
      </c>
      <c r="H94">
        <f t="shared" ca="1" si="4"/>
        <v>2</v>
      </c>
      <c r="I94">
        <f t="shared" ca="1" si="5"/>
        <v>1</v>
      </c>
    </row>
    <row r="95" spans="1:9">
      <c r="G95">
        <f t="shared" ca="1" si="3"/>
        <v>0.56471722307727812</v>
      </c>
      <c r="H95">
        <f t="shared" ca="1" si="4"/>
        <v>1</v>
      </c>
      <c r="I95">
        <f t="shared" ca="1" si="5"/>
        <v>1</v>
      </c>
    </row>
    <row r="96" spans="1:9">
      <c r="G96">
        <f t="shared" ca="1" si="3"/>
        <v>0.18356313104310928</v>
      </c>
      <c r="H96">
        <f t="shared" ca="1" si="4"/>
        <v>1</v>
      </c>
      <c r="I96">
        <f t="shared" ca="1" si="5"/>
        <v>2</v>
      </c>
    </row>
    <row r="97" spans="7:9">
      <c r="G97">
        <f t="shared" ca="1" si="3"/>
        <v>0.30360335887260814</v>
      </c>
      <c r="H97">
        <f t="shared" ca="1" si="4"/>
        <v>1</v>
      </c>
      <c r="I97">
        <f t="shared" ca="1" si="5"/>
        <v>2</v>
      </c>
    </row>
    <row r="98" spans="7:9">
      <c r="G98">
        <f t="shared" ca="1" si="3"/>
        <v>0.75277822287164164</v>
      </c>
      <c r="H98">
        <f t="shared" ca="1" si="4"/>
        <v>2</v>
      </c>
      <c r="I98">
        <f t="shared" ca="1" si="5"/>
        <v>1</v>
      </c>
    </row>
    <row r="99" spans="7:9">
      <c r="G99">
        <f t="shared" ca="1" si="3"/>
        <v>0.59443338273529978</v>
      </c>
      <c r="H99">
        <f t="shared" ca="1" si="4"/>
        <v>1</v>
      </c>
      <c r="I99">
        <f t="shared" ca="1" si="5"/>
        <v>1</v>
      </c>
    </row>
    <row r="100" spans="7:9">
      <c r="G100">
        <f t="shared" ca="1" si="3"/>
        <v>0.99664149674687574</v>
      </c>
      <c r="H100">
        <f t="shared" ca="1" si="4"/>
        <v>2</v>
      </c>
      <c r="I100">
        <f t="shared" ca="1" si="5"/>
        <v>1</v>
      </c>
    </row>
    <row r="101" spans="7:9">
      <c r="G101">
        <f t="shared" ca="1" si="3"/>
        <v>0.77748315446628469</v>
      </c>
      <c r="H101">
        <f t="shared" ca="1" si="4"/>
        <v>2</v>
      </c>
      <c r="I101">
        <f t="shared" ca="1" si="5"/>
        <v>1</v>
      </c>
    </row>
    <row r="102" spans="7:9">
      <c r="G102">
        <f t="shared" ca="1" si="3"/>
        <v>0.93099022677629062</v>
      </c>
      <c r="H102">
        <f t="shared" ca="1" si="4"/>
        <v>2</v>
      </c>
      <c r="I102">
        <f t="shared" ca="1" si="5"/>
        <v>1</v>
      </c>
    </row>
    <row r="103" spans="7:9">
      <c r="G103">
        <f t="shared" ca="1" si="3"/>
        <v>0.53997359086360575</v>
      </c>
      <c r="H103">
        <f t="shared" ca="1" si="4"/>
        <v>1</v>
      </c>
      <c r="I103">
        <f t="shared" ca="1" si="5"/>
        <v>1</v>
      </c>
    </row>
    <row r="104" spans="7:9">
      <c r="G104">
        <f t="shared" ca="1" si="3"/>
        <v>0.34079762195731178</v>
      </c>
      <c r="H104">
        <f t="shared" ca="1" si="4"/>
        <v>1</v>
      </c>
      <c r="I104">
        <f t="shared" ca="1" si="5"/>
        <v>1</v>
      </c>
    </row>
    <row r="105" spans="7:9">
      <c r="G105">
        <f t="shared" ca="1" si="3"/>
        <v>3.0705833259703219E-5</v>
      </c>
      <c r="H105">
        <f t="shared" ca="1" si="4"/>
        <v>1</v>
      </c>
      <c r="I105">
        <f t="shared" ca="1" si="5"/>
        <v>2</v>
      </c>
    </row>
    <row r="106" spans="7:9">
      <c r="G106">
        <f t="shared" ca="1" si="3"/>
        <v>0.50128540837971913</v>
      </c>
      <c r="H106">
        <f t="shared" ca="1" si="4"/>
        <v>1</v>
      </c>
      <c r="I106">
        <f t="shared" ca="1" si="5"/>
        <v>1</v>
      </c>
    </row>
    <row r="107" spans="7:9">
      <c r="G107">
        <f t="shared" ca="1" si="3"/>
        <v>0.97287861985135016</v>
      </c>
      <c r="H107">
        <f t="shared" ca="1" si="4"/>
        <v>2</v>
      </c>
      <c r="I107">
        <f t="shared" ca="1" si="5"/>
        <v>1</v>
      </c>
    </row>
    <row r="108" spans="7:9">
      <c r="G108">
        <f t="shared" ca="1" si="3"/>
        <v>0.70492860363479515</v>
      </c>
      <c r="H108">
        <f t="shared" ca="1" si="4"/>
        <v>2</v>
      </c>
      <c r="I108">
        <f t="shared" ca="1" si="5"/>
        <v>1</v>
      </c>
    </row>
    <row r="109" spans="7:9">
      <c r="G109">
        <f t="shared" ca="1" si="3"/>
        <v>0.92872282912163939</v>
      </c>
      <c r="H109">
        <f t="shared" ca="1" si="4"/>
        <v>2</v>
      </c>
      <c r="I109">
        <f t="shared" ca="1" si="5"/>
        <v>1</v>
      </c>
    </row>
    <row r="110" spans="7:9">
      <c r="G110">
        <f t="shared" ca="1" si="3"/>
        <v>0.50637316069470506</v>
      </c>
      <c r="H110">
        <f t="shared" ca="1" si="4"/>
        <v>1</v>
      </c>
      <c r="I110">
        <f t="shared" ca="1" si="5"/>
        <v>1</v>
      </c>
    </row>
    <row r="111" spans="7:9">
      <c r="G111">
        <f t="shared" ca="1" si="3"/>
        <v>0.71067103298810319</v>
      </c>
      <c r="H111">
        <f t="shared" ca="1" si="4"/>
        <v>2</v>
      </c>
      <c r="I111">
        <f t="shared" ca="1" si="5"/>
        <v>1</v>
      </c>
    </row>
    <row r="112" spans="7:9">
      <c r="G112">
        <f t="shared" ca="1" si="3"/>
        <v>0.71737433709689291</v>
      </c>
      <c r="H112">
        <f t="shared" ca="1" si="4"/>
        <v>2</v>
      </c>
      <c r="I112">
        <f t="shared" ca="1" si="5"/>
        <v>1</v>
      </c>
    </row>
    <row r="113" spans="7:9">
      <c r="G113">
        <f t="shared" ca="1" si="3"/>
        <v>0.601635578661607</v>
      </c>
      <c r="H113">
        <f t="shared" ca="1" si="4"/>
        <v>1</v>
      </c>
      <c r="I113">
        <f t="shared" ca="1" si="5"/>
        <v>1</v>
      </c>
    </row>
    <row r="114" spans="7:9">
      <c r="G114">
        <f t="shared" ca="1" si="3"/>
        <v>0.35201690472905567</v>
      </c>
      <c r="H114">
        <f t="shared" ca="1" si="4"/>
        <v>1</v>
      </c>
      <c r="I114">
        <f t="shared" ca="1" si="5"/>
        <v>1</v>
      </c>
    </row>
    <row r="115" spans="7:9">
      <c r="G115">
        <f t="shared" ca="1" si="3"/>
        <v>0.96532060084332361</v>
      </c>
      <c r="H115">
        <f t="shared" ca="1" si="4"/>
        <v>2</v>
      </c>
      <c r="I115">
        <f t="shared" ca="1" si="5"/>
        <v>1</v>
      </c>
    </row>
    <row r="116" spans="7:9">
      <c r="G116">
        <f t="shared" ca="1" si="3"/>
        <v>0.5494834906019872</v>
      </c>
      <c r="H116">
        <f t="shared" ca="1" si="4"/>
        <v>1</v>
      </c>
      <c r="I116">
        <f t="shared" ca="1" si="5"/>
        <v>1</v>
      </c>
    </row>
    <row r="117" spans="7:9">
      <c r="G117">
        <f t="shared" ca="1" si="3"/>
        <v>0.55564305262432712</v>
      </c>
      <c r="H117">
        <f t="shared" ca="1" si="4"/>
        <v>1</v>
      </c>
      <c r="I117">
        <f t="shared" ca="1" si="5"/>
        <v>1</v>
      </c>
    </row>
    <row r="118" spans="7:9">
      <c r="G118">
        <f t="shared" ca="1" si="3"/>
        <v>0.85119197916544986</v>
      </c>
      <c r="H118">
        <f t="shared" ca="1" si="4"/>
        <v>2</v>
      </c>
      <c r="I118">
        <f t="shared" ca="1" si="5"/>
        <v>1</v>
      </c>
    </row>
    <row r="119" spans="7:9">
      <c r="G119">
        <f t="shared" ca="1" si="3"/>
        <v>0.63367560986357163</v>
      </c>
      <c r="H119">
        <f t="shared" ca="1" si="4"/>
        <v>1</v>
      </c>
      <c r="I119">
        <f t="shared" ca="1" si="5"/>
        <v>1</v>
      </c>
    </row>
    <row r="120" spans="7:9">
      <c r="G120">
        <f t="shared" ca="1" si="3"/>
        <v>0.46424115454168857</v>
      </c>
      <c r="H120">
        <f t="shared" ca="1" si="4"/>
        <v>1</v>
      </c>
      <c r="I120">
        <f t="shared" ca="1" si="5"/>
        <v>1</v>
      </c>
    </row>
    <row r="121" spans="7:9">
      <c r="G121">
        <f t="shared" ca="1" si="3"/>
        <v>0.3861081726706731</v>
      </c>
      <c r="H121">
        <f t="shared" ca="1" si="4"/>
        <v>1</v>
      </c>
      <c r="I121">
        <f t="shared" ca="1" si="5"/>
        <v>1</v>
      </c>
    </row>
    <row r="122" spans="7:9">
      <c r="G122">
        <f t="shared" ca="1" si="3"/>
        <v>0.60571299417643876</v>
      </c>
      <c r="H122">
        <f t="shared" ca="1" si="4"/>
        <v>1</v>
      </c>
      <c r="I122">
        <f t="shared" ca="1" si="5"/>
        <v>1</v>
      </c>
    </row>
    <row r="123" spans="7:9">
      <c r="G123">
        <f t="shared" ca="1" si="3"/>
        <v>0.33983756215257377</v>
      </c>
      <c r="H123">
        <f t="shared" ca="1" si="4"/>
        <v>1</v>
      </c>
      <c r="I123">
        <f t="shared" ca="1" si="5"/>
        <v>1</v>
      </c>
    </row>
    <row r="124" spans="7:9">
      <c r="G124">
        <f t="shared" ca="1" si="3"/>
        <v>0.16512267343954246</v>
      </c>
      <c r="H124">
        <f t="shared" ca="1" si="4"/>
        <v>1</v>
      </c>
      <c r="I124">
        <f t="shared" ca="1" si="5"/>
        <v>2</v>
      </c>
    </row>
    <row r="125" spans="7:9">
      <c r="G125">
        <f t="shared" ca="1" si="3"/>
        <v>9.2052641653521339E-2</v>
      </c>
      <c r="H125">
        <f t="shared" ca="1" si="4"/>
        <v>1</v>
      </c>
      <c r="I125">
        <f t="shared" ca="1" si="5"/>
        <v>2</v>
      </c>
    </row>
    <row r="126" spans="7:9">
      <c r="G126">
        <f t="shared" ca="1" si="3"/>
        <v>0.13466695569539477</v>
      </c>
      <c r="H126">
        <f t="shared" ca="1" si="4"/>
        <v>1</v>
      </c>
      <c r="I126">
        <f t="shared" ca="1" si="5"/>
        <v>2</v>
      </c>
    </row>
    <row r="127" spans="7:9">
      <c r="G127">
        <f t="shared" ca="1" si="3"/>
        <v>4.0663443839521918E-2</v>
      </c>
      <c r="H127">
        <f t="shared" ca="1" si="4"/>
        <v>1</v>
      </c>
      <c r="I127">
        <f t="shared" ca="1" si="5"/>
        <v>2</v>
      </c>
    </row>
    <row r="128" spans="7:9">
      <c r="G128">
        <f t="shared" ca="1" si="3"/>
        <v>0.11969234031850862</v>
      </c>
      <c r="H128">
        <f t="shared" ca="1" si="4"/>
        <v>1</v>
      </c>
      <c r="I128">
        <f t="shared" ca="1" si="5"/>
        <v>2</v>
      </c>
    </row>
    <row r="129" spans="7:9">
      <c r="G129">
        <f t="shared" ca="1" si="3"/>
        <v>2.8982923077318201E-2</v>
      </c>
      <c r="H129">
        <f t="shared" ca="1" si="4"/>
        <v>1</v>
      </c>
      <c r="I129">
        <f t="shared" ca="1" si="5"/>
        <v>2</v>
      </c>
    </row>
    <row r="130" spans="7:9">
      <c r="G130">
        <f t="shared" ca="1" si="3"/>
        <v>0.51732986186363872</v>
      </c>
      <c r="H130">
        <f t="shared" ca="1" si="4"/>
        <v>1</v>
      </c>
      <c r="I130">
        <f t="shared" ca="1" si="5"/>
        <v>1</v>
      </c>
    </row>
    <row r="131" spans="7:9">
      <c r="G131">
        <f t="shared" ca="1" si="3"/>
        <v>0.82192717848017094</v>
      </c>
      <c r="H131">
        <f t="shared" ca="1" si="4"/>
        <v>2</v>
      </c>
      <c r="I131">
        <f t="shared" ca="1" si="5"/>
        <v>1</v>
      </c>
    </row>
    <row r="132" spans="7:9">
      <c r="G132">
        <f t="shared" ca="1" si="3"/>
        <v>0.63772299618958894</v>
      </c>
      <c r="H132">
        <f t="shared" ca="1" si="4"/>
        <v>1</v>
      </c>
      <c r="I132">
        <f t="shared" ca="1" si="5"/>
        <v>1</v>
      </c>
    </row>
    <row r="133" spans="7:9">
      <c r="G133">
        <f t="shared" ref="G133:G196" ca="1" si="6">RAND()</f>
        <v>0.65584962727830276</v>
      </c>
      <c r="H133">
        <f t="shared" ref="H133:H196" ca="1" si="7">IF(G133&lt;0.66,1,2)</f>
        <v>1</v>
      </c>
      <c r="I133">
        <f t="shared" ref="I133:I196" ca="1" si="8">IF(G133&lt;0.33,2,1)</f>
        <v>1</v>
      </c>
    </row>
    <row r="134" spans="7:9">
      <c r="G134">
        <f t="shared" ca="1" si="6"/>
        <v>0.14199191223071272</v>
      </c>
      <c r="H134">
        <f t="shared" ca="1" si="7"/>
        <v>1</v>
      </c>
      <c r="I134">
        <f t="shared" ca="1" si="8"/>
        <v>2</v>
      </c>
    </row>
    <row r="135" spans="7:9">
      <c r="G135">
        <f t="shared" ca="1" si="6"/>
        <v>0.55143870785223481</v>
      </c>
      <c r="H135">
        <f t="shared" ca="1" si="7"/>
        <v>1</v>
      </c>
      <c r="I135">
        <f t="shared" ca="1" si="8"/>
        <v>1</v>
      </c>
    </row>
    <row r="136" spans="7:9">
      <c r="G136">
        <f t="shared" ca="1" si="6"/>
        <v>0.82318128514667477</v>
      </c>
      <c r="H136">
        <f t="shared" ca="1" si="7"/>
        <v>2</v>
      </c>
      <c r="I136">
        <f t="shared" ca="1" si="8"/>
        <v>1</v>
      </c>
    </row>
    <row r="137" spans="7:9">
      <c r="G137">
        <f t="shared" ca="1" si="6"/>
        <v>0.74050226279478304</v>
      </c>
      <c r="H137">
        <f t="shared" ca="1" si="7"/>
        <v>2</v>
      </c>
      <c r="I137">
        <f t="shared" ca="1" si="8"/>
        <v>1</v>
      </c>
    </row>
    <row r="138" spans="7:9">
      <c r="G138">
        <f t="shared" ca="1" si="6"/>
        <v>0.34217824864860968</v>
      </c>
      <c r="H138">
        <f t="shared" ca="1" si="7"/>
        <v>1</v>
      </c>
      <c r="I138">
        <f t="shared" ca="1" si="8"/>
        <v>1</v>
      </c>
    </row>
    <row r="139" spans="7:9">
      <c r="G139">
        <f t="shared" ca="1" si="6"/>
        <v>0.18360602183270736</v>
      </c>
      <c r="H139">
        <f t="shared" ca="1" si="7"/>
        <v>1</v>
      </c>
      <c r="I139">
        <f t="shared" ca="1" si="8"/>
        <v>2</v>
      </c>
    </row>
    <row r="140" spans="7:9">
      <c r="G140">
        <f t="shared" ca="1" si="6"/>
        <v>0.77019366503669839</v>
      </c>
      <c r="H140">
        <f t="shared" ca="1" si="7"/>
        <v>2</v>
      </c>
      <c r="I140">
        <f t="shared" ca="1" si="8"/>
        <v>1</v>
      </c>
    </row>
    <row r="141" spans="7:9">
      <c r="G141">
        <f t="shared" ca="1" si="6"/>
        <v>0.72071530210024715</v>
      </c>
      <c r="H141">
        <f t="shared" ca="1" si="7"/>
        <v>2</v>
      </c>
      <c r="I141">
        <f t="shared" ca="1" si="8"/>
        <v>1</v>
      </c>
    </row>
    <row r="142" spans="7:9">
      <c r="G142">
        <f t="shared" ca="1" si="6"/>
        <v>3.7075737109045326E-2</v>
      </c>
      <c r="H142">
        <f t="shared" ca="1" si="7"/>
        <v>1</v>
      </c>
      <c r="I142">
        <f t="shared" ca="1" si="8"/>
        <v>2</v>
      </c>
    </row>
    <row r="143" spans="7:9">
      <c r="G143">
        <f t="shared" ca="1" si="6"/>
        <v>0.48855843858924575</v>
      </c>
      <c r="H143">
        <f t="shared" ca="1" si="7"/>
        <v>1</v>
      </c>
      <c r="I143">
        <f t="shared" ca="1" si="8"/>
        <v>1</v>
      </c>
    </row>
    <row r="144" spans="7:9">
      <c r="G144">
        <f t="shared" ca="1" si="6"/>
        <v>0.71372148011241221</v>
      </c>
      <c r="H144">
        <f t="shared" ca="1" si="7"/>
        <v>2</v>
      </c>
      <c r="I144">
        <f t="shared" ca="1" si="8"/>
        <v>1</v>
      </c>
    </row>
    <row r="145" spans="7:9">
      <c r="G145">
        <f t="shared" ca="1" si="6"/>
        <v>0.51751039137565502</v>
      </c>
      <c r="H145">
        <f t="shared" ca="1" si="7"/>
        <v>1</v>
      </c>
      <c r="I145">
        <f t="shared" ca="1" si="8"/>
        <v>1</v>
      </c>
    </row>
    <row r="146" spans="7:9">
      <c r="G146">
        <f t="shared" ca="1" si="6"/>
        <v>0.98480101820119514</v>
      </c>
      <c r="H146">
        <f t="shared" ca="1" si="7"/>
        <v>2</v>
      </c>
      <c r="I146">
        <f t="shared" ca="1" si="8"/>
        <v>1</v>
      </c>
    </row>
    <row r="147" spans="7:9">
      <c r="G147">
        <f t="shared" ca="1" si="6"/>
        <v>0.3207007123125466</v>
      </c>
      <c r="H147">
        <f t="shared" ca="1" si="7"/>
        <v>1</v>
      </c>
      <c r="I147">
        <f t="shared" ca="1" si="8"/>
        <v>2</v>
      </c>
    </row>
    <row r="148" spans="7:9">
      <c r="G148">
        <f t="shared" ca="1" si="6"/>
        <v>0.38387219388497773</v>
      </c>
      <c r="H148">
        <f t="shared" ca="1" si="7"/>
        <v>1</v>
      </c>
      <c r="I148">
        <f t="shared" ca="1" si="8"/>
        <v>1</v>
      </c>
    </row>
    <row r="149" spans="7:9">
      <c r="G149">
        <f t="shared" ca="1" si="6"/>
        <v>0.50779007835750478</v>
      </c>
      <c r="H149">
        <f t="shared" ca="1" si="7"/>
        <v>1</v>
      </c>
      <c r="I149">
        <f t="shared" ca="1" si="8"/>
        <v>1</v>
      </c>
    </row>
    <row r="150" spans="7:9">
      <c r="G150">
        <f t="shared" ca="1" si="6"/>
        <v>0.25167575353194049</v>
      </c>
      <c r="H150">
        <f t="shared" ca="1" si="7"/>
        <v>1</v>
      </c>
      <c r="I150">
        <f t="shared" ca="1" si="8"/>
        <v>2</v>
      </c>
    </row>
    <row r="151" spans="7:9">
      <c r="G151">
        <f t="shared" ca="1" si="6"/>
        <v>0.27636174989812157</v>
      </c>
      <c r="H151">
        <f t="shared" ca="1" si="7"/>
        <v>1</v>
      </c>
      <c r="I151">
        <f t="shared" ca="1" si="8"/>
        <v>2</v>
      </c>
    </row>
    <row r="152" spans="7:9">
      <c r="G152">
        <f t="shared" ca="1" si="6"/>
        <v>0.75887010101345298</v>
      </c>
      <c r="H152">
        <f t="shared" ca="1" si="7"/>
        <v>2</v>
      </c>
      <c r="I152">
        <f t="shared" ca="1" si="8"/>
        <v>1</v>
      </c>
    </row>
    <row r="153" spans="7:9">
      <c r="G153">
        <f t="shared" ca="1" si="6"/>
        <v>0.11926291877461759</v>
      </c>
      <c r="H153">
        <f t="shared" ca="1" si="7"/>
        <v>1</v>
      </c>
      <c r="I153">
        <f t="shared" ca="1" si="8"/>
        <v>2</v>
      </c>
    </row>
    <row r="154" spans="7:9">
      <c r="G154">
        <f t="shared" ca="1" si="6"/>
        <v>0.15772654628451332</v>
      </c>
      <c r="H154">
        <f t="shared" ca="1" si="7"/>
        <v>1</v>
      </c>
      <c r="I154">
        <f t="shared" ca="1" si="8"/>
        <v>2</v>
      </c>
    </row>
    <row r="155" spans="7:9">
      <c r="G155">
        <f t="shared" ca="1" si="6"/>
        <v>0.42701080334032204</v>
      </c>
      <c r="H155">
        <f t="shared" ca="1" si="7"/>
        <v>1</v>
      </c>
      <c r="I155">
        <f t="shared" ca="1" si="8"/>
        <v>1</v>
      </c>
    </row>
    <row r="156" spans="7:9">
      <c r="G156">
        <f t="shared" ca="1" si="6"/>
        <v>0.88790919225783882</v>
      </c>
      <c r="H156">
        <f t="shared" ca="1" si="7"/>
        <v>2</v>
      </c>
      <c r="I156">
        <f t="shared" ca="1" si="8"/>
        <v>1</v>
      </c>
    </row>
    <row r="157" spans="7:9">
      <c r="G157">
        <f t="shared" ca="1" si="6"/>
        <v>0.81523042621925501</v>
      </c>
      <c r="H157">
        <f t="shared" ca="1" si="7"/>
        <v>2</v>
      </c>
      <c r="I157">
        <f t="shared" ca="1" si="8"/>
        <v>1</v>
      </c>
    </row>
    <row r="158" spans="7:9">
      <c r="G158">
        <f t="shared" ca="1" si="6"/>
        <v>0.27602486889478228</v>
      </c>
      <c r="H158">
        <f t="shared" ca="1" si="7"/>
        <v>1</v>
      </c>
      <c r="I158">
        <f t="shared" ca="1" si="8"/>
        <v>2</v>
      </c>
    </row>
    <row r="159" spans="7:9">
      <c r="G159">
        <f t="shared" ca="1" si="6"/>
        <v>0.54679741263218629</v>
      </c>
      <c r="H159">
        <f t="shared" ca="1" si="7"/>
        <v>1</v>
      </c>
      <c r="I159">
        <f t="shared" ca="1" si="8"/>
        <v>1</v>
      </c>
    </row>
    <row r="160" spans="7:9">
      <c r="G160">
        <f t="shared" ca="1" si="6"/>
        <v>5.4642951342671608E-2</v>
      </c>
      <c r="H160">
        <f t="shared" ca="1" si="7"/>
        <v>1</v>
      </c>
      <c r="I160">
        <f t="shared" ca="1" si="8"/>
        <v>2</v>
      </c>
    </row>
    <row r="161" spans="7:9">
      <c r="G161">
        <f t="shared" ca="1" si="6"/>
        <v>9.6887511389952219E-2</v>
      </c>
      <c r="H161">
        <f t="shared" ca="1" si="7"/>
        <v>1</v>
      </c>
      <c r="I161">
        <f t="shared" ca="1" si="8"/>
        <v>2</v>
      </c>
    </row>
    <row r="162" spans="7:9">
      <c r="G162">
        <f t="shared" ca="1" si="6"/>
        <v>0.85359965751066302</v>
      </c>
      <c r="H162">
        <f t="shared" ca="1" si="7"/>
        <v>2</v>
      </c>
      <c r="I162">
        <f t="shared" ca="1" si="8"/>
        <v>1</v>
      </c>
    </row>
    <row r="163" spans="7:9">
      <c r="G163">
        <f t="shared" ca="1" si="6"/>
        <v>0.40582939406135554</v>
      </c>
      <c r="H163">
        <f t="shared" ca="1" si="7"/>
        <v>1</v>
      </c>
      <c r="I163">
        <f t="shared" ca="1" si="8"/>
        <v>1</v>
      </c>
    </row>
    <row r="164" spans="7:9">
      <c r="G164">
        <f t="shared" ca="1" si="6"/>
        <v>0.36594415673410097</v>
      </c>
      <c r="H164">
        <f t="shared" ca="1" si="7"/>
        <v>1</v>
      </c>
      <c r="I164">
        <f t="shared" ca="1" si="8"/>
        <v>1</v>
      </c>
    </row>
    <row r="165" spans="7:9">
      <c r="G165">
        <f t="shared" ca="1" si="6"/>
        <v>0.53079539301849366</v>
      </c>
      <c r="H165">
        <f t="shared" ca="1" si="7"/>
        <v>1</v>
      </c>
      <c r="I165">
        <f t="shared" ca="1" si="8"/>
        <v>1</v>
      </c>
    </row>
    <row r="166" spans="7:9">
      <c r="G166">
        <f t="shared" ca="1" si="6"/>
        <v>0.57890352650062693</v>
      </c>
      <c r="H166">
        <f t="shared" ca="1" si="7"/>
        <v>1</v>
      </c>
      <c r="I166">
        <f t="shared" ca="1" si="8"/>
        <v>1</v>
      </c>
    </row>
    <row r="167" spans="7:9">
      <c r="G167">
        <f t="shared" ca="1" si="6"/>
        <v>0.14479797215273582</v>
      </c>
      <c r="H167">
        <f t="shared" ca="1" si="7"/>
        <v>1</v>
      </c>
      <c r="I167">
        <f t="shared" ca="1" si="8"/>
        <v>2</v>
      </c>
    </row>
    <row r="168" spans="7:9">
      <c r="G168">
        <f t="shared" ca="1" si="6"/>
        <v>0.54932684029952428</v>
      </c>
      <c r="H168">
        <f t="shared" ca="1" si="7"/>
        <v>1</v>
      </c>
      <c r="I168">
        <f t="shared" ca="1" si="8"/>
        <v>1</v>
      </c>
    </row>
    <row r="169" spans="7:9">
      <c r="G169">
        <f t="shared" ca="1" si="6"/>
        <v>0.69958743224988773</v>
      </c>
      <c r="H169">
        <f t="shared" ca="1" si="7"/>
        <v>2</v>
      </c>
      <c r="I169">
        <f t="shared" ca="1" si="8"/>
        <v>1</v>
      </c>
    </row>
    <row r="170" spans="7:9">
      <c r="G170">
        <f t="shared" ca="1" si="6"/>
        <v>0.49733846892267231</v>
      </c>
      <c r="H170">
        <f t="shared" ca="1" si="7"/>
        <v>1</v>
      </c>
      <c r="I170">
        <f t="shared" ca="1" si="8"/>
        <v>1</v>
      </c>
    </row>
    <row r="171" spans="7:9">
      <c r="G171">
        <f t="shared" ca="1" si="6"/>
        <v>0.55647622534572994</v>
      </c>
      <c r="H171">
        <f t="shared" ca="1" si="7"/>
        <v>1</v>
      </c>
      <c r="I171">
        <f t="shared" ca="1" si="8"/>
        <v>1</v>
      </c>
    </row>
    <row r="172" spans="7:9">
      <c r="G172">
        <f t="shared" ca="1" si="6"/>
        <v>0.48940691104383671</v>
      </c>
      <c r="H172">
        <f t="shared" ca="1" si="7"/>
        <v>1</v>
      </c>
      <c r="I172">
        <f t="shared" ca="1" si="8"/>
        <v>1</v>
      </c>
    </row>
    <row r="173" spans="7:9">
      <c r="G173">
        <f t="shared" ca="1" si="6"/>
        <v>0.77741347228054192</v>
      </c>
      <c r="H173">
        <f t="shared" ca="1" si="7"/>
        <v>2</v>
      </c>
      <c r="I173">
        <f t="shared" ca="1" si="8"/>
        <v>1</v>
      </c>
    </row>
    <row r="174" spans="7:9">
      <c r="G174">
        <f t="shared" ca="1" si="6"/>
        <v>0.18832801082820327</v>
      </c>
      <c r="H174">
        <f t="shared" ca="1" si="7"/>
        <v>1</v>
      </c>
      <c r="I174">
        <f t="shared" ca="1" si="8"/>
        <v>2</v>
      </c>
    </row>
    <row r="175" spans="7:9">
      <c r="G175">
        <f t="shared" ca="1" si="6"/>
        <v>0.9726033254668085</v>
      </c>
      <c r="H175">
        <f t="shared" ca="1" si="7"/>
        <v>2</v>
      </c>
      <c r="I175">
        <f t="shared" ca="1" si="8"/>
        <v>1</v>
      </c>
    </row>
    <row r="176" spans="7:9">
      <c r="G176">
        <f t="shared" ca="1" si="6"/>
        <v>0.58916879895426622</v>
      </c>
      <c r="H176">
        <f t="shared" ca="1" si="7"/>
        <v>1</v>
      </c>
      <c r="I176">
        <f t="shared" ca="1" si="8"/>
        <v>1</v>
      </c>
    </row>
    <row r="177" spans="7:9">
      <c r="G177">
        <f t="shared" ca="1" si="6"/>
        <v>0.48376151002146728</v>
      </c>
      <c r="H177">
        <f t="shared" ca="1" si="7"/>
        <v>1</v>
      </c>
      <c r="I177">
        <f t="shared" ca="1" si="8"/>
        <v>1</v>
      </c>
    </row>
    <row r="178" spans="7:9">
      <c r="G178">
        <f t="shared" ca="1" si="6"/>
        <v>0.1580836567037045</v>
      </c>
      <c r="H178">
        <f t="shared" ca="1" si="7"/>
        <v>1</v>
      </c>
      <c r="I178">
        <f t="shared" ca="1" si="8"/>
        <v>2</v>
      </c>
    </row>
    <row r="179" spans="7:9">
      <c r="G179">
        <f t="shared" ca="1" si="6"/>
        <v>0.36646015857433967</v>
      </c>
      <c r="H179">
        <f t="shared" ca="1" si="7"/>
        <v>1</v>
      </c>
      <c r="I179">
        <f t="shared" ca="1" si="8"/>
        <v>1</v>
      </c>
    </row>
    <row r="180" spans="7:9">
      <c r="G180">
        <f t="shared" ca="1" si="6"/>
        <v>0.32775255205151177</v>
      </c>
      <c r="H180">
        <f t="shared" ca="1" si="7"/>
        <v>1</v>
      </c>
      <c r="I180">
        <f t="shared" ca="1" si="8"/>
        <v>2</v>
      </c>
    </row>
    <row r="181" spans="7:9">
      <c r="G181">
        <f t="shared" ca="1" si="6"/>
        <v>0.17959353470721096</v>
      </c>
      <c r="H181">
        <f t="shared" ca="1" si="7"/>
        <v>1</v>
      </c>
      <c r="I181">
        <f t="shared" ca="1" si="8"/>
        <v>2</v>
      </c>
    </row>
    <row r="182" spans="7:9">
      <c r="G182">
        <f t="shared" ca="1" si="6"/>
        <v>0.20663137455702218</v>
      </c>
      <c r="H182">
        <f t="shared" ca="1" si="7"/>
        <v>1</v>
      </c>
      <c r="I182">
        <f t="shared" ca="1" si="8"/>
        <v>2</v>
      </c>
    </row>
    <row r="183" spans="7:9">
      <c r="G183">
        <f t="shared" ca="1" si="6"/>
        <v>2.3513014675245913E-2</v>
      </c>
      <c r="H183">
        <f t="shared" ca="1" si="7"/>
        <v>1</v>
      </c>
      <c r="I183">
        <f t="shared" ca="1" si="8"/>
        <v>2</v>
      </c>
    </row>
    <row r="184" spans="7:9">
      <c r="G184">
        <f t="shared" ca="1" si="6"/>
        <v>0.14090512254605947</v>
      </c>
      <c r="H184">
        <f t="shared" ca="1" si="7"/>
        <v>1</v>
      </c>
      <c r="I184">
        <f t="shared" ca="1" si="8"/>
        <v>2</v>
      </c>
    </row>
    <row r="185" spans="7:9">
      <c r="G185">
        <f t="shared" ca="1" si="6"/>
        <v>0.70313520808622476</v>
      </c>
      <c r="H185">
        <f t="shared" ca="1" si="7"/>
        <v>2</v>
      </c>
      <c r="I185">
        <f t="shared" ca="1" si="8"/>
        <v>1</v>
      </c>
    </row>
    <row r="186" spans="7:9">
      <c r="G186">
        <f t="shared" ca="1" si="6"/>
        <v>7.5225395955181185E-2</v>
      </c>
      <c r="H186">
        <f t="shared" ca="1" si="7"/>
        <v>1</v>
      </c>
      <c r="I186">
        <f t="shared" ca="1" si="8"/>
        <v>2</v>
      </c>
    </row>
    <row r="187" spans="7:9">
      <c r="G187">
        <f t="shared" ca="1" si="6"/>
        <v>0.87679576053611252</v>
      </c>
      <c r="H187">
        <f t="shared" ca="1" si="7"/>
        <v>2</v>
      </c>
      <c r="I187">
        <f t="shared" ca="1" si="8"/>
        <v>1</v>
      </c>
    </row>
    <row r="188" spans="7:9">
      <c r="G188">
        <f t="shared" ca="1" si="6"/>
        <v>4.7751321694189275E-2</v>
      </c>
      <c r="H188">
        <f t="shared" ca="1" si="7"/>
        <v>1</v>
      </c>
      <c r="I188">
        <f t="shared" ca="1" si="8"/>
        <v>2</v>
      </c>
    </row>
    <row r="189" spans="7:9">
      <c r="G189">
        <f t="shared" ca="1" si="6"/>
        <v>0.7129849054588796</v>
      </c>
      <c r="H189">
        <f t="shared" ca="1" si="7"/>
        <v>2</v>
      </c>
      <c r="I189">
        <f t="shared" ca="1" si="8"/>
        <v>1</v>
      </c>
    </row>
    <row r="190" spans="7:9">
      <c r="G190">
        <f t="shared" ca="1" si="6"/>
        <v>4.6234287764508331E-2</v>
      </c>
      <c r="H190">
        <f t="shared" ca="1" si="7"/>
        <v>1</v>
      </c>
      <c r="I190">
        <f t="shared" ca="1" si="8"/>
        <v>2</v>
      </c>
    </row>
    <row r="191" spans="7:9">
      <c r="G191">
        <f t="shared" ca="1" si="6"/>
        <v>0.92508996503296181</v>
      </c>
      <c r="H191">
        <f t="shared" ca="1" si="7"/>
        <v>2</v>
      </c>
      <c r="I191">
        <f t="shared" ca="1" si="8"/>
        <v>1</v>
      </c>
    </row>
    <row r="192" spans="7:9">
      <c r="G192">
        <f t="shared" ca="1" si="6"/>
        <v>0.71869351303194984</v>
      </c>
      <c r="H192">
        <f t="shared" ca="1" si="7"/>
        <v>2</v>
      </c>
      <c r="I192">
        <f t="shared" ca="1" si="8"/>
        <v>1</v>
      </c>
    </row>
    <row r="193" spans="7:9">
      <c r="G193">
        <f t="shared" ca="1" si="6"/>
        <v>0.54656476434928414</v>
      </c>
      <c r="H193">
        <f t="shared" ca="1" si="7"/>
        <v>1</v>
      </c>
      <c r="I193">
        <f t="shared" ca="1" si="8"/>
        <v>1</v>
      </c>
    </row>
    <row r="194" spans="7:9">
      <c r="G194">
        <f t="shared" ca="1" si="6"/>
        <v>0.29419801961849812</v>
      </c>
      <c r="H194">
        <f t="shared" ca="1" si="7"/>
        <v>1</v>
      </c>
      <c r="I194">
        <f t="shared" ca="1" si="8"/>
        <v>2</v>
      </c>
    </row>
    <row r="195" spans="7:9">
      <c r="G195">
        <f t="shared" ca="1" si="6"/>
        <v>6.9709100464574791E-2</v>
      </c>
      <c r="H195">
        <f t="shared" ca="1" si="7"/>
        <v>1</v>
      </c>
      <c r="I195">
        <f t="shared" ca="1" si="8"/>
        <v>2</v>
      </c>
    </row>
    <row r="196" spans="7:9">
      <c r="G196">
        <f t="shared" ca="1" si="6"/>
        <v>0.66517854079357419</v>
      </c>
      <c r="H196">
        <f t="shared" ca="1" si="7"/>
        <v>2</v>
      </c>
      <c r="I196">
        <f t="shared" ca="1" si="8"/>
        <v>1</v>
      </c>
    </row>
    <row r="197" spans="7:9">
      <c r="G197">
        <f t="shared" ref="G197:G260" ca="1" si="9">RAND()</f>
        <v>0.50459203216030379</v>
      </c>
      <c r="H197">
        <f t="shared" ref="H197:H260" ca="1" si="10">IF(G197&lt;0.66,1,2)</f>
        <v>1</v>
      </c>
      <c r="I197">
        <f t="shared" ref="I197:I260" ca="1" si="11">IF(G197&lt;0.33,2,1)</f>
        <v>1</v>
      </c>
    </row>
    <row r="198" spans="7:9">
      <c r="G198">
        <f t="shared" ca="1" si="9"/>
        <v>0.30974545743564208</v>
      </c>
      <c r="H198">
        <f t="shared" ca="1" si="10"/>
        <v>1</v>
      </c>
      <c r="I198">
        <f t="shared" ca="1" si="11"/>
        <v>2</v>
      </c>
    </row>
    <row r="199" spans="7:9">
      <c r="G199">
        <f t="shared" ca="1" si="9"/>
        <v>0.973807664950051</v>
      </c>
      <c r="H199">
        <f t="shared" ca="1" si="10"/>
        <v>2</v>
      </c>
      <c r="I199">
        <f t="shared" ca="1" si="11"/>
        <v>1</v>
      </c>
    </row>
    <row r="200" spans="7:9">
      <c r="G200">
        <f t="shared" ca="1" si="9"/>
        <v>0.94218461927657171</v>
      </c>
      <c r="H200">
        <f t="shared" ca="1" si="10"/>
        <v>2</v>
      </c>
      <c r="I200">
        <f t="shared" ca="1" si="11"/>
        <v>1</v>
      </c>
    </row>
    <row r="201" spans="7:9">
      <c r="G201">
        <f t="shared" ca="1" si="9"/>
        <v>0.46989270096797819</v>
      </c>
      <c r="H201">
        <f t="shared" ca="1" si="10"/>
        <v>1</v>
      </c>
      <c r="I201">
        <f t="shared" ca="1" si="11"/>
        <v>1</v>
      </c>
    </row>
    <row r="202" spans="7:9">
      <c r="G202">
        <f t="shared" ca="1" si="9"/>
        <v>0.75044959058959171</v>
      </c>
      <c r="H202">
        <f t="shared" ca="1" si="10"/>
        <v>2</v>
      </c>
      <c r="I202">
        <f t="shared" ca="1" si="11"/>
        <v>1</v>
      </c>
    </row>
    <row r="203" spans="7:9">
      <c r="G203">
        <f t="shared" ca="1" si="9"/>
        <v>0.41567491787679745</v>
      </c>
      <c r="H203">
        <f t="shared" ca="1" si="10"/>
        <v>1</v>
      </c>
      <c r="I203">
        <f t="shared" ca="1" si="11"/>
        <v>1</v>
      </c>
    </row>
    <row r="204" spans="7:9">
      <c r="G204">
        <f t="shared" ca="1" si="9"/>
        <v>0.85624948419725644</v>
      </c>
      <c r="H204">
        <f t="shared" ca="1" si="10"/>
        <v>2</v>
      </c>
      <c r="I204">
        <f t="shared" ca="1" si="11"/>
        <v>1</v>
      </c>
    </row>
    <row r="205" spans="7:9">
      <c r="G205">
        <f t="shared" ca="1" si="9"/>
        <v>0.2567908471916005</v>
      </c>
      <c r="H205">
        <f t="shared" ca="1" si="10"/>
        <v>1</v>
      </c>
      <c r="I205">
        <f t="shared" ca="1" si="11"/>
        <v>2</v>
      </c>
    </row>
    <row r="206" spans="7:9">
      <c r="G206">
        <f t="shared" ca="1" si="9"/>
        <v>0.68481772166036292</v>
      </c>
      <c r="H206">
        <f t="shared" ca="1" si="10"/>
        <v>2</v>
      </c>
      <c r="I206">
        <f t="shared" ca="1" si="11"/>
        <v>1</v>
      </c>
    </row>
    <row r="207" spans="7:9">
      <c r="G207">
        <f t="shared" ca="1" si="9"/>
        <v>0.70157900894400782</v>
      </c>
      <c r="H207">
        <f t="shared" ca="1" si="10"/>
        <v>2</v>
      </c>
      <c r="I207">
        <f t="shared" ca="1" si="11"/>
        <v>1</v>
      </c>
    </row>
    <row r="208" spans="7:9">
      <c r="G208">
        <f t="shared" ca="1" si="9"/>
        <v>0.32616016889442434</v>
      </c>
      <c r="H208">
        <f t="shared" ca="1" si="10"/>
        <v>1</v>
      </c>
      <c r="I208">
        <f t="shared" ca="1" si="11"/>
        <v>2</v>
      </c>
    </row>
    <row r="209" spans="7:9">
      <c r="G209">
        <f t="shared" ca="1" si="9"/>
        <v>6.4712627930954225E-2</v>
      </c>
      <c r="H209">
        <f t="shared" ca="1" si="10"/>
        <v>1</v>
      </c>
      <c r="I209">
        <f t="shared" ca="1" si="11"/>
        <v>2</v>
      </c>
    </row>
    <row r="210" spans="7:9">
      <c r="G210">
        <f t="shared" ca="1" si="9"/>
        <v>0.82213851220286804</v>
      </c>
      <c r="H210">
        <f t="shared" ca="1" si="10"/>
        <v>2</v>
      </c>
      <c r="I210">
        <f t="shared" ca="1" si="11"/>
        <v>1</v>
      </c>
    </row>
    <row r="211" spans="7:9">
      <c r="G211">
        <f t="shared" ca="1" si="9"/>
        <v>0.59807200720077236</v>
      </c>
      <c r="H211">
        <f t="shared" ca="1" si="10"/>
        <v>1</v>
      </c>
      <c r="I211">
        <f t="shared" ca="1" si="11"/>
        <v>1</v>
      </c>
    </row>
    <row r="212" spans="7:9">
      <c r="G212">
        <f t="shared" ca="1" si="9"/>
        <v>7.1811117699714155E-2</v>
      </c>
      <c r="H212">
        <f t="shared" ca="1" si="10"/>
        <v>1</v>
      </c>
      <c r="I212">
        <f t="shared" ca="1" si="11"/>
        <v>2</v>
      </c>
    </row>
    <row r="213" spans="7:9">
      <c r="G213">
        <f t="shared" ca="1" si="9"/>
        <v>0.3931504296595455</v>
      </c>
      <c r="H213">
        <f t="shared" ca="1" si="10"/>
        <v>1</v>
      </c>
      <c r="I213">
        <f t="shared" ca="1" si="11"/>
        <v>1</v>
      </c>
    </row>
    <row r="214" spans="7:9">
      <c r="G214">
        <f t="shared" ca="1" si="9"/>
        <v>0.8020039687428977</v>
      </c>
      <c r="H214">
        <f t="shared" ca="1" si="10"/>
        <v>2</v>
      </c>
      <c r="I214">
        <f t="shared" ca="1" si="11"/>
        <v>1</v>
      </c>
    </row>
    <row r="215" spans="7:9">
      <c r="G215">
        <f t="shared" ca="1" si="9"/>
        <v>0.69686521374961974</v>
      </c>
      <c r="H215">
        <f t="shared" ca="1" si="10"/>
        <v>2</v>
      </c>
      <c r="I215">
        <f t="shared" ca="1" si="11"/>
        <v>1</v>
      </c>
    </row>
    <row r="216" spans="7:9">
      <c r="G216">
        <f t="shared" ca="1" si="9"/>
        <v>0.43433237766187394</v>
      </c>
      <c r="H216">
        <f t="shared" ca="1" si="10"/>
        <v>1</v>
      </c>
      <c r="I216">
        <f t="shared" ca="1" si="11"/>
        <v>1</v>
      </c>
    </row>
    <row r="217" spans="7:9">
      <c r="G217">
        <f t="shared" ca="1" si="9"/>
        <v>0.59541077302362466</v>
      </c>
      <c r="H217">
        <f t="shared" ca="1" si="10"/>
        <v>1</v>
      </c>
      <c r="I217">
        <f t="shared" ca="1" si="11"/>
        <v>1</v>
      </c>
    </row>
    <row r="218" spans="7:9">
      <c r="G218">
        <f t="shared" ca="1" si="9"/>
        <v>0.46757260597820627</v>
      </c>
      <c r="H218">
        <f t="shared" ca="1" si="10"/>
        <v>1</v>
      </c>
      <c r="I218">
        <f t="shared" ca="1" si="11"/>
        <v>1</v>
      </c>
    </row>
    <row r="219" spans="7:9">
      <c r="G219">
        <f t="shared" ca="1" si="9"/>
        <v>0.42452135055746443</v>
      </c>
      <c r="H219">
        <f t="shared" ca="1" si="10"/>
        <v>1</v>
      </c>
      <c r="I219">
        <f t="shared" ca="1" si="11"/>
        <v>1</v>
      </c>
    </row>
    <row r="220" spans="7:9">
      <c r="G220">
        <f t="shared" ca="1" si="9"/>
        <v>0.27538423203769935</v>
      </c>
      <c r="H220">
        <f t="shared" ca="1" si="10"/>
        <v>1</v>
      </c>
      <c r="I220">
        <f t="shared" ca="1" si="11"/>
        <v>2</v>
      </c>
    </row>
    <row r="221" spans="7:9">
      <c r="G221">
        <f t="shared" ca="1" si="9"/>
        <v>0.24537254502606964</v>
      </c>
      <c r="H221">
        <f t="shared" ca="1" si="10"/>
        <v>1</v>
      </c>
      <c r="I221">
        <f t="shared" ca="1" si="11"/>
        <v>2</v>
      </c>
    </row>
    <row r="222" spans="7:9">
      <c r="G222">
        <f t="shared" ca="1" si="9"/>
        <v>0.24157350317965387</v>
      </c>
      <c r="H222">
        <f t="shared" ca="1" si="10"/>
        <v>1</v>
      </c>
      <c r="I222">
        <f t="shared" ca="1" si="11"/>
        <v>2</v>
      </c>
    </row>
    <row r="223" spans="7:9">
      <c r="G223">
        <f t="shared" ca="1" si="9"/>
        <v>0.17708412780875316</v>
      </c>
      <c r="H223">
        <f t="shared" ca="1" si="10"/>
        <v>1</v>
      </c>
      <c r="I223">
        <f t="shared" ca="1" si="11"/>
        <v>2</v>
      </c>
    </row>
    <row r="224" spans="7:9">
      <c r="G224">
        <f t="shared" ca="1" si="9"/>
        <v>0.80303709596547579</v>
      </c>
      <c r="H224">
        <f t="shared" ca="1" si="10"/>
        <v>2</v>
      </c>
      <c r="I224">
        <f t="shared" ca="1" si="11"/>
        <v>1</v>
      </c>
    </row>
    <row r="225" spans="7:9">
      <c r="G225">
        <f t="shared" ca="1" si="9"/>
        <v>0.22710367033610646</v>
      </c>
      <c r="H225">
        <f t="shared" ca="1" si="10"/>
        <v>1</v>
      </c>
      <c r="I225">
        <f t="shared" ca="1" si="11"/>
        <v>2</v>
      </c>
    </row>
    <row r="226" spans="7:9">
      <c r="G226">
        <f t="shared" ca="1" si="9"/>
        <v>0.87107190172121041</v>
      </c>
      <c r="H226">
        <f t="shared" ca="1" si="10"/>
        <v>2</v>
      </c>
      <c r="I226">
        <f t="shared" ca="1" si="11"/>
        <v>1</v>
      </c>
    </row>
    <row r="227" spans="7:9">
      <c r="G227">
        <f t="shared" ca="1" si="9"/>
        <v>0.30305893858146793</v>
      </c>
      <c r="H227">
        <f t="shared" ca="1" si="10"/>
        <v>1</v>
      </c>
      <c r="I227">
        <f t="shared" ca="1" si="11"/>
        <v>2</v>
      </c>
    </row>
    <row r="228" spans="7:9">
      <c r="G228">
        <f t="shared" ca="1" si="9"/>
        <v>3.211017817911932E-2</v>
      </c>
      <c r="H228">
        <f t="shared" ca="1" si="10"/>
        <v>1</v>
      </c>
      <c r="I228">
        <f t="shared" ca="1" si="11"/>
        <v>2</v>
      </c>
    </row>
    <row r="229" spans="7:9">
      <c r="G229">
        <f t="shared" ca="1" si="9"/>
        <v>4.0815292167589057E-2</v>
      </c>
      <c r="H229">
        <f t="shared" ca="1" si="10"/>
        <v>1</v>
      </c>
      <c r="I229">
        <f t="shared" ca="1" si="11"/>
        <v>2</v>
      </c>
    </row>
    <row r="230" spans="7:9">
      <c r="G230">
        <f t="shared" ca="1" si="9"/>
        <v>0.79361993642963202</v>
      </c>
      <c r="H230">
        <f t="shared" ca="1" si="10"/>
        <v>2</v>
      </c>
      <c r="I230">
        <f t="shared" ca="1" si="11"/>
        <v>1</v>
      </c>
    </row>
    <row r="231" spans="7:9">
      <c r="G231">
        <f t="shared" ca="1" si="9"/>
        <v>0.35785578748709901</v>
      </c>
      <c r="H231">
        <f t="shared" ca="1" si="10"/>
        <v>1</v>
      </c>
      <c r="I231">
        <f t="shared" ca="1" si="11"/>
        <v>1</v>
      </c>
    </row>
    <row r="232" spans="7:9">
      <c r="G232">
        <f t="shared" ca="1" si="9"/>
        <v>0.10010482161052325</v>
      </c>
      <c r="H232">
        <f t="shared" ca="1" si="10"/>
        <v>1</v>
      </c>
      <c r="I232">
        <f t="shared" ca="1" si="11"/>
        <v>2</v>
      </c>
    </row>
    <row r="233" spans="7:9">
      <c r="G233">
        <f t="shared" ca="1" si="9"/>
        <v>0.45685809003973898</v>
      </c>
      <c r="H233">
        <f t="shared" ca="1" si="10"/>
        <v>1</v>
      </c>
      <c r="I233">
        <f t="shared" ca="1" si="11"/>
        <v>1</v>
      </c>
    </row>
    <row r="234" spans="7:9">
      <c r="G234">
        <f t="shared" ca="1" si="9"/>
        <v>0.58911345179443386</v>
      </c>
      <c r="H234">
        <f t="shared" ca="1" si="10"/>
        <v>1</v>
      </c>
      <c r="I234">
        <f t="shared" ca="1" si="11"/>
        <v>1</v>
      </c>
    </row>
    <row r="235" spans="7:9">
      <c r="G235">
        <f t="shared" ca="1" si="9"/>
        <v>5.0787207588459116E-2</v>
      </c>
      <c r="H235">
        <f t="shared" ca="1" si="10"/>
        <v>1</v>
      </c>
      <c r="I235">
        <f t="shared" ca="1" si="11"/>
        <v>2</v>
      </c>
    </row>
    <row r="236" spans="7:9">
      <c r="G236">
        <f t="shared" ca="1" si="9"/>
        <v>0.28693760949115976</v>
      </c>
      <c r="H236">
        <f t="shared" ca="1" si="10"/>
        <v>1</v>
      </c>
      <c r="I236">
        <f t="shared" ca="1" si="11"/>
        <v>2</v>
      </c>
    </row>
    <row r="237" spans="7:9">
      <c r="G237">
        <f t="shared" ca="1" si="9"/>
        <v>0.27020190411915401</v>
      </c>
      <c r="H237">
        <f t="shared" ca="1" si="10"/>
        <v>1</v>
      </c>
      <c r="I237">
        <f t="shared" ca="1" si="11"/>
        <v>2</v>
      </c>
    </row>
    <row r="238" spans="7:9">
      <c r="G238">
        <f t="shared" ca="1" si="9"/>
        <v>0.55005141072239649</v>
      </c>
      <c r="H238">
        <f t="shared" ca="1" si="10"/>
        <v>1</v>
      </c>
      <c r="I238">
        <f t="shared" ca="1" si="11"/>
        <v>1</v>
      </c>
    </row>
    <row r="239" spans="7:9">
      <c r="G239">
        <f t="shared" ca="1" si="9"/>
        <v>0.31250693500557247</v>
      </c>
      <c r="H239">
        <f t="shared" ca="1" si="10"/>
        <v>1</v>
      </c>
      <c r="I239">
        <f t="shared" ca="1" si="11"/>
        <v>2</v>
      </c>
    </row>
    <row r="240" spans="7:9">
      <c r="G240">
        <f t="shared" ca="1" si="9"/>
        <v>0.52258143374457944</v>
      </c>
      <c r="H240">
        <f t="shared" ca="1" si="10"/>
        <v>1</v>
      </c>
      <c r="I240">
        <f t="shared" ca="1" si="11"/>
        <v>1</v>
      </c>
    </row>
    <row r="241" spans="7:9">
      <c r="G241">
        <f t="shared" ca="1" si="9"/>
        <v>0.17295833849603681</v>
      </c>
      <c r="H241">
        <f t="shared" ca="1" si="10"/>
        <v>1</v>
      </c>
      <c r="I241">
        <f t="shared" ca="1" si="11"/>
        <v>2</v>
      </c>
    </row>
    <row r="242" spans="7:9">
      <c r="G242">
        <f t="shared" ca="1" si="9"/>
        <v>0.42517736253623972</v>
      </c>
      <c r="H242">
        <f t="shared" ca="1" si="10"/>
        <v>1</v>
      </c>
      <c r="I242">
        <f t="shared" ca="1" si="11"/>
        <v>1</v>
      </c>
    </row>
    <row r="243" spans="7:9">
      <c r="G243">
        <f t="shared" ca="1" si="9"/>
        <v>0.57183307388744764</v>
      </c>
      <c r="H243">
        <f t="shared" ca="1" si="10"/>
        <v>1</v>
      </c>
      <c r="I243">
        <f t="shared" ca="1" si="11"/>
        <v>1</v>
      </c>
    </row>
    <row r="244" spans="7:9">
      <c r="G244">
        <f t="shared" ca="1" si="9"/>
        <v>0.50232015515389838</v>
      </c>
      <c r="H244">
        <f t="shared" ca="1" si="10"/>
        <v>1</v>
      </c>
      <c r="I244">
        <f t="shared" ca="1" si="11"/>
        <v>1</v>
      </c>
    </row>
    <row r="245" spans="7:9">
      <c r="G245">
        <f t="shared" ca="1" si="9"/>
        <v>0.47587136971878741</v>
      </c>
      <c r="H245">
        <f t="shared" ca="1" si="10"/>
        <v>1</v>
      </c>
      <c r="I245">
        <f t="shared" ca="1" si="11"/>
        <v>1</v>
      </c>
    </row>
    <row r="246" spans="7:9">
      <c r="G246">
        <f t="shared" ca="1" si="9"/>
        <v>0.10575006550936306</v>
      </c>
      <c r="H246">
        <f t="shared" ca="1" si="10"/>
        <v>1</v>
      </c>
      <c r="I246">
        <f t="shared" ca="1" si="11"/>
        <v>2</v>
      </c>
    </row>
    <row r="247" spans="7:9">
      <c r="G247">
        <f t="shared" ca="1" si="9"/>
        <v>0.22451478572381789</v>
      </c>
      <c r="H247">
        <f t="shared" ca="1" si="10"/>
        <v>1</v>
      </c>
      <c r="I247">
        <f t="shared" ca="1" si="11"/>
        <v>2</v>
      </c>
    </row>
    <row r="248" spans="7:9">
      <c r="G248">
        <f t="shared" ca="1" si="9"/>
        <v>0.22464074374801291</v>
      </c>
      <c r="H248">
        <f t="shared" ca="1" si="10"/>
        <v>1</v>
      </c>
      <c r="I248">
        <f t="shared" ca="1" si="11"/>
        <v>2</v>
      </c>
    </row>
    <row r="249" spans="7:9">
      <c r="G249">
        <f t="shared" ca="1" si="9"/>
        <v>7.3134472758117131E-2</v>
      </c>
      <c r="H249">
        <f t="shared" ca="1" si="10"/>
        <v>1</v>
      </c>
      <c r="I249">
        <f t="shared" ca="1" si="11"/>
        <v>2</v>
      </c>
    </row>
    <row r="250" spans="7:9">
      <c r="G250">
        <f t="shared" ca="1" si="9"/>
        <v>0.54440722170287015</v>
      </c>
      <c r="H250">
        <f t="shared" ca="1" si="10"/>
        <v>1</v>
      </c>
      <c r="I250">
        <f t="shared" ca="1" si="11"/>
        <v>1</v>
      </c>
    </row>
    <row r="251" spans="7:9">
      <c r="G251">
        <f t="shared" ca="1" si="9"/>
        <v>0.79814293766266142</v>
      </c>
      <c r="H251">
        <f t="shared" ca="1" si="10"/>
        <v>2</v>
      </c>
      <c r="I251">
        <f t="shared" ca="1" si="11"/>
        <v>1</v>
      </c>
    </row>
    <row r="252" spans="7:9">
      <c r="G252">
        <f t="shared" ca="1" si="9"/>
        <v>0.18261635545587751</v>
      </c>
      <c r="H252">
        <f t="shared" ca="1" si="10"/>
        <v>1</v>
      </c>
      <c r="I252">
        <f t="shared" ca="1" si="11"/>
        <v>2</v>
      </c>
    </row>
    <row r="253" spans="7:9">
      <c r="G253">
        <f t="shared" ca="1" si="9"/>
        <v>0.17559994748897723</v>
      </c>
      <c r="H253">
        <f t="shared" ca="1" si="10"/>
        <v>1</v>
      </c>
      <c r="I253">
        <f t="shared" ca="1" si="11"/>
        <v>2</v>
      </c>
    </row>
    <row r="254" spans="7:9">
      <c r="G254">
        <f t="shared" ca="1" si="9"/>
        <v>0.23552537624928227</v>
      </c>
      <c r="H254">
        <f t="shared" ca="1" si="10"/>
        <v>1</v>
      </c>
      <c r="I254">
        <f t="shared" ca="1" si="11"/>
        <v>2</v>
      </c>
    </row>
    <row r="255" spans="7:9">
      <c r="G255">
        <f t="shared" ca="1" si="9"/>
        <v>0.24034298441231672</v>
      </c>
      <c r="H255">
        <f t="shared" ca="1" si="10"/>
        <v>1</v>
      </c>
      <c r="I255">
        <f t="shared" ca="1" si="11"/>
        <v>2</v>
      </c>
    </row>
    <row r="256" spans="7:9">
      <c r="G256">
        <f t="shared" ca="1" si="9"/>
        <v>0.81565106671350185</v>
      </c>
      <c r="H256">
        <f t="shared" ca="1" si="10"/>
        <v>2</v>
      </c>
      <c r="I256">
        <f t="shared" ca="1" si="11"/>
        <v>1</v>
      </c>
    </row>
    <row r="257" spans="7:9">
      <c r="G257">
        <f t="shared" ca="1" si="9"/>
        <v>0.63023700148647721</v>
      </c>
      <c r="H257">
        <f t="shared" ca="1" si="10"/>
        <v>1</v>
      </c>
      <c r="I257">
        <f t="shared" ca="1" si="11"/>
        <v>1</v>
      </c>
    </row>
    <row r="258" spans="7:9">
      <c r="G258">
        <f t="shared" ca="1" si="9"/>
        <v>0.44942343930263795</v>
      </c>
      <c r="H258">
        <f t="shared" ca="1" si="10"/>
        <v>1</v>
      </c>
      <c r="I258">
        <f t="shared" ca="1" si="11"/>
        <v>1</v>
      </c>
    </row>
    <row r="259" spans="7:9">
      <c r="G259">
        <f t="shared" ca="1" si="9"/>
        <v>0.88290593011271845</v>
      </c>
      <c r="H259">
        <f t="shared" ca="1" si="10"/>
        <v>2</v>
      </c>
      <c r="I259">
        <f t="shared" ca="1" si="11"/>
        <v>1</v>
      </c>
    </row>
    <row r="260" spans="7:9">
      <c r="G260">
        <f t="shared" ca="1" si="9"/>
        <v>0.39390278457086414</v>
      </c>
      <c r="H260">
        <f t="shared" ca="1" si="10"/>
        <v>1</v>
      </c>
      <c r="I260">
        <f t="shared" ca="1" si="11"/>
        <v>1</v>
      </c>
    </row>
    <row r="261" spans="7:9">
      <c r="G261">
        <f t="shared" ref="G261:G324" ca="1" si="12">RAND()</f>
        <v>0.68478979094396775</v>
      </c>
      <c r="H261">
        <f t="shared" ref="H261:H324" ca="1" si="13">IF(G261&lt;0.66,1,2)</f>
        <v>2</v>
      </c>
      <c r="I261">
        <f t="shared" ref="I261:I324" ca="1" si="14">IF(G261&lt;0.33,2,1)</f>
        <v>1</v>
      </c>
    </row>
    <row r="262" spans="7:9">
      <c r="G262">
        <f t="shared" ca="1" si="12"/>
        <v>0.60265447368923419</v>
      </c>
      <c r="H262">
        <f t="shared" ca="1" si="13"/>
        <v>1</v>
      </c>
      <c r="I262">
        <f t="shared" ca="1" si="14"/>
        <v>1</v>
      </c>
    </row>
    <row r="263" spans="7:9">
      <c r="G263">
        <f t="shared" ca="1" si="12"/>
        <v>0.55308434597534306</v>
      </c>
      <c r="H263">
        <f t="shared" ca="1" si="13"/>
        <v>1</v>
      </c>
      <c r="I263">
        <f t="shared" ca="1" si="14"/>
        <v>1</v>
      </c>
    </row>
    <row r="264" spans="7:9">
      <c r="G264">
        <f t="shared" ca="1" si="12"/>
        <v>0.36358896119317974</v>
      </c>
      <c r="H264">
        <f t="shared" ca="1" si="13"/>
        <v>1</v>
      </c>
      <c r="I264">
        <f t="shared" ca="1" si="14"/>
        <v>1</v>
      </c>
    </row>
    <row r="265" spans="7:9">
      <c r="G265">
        <f t="shared" ca="1" si="12"/>
        <v>9.1673305686353346E-2</v>
      </c>
      <c r="H265">
        <f t="shared" ca="1" si="13"/>
        <v>1</v>
      </c>
      <c r="I265">
        <f t="shared" ca="1" si="14"/>
        <v>2</v>
      </c>
    </row>
    <row r="266" spans="7:9">
      <c r="G266">
        <f t="shared" ca="1" si="12"/>
        <v>0.27082705147109631</v>
      </c>
      <c r="H266">
        <f t="shared" ca="1" si="13"/>
        <v>1</v>
      </c>
      <c r="I266">
        <f t="shared" ca="1" si="14"/>
        <v>2</v>
      </c>
    </row>
    <row r="267" spans="7:9">
      <c r="G267">
        <f t="shared" ca="1" si="12"/>
        <v>0.61689023132075482</v>
      </c>
      <c r="H267">
        <f t="shared" ca="1" si="13"/>
        <v>1</v>
      </c>
      <c r="I267">
        <f t="shared" ca="1" si="14"/>
        <v>1</v>
      </c>
    </row>
    <row r="268" spans="7:9">
      <c r="G268">
        <f t="shared" ca="1" si="12"/>
        <v>0.84870616423500678</v>
      </c>
      <c r="H268">
        <f t="shared" ca="1" si="13"/>
        <v>2</v>
      </c>
      <c r="I268">
        <f t="shared" ca="1" si="14"/>
        <v>1</v>
      </c>
    </row>
    <row r="269" spans="7:9">
      <c r="G269">
        <f t="shared" ca="1" si="12"/>
        <v>0.74353907557886301</v>
      </c>
      <c r="H269">
        <f t="shared" ca="1" si="13"/>
        <v>2</v>
      </c>
      <c r="I269">
        <f t="shared" ca="1" si="14"/>
        <v>1</v>
      </c>
    </row>
    <row r="270" spans="7:9">
      <c r="G270">
        <f t="shared" ca="1" si="12"/>
        <v>0.50727535395895285</v>
      </c>
      <c r="H270">
        <f t="shared" ca="1" si="13"/>
        <v>1</v>
      </c>
      <c r="I270">
        <f t="shared" ca="1" si="14"/>
        <v>1</v>
      </c>
    </row>
    <row r="271" spans="7:9">
      <c r="G271">
        <f t="shared" ca="1" si="12"/>
        <v>0.27979917913842844</v>
      </c>
      <c r="H271">
        <f t="shared" ca="1" si="13"/>
        <v>1</v>
      </c>
      <c r="I271">
        <f t="shared" ca="1" si="14"/>
        <v>2</v>
      </c>
    </row>
    <row r="272" spans="7:9">
      <c r="G272">
        <f t="shared" ca="1" si="12"/>
        <v>0.37107255475696554</v>
      </c>
      <c r="H272">
        <f t="shared" ca="1" si="13"/>
        <v>1</v>
      </c>
      <c r="I272">
        <f t="shared" ca="1" si="14"/>
        <v>1</v>
      </c>
    </row>
    <row r="273" spans="7:9">
      <c r="G273">
        <f t="shared" ca="1" si="12"/>
        <v>0.33734597353300688</v>
      </c>
      <c r="H273">
        <f t="shared" ca="1" si="13"/>
        <v>1</v>
      </c>
      <c r="I273">
        <f t="shared" ca="1" si="14"/>
        <v>1</v>
      </c>
    </row>
    <row r="274" spans="7:9">
      <c r="G274">
        <f t="shared" ca="1" si="12"/>
        <v>0.90784051045925385</v>
      </c>
      <c r="H274">
        <f t="shared" ca="1" si="13"/>
        <v>2</v>
      </c>
      <c r="I274">
        <f t="shared" ca="1" si="14"/>
        <v>1</v>
      </c>
    </row>
    <row r="275" spans="7:9">
      <c r="G275">
        <f t="shared" ca="1" si="12"/>
        <v>3.6800293211429524E-2</v>
      </c>
      <c r="H275">
        <f t="shared" ca="1" si="13"/>
        <v>1</v>
      </c>
      <c r="I275">
        <f t="shared" ca="1" si="14"/>
        <v>2</v>
      </c>
    </row>
    <row r="276" spans="7:9">
      <c r="G276">
        <f t="shared" ca="1" si="12"/>
        <v>0.58977923577248426</v>
      </c>
      <c r="H276">
        <f t="shared" ca="1" si="13"/>
        <v>1</v>
      </c>
      <c r="I276">
        <f t="shared" ca="1" si="14"/>
        <v>1</v>
      </c>
    </row>
    <row r="277" spans="7:9">
      <c r="G277">
        <f t="shared" ca="1" si="12"/>
        <v>0.97441171241488211</v>
      </c>
      <c r="H277">
        <f t="shared" ca="1" si="13"/>
        <v>2</v>
      </c>
      <c r="I277">
        <f t="shared" ca="1" si="14"/>
        <v>1</v>
      </c>
    </row>
    <row r="278" spans="7:9">
      <c r="G278">
        <f t="shared" ca="1" si="12"/>
        <v>0.90875090161172001</v>
      </c>
      <c r="H278">
        <f t="shared" ca="1" si="13"/>
        <v>2</v>
      </c>
      <c r="I278">
        <f t="shared" ca="1" si="14"/>
        <v>1</v>
      </c>
    </row>
    <row r="279" spans="7:9">
      <c r="G279">
        <f t="shared" ca="1" si="12"/>
        <v>0.48566647772479243</v>
      </c>
      <c r="H279">
        <f t="shared" ca="1" si="13"/>
        <v>1</v>
      </c>
      <c r="I279">
        <f t="shared" ca="1" si="14"/>
        <v>1</v>
      </c>
    </row>
    <row r="280" spans="7:9">
      <c r="G280">
        <f t="shared" ca="1" si="12"/>
        <v>2.2407382954993671E-2</v>
      </c>
      <c r="H280">
        <f t="shared" ca="1" si="13"/>
        <v>1</v>
      </c>
      <c r="I280">
        <f t="shared" ca="1" si="14"/>
        <v>2</v>
      </c>
    </row>
    <row r="281" spans="7:9">
      <c r="G281">
        <f t="shared" ca="1" si="12"/>
        <v>0.47098765539479848</v>
      </c>
      <c r="H281">
        <f t="shared" ca="1" si="13"/>
        <v>1</v>
      </c>
      <c r="I281">
        <f t="shared" ca="1" si="14"/>
        <v>1</v>
      </c>
    </row>
    <row r="282" spans="7:9">
      <c r="G282">
        <f t="shared" ca="1" si="12"/>
        <v>0.50665723176104693</v>
      </c>
      <c r="H282">
        <f t="shared" ca="1" si="13"/>
        <v>1</v>
      </c>
      <c r="I282">
        <f t="shared" ca="1" si="14"/>
        <v>1</v>
      </c>
    </row>
    <row r="283" spans="7:9">
      <c r="G283">
        <f t="shared" ca="1" si="12"/>
        <v>0.21353656331448101</v>
      </c>
      <c r="H283">
        <f t="shared" ca="1" si="13"/>
        <v>1</v>
      </c>
      <c r="I283">
        <f t="shared" ca="1" si="14"/>
        <v>2</v>
      </c>
    </row>
    <row r="284" spans="7:9">
      <c r="G284">
        <f t="shared" ca="1" si="12"/>
        <v>0.20057747031742534</v>
      </c>
      <c r="H284">
        <f t="shared" ca="1" si="13"/>
        <v>1</v>
      </c>
      <c r="I284">
        <f t="shared" ca="1" si="14"/>
        <v>2</v>
      </c>
    </row>
    <row r="285" spans="7:9">
      <c r="G285">
        <f t="shared" ca="1" si="12"/>
        <v>0.62836090874767037</v>
      </c>
      <c r="H285">
        <f t="shared" ca="1" si="13"/>
        <v>1</v>
      </c>
      <c r="I285">
        <f t="shared" ca="1" si="14"/>
        <v>1</v>
      </c>
    </row>
    <row r="286" spans="7:9">
      <c r="G286">
        <f t="shared" ca="1" si="12"/>
        <v>0.75519507925105867</v>
      </c>
      <c r="H286">
        <f t="shared" ca="1" si="13"/>
        <v>2</v>
      </c>
      <c r="I286">
        <f t="shared" ca="1" si="14"/>
        <v>1</v>
      </c>
    </row>
    <row r="287" spans="7:9">
      <c r="G287">
        <f t="shared" ca="1" si="12"/>
        <v>0.86621909206491987</v>
      </c>
      <c r="H287">
        <f t="shared" ca="1" si="13"/>
        <v>2</v>
      </c>
      <c r="I287">
        <f t="shared" ca="1" si="14"/>
        <v>1</v>
      </c>
    </row>
    <row r="288" spans="7:9">
      <c r="G288">
        <f t="shared" ca="1" si="12"/>
        <v>0.2849571498741349</v>
      </c>
      <c r="H288">
        <f t="shared" ca="1" si="13"/>
        <v>1</v>
      </c>
      <c r="I288">
        <f t="shared" ca="1" si="14"/>
        <v>2</v>
      </c>
    </row>
    <row r="289" spans="7:9">
      <c r="G289">
        <f t="shared" ca="1" si="12"/>
        <v>0.89041324615335149</v>
      </c>
      <c r="H289">
        <f t="shared" ca="1" si="13"/>
        <v>2</v>
      </c>
      <c r="I289">
        <f t="shared" ca="1" si="14"/>
        <v>1</v>
      </c>
    </row>
    <row r="290" spans="7:9">
      <c r="G290">
        <f t="shared" ca="1" si="12"/>
        <v>0.98490909164866591</v>
      </c>
      <c r="H290">
        <f t="shared" ca="1" si="13"/>
        <v>2</v>
      </c>
      <c r="I290">
        <f t="shared" ca="1" si="14"/>
        <v>1</v>
      </c>
    </row>
    <row r="291" spans="7:9">
      <c r="G291">
        <f t="shared" ca="1" si="12"/>
        <v>0.20711018113498114</v>
      </c>
      <c r="H291">
        <f t="shared" ca="1" si="13"/>
        <v>1</v>
      </c>
      <c r="I291">
        <f t="shared" ca="1" si="14"/>
        <v>2</v>
      </c>
    </row>
    <row r="292" spans="7:9">
      <c r="G292">
        <f t="shared" ca="1" si="12"/>
        <v>0.8597647506717716</v>
      </c>
      <c r="H292">
        <f t="shared" ca="1" si="13"/>
        <v>2</v>
      </c>
      <c r="I292">
        <f t="shared" ca="1" si="14"/>
        <v>1</v>
      </c>
    </row>
    <row r="293" spans="7:9">
      <c r="G293">
        <f t="shared" ca="1" si="12"/>
        <v>0.1659668330282803</v>
      </c>
      <c r="H293">
        <f t="shared" ca="1" si="13"/>
        <v>1</v>
      </c>
      <c r="I293">
        <f t="shared" ca="1" si="14"/>
        <v>2</v>
      </c>
    </row>
    <row r="294" spans="7:9">
      <c r="G294">
        <f t="shared" ca="1" si="12"/>
        <v>0.17435563294911294</v>
      </c>
      <c r="H294">
        <f t="shared" ca="1" si="13"/>
        <v>1</v>
      </c>
      <c r="I294">
        <f t="shared" ca="1" si="14"/>
        <v>2</v>
      </c>
    </row>
    <row r="295" spans="7:9">
      <c r="G295">
        <f t="shared" ca="1" si="12"/>
        <v>0.55901235575119401</v>
      </c>
      <c r="H295">
        <f t="shared" ca="1" si="13"/>
        <v>1</v>
      </c>
      <c r="I295">
        <f t="shared" ca="1" si="14"/>
        <v>1</v>
      </c>
    </row>
    <row r="296" spans="7:9">
      <c r="G296">
        <f t="shared" ca="1" si="12"/>
        <v>0.19684013697517677</v>
      </c>
      <c r="H296">
        <f t="shared" ca="1" si="13"/>
        <v>1</v>
      </c>
      <c r="I296">
        <f t="shared" ca="1" si="14"/>
        <v>2</v>
      </c>
    </row>
    <row r="297" spans="7:9">
      <c r="G297">
        <f t="shared" ca="1" si="12"/>
        <v>1.2040531446053104E-2</v>
      </c>
      <c r="H297">
        <f t="shared" ca="1" si="13"/>
        <v>1</v>
      </c>
      <c r="I297">
        <f t="shared" ca="1" si="14"/>
        <v>2</v>
      </c>
    </row>
    <row r="298" spans="7:9">
      <c r="G298">
        <f t="shared" ca="1" si="12"/>
        <v>0.66639308629156002</v>
      </c>
      <c r="H298">
        <f t="shared" ca="1" si="13"/>
        <v>2</v>
      </c>
      <c r="I298">
        <f t="shared" ca="1" si="14"/>
        <v>1</v>
      </c>
    </row>
    <row r="299" spans="7:9">
      <c r="G299">
        <f t="shared" ca="1" si="12"/>
        <v>0.59098811229099968</v>
      </c>
      <c r="H299">
        <f t="shared" ca="1" si="13"/>
        <v>1</v>
      </c>
      <c r="I299">
        <f t="shared" ca="1" si="14"/>
        <v>1</v>
      </c>
    </row>
    <row r="300" spans="7:9">
      <c r="G300">
        <f t="shared" ca="1" si="12"/>
        <v>0.11086621541655384</v>
      </c>
      <c r="H300">
        <f t="shared" ca="1" si="13"/>
        <v>1</v>
      </c>
      <c r="I300">
        <f t="shared" ca="1" si="14"/>
        <v>2</v>
      </c>
    </row>
    <row r="301" spans="7:9">
      <c r="G301">
        <f t="shared" ca="1" si="12"/>
        <v>0.41155749613666226</v>
      </c>
      <c r="H301">
        <f t="shared" ca="1" si="13"/>
        <v>1</v>
      </c>
      <c r="I301">
        <f t="shared" ca="1" si="14"/>
        <v>1</v>
      </c>
    </row>
    <row r="302" spans="7:9">
      <c r="G302">
        <f t="shared" ca="1" si="12"/>
        <v>0.92900466967368167</v>
      </c>
      <c r="H302">
        <f t="shared" ca="1" si="13"/>
        <v>2</v>
      </c>
      <c r="I302">
        <f t="shared" ca="1" si="14"/>
        <v>1</v>
      </c>
    </row>
    <row r="303" spans="7:9">
      <c r="G303">
        <f t="shared" ca="1" si="12"/>
        <v>0.29040687586708736</v>
      </c>
      <c r="H303">
        <f t="shared" ca="1" si="13"/>
        <v>1</v>
      </c>
      <c r="I303">
        <f t="shared" ca="1" si="14"/>
        <v>2</v>
      </c>
    </row>
    <row r="304" spans="7:9">
      <c r="G304">
        <f t="shared" ca="1" si="12"/>
        <v>0.99445926402662332</v>
      </c>
      <c r="H304">
        <f t="shared" ca="1" si="13"/>
        <v>2</v>
      </c>
      <c r="I304">
        <f t="shared" ca="1" si="14"/>
        <v>1</v>
      </c>
    </row>
    <row r="305" spans="7:9">
      <c r="G305">
        <f t="shared" ca="1" si="12"/>
        <v>1.8886763530562067E-2</v>
      </c>
      <c r="H305">
        <f t="shared" ca="1" si="13"/>
        <v>1</v>
      </c>
      <c r="I305">
        <f t="shared" ca="1" si="14"/>
        <v>2</v>
      </c>
    </row>
    <row r="306" spans="7:9">
      <c r="G306">
        <f t="shared" ca="1" si="12"/>
        <v>0.71037677220473949</v>
      </c>
      <c r="H306">
        <f t="shared" ca="1" si="13"/>
        <v>2</v>
      </c>
      <c r="I306">
        <f t="shared" ca="1" si="14"/>
        <v>1</v>
      </c>
    </row>
    <row r="307" spans="7:9">
      <c r="G307">
        <f t="shared" ca="1" si="12"/>
        <v>0.63751581572985117</v>
      </c>
      <c r="H307">
        <f t="shared" ca="1" si="13"/>
        <v>1</v>
      </c>
      <c r="I307">
        <f t="shared" ca="1" si="14"/>
        <v>1</v>
      </c>
    </row>
    <row r="308" spans="7:9">
      <c r="G308">
        <f t="shared" ca="1" si="12"/>
        <v>0.75037760541826981</v>
      </c>
      <c r="H308">
        <f t="shared" ca="1" si="13"/>
        <v>2</v>
      </c>
      <c r="I308">
        <f t="shared" ca="1" si="14"/>
        <v>1</v>
      </c>
    </row>
    <row r="309" spans="7:9">
      <c r="G309">
        <f t="shared" ca="1" si="12"/>
        <v>0.30794357834173502</v>
      </c>
      <c r="H309">
        <f t="shared" ca="1" si="13"/>
        <v>1</v>
      </c>
      <c r="I309">
        <f t="shared" ca="1" si="14"/>
        <v>2</v>
      </c>
    </row>
    <row r="310" spans="7:9">
      <c r="G310">
        <f t="shared" ca="1" si="12"/>
        <v>3.4269082620131286E-2</v>
      </c>
      <c r="H310">
        <f t="shared" ca="1" si="13"/>
        <v>1</v>
      </c>
      <c r="I310">
        <f t="shared" ca="1" si="14"/>
        <v>2</v>
      </c>
    </row>
    <row r="311" spans="7:9">
      <c r="G311">
        <f t="shared" ca="1" si="12"/>
        <v>0.60109090077477056</v>
      </c>
      <c r="H311">
        <f t="shared" ca="1" si="13"/>
        <v>1</v>
      </c>
      <c r="I311">
        <f t="shared" ca="1" si="14"/>
        <v>1</v>
      </c>
    </row>
    <row r="312" spans="7:9">
      <c r="G312">
        <f t="shared" ca="1" si="12"/>
        <v>0.63974341131056622</v>
      </c>
      <c r="H312">
        <f t="shared" ca="1" si="13"/>
        <v>1</v>
      </c>
      <c r="I312">
        <f t="shared" ca="1" si="14"/>
        <v>1</v>
      </c>
    </row>
    <row r="313" spans="7:9">
      <c r="G313">
        <f t="shared" ca="1" si="12"/>
        <v>0.30656942432759027</v>
      </c>
      <c r="H313">
        <f t="shared" ca="1" si="13"/>
        <v>1</v>
      </c>
      <c r="I313">
        <f t="shared" ca="1" si="14"/>
        <v>2</v>
      </c>
    </row>
    <row r="314" spans="7:9">
      <c r="G314">
        <f t="shared" ca="1" si="12"/>
        <v>0.52771939654601785</v>
      </c>
      <c r="H314">
        <f t="shared" ca="1" si="13"/>
        <v>1</v>
      </c>
      <c r="I314">
        <f t="shared" ca="1" si="14"/>
        <v>1</v>
      </c>
    </row>
    <row r="315" spans="7:9">
      <c r="G315">
        <f t="shared" ca="1" si="12"/>
        <v>0.40240821794773951</v>
      </c>
      <c r="H315">
        <f t="shared" ca="1" si="13"/>
        <v>1</v>
      </c>
      <c r="I315">
        <f t="shared" ca="1" si="14"/>
        <v>1</v>
      </c>
    </row>
    <row r="316" spans="7:9">
      <c r="G316">
        <f t="shared" ca="1" si="12"/>
        <v>0.95263261440792069</v>
      </c>
      <c r="H316">
        <f t="shared" ca="1" si="13"/>
        <v>2</v>
      </c>
      <c r="I316">
        <f t="shared" ca="1" si="14"/>
        <v>1</v>
      </c>
    </row>
    <row r="317" spans="7:9">
      <c r="G317">
        <f t="shared" ca="1" si="12"/>
        <v>0.18852907983894018</v>
      </c>
      <c r="H317">
        <f t="shared" ca="1" si="13"/>
        <v>1</v>
      </c>
      <c r="I317">
        <f t="shared" ca="1" si="14"/>
        <v>2</v>
      </c>
    </row>
    <row r="318" spans="7:9">
      <c r="G318">
        <f t="shared" ca="1" si="12"/>
        <v>0.11348042209406073</v>
      </c>
      <c r="H318">
        <f t="shared" ca="1" si="13"/>
        <v>1</v>
      </c>
      <c r="I318">
        <f t="shared" ca="1" si="14"/>
        <v>2</v>
      </c>
    </row>
    <row r="319" spans="7:9">
      <c r="G319">
        <f t="shared" ca="1" si="12"/>
        <v>0.37344137995780446</v>
      </c>
      <c r="H319">
        <f t="shared" ca="1" si="13"/>
        <v>1</v>
      </c>
      <c r="I319">
        <f t="shared" ca="1" si="14"/>
        <v>1</v>
      </c>
    </row>
    <row r="320" spans="7:9">
      <c r="G320">
        <f t="shared" ca="1" si="12"/>
        <v>0.92452000237862741</v>
      </c>
      <c r="H320">
        <f t="shared" ca="1" si="13"/>
        <v>2</v>
      </c>
      <c r="I320">
        <f t="shared" ca="1" si="14"/>
        <v>1</v>
      </c>
    </row>
    <row r="321" spans="7:9">
      <c r="G321">
        <f t="shared" ca="1" si="12"/>
        <v>0.49403253879334064</v>
      </c>
      <c r="H321">
        <f t="shared" ca="1" si="13"/>
        <v>1</v>
      </c>
      <c r="I321">
        <f t="shared" ca="1" si="14"/>
        <v>1</v>
      </c>
    </row>
    <row r="322" spans="7:9">
      <c r="G322">
        <f t="shared" ca="1" si="12"/>
        <v>0.35600559783710084</v>
      </c>
      <c r="H322">
        <f t="shared" ca="1" si="13"/>
        <v>1</v>
      </c>
      <c r="I322">
        <f t="shared" ca="1" si="14"/>
        <v>1</v>
      </c>
    </row>
    <row r="323" spans="7:9">
      <c r="G323">
        <f t="shared" ca="1" si="12"/>
        <v>0.71261274154080989</v>
      </c>
      <c r="H323">
        <f t="shared" ca="1" si="13"/>
        <v>2</v>
      </c>
      <c r="I323">
        <f t="shared" ca="1" si="14"/>
        <v>1</v>
      </c>
    </row>
    <row r="324" spans="7:9">
      <c r="G324">
        <f t="shared" ca="1" si="12"/>
        <v>0.9724973982484354</v>
      </c>
      <c r="H324">
        <f t="shared" ca="1" si="13"/>
        <v>2</v>
      </c>
      <c r="I324">
        <f t="shared" ca="1" si="14"/>
        <v>1</v>
      </c>
    </row>
    <row r="325" spans="7:9">
      <c r="G325">
        <f t="shared" ref="G325:G388" ca="1" si="15">RAND()</f>
        <v>0.50386690266166179</v>
      </c>
      <c r="H325">
        <f t="shared" ref="H325:H388" ca="1" si="16">IF(G325&lt;0.66,1,2)</f>
        <v>1</v>
      </c>
      <c r="I325">
        <f t="shared" ref="I325:I388" ca="1" si="17">IF(G325&lt;0.33,2,1)</f>
        <v>1</v>
      </c>
    </row>
    <row r="326" spans="7:9">
      <c r="G326">
        <f t="shared" ca="1" si="15"/>
        <v>0.3296077191180049</v>
      </c>
      <c r="H326">
        <f t="shared" ca="1" si="16"/>
        <v>1</v>
      </c>
      <c r="I326">
        <f t="shared" ca="1" si="17"/>
        <v>2</v>
      </c>
    </row>
    <row r="327" spans="7:9">
      <c r="G327">
        <f t="shared" ca="1" si="15"/>
        <v>0.92247510301308489</v>
      </c>
      <c r="H327">
        <f t="shared" ca="1" si="16"/>
        <v>2</v>
      </c>
      <c r="I327">
        <f t="shared" ca="1" si="17"/>
        <v>1</v>
      </c>
    </row>
    <row r="328" spans="7:9">
      <c r="G328">
        <f t="shared" ca="1" si="15"/>
        <v>0.69228552477353522</v>
      </c>
      <c r="H328">
        <f t="shared" ca="1" si="16"/>
        <v>2</v>
      </c>
      <c r="I328">
        <f t="shared" ca="1" si="17"/>
        <v>1</v>
      </c>
    </row>
    <row r="329" spans="7:9">
      <c r="G329">
        <f t="shared" ca="1" si="15"/>
        <v>0.85082701833769059</v>
      </c>
      <c r="H329">
        <f t="shared" ca="1" si="16"/>
        <v>2</v>
      </c>
      <c r="I329">
        <f t="shared" ca="1" si="17"/>
        <v>1</v>
      </c>
    </row>
    <row r="330" spans="7:9">
      <c r="G330">
        <f t="shared" ca="1" si="15"/>
        <v>0.67188145858856185</v>
      </c>
      <c r="H330">
        <f t="shared" ca="1" si="16"/>
        <v>2</v>
      </c>
      <c r="I330">
        <f t="shared" ca="1" si="17"/>
        <v>1</v>
      </c>
    </row>
    <row r="331" spans="7:9">
      <c r="G331">
        <f t="shared" ca="1" si="15"/>
        <v>0.45873167773315271</v>
      </c>
      <c r="H331">
        <f t="shared" ca="1" si="16"/>
        <v>1</v>
      </c>
      <c r="I331">
        <f t="shared" ca="1" si="17"/>
        <v>1</v>
      </c>
    </row>
    <row r="332" spans="7:9">
      <c r="G332">
        <f t="shared" ca="1" si="15"/>
        <v>0.96774670368261229</v>
      </c>
      <c r="H332">
        <f t="shared" ca="1" si="16"/>
        <v>2</v>
      </c>
      <c r="I332">
        <f t="shared" ca="1" si="17"/>
        <v>1</v>
      </c>
    </row>
    <row r="333" spans="7:9">
      <c r="G333">
        <f t="shared" ca="1" si="15"/>
        <v>0.64667635944684787</v>
      </c>
      <c r="H333">
        <f t="shared" ca="1" si="16"/>
        <v>1</v>
      </c>
      <c r="I333">
        <f t="shared" ca="1" si="17"/>
        <v>1</v>
      </c>
    </row>
    <row r="334" spans="7:9">
      <c r="G334">
        <f t="shared" ca="1" si="15"/>
        <v>0.13142861866263167</v>
      </c>
      <c r="H334">
        <f t="shared" ca="1" si="16"/>
        <v>1</v>
      </c>
      <c r="I334">
        <f t="shared" ca="1" si="17"/>
        <v>2</v>
      </c>
    </row>
    <row r="335" spans="7:9">
      <c r="G335">
        <f t="shared" ca="1" si="15"/>
        <v>0.65849873895134692</v>
      </c>
      <c r="H335">
        <f t="shared" ca="1" si="16"/>
        <v>1</v>
      </c>
      <c r="I335">
        <f t="shared" ca="1" si="17"/>
        <v>1</v>
      </c>
    </row>
    <row r="336" spans="7:9">
      <c r="G336">
        <f t="shared" ca="1" si="15"/>
        <v>6.4223681043631298E-2</v>
      </c>
      <c r="H336">
        <f t="shared" ca="1" si="16"/>
        <v>1</v>
      </c>
      <c r="I336">
        <f t="shared" ca="1" si="17"/>
        <v>2</v>
      </c>
    </row>
    <row r="337" spans="7:9">
      <c r="G337">
        <f t="shared" ca="1" si="15"/>
        <v>0.10193281136283616</v>
      </c>
      <c r="H337">
        <f t="shared" ca="1" si="16"/>
        <v>1</v>
      </c>
      <c r="I337">
        <f t="shared" ca="1" si="17"/>
        <v>2</v>
      </c>
    </row>
    <row r="338" spans="7:9">
      <c r="G338">
        <f t="shared" ca="1" si="15"/>
        <v>4.1627021887093441E-2</v>
      </c>
      <c r="H338">
        <f t="shared" ca="1" si="16"/>
        <v>1</v>
      </c>
      <c r="I338">
        <f t="shared" ca="1" si="17"/>
        <v>2</v>
      </c>
    </row>
    <row r="339" spans="7:9">
      <c r="G339">
        <f t="shared" ca="1" si="15"/>
        <v>0.41165009254500895</v>
      </c>
      <c r="H339">
        <f t="shared" ca="1" si="16"/>
        <v>1</v>
      </c>
      <c r="I339">
        <f t="shared" ca="1" si="17"/>
        <v>1</v>
      </c>
    </row>
    <row r="340" spans="7:9">
      <c r="G340">
        <f t="shared" ca="1" si="15"/>
        <v>0.398135462305093</v>
      </c>
      <c r="H340">
        <f t="shared" ca="1" si="16"/>
        <v>1</v>
      </c>
      <c r="I340">
        <f t="shared" ca="1" si="17"/>
        <v>1</v>
      </c>
    </row>
    <row r="341" spans="7:9">
      <c r="G341">
        <f t="shared" ca="1" si="15"/>
        <v>0.76141337800885611</v>
      </c>
      <c r="H341">
        <f t="shared" ca="1" si="16"/>
        <v>2</v>
      </c>
      <c r="I341">
        <f t="shared" ca="1" si="17"/>
        <v>1</v>
      </c>
    </row>
    <row r="342" spans="7:9">
      <c r="G342">
        <f t="shared" ca="1" si="15"/>
        <v>0.63610634076224348</v>
      </c>
      <c r="H342">
        <f t="shared" ca="1" si="16"/>
        <v>1</v>
      </c>
      <c r="I342">
        <f t="shared" ca="1" si="17"/>
        <v>1</v>
      </c>
    </row>
    <row r="343" spans="7:9">
      <c r="G343">
        <f t="shared" ca="1" si="15"/>
        <v>0.81215770909735407</v>
      </c>
      <c r="H343">
        <f t="shared" ca="1" si="16"/>
        <v>2</v>
      </c>
      <c r="I343">
        <f t="shared" ca="1" si="17"/>
        <v>1</v>
      </c>
    </row>
    <row r="344" spans="7:9">
      <c r="G344">
        <f t="shared" ca="1" si="15"/>
        <v>0.79450732167663507</v>
      </c>
      <c r="H344">
        <f t="shared" ca="1" si="16"/>
        <v>2</v>
      </c>
      <c r="I344">
        <f t="shared" ca="1" si="17"/>
        <v>1</v>
      </c>
    </row>
    <row r="345" spans="7:9">
      <c r="G345">
        <f t="shared" ca="1" si="15"/>
        <v>0.56512390111785193</v>
      </c>
      <c r="H345">
        <f t="shared" ca="1" si="16"/>
        <v>1</v>
      </c>
      <c r="I345">
        <f t="shared" ca="1" si="17"/>
        <v>1</v>
      </c>
    </row>
    <row r="346" spans="7:9">
      <c r="G346">
        <f t="shared" ca="1" si="15"/>
        <v>0.55462387229119869</v>
      </c>
      <c r="H346">
        <f t="shared" ca="1" si="16"/>
        <v>1</v>
      </c>
      <c r="I346">
        <f t="shared" ca="1" si="17"/>
        <v>1</v>
      </c>
    </row>
    <row r="347" spans="7:9">
      <c r="G347">
        <f t="shared" ca="1" si="15"/>
        <v>0.34404310440764219</v>
      </c>
      <c r="H347">
        <f t="shared" ca="1" si="16"/>
        <v>1</v>
      </c>
      <c r="I347">
        <f t="shared" ca="1" si="17"/>
        <v>1</v>
      </c>
    </row>
    <row r="348" spans="7:9">
      <c r="G348">
        <f t="shared" ca="1" si="15"/>
        <v>0.41231497957573737</v>
      </c>
      <c r="H348">
        <f t="shared" ca="1" si="16"/>
        <v>1</v>
      </c>
      <c r="I348">
        <f t="shared" ca="1" si="17"/>
        <v>1</v>
      </c>
    </row>
    <row r="349" spans="7:9">
      <c r="G349">
        <f t="shared" ca="1" si="15"/>
        <v>0.5568408571624015</v>
      </c>
      <c r="H349">
        <f t="shared" ca="1" si="16"/>
        <v>1</v>
      </c>
      <c r="I349">
        <f t="shared" ca="1" si="17"/>
        <v>1</v>
      </c>
    </row>
    <row r="350" spans="7:9">
      <c r="G350">
        <f t="shared" ca="1" si="15"/>
        <v>0.11531542186107779</v>
      </c>
      <c r="H350">
        <f t="shared" ca="1" si="16"/>
        <v>1</v>
      </c>
      <c r="I350">
        <f t="shared" ca="1" si="17"/>
        <v>2</v>
      </c>
    </row>
    <row r="351" spans="7:9">
      <c r="G351">
        <f t="shared" ca="1" si="15"/>
        <v>0.12906840113268137</v>
      </c>
      <c r="H351">
        <f t="shared" ca="1" si="16"/>
        <v>1</v>
      </c>
      <c r="I351">
        <f t="shared" ca="1" si="17"/>
        <v>2</v>
      </c>
    </row>
    <row r="352" spans="7:9">
      <c r="G352">
        <f t="shared" ca="1" si="15"/>
        <v>0.29169736521351908</v>
      </c>
      <c r="H352">
        <f t="shared" ca="1" si="16"/>
        <v>1</v>
      </c>
      <c r="I352">
        <f t="shared" ca="1" si="17"/>
        <v>2</v>
      </c>
    </row>
    <row r="353" spans="7:9">
      <c r="G353">
        <f t="shared" ca="1" si="15"/>
        <v>0.61267557329878963</v>
      </c>
      <c r="H353">
        <f t="shared" ca="1" si="16"/>
        <v>1</v>
      </c>
      <c r="I353">
        <f t="shared" ca="1" si="17"/>
        <v>1</v>
      </c>
    </row>
    <row r="354" spans="7:9">
      <c r="G354">
        <f t="shared" ca="1" si="15"/>
        <v>0.50036644061123925</v>
      </c>
      <c r="H354">
        <f t="shared" ca="1" si="16"/>
        <v>1</v>
      </c>
      <c r="I354">
        <f t="shared" ca="1" si="17"/>
        <v>1</v>
      </c>
    </row>
    <row r="355" spans="7:9">
      <c r="G355">
        <f t="shared" ca="1" si="15"/>
        <v>0.38874987068384592</v>
      </c>
      <c r="H355">
        <f t="shared" ca="1" si="16"/>
        <v>1</v>
      </c>
      <c r="I355">
        <f t="shared" ca="1" si="17"/>
        <v>1</v>
      </c>
    </row>
    <row r="356" spans="7:9">
      <c r="G356">
        <f t="shared" ca="1" si="15"/>
        <v>0.12998178397804905</v>
      </c>
      <c r="H356">
        <f t="shared" ca="1" si="16"/>
        <v>1</v>
      </c>
      <c r="I356">
        <f t="shared" ca="1" si="17"/>
        <v>2</v>
      </c>
    </row>
    <row r="357" spans="7:9">
      <c r="G357">
        <f t="shared" ca="1" si="15"/>
        <v>0.85702628204881937</v>
      </c>
      <c r="H357">
        <f t="shared" ca="1" si="16"/>
        <v>2</v>
      </c>
      <c r="I357">
        <f t="shared" ca="1" si="17"/>
        <v>1</v>
      </c>
    </row>
    <row r="358" spans="7:9">
      <c r="G358">
        <f t="shared" ca="1" si="15"/>
        <v>0.44397431912314611</v>
      </c>
      <c r="H358">
        <f t="shared" ca="1" si="16"/>
        <v>1</v>
      </c>
      <c r="I358">
        <f t="shared" ca="1" si="17"/>
        <v>1</v>
      </c>
    </row>
    <row r="359" spans="7:9">
      <c r="G359">
        <f t="shared" ca="1" si="15"/>
        <v>0.17806585654314921</v>
      </c>
      <c r="H359">
        <f t="shared" ca="1" si="16"/>
        <v>1</v>
      </c>
      <c r="I359">
        <f t="shared" ca="1" si="17"/>
        <v>2</v>
      </c>
    </row>
    <row r="360" spans="7:9">
      <c r="G360">
        <f t="shared" ca="1" si="15"/>
        <v>0.39265027054878276</v>
      </c>
      <c r="H360">
        <f t="shared" ca="1" si="16"/>
        <v>1</v>
      </c>
      <c r="I360">
        <f t="shared" ca="1" si="17"/>
        <v>1</v>
      </c>
    </row>
    <row r="361" spans="7:9">
      <c r="G361">
        <f t="shared" ca="1" si="15"/>
        <v>0.24513366954617632</v>
      </c>
      <c r="H361">
        <f t="shared" ca="1" si="16"/>
        <v>1</v>
      </c>
      <c r="I361">
        <f t="shared" ca="1" si="17"/>
        <v>2</v>
      </c>
    </row>
    <row r="362" spans="7:9">
      <c r="G362">
        <f t="shared" ca="1" si="15"/>
        <v>0.55144370032959222</v>
      </c>
      <c r="H362">
        <f t="shared" ca="1" si="16"/>
        <v>1</v>
      </c>
      <c r="I362">
        <f t="shared" ca="1" si="17"/>
        <v>1</v>
      </c>
    </row>
    <row r="363" spans="7:9">
      <c r="G363">
        <f t="shared" ca="1" si="15"/>
        <v>0.21167882216627709</v>
      </c>
      <c r="H363">
        <f t="shared" ca="1" si="16"/>
        <v>1</v>
      </c>
      <c r="I363">
        <f t="shared" ca="1" si="17"/>
        <v>2</v>
      </c>
    </row>
    <row r="364" spans="7:9">
      <c r="G364">
        <f t="shared" ca="1" si="15"/>
        <v>0.89600119153822999</v>
      </c>
      <c r="H364">
        <f t="shared" ca="1" si="16"/>
        <v>2</v>
      </c>
      <c r="I364">
        <f t="shared" ca="1" si="17"/>
        <v>1</v>
      </c>
    </row>
    <row r="365" spans="7:9">
      <c r="G365">
        <f t="shared" ca="1" si="15"/>
        <v>0.59115243718738297</v>
      </c>
      <c r="H365">
        <f t="shared" ca="1" si="16"/>
        <v>1</v>
      </c>
      <c r="I365">
        <f t="shared" ca="1" si="17"/>
        <v>1</v>
      </c>
    </row>
    <row r="366" spans="7:9">
      <c r="G366">
        <f t="shared" ca="1" si="15"/>
        <v>0.34562456164218236</v>
      </c>
      <c r="H366">
        <f t="shared" ca="1" si="16"/>
        <v>1</v>
      </c>
      <c r="I366">
        <f t="shared" ca="1" si="17"/>
        <v>1</v>
      </c>
    </row>
    <row r="367" spans="7:9">
      <c r="G367">
        <f t="shared" ca="1" si="15"/>
        <v>0.27535726031800489</v>
      </c>
      <c r="H367">
        <f t="shared" ca="1" si="16"/>
        <v>1</v>
      </c>
      <c r="I367">
        <f t="shared" ca="1" si="17"/>
        <v>2</v>
      </c>
    </row>
    <row r="368" spans="7:9">
      <c r="G368">
        <f t="shared" ca="1" si="15"/>
        <v>2.6665396070729597E-2</v>
      </c>
      <c r="H368">
        <f t="shared" ca="1" si="16"/>
        <v>1</v>
      </c>
      <c r="I368">
        <f t="shared" ca="1" si="17"/>
        <v>2</v>
      </c>
    </row>
    <row r="369" spans="7:9">
      <c r="G369">
        <f t="shared" ca="1" si="15"/>
        <v>0.41417204099591831</v>
      </c>
      <c r="H369">
        <f t="shared" ca="1" si="16"/>
        <v>1</v>
      </c>
      <c r="I369">
        <f t="shared" ca="1" si="17"/>
        <v>1</v>
      </c>
    </row>
    <row r="370" spans="7:9">
      <c r="G370">
        <f t="shared" ca="1" si="15"/>
        <v>0.1505321597315008</v>
      </c>
      <c r="H370">
        <f t="shared" ca="1" si="16"/>
        <v>1</v>
      </c>
      <c r="I370">
        <f t="shared" ca="1" si="17"/>
        <v>2</v>
      </c>
    </row>
    <row r="371" spans="7:9">
      <c r="G371">
        <f t="shared" ca="1" si="15"/>
        <v>0.73376268756409879</v>
      </c>
      <c r="H371">
        <f t="shared" ca="1" si="16"/>
        <v>2</v>
      </c>
      <c r="I371">
        <f t="shared" ca="1" si="17"/>
        <v>1</v>
      </c>
    </row>
    <row r="372" spans="7:9">
      <c r="G372">
        <f t="shared" ca="1" si="15"/>
        <v>0.40648201825149188</v>
      </c>
      <c r="H372">
        <f t="shared" ca="1" si="16"/>
        <v>1</v>
      </c>
      <c r="I372">
        <f t="shared" ca="1" si="17"/>
        <v>1</v>
      </c>
    </row>
    <row r="373" spans="7:9">
      <c r="G373">
        <f t="shared" ca="1" si="15"/>
        <v>0.14396944748849583</v>
      </c>
      <c r="H373">
        <f t="shared" ca="1" si="16"/>
        <v>1</v>
      </c>
      <c r="I373">
        <f t="shared" ca="1" si="17"/>
        <v>2</v>
      </c>
    </row>
    <row r="374" spans="7:9">
      <c r="G374">
        <f t="shared" ca="1" si="15"/>
        <v>0.33092747168890946</v>
      </c>
      <c r="H374">
        <f t="shared" ca="1" si="16"/>
        <v>1</v>
      </c>
      <c r="I374">
        <f t="shared" ca="1" si="17"/>
        <v>1</v>
      </c>
    </row>
    <row r="375" spans="7:9">
      <c r="G375">
        <f t="shared" ca="1" si="15"/>
        <v>0.39845781487014542</v>
      </c>
      <c r="H375">
        <f t="shared" ca="1" si="16"/>
        <v>1</v>
      </c>
      <c r="I375">
        <f t="shared" ca="1" si="17"/>
        <v>1</v>
      </c>
    </row>
    <row r="376" spans="7:9">
      <c r="G376">
        <f t="shared" ca="1" si="15"/>
        <v>0.76789665169969856</v>
      </c>
      <c r="H376">
        <f t="shared" ca="1" si="16"/>
        <v>2</v>
      </c>
      <c r="I376">
        <f t="shared" ca="1" si="17"/>
        <v>1</v>
      </c>
    </row>
    <row r="377" spans="7:9">
      <c r="G377">
        <f t="shared" ca="1" si="15"/>
        <v>0.57933515092714916</v>
      </c>
      <c r="H377">
        <f t="shared" ca="1" si="16"/>
        <v>1</v>
      </c>
      <c r="I377">
        <f t="shared" ca="1" si="17"/>
        <v>1</v>
      </c>
    </row>
    <row r="378" spans="7:9">
      <c r="G378">
        <f t="shared" ca="1" si="15"/>
        <v>0.84990698606050419</v>
      </c>
      <c r="H378">
        <f t="shared" ca="1" si="16"/>
        <v>2</v>
      </c>
      <c r="I378">
        <f t="shared" ca="1" si="17"/>
        <v>1</v>
      </c>
    </row>
    <row r="379" spans="7:9">
      <c r="G379">
        <f t="shared" ca="1" si="15"/>
        <v>0.46786696798792171</v>
      </c>
      <c r="H379">
        <f t="shared" ca="1" si="16"/>
        <v>1</v>
      </c>
      <c r="I379">
        <f t="shared" ca="1" si="17"/>
        <v>1</v>
      </c>
    </row>
    <row r="380" spans="7:9">
      <c r="G380">
        <f t="shared" ca="1" si="15"/>
        <v>0.37578330806209193</v>
      </c>
      <c r="H380">
        <f t="shared" ca="1" si="16"/>
        <v>1</v>
      </c>
      <c r="I380">
        <f t="shared" ca="1" si="17"/>
        <v>1</v>
      </c>
    </row>
    <row r="381" spans="7:9">
      <c r="G381">
        <f t="shared" ca="1" si="15"/>
        <v>0.34375898767914415</v>
      </c>
      <c r="H381">
        <f t="shared" ca="1" si="16"/>
        <v>1</v>
      </c>
      <c r="I381">
        <f t="shared" ca="1" si="17"/>
        <v>1</v>
      </c>
    </row>
    <row r="382" spans="7:9">
      <c r="G382">
        <f t="shared" ca="1" si="15"/>
        <v>0.45541525268581806</v>
      </c>
      <c r="H382">
        <f t="shared" ca="1" si="16"/>
        <v>1</v>
      </c>
      <c r="I382">
        <f t="shared" ca="1" si="17"/>
        <v>1</v>
      </c>
    </row>
    <row r="383" spans="7:9">
      <c r="G383">
        <f t="shared" ca="1" si="15"/>
        <v>0.970986488313201</v>
      </c>
      <c r="H383">
        <f t="shared" ca="1" si="16"/>
        <v>2</v>
      </c>
      <c r="I383">
        <f t="shared" ca="1" si="17"/>
        <v>1</v>
      </c>
    </row>
    <row r="384" spans="7:9">
      <c r="G384">
        <f t="shared" ca="1" si="15"/>
        <v>0.45204596956246967</v>
      </c>
      <c r="H384">
        <f t="shared" ca="1" si="16"/>
        <v>1</v>
      </c>
      <c r="I384">
        <f t="shared" ca="1" si="17"/>
        <v>1</v>
      </c>
    </row>
    <row r="385" spans="7:9">
      <c r="G385">
        <f t="shared" ca="1" si="15"/>
        <v>0.57833309072911954</v>
      </c>
      <c r="H385">
        <f t="shared" ca="1" si="16"/>
        <v>1</v>
      </c>
      <c r="I385">
        <f t="shared" ca="1" si="17"/>
        <v>1</v>
      </c>
    </row>
    <row r="386" spans="7:9">
      <c r="G386">
        <f t="shared" ca="1" si="15"/>
        <v>0.94004643742334193</v>
      </c>
      <c r="H386">
        <f t="shared" ca="1" si="16"/>
        <v>2</v>
      </c>
      <c r="I386">
        <f t="shared" ca="1" si="17"/>
        <v>1</v>
      </c>
    </row>
    <row r="387" spans="7:9">
      <c r="G387">
        <f t="shared" ca="1" si="15"/>
        <v>0.61624213943576422</v>
      </c>
      <c r="H387">
        <f t="shared" ca="1" si="16"/>
        <v>1</v>
      </c>
      <c r="I387">
        <f t="shared" ca="1" si="17"/>
        <v>1</v>
      </c>
    </row>
    <row r="388" spans="7:9">
      <c r="G388">
        <f t="shared" ca="1" si="15"/>
        <v>0.7323390611985976</v>
      </c>
      <c r="H388">
        <f t="shared" ca="1" si="16"/>
        <v>2</v>
      </c>
      <c r="I388">
        <f t="shared" ca="1" si="17"/>
        <v>1</v>
      </c>
    </row>
    <row r="389" spans="7:9">
      <c r="G389">
        <f t="shared" ref="G389:G452" ca="1" si="18">RAND()</f>
        <v>0.12470635553491194</v>
      </c>
      <c r="H389">
        <f t="shared" ref="H389:H452" ca="1" si="19">IF(G389&lt;0.66,1,2)</f>
        <v>1</v>
      </c>
      <c r="I389">
        <f t="shared" ref="I389:I452" ca="1" si="20">IF(G389&lt;0.33,2,1)</f>
        <v>2</v>
      </c>
    </row>
    <row r="390" spans="7:9">
      <c r="G390">
        <f t="shared" ca="1" si="18"/>
        <v>0.8647825521432263</v>
      </c>
      <c r="H390">
        <f t="shared" ca="1" si="19"/>
        <v>2</v>
      </c>
      <c r="I390">
        <f t="shared" ca="1" si="20"/>
        <v>1</v>
      </c>
    </row>
    <row r="391" spans="7:9">
      <c r="G391">
        <f t="shared" ca="1" si="18"/>
        <v>0.72872832352509009</v>
      </c>
      <c r="H391">
        <f t="shared" ca="1" si="19"/>
        <v>2</v>
      </c>
      <c r="I391">
        <f t="shared" ca="1" si="20"/>
        <v>1</v>
      </c>
    </row>
    <row r="392" spans="7:9">
      <c r="G392">
        <f t="shared" ca="1" si="18"/>
        <v>0.36582975448889432</v>
      </c>
      <c r="H392">
        <f t="shared" ca="1" si="19"/>
        <v>1</v>
      </c>
      <c r="I392">
        <f t="shared" ca="1" si="20"/>
        <v>1</v>
      </c>
    </row>
    <row r="393" spans="7:9">
      <c r="G393">
        <f t="shared" ca="1" si="18"/>
        <v>0.74955529052005709</v>
      </c>
      <c r="H393">
        <f t="shared" ca="1" si="19"/>
        <v>2</v>
      </c>
      <c r="I393">
        <f t="shared" ca="1" si="20"/>
        <v>1</v>
      </c>
    </row>
    <row r="394" spans="7:9">
      <c r="G394">
        <f t="shared" ca="1" si="18"/>
        <v>0.5158295810698259</v>
      </c>
      <c r="H394">
        <f t="shared" ca="1" si="19"/>
        <v>1</v>
      </c>
      <c r="I394">
        <f t="shared" ca="1" si="20"/>
        <v>1</v>
      </c>
    </row>
    <row r="395" spans="7:9">
      <c r="G395">
        <f t="shared" ca="1" si="18"/>
        <v>0.15258411739372535</v>
      </c>
      <c r="H395">
        <f t="shared" ca="1" si="19"/>
        <v>1</v>
      </c>
      <c r="I395">
        <f t="shared" ca="1" si="20"/>
        <v>2</v>
      </c>
    </row>
    <row r="396" spans="7:9">
      <c r="G396">
        <f t="shared" ca="1" si="18"/>
        <v>0.17029429641137284</v>
      </c>
      <c r="H396">
        <f t="shared" ca="1" si="19"/>
        <v>1</v>
      </c>
      <c r="I396">
        <f t="shared" ca="1" si="20"/>
        <v>2</v>
      </c>
    </row>
    <row r="397" spans="7:9">
      <c r="G397">
        <f t="shared" ca="1" si="18"/>
        <v>0.74687322440348536</v>
      </c>
      <c r="H397">
        <f t="shared" ca="1" si="19"/>
        <v>2</v>
      </c>
      <c r="I397">
        <f t="shared" ca="1" si="20"/>
        <v>1</v>
      </c>
    </row>
    <row r="398" spans="7:9">
      <c r="G398">
        <f t="shared" ca="1" si="18"/>
        <v>0.21010564949710597</v>
      </c>
      <c r="H398">
        <f t="shared" ca="1" si="19"/>
        <v>1</v>
      </c>
      <c r="I398">
        <f t="shared" ca="1" si="20"/>
        <v>2</v>
      </c>
    </row>
    <row r="399" spans="7:9">
      <c r="G399">
        <f t="shared" ca="1" si="18"/>
        <v>0.15945135549007605</v>
      </c>
      <c r="H399">
        <f t="shared" ca="1" si="19"/>
        <v>1</v>
      </c>
      <c r="I399">
        <f t="shared" ca="1" si="20"/>
        <v>2</v>
      </c>
    </row>
    <row r="400" spans="7:9">
      <c r="G400">
        <f t="shared" ca="1" si="18"/>
        <v>0.49806265649838177</v>
      </c>
      <c r="H400">
        <f t="shared" ca="1" si="19"/>
        <v>1</v>
      </c>
      <c r="I400">
        <f t="shared" ca="1" si="20"/>
        <v>1</v>
      </c>
    </row>
    <row r="401" spans="7:9">
      <c r="G401">
        <f t="shared" ca="1" si="18"/>
        <v>0.88091042715612922</v>
      </c>
      <c r="H401">
        <f t="shared" ca="1" si="19"/>
        <v>2</v>
      </c>
      <c r="I401">
        <f t="shared" ca="1" si="20"/>
        <v>1</v>
      </c>
    </row>
    <row r="402" spans="7:9">
      <c r="G402">
        <f t="shared" ca="1" si="18"/>
        <v>0.91847456909878245</v>
      </c>
      <c r="H402">
        <f t="shared" ca="1" si="19"/>
        <v>2</v>
      </c>
      <c r="I402">
        <f t="shared" ca="1" si="20"/>
        <v>1</v>
      </c>
    </row>
    <row r="403" spans="7:9">
      <c r="G403">
        <f t="shared" ca="1" si="18"/>
        <v>0.30748489609552332</v>
      </c>
      <c r="H403">
        <f t="shared" ca="1" si="19"/>
        <v>1</v>
      </c>
      <c r="I403">
        <f t="shared" ca="1" si="20"/>
        <v>2</v>
      </c>
    </row>
    <row r="404" spans="7:9">
      <c r="G404">
        <f t="shared" ca="1" si="18"/>
        <v>4.8412449364869214E-2</v>
      </c>
      <c r="H404">
        <f t="shared" ca="1" si="19"/>
        <v>1</v>
      </c>
      <c r="I404">
        <f t="shared" ca="1" si="20"/>
        <v>2</v>
      </c>
    </row>
    <row r="405" spans="7:9">
      <c r="G405">
        <f t="shared" ca="1" si="18"/>
        <v>0.72311309520755085</v>
      </c>
      <c r="H405">
        <f t="shared" ca="1" si="19"/>
        <v>2</v>
      </c>
      <c r="I405">
        <f t="shared" ca="1" si="20"/>
        <v>1</v>
      </c>
    </row>
    <row r="406" spans="7:9">
      <c r="G406">
        <f t="shared" ca="1" si="18"/>
        <v>0.55914916307451301</v>
      </c>
      <c r="H406">
        <f t="shared" ca="1" si="19"/>
        <v>1</v>
      </c>
      <c r="I406">
        <f t="shared" ca="1" si="20"/>
        <v>1</v>
      </c>
    </row>
    <row r="407" spans="7:9">
      <c r="G407">
        <f t="shared" ca="1" si="18"/>
        <v>0.44429573039286885</v>
      </c>
      <c r="H407">
        <f t="shared" ca="1" si="19"/>
        <v>1</v>
      </c>
      <c r="I407">
        <f t="shared" ca="1" si="20"/>
        <v>1</v>
      </c>
    </row>
    <row r="408" spans="7:9">
      <c r="G408">
        <f t="shared" ca="1" si="18"/>
        <v>0.37975033271810377</v>
      </c>
      <c r="H408">
        <f t="shared" ca="1" si="19"/>
        <v>1</v>
      </c>
      <c r="I408">
        <f t="shared" ca="1" si="20"/>
        <v>1</v>
      </c>
    </row>
    <row r="409" spans="7:9">
      <c r="G409">
        <f t="shared" ca="1" si="18"/>
        <v>0.84203383020522216</v>
      </c>
      <c r="H409">
        <f t="shared" ca="1" si="19"/>
        <v>2</v>
      </c>
      <c r="I409">
        <f t="shared" ca="1" si="20"/>
        <v>1</v>
      </c>
    </row>
    <row r="410" spans="7:9">
      <c r="G410">
        <f t="shared" ca="1" si="18"/>
        <v>0.24733993256519471</v>
      </c>
      <c r="H410">
        <f t="shared" ca="1" si="19"/>
        <v>1</v>
      </c>
      <c r="I410">
        <f t="shared" ca="1" si="20"/>
        <v>2</v>
      </c>
    </row>
    <row r="411" spans="7:9">
      <c r="G411">
        <f t="shared" ca="1" si="18"/>
        <v>0.25634020089948184</v>
      </c>
      <c r="H411">
        <f t="shared" ca="1" si="19"/>
        <v>1</v>
      </c>
      <c r="I411">
        <f t="shared" ca="1" si="20"/>
        <v>2</v>
      </c>
    </row>
    <row r="412" spans="7:9">
      <c r="G412">
        <f t="shared" ca="1" si="18"/>
        <v>0.59791799074957208</v>
      </c>
      <c r="H412">
        <f t="shared" ca="1" si="19"/>
        <v>1</v>
      </c>
      <c r="I412">
        <f t="shared" ca="1" si="20"/>
        <v>1</v>
      </c>
    </row>
    <row r="413" spans="7:9">
      <c r="G413">
        <f t="shared" ca="1" si="18"/>
        <v>0.18985319581941107</v>
      </c>
      <c r="H413">
        <f t="shared" ca="1" si="19"/>
        <v>1</v>
      </c>
      <c r="I413">
        <f t="shared" ca="1" si="20"/>
        <v>2</v>
      </c>
    </row>
    <row r="414" spans="7:9">
      <c r="G414">
        <f t="shared" ca="1" si="18"/>
        <v>0.81451566933714703</v>
      </c>
      <c r="H414">
        <f t="shared" ca="1" si="19"/>
        <v>2</v>
      </c>
      <c r="I414">
        <f t="shared" ca="1" si="20"/>
        <v>1</v>
      </c>
    </row>
    <row r="415" spans="7:9">
      <c r="G415">
        <f t="shared" ca="1" si="18"/>
        <v>0.12463923207476479</v>
      </c>
      <c r="H415">
        <f t="shared" ca="1" si="19"/>
        <v>1</v>
      </c>
      <c r="I415">
        <f t="shared" ca="1" si="20"/>
        <v>2</v>
      </c>
    </row>
    <row r="416" spans="7:9">
      <c r="G416">
        <f t="shared" ca="1" si="18"/>
        <v>0.55510546820263584</v>
      </c>
      <c r="H416">
        <f t="shared" ca="1" si="19"/>
        <v>1</v>
      </c>
      <c r="I416">
        <f t="shared" ca="1" si="20"/>
        <v>1</v>
      </c>
    </row>
    <row r="417" spans="7:9">
      <c r="G417">
        <f t="shared" ca="1" si="18"/>
        <v>0.74288268599019702</v>
      </c>
      <c r="H417">
        <f t="shared" ca="1" si="19"/>
        <v>2</v>
      </c>
      <c r="I417">
        <f t="shared" ca="1" si="20"/>
        <v>1</v>
      </c>
    </row>
    <row r="418" spans="7:9">
      <c r="G418">
        <f t="shared" ca="1" si="18"/>
        <v>0.97023970239871771</v>
      </c>
      <c r="H418">
        <f t="shared" ca="1" si="19"/>
        <v>2</v>
      </c>
      <c r="I418">
        <f t="shared" ca="1" si="20"/>
        <v>1</v>
      </c>
    </row>
    <row r="419" spans="7:9">
      <c r="G419">
        <f t="shared" ca="1" si="18"/>
        <v>0.86882501659032629</v>
      </c>
      <c r="H419">
        <f t="shared" ca="1" si="19"/>
        <v>2</v>
      </c>
      <c r="I419">
        <f t="shared" ca="1" si="20"/>
        <v>1</v>
      </c>
    </row>
    <row r="420" spans="7:9">
      <c r="G420">
        <f t="shared" ca="1" si="18"/>
        <v>0.11194554428917824</v>
      </c>
      <c r="H420">
        <f t="shared" ca="1" si="19"/>
        <v>1</v>
      </c>
      <c r="I420">
        <f t="shared" ca="1" si="20"/>
        <v>2</v>
      </c>
    </row>
    <row r="421" spans="7:9">
      <c r="G421">
        <f t="shared" ca="1" si="18"/>
        <v>5.7064806478317354E-2</v>
      </c>
      <c r="H421">
        <f t="shared" ca="1" si="19"/>
        <v>1</v>
      </c>
      <c r="I421">
        <f t="shared" ca="1" si="20"/>
        <v>2</v>
      </c>
    </row>
    <row r="422" spans="7:9">
      <c r="G422">
        <f t="shared" ca="1" si="18"/>
        <v>0.15468859635215648</v>
      </c>
      <c r="H422">
        <f t="shared" ca="1" si="19"/>
        <v>1</v>
      </c>
      <c r="I422">
        <f t="shared" ca="1" si="20"/>
        <v>2</v>
      </c>
    </row>
    <row r="423" spans="7:9">
      <c r="G423">
        <f t="shared" ca="1" si="18"/>
        <v>0.88793269183191004</v>
      </c>
      <c r="H423">
        <f t="shared" ca="1" si="19"/>
        <v>2</v>
      </c>
      <c r="I423">
        <f t="shared" ca="1" si="20"/>
        <v>1</v>
      </c>
    </row>
    <row r="424" spans="7:9">
      <c r="G424">
        <f t="shared" ca="1" si="18"/>
        <v>0.5673910742563778</v>
      </c>
      <c r="H424">
        <f t="shared" ca="1" si="19"/>
        <v>1</v>
      </c>
      <c r="I424">
        <f t="shared" ca="1" si="20"/>
        <v>1</v>
      </c>
    </row>
    <row r="425" spans="7:9">
      <c r="G425">
        <f t="shared" ca="1" si="18"/>
        <v>0.13107396594383369</v>
      </c>
      <c r="H425">
        <f t="shared" ca="1" si="19"/>
        <v>1</v>
      </c>
      <c r="I425">
        <f t="shared" ca="1" si="20"/>
        <v>2</v>
      </c>
    </row>
    <row r="426" spans="7:9">
      <c r="G426">
        <f t="shared" ca="1" si="18"/>
        <v>0.20535872773152053</v>
      </c>
      <c r="H426">
        <f t="shared" ca="1" si="19"/>
        <v>1</v>
      </c>
      <c r="I426">
        <f t="shared" ca="1" si="20"/>
        <v>2</v>
      </c>
    </row>
    <row r="427" spans="7:9">
      <c r="G427">
        <f t="shared" ca="1" si="18"/>
        <v>0.86962755530642599</v>
      </c>
      <c r="H427">
        <f t="shared" ca="1" si="19"/>
        <v>2</v>
      </c>
      <c r="I427">
        <f t="shared" ca="1" si="20"/>
        <v>1</v>
      </c>
    </row>
    <row r="428" spans="7:9">
      <c r="G428">
        <f t="shared" ca="1" si="18"/>
        <v>0.95624459251454508</v>
      </c>
      <c r="H428">
        <f t="shared" ca="1" si="19"/>
        <v>2</v>
      </c>
      <c r="I428">
        <f t="shared" ca="1" si="20"/>
        <v>1</v>
      </c>
    </row>
    <row r="429" spans="7:9">
      <c r="G429">
        <f t="shared" ca="1" si="18"/>
        <v>0.94770659156497505</v>
      </c>
      <c r="H429">
        <f t="shared" ca="1" si="19"/>
        <v>2</v>
      </c>
      <c r="I429">
        <f t="shared" ca="1" si="20"/>
        <v>1</v>
      </c>
    </row>
    <row r="430" spans="7:9">
      <c r="G430">
        <f t="shared" ca="1" si="18"/>
        <v>0.40586811455763139</v>
      </c>
      <c r="H430">
        <f t="shared" ca="1" si="19"/>
        <v>1</v>
      </c>
      <c r="I430">
        <f t="shared" ca="1" si="20"/>
        <v>1</v>
      </c>
    </row>
    <row r="431" spans="7:9">
      <c r="G431">
        <f t="shared" ca="1" si="18"/>
        <v>0.22632949499005584</v>
      </c>
      <c r="H431">
        <f t="shared" ca="1" si="19"/>
        <v>1</v>
      </c>
      <c r="I431">
        <f t="shared" ca="1" si="20"/>
        <v>2</v>
      </c>
    </row>
    <row r="432" spans="7:9">
      <c r="G432">
        <f t="shared" ca="1" si="18"/>
        <v>0.3630266328489643</v>
      </c>
      <c r="H432">
        <f t="shared" ca="1" si="19"/>
        <v>1</v>
      </c>
      <c r="I432">
        <f t="shared" ca="1" si="20"/>
        <v>1</v>
      </c>
    </row>
    <row r="433" spans="7:9">
      <c r="G433">
        <f t="shared" ca="1" si="18"/>
        <v>3.5056806523975581E-2</v>
      </c>
      <c r="H433">
        <f t="shared" ca="1" si="19"/>
        <v>1</v>
      </c>
      <c r="I433">
        <f t="shared" ca="1" si="20"/>
        <v>2</v>
      </c>
    </row>
    <row r="434" spans="7:9">
      <c r="G434">
        <f t="shared" ca="1" si="18"/>
        <v>0.1820367098924579</v>
      </c>
      <c r="H434">
        <f t="shared" ca="1" si="19"/>
        <v>1</v>
      </c>
      <c r="I434">
        <f t="shared" ca="1" si="20"/>
        <v>2</v>
      </c>
    </row>
    <row r="435" spans="7:9">
      <c r="G435">
        <f t="shared" ca="1" si="18"/>
        <v>0.55228457864069236</v>
      </c>
      <c r="H435">
        <f t="shared" ca="1" si="19"/>
        <v>1</v>
      </c>
      <c r="I435">
        <f t="shared" ca="1" si="20"/>
        <v>1</v>
      </c>
    </row>
    <row r="436" spans="7:9">
      <c r="G436">
        <f t="shared" ca="1" si="18"/>
        <v>0.42524268006287713</v>
      </c>
      <c r="H436">
        <f t="shared" ca="1" si="19"/>
        <v>1</v>
      </c>
      <c r="I436">
        <f t="shared" ca="1" si="20"/>
        <v>1</v>
      </c>
    </row>
    <row r="437" spans="7:9">
      <c r="G437">
        <f t="shared" ca="1" si="18"/>
        <v>0.74244721708041672</v>
      </c>
      <c r="H437">
        <f t="shared" ca="1" si="19"/>
        <v>2</v>
      </c>
      <c r="I437">
        <f t="shared" ca="1" si="20"/>
        <v>1</v>
      </c>
    </row>
    <row r="438" spans="7:9">
      <c r="G438">
        <f t="shared" ca="1" si="18"/>
        <v>0.14930229982467791</v>
      </c>
      <c r="H438">
        <f t="shared" ca="1" si="19"/>
        <v>1</v>
      </c>
      <c r="I438">
        <f t="shared" ca="1" si="20"/>
        <v>2</v>
      </c>
    </row>
    <row r="439" spans="7:9">
      <c r="G439">
        <f t="shared" ca="1" si="18"/>
        <v>0.93329245258737692</v>
      </c>
      <c r="H439">
        <f t="shared" ca="1" si="19"/>
        <v>2</v>
      </c>
      <c r="I439">
        <f t="shared" ca="1" si="20"/>
        <v>1</v>
      </c>
    </row>
    <row r="440" spans="7:9">
      <c r="G440">
        <f t="shared" ca="1" si="18"/>
        <v>0.1350701910283898</v>
      </c>
      <c r="H440">
        <f t="shared" ca="1" si="19"/>
        <v>1</v>
      </c>
      <c r="I440">
        <f t="shared" ca="1" si="20"/>
        <v>2</v>
      </c>
    </row>
    <row r="441" spans="7:9">
      <c r="G441">
        <f t="shared" ca="1" si="18"/>
        <v>0.31885365192196691</v>
      </c>
      <c r="H441">
        <f t="shared" ca="1" si="19"/>
        <v>1</v>
      </c>
      <c r="I441">
        <f t="shared" ca="1" si="20"/>
        <v>2</v>
      </c>
    </row>
    <row r="442" spans="7:9">
      <c r="G442">
        <f t="shared" ca="1" si="18"/>
        <v>0.98376395618319623</v>
      </c>
      <c r="H442">
        <f t="shared" ca="1" si="19"/>
        <v>2</v>
      </c>
      <c r="I442">
        <f t="shared" ca="1" si="20"/>
        <v>1</v>
      </c>
    </row>
    <row r="443" spans="7:9">
      <c r="G443">
        <f t="shared" ca="1" si="18"/>
        <v>0.19205074415471379</v>
      </c>
      <c r="H443">
        <f t="shared" ca="1" si="19"/>
        <v>1</v>
      </c>
      <c r="I443">
        <f t="shared" ca="1" si="20"/>
        <v>2</v>
      </c>
    </row>
    <row r="444" spans="7:9">
      <c r="G444">
        <f t="shared" ca="1" si="18"/>
        <v>2.3273704011160357E-2</v>
      </c>
      <c r="H444">
        <f t="shared" ca="1" si="19"/>
        <v>1</v>
      </c>
      <c r="I444">
        <f t="shared" ca="1" si="20"/>
        <v>2</v>
      </c>
    </row>
    <row r="445" spans="7:9">
      <c r="G445">
        <f t="shared" ca="1" si="18"/>
        <v>0.50503736068083882</v>
      </c>
      <c r="H445">
        <f t="shared" ca="1" si="19"/>
        <v>1</v>
      </c>
      <c r="I445">
        <f t="shared" ca="1" si="20"/>
        <v>1</v>
      </c>
    </row>
    <row r="446" spans="7:9">
      <c r="G446">
        <f t="shared" ca="1" si="18"/>
        <v>0.93441846927849492</v>
      </c>
      <c r="H446">
        <f t="shared" ca="1" si="19"/>
        <v>2</v>
      </c>
      <c r="I446">
        <f t="shared" ca="1" si="20"/>
        <v>1</v>
      </c>
    </row>
    <row r="447" spans="7:9">
      <c r="G447">
        <f t="shared" ca="1" si="18"/>
        <v>0.30135108976873104</v>
      </c>
      <c r="H447">
        <f t="shared" ca="1" si="19"/>
        <v>1</v>
      </c>
      <c r="I447">
        <f t="shared" ca="1" si="20"/>
        <v>2</v>
      </c>
    </row>
    <row r="448" spans="7:9">
      <c r="G448">
        <f t="shared" ca="1" si="18"/>
        <v>0.28799536758881694</v>
      </c>
      <c r="H448">
        <f t="shared" ca="1" si="19"/>
        <v>1</v>
      </c>
      <c r="I448">
        <f t="shared" ca="1" si="20"/>
        <v>2</v>
      </c>
    </row>
    <row r="449" spans="7:9">
      <c r="G449">
        <f t="shared" ca="1" si="18"/>
        <v>0.52509733556768723</v>
      </c>
      <c r="H449">
        <f t="shared" ca="1" si="19"/>
        <v>1</v>
      </c>
      <c r="I449">
        <f t="shared" ca="1" si="20"/>
        <v>1</v>
      </c>
    </row>
    <row r="450" spans="7:9">
      <c r="G450">
        <f t="shared" ca="1" si="18"/>
        <v>4.8006337418991074E-2</v>
      </c>
      <c r="H450">
        <f t="shared" ca="1" si="19"/>
        <v>1</v>
      </c>
      <c r="I450">
        <f t="shared" ca="1" si="20"/>
        <v>2</v>
      </c>
    </row>
    <row r="451" spans="7:9">
      <c r="G451">
        <f t="shared" ca="1" si="18"/>
        <v>0.2346552829033336</v>
      </c>
      <c r="H451">
        <f t="shared" ca="1" si="19"/>
        <v>1</v>
      </c>
      <c r="I451">
        <f t="shared" ca="1" si="20"/>
        <v>2</v>
      </c>
    </row>
    <row r="452" spans="7:9">
      <c r="G452">
        <f t="shared" ca="1" si="18"/>
        <v>0.1847822526591939</v>
      </c>
      <c r="H452">
        <f t="shared" ca="1" si="19"/>
        <v>1</v>
      </c>
      <c r="I452">
        <f t="shared" ca="1" si="20"/>
        <v>2</v>
      </c>
    </row>
    <row r="453" spans="7:9">
      <c r="G453">
        <f t="shared" ref="G453:G516" ca="1" si="21">RAND()</f>
        <v>0.95666323440527967</v>
      </c>
      <c r="H453">
        <f t="shared" ref="H453:H516" ca="1" si="22">IF(G453&lt;0.66,1,2)</f>
        <v>2</v>
      </c>
      <c r="I453">
        <f t="shared" ref="I453:I516" ca="1" si="23">IF(G453&lt;0.33,2,1)</f>
        <v>1</v>
      </c>
    </row>
    <row r="454" spans="7:9">
      <c r="G454">
        <f t="shared" ca="1" si="21"/>
        <v>3.1912815802381811E-2</v>
      </c>
      <c r="H454">
        <f t="shared" ca="1" si="22"/>
        <v>1</v>
      </c>
      <c r="I454">
        <f t="shared" ca="1" si="23"/>
        <v>2</v>
      </c>
    </row>
    <row r="455" spans="7:9">
      <c r="G455">
        <f t="shared" ca="1" si="21"/>
        <v>0.11307664665513162</v>
      </c>
      <c r="H455">
        <f t="shared" ca="1" si="22"/>
        <v>1</v>
      </c>
      <c r="I455">
        <f t="shared" ca="1" si="23"/>
        <v>2</v>
      </c>
    </row>
    <row r="456" spans="7:9">
      <c r="G456">
        <f t="shared" ca="1" si="21"/>
        <v>0.7285081552669016</v>
      </c>
      <c r="H456">
        <f t="shared" ca="1" si="22"/>
        <v>2</v>
      </c>
      <c r="I456">
        <f t="shared" ca="1" si="23"/>
        <v>1</v>
      </c>
    </row>
    <row r="457" spans="7:9">
      <c r="G457">
        <f t="shared" ca="1" si="21"/>
        <v>0.82304552904228778</v>
      </c>
      <c r="H457">
        <f t="shared" ca="1" si="22"/>
        <v>2</v>
      </c>
      <c r="I457">
        <f t="shared" ca="1" si="23"/>
        <v>1</v>
      </c>
    </row>
    <row r="458" spans="7:9">
      <c r="G458">
        <f t="shared" ca="1" si="21"/>
        <v>0.27418272310874692</v>
      </c>
      <c r="H458">
        <f t="shared" ca="1" si="22"/>
        <v>1</v>
      </c>
      <c r="I458">
        <f t="shared" ca="1" si="23"/>
        <v>2</v>
      </c>
    </row>
    <row r="459" spans="7:9">
      <c r="G459">
        <f t="shared" ca="1" si="21"/>
        <v>0.71065769409271562</v>
      </c>
      <c r="H459">
        <f t="shared" ca="1" si="22"/>
        <v>2</v>
      </c>
      <c r="I459">
        <f t="shared" ca="1" si="23"/>
        <v>1</v>
      </c>
    </row>
    <row r="460" spans="7:9">
      <c r="G460">
        <f t="shared" ca="1" si="21"/>
        <v>0.30153250336691728</v>
      </c>
      <c r="H460">
        <f t="shared" ca="1" si="22"/>
        <v>1</v>
      </c>
      <c r="I460">
        <f t="shared" ca="1" si="23"/>
        <v>2</v>
      </c>
    </row>
    <row r="461" spans="7:9">
      <c r="G461">
        <f t="shared" ca="1" si="21"/>
        <v>0.59084657972379762</v>
      </c>
      <c r="H461">
        <f t="shared" ca="1" si="22"/>
        <v>1</v>
      </c>
      <c r="I461">
        <f t="shared" ca="1" si="23"/>
        <v>1</v>
      </c>
    </row>
    <row r="462" spans="7:9">
      <c r="G462">
        <f t="shared" ca="1" si="21"/>
        <v>0.22452477204613863</v>
      </c>
      <c r="H462">
        <f t="shared" ca="1" si="22"/>
        <v>1</v>
      </c>
      <c r="I462">
        <f t="shared" ca="1" si="23"/>
        <v>2</v>
      </c>
    </row>
    <row r="463" spans="7:9">
      <c r="G463">
        <f t="shared" ca="1" si="21"/>
        <v>0.49576788739206878</v>
      </c>
      <c r="H463">
        <f t="shared" ca="1" si="22"/>
        <v>1</v>
      </c>
      <c r="I463">
        <f t="shared" ca="1" si="23"/>
        <v>1</v>
      </c>
    </row>
    <row r="464" spans="7:9">
      <c r="G464">
        <f t="shared" ca="1" si="21"/>
        <v>0.88636567456984316</v>
      </c>
      <c r="H464">
        <f t="shared" ca="1" si="22"/>
        <v>2</v>
      </c>
      <c r="I464">
        <f t="shared" ca="1" si="23"/>
        <v>1</v>
      </c>
    </row>
    <row r="465" spans="7:9">
      <c r="G465">
        <f t="shared" ca="1" si="21"/>
        <v>0.80216154975573195</v>
      </c>
      <c r="H465">
        <f t="shared" ca="1" si="22"/>
        <v>2</v>
      </c>
      <c r="I465">
        <f t="shared" ca="1" si="23"/>
        <v>1</v>
      </c>
    </row>
    <row r="466" spans="7:9">
      <c r="G466">
        <f t="shared" ca="1" si="21"/>
        <v>0.85924054540789019</v>
      </c>
      <c r="H466">
        <f t="shared" ca="1" si="22"/>
        <v>2</v>
      </c>
      <c r="I466">
        <f t="shared" ca="1" si="23"/>
        <v>1</v>
      </c>
    </row>
    <row r="467" spans="7:9">
      <c r="G467">
        <f t="shared" ca="1" si="21"/>
        <v>0.38756589511320394</v>
      </c>
      <c r="H467">
        <f t="shared" ca="1" si="22"/>
        <v>1</v>
      </c>
      <c r="I467">
        <f t="shared" ca="1" si="23"/>
        <v>1</v>
      </c>
    </row>
    <row r="468" spans="7:9">
      <c r="G468">
        <f t="shared" ca="1" si="21"/>
        <v>0.28096152430944421</v>
      </c>
      <c r="H468">
        <f t="shared" ca="1" si="22"/>
        <v>1</v>
      </c>
      <c r="I468">
        <f t="shared" ca="1" si="23"/>
        <v>2</v>
      </c>
    </row>
    <row r="469" spans="7:9">
      <c r="G469">
        <f t="shared" ca="1" si="21"/>
        <v>0.8612881238179575</v>
      </c>
      <c r="H469">
        <f t="shared" ca="1" si="22"/>
        <v>2</v>
      </c>
      <c r="I469">
        <f t="shared" ca="1" si="23"/>
        <v>1</v>
      </c>
    </row>
    <row r="470" spans="7:9">
      <c r="G470">
        <f t="shared" ca="1" si="21"/>
        <v>0.98027628098996933</v>
      </c>
      <c r="H470">
        <f t="shared" ca="1" si="22"/>
        <v>2</v>
      </c>
      <c r="I470">
        <f t="shared" ca="1" si="23"/>
        <v>1</v>
      </c>
    </row>
    <row r="471" spans="7:9">
      <c r="G471">
        <f t="shared" ca="1" si="21"/>
        <v>0.15313111919790401</v>
      </c>
      <c r="H471">
        <f t="shared" ca="1" si="22"/>
        <v>1</v>
      </c>
      <c r="I471">
        <f t="shared" ca="1" si="23"/>
        <v>2</v>
      </c>
    </row>
    <row r="472" spans="7:9">
      <c r="G472">
        <f t="shared" ca="1" si="21"/>
        <v>0.62077581105626345</v>
      </c>
      <c r="H472">
        <f t="shared" ca="1" si="22"/>
        <v>1</v>
      </c>
      <c r="I472">
        <f t="shared" ca="1" si="23"/>
        <v>1</v>
      </c>
    </row>
    <row r="473" spans="7:9">
      <c r="G473">
        <f t="shared" ca="1" si="21"/>
        <v>0.40316849953553635</v>
      </c>
      <c r="H473">
        <f t="shared" ca="1" si="22"/>
        <v>1</v>
      </c>
      <c r="I473">
        <f t="shared" ca="1" si="23"/>
        <v>1</v>
      </c>
    </row>
    <row r="474" spans="7:9">
      <c r="G474">
        <f t="shared" ca="1" si="21"/>
        <v>0.53242096850552523</v>
      </c>
      <c r="H474">
        <f t="shared" ca="1" si="22"/>
        <v>1</v>
      </c>
      <c r="I474">
        <f t="shared" ca="1" si="23"/>
        <v>1</v>
      </c>
    </row>
    <row r="475" spans="7:9">
      <c r="G475">
        <f t="shared" ca="1" si="21"/>
        <v>0.19457157334353969</v>
      </c>
      <c r="H475">
        <f t="shared" ca="1" si="22"/>
        <v>1</v>
      </c>
      <c r="I475">
        <f t="shared" ca="1" si="23"/>
        <v>2</v>
      </c>
    </row>
    <row r="476" spans="7:9">
      <c r="G476">
        <f t="shared" ca="1" si="21"/>
        <v>0.26985059781632981</v>
      </c>
      <c r="H476">
        <f t="shared" ca="1" si="22"/>
        <v>1</v>
      </c>
      <c r="I476">
        <f t="shared" ca="1" si="23"/>
        <v>2</v>
      </c>
    </row>
    <row r="477" spans="7:9">
      <c r="G477">
        <f t="shared" ca="1" si="21"/>
        <v>0.54068803784703823</v>
      </c>
      <c r="H477">
        <f t="shared" ca="1" si="22"/>
        <v>1</v>
      </c>
      <c r="I477">
        <f t="shared" ca="1" si="23"/>
        <v>1</v>
      </c>
    </row>
    <row r="478" spans="7:9">
      <c r="G478">
        <f t="shared" ca="1" si="21"/>
        <v>0.27023041348920973</v>
      </c>
      <c r="H478">
        <f t="shared" ca="1" si="22"/>
        <v>1</v>
      </c>
      <c r="I478">
        <f t="shared" ca="1" si="23"/>
        <v>2</v>
      </c>
    </row>
    <row r="479" spans="7:9">
      <c r="G479">
        <f t="shared" ca="1" si="21"/>
        <v>0.23413204350885919</v>
      </c>
      <c r="H479">
        <f t="shared" ca="1" si="22"/>
        <v>1</v>
      </c>
      <c r="I479">
        <f t="shared" ca="1" si="23"/>
        <v>2</v>
      </c>
    </row>
    <row r="480" spans="7:9">
      <c r="G480">
        <f t="shared" ca="1" si="21"/>
        <v>0.2144696614064171</v>
      </c>
      <c r="H480">
        <f t="shared" ca="1" si="22"/>
        <v>1</v>
      </c>
      <c r="I480">
        <f t="shared" ca="1" si="23"/>
        <v>2</v>
      </c>
    </row>
    <row r="481" spans="7:9">
      <c r="G481">
        <f t="shared" ca="1" si="21"/>
        <v>0.5835656440366267</v>
      </c>
      <c r="H481">
        <f t="shared" ca="1" si="22"/>
        <v>1</v>
      </c>
      <c r="I481">
        <f t="shared" ca="1" si="23"/>
        <v>1</v>
      </c>
    </row>
    <row r="482" spans="7:9">
      <c r="G482">
        <f t="shared" ca="1" si="21"/>
        <v>2.5905419643159844E-2</v>
      </c>
      <c r="H482">
        <f t="shared" ca="1" si="22"/>
        <v>1</v>
      </c>
      <c r="I482">
        <f t="shared" ca="1" si="23"/>
        <v>2</v>
      </c>
    </row>
    <row r="483" spans="7:9">
      <c r="G483">
        <f t="shared" ca="1" si="21"/>
        <v>0.69956464784088057</v>
      </c>
      <c r="H483">
        <f t="shared" ca="1" si="22"/>
        <v>2</v>
      </c>
      <c r="I483">
        <f t="shared" ca="1" si="23"/>
        <v>1</v>
      </c>
    </row>
    <row r="484" spans="7:9">
      <c r="G484">
        <f t="shared" ca="1" si="21"/>
        <v>0.5069543575883606</v>
      </c>
      <c r="H484">
        <f t="shared" ca="1" si="22"/>
        <v>1</v>
      </c>
      <c r="I484">
        <f t="shared" ca="1" si="23"/>
        <v>1</v>
      </c>
    </row>
    <row r="485" spans="7:9">
      <c r="G485">
        <f t="shared" ca="1" si="21"/>
        <v>0.51959365818905778</v>
      </c>
      <c r="H485">
        <f t="shared" ca="1" si="22"/>
        <v>1</v>
      </c>
      <c r="I485">
        <f t="shared" ca="1" si="23"/>
        <v>1</v>
      </c>
    </row>
    <row r="486" spans="7:9">
      <c r="G486">
        <f t="shared" ca="1" si="21"/>
        <v>0.14002585204486817</v>
      </c>
      <c r="H486">
        <f t="shared" ca="1" si="22"/>
        <v>1</v>
      </c>
      <c r="I486">
        <f t="shared" ca="1" si="23"/>
        <v>2</v>
      </c>
    </row>
    <row r="487" spans="7:9">
      <c r="G487">
        <f t="shared" ca="1" si="21"/>
        <v>0.61398705204123127</v>
      </c>
      <c r="H487">
        <f t="shared" ca="1" si="22"/>
        <v>1</v>
      </c>
      <c r="I487">
        <f t="shared" ca="1" si="23"/>
        <v>1</v>
      </c>
    </row>
    <row r="488" spans="7:9">
      <c r="G488">
        <f t="shared" ca="1" si="21"/>
        <v>0.9857085401286364</v>
      </c>
      <c r="H488">
        <f t="shared" ca="1" si="22"/>
        <v>2</v>
      </c>
      <c r="I488">
        <f t="shared" ca="1" si="23"/>
        <v>1</v>
      </c>
    </row>
    <row r="489" spans="7:9">
      <c r="G489">
        <f t="shared" ca="1" si="21"/>
        <v>0.90931778160723986</v>
      </c>
      <c r="H489">
        <f t="shared" ca="1" si="22"/>
        <v>2</v>
      </c>
      <c r="I489">
        <f t="shared" ca="1" si="23"/>
        <v>1</v>
      </c>
    </row>
    <row r="490" spans="7:9">
      <c r="G490">
        <f t="shared" ca="1" si="21"/>
        <v>0.46357181245679246</v>
      </c>
      <c r="H490">
        <f t="shared" ca="1" si="22"/>
        <v>1</v>
      </c>
      <c r="I490">
        <f t="shared" ca="1" si="23"/>
        <v>1</v>
      </c>
    </row>
    <row r="491" spans="7:9">
      <c r="G491">
        <f t="shared" ca="1" si="21"/>
        <v>8.2091981648907963E-2</v>
      </c>
      <c r="H491">
        <f t="shared" ca="1" si="22"/>
        <v>1</v>
      </c>
      <c r="I491">
        <f t="shared" ca="1" si="23"/>
        <v>2</v>
      </c>
    </row>
    <row r="492" spans="7:9">
      <c r="G492">
        <f t="shared" ca="1" si="21"/>
        <v>0.63742157509278785</v>
      </c>
      <c r="H492">
        <f t="shared" ca="1" si="22"/>
        <v>1</v>
      </c>
      <c r="I492">
        <f t="shared" ca="1" si="23"/>
        <v>1</v>
      </c>
    </row>
    <row r="493" spans="7:9">
      <c r="G493">
        <f t="shared" ca="1" si="21"/>
        <v>4.2210807865305844E-2</v>
      </c>
      <c r="H493">
        <f t="shared" ca="1" si="22"/>
        <v>1</v>
      </c>
      <c r="I493">
        <f t="shared" ca="1" si="23"/>
        <v>2</v>
      </c>
    </row>
    <row r="494" spans="7:9">
      <c r="G494">
        <f t="shared" ca="1" si="21"/>
        <v>0.45230979317925224</v>
      </c>
      <c r="H494">
        <f t="shared" ca="1" si="22"/>
        <v>1</v>
      </c>
      <c r="I494">
        <f t="shared" ca="1" si="23"/>
        <v>1</v>
      </c>
    </row>
    <row r="495" spans="7:9">
      <c r="G495">
        <f t="shared" ca="1" si="21"/>
        <v>0.91032500769437119</v>
      </c>
      <c r="H495">
        <f t="shared" ca="1" si="22"/>
        <v>2</v>
      </c>
      <c r="I495">
        <f t="shared" ca="1" si="23"/>
        <v>1</v>
      </c>
    </row>
    <row r="496" spans="7:9">
      <c r="G496">
        <f t="shared" ca="1" si="21"/>
        <v>0.83235960542356646</v>
      </c>
      <c r="H496">
        <f t="shared" ca="1" si="22"/>
        <v>2</v>
      </c>
      <c r="I496">
        <f t="shared" ca="1" si="23"/>
        <v>1</v>
      </c>
    </row>
    <row r="497" spans="7:9">
      <c r="G497">
        <f t="shared" ca="1" si="21"/>
        <v>0.72076577107346862</v>
      </c>
      <c r="H497">
        <f t="shared" ca="1" si="22"/>
        <v>2</v>
      </c>
      <c r="I497">
        <f t="shared" ca="1" si="23"/>
        <v>1</v>
      </c>
    </row>
    <row r="498" spans="7:9">
      <c r="G498">
        <f t="shared" ca="1" si="21"/>
        <v>0.50571889180630181</v>
      </c>
      <c r="H498">
        <f t="shared" ca="1" si="22"/>
        <v>1</v>
      </c>
      <c r="I498">
        <f t="shared" ca="1" si="23"/>
        <v>1</v>
      </c>
    </row>
    <row r="499" spans="7:9">
      <c r="G499">
        <f t="shared" ca="1" si="21"/>
        <v>0.34951575399257184</v>
      </c>
      <c r="H499">
        <f t="shared" ca="1" si="22"/>
        <v>1</v>
      </c>
      <c r="I499">
        <f t="shared" ca="1" si="23"/>
        <v>1</v>
      </c>
    </row>
    <row r="500" spans="7:9">
      <c r="G500">
        <f t="shared" ca="1" si="21"/>
        <v>2.1181668966162914E-2</v>
      </c>
      <c r="H500">
        <f t="shared" ca="1" si="22"/>
        <v>1</v>
      </c>
      <c r="I500">
        <f t="shared" ca="1" si="23"/>
        <v>2</v>
      </c>
    </row>
    <row r="501" spans="7:9">
      <c r="G501">
        <f t="shared" ca="1" si="21"/>
        <v>0.42704363736091855</v>
      </c>
      <c r="H501">
        <f t="shared" ca="1" si="22"/>
        <v>1</v>
      </c>
      <c r="I501">
        <f t="shared" ca="1" si="23"/>
        <v>1</v>
      </c>
    </row>
    <row r="502" spans="7:9">
      <c r="G502">
        <f t="shared" ca="1" si="21"/>
        <v>8.676384165699691E-2</v>
      </c>
      <c r="H502">
        <f t="shared" ca="1" si="22"/>
        <v>1</v>
      </c>
      <c r="I502">
        <f t="shared" ca="1" si="23"/>
        <v>2</v>
      </c>
    </row>
    <row r="503" spans="7:9">
      <c r="G503">
        <f t="shared" ca="1" si="21"/>
        <v>0.52728811926539976</v>
      </c>
      <c r="H503">
        <f t="shared" ca="1" si="22"/>
        <v>1</v>
      </c>
      <c r="I503">
        <f t="shared" ca="1" si="23"/>
        <v>1</v>
      </c>
    </row>
    <row r="504" spans="7:9">
      <c r="G504">
        <f t="shared" ca="1" si="21"/>
        <v>0.68357555534742298</v>
      </c>
      <c r="H504">
        <f t="shared" ca="1" si="22"/>
        <v>2</v>
      </c>
      <c r="I504">
        <f t="shared" ca="1" si="23"/>
        <v>1</v>
      </c>
    </row>
    <row r="505" spans="7:9">
      <c r="G505">
        <f t="shared" ca="1" si="21"/>
        <v>0.33671134113674317</v>
      </c>
      <c r="H505">
        <f t="shared" ca="1" si="22"/>
        <v>1</v>
      </c>
      <c r="I505">
        <f t="shared" ca="1" si="23"/>
        <v>1</v>
      </c>
    </row>
    <row r="506" spans="7:9">
      <c r="G506">
        <f t="shared" ca="1" si="21"/>
        <v>0.31690607761150258</v>
      </c>
      <c r="H506">
        <f t="shared" ca="1" si="22"/>
        <v>1</v>
      </c>
      <c r="I506">
        <f t="shared" ca="1" si="23"/>
        <v>2</v>
      </c>
    </row>
    <row r="507" spans="7:9">
      <c r="G507">
        <f t="shared" ca="1" si="21"/>
        <v>0.58782195077697685</v>
      </c>
      <c r="H507">
        <f t="shared" ca="1" si="22"/>
        <v>1</v>
      </c>
      <c r="I507">
        <f t="shared" ca="1" si="23"/>
        <v>1</v>
      </c>
    </row>
    <row r="508" spans="7:9">
      <c r="G508">
        <f t="shared" ca="1" si="21"/>
        <v>0.78150188345166838</v>
      </c>
      <c r="H508">
        <f t="shared" ca="1" si="22"/>
        <v>2</v>
      </c>
      <c r="I508">
        <f t="shared" ca="1" si="23"/>
        <v>1</v>
      </c>
    </row>
    <row r="509" spans="7:9">
      <c r="G509">
        <f t="shared" ca="1" si="21"/>
        <v>0.48113500960201228</v>
      </c>
      <c r="H509">
        <f t="shared" ca="1" si="22"/>
        <v>1</v>
      </c>
      <c r="I509">
        <f t="shared" ca="1" si="23"/>
        <v>1</v>
      </c>
    </row>
    <row r="510" spans="7:9">
      <c r="G510">
        <f t="shared" ca="1" si="21"/>
        <v>0.91170826966299345</v>
      </c>
      <c r="H510">
        <f t="shared" ca="1" si="22"/>
        <v>2</v>
      </c>
      <c r="I510">
        <f t="shared" ca="1" si="23"/>
        <v>1</v>
      </c>
    </row>
    <row r="511" spans="7:9">
      <c r="G511">
        <f t="shared" ca="1" si="21"/>
        <v>0.26237066366436745</v>
      </c>
      <c r="H511">
        <f t="shared" ca="1" si="22"/>
        <v>1</v>
      </c>
      <c r="I511">
        <f t="shared" ca="1" si="23"/>
        <v>2</v>
      </c>
    </row>
    <row r="512" spans="7:9">
      <c r="G512">
        <f t="shared" ca="1" si="21"/>
        <v>0.85443072912179363</v>
      </c>
      <c r="H512">
        <f t="shared" ca="1" si="22"/>
        <v>2</v>
      </c>
      <c r="I512">
        <f t="shared" ca="1" si="23"/>
        <v>1</v>
      </c>
    </row>
    <row r="513" spans="7:9">
      <c r="G513">
        <f t="shared" ca="1" si="21"/>
        <v>0.48344456965522409</v>
      </c>
      <c r="H513">
        <f t="shared" ca="1" si="22"/>
        <v>1</v>
      </c>
      <c r="I513">
        <f t="shared" ca="1" si="23"/>
        <v>1</v>
      </c>
    </row>
    <row r="514" spans="7:9">
      <c r="G514">
        <f t="shared" ca="1" si="21"/>
        <v>0.48248407754829548</v>
      </c>
      <c r="H514">
        <f t="shared" ca="1" si="22"/>
        <v>1</v>
      </c>
      <c r="I514">
        <f t="shared" ca="1" si="23"/>
        <v>1</v>
      </c>
    </row>
    <row r="515" spans="7:9">
      <c r="G515">
        <f t="shared" ca="1" si="21"/>
        <v>0.63752625819716169</v>
      </c>
      <c r="H515">
        <f t="shared" ca="1" si="22"/>
        <v>1</v>
      </c>
      <c r="I515">
        <f t="shared" ca="1" si="23"/>
        <v>1</v>
      </c>
    </row>
    <row r="516" spans="7:9">
      <c r="G516">
        <f t="shared" ca="1" si="21"/>
        <v>0.47362943038858984</v>
      </c>
      <c r="H516">
        <f t="shared" ca="1" si="22"/>
        <v>1</v>
      </c>
      <c r="I516">
        <f t="shared" ca="1" si="23"/>
        <v>1</v>
      </c>
    </row>
    <row r="517" spans="7:9">
      <c r="G517">
        <f t="shared" ref="G517:G580" ca="1" si="24">RAND()</f>
        <v>0.9210141331269488</v>
      </c>
      <c r="H517">
        <f t="shared" ref="H517:H580" ca="1" si="25">IF(G517&lt;0.66,1,2)</f>
        <v>2</v>
      </c>
      <c r="I517">
        <f t="shared" ref="I517:I580" ca="1" si="26">IF(G517&lt;0.33,2,1)</f>
        <v>1</v>
      </c>
    </row>
    <row r="518" spans="7:9">
      <c r="G518">
        <f t="shared" ca="1" si="24"/>
        <v>0.4066853864833232</v>
      </c>
      <c r="H518">
        <f t="shared" ca="1" si="25"/>
        <v>1</v>
      </c>
      <c r="I518">
        <f t="shared" ca="1" si="26"/>
        <v>1</v>
      </c>
    </row>
    <row r="519" spans="7:9">
      <c r="G519">
        <f t="shared" ca="1" si="24"/>
        <v>0.61863913788962854</v>
      </c>
      <c r="H519">
        <f t="shared" ca="1" si="25"/>
        <v>1</v>
      </c>
      <c r="I519">
        <f t="shared" ca="1" si="26"/>
        <v>1</v>
      </c>
    </row>
    <row r="520" spans="7:9">
      <c r="G520">
        <f t="shared" ca="1" si="24"/>
        <v>0.92350241790598142</v>
      </c>
      <c r="H520">
        <f t="shared" ca="1" si="25"/>
        <v>2</v>
      </c>
      <c r="I520">
        <f t="shared" ca="1" si="26"/>
        <v>1</v>
      </c>
    </row>
    <row r="521" spans="7:9">
      <c r="G521">
        <f t="shared" ca="1" si="24"/>
        <v>0.39655836051139737</v>
      </c>
      <c r="H521">
        <f t="shared" ca="1" si="25"/>
        <v>1</v>
      </c>
      <c r="I521">
        <f t="shared" ca="1" si="26"/>
        <v>1</v>
      </c>
    </row>
    <row r="522" spans="7:9">
      <c r="G522">
        <f t="shared" ca="1" si="24"/>
        <v>0.49102319479751544</v>
      </c>
      <c r="H522">
        <f t="shared" ca="1" si="25"/>
        <v>1</v>
      </c>
      <c r="I522">
        <f t="shared" ca="1" si="26"/>
        <v>1</v>
      </c>
    </row>
    <row r="523" spans="7:9">
      <c r="G523">
        <f t="shared" ca="1" si="24"/>
        <v>0.62219245606987317</v>
      </c>
      <c r="H523">
        <f t="shared" ca="1" si="25"/>
        <v>1</v>
      </c>
      <c r="I523">
        <f t="shared" ca="1" si="26"/>
        <v>1</v>
      </c>
    </row>
    <row r="524" spans="7:9">
      <c r="G524">
        <f t="shared" ca="1" si="24"/>
        <v>0.68362230570466964</v>
      </c>
      <c r="H524">
        <f t="shared" ca="1" si="25"/>
        <v>2</v>
      </c>
      <c r="I524">
        <f t="shared" ca="1" si="26"/>
        <v>1</v>
      </c>
    </row>
    <row r="525" spans="7:9">
      <c r="G525">
        <f t="shared" ca="1" si="24"/>
        <v>0.85384804535363268</v>
      </c>
      <c r="H525">
        <f t="shared" ca="1" si="25"/>
        <v>2</v>
      </c>
      <c r="I525">
        <f t="shared" ca="1" si="26"/>
        <v>1</v>
      </c>
    </row>
    <row r="526" spans="7:9">
      <c r="G526">
        <f t="shared" ca="1" si="24"/>
        <v>0.26180373918736155</v>
      </c>
      <c r="H526">
        <f t="shared" ca="1" si="25"/>
        <v>1</v>
      </c>
      <c r="I526">
        <f t="shared" ca="1" si="26"/>
        <v>2</v>
      </c>
    </row>
    <row r="527" spans="7:9">
      <c r="G527">
        <f t="shared" ca="1" si="24"/>
        <v>0.79051489086658211</v>
      </c>
      <c r="H527">
        <f t="shared" ca="1" si="25"/>
        <v>2</v>
      </c>
      <c r="I527">
        <f t="shared" ca="1" si="26"/>
        <v>1</v>
      </c>
    </row>
    <row r="528" spans="7:9">
      <c r="G528">
        <f t="shared" ca="1" si="24"/>
        <v>0.80227464129473902</v>
      </c>
      <c r="H528">
        <f t="shared" ca="1" si="25"/>
        <v>2</v>
      </c>
      <c r="I528">
        <f t="shared" ca="1" si="26"/>
        <v>1</v>
      </c>
    </row>
    <row r="529" spans="7:9">
      <c r="G529">
        <f t="shared" ca="1" si="24"/>
        <v>0.21046112657684846</v>
      </c>
      <c r="H529">
        <f t="shared" ca="1" si="25"/>
        <v>1</v>
      </c>
      <c r="I529">
        <f t="shared" ca="1" si="26"/>
        <v>2</v>
      </c>
    </row>
    <row r="530" spans="7:9">
      <c r="G530">
        <f t="shared" ca="1" si="24"/>
        <v>0.51339184679773864</v>
      </c>
      <c r="H530">
        <f t="shared" ca="1" si="25"/>
        <v>1</v>
      </c>
      <c r="I530">
        <f t="shared" ca="1" si="26"/>
        <v>1</v>
      </c>
    </row>
    <row r="531" spans="7:9">
      <c r="G531">
        <f t="shared" ca="1" si="24"/>
        <v>0.19901089127101146</v>
      </c>
      <c r="H531">
        <f t="shared" ca="1" si="25"/>
        <v>1</v>
      </c>
      <c r="I531">
        <f t="shared" ca="1" si="26"/>
        <v>2</v>
      </c>
    </row>
    <row r="532" spans="7:9">
      <c r="G532">
        <f t="shared" ca="1" si="24"/>
        <v>0.51532005499081923</v>
      </c>
      <c r="H532">
        <f t="shared" ca="1" si="25"/>
        <v>1</v>
      </c>
      <c r="I532">
        <f t="shared" ca="1" si="26"/>
        <v>1</v>
      </c>
    </row>
    <row r="533" spans="7:9">
      <c r="G533">
        <f t="shared" ca="1" si="24"/>
        <v>9.9234690020273297E-2</v>
      </c>
      <c r="H533">
        <f t="shared" ca="1" si="25"/>
        <v>1</v>
      </c>
      <c r="I533">
        <f t="shared" ca="1" si="26"/>
        <v>2</v>
      </c>
    </row>
    <row r="534" spans="7:9">
      <c r="G534">
        <f t="shared" ca="1" si="24"/>
        <v>0.49048528325409668</v>
      </c>
      <c r="H534">
        <f t="shared" ca="1" si="25"/>
        <v>1</v>
      </c>
      <c r="I534">
        <f t="shared" ca="1" si="26"/>
        <v>1</v>
      </c>
    </row>
    <row r="535" spans="7:9">
      <c r="G535">
        <f t="shared" ca="1" si="24"/>
        <v>0.3610278380961669</v>
      </c>
      <c r="H535">
        <f t="shared" ca="1" si="25"/>
        <v>1</v>
      </c>
      <c r="I535">
        <f t="shared" ca="1" si="26"/>
        <v>1</v>
      </c>
    </row>
    <row r="536" spans="7:9">
      <c r="G536">
        <f t="shared" ca="1" si="24"/>
        <v>0.20490535356123185</v>
      </c>
      <c r="H536">
        <f t="shared" ca="1" si="25"/>
        <v>1</v>
      </c>
      <c r="I536">
        <f t="shared" ca="1" si="26"/>
        <v>2</v>
      </c>
    </row>
    <row r="537" spans="7:9">
      <c r="G537">
        <f t="shared" ca="1" si="24"/>
        <v>0.18705824699329765</v>
      </c>
      <c r="H537">
        <f t="shared" ca="1" si="25"/>
        <v>1</v>
      </c>
      <c r="I537">
        <f t="shared" ca="1" si="26"/>
        <v>2</v>
      </c>
    </row>
    <row r="538" spans="7:9">
      <c r="G538">
        <f t="shared" ca="1" si="24"/>
        <v>0.3068800078008741</v>
      </c>
      <c r="H538">
        <f t="shared" ca="1" si="25"/>
        <v>1</v>
      </c>
      <c r="I538">
        <f t="shared" ca="1" si="26"/>
        <v>2</v>
      </c>
    </row>
    <row r="539" spans="7:9">
      <c r="G539">
        <f t="shared" ca="1" si="24"/>
        <v>0.81082483872838285</v>
      </c>
      <c r="H539">
        <f t="shared" ca="1" si="25"/>
        <v>2</v>
      </c>
      <c r="I539">
        <f t="shared" ca="1" si="26"/>
        <v>1</v>
      </c>
    </row>
    <row r="540" spans="7:9">
      <c r="G540">
        <f t="shared" ca="1" si="24"/>
        <v>0.73455769716498887</v>
      </c>
      <c r="H540">
        <f t="shared" ca="1" si="25"/>
        <v>2</v>
      </c>
      <c r="I540">
        <f t="shared" ca="1" si="26"/>
        <v>1</v>
      </c>
    </row>
    <row r="541" spans="7:9">
      <c r="G541">
        <f t="shared" ca="1" si="24"/>
        <v>0.89780768844746284</v>
      </c>
      <c r="H541">
        <f t="shared" ca="1" si="25"/>
        <v>2</v>
      </c>
      <c r="I541">
        <f t="shared" ca="1" si="26"/>
        <v>1</v>
      </c>
    </row>
    <row r="542" spans="7:9">
      <c r="G542">
        <f t="shared" ca="1" si="24"/>
        <v>0.15032310195785348</v>
      </c>
      <c r="H542">
        <f t="shared" ca="1" si="25"/>
        <v>1</v>
      </c>
      <c r="I542">
        <f t="shared" ca="1" si="26"/>
        <v>2</v>
      </c>
    </row>
    <row r="543" spans="7:9">
      <c r="G543">
        <f t="shared" ca="1" si="24"/>
        <v>0.17837986822337903</v>
      </c>
      <c r="H543">
        <f t="shared" ca="1" si="25"/>
        <v>1</v>
      </c>
      <c r="I543">
        <f t="shared" ca="1" si="26"/>
        <v>2</v>
      </c>
    </row>
    <row r="544" spans="7:9">
      <c r="G544">
        <f t="shared" ca="1" si="24"/>
        <v>5.3707285355818257E-2</v>
      </c>
      <c r="H544">
        <f t="shared" ca="1" si="25"/>
        <v>1</v>
      </c>
      <c r="I544">
        <f t="shared" ca="1" si="26"/>
        <v>2</v>
      </c>
    </row>
    <row r="545" spans="7:9">
      <c r="G545">
        <f t="shared" ca="1" si="24"/>
        <v>0.91416169439494788</v>
      </c>
      <c r="H545">
        <f t="shared" ca="1" si="25"/>
        <v>2</v>
      </c>
      <c r="I545">
        <f t="shared" ca="1" si="26"/>
        <v>1</v>
      </c>
    </row>
    <row r="546" spans="7:9">
      <c r="G546">
        <f t="shared" ca="1" si="24"/>
        <v>2.3314965861520043E-2</v>
      </c>
      <c r="H546">
        <f t="shared" ca="1" si="25"/>
        <v>1</v>
      </c>
      <c r="I546">
        <f t="shared" ca="1" si="26"/>
        <v>2</v>
      </c>
    </row>
    <row r="547" spans="7:9">
      <c r="G547">
        <f t="shared" ca="1" si="24"/>
        <v>0.10297200804141149</v>
      </c>
      <c r="H547">
        <f t="shared" ca="1" si="25"/>
        <v>1</v>
      </c>
      <c r="I547">
        <f t="shared" ca="1" si="26"/>
        <v>2</v>
      </c>
    </row>
    <row r="548" spans="7:9">
      <c r="G548">
        <f t="shared" ca="1" si="24"/>
        <v>0.43670119031643395</v>
      </c>
      <c r="H548">
        <f t="shared" ca="1" si="25"/>
        <v>1</v>
      </c>
      <c r="I548">
        <f t="shared" ca="1" si="26"/>
        <v>1</v>
      </c>
    </row>
    <row r="549" spans="7:9">
      <c r="G549">
        <f t="shared" ca="1" si="24"/>
        <v>0.80532321844558707</v>
      </c>
      <c r="H549">
        <f t="shared" ca="1" si="25"/>
        <v>2</v>
      </c>
      <c r="I549">
        <f t="shared" ca="1" si="26"/>
        <v>1</v>
      </c>
    </row>
    <row r="550" spans="7:9">
      <c r="G550">
        <f t="shared" ca="1" si="24"/>
        <v>9.0078691560845581E-2</v>
      </c>
      <c r="H550">
        <f t="shared" ca="1" si="25"/>
        <v>1</v>
      </c>
      <c r="I550">
        <f t="shared" ca="1" si="26"/>
        <v>2</v>
      </c>
    </row>
    <row r="551" spans="7:9">
      <c r="G551">
        <f t="shared" ca="1" si="24"/>
        <v>0.64765711564524886</v>
      </c>
      <c r="H551">
        <f t="shared" ca="1" si="25"/>
        <v>1</v>
      </c>
      <c r="I551">
        <f t="shared" ca="1" si="26"/>
        <v>1</v>
      </c>
    </row>
    <row r="552" spans="7:9">
      <c r="G552">
        <f t="shared" ca="1" si="24"/>
        <v>0.61921371561150784</v>
      </c>
      <c r="H552">
        <f t="shared" ca="1" si="25"/>
        <v>1</v>
      </c>
      <c r="I552">
        <f t="shared" ca="1" si="26"/>
        <v>1</v>
      </c>
    </row>
    <row r="553" spans="7:9">
      <c r="G553">
        <f t="shared" ca="1" si="24"/>
        <v>0.15247309130825981</v>
      </c>
      <c r="H553">
        <f t="shared" ca="1" si="25"/>
        <v>1</v>
      </c>
      <c r="I553">
        <f t="shared" ca="1" si="26"/>
        <v>2</v>
      </c>
    </row>
    <row r="554" spans="7:9">
      <c r="G554">
        <f t="shared" ca="1" si="24"/>
        <v>0.54919196958237959</v>
      </c>
      <c r="H554">
        <f t="shared" ca="1" si="25"/>
        <v>1</v>
      </c>
      <c r="I554">
        <f t="shared" ca="1" si="26"/>
        <v>1</v>
      </c>
    </row>
    <row r="555" spans="7:9">
      <c r="G555">
        <f t="shared" ca="1" si="24"/>
        <v>2.6533062069786673E-2</v>
      </c>
      <c r="H555">
        <f t="shared" ca="1" si="25"/>
        <v>1</v>
      </c>
      <c r="I555">
        <f t="shared" ca="1" si="26"/>
        <v>2</v>
      </c>
    </row>
    <row r="556" spans="7:9">
      <c r="G556">
        <f t="shared" ca="1" si="24"/>
        <v>0.57285328783796341</v>
      </c>
      <c r="H556">
        <f t="shared" ca="1" si="25"/>
        <v>1</v>
      </c>
      <c r="I556">
        <f t="shared" ca="1" si="26"/>
        <v>1</v>
      </c>
    </row>
    <row r="557" spans="7:9">
      <c r="G557">
        <f t="shared" ca="1" si="24"/>
        <v>0.43229970782545413</v>
      </c>
      <c r="H557">
        <f t="shared" ca="1" si="25"/>
        <v>1</v>
      </c>
      <c r="I557">
        <f t="shared" ca="1" si="26"/>
        <v>1</v>
      </c>
    </row>
    <row r="558" spans="7:9">
      <c r="G558">
        <f t="shared" ca="1" si="24"/>
        <v>0.46852803510485408</v>
      </c>
      <c r="H558">
        <f t="shared" ca="1" si="25"/>
        <v>1</v>
      </c>
      <c r="I558">
        <f t="shared" ca="1" si="26"/>
        <v>1</v>
      </c>
    </row>
    <row r="559" spans="7:9">
      <c r="G559">
        <f t="shared" ca="1" si="24"/>
        <v>0.85291167340682161</v>
      </c>
      <c r="H559">
        <f t="shared" ca="1" si="25"/>
        <v>2</v>
      </c>
      <c r="I559">
        <f t="shared" ca="1" si="26"/>
        <v>1</v>
      </c>
    </row>
    <row r="560" spans="7:9">
      <c r="G560">
        <f t="shared" ca="1" si="24"/>
        <v>0.54497034934937338</v>
      </c>
      <c r="H560">
        <f t="shared" ca="1" si="25"/>
        <v>1</v>
      </c>
      <c r="I560">
        <f t="shared" ca="1" si="26"/>
        <v>1</v>
      </c>
    </row>
    <row r="561" spans="7:9">
      <c r="G561">
        <f t="shared" ca="1" si="24"/>
        <v>0.40903827320292074</v>
      </c>
      <c r="H561">
        <f t="shared" ca="1" si="25"/>
        <v>1</v>
      </c>
      <c r="I561">
        <f t="shared" ca="1" si="26"/>
        <v>1</v>
      </c>
    </row>
    <row r="562" spans="7:9">
      <c r="G562">
        <f t="shared" ca="1" si="24"/>
        <v>0.23452120495167927</v>
      </c>
      <c r="H562">
        <f t="shared" ca="1" si="25"/>
        <v>1</v>
      </c>
      <c r="I562">
        <f t="shared" ca="1" si="26"/>
        <v>2</v>
      </c>
    </row>
    <row r="563" spans="7:9">
      <c r="G563">
        <f t="shared" ca="1" si="24"/>
        <v>0.78327819790343856</v>
      </c>
      <c r="H563">
        <f t="shared" ca="1" si="25"/>
        <v>2</v>
      </c>
      <c r="I563">
        <f t="shared" ca="1" si="26"/>
        <v>1</v>
      </c>
    </row>
    <row r="564" spans="7:9">
      <c r="G564">
        <f t="shared" ca="1" si="24"/>
        <v>0.59540440676622652</v>
      </c>
      <c r="H564">
        <f t="shared" ca="1" si="25"/>
        <v>1</v>
      </c>
      <c r="I564">
        <f t="shared" ca="1" si="26"/>
        <v>1</v>
      </c>
    </row>
    <row r="565" spans="7:9">
      <c r="G565">
        <f t="shared" ca="1" si="24"/>
        <v>0.82517159857798217</v>
      </c>
      <c r="H565">
        <f t="shared" ca="1" si="25"/>
        <v>2</v>
      </c>
      <c r="I565">
        <f t="shared" ca="1" si="26"/>
        <v>1</v>
      </c>
    </row>
    <row r="566" spans="7:9">
      <c r="G566">
        <f t="shared" ca="1" si="24"/>
        <v>0.59591129579195923</v>
      </c>
      <c r="H566">
        <f t="shared" ca="1" si="25"/>
        <v>1</v>
      </c>
      <c r="I566">
        <f t="shared" ca="1" si="26"/>
        <v>1</v>
      </c>
    </row>
    <row r="567" spans="7:9">
      <c r="G567">
        <f t="shared" ca="1" si="24"/>
        <v>0.61690942495318934</v>
      </c>
      <c r="H567">
        <f t="shared" ca="1" si="25"/>
        <v>1</v>
      </c>
      <c r="I567">
        <f t="shared" ca="1" si="26"/>
        <v>1</v>
      </c>
    </row>
    <row r="568" spans="7:9">
      <c r="G568">
        <f t="shared" ca="1" si="24"/>
        <v>0.83553142335525654</v>
      </c>
      <c r="H568">
        <f t="shared" ca="1" si="25"/>
        <v>2</v>
      </c>
      <c r="I568">
        <f t="shared" ca="1" si="26"/>
        <v>1</v>
      </c>
    </row>
    <row r="569" spans="7:9">
      <c r="G569">
        <f t="shared" ca="1" si="24"/>
        <v>0.63853941145042414</v>
      </c>
      <c r="H569">
        <f t="shared" ca="1" si="25"/>
        <v>1</v>
      </c>
      <c r="I569">
        <f t="shared" ca="1" si="26"/>
        <v>1</v>
      </c>
    </row>
    <row r="570" spans="7:9">
      <c r="G570">
        <f t="shared" ca="1" si="24"/>
        <v>0.56176696427011208</v>
      </c>
      <c r="H570">
        <f t="shared" ca="1" si="25"/>
        <v>1</v>
      </c>
      <c r="I570">
        <f t="shared" ca="1" si="26"/>
        <v>1</v>
      </c>
    </row>
    <row r="571" spans="7:9">
      <c r="G571">
        <f t="shared" ca="1" si="24"/>
        <v>0.91521633534301683</v>
      </c>
      <c r="H571">
        <f t="shared" ca="1" si="25"/>
        <v>2</v>
      </c>
      <c r="I571">
        <f t="shared" ca="1" si="26"/>
        <v>1</v>
      </c>
    </row>
    <row r="572" spans="7:9">
      <c r="G572">
        <f t="shared" ca="1" si="24"/>
        <v>0.39937805062638054</v>
      </c>
      <c r="H572">
        <f t="shared" ca="1" si="25"/>
        <v>1</v>
      </c>
      <c r="I572">
        <f t="shared" ca="1" si="26"/>
        <v>1</v>
      </c>
    </row>
    <row r="573" spans="7:9">
      <c r="G573">
        <f t="shared" ca="1" si="24"/>
        <v>3.4666665787280726E-3</v>
      </c>
      <c r="H573">
        <f t="shared" ca="1" si="25"/>
        <v>1</v>
      </c>
      <c r="I573">
        <f t="shared" ca="1" si="26"/>
        <v>2</v>
      </c>
    </row>
    <row r="574" spans="7:9">
      <c r="G574">
        <f t="shared" ca="1" si="24"/>
        <v>0.88262108353252156</v>
      </c>
      <c r="H574">
        <f t="shared" ca="1" si="25"/>
        <v>2</v>
      </c>
      <c r="I574">
        <f t="shared" ca="1" si="26"/>
        <v>1</v>
      </c>
    </row>
    <row r="575" spans="7:9">
      <c r="G575">
        <f t="shared" ca="1" si="24"/>
        <v>1.8868371337589784E-2</v>
      </c>
      <c r="H575">
        <f t="shared" ca="1" si="25"/>
        <v>1</v>
      </c>
      <c r="I575">
        <f t="shared" ca="1" si="26"/>
        <v>2</v>
      </c>
    </row>
    <row r="576" spans="7:9">
      <c r="G576">
        <f t="shared" ca="1" si="24"/>
        <v>0.55302416646435804</v>
      </c>
      <c r="H576">
        <f t="shared" ca="1" si="25"/>
        <v>1</v>
      </c>
      <c r="I576">
        <f t="shared" ca="1" si="26"/>
        <v>1</v>
      </c>
    </row>
    <row r="577" spans="7:9">
      <c r="G577">
        <f t="shared" ca="1" si="24"/>
        <v>0.90097718091734136</v>
      </c>
      <c r="H577">
        <f t="shared" ca="1" si="25"/>
        <v>2</v>
      </c>
      <c r="I577">
        <f t="shared" ca="1" si="26"/>
        <v>1</v>
      </c>
    </row>
    <row r="578" spans="7:9">
      <c r="G578">
        <f t="shared" ca="1" si="24"/>
        <v>0.76546639072357125</v>
      </c>
      <c r="H578">
        <f t="shared" ca="1" si="25"/>
        <v>2</v>
      </c>
      <c r="I578">
        <f t="shared" ca="1" si="26"/>
        <v>1</v>
      </c>
    </row>
    <row r="579" spans="7:9">
      <c r="G579">
        <f t="shared" ca="1" si="24"/>
        <v>0.47997809130678348</v>
      </c>
      <c r="H579">
        <f t="shared" ca="1" si="25"/>
        <v>1</v>
      </c>
      <c r="I579">
        <f t="shared" ca="1" si="26"/>
        <v>1</v>
      </c>
    </row>
    <row r="580" spans="7:9">
      <c r="G580">
        <f t="shared" ca="1" si="24"/>
        <v>0.80451803449030246</v>
      </c>
      <c r="H580">
        <f t="shared" ca="1" si="25"/>
        <v>2</v>
      </c>
      <c r="I580">
        <f t="shared" ca="1" si="26"/>
        <v>1</v>
      </c>
    </row>
    <row r="581" spans="7:9">
      <c r="G581">
        <f t="shared" ref="G581:G644" ca="1" si="27">RAND()</f>
        <v>0.48704518402704167</v>
      </c>
      <c r="H581">
        <f t="shared" ref="H581:H644" ca="1" si="28">IF(G581&lt;0.66,1,2)</f>
        <v>1</v>
      </c>
      <c r="I581">
        <f t="shared" ref="I581:I644" ca="1" si="29">IF(G581&lt;0.33,2,1)</f>
        <v>1</v>
      </c>
    </row>
    <row r="582" spans="7:9">
      <c r="G582">
        <f t="shared" ca="1" si="27"/>
        <v>0.31158538536561442</v>
      </c>
      <c r="H582">
        <f t="shared" ca="1" si="28"/>
        <v>1</v>
      </c>
      <c r="I582">
        <f t="shared" ca="1" si="29"/>
        <v>2</v>
      </c>
    </row>
    <row r="583" spans="7:9">
      <c r="G583">
        <f t="shared" ca="1" si="27"/>
        <v>0.66992748702012728</v>
      </c>
      <c r="H583">
        <f t="shared" ca="1" si="28"/>
        <v>2</v>
      </c>
      <c r="I583">
        <f t="shared" ca="1" si="29"/>
        <v>1</v>
      </c>
    </row>
    <row r="584" spans="7:9">
      <c r="G584">
        <f t="shared" ca="1" si="27"/>
        <v>0.74377157529718807</v>
      </c>
      <c r="H584">
        <f t="shared" ca="1" si="28"/>
        <v>2</v>
      </c>
      <c r="I584">
        <f t="shared" ca="1" si="29"/>
        <v>1</v>
      </c>
    </row>
    <row r="585" spans="7:9">
      <c r="G585">
        <f t="shared" ca="1" si="27"/>
        <v>0.31144859328602392</v>
      </c>
      <c r="H585">
        <f t="shared" ca="1" si="28"/>
        <v>1</v>
      </c>
      <c r="I585">
        <f t="shared" ca="1" si="29"/>
        <v>2</v>
      </c>
    </row>
    <row r="586" spans="7:9">
      <c r="G586">
        <f t="shared" ca="1" si="27"/>
        <v>0.73254108000117124</v>
      </c>
      <c r="H586">
        <f t="shared" ca="1" si="28"/>
        <v>2</v>
      </c>
      <c r="I586">
        <f t="shared" ca="1" si="29"/>
        <v>1</v>
      </c>
    </row>
    <row r="587" spans="7:9">
      <c r="G587">
        <f t="shared" ca="1" si="27"/>
        <v>0.91380375383539769</v>
      </c>
      <c r="H587">
        <f t="shared" ca="1" si="28"/>
        <v>2</v>
      </c>
      <c r="I587">
        <f t="shared" ca="1" si="29"/>
        <v>1</v>
      </c>
    </row>
    <row r="588" spans="7:9">
      <c r="G588">
        <f t="shared" ca="1" si="27"/>
        <v>0.33084870803297495</v>
      </c>
      <c r="H588">
        <f t="shared" ca="1" si="28"/>
        <v>1</v>
      </c>
      <c r="I588">
        <f t="shared" ca="1" si="29"/>
        <v>1</v>
      </c>
    </row>
    <row r="589" spans="7:9">
      <c r="G589">
        <f t="shared" ca="1" si="27"/>
        <v>0.55235674026959181</v>
      </c>
      <c r="H589">
        <f t="shared" ca="1" si="28"/>
        <v>1</v>
      </c>
      <c r="I589">
        <f t="shared" ca="1" si="29"/>
        <v>1</v>
      </c>
    </row>
    <row r="590" spans="7:9">
      <c r="G590">
        <f t="shared" ca="1" si="27"/>
        <v>0.65586146046618221</v>
      </c>
      <c r="H590">
        <f t="shared" ca="1" si="28"/>
        <v>1</v>
      </c>
      <c r="I590">
        <f t="shared" ca="1" si="29"/>
        <v>1</v>
      </c>
    </row>
    <row r="591" spans="7:9">
      <c r="G591">
        <f t="shared" ca="1" si="27"/>
        <v>0.41069597504040078</v>
      </c>
      <c r="H591">
        <f t="shared" ca="1" si="28"/>
        <v>1</v>
      </c>
      <c r="I591">
        <f t="shared" ca="1" si="29"/>
        <v>1</v>
      </c>
    </row>
    <row r="592" spans="7:9">
      <c r="G592">
        <f t="shared" ca="1" si="27"/>
        <v>0.73268872839729904</v>
      </c>
      <c r="H592">
        <f t="shared" ca="1" si="28"/>
        <v>2</v>
      </c>
      <c r="I592">
        <f t="shared" ca="1" si="29"/>
        <v>1</v>
      </c>
    </row>
    <row r="593" spans="7:9">
      <c r="G593">
        <f t="shared" ca="1" si="27"/>
        <v>0.75353814006783382</v>
      </c>
      <c r="H593">
        <f t="shared" ca="1" si="28"/>
        <v>2</v>
      </c>
      <c r="I593">
        <f t="shared" ca="1" si="29"/>
        <v>1</v>
      </c>
    </row>
    <row r="594" spans="7:9">
      <c r="G594">
        <f t="shared" ca="1" si="27"/>
        <v>7.9348858980382131E-2</v>
      </c>
      <c r="H594">
        <f t="shared" ca="1" si="28"/>
        <v>1</v>
      </c>
      <c r="I594">
        <f t="shared" ca="1" si="29"/>
        <v>2</v>
      </c>
    </row>
    <row r="595" spans="7:9">
      <c r="G595">
        <f t="shared" ca="1" si="27"/>
        <v>0.25337276500992389</v>
      </c>
      <c r="H595">
        <f t="shared" ca="1" si="28"/>
        <v>1</v>
      </c>
      <c r="I595">
        <f t="shared" ca="1" si="29"/>
        <v>2</v>
      </c>
    </row>
    <row r="596" spans="7:9">
      <c r="G596">
        <f t="shared" ca="1" si="27"/>
        <v>0.40818258340587243</v>
      </c>
      <c r="H596">
        <f t="shared" ca="1" si="28"/>
        <v>1</v>
      </c>
      <c r="I596">
        <f t="shared" ca="1" si="29"/>
        <v>1</v>
      </c>
    </row>
    <row r="597" spans="7:9">
      <c r="G597">
        <f t="shared" ca="1" si="27"/>
        <v>6.0624695289140162E-2</v>
      </c>
      <c r="H597">
        <f t="shared" ca="1" si="28"/>
        <v>1</v>
      </c>
      <c r="I597">
        <f t="shared" ca="1" si="29"/>
        <v>2</v>
      </c>
    </row>
    <row r="598" spans="7:9">
      <c r="G598">
        <f t="shared" ca="1" si="27"/>
        <v>0.60511442585027009</v>
      </c>
      <c r="H598">
        <f t="shared" ca="1" si="28"/>
        <v>1</v>
      </c>
      <c r="I598">
        <f t="shared" ca="1" si="29"/>
        <v>1</v>
      </c>
    </row>
    <row r="599" spans="7:9">
      <c r="G599">
        <f t="shared" ca="1" si="27"/>
        <v>0.8076122044954418</v>
      </c>
      <c r="H599">
        <f t="shared" ca="1" si="28"/>
        <v>2</v>
      </c>
      <c r="I599">
        <f t="shared" ca="1" si="29"/>
        <v>1</v>
      </c>
    </row>
    <row r="600" spans="7:9">
      <c r="G600">
        <f t="shared" ca="1" si="27"/>
        <v>0.45387807866158714</v>
      </c>
      <c r="H600">
        <f t="shared" ca="1" si="28"/>
        <v>1</v>
      </c>
      <c r="I600">
        <f t="shared" ca="1" si="29"/>
        <v>1</v>
      </c>
    </row>
    <row r="601" spans="7:9">
      <c r="G601">
        <f t="shared" ca="1" si="27"/>
        <v>0.6676230677903372</v>
      </c>
      <c r="H601">
        <f t="shared" ca="1" si="28"/>
        <v>2</v>
      </c>
      <c r="I601">
        <f t="shared" ca="1" si="29"/>
        <v>1</v>
      </c>
    </row>
    <row r="602" spans="7:9">
      <c r="G602">
        <f t="shared" ca="1" si="27"/>
        <v>0.36632537699855316</v>
      </c>
      <c r="H602">
        <f t="shared" ca="1" si="28"/>
        <v>1</v>
      </c>
      <c r="I602">
        <f t="shared" ca="1" si="29"/>
        <v>1</v>
      </c>
    </row>
    <row r="603" spans="7:9">
      <c r="G603">
        <f t="shared" ca="1" si="27"/>
        <v>0.52880822718431764</v>
      </c>
      <c r="H603">
        <f t="shared" ca="1" si="28"/>
        <v>1</v>
      </c>
      <c r="I603">
        <f t="shared" ca="1" si="29"/>
        <v>1</v>
      </c>
    </row>
    <row r="604" spans="7:9">
      <c r="G604">
        <f t="shared" ca="1" si="27"/>
        <v>0.4041499113261392</v>
      </c>
      <c r="H604">
        <f t="shared" ca="1" si="28"/>
        <v>1</v>
      </c>
      <c r="I604">
        <f t="shared" ca="1" si="29"/>
        <v>1</v>
      </c>
    </row>
    <row r="605" spans="7:9">
      <c r="G605">
        <f t="shared" ca="1" si="27"/>
        <v>0.26379280053301568</v>
      </c>
      <c r="H605">
        <f t="shared" ca="1" si="28"/>
        <v>1</v>
      </c>
      <c r="I605">
        <f t="shared" ca="1" si="29"/>
        <v>2</v>
      </c>
    </row>
    <row r="606" spans="7:9">
      <c r="G606">
        <f t="shared" ca="1" si="27"/>
        <v>0.72196985358416776</v>
      </c>
      <c r="H606">
        <f t="shared" ca="1" si="28"/>
        <v>2</v>
      </c>
      <c r="I606">
        <f t="shared" ca="1" si="29"/>
        <v>1</v>
      </c>
    </row>
    <row r="607" spans="7:9">
      <c r="G607">
        <f t="shared" ca="1" si="27"/>
        <v>3.9896672356454221E-3</v>
      </c>
      <c r="H607">
        <f t="shared" ca="1" si="28"/>
        <v>1</v>
      </c>
      <c r="I607">
        <f t="shared" ca="1" si="29"/>
        <v>2</v>
      </c>
    </row>
    <row r="608" spans="7:9">
      <c r="G608">
        <f t="shared" ca="1" si="27"/>
        <v>1.2018107704308001E-2</v>
      </c>
      <c r="H608">
        <f t="shared" ca="1" si="28"/>
        <v>1</v>
      </c>
      <c r="I608">
        <f t="shared" ca="1" si="29"/>
        <v>2</v>
      </c>
    </row>
    <row r="609" spans="7:9">
      <c r="G609">
        <f t="shared" ca="1" si="27"/>
        <v>0.89819786989196371</v>
      </c>
      <c r="H609">
        <f t="shared" ca="1" si="28"/>
        <v>2</v>
      </c>
      <c r="I609">
        <f t="shared" ca="1" si="29"/>
        <v>1</v>
      </c>
    </row>
    <row r="610" spans="7:9">
      <c r="G610">
        <f t="shared" ca="1" si="27"/>
        <v>0.82440450912327745</v>
      </c>
      <c r="H610">
        <f t="shared" ca="1" si="28"/>
        <v>2</v>
      </c>
      <c r="I610">
        <f t="shared" ca="1" si="29"/>
        <v>1</v>
      </c>
    </row>
    <row r="611" spans="7:9">
      <c r="G611">
        <f t="shared" ca="1" si="27"/>
        <v>0.18230445205279466</v>
      </c>
      <c r="H611">
        <f t="shared" ca="1" si="28"/>
        <v>1</v>
      </c>
      <c r="I611">
        <f t="shared" ca="1" si="29"/>
        <v>2</v>
      </c>
    </row>
    <row r="612" spans="7:9">
      <c r="G612">
        <f t="shared" ca="1" si="27"/>
        <v>0.65569615606462028</v>
      </c>
      <c r="H612">
        <f t="shared" ca="1" si="28"/>
        <v>1</v>
      </c>
      <c r="I612">
        <f t="shared" ca="1" si="29"/>
        <v>1</v>
      </c>
    </row>
    <row r="613" spans="7:9">
      <c r="G613">
        <f t="shared" ca="1" si="27"/>
        <v>0.67564040347781928</v>
      </c>
      <c r="H613">
        <f t="shared" ca="1" si="28"/>
        <v>2</v>
      </c>
      <c r="I613">
        <f t="shared" ca="1" si="29"/>
        <v>1</v>
      </c>
    </row>
    <row r="614" spans="7:9">
      <c r="G614">
        <f t="shared" ca="1" si="27"/>
        <v>8.3629965204852663E-2</v>
      </c>
      <c r="H614">
        <f t="shared" ca="1" si="28"/>
        <v>1</v>
      </c>
      <c r="I614">
        <f t="shared" ca="1" si="29"/>
        <v>2</v>
      </c>
    </row>
    <row r="615" spans="7:9">
      <c r="G615">
        <f t="shared" ca="1" si="27"/>
        <v>0.28192325994846257</v>
      </c>
      <c r="H615">
        <f t="shared" ca="1" si="28"/>
        <v>1</v>
      </c>
      <c r="I615">
        <f t="shared" ca="1" si="29"/>
        <v>2</v>
      </c>
    </row>
    <row r="616" spans="7:9">
      <c r="G616">
        <f t="shared" ca="1" si="27"/>
        <v>0.3212247751444256</v>
      </c>
      <c r="H616">
        <f t="shared" ca="1" si="28"/>
        <v>1</v>
      </c>
      <c r="I616">
        <f t="shared" ca="1" si="29"/>
        <v>2</v>
      </c>
    </row>
    <row r="617" spans="7:9">
      <c r="G617">
        <f t="shared" ca="1" si="27"/>
        <v>0.57583080341205206</v>
      </c>
      <c r="H617">
        <f t="shared" ca="1" si="28"/>
        <v>1</v>
      </c>
      <c r="I617">
        <f t="shared" ca="1" si="29"/>
        <v>1</v>
      </c>
    </row>
    <row r="618" spans="7:9">
      <c r="G618">
        <f t="shared" ca="1" si="27"/>
        <v>0.16813272802085666</v>
      </c>
      <c r="H618">
        <f t="shared" ca="1" si="28"/>
        <v>1</v>
      </c>
      <c r="I618">
        <f t="shared" ca="1" si="29"/>
        <v>2</v>
      </c>
    </row>
    <row r="619" spans="7:9">
      <c r="G619">
        <f t="shared" ca="1" si="27"/>
        <v>0.6728749152253034</v>
      </c>
      <c r="H619">
        <f t="shared" ca="1" si="28"/>
        <v>2</v>
      </c>
      <c r="I619">
        <f t="shared" ca="1" si="29"/>
        <v>1</v>
      </c>
    </row>
    <row r="620" spans="7:9">
      <c r="G620">
        <f t="shared" ca="1" si="27"/>
        <v>0.33402746434279174</v>
      </c>
      <c r="H620">
        <f t="shared" ca="1" si="28"/>
        <v>1</v>
      </c>
      <c r="I620">
        <f t="shared" ca="1" si="29"/>
        <v>1</v>
      </c>
    </row>
    <row r="621" spans="7:9">
      <c r="G621">
        <f t="shared" ca="1" si="27"/>
        <v>0.66692783371097542</v>
      </c>
      <c r="H621">
        <f t="shared" ca="1" si="28"/>
        <v>2</v>
      </c>
      <c r="I621">
        <f t="shared" ca="1" si="29"/>
        <v>1</v>
      </c>
    </row>
    <row r="622" spans="7:9">
      <c r="G622">
        <f t="shared" ca="1" si="27"/>
        <v>0.92666470480075647</v>
      </c>
      <c r="H622">
        <f t="shared" ca="1" si="28"/>
        <v>2</v>
      </c>
      <c r="I622">
        <f t="shared" ca="1" si="29"/>
        <v>1</v>
      </c>
    </row>
    <row r="623" spans="7:9">
      <c r="G623">
        <f t="shared" ca="1" si="27"/>
        <v>0.27988561700095826</v>
      </c>
      <c r="H623">
        <f t="shared" ca="1" si="28"/>
        <v>1</v>
      </c>
      <c r="I623">
        <f t="shared" ca="1" si="29"/>
        <v>2</v>
      </c>
    </row>
    <row r="624" spans="7:9">
      <c r="G624">
        <f t="shared" ca="1" si="27"/>
        <v>0.13493427781905953</v>
      </c>
      <c r="H624">
        <f t="shared" ca="1" si="28"/>
        <v>1</v>
      </c>
      <c r="I624">
        <f t="shared" ca="1" si="29"/>
        <v>2</v>
      </c>
    </row>
    <row r="625" spans="7:9">
      <c r="G625">
        <f t="shared" ca="1" si="27"/>
        <v>0.46407475302006218</v>
      </c>
      <c r="H625">
        <f t="shared" ca="1" si="28"/>
        <v>1</v>
      </c>
      <c r="I625">
        <f t="shared" ca="1" si="29"/>
        <v>1</v>
      </c>
    </row>
    <row r="626" spans="7:9">
      <c r="G626">
        <f t="shared" ca="1" si="27"/>
        <v>7.3894638377324018E-2</v>
      </c>
      <c r="H626">
        <f t="shared" ca="1" si="28"/>
        <v>1</v>
      </c>
      <c r="I626">
        <f t="shared" ca="1" si="29"/>
        <v>2</v>
      </c>
    </row>
    <row r="627" spans="7:9">
      <c r="G627">
        <f t="shared" ca="1" si="27"/>
        <v>0.30903899108276955</v>
      </c>
      <c r="H627">
        <f t="shared" ca="1" si="28"/>
        <v>1</v>
      </c>
      <c r="I627">
        <f t="shared" ca="1" si="29"/>
        <v>2</v>
      </c>
    </row>
    <row r="628" spans="7:9">
      <c r="G628">
        <f t="shared" ca="1" si="27"/>
        <v>0.87915159806201104</v>
      </c>
      <c r="H628">
        <f t="shared" ca="1" si="28"/>
        <v>2</v>
      </c>
      <c r="I628">
        <f t="shared" ca="1" si="29"/>
        <v>1</v>
      </c>
    </row>
    <row r="629" spans="7:9">
      <c r="G629">
        <f t="shared" ca="1" si="27"/>
        <v>0.42760096054182217</v>
      </c>
      <c r="H629">
        <f t="shared" ca="1" si="28"/>
        <v>1</v>
      </c>
      <c r="I629">
        <f t="shared" ca="1" si="29"/>
        <v>1</v>
      </c>
    </row>
    <row r="630" spans="7:9">
      <c r="G630">
        <f t="shared" ca="1" si="27"/>
        <v>0.57602119127974083</v>
      </c>
      <c r="H630">
        <f t="shared" ca="1" si="28"/>
        <v>1</v>
      </c>
      <c r="I630">
        <f t="shared" ca="1" si="29"/>
        <v>1</v>
      </c>
    </row>
    <row r="631" spans="7:9">
      <c r="G631">
        <f t="shared" ca="1" si="27"/>
        <v>0.14214130987542406</v>
      </c>
      <c r="H631">
        <f t="shared" ca="1" si="28"/>
        <v>1</v>
      </c>
      <c r="I631">
        <f t="shared" ca="1" si="29"/>
        <v>2</v>
      </c>
    </row>
    <row r="632" spans="7:9">
      <c r="G632">
        <f t="shared" ca="1" si="27"/>
        <v>0.24225526090374294</v>
      </c>
      <c r="H632">
        <f t="shared" ca="1" si="28"/>
        <v>1</v>
      </c>
      <c r="I632">
        <f t="shared" ca="1" si="29"/>
        <v>2</v>
      </c>
    </row>
    <row r="633" spans="7:9">
      <c r="G633">
        <f t="shared" ca="1" si="27"/>
        <v>0.74819597272351879</v>
      </c>
      <c r="H633">
        <f t="shared" ca="1" si="28"/>
        <v>2</v>
      </c>
      <c r="I633">
        <f t="shared" ca="1" si="29"/>
        <v>1</v>
      </c>
    </row>
    <row r="634" spans="7:9">
      <c r="G634">
        <f t="shared" ca="1" si="27"/>
        <v>0.13008157865740877</v>
      </c>
      <c r="H634">
        <f t="shared" ca="1" si="28"/>
        <v>1</v>
      </c>
      <c r="I634">
        <f t="shared" ca="1" si="29"/>
        <v>2</v>
      </c>
    </row>
    <row r="635" spans="7:9">
      <c r="G635">
        <f t="shared" ca="1" si="27"/>
        <v>6.4357590770360629E-2</v>
      </c>
      <c r="H635">
        <f t="shared" ca="1" si="28"/>
        <v>1</v>
      </c>
      <c r="I635">
        <f t="shared" ca="1" si="29"/>
        <v>2</v>
      </c>
    </row>
    <row r="636" spans="7:9">
      <c r="G636">
        <f t="shared" ca="1" si="27"/>
        <v>0.29363200113224541</v>
      </c>
      <c r="H636">
        <f t="shared" ca="1" si="28"/>
        <v>1</v>
      </c>
      <c r="I636">
        <f t="shared" ca="1" si="29"/>
        <v>2</v>
      </c>
    </row>
    <row r="637" spans="7:9">
      <c r="G637">
        <f t="shared" ca="1" si="27"/>
        <v>0.96534218444924336</v>
      </c>
      <c r="H637">
        <f t="shared" ca="1" si="28"/>
        <v>2</v>
      </c>
      <c r="I637">
        <f t="shared" ca="1" si="29"/>
        <v>1</v>
      </c>
    </row>
    <row r="638" spans="7:9">
      <c r="G638">
        <f t="shared" ca="1" si="27"/>
        <v>0.9511011204310752</v>
      </c>
      <c r="H638">
        <f t="shared" ca="1" si="28"/>
        <v>2</v>
      </c>
      <c r="I638">
        <f t="shared" ca="1" si="29"/>
        <v>1</v>
      </c>
    </row>
    <row r="639" spans="7:9">
      <c r="G639">
        <f t="shared" ca="1" si="27"/>
        <v>0.74812701110599111</v>
      </c>
      <c r="H639">
        <f t="shared" ca="1" si="28"/>
        <v>2</v>
      </c>
      <c r="I639">
        <f t="shared" ca="1" si="29"/>
        <v>1</v>
      </c>
    </row>
    <row r="640" spans="7:9">
      <c r="G640">
        <f t="shared" ca="1" si="27"/>
        <v>0.28990734664528106</v>
      </c>
      <c r="H640">
        <f t="shared" ca="1" si="28"/>
        <v>1</v>
      </c>
      <c r="I640">
        <f t="shared" ca="1" si="29"/>
        <v>2</v>
      </c>
    </row>
    <row r="641" spans="7:9">
      <c r="G641">
        <f t="shared" ca="1" si="27"/>
        <v>0.7124362595890068</v>
      </c>
      <c r="H641">
        <f t="shared" ca="1" si="28"/>
        <v>2</v>
      </c>
      <c r="I641">
        <f t="shared" ca="1" si="29"/>
        <v>1</v>
      </c>
    </row>
    <row r="642" spans="7:9">
      <c r="G642">
        <f t="shared" ca="1" si="27"/>
        <v>0.65600295108479423</v>
      </c>
      <c r="H642">
        <f t="shared" ca="1" si="28"/>
        <v>1</v>
      </c>
      <c r="I642">
        <f t="shared" ca="1" si="29"/>
        <v>1</v>
      </c>
    </row>
    <row r="643" spans="7:9">
      <c r="G643">
        <f t="shared" ca="1" si="27"/>
        <v>0.96917394207257712</v>
      </c>
      <c r="H643">
        <f t="shared" ca="1" si="28"/>
        <v>2</v>
      </c>
      <c r="I643">
        <f t="shared" ca="1" si="29"/>
        <v>1</v>
      </c>
    </row>
    <row r="644" spans="7:9">
      <c r="G644">
        <f t="shared" ca="1" si="27"/>
        <v>0.73078076599261721</v>
      </c>
      <c r="H644">
        <f t="shared" ca="1" si="28"/>
        <v>2</v>
      </c>
      <c r="I644">
        <f t="shared" ca="1" si="29"/>
        <v>1</v>
      </c>
    </row>
    <row r="645" spans="7:9">
      <c r="G645">
        <f ca="1">RAND()</f>
        <v>0.19370377851049581</v>
      </c>
      <c r="H645">
        <f ca="1">IF(G645&lt;0.66,1,2)</f>
        <v>1</v>
      </c>
      <c r="I645">
        <f ca="1">IF(G645&lt;0.33,2,1)</f>
        <v>2</v>
      </c>
    </row>
  </sheetData>
  <mergeCells count="4">
    <mergeCell ref="A11:A12"/>
    <mergeCell ref="A13:A14"/>
    <mergeCell ref="A15:A29"/>
    <mergeCell ref="A35:A38"/>
  </mergeCells>
  <phoneticPr fontId="3" type="noConversion"/>
  <conditionalFormatting sqref="B2 B6:B7 B10">
    <cfRule type="cellIs" dxfId="35" priority="1" stopIfTrue="1" operator="between">
      <formula>1</formula>
      <formula>1</formula>
    </cfRule>
  </conditionalFormatting>
  <conditionalFormatting sqref="B3:B5 B33">
    <cfRule type="cellIs" dxfId="34" priority="2" stopIfTrue="1" operator="equal">
      <formula>1</formula>
    </cfRule>
  </conditionalFormatting>
  <conditionalFormatting sqref="B9">
    <cfRule type="expression" dxfId="33" priority="3" stopIfTrue="1">
      <formula>"A21=2"</formula>
    </cfRule>
  </conditionalFormatting>
  <pageMargins left="0.75" right="0.75" top="1" bottom="1" header="0" footer="0"/>
  <headerFooter alignWithMargins="0"/>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BE502"/>
  <sheetViews>
    <sheetView zoomScale="110" zoomScaleNormal="110" workbookViewId="0">
      <pane xSplit="1" ySplit="2" topLeftCell="AO3" activePane="bottomRight" state="frozenSplit"/>
      <selection activeCell="C45" sqref="C45"/>
      <selection pane="topRight" activeCell="C45" sqref="C45"/>
      <selection pane="bottomLeft" activeCell="C45" sqref="C45"/>
      <selection pane="bottomRight" activeCell="K9" sqref="K9"/>
    </sheetView>
  </sheetViews>
  <sheetFormatPr defaultColWidth="11.453125" defaultRowHeight="12.5"/>
  <cols>
    <col min="1" max="1" width="4" style="48" customWidth="1"/>
    <col min="2" max="2" width="21.7265625" style="75" customWidth="1"/>
    <col min="3" max="3" width="6.81640625" style="80" customWidth="1"/>
    <col min="4" max="4" width="20.453125" style="77" customWidth="1"/>
    <col min="5" max="5" width="71.7265625" style="77" customWidth="1"/>
    <col min="6" max="6" width="34.26953125" style="94" customWidth="1"/>
    <col min="7" max="7" width="30.1796875" style="75" customWidth="1"/>
    <col min="8" max="8" width="41.26953125" style="75" customWidth="1"/>
    <col min="9" max="9" width="38.7265625" style="75" customWidth="1"/>
    <col min="10" max="10" width="21.7265625" style="96" customWidth="1"/>
    <col min="11" max="11" width="18.7265625" style="96" bestFit="1" customWidth="1"/>
    <col min="12" max="12" width="7.54296875" style="75" bestFit="1" customWidth="1"/>
    <col min="13" max="13" width="14.453125" style="96" bestFit="1" customWidth="1"/>
    <col min="14" max="14" width="42.26953125" style="208" bestFit="1" customWidth="1"/>
    <col min="15" max="15" width="17" style="74" bestFit="1" customWidth="1"/>
    <col min="16" max="16" width="16.453125" style="74" bestFit="1" customWidth="1"/>
    <col min="17" max="17" width="33.1796875" style="96" bestFit="1" customWidth="1"/>
    <col min="18" max="18" width="23.54296875" style="97" bestFit="1" customWidth="1"/>
    <col min="19" max="19" width="10.90625"/>
    <col min="20" max="20" width="11.81640625" style="70" customWidth="1"/>
    <col min="21" max="21" width="4" style="72" bestFit="1" customWidth="1"/>
    <col min="22" max="22" width="15.81640625" style="161" bestFit="1" customWidth="1"/>
    <col min="23" max="23" width="15.1796875" style="49" bestFit="1" customWidth="1"/>
    <col min="24" max="24" width="27.81640625" style="49" bestFit="1" customWidth="1"/>
    <col min="25" max="25" width="29.81640625" style="49" bestFit="1" customWidth="1"/>
    <col min="26" max="26" width="11.453125" style="49"/>
    <col min="27" max="27" width="19.1796875" style="49" bestFit="1" customWidth="1"/>
    <col min="28" max="28" width="19.1796875" style="49" customWidth="1"/>
    <col min="29" max="29" width="107.1796875" style="176" bestFit="1" customWidth="1"/>
    <col min="30" max="31" width="19.1796875" style="49" customWidth="1"/>
    <col min="32" max="32" width="49.54296875" style="49" bestFit="1" customWidth="1"/>
    <col min="33" max="33" width="33.7265625" style="49" bestFit="1" customWidth="1"/>
    <col min="34" max="34" width="30.26953125" style="48" bestFit="1" customWidth="1"/>
    <col min="35" max="35" width="7.1796875" style="48" bestFit="1" customWidth="1"/>
    <col min="36" max="36" width="11.54296875" style="48" customWidth="1"/>
    <col min="37" max="37" width="35.1796875" style="48" customWidth="1"/>
    <col min="38" max="38" width="17.7265625" style="48" bestFit="1" customWidth="1"/>
    <col min="39" max="39" width="11.453125" style="48"/>
    <col min="40" max="41" width="19.1796875" style="48" customWidth="1"/>
    <col min="42" max="50" width="11.453125" style="48"/>
    <col min="51" max="51" width="14.453125" style="48" bestFit="1" customWidth="1"/>
    <col min="52" max="52" width="18" style="48" bestFit="1" customWidth="1"/>
    <col min="53" max="16384" width="11.453125" style="48"/>
  </cols>
  <sheetData>
    <row r="1" spans="1:57">
      <c r="B1" s="676" t="s">
        <v>48</v>
      </c>
      <c r="C1" s="678" t="s">
        <v>52</v>
      </c>
      <c r="D1" s="586"/>
      <c r="E1" s="586"/>
      <c r="F1" s="586"/>
      <c r="G1" s="586"/>
      <c r="H1" s="586"/>
      <c r="I1" s="679"/>
      <c r="J1" s="683" t="s">
        <v>81</v>
      </c>
      <c r="K1" s="683" t="s">
        <v>82</v>
      </c>
      <c r="N1" s="680" t="s">
        <v>45</v>
      </c>
      <c r="O1" s="681"/>
      <c r="P1" s="681"/>
      <c r="Q1" s="681"/>
      <c r="R1" s="95"/>
      <c r="T1" s="685" t="s">
        <v>40</v>
      </c>
      <c r="U1" s="686"/>
      <c r="V1" s="682" t="s">
        <v>38</v>
      </c>
      <c r="W1" s="681"/>
      <c r="X1" s="682" t="s">
        <v>35</v>
      </c>
      <c r="Y1" s="682"/>
      <c r="AA1" s="675" t="s">
        <v>125</v>
      </c>
      <c r="AB1" s="675"/>
      <c r="AC1" s="675"/>
      <c r="AD1" s="675"/>
      <c r="AE1" s="675"/>
      <c r="AF1" s="675"/>
      <c r="AG1" s="485" t="s">
        <v>141</v>
      </c>
      <c r="AW1" s="48" t="s">
        <v>189</v>
      </c>
      <c r="AX1" s="48" t="s">
        <v>188</v>
      </c>
      <c r="AY1" s="48" t="s">
        <v>46</v>
      </c>
      <c r="AZ1" s="48" t="s">
        <v>187</v>
      </c>
      <c r="BA1" s="48" t="s">
        <v>12</v>
      </c>
    </row>
    <row r="2" spans="1:57">
      <c r="B2" s="677"/>
      <c r="C2" s="80" t="s">
        <v>17</v>
      </c>
      <c r="D2" s="77" t="s">
        <v>44</v>
      </c>
      <c r="E2" s="77" t="s">
        <v>167</v>
      </c>
      <c r="F2" s="94" t="s">
        <v>80</v>
      </c>
      <c r="G2" s="75" t="s">
        <v>53</v>
      </c>
      <c r="H2" s="75" t="s">
        <v>78</v>
      </c>
      <c r="I2" s="75" t="s">
        <v>77</v>
      </c>
      <c r="J2" s="684"/>
      <c r="K2" s="684"/>
      <c r="L2" s="75" t="s">
        <v>12</v>
      </c>
      <c r="M2" s="96" t="s">
        <v>46</v>
      </c>
      <c r="N2" s="208" t="s">
        <v>138</v>
      </c>
      <c r="O2" s="75" t="s">
        <v>43</v>
      </c>
      <c r="P2" s="99" t="s">
        <v>95</v>
      </c>
      <c r="Q2" s="96" t="s">
        <v>41</v>
      </c>
      <c r="R2" s="97" t="s">
        <v>73</v>
      </c>
      <c r="T2" s="685"/>
      <c r="U2" s="686"/>
      <c r="V2" s="160" t="s">
        <v>1</v>
      </c>
      <c r="W2" s="70" t="s">
        <v>2</v>
      </c>
      <c r="X2" s="70" t="s">
        <v>36</v>
      </c>
      <c r="Y2" s="70" t="s">
        <v>37</v>
      </c>
      <c r="AA2" s="49" t="s">
        <v>129</v>
      </c>
      <c r="AB2" s="49" t="s">
        <v>126</v>
      </c>
      <c r="AC2" s="176" t="s">
        <v>136</v>
      </c>
      <c r="AD2" s="49" t="s">
        <v>133</v>
      </c>
      <c r="AE2" s="49" t="s">
        <v>134</v>
      </c>
      <c r="AF2" s="49" t="s">
        <v>135</v>
      </c>
      <c r="AG2" s="49" t="s">
        <v>142</v>
      </c>
    </row>
    <row r="3" spans="1:57">
      <c r="A3" s="48">
        <v>1</v>
      </c>
      <c r="B3" s="75">
        <f>IF(controls!$B$33=1,($AL$3/(1+('main page'!$K$35/100))^4)*(1+V3),AL3*(1+V3))</f>
        <v>100</v>
      </c>
      <c r="D3" s="77">
        <f>IF(E3&gt;0,E3,0.1)</f>
        <v>100</v>
      </c>
      <c r="E3" s="77">
        <f>IF(controls!$B$33=1,G3,F3)</f>
        <v>100</v>
      </c>
      <c r="F3" s="94">
        <f>IF(controls!$B$44=0,H3-'main page'!$K$27*'normal case'!AL5,H3-'main page'!$K$27*AL6+'main page'!$K$31*AO5)</f>
        <v>100</v>
      </c>
      <c r="G3" s="75">
        <f ca="1">IF(controls!$B$44=0,I3-'main page'!$K$27*$AL$5,I3-'main page'!$K$27*$AL$5+'main page'!$K$31*AO5)</f>
        <v>100</v>
      </c>
      <c r="H3" s="75">
        <f>$AI$3</f>
        <v>108</v>
      </c>
      <c r="I3" s="75">
        <f ca="1">(I4+'main page'!$K$27*$AL$5*(W3+'main page'!$K$35/100))/(1+W3+('main page'!$K$35/100))</f>
        <v>108</v>
      </c>
      <c r="L3" s="75">
        <f>($AL$11/100)*100</f>
        <v>2</v>
      </c>
      <c r="M3" s="96">
        <f>IF(controls!$B$44=0,IF(controls!B33=1,('normal case'!I4-'normal case'!B4)/'main page'!$K$27,('normal case'!$AI$3-'normal case'!B4)/'main page'!$K$27),'normal case'!AL6)</f>
        <v>4</v>
      </c>
      <c r="N3" s="208">
        <f>IF(controls!$B$45=1,IF(controls!$B$46=1,'main page'!$K$24+'main page'!$U$8,'main page'!$K$24+'main page'!$K$32),IF(O3&lt;0,0,O3))</f>
        <v>6</v>
      </c>
      <c r="O3" s="76">
        <f>IF(controls!$B$10=1,'normal case'!M3+'normal case'!L3,'normal case'!P3)</f>
        <v>6</v>
      </c>
      <c r="P3" s="74">
        <f>IF(Q3&lt;0,0,Q3)</f>
        <v>6</v>
      </c>
      <c r="Q3" s="210">
        <f>IF(controls!$B$44=0,L3+R3+(('main page'!$K$25*'main page'!$U$13*'main page'!$K$29)/('main page'!$K$27*(1+('main page'!$K$25^2)*'main page'!$U$13)))*(L3-('main page'!$U$8/100)*100),L3+R3+(('main page'!$K$25*'main page'!$U$13*'normal case'!$AO$3)/'normal case'!$AO$4)*('normal case'!L3-'main page'!$U$8))</f>
        <v>6</v>
      </c>
      <c r="R3" s="98">
        <f>IF(controls!$B$44=1,'main page'!$K$24,IF(controls!$B$33=1,(I4-D3*W4-B4+B3*V4)/'main page'!$K$27,(H4-D3*W4-B4+B3*V4)/'main page'!$K$27))</f>
        <v>4</v>
      </c>
      <c r="V3" s="161">
        <v>0</v>
      </c>
      <c r="W3" s="40">
        <v>0</v>
      </c>
      <c r="X3" s="49">
        <f>IF(controls!$B$33=1,D3-(I3-'main page'!$K$27*2),D3-AL4)</f>
        <v>0</v>
      </c>
      <c r="Y3" s="49">
        <f>ABS(L3-('main page'!$U$8/100)*100)</f>
        <v>0</v>
      </c>
      <c r="AA3" s="49" t="e">
        <f>IF(controls!$B$33=1,(B4-B3*V4-I4+D3*W4+'main page'!$K$27*'main page'!$K$24)/'main page'!$K$31,(B4-B3*V4+D3*W4-H4+'main page'!$K$27*'main page'!$K$24)/'main page'!$K$31)</f>
        <v>#DIV/0!</v>
      </c>
      <c r="AB3" s="49" t="e">
        <f>IF(controls!$B$45=1,LOG(AF3,1.01)+LOG(AE3,1.01)-LOG(AD3,1.01),-((M3-'main page'!$K$24)/(1-'normal case'!$AO$3))+'normal case'!AA3)</f>
        <v>#DIV/0!</v>
      </c>
      <c r="AC3" s="176" t="e">
        <f>IF(ABS(1.025^AB3-1)&lt;0.000000000001,1,1.025^AB3)</f>
        <v>#DIV/0!</v>
      </c>
      <c r="AD3" s="49">
        <v>1</v>
      </c>
      <c r="AE3" s="49">
        <v>1</v>
      </c>
      <c r="AF3" s="49" t="e">
        <f>IF(controls!$B$45=1,$AL$12,AD3*AC3/AE3)</f>
        <v>#DIV/0!</v>
      </c>
      <c r="AG3" s="49">
        <f>IF(controls!$B$46=0,0,IF(controls!$B$33=2,B4-B3*V4-('normal case'!H4-D3*W4-'main page'!$K$27*'normal case'!M3+'main page'!$K$31*'normal case'!AB3)-(('main page'!$K$25*'main page'!$U$13*'main page'!$K$29)/(1+('main page'!$K$25^2)*'main page'!$U$13))*('normal case'!L3-'main page'!$U$8),B4-B3*V4-('normal case'!I4-D3*W4-'main page'!$K$27*'normal case'!M3+'main page'!$K$31*'normal case'!AB3)-(('main page'!$K$25*'main page'!$U$13*'main page'!$K$29)/(1+('main page'!$K$25^2)*'main page'!$U$13))*('normal case'!L3-'main page'!$U$8)))</f>
        <v>0</v>
      </c>
      <c r="AH3" s="67" t="s">
        <v>76</v>
      </c>
      <c r="AI3" s="67">
        <f>IF(controls!B44=0,'main page'!K27*'normal case'!AI7+'normal case'!AL3,AL4+'main page'!K27*AL6-'main page'!$K$31*'normal case'!AL9)</f>
        <v>108</v>
      </c>
      <c r="AK3" s="76" t="s">
        <v>47</v>
      </c>
      <c r="AL3" s="76">
        <v>100</v>
      </c>
      <c r="AN3" s="40" t="s">
        <v>127</v>
      </c>
      <c r="AO3" s="176">
        <f>'main page'!K29/(1+(('main page'!K25)^2)*'main page'!U13)</f>
        <v>0.5</v>
      </c>
    </row>
    <row r="4" spans="1:57">
      <c r="A4" s="48">
        <v>2</v>
      </c>
      <c r="B4" s="75">
        <f>IF(controls!$B$33=1,($AL$3/(1+('main page'!$K$35/100))^3)*(1+V4),B3*(1+V4))</f>
        <v>100</v>
      </c>
      <c r="C4" s="80">
        <f>D4/D3-1</f>
        <v>0</v>
      </c>
      <c r="D4" s="77">
        <f t="shared" ref="D4:D67" si="0">IF(E4&gt;0,E4,0.1)</f>
        <v>100</v>
      </c>
      <c r="E4" s="77">
        <f>AG3+IF(controls!$B$33=1,G4,F4)</f>
        <v>100</v>
      </c>
      <c r="F4" s="94">
        <f>IF(controls!$B$44=0,H4-'main page'!$K$27*M3,H4-'main page'!$K$27*M3+'main page'!$K$31*AB3)</f>
        <v>100</v>
      </c>
      <c r="G4" s="75">
        <f ca="1">IF(controls!$B$44=0,I4-'main page'!$K$27*M3,I4-'main page'!$K$27*M3+'main page'!$K$31*'normal case'!AB3)</f>
        <v>100</v>
      </c>
      <c r="H4" s="75">
        <f>H3+D3*W4</f>
        <v>108</v>
      </c>
      <c r="I4" s="75">
        <f ca="1">(I5+'main page'!$K$27*$AL$5*(W4+'main page'!$K$35/100))/(1+(W4+'main page'!$K$35/100))</f>
        <v>108</v>
      </c>
      <c r="L4" s="75">
        <f>IF(ABS('main page'!$K$29*L3+(1-'main page'!$K$29)*($AL$11/100)*100+'main page'!$K$25*(D4-B4)-L3)&lt;0.0000001,L3,'main page'!$K$29*L3+(1-'main page'!$K$29)*($AL$11/100)*100+'main page'!$K$25*(D4-B4))</f>
        <v>2</v>
      </c>
      <c r="M4" s="96">
        <f ca="1">IF(controls!$B$10=1,M3,IF(SUM(controls!$B$44:$B$46)=2,N4-'main page'!$K$29*'normal case'!L4-(1-'main page'!$K$29)*'main page'!$K$32,N4-'main page'!$K$29*'normal case'!L4-(1-'main page'!$K$29)*'main page'!$U$8))</f>
        <v>4</v>
      </c>
      <c r="N4" s="208">
        <f ca="1">IF(controls!$B$45=1,IF(controls!$B$46=1,'main page'!$K$24+'main page'!$U$8,'main page'!$K$24+'main page'!$K$32),IF(O4&lt;0,0,O4))</f>
        <v>6</v>
      </c>
      <c r="O4" s="76">
        <f ca="1">IF(controls!$B$10=1,'normal case'!M4+'normal case'!L4,'normal case'!P4)</f>
        <v>6</v>
      </c>
      <c r="P4" s="74">
        <f t="shared" ref="P4:P67" ca="1" si="1">IF(Q4&lt;0,0,Q4)</f>
        <v>6</v>
      </c>
      <c r="Q4" s="210">
        <f ca="1">IF(controls!$B$44=0,R4+'main page'!$K$29*L4+(1-'main page'!$K$29)*'main page'!$U$8+(('main page'!$K$25*'main page'!$U$13*'main page'!$K$29)/('main page'!$K$27*(1+('main page'!$K$25^2)*'main page'!$U$13)))*(L4-('main page'!$U$8/100)*100),R4+'main page'!$K$29*L4+(1-'main page'!$K$29)*'main page'!$U$8+(('main page'!$K$25*'main page'!$U$13*'normal case'!$AO$3)/'normal case'!$AO$4)*('normal case'!L4-'main page'!$U$8))</f>
        <v>6</v>
      </c>
      <c r="R4" s="98">
        <f ca="1">IF(controls!$B$44=1,'main page'!$K$24,IF(controls!$B$33=1,(I5-D4*W5-B5+B4*V5)/'main page'!$K$27,(H5-D4*W5-B5+B4*V5)/'main page'!$K$27))</f>
        <v>4</v>
      </c>
      <c r="T4" s="71"/>
      <c r="U4" s="73"/>
      <c r="V4" s="161">
        <v>0</v>
      </c>
      <c r="W4" s="40">
        <v>0</v>
      </c>
      <c r="X4" s="49">
        <f>IF(controls!$B$33=1,D4-($I$3-'main page'!$K$27*2)*(1+('main page'!$K$35/100))^A3,D4-$AL$4)</f>
        <v>0</v>
      </c>
      <c r="Y4" s="49">
        <f>ABS(L4-('main page'!$U$8/100)*100)</f>
        <v>0</v>
      </c>
      <c r="AA4" s="49" t="e">
        <f ca="1">IF(controls!$B$33=1,(B5-B4*V5-I5+D4*W5+'main page'!$K$27*'main page'!$K$24)/'main page'!$K$31,(B5-B4*V5+D4*W5-H5+'main page'!$K$27*'main page'!$K$24)/'main page'!$K$31)</f>
        <v>#DIV/0!</v>
      </c>
      <c r="AB4" s="49" t="e">
        <f ca="1">IF(controls!$B$45=1,LOG(AF4,1.01)+LOG(AE4,1.01)-LOG(AD4,1.01),-((M4-'main page'!$K$24)/(1-'normal case'!$AO$3))+'normal case'!AA4)</f>
        <v>#DIV/0!</v>
      </c>
      <c r="AC4" s="176" t="e">
        <f t="shared" ref="AC4:AC67" ca="1" si="2">IF(ABS(1.025^AB4-1)&lt;0.000000000001,1,1.025^AB4)</f>
        <v>#DIV/0!</v>
      </c>
      <c r="AD4" s="49">
        <f t="shared" ref="AD4:AD67" si="3">AD3*(1+L4/100)</f>
        <v>1.02</v>
      </c>
      <c r="AE4" s="49">
        <f>AE3*(1+'main page'!$K$32/100)</f>
        <v>1</v>
      </c>
      <c r="AF4" s="49" t="e">
        <f ca="1">IF(ABS(IF(controls!$B$45=1,$AL$12,AD4*AC4/AE4)-AF3)&lt;0.00001,AF3,IF(controls!$B$45=1,$AL$12,AD4*AC4/AE4))</f>
        <v>#DIV/0!</v>
      </c>
      <c r="AG4" s="49">
        <f>IF(controls!$B$46=0,0,IF(controls!$B$33=2,B5-B4*V5-('normal case'!H5-D4*W5-'main page'!$K$27*'normal case'!M4+'main page'!$K$31*'normal case'!AB4)-(('main page'!$K$25*'main page'!$U$13*'main page'!$K$29)/(1+('main page'!$K$25^2)*'main page'!$U$13))*('normal case'!L4-'main page'!$U$8),B5-B4*V5-('normal case'!I5-D4*W5-'main page'!$K$27*'normal case'!M4+'main page'!$K$31*'normal case'!AB4)-(('main page'!$K$25*'main page'!$U$13*'main page'!$K$29)/(1+('main page'!$K$25^2)*'main page'!$U$13))*('normal case'!L4-'main page'!$U$8)))</f>
        <v>0</v>
      </c>
      <c r="AH4" s="68" t="s">
        <v>79</v>
      </c>
      <c r="AI4" s="69">
        <f ca="1">AI3+($AI$3-'main page'!$K$27*'normal case'!M6)*('main page'!$K$8/100)</f>
        <v>108</v>
      </c>
      <c r="AJ4" s="64"/>
      <c r="AK4" s="67" t="s">
        <v>49</v>
      </c>
      <c r="AL4" s="67">
        <v>100</v>
      </c>
      <c r="AM4" s="64"/>
      <c r="AN4" s="40" t="s">
        <v>128</v>
      </c>
      <c r="AO4" s="176">
        <f>'main page'!K27+('main page'!K31/(1-'normal case'!AO3))</f>
        <v>2</v>
      </c>
    </row>
    <row r="5" spans="1:57">
      <c r="A5" s="48">
        <v>3</v>
      </c>
      <c r="B5" s="75">
        <f ca="1">IF(controls!$B$33=1,($AL$3/(1+('main page'!$K$35/100))^2)*(1+V5),B4*(1+V5))</f>
        <v>100</v>
      </c>
      <c r="C5" s="80">
        <f ca="1">IF(ABS((D5/D4-1)-C4)&lt;0.000001,C4,D5/D4-1)</f>
        <v>0</v>
      </c>
      <c r="D5" s="77">
        <f t="shared" ca="1" si="0"/>
        <v>100</v>
      </c>
      <c r="E5" s="77">
        <f ca="1">AG4+IF(controls!$B$33=1,G5,F5)</f>
        <v>100</v>
      </c>
      <c r="F5" s="94">
        <f ca="1">IF(controls!$B$44=0,H5-'main page'!$K$27*M4,H5-'main page'!$K$27*M4+'main page'!$K$31*AB4)</f>
        <v>100</v>
      </c>
      <c r="G5" s="75">
        <f ca="1">IF(controls!$B$44=0,I5-'main page'!$K$27*M4,I5-'main page'!$K$27*M4+'main page'!$K$31*'normal case'!AB4)</f>
        <v>100</v>
      </c>
      <c r="H5" s="75">
        <f ca="1">H4+D4*W5</f>
        <v>108</v>
      </c>
      <c r="I5" s="75">
        <f ca="1">(I6+'main page'!$K$27*$AL$5*(W5+'main page'!$K$35/100))/(1+W5+('main page'!$K$35/100))</f>
        <v>108</v>
      </c>
      <c r="L5" s="75">
        <f ca="1">IF(ABS('main page'!$K$29*L4+(1-'main page'!$K$29)*($AL$11/100)*100+'main page'!$K$25*(D5-B5)-L4)&lt;0.0000001,L4,'main page'!$K$29*L4+(1-'main page'!$K$29)*($AL$11/100)*100+'main page'!$K$25*(D5-B5))</f>
        <v>2</v>
      </c>
      <c r="M5" s="96">
        <f ca="1">IF(controls!$B$10=1,M4,IF(SUM(controls!$B$44:$B$46)=2,N5-'main page'!$K$29*'normal case'!L5-(1-'main page'!$K$29)*'main page'!$K$32,N5-'main page'!$K$29*'normal case'!L5-(1-'main page'!$K$29)*'main page'!$U$8))</f>
        <v>4</v>
      </c>
      <c r="N5" s="208">
        <f ca="1">IF(controls!$B$45=1,IF(controls!$B$46=1,'main page'!$K$24+'main page'!$U$8,'main page'!$K$24+'main page'!$K$32),IF(O5&lt;0,0,O5))</f>
        <v>6</v>
      </c>
      <c r="O5" s="76">
        <f ca="1">IF(controls!$B$10=1,'normal case'!M5+'normal case'!L5,'normal case'!P5)</f>
        <v>6</v>
      </c>
      <c r="P5" s="74">
        <f t="shared" ca="1" si="1"/>
        <v>6</v>
      </c>
      <c r="Q5" s="210">
        <f ca="1">IF(controls!$B$44=0,R5+'main page'!$K$29*L5+(1-'main page'!$K$29)*'main page'!$U$8+(('main page'!$K$25*'main page'!$U$13*'main page'!$K$29)/('main page'!$K$27*(1+('main page'!$K$25^2)*'main page'!$U$13)))*(L5-('main page'!$U$8/100)*100),R5+'main page'!$K$29*L5+(1-'main page'!$K$29)*'main page'!$U$8+(('main page'!$K$25*'main page'!$U$13*'normal case'!$AO$3)/'normal case'!$AO$4)*('normal case'!L5-'main page'!$U$8))</f>
        <v>6</v>
      </c>
      <c r="R5" s="98">
        <f ca="1">IF(controls!$B$44=1,'main page'!$K$24,IF(controls!$B$33=1,(I6-D5*W6-B6+B5*V6)/'main page'!$K$27,(H6-D5*W6-B6+B5*V6)/'main page'!$K$27))</f>
        <v>4</v>
      </c>
      <c r="T5" s="71"/>
      <c r="U5" s="73">
        <v>-2</v>
      </c>
      <c r="V5" s="161">
        <f ca="1">IF(controls!$B$4=1,IF(controls!$H4=1,controls!$B$34*V4+RAND()*('main page'!$K$16/100)-RAND()*('main page'!$K$16/100),0),0)</f>
        <v>0</v>
      </c>
      <c r="W5" s="40">
        <f ca="1">IF(controls!$B$4=1,IF(controls!$I4=1,controls!$B$34*W4+RAND()*('main page'!$K$16/100)-RAND()*('main page'!$K$16/100),0),0)</f>
        <v>0</v>
      </c>
      <c r="X5" s="49">
        <f ca="1">IF(controls!$B$33=1,D5-($I$3-'main page'!$K$27*2)*(1+('main page'!$K$35/100))^A4,D5-$AL$4)</f>
        <v>0</v>
      </c>
      <c r="Y5" s="49">
        <f ca="1">ABS(L5-('main page'!$U$8/100)*100)</f>
        <v>0</v>
      </c>
      <c r="AA5" s="49" t="e">
        <f ca="1">IF(controls!$B$33=1,(B6-B5*V6-I6+D5*W6+'main page'!$K$27*'main page'!$K$24)/'main page'!$K$31,(B6-B5*V6+D5*W6-H6+'main page'!$K$27*'main page'!$K$24)/'main page'!$K$31)</f>
        <v>#DIV/0!</v>
      </c>
      <c r="AB5" s="49" t="e">
        <f ca="1">IF(controls!$B$45=1,LOG(AF5,1.01)+LOG(AE5,1.01)-LOG(AD5,1.01),-((M5-'main page'!$K$24)/(1-'normal case'!$AO$3))+'normal case'!AA5)</f>
        <v>#DIV/0!</v>
      </c>
      <c r="AC5" s="176" t="e">
        <f t="shared" ca="1" si="2"/>
        <v>#DIV/0!</v>
      </c>
      <c r="AD5" s="49">
        <f t="shared" ca="1" si="3"/>
        <v>1.0404</v>
      </c>
      <c r="AE5" s="49">
        <f>AE4*(1+'main page'!$K$32/100)</f>
        <v>1</v>
      </c>
      <c r="AF5" s="49" t="e">
        <f ca="1">IF(ABS(IF(controls!$B$45=1,$AL$12,AD5*AC5/AE5)-AF4)&lt;0.00001,AF4,IF(controls!$B$45=1,$AL$12,AD5*AC5/AE5))</f>
        <v>#DIV/0!</v>
      </c>
      <c r="AG5" s="49">
        <f>IF(controls!$B$46=0,0,IF(controls!$B$33=2,B6-B5*V6-('normal case'!H6-D5*W6-'main page'!$K$27*'normal case'!M5+'main page'!$K$31*'normal case'!AB5)-(('main page'!$K$25*'main page'!$U$13*'main page'!$K$29)/(1+('main page'!$K$25^2)*'main page'!$U$13))*('normal case'!L5-'main page'!$U$8),B6-B5*V6-('normal case'!I6-D5*W6-'main page'!$K$27*'normal case'!M5+'main page'!$K$31*'normal case'!AB5)-(('main page'!$K$25*'main page'!$U$13*'main page'!$K$29)/(1+('main page'!$K$25^2)*'main page'!$U$13))*('normal case'!L5-'main page'!$U$8)))</f>
        <v>0</v>
      </c>
      <c r="AH5" s="67" t="s">
        <v>74</v>
      </c>
      <c r="AI5" s="67">
        <f ca="1">IF(controls!B7=1,$AI$3*(1+('main page'!U22/100)),$AI$4*(1+('main page'!U22/100)))</f>
        <v>108</v>
      </c>
      <c r="AJ5" s="64"/>
      <c r="AK5" s="67" t="s">
        <v>131</v>
      </c>
      <c r="AL5" s="67">
        <f>(AI3-AL3)/'main page'!K27</f>
        <v>4</v>
      </c>
      <c r="AM5" s="64"/>
      <c r="AN5" s="40" t="s">
        <v>130</v>
      </c>
      <c r="AO5" s="176" t="e">
        <f>(AL3-AI3+'main page'!K27*AL6)/'main page'!K31</f>
        <v>#DIV/0!</v>
      </c>
      <c r="AW5" s="48">
        <f ca="1">IF(ABS((D5/D4-1)-C4)&lt;0.000001,C4,D5/D4-1)</f>
        <v>0</v>
      </c>
      <c r="AX5" s="48">
        <f ca="1">IF(E5&gt;0,E5,0.1)</f>
        <v>100</v>
      </c>
      <c r="AY5" s="48">
        <f ca="1">IF(controls!$B$10=1,M4,IF(SUM(controls!$B$44:$B$46)=2,N5-'main page'!$K$29*'normal case'!L5-(1-'main page'!$K$29)*'main page'!$K$32,N5-'main page'!$K$29*'normal case'!L5-(1-'main page'!$K$29)*'main page'!$U$8))</f>
        <v>4</v>
      </c>
      <c r="AZ5" s="48">
        <f ca="1">IF(controls!$B$45=1,IF(controls!$B$46=1,'main page'!$K$24+'main page'!$U$8,'main page'!$K$24+'main page'!$K$32),IF(O5&lt;0,0,O5))</f>
        <v>6</v>
      </c>
      <c r="BA5" s="231">
        <f ca="1">'normal case'!L5</f>
        <v>2</v>
      </c>
    </row>
    <row r="6" spans="1:57">
      <c r="A6" s="48">
        <v>4</v>
      </c>
      <c r="B6" s="75">
        <f ca="1">IF(controls!$B$33=1,($AL$3/(1+('main page'!$K$35/100)))*(1+V6),B5*(1+V6))</f>
        <v>100</v>
      </c>
      <c r="C6" s="80">
        <f t="shared" ref="C6:C69" ca="1" si="4">IF(ABS((D6/D5-1)-C5)&lt;0.000001,C5,D6/D5-1)</f>
        <v>0</v>
      </c>
      <c r="D6" s="77">
        <f t="shared" ca="1" si="0"/>
        <v>100</v>
      </c>
      <c r="E6" s="77">
        <f ca="1">AG5+IF(controls!$B$33=1,G6,F6)</f>
        <v>100</v>
      </c>
      <c r="F6" s="94">
        <f ca="1">IF(controls!$B$44=0,H6-'main page'!$K$27*M5,H6-'main page'!$K$27*M5+'main page'!$K$31*AB5)</f>
        <v>100</v>
      </c>
      <c r="G6" s="75">
        <f ca="1">IF(controls!$B$44=0,I6-'main page'!$K$27*M5,I6-'main page'!$K$27*M5+'main page'!$K$31*'normal case'!AB5)</f>
        <v>100</v>
      </c>
      <c r="H6" s="75">
        <f ca="1">H5+D5*W6</f>
        <v>108</v>
      </c>
      <c r="I6" s="75">
        <f>(($AI$3+'main page'!$K$27*$AL$5*(W6+'main page'!$K$35/100))/(1+W6+('main page'!$K$35/100)))</f>
        <v>108</v>
      </c>
      <c r="L6" s="75">
        <f ca="1">IF(ABS('main page'!$K$29*L5+(1-'main page'!$K$29)*($AL$11/100)*100+'main page'!$K$25*(D6-B6)-L5)&lt;0.0000001,L5,'main page'!$K$29*L5+(1-'main page'!$K$29)*($AL$11/100)*100+'main page'!$K$25*(D6-B6))</f>
        <v>2</v>
      </c>
      <c r="M6" s="96">
        <f ca="1">IF(controls!$B$10=1,M5,IF(SUM(controls!$B$44:$B$46)=2,N6-'main page'!$K$29*'normal case'!L6-(1-'main page'!$K$29)*'main page'!$K$32,N6-'main page'!$K$29*'normal case'!L6-(1-'main page'!$K$29)*'main page'!$U$8))</f>
        <v>4</v>
      </c>
      <c r="N6" s="208">
        <f ca="1">IF(controls!$B$45=1,IF(controls!$B$46=1,'main page'!$K$24+'main page'!$U$8,'main page'!$K$24+'main page'!$K$32),IF(O6&lt;0,0,O6))</f>
        <v>6</v>
      </c>
      <c r="O6" s="76">
        <f ca="1">IF(controls!$B$10=1,'normal case'!M6+'normal case'!L6,'normal case'!P6)</f>
        <v>6</v>
      </c>
      <c r="P6" s="74">
        <f t="shared" ca="1" si="1"/>
        <v>6</v>
      </c>
      <c r="Q6" s="210">
        <f ca="1">IF(controls!$B$44=0,R6+'main page'!$K$29*L6+(1-'main page'!$K$29)*'main page'!$U$8+(('main page'!$K$25*'main page'!$U$13*'main page'!$K$29)/('main page'!$K$27*(1+('main page'!$K$25^2)*'main page'!$U$13)))*(L6-('main page'!$U$8/100)*100),R6+'main page'!$K$29*L6+(1-'main page'!$K$29)*'main page'!$U$8+(('main page'!$K$25*'main page'!$U$13*'normal case'!$AO$3)/'normal case'!$AO$4)*('normal case'!L6-'main page'!$U$8))</f>
        <v>6</v>
      </c>
      <c r="R6" s="98">
        <f ca="1">IF(controls!$B$44=1,'main page'!$K$24,IF(controls!$B$33=1,(I7-D6*W7-$AL$7-B7+B6*V7+$AL$8)/'main page'!$K$27,(H7-D6*W7-$AL$7-B7+B6*V7+$AL$8)/'main page'!$K$27))</f>
        <v>4</v>
      </c>
      <c r="T6" s="71">
        <f>$AL$3*(1+('main page'!$K$35/100))^U6-$AL$3*(1+('main page'!$K$35/100))^U5</f>
        <v>0</v>
      </c>
      <c r="U6" s="73">
        <v>-1</v>
      </c>
      <c r="V6" s="161">
        <v>0</v>
      </c>
      <c r="W6" s="40">
        <v>0</v>
      </c>
      <c r="X6" s="49">
        <f ca="1">IF(controls!$B$33=1,D6-($I$3-'main page'!$K$27*2)*(1+('main page'!$K$35/100))^A5,D6-$AL$4)</f>
        <v>0</v>
      </c>
      <c r="Y6" s="49">
        <f ca="1">ABS(L6-('main page'!$U$8/100)*100)</f>
        <v>0</v>
      </c>
      <c r="AA6" s="49" t="e">
        <f ca="1">IF(controls!$B$33=1,(B7-B6*V7-I7+D6*W7+'main page'!$K$27*'main page'!$K$24+AL7-AL8)/'main page'!$K$31,(B7-B6*V7+D6*W7-H7+'main page'!$K$27*'main page'!$K$24+AL7-AL8)/'main page'!$K$31)</f>
        <v>#DIV/0!</v>
      </c>
      <c r="AB6" s="49" t="e">
        <f ca="1">IF(controls!$B$45=1,LOG(AF6,1.01)+LOG(AE6,1.01)-LOG(AD6,1.01),-((M6-'main page'!$K$24)/(1-'normal case'!$AO$3))+'normal case'!AA6)</f>
        <v>#DIV/0!</v>
      </c>
      <c r="AC6" s="176" t="e">
        <f t="shared" ca="1" si="2"/>
        <v>#DIV/0!</v>
      </c>
      <c r="AD6" s="49">
        <f t="shared" ca="1" si="3"/>
        <v>1.0612079999999999</v>
      </c>
      <c r="AE6" s="49">
        <f>AE5*(1+'main page'!$K$32/100)</f>
        <v>1</v>
      </c>
      <c r="AF6" s="49" t="e">
        <f ca="1">IF(ABS(IF(controls!$B$45=1,$AL$12,AD6*AC6/AE6)-AF5)&lt;0.00001,AF5,IF(controls!$B$45=1,$AL$12,AD6*AC6/AE6))</f>
        <v>#DIV/0!</v>
      </c>
      <c r="AG6" s="49">
        <f>IF(controls!$B$46=0,0,IF(controls!$B$33=2,B7-B6*V7-$AL$8-('normal case'!H7-$AL$7-D6*W7-'main page'!$K$27*'normal case'!M6+'main page'!$K$31*'normal case'!AB6)-(('main page'!$K$25*'main page'!$U$13*'main page'!$K$29)/(1+('main page'!$K$25^2)*'main page'!$U$13))*('normal case'!L6-'main page'!$U$8),B7-B6*V7-$AL$8-('normal case'!I7-$AL$7-D6*W7-'main page'!$K$27*'normal case'!M6+'main page'!$K$31*'normal case'!AB6)-(('main page'!$K$25*'main page'!$U$13*'main page'!$K$29)/(1+('main page'!$K$25^2)*'main page'!$U$13))*('normal case'!L6-'main page'!$U$8)))</f>
        <v>0</v>
      </c>
      <c r="AH6" s="67" t="s">
        <v>75</v>
      </c>
      <c r="AI6" s="69">
        <f ca="1">IF(controls!B7=1,AI3,AI4)</f>
        <v>108</v>
      </c>
      <c r="AJ6" s="64"/>
      <c r="AK6" s="67" t="s">
        <v>132</v>
      </c>
      <c r="AL6" s="64">
        <f>'main page'!K24</f>
        <v>4</v>
      </c>
      <c r="AM6" s="65"/>
      <c r="AO6" s="40"/>
      <c r="AP6" s="65"/>
      <c r="AQ6" s="65"/>
      <c r="AR6" s="65"/>
      <c r="AS6" s="65"/>
      <c r="AT6" s="65"/>
      <c r="AU6" s="65"/>
      <c r="AV6" s="65"/>
      <c r="BB6" s="65"/>
      <c r="BC6" s="65"/>
      <c r="BD6" s="65"/>
      <c r="BE6" s="65"/>
    </row>
    <row r="7" spans="1:57">
      <c r="A7" s="48">
        <v>5</v>
      </c>
      <c r="B7" s="75">
        <f ca="1">IF(controls!$B$33=1,$AL$3+$AL$8+V7*B6,$AL$3+$AL$8+V7*B6)</f>
        <v>100</v>
      </c>
      <c r="C7" s="80">
        <f t="shared" ca="1" si="4"/>
        <v>0</v>
      </c>
      <c r="D7" s="77">
        <f t="shared" ca="1" si="0"/>
        <v>100</v>
      </c>
      <c r="E7" s="77">
        <f ca="1">AG6+IF(controls!$B$33=1,G7,F7)</f>
        <v>100</v>
      </c>
      <c r="F7" s="94">
        <f ca="1">IF(controls!$B$44=0,H7-'main page'!$K$27*M6,H7-'main page'!$K$27*M6+'main page'!$K$31*AB6)</f>
        <v>100</v>
      </c>
      <c r="G7" s="75">
        <f ca="1">IF(controls!$B$44=0,I7-'main page'!$K$27*M6,I7-'main page'!$K$27*M6+'main page'!$K$31*'normal case'!AB6)</f>
        <v>100</v>
      </c>
      <c r="H7" s="75">
        <f ca="1">H6+$AL$7+D6*W7</f>
        <v>108</v>
      </c>
      <c r="I7" s="75">
        <f ca="1">$AI$3+$AL$7+D6*W7</f>
        <v>108</v>
      </c>
      <c r="L7" s="75">
        <f ca="1">IF(ABS('main page'!G11+'main page'!$K$29*L6+(1-'main page'!$K$29)*($AL$11/100)*100+'main page'!$K$25*(D7-B7)-L6)&lt;0.0000001,L6,'main page'!G11+'main page'!$K$29*L6+(1-'main page'!$K$29)*($AL$11/100)*100+'main page'!$K$25*(D7-B7))</f>
        <v>2</v>
      </c>
      <c r="M7" s="96">
        <f ca="1">IF(controls!$B$10=1,M6,IF(SUM(controls!$B$44:$B$46)=2,N7-'main page'!$K$29*'normal case'!L7-(1-'main page'!$K$29)*'main page'!$K$32,N7-'main page'!$K$29*'normal case'!L7-(1-'main page'!$K$29)*'main page'!$U$8))</f>
        <v>4</v>
      </c>
      <c r="N7" s="208">
        <f ca="1">IF(controls!$B$45=1,IF(controls!$B$46=1,'main page'!$K$24+'main page'!$K$11+'main page'!$U$8,'main page'!$K$24+'main page'!$K$11+'main page'!$K$32),IF(controls!$B$44=1,IF(O7&lt;0,0,O7),IF(O7+'main page'!$K$11&lt;0,0,O7+'main page'!$K$11)))</f>
        <v>6</v>
      </c>
      <c r="O7" s="76">
        <f ca="1">IF(controls!$B$10=1,'normal case'!M7+'normal case'!L7,'normal case'!P7)</f>
        <v>6</v>
      </c>
      <c r="P7" s="74">
        <f t="shared" ca="1" si="1"/>
        <v>6</v>
      </c>
      <c r="Q7" s="210">
        <f ca="1">IF(controls!$B$44=0,R7+'main page'!$K$29*L7+(1-'main page'!$K$29)*'main page'!$U$8+(('main page'!$K$25*'main page'!$U$13*'main page'!$K$29)/('main page'!$K$27*(1+('main page'!$K$25^2)*'main page'!$U$13)))*(L7-('main page'!$U$8/100)*100),R7+'main page'!$K$29*L7+(1-'main page'!$K$29)*'main page'!$U$8+(('main page'!$K$25*'main page'!$U$13*'normal case'!$AO$3)/'normal case'!$AO$4)*('normal case'!L7-'main page'!$U$8))</f>
        <v>6</v>
      </c>
      <c r="R7" s="98">
        <f ca="1">IF(controls!$B$44=1,'main page'!$K$24+'main page'!$K$11,IF(controls!$B$33=1,((I8-D7*W8-K8-B8+B7*V8)/'main page'!$K$27)-'main page'!$K$11,((H8-D7*W8-J8-B8+B7*V8)/'main page'!$K$27)-'main page'!$K$11))</f>
        <v>4</v>
      </c>
      <c r="T7" s="71">
        <f>$AL$3*(1+('main page'!$K$35/100))^U7-$AL$3*(1+('main page'!$K$35/100))^U7</f>
        <v>0</v>
      </c>
      <c r="U7" s="73">
        <v>0</v>
      </c>
      <c r="V7" s="161">
        <v>0</v>
      </c>
      <c r="W7" s="40">
        <v>0</v>
      </c>
      <c r="X7" s="49">
        <f ca="1">IF(controls!$B$33=1,D7-($I$3-'main page'!$K$27*2)*(1+('main page'!$K$35/100))^A6,D7-$AL$4)</f>
        <v>0</v>
      </c>
      <c r="Y7" s="49">
        <f ca="1">ABS(L7-('main page'!$U$8/100)*100)</f>
        <v>0</v>
      </c>
      <c r="AA7" s="49" t="e">
        <f ca="1">IF(controls!$B$33=1,(B8-B7*V8-I8+D7*W8+'main page'!$K$27*('main page'!$K$24+'main page'!$K$11)+K8)/'main page'!$K$31,(B8-B7*V8+D7*W8-H8+'main page'!$K$27*('main page'!$K$24+'main page'!$K$11)+J8)/'main page'!$K$31)</f>
        <v>#DIV/0!</v>
      </c>
      <c r="AB7" s="49" t="e">
        <f ca="1">IF(controls!$B$45=1,LOG(AF7,1.01)+LOG(AE7,1.01)-LOG(AD7,1.01),-((M7-('main page'!$K$24+'main page'!$K$11))/(1-'normal case'!$AO$3))+'normal case'!AA7)</f>
        <v>#DIV/0!</v>
      </c>
      <c r="AC7" s="176" t="e">
        <f t="shared" ca="1" si="2"/>
        <v>#DIV/0!</v>
      </c>
      <c r="AD7" s="49">
        <f t="shared" ca="1" si="3"/>
        <v>1.08243216</v>
      </c>
      <c r="AE7" s="49">
        <f>AE6*(1+'main page'!$K$32/100)</f>
        <v>1</v>
      </c>
      <c r="AF7" s="49" t="e">
        <f ca="1">IF(ABS(IF(controls!$B$45=1,$AL$12,AD7*AC7/AE7)-AF6)&lt;0.00001,AF6,IF(controls!$B$45=1,$AL$12,AD7*AC7/AE7))</f>
        <v>#DIV/0!</v>
      </c>
      <c r="AG7" s="49">
        <f>IF(controls!$B$46=0,0,IF(controls!$B$33=2,B8-B7*V8-('normal case'!H8-D7*W8-'main page'!$K$27*'normal case'!M7+'main page'!$K$31*'normal case'!AB7)-(('main page'!$K$25*'main page'!$U$13*'main page'!$K$29)/(1+('main page'!$K$25^2)*'main page'!$U$13))*('normal case'!L7-'main page'!$U$8),B8-B7*V8-('normal case'!I8-D7*W8-'main page'!$K$27*'normal case'!M7+'main page'!$K$31*'normal case'!AB7)-(('main page'!$K$25*'main page'!$U$13*'main page'!$K$29)/(1+('main page'!$K$25^2)*'main page'!$U$13))*('normal case'!L7-'main page'!$U$8)))</f>
        <v>0</v>
      </c>
      <c r="AH7" s="184" t="s">
        <v>158</v>
      </c>
      <c r="AI7" s="64">
        <f>'main page'!K24</f>
        <v>4</v>
      </c>
      <c r="AJ7" s="64"/>
      <c r="AK7" s="68" t="s">
        <v>90</v>
      </c>
      <c r="AL7" s="67">
        <f>('main page'!K8/100)*'normal case'!AL4</f>
        <v>0</v>
      </c>
      <c r="AM7" s="65"/>
      <c r="AN7" s="40"/>
      <c r="AO7" s="40"/>
      <c r="AP7" s="65"/>
      <c r="AQ7" s="65"/>
      <c r="AR7" s="65"/>
      <c r="AS7" s="65"/>
      <c r="AT7" s="65"/>
      <c r="AU7" s="65"/>
      <c r="AV7" s="65"/>
      <c r="BB7" s="65"/>
      <c r="BC7" s="65"/>
      <c r="BD7" s="65"/>
      <c r="BE7" s="65"/>
    </row>
    <row r="8" spans="1:57">
      <c r="A8" s="48">
        <v>6</v>
      </c>
      <c r="B8" s="75">
        <f ca="1">IF(controls!$B$33=1,IF(controls!$B$6=2,B7*(1+V8)+T8,B7*(1+V8)+T8-$AL$8),IF(controls!B6=1,B7*(1+V8)-$AL$8,B7*(1+V8)))</f>
        <v>100</v>
      </c>
      <c r="C8" s="80">
        <f t="shared" ca="1" si="4"/>
        <v>0</v>
      </c>
      <c r="D8" s="77">
        <f t="shared" ca="1" si="0"/>
        <v>100</v>
      </c>
      <c r="E8" s="77">
        <f ca="1">AG7+IF(controls!$B$33=1,G8,F8)</f>
        <v>100</v>
      </c>
      <c r="F8" s="94">
        <f ca="1">IF(controls!$B$44=0,H8-'main page'!$K$27*M7,H8-'main page'!$K$27*M7+'main page'!$K$31*AB7)</f>
        <v>100</v>
      </c>
      <c r="G8" s="75">
        <f ca="1">IF(controls!$B$44=0,I8-'main page'!$K$27*M7,I8-'main page'!$K$27*M7+'main page'!$K$31*'normal case'!AB7)</f>
        <v>100</v>
      </c>
      <c r="H8" s="75">
        <f ca="1">IF(controls!$B$7=2,'normal case'!H7+D7*W8+J8,'normal case'!H7+D7*W8-$AL$7+J8)</f>
        <v>108</v>
      </c>
      <c r="I8" s="75">
        <f ca="1">IF(controls!$B$7=1,I7+D7*W8+T8-$AL$7+K8,I7+D7*W8+T8+K8)</f>
        <v>108</v>
      </c>
      <c r="J8" s="96">
        <f ca="1">IF(controls!B46=1,0,IF(controls!$B30=1,(('main page'!$U$22/100))*'normal case'!H7,))</f>
        <v>0</v>
      </c>
      <c r="K8" s="96">
        <f ca="1">IF(controls!B46=1,0,IF(controls!$B$30=1,(('main page'!$U$22/100))*'normal case'!I7,))</f>
        <v>0</v>
      </c>
      <c r="L8" s="75">
        <f ca="1">IF(ABS('main page'!$K$29*L7+(1-'main page'!$K$29)*($AL$11/100)*100+'main page'!$K$25*(D8-B8)-L7)&lt;0.0000001,L7,'main page'!$K$29*L7+(1-'main page'!$K$29)*($AL$11/100)*100+'main page'!$K$25*(D8-B8))</f>
        <v>2</v>
      </c>
      <c r="M8" s="96">
        <f ca="1">IF(controls!$B$10=1,M7,IF(SUM(controls!$B$44:$B$46)=2,N8-'main page'!$K$29*'normal case'!L8-(1-'main page'!$K$29)*'main page'!$K$32,N8-'main page'!$K$29*'normal case'!L8-(1-'main page'!$K$29)*'main page'!$U$8))</f>
        <v>4</v>
      </c>
      <c r="N8" s="208">
        <f ca="1">IF(controls!$B$45=1,IF(controls!$B$46=1,'main page'!$K$24+'main page'!$K$11+'main page'!$U$8,'main page'!$K$24+'main page'!$K$11+'main page'!$K$32),IF(controls!$B$44=1,IF(O8&lt;0,0,O8),IF(O8+'main page'!$K$11&lt;0,0,O8+'main page'!$K$11)))</f>
        <v>6</v>
      </c>
      <c r="O8" s="76">
        <f ca="1">IF(controls!$B$10=1,'normal case'!M8+'normal case'!L8,'normal case'!P8)</f>
        <v>6</v>
      </c>
      <c r="P8" s="74">
        <f t="shared" ca="1" si="1"/>
        <v>6</v>
      </c>
      <c r="Q8" s="210">
        <f ca="1">IF(controls!$B$44=0,R8+'main page'!$K$29*L8+(1-'main page'!$K$29)*'main page'!$U$8+(('main page'!$K$25*'main page'!$U$13*'main page'!$K$29)/('main page'!$K$27*(1+('main page'!$K$25^2)*'main page'!$U$13)))*(L8-('main page'!$U$8/100)*100),R8+'main page'!$K$29*L8+(1-'main page'!$K$29)*'main page'!$U$8+(('main page'!$K$25*'main page'!$U$13*'normal case'!$AO$3)/'normal case'!$AO$4)*('normal case'!L8-'main page'!$U$8))</f>
        <v>6</v>
      </c>
      <c r="R8" s="98">
        <f ca="1">IF(controls!$B$44=1,'main page'!$K$24+'main page'!$K$11,IF(controls!$B$33=1,((I9-D8*W9-K9-B9+B8*V9)/'main page'!$K$27)-'main page'!$K$11,((H9-D8*W9-J9-B9+B8*V9)/'main page'!$K$27)-'main page'!$K$11))</f>
        <v>4</v>
      </c>
      <c r="T8" s="71">
        <f>IF(controls!$B$6=1,$AL$3*(1+('main page'!$K$35/100))^U8-$AL$3*(1+('main page'!$K$35/100))^U7,$AL$3*(1+('main page'!$G$8/100))*(1+('main page'!$K$35/100))^U8-$AL$3*(1+('main page'!$G$8/100))*(1+('main page'!$K$35/100))^U7)</f>
        <v>0</v>
      </c>
      <c r="U8" s="73">
        <v>1</v>
      </c>
      <c r="V8" s="161">
        <f ca="1">IF(controls!$B$4=1,IF(controls!$H7=1,controls!$B$34*V7+RAND()*('main page'!$K$16/100)-RAND()*('main page'!$K$16/100),0),0)</f>
        <v>0</v>
      </c>
      <c r="W8" s="40">
        <f ca="1">IF(controls!$B$4=1,IF(controls!$I7=1,controls!$B$34*W7+RAND()*('main page'!$K$16/100)-RAND()*('main page'!$K$16/100),0),0)</f>
        <v>0</v>
      </c>
      <c r="X8" s="49">
        <f ca="1">IF(controls!$B$33=1,D8-($I$3-'main page'!$K$27*2)*(1+('main page'!$K$35/100))^A7,D8-$AL$4)</f>
        <v>0</v>
      </c>
      <c r="Y8" s="49">
        <f ca="1">ABS(L8-('main page'!$U$8/100)*100)</f>
        <v>0</v>
      </c>
      <c r="AA8" s="49" t="e">
        <f ca="1">IF(controls!$B$33=1,(B9-B8*V9-I9+D8*W9+'main page'!$K$27*('main page'!$K$24+'main page'!$K$11)+K9)/'main page'!$K$31,(B9-B8*V9+D8*W9-H9+'main page'!$K$27*('main page'!$K$24+'main page'!$K$11)+J9)/'main page'!$K$31)</f>
        <v>#DIV/0!</v>
      </c>
      <c r="AB8" s="49" t="e">
        <f ca="1">IF(controls!$B$45=1,LOG(AF8,1.01)+LOG(AE8,1.01)-LOG(AD8,1.01),-((M8-('main page'!$K$24+'main page'!$K$11))/(1-'normal case'!$AO$3))+'normal case'!AA8)</f>
        <v>#DIV/0!</v>
      </c>
      <c r="AC8" s="176" t="e">
        <f t="shared" ca="1" si="2"/>
        <v>#DIV/0!</v>
      </c>
      <c r="AD8" s="49">
        <f t="shared" ca="1" si="3"/>
        <v>1.1040808032</v>
      </c>
      <c r="AE8" s="49">
        <f>AE7*(1+'main page'!$K$32/100)</f>
        <v>1</v>
      </c>
      <c r="AF8" s="49" t="e">
        <f ca="1">IF(ABS(IF(controls!$B$45=1,$AL$12,AD8*AC8/AE8)-AF7)&lt;0.00001,AF7,IF(controls!$B$45=1,$AL$12,AD8*AC8/AE8))</f>
        <v>#DIV/0!</v>
      </c>
      <c r="AG8" s="49">
        <f>IF(controls!$B$46=0,0,IF(controls!$B$33=2,B9-B8*V9-('normal case'!H9-D8*W9-'main page'!$K$27*'normal case'!M8+'main page'!$K$31*'normal case'!AB8)-(('main page'!$K$25*'main page'!$U$13*'main page'!$K$29)/(1+('main page'!$K$25^2)*'main page'!$U$13))*('normal case'!L8-'main page'!$U$8),B9-B8*V9-('normal case'!I9-D8*W9-'main page'!$K$27*'normal case'!M8+'main page'!$K$31*'normal case'!AB8)-(('main page'!$K$25*'main page'!$U$13*'main page'!$K$29)/(1+('main page'!$K$25^2)*'main page'!$U$13))*('normal case'!L8-'main page'!$U$8)))</f>
        <v>0</v>
      </c>
      <c r="AH8" s="68" t="s">
        <v>0</v>
      </c>
      <c r="AI8" s="67">
        <f>(controls!B9/100)*100</f>
        <v>2</v>
      </c>
      <c r="AK8" s="68" t="s">
        <v>91</v>
      </c>
      <c r="AL8" s="76">
        <f>('main page'!G8/100)*'normal case'!AL3</f>
        <v>0</v>
      </c>
      <c r="AM8" s="65"/>
      <c r="AN8" s="40"/>
      <c r="AO8" s="40"/>
      <c r="AP8" s="65"/>
      <c r="AQ8" s="65"/>
      <c r="AR8" s="65"/>
      <c r="AS8" s="65"/>
      <c r="AT8" s="65"/>
      <c r="AU8" s="65"/>
      <c r="AV8" s="65"/>
      <c r="AW8" s="48">
        <f ca="1">IF(ABS((D8/D7-1)-C7)&lt;0.000001,C7,D8/D7-1)</f>
        <v>0</v>
      </c>
      <c r="AX8" s="48">
        <f ca="1">IF(E8&gt;0,E8,0.1)</f>
        <v>100</v>
      </c>
      <c r="AY8" s="48">
        <f ca="1">IF(controls!$B$10=1,M7,IF(SUM(controls!$B$44:$B$46)=2,N8-'main page'!$K$29*'normal case'!L8-(1-'main page'!$K$29)*'main page'!$K$32,N8-'main page'!$K$29*'normal case'!L8-(1-'main page'!$K$29)*'main page'!$U$8))</f>
        <v>4</v>
      </c>
      <c r="AZ8" s="48">
        <f ca="1">IF(controls!$B$45=1,IF(controls!$B$46=1,'main page'!$K$24+'main page'!$U$8,'main page'!$K$24+'main page'!$K$32),IF(O8&lt;0,0,O8))</f>
        <v>6</v>
      </c>
      <c r="BA8" s="231">
        <f ca="1">'normal case'!L8</f>
        <v>2</v>
      </c>
      <c r="BB8" s="65"/>
      <c r="BC8" s="65"/>
      <c r="BD8" s="65"/>
      <c r="BE8" s="65"/>
    </row>
    <row r="9" spans="1:57">
      <c r="A9" s="48">
        <v>7</v>
      </c>
      <c r="B9" s="75">
        <f ca="1">IF(controls!$B$33=1,B8*(1+V9)+T9,B8*(1+V9))</f>
        <v>100</v>
      </c>
      <c r="C9" s="80">
        <f t="shared" ca="1" si="4"/>
        <v>0</v>
      </c>
      <c r="D9" s="77">
        <f t="shared" ca="1" si="0"/>
        <v>100</v>
      </c>
      <c r="E9" s="77">
        <f ca="1">AG8+IF(controls!$B$33=1,G9,F9)</f>
        <v>100</v>
      </c>
      <c r="F9" s="94">
        <f ca="1">IF(controls!$B$44=0,H9-'main page'!$K$27*M8,H9-'main page'!$K$27*M8+'main page'!$K$31*AB8)</f>
        <v>100</v>
      </c>
      <c r="G9" s="75">
        <f ca="1">IF(controls!$B$44=0,I9-'main page'!$K$27*M8,I9-'main page'!$K$27*M8+'main page'!$K$31*'normal case'!AB8)</f>
        <v>100</v>
      </c>
      <c r="H9" s="75">
        <f ca="1">IF(controls!$B$31=2,H8+D8*W9+J9,H8+D8*W9+J9-J8)</f>
        <v>108</v>
      </c>
      <c r="I9" s="75">
        <f ca="1">IF(controls!$B$31=2,I8+D8*W9+T9+K9,I8+D8*W9+T9+K9-K8)</f>
        <v>108</v>
      </c>
      <c r="J9" s="96">
        <f>IF(controls!B46=1,0,IF(controls!$B$30=2,(('main page'!$U$22/100))*'normal case'!H8,))</f>
        <v>0</v>
      </c>
      <c r="K9" s="96">
        <f>IF(controls!B46=1,0,IF(controls!$B$30=2,('main page'!$U$22/100)*'normal case'!I8,))</f>
        <v>0</v>
      </c>
      <c r="L9" s="75">
        <f ca="1">IF(ABS('main page'!$K$29*L8+(1-'main page'!$K$29)*($AL$11/100)*100+'main page'!$K$25*(D9-B9)-L8)&lt;0.0000001,L8,'main page'!$K$29*L8+(1-'main page'!$K$29)*($AL$11/100)*100+'main page'!$K$25*(D9-B9))</f>
        <v>2</v>
      </c>
      <c r="M9" s="96">
        <f ca="1">IF(controls!$B$10=1,M8,IF(SUM(controls!$B$44:$B$46)=2,N9-'main page'!$K$29*'normal case'!L9-(1-'main page'!$K$29)*'main page'!$K$32,N9-'main page'!$K$29*'normal case'!L9-(1-'main page'!$K$29)*'main page'!$U$8))</f>
        <v>4</v>
      </c>
      <c r="N9" s="208">
        <f ca="1">IF(controls!$B$45=1,IF(controls!$B$46=1,'main page'!$K$24+'main page'!$K$11+'main page'!$U$8,'main page'!$K$24+'main page'!$K$11+'main page'!$K$32),IF(controls!$B$44=1,IF(O9&lt;0,0,O9),IF(O9+'main page'!$K$11&lt;0,0,O9+'main page'!$K$11)))</f>
        <v>6</v>
      </c>
      <c r="O9" s="76">
        <f ca="1">IF(controls!$B$10=1,'normal case'!M9+'normal case'!L9,'normal case'!P9)</f>
        <v>6</v>
      </c>
      <c r="P9" s="74">
        <f t="shared" ca="1" si="1"/>
        <v>6</v>
      </c>
      <c r="Q9" s="210">
        <f ca="1">IF(controls!$B$44=0,R9+'main page'!$K$29*L9+(1-'main page'!$K$29)*'main page'!$U$8+(('main page'!$K$25*'main page'!$U$13*'main page'!$K$29)/('main page'!$K$27*(1+('main page'!$K$25^2)*'main page'!$U$13)))*(L9-('main page'!$U$8/100)*100),R9+'main page'!$K$29*L9+(1-'main page'!$K$29)*'main page'!$U$8+(('main page'!$K$25*'main page'!$U$13*'normal case'!$AO$3)/'normal case'!$AO$4)*('normal case'!L9-'main page'!$U$8))</f>
        <v>6</v>
      </c>
      <c r="R9" s="98">
        <f ca="1">IF(controls!$B$44=1,'main page'!$K$24+'main page'!$K$11,IF(controls!$B$33=1,((I10-D9*W10-K10-B10+B9*V10)/'main page'!$K$27)-'main page'!$K$11,((H10-D9*W10-J10-B10+B9*V10)/'main page'!$K$27)-'main page'!$K$11))</f>
        <v>4</v>
      </c>
      <c r="T9" s="71">
        <f>IF(controls!$B$6=1,$AL$3*(1+('main page'!$K$35/100))^U9-$AL$3*(1+('main page'!$K$35/100))^U8,$AL$3*(1+('main page'!$G$8/100))*(1+('main page'!$K$35/100))^U9-$AL$3*(1+('main page'!$G$8/100))*(1+('main page'!$K$35/100))^U8)</f>
        <v>0</v>
      </c>
      <c r="U9" s="73">
        <v>2</v>
      </c>
      <c r="V9" s="161">
        <v>0</v>
      </c>
      <c r="W9" s="40">
        <v>0</v>
      </c>
      <c r="X9" s="49">
        <f ca="1">IF(controls!$B$33=1,D9-($I$3-'main page'!$K$27*2)*(1+('main page'!$K$35/100))^A8,D9-$AL$4)</f>
        <v>0</v>
      </c>
      <c r="Y9" s="49">
        <f ca="1">ABS(L9-('main page'!$U$8/100)*100)</f>
        <v>0</v>
      </c>
      <c r="AA9" s="49" t="e">
        <f ca="1">IF(controls!$B$33=1,(B10-B9*V10-I10+D9*W10+'main page'!$K$27*('main page'!$K$24+'main page'!$K$11)+K10)/'main page'!$K$31,(B10-B9*V10+D9*W10-H10+'main page'!$K$27*('main page'!$K$24+'main page'!$K$11)+J10)/'main page'!$K$31)</f>
        <v>#DIV/0!</v>
      </c>
      <c r="AB9" s="49" t="e">
        <f ca="1">IF(controls!$B$45=1,LOG(AF9,1.01)+LOG(AE9,1.01)-LOG(AD9,1.01),-((M9-('main page'!$K$24+'main page'!$K$11))/(1-'normal case'!$AO$3))+'normal case'!AA9)</f>
        <v>#DIV/0!</v>
      </c>
      <c r="AC9" s="176" t="e">
        <f t="shared" ca="1" si="2"/>
        <v>#DIV/0!</v>
      </c>
      <c r="AD9" s="49">
        <f t="shared" ca="1" si="3"/>
        <v>1.1261624192640001</v>
      </c>
      <c r="AE9" s="49">
        <f>AE8*(1+'main page'!$K$32/100)</f>
        <v>1</v>
      </c>
      <c r="AF9" s="49" t="e">
        <f ca="1">IF(ABS(IF(controls!$B$45=1,$AL$12,AD9*AC9/AE9)-AF8)&lt;0.00001,AF8,IF(controls!$B$45=1,$AL$12,AD9*AC9/AE9))</f>
        <v>#DIV/0!</v>
      </c>
      <c r="AG9" s="49">
        <f>IF(controls!$B$46=0,0,IF(controls!$B$33=2,B10-B9*V10-('normal case'!H10-D9*W10-'main page'!$K$27*'normal case'!M9+'main page'!$K$31*'normal case'!AB9)-(('main page'!$K$25*'main page'!$U$13*'main page'!$K$29)/(1+('main page'!$K$25^2)*'main page'!$U$13))*('normal case'!L9-'main page'!$U$8),B10-B9*V10-('normal case'!I10-D9*W10-'main page'!$K$27*'normal case'!M9+'main page'!$K$31*'normal case'!AB9)-(('main page'!$K$25*'main page'!$U$13*'main page'!$K$29)/(1+('main page'!$K$25^2)*'main page'!$U$13))*('normal case'!L9-'main page'!$U$8)))</f>
        <v>0</v>
      </c>
      <c r="AH9" s="214" t="s">
        <v>185</v>
      </c>
      <c r="AI9" s="230">
        <f>(I6+'main page'!$K$27*$AL$5*('main page'!$K$35/100))/(1+('main page'!$K$35/100))</f>
        <v>108</v>
      </c>
      <c r="AK9" s="211" t="s">
        <v>130</v>
      </c>
      <c r="AL9" s="48">
        <v>0</v>
      </c>
      <c r="AM9" s="65"/>
      <c r="AN9" s="40"/>
      <c r="AO9" s="40"/>
      <c r="AP9" s="65"/>
      <c r="AQ9" s="65"/>
      <c r="AR9" s="65"/>
      <c r="AS9" s="65"/>
      <c r="AT9" s="65"/>
      <c r="AU9" s="65"/>
      <c r="AV9" s="65"/>
      <c r="BB9" s="65"/>
      <c r="BC9" s="65"/>
      <c r="BD9" s="65"/>
      <c r="BE9" s="65"/>
    </row>
    <row r="10" spans="1:57">
      <c r="A10" s="48">
        <v>8</v>
      </c>
      <c r="B10" s="75">
        <f ca="1">IF(controls!$B$33=1,B9*(1+V10)+T10,B9*(1+V10))</f>
        <v>100</v>
      </c>
      <c r="C10" s="80">
        <f t="shared" ca="1" si="4"/>
        <v>0</v>
      </c>
      <c r="D10" s="77">
        <f t="shared" ca="1" si="0"/>
        <v>100</v>
      </c>
      <c r="E10" s="77">
        <f ca="1">AG9+IF(controls!$B$33=1,G10,F10)</f>
        <v>100</v>
      </c>
      <c r="F10" s="94">
        <f ca="1">IF(controls!$B$44=0,H10-'main page'!$K$27*M9,H10-'main page'!$K$27*M9+'main page'!$K$31*AB9)</f>
        <v>100</v>
      </c>
      <c r="G10" s="75">
        <f ca="1">IF(controls!$B$44=0,I10-'main page'!$K$27*M9,I10-'main page'!$K$27*M9+'main page'!$K$31*'normal case'!AB9)</f>
        <v>100</v>
      </c>
      <c r="H10" s="75">
        <f ca="1">IF(controls!$B$31=2,H9+D9*W10+J10,H9+D9*W10+J10-J9)</f>
        <v>108</v>
      </c>
      <c r="I10" s="75">
        <f ca="1">IF(controls!$B$31=2,I9+D9*W10+T10+K10,I9+D9*W10+T10+K10-K9)</f>
        <v>108</v>
      </c>
      <c r="J10" s="96">
        <f>IF(controls!B46=1,0,IF(controls!$B$30=3,('main page'!$U$22/100)*'normal case'!H9,))</f>
        <v>0</v>
      </c>
      <c r="K10" s="96">
        <f>IF(controls!B46=1,0,IF(controls!$B$30=3,('main page'!$U$22/100)*'normal case'!I9,))</f>
        <v>0</v>
      </c>
      <c r="L10" s="75">
        <f ca="1">IF(ABS('main page'!$K$29*L9+(1-'main page'!$K$29)*($AL$11/100)*100+'main page'!$K$25*(D10-B10)-L9)&lt;0.0000001,L9,'main page'!$K$29*L9+(1-'main page'!$K$29)*($AL$11/100)*100+'main page'!$K$25*(D10-B10))</f>
        <v>2</v>
      </c>
      <c r="M10" s="96">
        <f ca="1">IF(controls!$B$10=1,M9,IF(SUM(controls!$B$44:$B$46)=2,N10-'main page'!$K$29*'normal case'!L10-(1-'main page'!$K$29)*'main page'!$K$32,N10-'main page'!$K$29*'normal case'!L10-(1-'main page'!$K$29)*'main page'!$U$8))</f>
        <v>4</v>
      </c>
      <c r="N10" s="208">
        <f ca="1">IF(controls!$B$45=1,IF(controls!$B$46=1,'main page'!$K$24+'main page'!$K$11+'main page'!$U$8,'main page'!$K$24+'main page'!$K$11+'main page'!$K$32),IF(controls!$B$44=1,IF(O10&lt;0,0,O10),IF(O10+'main page'!$K$11&lt;0,0,O10+'main page'!$K$11)))</f>
        <v>6</v>
      </c>
      <c r="O10" s="76">
        <f ca="1">IF(controls!$B$10=1,'normal case'!M10+'normal case'!L10,'normal case'!P10)</f>
        <v>6</v>
      </c>
      <c r="P10" s="74">
        <f t="shared" ca="1" si="1"/>
        <v>6</v>
      </c>
      <c r="Q10" s="210">
        <f ca="1">IF(controls!$B$44=0,R10+'main page'!$K$29*L10+(1-'main page'!$K$29)*'main page'!$U$8+(('main page'!$K$25*'main page'!$U$13*'main page'!$K$29)/('main page'!$K$27*(1+('main page'!$K$25^2)*'main page'!$U$13)))*(L10-('main page'!$U$8/100)*100),R10+'main page'!$K$29*L10+(1-'main page'!$K$29)*'main page'!$U$8+(('main page'!$K$25*'main page'!$U$13*'normal case'!$AO$3)/'normal case'!$AO$4)*('normal case'!L10-'main page'!$U$8))</f>
        <v>6</v>
      </c>
      <c r="R10" s="98">
        <f ca="1">IF(controls!$B$44=1,'main page'!$K$24+'main page'!$K$11,IF(controls!$B$33=1,((I11-D10*W11-K11-B11+B10*V11)/'main page'!$K$27)-'main page'!$K$11,((H11-D10*W11-J11-B11+B10*V11)/'main page'!$K$27)-'main page'!$K$11))</f>
        <v>4</v>
      </c>
      <c r="T10" s="71">
        <f>IF(controls!$B$6=1,$AL$3*(1+('main page'!$K$35/100))^U10-$AL$3*(1+('main page'!$K$35/100))^U9,$AL$3*(1+('main page'!$G$8/100))*(1+('main page'!$K$35/100))^U10-$AL$3*(1+('main page'!$G$8/100))*(1+('main page'!$K$35/100))^U9)</f>
        <v>0</v>
      </c>
      <c r="U10" s="73">
        <v>3</v>
      </c>
      <c r="V10" s="161">
        <v>0</v>
      </c>
      <c r="W10" s="40">
        <v>0</v>
      </c>
      <c r="X10" s="49">
        <f ca="1">IF(controls!$B$33=1,D10-($I$3-'main page'!$K$27*2)*(1+('main page'!$K$35/100))^A9,D10-$AL$4)</f>
        <v>0</v>
      </c>
      <c r="Y10" s="49">
        <f ca="1">ABS(L10-('main page'!$U$8/100)*100)</f>
        <v>0</v>
      </c>
      <c r="AA10" s="49" t="e">
        <f ca="1">IF(controls!$B$33=1,(B11-B10*V11-I11+D10*W11+'main page'!$K$27*('main page'!$K$24+'main page'!$K$11)+K11)/'main page'!$K$31,(B11-B10*V11+D10*W11-H11+'main page'!$K$27*('main page'!$K$24+'main page'!$K$11)+J11)/'main page'!$K$31)</f>
        <v>#DIV/0!</v>
      </c>
      <c r="AB10" s="49" t="e">
        <f ca="1">IF(controls!$B$45=1,LOG(AF10,1.01)+LOG(AE10,1.01)-LOG(AD10,1.01),-((M10-('main page'!$K$24+'main page'!$K$11))/(1-'normal case'!$AO$3))+'normal case'!AA10)</f>
        <v>#DIV/0!</v>
      </c>
      <c r="AC10" s="176" t="e">
        <f t="shared" ca="1" si="2"/>
        <v>#DIV/0!</v>
      </c>
      <c r="AD10" s="49">
        <f t="shared" ca="1" si="3"/>
        <v>1.14868566764928</v>
      </c>
      <c r="AE10" s="49">
        <f>AE9*(1+'main page'!$K$32/100)</f>
        <v>1</v>
      </c>
      <c r="AF10" s="49" t="e">
        <f ca="1">IF(ABS(IF(controls!$B$45=1,$AL$12,AD10*AC10/AE10)-AF9)&lt;0.00001,AF9,IF(controls!$B$45=1,$AL$12,AD10*AC10/AE10))</f>
        <v>#DIV/0!</v>
      </c>
      <c r="AG10" s="49">
        <f>IF(controls!$B$46=0,0,IF(controls!$B$33=2,B11-B10*V11-('normal case'!H11-D10*W11-'main page'!$K$27*'normal case'!M10+'main page'!$K$31*'normal case'!AB10)-(('main page'!$K$25*'main page'!$U$13*'main page'!$K$29)/(1+('main page'!$K$25^2)*'main page'!$U$13))*('normal case'!L10-'main page'!$U$8),B11-B10*V11-('normal case'!I11-D10*W11-'main page'!$K$27*'normal case'!M10+'main page'!$K$31*'normal case'!AB10)-(('main page'!$K$25*'main page'!$U$13*'main page'!$K$29)/(1+('main page'!$K$25^2)*'main page'!$U$13))*('normal case'!L10-'main page'!$U$8)))</f>
        <v>0</v>
      </c>
      <c r="AH10" s="214" t="s">
        <v>186</v>
      </c>
      <c r="AI10" s="48">
        <f>IF(controls!$B$33=1,($AL$3/(1+('main page'!$K$35/100))^2),B4)</f>
        <v>100</v>
      </c>
      <c r="AK10" s="108"/>
      <c r="AL10" s="108" t="s">
        <v>165</v>
      </c>
      <c r="AM10" s="181"/>
      <c r="AN10" s="40"/>
      <c r="AO10" s="40"/>
      <c r="AP10" s="65"/>
      <c r="AQ10" s="65"/>
      <c r="AR10" s="65"/>
      <c r="AS10" s="65"/>
      <c r="AT10" s="65"/>
      <c r="AU10" s="65"/>
      <c r="AV10" s="65"/>
      <c r="BB10" s="65"/>
      <c r="BC10" s="65"/>
      <c r="BD10" s="65"/>
      <c r="BE10" s="65"/>
    </row>
    <row r="11" spans="1:57">
      <c r="A11" s="48">
        <v>9</v>
      </c>
      <c r="B11" s="75">
        <f ca="1">IF(controls!$B$33=1,B10*(1+V11)+T11,B10*(1+V11))</f>
        <v>100</v>
      </c>
      <c r="C11" s="80">
        <f t="shared" ca="1" si="4"/>
        <v>0</v>
      </c>
      <c r="D11" s="77">
        <f t="shared" ca="1" si="0"/>
        <v>100</v>
      </c>
      <c r="E11" s="77">
        <f ca="1">AG10+IF(controls!$B$33=1,G11,F11)</f>
        <v>100</v>
      </c>
      <c r="F11" s="94">
        <f ca="1">IF(controls!$B$44=0,H11-'main page'!$K$27*M10,H11-'main page'!$K$27*M10+'main page'!$K$31*AB10)</f>
        <v>100</v>
      </c>
      <c r="G11" s="75">
        <f ca="1">IF(controls!$B$44=0,I11-'main page'!$K$27*M10,I11-'main page'!$K$27*M10+'main page'!$K$31*'normal case'!AB10)</f>
        <v>100</v>
      </c>
      <c r="H11" s="75">
        <f ca="1">IF(controls!$B$31=2,H10+D10*W11+J11,H10+D10*W11+J11-J10)</f>
        <v>108</v>
      </c>
      <c r="I11" s="75">
        <f ca="1">IF(controls!$B$31=2,I10+D10*W11+T11+K11,I10+D10*W11+T11+K11-K10)</f>
        <v>108</v>
      </c>
      <c r="J11" s="96">
        <f>IF(controls!B46=1,0,IF(controls!$B$30=4,('main page'!$U$22/100)*'normal case'!H10,))</f>
        <v>0</v>
      </c>
      <c r="K11" s="96">
        <f>IF(controls!B46=1,0,IF(controls!$B$30=4,('main page'!$U$22/100)*'normal case'!I10,))</f>
        <v>0</v>
      </c>
      <c r="L11" s="75">
        <f ca="1">IF(ABS('main page'!$K$29*L10+(1-'main page'!$K$29)*($AL$11/100)*100+'main page'!$K$25*(D11-B11)-L10)&lt;0.0000001,L10,'main page'!$K$29*L10+(1-'main page'!$K$29)*($AL$11/100)*100+'main page'!$K$25*(D11-B11))</f>
        <v>2</v>
      </c>
      <c r="M11" s="96">
        <f ca="1">IF(controls!$B$10=1,M10,IF(SUM(controls!$B$44:$B$46)=2,N11-'main page'!$K$29*'normal case'!L11-(1-'main page'!$K$29)*'main page'!$K$32,N11-'main page'!$K$29*'normal case'!L11-(1-'main page'!$K$29)*'main page'!$U$8))</f>
        <v>4</v>
      </c>
      <c r="N11" s="208">
        <f ca="1">IF(controls!$B$45=1,IF(controls!$B$46=1,'main page'!$K$24+'main page'!$K$11+'main page'!$U$8,'main page'!$K$24+'main page'!$K$11+'main page'!$K$32),IF(controls!$B$44=1,IF(O11&lt;0,0,O11),IF(O11+'main page'!$K$11&lt;0,0,O11+'main page'!$K$11)))</f>
        <v>6</v>
      </c>
      <c r="O11" s="76">
        <f ca="1">IF(controls!$B$10=1,'normal case'!M11+'normal case'!L11,'normal case'!P11)</f>
        <v>6</v>
      </c>
      <c r="P11" s="74">
        <f t="shared" ca="1" si="1"/>
        <v>6</v>
      </c>
      <c r="Q11" s="210">
        <f ca="1">IF(controls!$B$44=0,R11+'main page'!$K$29*L11+(1-'main page'!$K$29)*'main page'!$U$8+(('main page'!$K$25*'main page'!$U$13*'main page'!$K$29)/('main page'!$K$27*(1+('main page'!$K$25^2)*'main page'!$U$13)))*(L11-('main page'!$U$8/100)*100),R11+'main page'!$K$29*L11+(1-'main page'!$K$29)*'main page'!$U$8+(('main page'!$K$25*'main page'!$U$13*'normal case'!$AO$3)/'normal case'!$AO$4)*('normal case'!L11-'main page'!$U$8))</f>
        <v>6</v>
      </c>
      <c r="R11" s="98">
        <f ca="1">IF(controls!$B$44=1,'main page'!$K$24+'main page'!$K$11,IF(controls!$B$33=1,((I12-D11*W12-K12-B12+B11*V12)/'main page'!$K$27)-'main page'!$K$11,((H12-D11*W12-J12-B12+B11*V12)/'main page'!$K$27)-'main page'!$K$11))</f>
        <v>4</v>
      </c>
      <c r="T11" s="71">
        <f>IF(controls!$B$6=1,$AL$3*(1+('main page'!$K$35/100))^U11-$AL$3*(1+('main page'!$K$35/100))^U10,$AL$3*(1+('main page'!$G$8/100))*(1+('main page'!$K$35/100))^U11-$AL$3*(1+('main page'!$G$8/100))*(1+('main page'!$K$35/100))^U10)</f>
        <v>0</v>
      </c>
      <c r="U11" s="73">
        <v>4</v>
      </c>
      <c r="V11" s="161">
        <f ca="1">IF(controls!$B$4=1,IF(controls!$H10=1,controls!$B$34*V10+RAND()*('main page'!$K$16/100)-RAND()*('main page'!$K$16/100),0),0)</f>
        <v>0</v>
      </c>
      <c r="W11" s="40">
        <f ca="1">IF(controls!$B$4=1,IF(controls!$I10=1,controls!$B$34*W10+RAND()*('main page'!$K$16/100)-RAND()*('main page'!$K$16/100),0),0)</f>
        <v>0</v>
      </c>
      <c r="X11" s="49">
        <f ca="1">IF(controls!$B$33=1,D11-($I$3-'main page'!$K$27*2)*(1+('main page'!$K$35/100))^A10,D11-$AL$4)</f>
        <v>0</v>
      </c>
      <c r="Y11" s="49">
        <f ca="1">ABS(L11-('main page'!$U$8/100)*100)</f>
        <v>0</v>
      </c>
      <c r="AA11" s="49" t="e">
        <f ca="1">IF(controls!$B$33=1,(B12-B11*V12-I12+D11*W12+'main page'!$K$27*('main page'!$K$24+'main page'!$K$11)+K12)/'main page'!$K$31,(B12-B11*V12+D11*W12-H12+'main page'!$K$27*('main page'!$K$24+'main page'!$K$11)+J12)/'main page'!$K$31)</f>
        <v>#DIV/0!</v>
      </c>
      <c r="AB11" s="49" t="e">
        <f ca="1">IF(controls!$B$45=1,LOG(AF11,1.01)+LOG(AE11,1.01)-LOG(AD11,1.01),-((M11-('main page'!$K$24+'main page'!$K$11))/(1-'normal case'!$AO$3))+'normal case'!AA11)</f>
        <v>#DIV/0!</v>
      </c>
      <c r="AC11" s="176" t="e">
        <f t="shared" ca="1" si="2"/>
        <v>#DIV/0!</v>
      </c>
      <c r="AD11" s="49">
        <f t="shared" ca="1" si="3"/>
        <v>1.1716593810022657</v>
      </c>
      <c r="AE11" s="49">
        <f>AE10*(1+'main page'!$K$32/100)</f>
        <v>1</v>
      </c>
      <c r="AF11" s="49" t="e">
        <f ca="1">IF(ABS(IF(controls!$B$45=1,$AL$12,AD11*AC11/AE11)-AF10)&lt;0.00001,AF10,IF(controls!$B$45=1,$AL$12,AD11*AC11/AE11))</f>
        <v>#DIV/0!</v>
      </c>
      <c r="AG11" s="49">
        <f>IF(controls!$B$46=0,0,IF(controls!$B$33=2,B12-B11*V12-('normal case'!H12-D11*W12-'main page'!$K$27*'normal case'!M11+'main page'!$K$31*'normal case'!AB11)-(('main page'!$K$25*'main page'!$U$13*'main page'!$K$29)/(1+('main page'!$K$25^2)*'main page'!$U$13))*('normal case'!L11-'main page'!$U$8),B12-B11*V12-('normal case'!I12-D11*W12-'main page'!$K$27*'normal case'!M11+'main page'!$K$31*'normal case'!AB11)-(('main page'!$K$25*'main page'!$U$13*'main page'!$K$29)/(1+('main page'!$K$25^2)*'main page'!$U$13))*('normal case'!L11-'main page'!$U$8)))</f>
        <v>0</v>
      </c>
      <c r="AH11" s="65"/>
      <c r="AI11" s="58" t="b">
        <v>0</v>
      </c>
      <c r="AJ11" s="65"/>
      <c r="AK11" s="181" t="s">
        <v>166</v>
      </c>
      <c r="AL11" s="181">
        <f>IF(controls!$B$44+controls!$B$45+controls!$B$46=2,'main page'!$K$32,'main page'!$U$8)</f>
        <v>2</v>
      </c>
      <c r="AM11" s="181"/>
      <c r="AN11" s="40"/>
      <c r="AO11" s="40"/>
      <c r="AP11" s="65"/>
      <c r="AQ11" s="65"/>
      <c r="AR11" s="65"/>
      <c r="AS11" s="65"/>
      <c r="AT11" s="65"/>
      <c r="AU11" s="65"/>
      <c r="AV11" s="65"/>
      <c r="AW11" s="48">
        <f ca="1">IF(ABS((D11/D10-1)-C10)&lt;0.000001,C10,D11/D10-1)</f>
        <v>0</v>
      </c>
      <c r="AX11" s="48">
        <f ca="1">IF(E11&gt;0,E11,0.1)</f>
        <v>100</v>
      </c>
      <c r="AY11" s="48">
        <f ca="1">IF(controls!$B$10=1,M10,IF(SUM(controls!$B$44:$B$46)=2,N11-'main page'!$K$29*'normal case'!L11-(1-'main page'!$K$29)*'main page'!$K$32,N11-'main page'!$K$29*'normal case'!L11-(1-'main page'!$K$29)*'main page'!$U$8))</f>
        <v>4</v>
      </c>
      <c r="AZ11" s="48">
        <f ca="1">IF(controls!$B$45=1,IF(controls!$B$46=1,'main page'!$K$24+'main page'!$U$8,'main page'!$K$24+'main page'!$K$32),IF(O11&lt;0,0,O11))</f>
        <v>6</v>
      </c>
      <c r="BA11" s="231">
        <f ca="1">'normal case'!L11</f>
        <v>2</v>
      </c>
      <c r="BB11" s="65"/>
      <c r="BC11" s="65"/>
      <c r="BD11" s="65"/>
      <c r="BE11" s="65"/>
    </row>
    <row r="12" spans="1:57">
      <c r="A12" s="48">
        <v>10</v>
      </c>
      <c r="B12" s="75">
        <f ca="1">IF(controls!$B$33=1,B11*(1+V12)+T12,B11*(1+V12))</f>
        <v>100</v>
      </c>
      <c r="C12" s="80">
        <f t="shared" ca="1" si="4"/>
        <v>0</v>
      </c>
      <c r="D12" s="77">
        <f t="shared" ca="1" si="0"/>
        <v>100</v>
      </c>
      <c r="E12" s="77">
        <f ca="1">AG11+IF(controls!$B$33=1,G12,F12)</f>
        <v>100</v>
      </c>
      <c r="F12" s="77">
        <f ca="1">IF(controls!$B$44=0,H12-'main page'!$K$27*M11,H12-'main page'!$K$27*M11+'main page'!$K$31*AB11)</f>
        <v>100</v>
      </c>
      <c r="G12" s="75">
        <f ca="1">IF(controls!$B$44=0,I12-'main page'!$K$27*M11,I12-'main page'!$K$27*M11+'main page'!$K$31*'normal case'!AB11)</f>
        <v>100</v>
      </c>
      <c r="H12" s="75">
        <f ca="1">IF(controls!$B$31=2,H11+D11*W12+J12,H11+D11*W12+J12-J11)</f>
        <v>108</v>
      </c>
      <c r="I12" s="75">
        <f ca="1">IF(controls!$B$31=2,I11+D11*W12+T12+K12,I11+D11*W12+T12+K12-K11)</f>
        <v>108</v>
      </c>
      <c r="J12" s="96">
        <f>IF(controls!B46=1,0,IF(controls!$B$30=5,('main page'!$U$22/100)*'normal case'!H11,))</f>
        <v>0</v>
      </c>
      <c r="K12" s="96">
        <f>IF(controls!B46=1,0,IF(controls!$B$30=5,('main page'!$U$22/100)*'normal case'!I11,))</f>
        <v>0</v>
      </c>
      <c r="L12" s="75">
        <f ca="1">IF(ABS('main page'!$K$29*L11+(1-'main page'!$K$29)*(controls!$B$9/100)*100+'main page'!$K$25*(D12-B12)-L11)&lt;0.0000001,L11,'main page'!$K$29*L11+(1-'main page'!$K$29)*(controls!$B$9/100)*100+'main page'!$K$25*(D12-B12))</f>
        <v>2</v>
      </c>
      <c r="M12" s="96">
        <f ca="1">IF(controls!$B$10=1,M11,IF(SUM(controls!$B$44:$B$46)=2,N12-'main page'!$K$29*'normal case'!L12-(1-'main page'!$K$29)*'main page'!$K$32,N12-'main page'!$K$29*'normal case'!L12-(1-'main page'!$K$29)*controls!$B$9))</f>
        <v>4</v>
      </c>
      <c r="N12" s="208">
        <f ca="1">IF(controls!$B$45=1,IF(controls!$B$46=1,'main page'!$K$24+'main page'!$K$11+'main page'!$U$8,'main page'!$K$24+'main page'!$K$11+'main page'!$K$32),IF(controls!$B$44=1,IF(O12&lt;0,0,O12),IF(O12+'main page'!$K$11&lt;0,0,O12+'main page'!$K$11)))</f>
        <v>6</v>
      </c>
      <c r="O12" s="76">
        <f ca="1">IF(controls!$B$10=1,'normal case'!M12+'normal case'!L12,'normal case'!P12)</f>
        <v>6</v>
      </c>
      <c r="P12" s="74">
        <f t="shared" ca="1" si="1"/>
        <v>6</v>
      </c>
      <c r="Q12" s="210">
        <f ca="1">IF(controls!$B$44=0,R12+'main page'!$K$29*L12+(1-'main page'!$K$29)*controls!$B$9+(('main page'!$K$25*'main page'!$U$13*'main page'!$K$29)/('main page'!$K$27*(1+('main page'!$K$25^2)*'main page'!$U$13)))*(L12-controls!$B$9),R12+'main page'!$K$29*L12+(1-'main page'!$K$29)*controls!$B$9+(('main page'!$K$25*'main page'!$U$13*'normal case'!$AO$3)/'normal case'!$AO$4)*('normal case'!L12-controls!$B$9))</f>
        <v>6</v>
      </c>
      <c r="R12" s="98">
        <f ca="1">IF(controls!$B$44=1,'main page'!$K$24+'main page'!$K$11,IF(controls!$B$33=1,((I13-D12*W13-K13-B13+B12*V13)/'main page'!$K$27)-'main page'!$K$11,((H13-D12*W13-J13-B13+B12*V13)/'main page'!$K$27)-'main page'!$K$11))</f>
        <v>4</v>
      </c>
      <c r="S12" s="48"/>
      <c r="T12" s="71">
        <f>IF(controls!$B$6=1,$AL$3*(1+('main page'!$K$35/100))^U12-$AL$3*(1+('main page'!$K$35/100))^U11,$AL$3*(1+('main page'!$G$8/100))*(1+('main page'!$K$35/100))^U12-$AL$3*(1+('main page'!$G$8/100))*(1+('main page'!$K$35/100))^U11)</f>
        <v>0</v>
      </c>
      <c r="U12" s="73">
        <v>5</v>
      </c>
      <c r="V12" s="161">
        <v>0</v>
      </c>
      <c r="W12" s="40">
        <v>0</v>
      </c>
      <c r="X12" s="49">
        <f ca="1">IF(controls!$B$33=1,D12-($I$3-'main page'!$K$27*2)*(1+('main page'!$K$35/100))^A11,D12-$AL$4)</f>
        <v>0</v>
      </c>
      <c r="Y12" s="49">
        <f ca="1">ABS(L12-(controls!$B$9/100)*100)</f>
        <v>0</v>
      </c>
      <c r="AA12" s="49" t="e">
        <f ca="1">IF(controls!$B$33=1,(B13-B12*V13-I13+D12*W13+'main page'!$K$27*('main page'!$K$24+'main page'!$K$11)+K13)/'main page'!$K$31,(B13-B12*V13+D12*W13-H13+'main page'!$K$27*('main page'!$K$24+'main page'!$K$11)+J13)/'main page'!$K$31)</f>
        <v>#DIV/0!</v>
      </c>
      <c r="AB12" s="49" t="e">
        <f ca="1">IF(controls!$B$45=1,LOG(AF12,1.01)+LOG(AE12,1.01)-LOG(AD12,1.01),-((M12-('main page'!$K$24+'main page'!$K$11))/(1-'normal case'!$AO$3))+'normal case'!AA12)</f>
        <v>#DIV/0!</v>
      </c>
      <c r="AC12" s="176" t="e">
        <f t="shared" ca="1" si="2"/>
        <v>#DIV/0!</v>
      </c>
      <c r="AD12" s="49">
        <f t="shared" ca="1" si="3"/>
        <v>1.1950925686223111</v>
      </c>
      <c r="AE12" s="49">
        <f>AE11*(1+'main page'!$K$32/100)</f>
        <v>1</v>
      </c>
      <c r="AF12" s="49" t="e">
        <f ca="1">IF(ABS(IF(controls!$B$45=1,$AL$13,AD12*AC12/AE12)-AF11)&lt;0.00001,AF11,IF(controls!$B$45=1,$AL$13,AD12*AC12/AE12))</f>
        <v>#DIV/0!</v>
      </c>
      <c r="AG12" s="49">
        <f>IF(controls!$B$46=0,0,IF(controls!$B$33=2,B13-B12*V13-('normal case'!H13-D12*W13-'main page'!$K$27*'normal case'!M12+'main page'!$K$31*(LOG(AF11,1.01)+LOG(AE12,1.01)-LOG(AD12,1.01)))-(('main page'!$K$25*'main page'!$U$13*'main page'!$K$29)/(1+('main page'!$K$25^2)*'main page'!$U$13))*('normal case'!L12-'main page'!$U$8),B13-B12*V13-('normal case'!I13-D12*W13-'main page'!$K$27*'normal case'!M12+'main page'!$K$31*(LN(AF11)+LN(AE12)-LN(AD12)))-(('main page'!$K$25*'main page'!$U$13*'main page'!$K$29)/(1+('main page'!$K$25^2)*'main page'!$U$13))*('normal case'!L12-'main page'!$U$8)))</f>
        <v>0</v>
      </c>
      <c r="AK12" s="181" t="s">
        <v>159</v>
      </c>
      <c r="AL12" s="48">
        <v>1</v>
      </c>
      <c r="AN12" s="40"/>
      <c r="AO12" s="40"/>
    </row>
    <row r="13" spans="1:57">
      <c r="A13" s="48">
        <v>11</v>
      </c>
      <c r="B13" s="75">
        <f ca="1">IF(controls!$B$33=1,B12*(1+V13)+T13,B12*(1+V13))</f>
        <v>100</v>
      </c>
      <c r="C13" s="80">
        <f t="shared" ca="1" si="4"/>
        <v>0</v>
      </c>
      <c r="D13" s="77">
        <f t="shared" ca="1" si="0"/>
        <v>100</v>
      </c>
      <c r="E13" s="77">
        <f ca="1">AG12+IF(controls!$B$33=1,G13,F13)</f>
        <v>100</v>
      </c>
      <c r="F13" s="94">
        <f ca="1">IF(controls!$B$44=0,H13-'main page'!$K$27*M12,H13-'main page'!$K$27*M12+'main page'!$K$31*AB12)</f>
        <v>100</v>
      </c>
      <c r="G13" s="75">
        <f ca="1">IF(controls!$B$44=0,I13-'main page'!$K$27*M12,I13-'main page'!$K$27*M12+'main page'!$K$31*'normal case'!AB12)</f>
        <v>100</v>
      </c>
      <c r="H13" s="75">
        <f ca="1">IF(controls!$B$31=2,H12+D12*W13+J13,H12+D12*W13+J13-J12)</f>
        <v>108</v>
      </c>
      <c r="I13" s="75">
        <f ca="1">IF(controls!$B$31=2,I12+D12*W13+T13+K13,I12+D12*W13+T13+K13-K12)</f>
        <v>108</v>
      </c>
      <c r="J13" s="96">
        <f>IF(controls!B46=1,0,IF(controls!$B$30=6,('main page'!$U$22/100)*'normal case'!H12,))</f>
        <v>0</v>
      </c>
      <c r="K13" s="96">
        <f>IF(controls!B46=1,0,IF(controls!$B$30=6,('main page'!$U$22/100)*'normal case'!I12,))</f>
        <v>0</v>
      </c>
      <c r="L13" s="75">
        <f ca="1">IF(ABS('main page'!$K$29*L12+(1-'main page'!$K$29)*(controls!$B$9/100)*100+'main page'!$K$25*(D13-B13)-L12)&lt;0.0000001,L12,'main page'!$K$29*L12+(1-'main page'!$K$29)*(controls!$B$9/100)*100+'main page'!$K$25*(D13-B13))</f>
        <v>2</v>
      </c>
      <c r="M13" s="96">
        <f ca="1">IF(controls!$B$10=1,M12,IF(SUM(controls!$B$44:$B$46)=2,N13-'main page'!$K$29*'normal case'!L13-(1-'main page'!$K$29)*'main page'!$K$32,N13-'main page'!$K$29*'normal case'!L13-(1-'main page'!$K$29)*controls!$B$9))</f>
        <v>4</v>
      </c>
      <c r="N13" s="208">
        <f ca="1">IF(controls!$B$45=1,IF(controls!$B$46=1,'main page'!$K$24+'main page'!$K$11+'main page'!$U$8,'main page'!$K$24+'main page'!$K$11+'main page'!$K$32),IF(controls!$B$44=1,IF(O13&lt;0,0,O13),IF(O13+'main page'!$K$11&lt;0,0,O13+'main page'!$K$11)))</f>
        <v>6</v>
      </c>
      <c r="O13" s="76">
        <f ca="1">IF(controls!$B$10=1,'normal case'!M13+'normal case'!L13,'normal case'!P13)</f>
        <v>6</v>
      </c>
      <c r="P13" s="74">
        <f t="shared" ca="1" si="1"/>
        <v>6</v>
      </c>
      <c r="Q13" s="210">
        <f ca="1">IF(controls!$B$44=0,R13+'main page'!$K$29*L13+(1-'main page'!$K$29)*controls!$B$9+(('main page'!$K$25*'main page'!$U$13*'main page'!$K$29)/('main page'!$K$27*(1+('main page'!$K$25^2)*'main page'!$U$13)))*(L13-controls!$B$9),R13+'main page'!$K$29*L13+(1-'main page'!$K$29)*controls!$B$9+(('main page'!$K$25*'main page'!$U$13*'normal case'!$AO$3)/'normal case'!$AO$4)*('normal case'!L13-controls!$B$9))</f>
        <v>6</v>
      </c>
      <c r="R13" s="98">
        <f ca="1">IF(controls!$B$44=1,'main page'!$K$24+'main page'!$K$11,IF(controls!$B$33=1,((I14-D13*W14-K14-B14+B13*V14)/'main page'!$K$27)-'main page'!$K$11,((H14-D13*W14-J14-B14+B13*V14)/'main page'!$K$27)-'main page'!$K$11))</f>
        <v>4</v>
      </c>
      <c r="T13" s="71">
        <f>IF(controls!$B$6=1,$AL$3*(1+('main page'!$K$35/100))^U13-$AL$3*(1+('main page'!$K$35/100))^U12,$AL$3*(1+('main page'!$G$8/100))*(1+('main page'!$K$35/100))^U13-$AL$3*(1+('main page'!$G$8/100))*(1+('main page'!$K$35/100))^U12)</f>
        <v>0</v>
      </c>
      <c r="U13" s="73">
        <v>6</v>
      </c>
      <c r="V13" s="161">
        <v>0</v>
      </c>
      <c r="W13" s="40">
        <v>0</v>
      </c>
      <c r="X13" s="49">
        <f ca="1">IF(controls!$B$33=1,D13-($I$3-'main page'!$K$27*2)*(1+('main page'!$K$35/100))^A12,D13-$AL$4)</f>
        <v>0</v>
      </c>
      <c r="Y13" s="49">
        <f ca="1">ABS(L13-(controls!$B$9/100)*100)</f>
        <v>0</v>
      </c>
      <c r="AA13" s="49" t="e">
        <f ca="1">IF(controls!$B$33=1,(B14-B13*V14-I14+D13*W14+'main page'!$K$27*('main page'!$K$24+'main page'!$K$11)+K14)/'main page'!$K$31,(B14-B13*V14+D13*W14-H14+'main page'!$K$27*('main page'!$K$24+'main page'!$K$11)+J14)/'main page'!$K$31)</f>
        <v>#DIV/0!</v>
      </c>
      <c r="AB13" s="49" t="e">
        <f ca="1">IF(controls!$B$45=1,LOG(AF13,1.01)+LOG(AE13,1.01)-LOG(AD13,1.01),-((M13-('main page'!$K$24+'main page'!$K$11))/(1-'normal case'!$AO$3))+'normal case'!AA13)</f>
        <v>#DIV/0!</v>
      </c>
      <c r="AC13" s="176" t="e">
        <f t="shared" ca="1" si="2"/>
        <v>#DIV/0!</v>
      </c>
      <c r="AD13" s="49">
        <f t="shared" ca="1" si="3"/>
        <v>1.2189944199947573</v>
      </c>
      <c r="AE13" s="49">
        <f>AE12*(1+'main page'!$K$32/100)</f>
        <v>1</v>
      </c>
      <c r="AF13" s="49" t="e">
        <f ca="1">IF(ABS(IF(controls!$B$45=1,$AL$13,AD13*AC13/AE13)-AF12)&lt;0.00001,AF12,IF(controls!$B$45=1,$AL$13,AD13*AC13/AE13))</f>
        <v>#DIV/0!</v>
      </c>
      <c r="AG13" s="49">
        <f>IF(controls!$B$46=0,0,IF(controls!$B$33=2,B14-B13*V14-('normal case'!H14-D13*W14-'main page'!$K$27*'normal case'!M13+'main page'!$K$31*'normal case'!AB13)-(('main page'!$K$25*'main page'!$U$13*'main page'!$K$29)/(1+('main page'!$K$25^2)*'main page'!$U$13))*('normal case'!L13-'main page'!$U$8),B14-B13*V14-('normal case'!I14-D13*W14-'main page'!$K$27*'normal case'!M13+'main page'!$K$31*'normal case'!AB13)-(('main page'!$K$25*'main page'!$U$13*'main page'!$K$29)/(1+('main page'!$K$25^2)*'main page'!$U$13))*('normal case'!L13-'main page'!$U$8)))</f>
        <v>0</v>
      </c>
      <c r="AK13" s="181" t="s">
        <v>160</v>
      </c>
      <c r="AL13" s="48">
        <f>AL12*(1+'main page'!U16/100)</f>
        <v>1</v>
      </c>
      <c r="AN13" s="40"/>
      <c r="AO13" s="40"/>
    </row>
    <row r="14" spans="1:57">
      <c r="A14" s="48">
        <v>12</v>
      </c>
      <c r="B14" s="75">
        <f ca="1">IF(controls!$B$33=1,B13*(1+V14)+T14,B13*(1+V14))</f>
        <v>100</v>
      </c>
      <c r="C14" s="80">
        <f t="shared" ca="1" si="4"/>
        <v>0</v>
      </c>
      <c r="D14" s="77">
        <f t="shared" ca="1" si="0"/>
        <v>100</v>
      </c>
      <c r="E14" s="77">
        <f ca="1">AG13+IF(controls!$B$33=1,G14,F14)</f>
        <v>100</v>
      </c>
      <c r="F14" s="94">
        <f ca="1">IF(controls!$B$44=0,H14-'main page'!$K$27*M13,H14-'main page'!$K$27*M13+'main page'!$K$31*AB13)</f>
        <v>100</v>
      </c>
      <c r="G14" s="75">
        <f ca="1">IF(controls!$B$44=0,I14-'main page'!$K$27*M13,I14-'main page'!$K$27*M13+'main page'!$K$31*'normal case'!AB13)</f>
        <v>100</v>
      </c>
      <c r="H14" s="75">
        <f ca="1">IF(controls!$B$31=2,H13+D13*W14+J14,H13+D13*W14+J14-J13)</f>
        <v>108</v>
      </c>
      <c r="I14" s="75">
        <f ca="1">IF(controls!$B$31=2,I13+D13*W14+T14+K14,I13+D13*W14+T14+K14-K13)</f>
        <v>108</v>
      </c>
      <c r="J14" s="96">
        <f>IF(controls!B46=1,0,IF(controls!$B$30=7,('main page'!$U$22/100)*'normal case'!H13,))</f>
        <v>0</v>
      </c>
      <c r="K14" s="96">
        <f>IF(controls!B46=1,0,IF(controls!$B$30=7,('main page'!$U$22/100)*'normal case'!I13,))</f>
        <v>0</v>
      </c>
      <c r="L14" s="75">
        <f ca="1">IF(ABS('main page'!$K$29*L13+(1-'main page'!$K$29)*(controls!$B$9/100)*100+'main page'!$K$25*(D14-B14)-L13)&lt;0.0000001,L13,'main page'!$K$29*L13+(1-'main page'!$K$29)*(controls!$B$9/100)*100+'main page'!$K$25*(D14-B14))</f>
        <v>2</v>
      </c>
      <c r="M14" s="96">
        <f ca="1">IF(controls!$B$10=1,M13,IF(SUM(controls!$B$44:$B$46)=2,N14-'main page'!$K$29*'normal case'!L14-(1-'main page'!$K$29)*'main page'!$K$32,N14-'main page'!$K$29*'normal case'!L14-(1-'main page'!$K$29)*controls!$B$9))</f>
        <v>4</v>
      </c>
      <c r="N14" s="208">
        <f ca="1">IF(controls!$B$45=1,IF(controls!$B$46=1,'main page'!$K$24+'main page'!$K$11+'main page'!$U$8,'main page'!$K$24+'main page'!$K$11+'main page'!$K$32),IF(controls!$B$44=1,IF(O14&lt;0,0,O14),IF(O14+'main page'!$K$11&lt;0,0,O14+'main page'!$K$11)))</f>
        <v>6</v>
      </c>
      <c r="O14" s="76">
        <f ca="1">IF(controls!$B$10=1,'normal case'!M14+'normal case'!L14,'normal case'!P14)</f>
        <v>6</v>
      </c>
      <c r="P14" s="74">
        <f t="shared" ca="1" si="1"/>
        <v>6</v>
      </c>
      <c r="Q14" s="210">
        <f ca="1">IF(controls!$B$44=0,R14+'main page'!$K$29*L14+(1-'main page'!$K$29)*controls!$B$9+(('main page'!$K$25*'main page'!$U$13*'main page'!$K$29)/('main page'!$K$27*(1+('main page'!$K$25^2)*'main page'!$U$13)))*(L14-controls!$B$9),R14+'main page'!$K$29*L14+(1-'main page'!$K$29)*controls!$B$9+(('main page'!$K$25*'main page'!$U$13*'normal case'!$AO$3)/'normal case'!$AO$4)*('normal case'!L14-controls!$B$9))</f>
        <v>6</v>
      </c>
      <c r="R14" s="98">
        <f ca="1">IF(controls!$B$44=1,'main page'!$K$24+'main page'!$K$11,IF(controls!$B$33=1,((I15-D14*W15-K15-B15+B14*V15)/'main page'!$K$27)-'main page'!$K$11,((H15-D14*W15-J15-B15+B14*V15)/'main page'!$K$27)-'main page'!$K$11))</f>
        <v>4</v>
      </c>
      <c r="T14" s="71">
        <f>IF(controls!$B$6=1,$AL$3*(1+('main page'!$K$35/100))^U14-$AL$3*(1+('main page'!$K$35/100))^U13,$AL$3*(1+('main page'!$G$8/100))*(1+('main page'!$K$35/100))^U14-$AL$3*(1+('main page'!$G$8/100))*(1+('main page'!$K$35/100))^U13)</f>
        <v>0</v>
      </c>
      <c r="U14" s="73">
        <v>7</v>
      </c>
      <c r="V14" s="161">
        <f ca="1">IF(controls!$B$4=1,IF(controls!$H13=1,controls!$B$34*V13+RAND()*('main page'!$K$16/100)-RAND()*('main page'!$K$16/100),0),0)</f>
        <v>0</v>
      </c>
      <c r="W14" s="40">
        <f ca="1">IF(controls!$B$4=1,IF(controls!$I13=1,controls!$B$34*W13+RAND()*('main page'!$K$16/100)-RAND()*('main page'!$K$16/100),0),0)</f>
        <v>0</v>
      </c>
      <c r="X14" s="49">
        <f ca="1">IF(controls!$B$33=1,D14-($I$3-'main page'!$K$27*2)*(1+('main page'!$K$35/100))^A13,D14-$AL$4)</f>
        <v>0</v>
      </c>
      <c r="Y14" s="49">
        <f ca="1">ABS(L14-(controls!$B$9/100)*100)</f>
        <v>0</v>
      </c>
      <c r="AA14" s="49" t="e">
        <f ca="1">IF(controls!$B$33=1,(B15-B14*V15-I15+D14*W15+'main page'!$K$27*('main page'!$K$24+'main page'!$K$11)+K15)/'main page'!$K$31,(B15-B14*V15+D14*W15-H15+'main page'!$K$27*('main page'!$K$24+'main page'!$K$11)+J15)/'main page'!$K$31)</f>
        <v>#DIV/0!</v>
      </c>
      <c r="AB14" s="49" t="e">
        <f ca="1">IF(controls!$B$45=1,LOG(AF14,1.01)+LOG(AE14,1.01)-LOG(AD14,1.01),-((M14-('main page'!$K$24+'main page'!$K$11))/(1-'normal case'!$AO$3))+'normal case'!AA14)</f>
        <v>#DIV/0!</v>
      </c>
      <c r="AC14" s="176" t="e">
        <f t="shared" ca="1" si="2"/>
        <v>#DIV/0!</v>
      </c>
      <c r="AD14" s="49">
        <f t="shared" ca="1" si="3"/>
        <v>1.2433743083946525</v>
      </c>
      <c r="AE14" s="49">
        <f>AE13*(1+'main page'!$K$32/100)</f>
        <v>1</v>
      </c>
      <c r="AF14" s="49" t="e">
        <f ca="1">IF(ABS(IF(controls!$B$45=1,$AL$13,AD14*AC14/AE14)-AF13)&lt;0.00001,AF13,IF(controls!$B$45=1,$AL$13,AD14*AC14/AE14))</f>
        <v>#DIV/0!</v>
      </c>
      <c r="AG14" s="49">
        <f>IF(controls!$B$46=0,0,IF(controls!$B$33=2,B15-B14*V15-('normal case'!H15-D14*W15-'main page'!$K$27*'normal case'!M14+'main page'!$K$31*'normal case'!AB14)-(('main page'!$K$25*'main page'!$U$13*'main page'!$K$29)/(1+('main page'!$K$25^2)*'main page'!$U$13))*('normal case'!L14-'main page'!$U$8),B15-B14*V15-('normal case'!I15-D14*W15-'main page'!$K$27*'normal case'!M14+'main page'!$K$31*'normal case'!AB14)-(('main page'!$K$25*'main page'!$U$13*'main page'!$K$29)/(1+('main page'!$K$25^2)*'main page'!$U$13))*('normal case'!L14-'main page'!$U$8)))</f>
        <v>0</v>
      </c>
      <c r="AN14" s="40"/>
      <c r="AO14" s="40"/>
      <c r="AW14" s="48">
        <f ca="1">IF(ABS((D14/D13-1)-C13)&lt;0.000001,C13,D14/D13-1)</f>
        <v>0</v>
      </c>
      <c r="AX14" s="48">
        <f ca="1">IF(E14&gt;0,E14,0.1)</f>
        <v>100</v>
      </c>
      <c r="AY14" s="48">
        <f ca="1">IF(controls!$B$10=1,M13,IF(SUM(controls!$B$44:$B$46)=2,N14-'main page'!$K$29*'normal case'!L14-(1-'main page'!$K$29)*'main page'!$K$32,N14-'main page'!$K$29*'normal case'!L14-(1-'main page'!$K$29)*'main page'!$U$8))</f>
        <v>4</v>
      </c>
      <c r="AZ14" s="48">
        <f ca="1">IF(controls!$B$45=1,IF(controls!$B$46=1,'main page'!$K$24+'main page'!$U$8,'main page'!$K$24+'main page'!$K$32),IF(O14&lt;0,0,O14))</f>
        <v>6</v>
      </c>
      <c r="BA14" s="231">
        <f ca="1">'normal case'!L14</f>
        <v>2</v>
      </c>
    </row>
    <row r="15" spans="1:57">
      <c r="A15" s="48">
        <v>13</v>
      </c>
      <c r="B15" s="75">
        <f ca="1">IF(controls!$B$33=1,B14*(1+V15)+T15,B14*(1+V15))</f>
        <v>100</v>
      </c>
      <c r="C15" s="80">
        <f t="shared" ca="1" si="4"/>
        <v>0</v>
      </c>
      <c r="D15" s="77">
        <f t="shared" ca="1" si="0"/>
        <v>100</v>
      </c>
      <c r="E15" s="77">
        <f ca="1">AG14+IF(controls!$B$33=1,G15,F15)</f>
        <v>100</v>
      </c>
      <c r="F15" s="94">
        <f ca="1">IF(controls!$B$44=0,H15-'main page'!$K$27*M14,H15-'main page'!$K$27*M14+'main page'!$K$31*AB14)</f>
        <v>100</v>
      </c>
      <c r="G15" s="75">
        <f ca="1">IF(controls!$B$44=0,I15-'main page'!$K$27*M14,I15-'main page'!$K$27*M14+'main page'!$K$31*'normal case'!AB14)</f>
        <v>100</v>
      </c>
      <c r="H15" s="75">
        <f ca="1">IF(controls!$B$31=2,H14+D14*W15+J15,H14+D14*W15+J15-J14)</f>
        <v>108</v>
      </c>
      <c r="I15" s="75">
        <f ca="1">IF(controls!$B$31=2,I14+D14*W15+T15+K15,I14+D14*W15+T15+K15-K14)</f>
        <v>108</v>
      </c>
      <c r="J15" s="96">
        <f>IF(controls!B46=1,0,IF(controls!$B$30=8,('main page'!$U$22/100)*'normal case'!H14,))</f>
        <v>0</v>
      </c>
      <c r="K15" s="96">
        <f>IF(controls!B46=1,0,IF(controls!$B$30=8,('main page'!$U$22/100)*'normal case'!I14,))</f>
        <v>0</v>
      </c>
      <c r="L15" s="75">
        <f ca="1">IF(ABS('main page'!$K$29*L14+(1-'main page'!$K$29)*(controls!$B$9/100)*100+'main page'!$K$25*(D15-B15)-L14)&lt;0.0000001,L14,'main page'!$K$29*L14+(1-'main page'!$K$29)*(controls!$B$9/100)*100+'main page'!$K$25*(D15-B15))</f>
        <v>2</v>
      </c>
      <c r="M15" s="96">
        <f ca="1">IF(controls!$B$10=1,M14,IF(SUM(controls!$B$44:$B$46)=2,N15-'main page'!$K$29*'normal case'!L15-(1-'main page'!$K$29)*'main page'!$K$32,N15-'main page'!$K$29*'normal case'!L15-(1-'main page'!$K$29)*controls!$B$9))</f>
        <v>4</v>
      </c>
      <c r="N15" s="208">
        <f ca="1">IF(controls!$B$45=1,IF(controls!$B$46=1,'main page'!$K$24+'main page'!$K$11+'main page'!$U$8,'main page'!$K$24+'main page'!$K$11+'main page'!$K$32),IF(controls!$B$44=1,IF(O15&lt;0,0,O15),IF(O15+'main page'!$K$11&lt;0,0,O15+'main page'!$K$11)))</f>
        <v>6</v>
      </c>
      <c r="O15" s="76">
        <f ca="1">IF(controls!$B$10=1,'normal case'!M15+'normal case'!L15,'normal case'!P15)</f>
        <v>6</v>
      </c>
      <c r="P15" s="74">
        <f t="shared" ca="1" si="1"/>
        <v>6</v>
      </c>
      <c r="Q15" s="210">
        <f ca="1">IF(controls!$B$44=0,R15+'main page'!$K$29*L15+(1-'main page'!$K$29)*controls!$B$9+(('main page'!$K$25*'main page'!$U$13*'main page'!$K$29)/('main page'!$K$27*(1+('main page'!$K$25^2)*'main page'!$U$13)))*(L15-controls!$B$9),R15+'main page'!$K$29*L15+(1-'main page'!$K$29)*controls!$B$9+(('main page'!$K$25*'main page'!$U$13*'normal case'!$AO$3)/'normal case'!$AO$4)*('normal case'!L15-controls!$B$9))</f>
        <v>6</v>
      </c>
      <c r="R15" s="98">
        <f ca="1">IF(controls!$B$44=1,'main page'!$K$24+'main page'!$K$11,IF(controls!$B$33=1,((I16-D15*W16-K16-B16+B15*V16)/'main page'!$K$27)-'main page'!$K$11,((H16-D15*W16-J16-B16+B15*V16)/'main page'!$K$27)-'main page'!$K$11))</f>
        <v>4</v>
      </c>
      <c r="T15" s="71">
        <f>IF(controls!$B$6=1,$AL$3*(1+('main page'!$K$35/100))^U15-$AL$3*(1+('main page'!$K$35/100))^U14,$AL$3*(1+('main page'!$G$8/100))*(1+('main page'!$K$35/100))^U15-$AL$3*(1+('main page'!$G$8/100))*(1+('main page'!$K$35/100))^U14)</f>
        <v>0</v>
      </c>
      <c r="U15" s="73">
        <v>8</v>
      </c>
      <c r="V15" s="161">
        <v>0</v>
      </c>
      <c r="W15" s="40">
        <v>0</v>
      </c>
      <c r="X15" s="49">
        <f ca="1">IF(controls!$B$33=1,D15-($I$3-'main page'!$K$27*2)*(1+('main page'!$K$35/100))^A14,D15-$AL$4)</f>
        <v>0</v>
      </c>
      <c r="Y15" s="49">
        <f ca="1">ABS(L15-(controls!$B$9/100)*100)</f>
        <v>0</v>
      </c>
      <c r="AA15" s="49" t="e">
        <f ca="1">IF(controls!$B$33=1,(B16-B15*V16-I16+D15*W16+'main page'!$K$27*('main page'!$K$24+'main page'!$K$11)+K16)/'main page'!$K$31,(B16-B15*V16+D15*W16-H16+'main page'!$K$27*('main page'!$K$24+'main page'!$K$11)+J16)/'main page'!$K$31)</f>
        <v>#DIV/0!</v>
      </c>
      <c r="AB15" s="49" t="e">
        <f ca="1">IF(controls!$B$45=1,LOG(AF15,1.01)+LOG(AE15,1.01)-LOG(AD15,1.01),-((M15-('main page'!$K$24+'main page'!$K$11))/(1-'normal case'!$AO$3))+'normal case'!AA15)</f>
        <v>#DIV/0!</v>
      </c>
      <c r="AC15" s="176" t="e">
        <f t="shared" ca="1" si="2"/>
        <v>#DIV/0!</v>
      </c>
      <c r="AD15" s="49">
        <f t="shared" ca="1" si="3"/>
        <v>1.2682417945625455</v>
      </c>
      <c r="AE15" s="49">
        <f>AE14*(1+'main page'!$K$32/100)</f>
        <v>1</v>
      </c>
      <c r="AF15" s="49" t="e">
        <f ca="1">IF(ABS(IF(controls!$B$45=1,$AL$13,AD15*AC15/AE15)-AF14)&lt;0.00001,AF14,IF(controls!$B$45=1,$AL$13,AD15*AC15/AE15))</f>
        <v>#DIV/0!</v>
      </c>
      <c r="AG15" s="49">
        <f>IF(controls!$B$46=0,0,IF(controls!$B$33=2,B16-B15*V16-('normal case'!H16-D15*W16-'main page'!$K$27*'normal case'!M15+'main page'!$K$31*'normal case'!AB15)-(('main page'!$K$25*'main page'!$U$13*'main page'!$K$29)/(1+('main page'!$K$25^2)*'main page'!$U$13))*('normal case'!L15-'main page'!$U$8),B16-B15*V16-('normal case'!I16-D15*W16-'main page'!$K$27*'normal case'!M15+'main page'!$K$31*'normal case'!AB15)-(('main page'!$K$25*'main page'!$U$13*'main page'!$K$29)/(1+('main page'!$K$25^2)*'main page'!$U$13))*('normal case'!L15-'main page'!$U$8)))</f>
        <v>0</v>
      </c>
      <c r="AN15" s="40"/>
      <c r="AO15" s="40"/>
    </row>
    <row r="16" spans="1:57">
      <c r="A16" s="48">
        <v>14</v>
      </c>
      <c r="B16" s="75">
        <f ca="1">IF(controls!$B$33=1,B15*(1+V16)+T16,B15*(1+V16))</f>
        <v>100</v>
      </c>
      <c r="C16" s="80">
        <f t="shared" ca="1" si="4"/>
        <v>0</v>
      </c>
      <c r="D16" s="77">
        <f t="shared" ca="1" si="0"/>
        <v>100</v>
      </c>
      <c r="E16" s="77">
        <f ca="1">AG15+IF(controls!$B$33=1,G16,F16)</f>
        <v>100</v>
      </c>
      <c r="F16" s="94">
        <f ca="1">IF(controls!$B$44=0,H16-'main page'!$K$27*M15,H16-'main page'!$K$27*M15+'main page'!$K$31*AB15)</f>
        <v>100</v>
      </c>
      <c r="G16" s="75">
        <f ca="1">IF(controls!$B$44=0,I16-'main page'!$K$27*M15,I16-'main page'!$K$27*M15+'main page'!$K$31*'normal case'!AB15)</f>
        <v>100</v>
      </c>
      <c r="H16" s="75">
        <f ca="1">IF(controls!$B$31=2,H15+D15*W16+J16,H15+D15*W16+J16-J15)</f>
        <v>108</v>
      </c>
      <c r="I16" s="75">
        <f ca="1">IF(controls!$B$31=2,I15+D15*W16+T16+K16,I15+D15*W16+T16+K16-K15)</f>
        <v>108</v>
      </c>
      <c r="J16" s="96">
        <f>IF(controls!B46=1,0,IF(controls!$B$30=9,('main page'!$U$22/100)*'normal case'!H15,))</f>
        <v>0</v>
      </c>
      <c r="K16" s="96">
        <f>IF(controls!B46=1,0,IF(controls!$B$30=9,('main page'!$U$22/100)*'normal case'!I15,))</f>
        <v>0</v>
      </c>
      <c r="L16" s="75">
        <f ca="1">IF(ABS('main page'!$K$29*L15+(1-'main page'!$K$29)*(controls!$B$9/100)*100+'main page'!$K$25*(D16-B16)-L15)&lt;0.0000001,L15,'main page'!$K$29*L15+(1-'main page'!$K$29)*(controls!$B$9/100)*100+'main page'!$K$25*(D16-B16))</f>
        <v>2</v>
      </c>
      <c r="M16" s="96">
        <f ca="1">IF(controls!$B$10=1,M15,IF(SUM(controls!$B$44:$B$46)=2,N16-'main page'!$K$29*'normal case'!L16-(1-'main page'!$K$29)*'main page'!$K$32,N16-'main page'!$K$29*'normal case'!L16-(1-'main page'!$K$29)*controls!$B$9))</f>
        <v>4</v>
      </c>
      <c r="N16" s="208">
        <f ca="1">IF(controls!$B$45=1,IF(controls!$B$46=1,'main page'!$K$24+'main page'!$K$11+'main page'!$U$8,'main page'!$K$24+'main page'!$K$11+'main page'!$K$32),IF(controls!$B$44=1,IF(O16&lt;0,0,O16),IF(O16+'main page'!$K$11&lt;0,0,O16+'main page'!$K$11)))</f>
        <v>6</v>
      </c>
      <c r="O16" s="76">
        <f ca="1">IF(controls!$B$10=1,'normal case'!M16+'normal case'!L16,'normal case'!P16)</f>
        <v>6</v>
      </c>
      <c r="P16" s="74">
        <f t="shared" ca="1" si="1"/>
        <v>6</v>
      </c>
      <c r="Q16" s="210">
        <f ca="1">IF(controls!$B$44=0,R16+'main page'!$K$29*L16+(1-'main page'!$K$29)*controls!$B$9+(('main page'!$K$25*'main page'!$U$13*'main page'!$K$29)/('main page'!$K$27*(1+('main page'!$K$25^2)*'main page'!$U$13)))*(L16-controls!$B$9),R16+'main page'!$K$29*L16+(1-'main page'!$K$29)*controls!$B$9+(('main page'!$K$25*'main page'!$U$13*'normal case'!$AO$3)/'normal case'!$AO$4)*('normal case'!L16-controls!$B$9))</f>
        <v>6</v>
      </c>
      <c r="R16" s="98">
        <f ca="1">IF(controls!$B$44=1,'main page'!$K$24+'main page'!$K$11,IF(controls!$B$33=1,((I17-D16*W17-K17-B17+B16*V17)/'main page'!$K$27)-'main page'!$K$11,((H17-D16*W17-J17-B17+B16*V17)/'main page'!$K$27)-'main page'!$K$11))</f>
        <v>4</v>
      </c>
      <c r="T16" s="71">
        <f>IF(controls!$B$6=1,$AL$3*(1+('main page'!$K$35/100))^U16-$AL$3*(1+('main page'!$K$35/100))^U15,$AL$3*(1+('main page'!$G$8/100))*(1+('main page'!$K$35/100))^U16-$AL$3*(1+('main page'!$G$8/100))*(1+('main page'!$K$35/100))^U15)</f>
        <v>0</v>
      </c>
      <c r="U16" s="73">
        <v>9</v>
      </c>
      <c r="V16" s="161">
        <v>0</v>
      </c>
      <c r="W16" s="40">
        <v>0</v>
      </c>
      <c r="X16" s="49">
        <f ca="1">IF(controls!$B$33=1,D16-($I$3-'main page'!$K$27*2)*(1+('main page'!$K$35/100))^A15,D16-$AL$4)</f>
        <v>0</v>
      </c>
      <c r="Y16" s="49">
        <f ca="1">ABS(L16-(controls!$B$9/100)*100)</f>
        <v>0</v>
      </c>
      <c r="AA16" s="49" t="e">
        <f ca="1">IF(controls!$B$33=1,(B17-B16*V17-I17+D16*W17+'main page'!$K$27*('main page'!$K$24+'main page'!$K$11)+K17)/'main page'!$K$31,(B17-B16*V17+D16*W17-H17+'main page'!$K$27*('main page'!$K$24+'main page'!$K$11)+J17)/'main page'!$K$31)</f>
        <v>#DIV/0!</v>
      </c>
      <c r="AB16" s="49" t="e">
        <f ca="1">IF(controls!$B$45=1,LOG(AF16,1.01)+LOG(AE16,1.01)-LOG(AD16,1.01),-((M16-('main page'!$K$24+'main page'!$K$11))/(1-'normal case'!$AO$3))+'normal case'!AA16)</f>
        <v>#DIV/0!</v>
      </c>
      <c r="AC16" s="176" t="e">
        <f t="shared" ca="1" si="2"/>
        <v>#DIV/0!</v>
      </c>
      <c r="AD16" s="49">
        <f t="shared" ca="1" si="3"/>
        <v>1.2936066304537963</v>
      </c>
      <c r="AE16" s="49">
        <f>AE15*(1+'main page'!$K$32/100)</f>
        <v>1</v>
      </c>
      <c r="AF16" s="49" t="e">
        <f ca="1">IF(ABS(IF(controls!$B$45=1,$AL$13,AD16*AC16/AE16)-AF15)&lt;0.00001,AF15,IF(controls!$B$45=1,$AL$13,AD16*AC16/AE16))</f>
        <v>#DIV/0!</v>
      </c>
      <c r="AG16" s="49">
        <f>IF(controls!$B$46=0,0,IF(controls!$B$33=2,B17-B16*V17-('normal case'!H17-D16*W17-'main page'!$K$27*'normal case'!M16+'main page'!$K$31*'normal case'!AB16)-(('main page'!$K$25*'main page'!$U$13*'main page'!$K$29)/(1+('main page'!$K$25^2)*'main page'!$U$13))*('normal case'!L16-'main page'!$U$8),B17-B16*V17-('normal case'!I17-D16*W17-'main page'!$K$27*'normal case'!M16+'main page'!$K$31*'normal case'!AB16)-(('main page'!$K$25*'main page'!$U$13*'main page'!$K$29)/(1+('main page'!$K$25^2)*'main page'!$U$13))*('normal case'!L16-'main page'!$U$8)))</f>
        <v>0</v>
      </c>
      <c r="AN16" s="40"/>
      <c r="AO16" s="40"/>
    </row>
    <row r="17" spans="1:53">
      <c r="A17" s="48">
        <v>15</v>
      </c>
      <c r="B17" s="75">
        <f ca="1">IF(controls!$B$33=1,B16*(1+V17)+T17,B16*(1+V17))</f>
        <v>100</v>
      </c>
      <c r="C17" s="80">
        <f t="shared" ca="1" si="4"/>
        <v>0</v>
      </c>
      <c r="D17" s="77">
        <f t="shared" ca="1" si="0"/>
        <v>100</v>
      </c>
      <c r="E17" s="77">
        <f ca="1">AG16+IF(controls!$B$33=1,G17,F17)</f>
        <v>100</v>
      </c>
      <c r="F17" s="94">
        <f ca="1">IF(controls!$B$44=0,H17-'main page'!$K$27*M16,H17-'main page'!$K$27*M16+'main page'!$K$31*AB16)</f>
        <v>100</v>
      </c>
      <c r="G17" s="75">
        <f ca="1">IF(controls!$B$44=0,I17-'main page'!$K$27*M16,I17-'main page'!$K$27*M16+'main page'!$K$31*'normal case'!AB16)</f>
        <v>100</v>
      </c>
      <c r="H17" s="75">
        <f ca="1">IF(controls!$B$31=2,H16+D16*W17+J17,H16+D16*W17+J17-J16)</f>
        <v>108</v>
      </c>
      <c r="I17" s="75">
        <f ca="1">IF(controls!$B$31=2,I16+D16*W17+T17+K17,I16+D16*W17+T17+K17-K16)</f>
        <v>108</v>
      </c>
      <c r="J17" s="96">
        <f>IF(controls!B46=1,0,IF(controls!$B$30=10,('main page'!$U$22/100)*'normal case'!H16,))</f>
        <v>0</v>
      </c>
      <c r="K17" s="96">
        <f>IF(controls!B46=1,0,IF(controls!$B$30=10,('main page'!$U$22/100)*'normal case'!I16,))</f>
        <v>0</v>
      </c>
      <c r="L17" s="75">
        <f ca="1">IF(ABS('main page'!$K$29*L16+(1-'main page'!$K$29)*(controls!$B$9/100)*100+'main page'!$K$25*(D17-B17)-L16)&lt;0.0000001,L16,'main page'!$K$29*L16+(1-'main page'!$K$29)*(controls!$B$9/100)*100+'main page'!$K$25*(D17-B17))</f>
        <v>2</v>
      </c>
      <c r="M17" s="96">
        <f ca="1">IF(controls!$B$10=1,M16,IF(SUM(controls!$B$44:$B$46)=2,N17-'main page'!$K$29*'normal case'!L17-(1-'main page'!$K$29)*'main page'!$K$32,N17-'main page'!$K$29*'normal case'!L17-(1-'main page'!$K$29)*controls!$B$9))</f>
        <v>4</v>
      </c>
      <c r="N17" s="208">
        <f ca="1">IF(controls!$B$45=1,IF(controls!$B$46=1,'main page'!$K$24+'main page'!$K$11+'main page'!$U$8,'main page'!$K$24+'main page'!$K$11+'main page'!$K$32),IF(controls!$B$44=1,IF(O17&lt;0,0,O17),IF(O17+'main page'!$K$11&lt;0,0,O17+'main page'!$K$11)))</f>
        <v>6</v>
      </c>
      <c r="O17" s="76">
        <f ca="1">IF(controls!$B$10=1,'normal case'!M17+'normal case'!L17,'normal case'!P17)</f>
        <v>6</v>
      </c>
      <c r="P17" s="74">
        <f t="shared" ca="1" si="1"/>
        <v>6</v>
      </c>
      <c r="Q17" s="210">
        <f ca="1">IF(controls!$B$44=0,R17+'main page'!$K$29*L17+(1-'main page'!$K$29)*controls!$B$9+(('main page'!$K$25*'main page'!$U$13*'main page'!$K$29)/('main page'!$K$27*(1+('main page'!$K$25^2)*'main page'!$U$13)))*(L17-controls!$B$9),R17+'main page'!$K$29*L17+(1-'main page'!$K$29)*controls!$B$9+(('main page'!$K$25*'main page'!$U$13*'normal case'!$AO$3)/'normal case'!$AO$4)*('normal case'!L17-controls!$B$9))</f>
        <v>6</v>
      </c>
      <c r="R17" s="98">
        <f ca="1">IF(controls!$B$44=1,'main page'!$K$24+'main page'!$K$11,IF(controls!$B$33=1,((I18-D17*W18-K18-B18+B17*V18)/'main page'!$K$27)-'main page'!$K$11,((H18-D17*W18-J18-B18+B17*V18)/'main page'!$K$27)-'main page'!$K$11))</f>
        <v>4</v>
      </c>
      <c r="T17" s="71">
        <f>IF(controls!$B$6=1,$AL$3*(1+('main page'!$K$35/100))^U17-$AL$3*(1+('main page'!$K$35/100))^U16,$AL$3*(1+('main page'!$G$8/100))*(1+('main page'!$K$35/100))^U17-$AL$3*(1+('main page'!$G$8/100))*(1+('main page'!$K$35/100))^U16)</f>
        <v>0</v>
      </c>
      <c r="U17" s="73">
        <v>10</v>
      </c>
      <c r="V17" s="161">
        <f ca="1">IF(controls!$B$4=1,IF(controls!$H16=1,controls!$B$34*V16+RAND()*('main page'!$K$16/100)-RAND()*('main page'!$K$16/100),0),0)</f>
        <v>0</v>
      </c>
      <c r="W17" s="40">
        <f ca="1">IF(controls!$B$4=1,IF(controls!$I16=1,controls!$B$34*W16+RAND()*('main page'!$K$16/100)-RAND()*('main page'!$K$16/100),0),0)</f>
        <v>0</v>
      </c>
      <c r="X17" s="49">
        <f ca="1">IF(controls!$B$33=1,D17-($I$3-'main page'!$K$27*2)*(1+('main page'!$K$35/100))^A16,D17-$AL$4)</f>
        <v>0</v>
      </c>
      <c r="Y17" s="49">
        <f ca="1">ABS(L17-(controls!$B$9/100)*100)</f>
        <v>0</v>
      </c>
      <c r="AA17" s="49" t="e">
        <f ca="1">IF(controls!$B$33=1,(B18-B17*V18-I18+D17*W18+'main page'!$K$27*('main page'!$K$24+'main page'!$K$11)+K18)/'main page'!$K$31,(B18-B17*V18+D17*W18-H18+'main page'!$K$27*('main page'!$K$24+'main page'!$K$11)+J18)/'main page'!$K$31)</f>
        <v>#DIV/0!</v>
      </c>
      <c r="AB17" s="49" t="e">
        <f ca="1">IF(controls!$B$45=1,LOG(AF17,1.01)+LOG(AE17,1.01)-LOG(AD17,1.01),-((M17-('main page'!$K$24+'main page'!$K$11))/(1-'normal case'!$AO$3))+'normal case'!AA17)</f>
        <v>#DIV/0!</v>
      </c>
      <c r="AC17" s="176" t="e">
        <f t="shared" ca="1" si="2"/>
        <v>#DIV/0!</v>
      </c>
      <c r="AD17" s="49">
        <f t="shared" ca="1" si="3"/>
        <v>1.3194787630628724</v>
      </c>
      <c r="AE17" s="49">
        <f>AE16*(1+'main page'!$K$32/100)</f>
        <v>1</v>
      </c>
      <c r="AF17" s="49" t="e">
        <f ca="1">IF(ABS(IF(controls!$B$45=1,$AL$13,AD17*AC17/AE17)-AF16)&lt;0.00001,AF16,IF(controls!$B$45=1,$AL$13,AD17*AC17/AE17))</f>
        <v>#DIV/0!</v>
      </c>
      <c r="AG17" s="49">
        <f>IF(controls!$B$46=0,0,IF(controls!$B$33=2,B18-B17*V18-('normal case'!H18-D17*W18-'main page'!$K$27*'normal case'!M17+'main page'!$K$31*'normal case'!AB17)-(('main page'!$K$25*'main page'!$U$13*'main page'!$K$29)/(1+('main page'!$K$25^2)*'main page'!$U$13))*('normal case'!L17-'main page'!$U$8),B18-B17*V18-('normal case'!I18-D17*W18-'main page'!$K$27*'normal case'!M17+'main page'!$K$31*'normal case'!AB17)-(('main page'!$K$25*'main page'!$U$13*'main page'!$K$29)/(1+('main page'!$K$25^2)*'main page'!$U$13))*('normal case'!L17-'main page'!$U$8)))</f>
        <v>0</v>
      </c>
      <c r="AN17" s="40"/>
      <c r="AO17" s="40"/>
      <c r="AW17" s="48">
        <f ca="1">IF(ABS((D17/D16-1)-C16)&lt;0.000001,C16,D17/D16-1)</f>
        <v>0</v>
      </c>
      <c r="AX17" s="48">
        <f ca="1">IF(E17&gt;0,E17,0.1)</f>
        <v>100</v>
      </c>
      <c r="AY17" s="48">
        <f ca="1">IF(controls!$B$10=1,M16,IF(SUM(controls!$B$44:$B$46)=2,N17-'main page'!$K$29*'normal case'!L17-(1-'main page'!$K$29)*'main page'!$K$32,N17-'main page'!$K$29*'normal case'!L17-(1-'main page'!$K$29)*'main page'!$U$8))</f>
        <v>4</v>
      </c>
      <c r="AZ17" s="48">
        <f ca="1">IF(controls!$B$45=1,IF(controls!$B$46=1,'main page'!$K$24+'main page'!$U$8,'main page'!$K$24+'main page'!$K$32),IF(O17&lt;0,0,O17))</f>
        <v>6</v>
      </c>
      <c r="BA17" s="231">
        <f ca="1">'normal case'!L17</f>
        <v>2</v>
      </c>
    </row>
    <row r="18" spans="1:53">
      <c r="A18" s="48">
        <v>16</v>
      </c>
      <c r="B18" s="75">
        <f ca="1">IF(controls!$B$33=1,B17*(1+V18)+T18,B17*(1+V18))</f>
        <v>100</v>
      </c>
      <c r="C18" s="80">
        <f t="shared" ca="1" si="4"/>
        <v>0</v>
      </c>
      <c r="D18" s="77">
        <f t="shared" ca="1" si="0"/>
        <v>100</v>
      </c>
      <c r="E18" s="77">
        <f ca="1">AG17+IF(controls!$B$33=1,G18,F18)</f>
        <v>100</v>
      </c>
      <c r="F18" s="94">
        <f ca="1">IF(controls!$B$44=0,H18-'main page'!$K$27*M17,H18-'main page'!$K$27*M17+'main page'!$K$31*AB17)</f>
        <v>100</v>
      </c>
      <c r="G18" s="75">
        <f ca="1">IF(controls!$B$44=0,I18-'main page'!$K$27*M17,I18-'main page'!$K$27*M17+'main page'!$K$31*'normal case'!AB17)</f>
        <v>100</v>
      </c>
      <c r="H18" s="75">
        <f ca="1">IF(controls!$B$31=2,H17+D17*W18+J18,H17+D17*W18+J18-J17)</f>
        <v>108</v>
      </c>
      <c r="I18" s="75">
        <f ca="1">IF(controls!$B$31=2,I17+D17*W18+T18+K18,I17+D17*W18+T18+K18-K17)</f>
        <v>108</v>
      </c>
      <c r="J18" s="96">
        <f>IF(controls!B46=1,0,IF(controls!$B$30=11,('main page'!$U$22/100)*'normal case'!H17,))</f>
        <v>0</v>
      </c>
      <c r="K18" s="96">
        <f>IF(controls!B46=1,0,IF(controls!$B$30=11,('main page'!$U$22/100)*'normal case'!I17,))</f>
        <v>0</v>
      </c>
      <c r="L18" s="75">
        <f ca="1">IF(ABS('main page'!$K$29*L17+(1-'main page'!$K$29)*(controls!$B$9/100)*100+'main page'!$K$25*(D18-B18)-L17)&lt;0.0000001,L17,'main page'!$K$29*L17+(1-'main page'!$K$29)*(controls!$B$9/100)*100+'main page'!$K$25*(D18-B18))</f>
        <v>2</v>
      </c>
      <c r="M18" s="96">
        <f ca="1">IF(controls!$B$10=1,M17,IF(SUM(controls!$B$44:$B$46)=2,N18-'main page'!$K$29*'normal case'!L18-(1-'main page'!$K$29)*'main page'!$K$32,N18-'main page'!$K$29*'normal case'!L18-(1-'main page'!$K$29)*controls!$B$9))</f>
        <v>4</v>
      </c>
      <c r="N18" s="208">
        <f ca="1">IF(controls!$B$45=1,IF(controls!$B$46=1,'main page'!$K$24+'main page'!$K$11+'main page'!$U$8,'main page'!$K$24+'main page'!$K$11+'main page'!$K$32),IF(controls!$B$44=1,IF(O18&lt;0,0,O18),IF(O18+'main page'!$K$11&lt;0,0,O18+'main page'!$K$11)))</f>
        <v>6</v>
      </c>
      <c r="O18" s="76">
        <f ca="1">IF(controls!$B$10=1,'normal case'!M18+'normal case'!L18,'normal case'!P18)</f>
        <v>6</v>
      </c>
      <c r="P18" s="74">
        <f t="shared" ca="1" si="1"/>
        <v>6</v>
      </c>
      <c r="Q18" s="210">
        <f ca="1">IF(controls!$B$44=0,R18+'main page'!$K$29*L18+(1-'main page'!$K$29)*controls!$B$9+(('main page'!$K$25*'main page'!$U$13*'main page'!$K$29)/('main page'!$K$27*(1+('main page'!$K$25^2)*'main page'!$U$13)))*(L18-controls!$B$9),R18+'main page'!$K$29*L18+(1-'main page'!$K$29)*controls!$B$9+(('main page'!$K$25*'main page'!$U$13*'normal case'!$AO$3)/'normal case'!$AO$4)*('normal case'!L18-controls!$B$9))</f>
        <v>6</v>
      </c>
      <c r="R18" s="98">
        <f ca="1">IF(controls!$B$44=1,'main page'!$K$24+'main page'!$K$11,IF(controls!$B$33=1,((I19-D18*W19-K19-B19+B18*V19)/'main page'!$K$27)-'main page'!$K$11,((H19-D18*W19-J19-B19+B18*V19)/'main page'!$K$27)-'main page'!$K$11))</f>
        <v>4</v>
      </c>
      <c r="T18" s="71">
        <f>IF(controls!$B$6=1,$AL$3*(1+('main page'!$K$35/100))^U18-$AL$3*(1+('main page'!$K$35/100))^U17,$AL$3*(1+('main page'!$G$8/100))*(1+('main page'!$K$35/100))^U18-$AL$3*(1+('main page'!$G$8/100))*(1+('main page'!$K$35/100))^U17)</f>
        <v>0</v>
      </c>
      <c r="U18" s="73">
        <v>11</v>
      </c>
      <c r="V18" s="161">
        <v>0</v>
      </c>
      <c r="W18" s="40">
        <v>0</v>
      </c>
      <c r="X18" s="49">
        <f ca="1">IF(controls!$B$33=1,D18-($I$3-'main page'!$K$27*2)*(1+('main page'!$K$35/100))^A17,D18-$AL$4)</f>
        <v>0</v>
      </c>
      <c r="Y18" s="49">
        <f ca="1">ABS(L18-(controls!$B$9/100)*100)</f>
        <v>0</v>
      </c>
      <c r="AA18" s="49" t="e">
        <f ca="1">IF(controls!$B$33=1,(B19-B18*V19-I19+D18*W19+'main page'!$K$27*('main page'!$K$24+'main page'!$K$11)+K19)/'main page'!$K$31,(B19-B18*V19+D18*W19-H19+'main page'!$K$27*('main page'!$K$24+'main page'!$K$11)+J19)/'main page'!$K$31)</f>
        <v>#DIV/0!</v>
      </c>
      <c r="AB18" s="49" t="e">
        <f ca="1">IF(controls!$B$45=1,LOG(AF18,1.01)+LOG(AE18,1.01)-LOG(AD18,1.01),-((M18-('main page'!$K$24+'main page'!$K$11))/(1-'normal case'!$AO$3))+'normal case'!AA18)</f>
        <v>#DIV/0!</v>
      </c>
      <c r="AC18" s="176" t="e">
        <f t="shared" ca="1" si="2"/>
        <v>#DIV/0!</v>
      </c>
      <c r="AD18" s="49">
        <f t="shared" ca="1" si="3"/>
        <v>1.3458683383241299</v>
      </c>
      <c r="AE18" s="49">
        <f>AE17*(1+'main page'!$K$32/100)</f>
        <v>1</v>
      </c>
      <c r="AF18" s="49" t="e">
        <f ca="1">IF(ABS(IF(controls!$B$45=1,$AL$13,AD18*AC18/AE18)-AF17)&lt;0.00001,AF17,IF(controls!$B$45=1,$AL$13,AD18*AC18/AE18))</f>
        <v>#DIV/0!</v>
      </c>
      <c r="AG18" s="49">
        <f>IF(controls!$B$46=0,0,IF(controls!$B$33=2,B19-B18*V19-('normal case'!H19-D18*W19-'main page'!$K$27*'normal case'!M18+'main page'!$K$31*'normal case'!AB18)-(('main page'!$K$25*'main page'!$U$13*'main page'!$K$29)/(1+('main page'!$K$25^2)*'main page'!$U$13))*('normal case'!L18-'main page'!$U$8),B19-B18*V19-('normal case'!I19-D18*W19-'main page'!$K$27*'normal case'!M18+'main page'!$K$31*'normal case'!AB18)-(('main page'!$K$25*'main page'!$U$13*'main page'!$K$29)/(1+('main page'!$K$25^2)*'main page'!$U$13))*('normal case'!L18-'main page'!$U$8)))</f>
        <v>0</v>
      </c>
      <c r="AN18" s="40"/>
      <c r="AO18" s="40"/>
    </row>
    <row r="19" spans="1:53">
      <c r="A19" s="48">
        <v>17</v>
      </c>
      <c r="B19" s="75">
        <f ca="1">IF(controls!$B$33=1,B18*(1+V19)+T19,B18*(1+V19))</f>
        <v>100</v>
      </c>
      <c r="C19" s="80">
        <f t="shared" ca="1" si="4"/>
        <v>0</v>
      </c>
      <c r="D19" s="77">
        <f t="shared" ca="1" si="0"/>
        <v>100</v>
      </c>
      <c r="E19" s="77">
        <f ca="1">AG18+IF(controls!$B$33=1,G19,F19)</f>
        <v>100</v>
      </c>
      <c r="F19" s="94">
        <f ca="1">IF(controls!$B$44=0,H19-'main page'!$K$27*M18,H19-'main page'!$K$27*M18+'main page'!$K$31*AB18)</f>
        <v>100</v>
      </c>
      <c r="G19" s="75">
        <f ca="1">IF(controls!$B$44=0,I19-'main page'!$K$27*M18,I19-'main page'!$K$27*M18+'main page'!$K$31*'normal case'!AB18)</f>
        <v>100</v>
      </c>
      <c r="H19" s="75">
        <f ca="1">IF(controls!$B$31=2,H18+D18*W19+J19,H18+D18*W19+J19-J18)</f>
        <v>108</v>
      </c>
      <c r="I19" s="75">
        <f ca="1">IF(controls!$B$31=2,I18+D18*W19+T19+K19,I18+D18*W19+T19+K19-K18)</f>
        <v>108</v>
      </c>
      <c r="J19" s="96">
        <f>IF(controls!B46=1,0,IF(controls!$B$30=12,('main page'!$U$22/100)*'normal case'!H18,))</f>
        <v>0</v>
      </c>
      <c r="K19" s="96">
        <f>IF(controls!B46=1,0,IF(controls!$B$30=12,('main page'!$U$22/100)*'normal case'!I18,))</f>
        <v>0</v>
      </c>
      <c r="L19" s="75">
        <f ca="1">IF(ABS('main page'!$K$29*L18+(1-'main page'!$K$29)*(controls!$B$9/100)*100+'main page'!$K$25*(D19-B19)-L18)&lt;0.0000001,L18,'main page'!$K$29*L18+(1-'main page'!$K$29)*(controls!$B$9/100)*100+'main page'!$K$25*(D19-B19))</f>
        <v>2</v>
      </c>
      <c r="M19" s="96">
        <f ca="1">IF(controls!$B$10=1,M18,IF(SUM(controls!$B$44:$B$46)=2,N19-'main page'!$K$29*'normal case'!L19-(1-'main page'!$K$29)*'main page'!$K$32,N19-'main page'!$K$29*'normal case'!L19-(1-'main page'!$K$29)*controls!$B$9))</f>
        <v>4</v>
      </c>
      <c r="N19" s="208">
        <f ca="1">IF(controls!$B$45=1,IF(controls!$B$46=1,'main page'!$K$24+'main page'!$K$11+'main page'!$U$8,'main page'!$K$24+'main page'!$K$11+'main page'!$K$32),IF(controls!$B$44=1,IF(O19&lt;0,0,O19),IF(O19+'main page'!$K$11&lt;0,0,O19+'main page'!$K$11)))</f>
        <v>6</v>
      </c>
      <c r="O19" s="76">
        <f ca="1">IF(controls!$B$10=1,'normal case'!M19+'normal case'!L19,'normal case'!P19)</f>
        <v>6</v>
      </c>
      <c r="P19" s="74">
        <f t="shared" ca="1" si="1"/>
        <v>6</v>
      </c>
      <c r="Q19" s="210">
        <f ca="1">IF(controls!$B$44=0,R19+'main page'!$K$29*L19+(1-'main page'!$K$29)*controls!$B$9+(('main page'!$K$25*'main page'!$U$13*'main page'!$K$29)/('main page'!$K$27*(1+('main page'!$K$25^2)*'main page'!$U$13)))*(L19-controls!$B$9),R19+'main page'!$K$29*L19+(1-'main page'!$K$29)*controls!$B$9+(('main page'!$K$25*'main page'!$U$13*'normal case'!$AO$3)/'normal case'!$AO$4)*('normal case'!L19-controls!$B$9))</f>
        <v>6</v>
      </c>
      <c r="R19" s="98">
        <f ca="1">IF(controls!$B$44=1,'main page'!$K$24+'main page'!$K$11,IF(controls!$B$33=1,((I20-D19*W20-K20-B20+B19*V20)/'main page'!$K$27)-'main page'!$K$11,((H20-D19*W20-J20-B20+B19*V20)/'main page'!$K$27)-'main page'!$K$11))</f>
        <v>4</v>
      </c>
      <c r="T19" s="71">
        <f>IF(controls!$B$6=1,$AL$3*(1+('main page'!$K$35/100))^U19-$AL$3*(1+('main page'!$K$35/100))^U18,$AL$3*(1+('main page'!$G$8/100))*(1+('main page'!$K$35/100))^U19-$AL$3*(1+('main page'!$G$8/100))*(1+('main page'!$K$35/100))^U18)</f>
        <v>0</v>
      </c>
      <c r="U19" s="73">
        <v>12</v>
      </c>
      <c r="V19" s="161">
        <v>0</v>
      </c>
      <c r="W19" s="40">
        <v>0</v>
      </c>
      <c r="X19" s="49">
        <f ca="1">IF(controls!$B$33=1,D19-($I$3-'main page'!$K$27*2)*(1+('main page'!$K$35/100))^A18,D19-$AL$4)</f>
        <v>0</v>
      </c>
      <c r="Y19" s="49">
        <f ca="1">ABS(L19-(controls!$B$9/100)*100)</f>
        <v>0</v>
      </c>
      <c r="AA19" s="49" t="e">
        <f ca="1">IF(controls!$B$33=1,(B20-B19*V20-I20+D19*W20+'main page'!$K$27*('main page'!$K$24+'main page'!$K$11)+K20)/'main page'!$K$31,(B20-B19*V20+D19*W20-H20+'main page'!$K$27*('main page'!$K$24+'main page'!$K$11)+J20)/'main page'!$K$31)</f>
        <v>#DIV/0!</v>
      </c>
      <c r="AB19" s="49" t="e">
        <f ca="1">IF(controls!$B$45=1,LOG(AF19,1.01)+LOG(AE19,1.01)-LOG(AD19,1.01),-((M19-('main page'!$K$24+'main page'!$K$11))/(1-'normal case'!$AO$3))+'normal case'!AA19)</f>
        <v>#DIV/0!</v>
      </c>
      <c r="AC19" s="176" t="e">
        <f t="shared" ca="1" si="2"/>
        <v>#DIV/0!</v>
      </c>
      <c r="AD19" s="49">
        <f t="shared" ca="1" si="3"/>
        <v>1.3727857050906125</v>
      </c>
      <c r="AE19" s="49">
        <f>AE18*(1+'main page'!$K$32/100)</f>
        <v>1</v>
      </c>
      <c r="AF19" s="49" t="e">
        <f ca="1">IF(ABS(IF(controls!$B$45=1,$AL$13,AD19*AC19/AE19)-AF18)&lt;0.00001,AF18,IF(controls!$B$45=1,$AL$13,AD19*AC19/AE19))</f>
        <v>#DIV/0!</v>
      </c>
      <c r="AG19" s="49">
        <f>IF(controls!$B$46=0,0,IF(controls!$B$33=2,B20-B19*V20-('normal case'!H20-D19*W20-'main page'!$K$27*'normal case'!M19+'main page'!$K$31*'normal case'!AB19)-(('main page'!$K$25*'main page'!$U$13*'main page'!$K$29)/(1+('main page'!$K$25^2)*'main page'!$U$13))*('normal case'!L19-'main page'!$U$8),B20-B19*V20-('normal case'!I20-D19*W20-'main page'!$K$27*'normal case'!M19+'main page'!$K$31*'normal case'!AB19)-(('main page'!$K$25*'main page'!$U$13*'main page'!$K$29)/(1+('main page'!$K$25^2)*'main page'!$U$13))*('normal case'!L19-'main page'!$U$8)))</f>
        <v>0</v>
      </c>
      <c r="AN19" s="40"/>
      <c r="AO19" s="40"/>
    </row>
    <row r="20" spans="1:53">
      <c r="A20" s="48">
        <v>18</v>
      </c>
      <c r="B20" s="75">
        <f ca="1">IF(controls!$B$33=1,B19*(1+V20)+T20,B19*(1+V20))</f>
        <v>100</v>
      </c>
      <c r="C20" s="80">
        <f t="shared" ca="1" si="4"/>
        <v>0</v>
      </c>
      <c r="D20" s="77">
        <f t="shared" ca="1" si="0"/>
        <v>100</v>
      </c>
      <c r="E20" s="77">
        <f ca="1">AG19+IF(controls!$B$33=1,G20,F20)</f>
        <v>100</v>
      </c>
      <c r="F20" s="94">
        <f ca="1">IF(controls!$B$44=0,H20-'main page'!$K$27*M19,H20-'main page'!$K$27*M19+'main page'!$K$31*AB19)</f>
        <v>100</v>
      </c>
      <c r="G20" s="75">
        <f ca="1">IF(controls!$B$44=0,I20-'main page'!$K$27*M19,I20-'main page'!$K$27*M19+'main page'!$K$31*'normal case'!AB19)</f>
        <v>100</v>
      </c>
      <c r="H20" s="75">
        <f ca="1">IF(controls!$B$31=2,H19+D19*W20+J20,H19+D19*W20+J20-J19)</f>
        <v>108</v>
      </c>
      <c r="I20" s="75">
        <f ca="1">IF(controls!$B$31=2,I19+D19*W20+T20+K20,I19+D19*W20+T20+K20-K19)</f>
        <v>108</v>
      </c>
      <c r="J20" s="96">
        <f>IF(controls!B46=1,0,IF(controls!$B$30=13,('main page'!$U$22/100)*'normal case'!H19,))</f>
        <v>0</v>
      </c>
      <c r="K20" s="96">
        <f>IF(controls!B46=1,0,IF(controls!$B$30=13,('main page'!$U$22/100)*'normal case'!I19,))</f>
        <v>0</v>
      </c>
      <c r="L20" s="75">
        <f ca="1">IF(ABS('main page'!$K$29*L19+(1-'main page'!$K$29)*(controls!$B$9/100)*100+'main page'!$K$25*(D20-B20)-L19)&lt;0.0000001,L19,'main page'!$K$29*L19+(1-'main page'!$K$29)*(controls!$B$9/100)*100+'main page'!$K$25*(D20-B20))</f>
        <v>2</v>
      </c>
      <c r="M20" s="96">
        <f ca="1">IF(controls!$B$10=1,M19,IF(SUM(controls!$B$44:$B$46)=2,N20-'main page'!$K$29*'normal case'!L20-(1-'main page'!$K$29)*'main page'!$K$32,N20-'main page'!$K$29*'normal case'!L20-(1-'main page'!$K$29)*controls!$B$9))</f>
        <v>4</v>
      </c>
      <c r="N20" s="208">
        <f ca="1">IF(controls!$B$45=1,IF(controls!$B$46=1,'main page'!$K$24+'main page'!$K$11+'main page'!$U$8,'main page'!$K$24+'main page'!$K$11+'main page'!$K$32),IF(controls!$B$44=1,IF(O20&lt;0,0,O20),IF(O20+'main page'!$K$11&lt;0,0,O20+'main page'!$K$11)))</f>
        <v>6</v>
      </c>
      <c r="O20" s="76">
        <f ca="1">IF(controls!$B$10=1,'normal case'!M20+'normal case'!L20,'normal case'!P20)</f>
        <v>6</v>
      </c>
      <c r="P20" s="74">
        <f t="shared" ca="1" si="1"/>
        <v>6</v>
      </c>
      <c r="Q20" s="210">
        <f ca="1">IF(controls!$B$44=0,R20+'main page'!$K$29*L20+(1-'main page'!$K$29)*controls!$B$9+(('main page'!$K$25*'main page'!$U$13*'main page'!$K$29)/('main page'!$K$27*(1+('main page'!$K$25^2)*'main page'!$U$13)))*(L20-controls!$B$9),R20+'main page'!$K$29*L20+(1-'main page'!$K$29)*controls!$B$9+(('main page'!$K$25*'main page'!$U$13*'normal case'!$AO$3)/'normal case'!$AO$4)*('normal case'!L20-controls!$B$9))</f>
        <v>6</v>
      </c>
      <c r="R20" s="98">
        <f ca="1">IF(controls!$B$44=1,'main page'!$K$24+'main page'!$K$11,IF(controls!$B$33=1,((I21-D20*W21-K21-B21+B20*V21)/'main page'!$K$27)-'main page'!$K$11,((H21-D20*W21-J21-B21+B20*V21)/'main page'!$K$27)-'main page'!$K$11))</f>
        <v>4</v>
      </c>
      <c r="T20" s="71">
        <f>IF(controls!$B$6=1,$AL$3*(1+('main page'!$K$35/100))^U20-$AL$3*(1+('main page'!$K$35/100))^U19,$AL$3*(1+('main page'!$G$8/100))*(1+('main page'!$K$35/100))^U20-$AL$3*(1+('main page'!$G$8/100))*(1+('main page'!$K$35/100))^U19)</f>
        <v>0</v>
      </c>
      <c r="U20" s="73">
        <v>13</v>
      </c>
      <c r="V20" s="161">
        <f ca="1">IF(controls!$B$4=1,IF(controls!$H19=1,controls!$B$34*V19+RAND()*('main page'!$K$16/100)-RAND()*('main page'!$K$16/100),0),0)</f>
        <v>0</v>
      </c>
      <c r="W20" s="40">
        <f ca="1">IF(controls!$B$4=1,IF(controls!$I19=1,controls!$B$34*W19+RAND()*('main page'!$K$16/100)-RAND()*('main page'!$K$16/100),0),0)</f>
        <v>0</v>
      </c>
      <c r="X20" s="49">
        <f ca="1">IF(controls!$B$33=1,D20-($I$3-'main page'!$K$27*2)*(1+('main page'!$K$35/100))^A19,D20-$AL$4)</f>
        <v>0</v>
      </c>
      <c r="Y20" s="49">
        <f ca="1">ABS(L20-(controls!$B$9/100)*100)</f>
        <v>0</v>
      </c>
      <c r="AA20" s="49" t="e">
        <f ca="1">IF(controls!$B$33=1,(B21-B20*V21-I21+D20*W21+'main page'!$K$27*('main page'!$K$24+'main page'!$K$11)+K21)/'main page'!$K$31,(B21-B20*V21+D20*W21-H21+'main page'!$K$27*('main page'!$K$24+'main page'!$K$11)+J21)/'main page'!$K$31)</f>
        <v>#DIV/0!</v>
      </c>
      <c r="AB20" s="49" t="e">
        <f ca="1">IF(controls!$B$45=1,LOG(AF20,1.01)+LOG(AE20,1.01)-LOG(AD20,1.01),-((M20-('main page'!$K$24+'main page'!$K$11))/(1-'normal case'!$AO$3))+'normal case'!AA20)</f>
        <v>#DIV/0!</v>
      </c>
      <c r="AC20" s="176" t="e">
        <f t="shared" ca="1" si="2"/>
        <v>#DIV/0!</v>
      </c>
      <c r="AD20" s="49">
        <f t="shared" ca="1" si="3"/>
        <v>1.4002414191924248</v>
      </c>
      <c r="AE20" s="49">
        <f>AE19*(1+'main page'!$K$32/100)</f>
        <v>1</v>
      </c>
      <c r="AF20" s="49" t="e">
        <f ca="1">IF(ABS(IF(controls!$B$45=1,$AL$13,AD20*AC20/AE20)-AF19)&lt;0.00001,AF19,IF(controls!$B$45=1,$AL$13,AD20*AC20/AE20))</f>
        <v>#DIV/0!</v>
      </c>
      <c r="AG20" s="49">
        <f>IF(controls!$B$46=0,0,IF(controls!$B$33=2,B21-B20*V21-('normal case'!H21-D20*W21-'main page'!$K$27*'normal case'!M20+'main page'!$K$31*'normal case'!AB20)-(('main page'!$K$25*'main page'!$U$13*'main page'!$K$29)/(1+('main page'!$K$25^2)*'main page'!$U$13))*('normal case'!L20-'main page'!$U$8),B21-B20*V21-('normal case'!I21-D20*W21-'main page'!$K$27*'normal case'!M20+'main page'!$K$31*'normal case'!AB20)-(('main page'!$K$25*'main page'!$U$13*'main page'!$K$29)/(1+('main page'!$K$25^2)*'main page'!$U$13))*('normal case'!L20-'main page'!$U$8)))</f>
        <v>0</v>
      </c>
      <c r="AK20" s="48">
        <f>NORMDIST(5,0,2,TRUE)</f>
        <v>0.99379033467422384</v>
      </c>
      <c r="AN20" s="40"/>
      <c r="AO20" s="40"/>
      <c r="AW20" s="48">
        <f ca="1">IF(ABS((D20/D19-1)-C19)&lt;0.000001,C19,D20/D19-1)</f>
        <v>0</v>
      </c>
      <c r="AX20" s="48">
        <f ca="1">IF(E20&gt;0,E20,0.1)</f>
        <v>100</v>
      </c>
      <c r="AY20" s="48">
        <f ca="1">IF(controls!$B$10=1,M19,IF(SUM(controls!$B$44:$B$46)=2,N20-'main page'!$K$29*'normal case'!L20-(1-'main page'!$K$29)*'main page'!$K$32,N20-'main page'!$K$29*'normal case'!L20-(1-'main page'!$K$29)*'main page'!$U$8))</f>
        <v>4</v>
      </c>
      <c r="AZ20" s="48">
        <f ca="1">IF(controls!$B$45=1,IF(controls!$B$46=1,'main page'!$K$24+'main page'!$U$8,'main page'!$K$24+'main page'!$K$32),IF(O20&lt;0,0,O20))</f>
        <v>6</v>
      </c>
      <c r="BA20" s="231">
        <f ca="1">'normal case'!L20</f>
        <v>2</v>
      </c>
    </row>
    <row r="21" spans="1:53">
      <c r="A21" s="48">
        <v>19</v>
      </c>
      <c r="B21" s="75">
        <f ca="1">IF(controls!$B$33=1,B20*(1+V21)+T21,B20*(1+V21))</f>
        <v>100</v>
      </c>
      <c r="C21" s="80">
        <f t="shared" ca="1" si="4"/>
        <v>0</v>
      </c>
      <c r="D21" s="77">
        <f t="shared" ca="1" si="0"/>
        <v>100</v>
      </c>
      <c r="E21" s="77">
        <f ca="1">AG20+IF(controls!$B$33=1,G21,F21)</f>
        <v>100</v>
      </c>
      <c r="F21" s="94">
        <f ca="1">IF(controls!$B$44=0,H21-'main page'!$K$27*M20,H21-'main page'!$K$27*M20+'main page'!$K$31*AB20)</f>
        <v>100</v>
      </c>
      <c r="G21" s="75">
        <f ca="1">IF(controls!$B$44=0,I21-'main page'!$K$27*M20,I21-'main page'!$K$27*M20+'main page'!$K$31*'normal case'!AB20)</f>
        <v>100</v>
      </c>
      <c r="H21" s="75">
        <f ca="1">IF(controls!$B$31=2,H20+D20*W21+J21,H20+D20*W21+J21-J20)</f>
        <v>108</v>
      </c>
      <c r="I21" s="75">
        <f ca="1">IF(controls!$B$31=2,I20+D20*W21+T21+K21,I20+D20*W21+T21+K21-K20)</f>
        <v>108</v>
      </c>
      <c r="J21" s="96">
        <f>IF(controls!B46=1,0,IF(controls!$B$30=14,('main page'!$U$22/100)*'normal case'!H20,))</f>
        <v>0</v>
      </c>
      <c r="K21" s="96">
        <f>IF(controls!B46=1,0,IF(controls!$B$30=14,('main page'!$U$22/100)*'normal case'!I20,))</f>
        <v>0</v>
      </c>
      <c r="L21" s="75">
        <f ca="1">IF(ABS('main page'!$K$29*L20+(1-'main page'!$K$29)*(controls!$B$9/100)*100+'main page'!$K$25*(D21-B21)-L20)&lt;0.0000001,L20,'main page'!$K$29*L20+(1-'main page'!$K$29)*(controls!$B$9/100)*100+'main page'!$K$25*(D21-B21))</f>
        <v>2</v>
      </c>
      <c r="M21" s="96">
        <f ca="1">IF(controls!$B$10=1,M20,IF(SUM(controls!$B$44:$B$46)=2,N21-'main page'!$K$29*'normal case'!L21-(1-'main page'!$K$29)*'main page'!$K$32,N21-'main page'!$K$29*'normal case'!L21-(1-'main page'!$K$29)*controls!$B$9))</f>
        <v>4</v>
      </c>
      <c r="N21" s="208">
        <f ca="1">IF(controls!$B$45=1,IF(controls!$B$46=1,'main page'!$K$24+'main page'!$K$11+'main page'!$U$8,'main page'!$K$24+'main page'!$K$11+'main page'!$K$32),IF(controls!$B$44=1,IF(O21&lt;0,0,O21),IF(O21+'main page'!$K$11&lt;0,0,O21+'main page'!$K$11)))</f>
        <v>6</v>
      </c>
      <c r="O21" s="76">
        <f ca="1">IF(controls!$B$10=1,'normal case'!M21+'normal case'!L21,'normal case'!P21)</f>
        <v>6</v>
      </c>
      <c r="P21" s="74">
        <f t="shared" ca="1" si="1"/>
        <v>6</v>
      </c>
      <c r="Q21" s="210">
        <f ca="1">IF(controls!$B$44=0,R21+'main page'!$K$29*L21+(1-'main page'!$K$29)*controls!$B$9+(('main page'!$K$25*'main page'!$U$13*'main page'!$K$29)/('main page'!$K$27*(1+('main page'!$K$25^2)*'main page'!$U$13)))*(L21-controls!$B$9),R21+'main page'!$K$29*L21+(1-'main page'!$K$29)*controls!$B$9+(('main page'!$K$25*'main page'!$U$13*'normal case'!$AO$3)/'normal case'!$AO$4)*('normal case'!L21-controls!$B$9))</f>
        <v>6</v>
      </c>
      <c r="R21" s="98">
        <f ca="1">IF(controls!$B$44=1,'main page'!$K$24+'main page'!$K$11,IF(controls!$B$33=1,((I22-D21*W22-K22-B22+B21*V22)/'main page'!$K$27)-'main page'!$K$11,((H22-D21*W22-J22-B22+B21*V22)/'main page'!$K$27)-'main page'!$K$11))</f>
        <v>4</v>
      </c>
      <c r="T21" s="71">
        <f>IF(controls!$B$6=1,$AL$3*(1+('main page'!$K$35/100))^U21-$AL$3*(1+('main page'!$K$35/100))^U20,$AL$3*(1+('main page'!$G$8/100))*(1+('main page'!$K$35/100))^U21-$AL$3*(1+('main page'!$G$8/100))*(1+('main page'!$K$35/100))^U20)</f>
        <v>0</v>
      </c>
      <c r="U21" s="73">
        <v>14</v>
      </c>
      <c r="V21" s="161">
        <v>0</v>
      </c>
      <c r="W21" s="40">
        <v>0</v>
      </c>
      <c r="X21" s="49">
        <f ca="1">IF(controls!$B$33=1,D21-($I$3-'main page'!$K$27*2)*(1+('main page'!$K$35/100))^A20,D21-$AL$4)</f>
        <v>0</v>
      </c>
      <c r="Y21" s="49">
        <f ca="1">ABS(L21-(controls!$B$9/100)*100)</f>
        <v>0</v>
      </c>
      <c r="AA21" s="49" t="e">
        <f ca="1">IF(controls!$B$33=1,(B22-B21*V22-I22+D21*W22+'main page'!$K$27*('main page'!$K$24+'main page'!$K$11)+K22)/'main page'!$K$31,(B22-B21*V22+D21*W22-H22+'main page'!$K$27*('main page'!$K$24+'main page'!$K$11)+J22)/'main page'!$K$31)</f>
        <v>#DIV/0!</v>
      </c>
      <c r="AB21" s="49" t="e">
        <f ca="1">IF(controls!$B$45=1,LOG(AF21,1.01)+LOG(AE21,1.01)-LOG(AD21,1.01),-((M21-('main page'!$K$24+'main page'!$K$11))/(1-'normal case'!$AO$3))+'normal case'!AA21)</f>
        <v>#DIV/0!</v>
      </c>
      <c r="AC21" s="176" t="e">
        <f t="shared" ca="1" si="2"/>
        <v>#DIV/0!</v>
      </c>
      <c r="AD21" s="49">
        <f t="shared" ca="1" si="3"/>
        <v>1.4282462475762734</v>
      </c>
      <c r="AE21" s="49">
        <f>AE20*(1+'main page'!$K$32/100)</f>
        <v>1</v>
      </c>
      <c r="AF21" s="49" t="e">
        <f ca="1">IF(ABS(IF(controls!$B$45=1,$AL$13,AD21*AC21/AE21)-AF20)&lt;0.00001,AF20,IF(controls!$B$45=1,$AL$13,AD21*AC21/AE21))</f>
        <v>#DIV/0!</v>
      </c>
      <c r="AG21" s="49">
        <f>IF(controls!$B$46=0,0,IF(controls!$B$33=2,B22-B21*V22-('normal case'!H22-D21*W22-'main page'!$K$27*'normal case'!M21+'main page'!$K$31*'normal case'!AB21)-(('main page'!$K$25*'main page'!$U$13*'main page'!$K$29)/(1+('main page'!$K$25^2)*'main page'!$U$13))*('normal case'!L21-'main page'!$U$8),B22-B21*V22-('normal case'!I22-D21*W22-'main page'!$K$27*'normal case'!M21+'main page'!$K$31*'normal case'!AB21)-(('main page'!$K$25*'main page'!$U$13*'main page'!$K$29)/(1+('main page'!$K$25^2)*'main page'!$U$13))*('normal case'!L21-'main page'!$U$8)))</f>
        <v>0</v>
      </c>
      <c r="AN21" s="40"/>
      <c r="AO21" s="40"/>
    </row>
    <row r="22" spans="1:53">
      <c r="A22" s="48">
        <v>20</v>
      </c>
      <c r="B22" s="75">
        <f ca="1">IF(controls!$B$33=1,B21*(1+V22)+T22,B21*(1+V22))</f>
        <v>100</v>
      </c>
      <c r="C22" s="80">
        <f t="shared" ca="1" si="4"/>
        <v>0</v>
      </c>
      <c r="D22" s="77">
        <f t="shared" ca="1" si="0"/>
        <v>100</v>
      </c>
      <c r="E22" s="77">
        <f ca="1">AG21+IF(controls!$B$33=1,G22,F22)</f>
        <v>100</v>
      </c>
      <c r="F22" s="94">
        <f ca="1">IF(controls!$B$44=0,H22-'main page'!$K$27*M21,H22-'main page'!$K$27*M21+'main page'!$K$31*AB21)</f>
        <v>100</v>
      </c>
      <c r="G22" s="75">
        <f ca="1">IF(controls!$B$44=0,I22-'main page'!$K$27*M21,I22-'main page'!$K$27*M21+'main page'!$K$31*'normal case'!AB21)</f>
        <v>100</v>
      </c>
      <c r="H22" s="75">
        <f ca="1">IF(controls!$B$31=2,H21+D21*W22+J22,H21+D21*W22+J22-J21)</f>
        <v>108</v>
      </c>
      <c r="I22" s="75">
        <f ca="1">IF(controls!$B$31=2,I21+D21*W22+T22+K22,I21+D21*W22+T22+K22-K21)</f>
        <v>108</v>
      </c>
      <c r="J22" s="96">
        <f>IF(controls!B46=1,0,IF(controls!$B$30=15,('main page'!$U$22/100)*'normal case'!H21,))</f>
        <v>0</v>
      </c>
      <c r="K22" s="96">
        <f>IF(controls!B46=1,0,IF(controls!$B$30=15,('main page'!$U$22/100)*'normal case'!I21,))</f>
        <v>0</v>
      </c>
      <c r="L22" s="75">
        <f ca="1">IF(ABS('main page'!$K$29*L21+(1-'main page'!$K$29)*(controls!$B$9/100)*100+'main page'!$K$25*(D22-B22)-L21)&lt;0.0000001,L21,'main page'!$K$29*L21+(1-'main page'!$K$29)*(controls!$B$9/100)*100+'main page'!$K$25*(D22-B22))</f>
        <v>2</v>
      </c>
      <c r="M22" s="96">
        <f ca="1">IF(controls!$B$10=1,M21,IF(SUM(controls!$B$44:$B$46)=2,N22-'main page'!$K$29*'normal case'!L22-(1-'main page'!$K$29)*'main page'!$K$32,N22-'main page'!$K$29*'normal case'!L22-(1-'main page'!$K$29)*controls!$B$9))</f>
        <v>4</v>
      </c>
      <c r="N22" s="208">
        <f ca="1">IF(controls!$B$45=1,IF(controls!$B$46=1,'main page'!$K$24+'main page'!$K$11+'main page'!$U$8,'main page'!$K$24+'main page'!$K$11+'main page'!$K$32),IF(controls!$B$44=1,IF(O22&lt;0,0,O22),IF(O22+'main page'!$K$11&lt;0,0,O22+'main page'!$K$11)))</f>
        <v>6</v>
      </c>
      <c r="O22" s="76">
        <f ca="1">IF(controls!$B$10=1,'normal case'!M22+'normal case'!L22,'normal case'!P22)</f>
        <v>6</v>
      </c>
      <c r="P22" s="74">
        <f t="shared" ca="1" si="1"/>
        <v>6</v>
      </c>
      <c r="Q22" s="210">
        <f ca="1">IF(controls!$B$44=0,R22+'main page'!$K$29*L22+(1-'main page'!$K$29)*controls!$B$9+(('main page'!$K$25*'main page'!$U$13*'main page'!$K$29)/('main page'!$K$27*(1+('main page'!$K$25^2)*'main page'!$U$13)))*(L22-controls!$B$9),R22+'main page'!$K$29*L22+(1-'main page'!$K$29)*controls!$B$9+(('main page'!$K$25*'main page'!$U$13*'normal case'!$AO$3)/'normal case'!$AO$4)*('normal case'!L22-controls!$B$9))</f>
        <v>6</v>
      </c>
      <c r="R22" s="98">
        <f ca="1">IF(controls!$B$44=1,'main page'!$K$24+'main page'!$K$11,IF(controls!$B$33=1,((I23-D22*W23-K23-B23+B22*V23)/'main page'!$K$27)-'main page'!$K$11,((H23-D22*W23-J23-B23+B22*V23)/'main page'!$K$27)-'main page'!$K$11))</f>
        <v>4</v>
      </c>
      <c r="T22" s="71">
        <f>IF(controls!$B$6=1,$AL$3*(1+('main page'!$K$35/100))^U22-$AL$3*(1+('main page'!$K$35/100))^U21,$AL$3*(1+('main page'!$G$8/100))*(1+('main page'!$K$35/100))^U22-$AL$3*(1+('main page'!$G$8/100))*(1+('main page'!$K$35/100))^U21)</f>
        <v>0</v>
      </c>
      <c r="U22" s="73">
        <v>15</v>
      </c>
      <c r="V22" s="161">
        <v>0</v>
      </c>
      <c r="W22" s="40">
        <v>0</v>
      </c>
      <c r="X22" s="49">
        <f ca="1">IF(controls!$B$33=1,D22-($I$3-'main page'!$K$27*2)*(1+('main page'!$K$35/100))^A21,D22-$AL$4)</f>
        <v>0</v>
      </c>
      <c r="Y22" s="49">
        <f ca="1">ABS(L22-(controls!$B$9/100)*100)</f>
        <v>0</v>
      </c>
      <c r="AA22" s="49" t="e">
        <f ca="1">IF(controls!$B$33=1,(B23-B22*V23-I23+D22*W23+'main page'!$K$27*('main page'!$K$24+'main page'!$K$11)+K23)/'main page'!$K$31,(B23-B22*V23+D22*W23-H23+'main page'!$K$27*('main page'!$K$24+'main page'!$K$11)+J23)/'main page'!$K$31)</f>
        <v>#DIV/0!</v>
      </c>
      <c r="AB22" s="49" t="e">
        <f ca="1">IF(controls!$B$45=1,LOG(AF22,1.01)+LOG(AE22,1.01)-LOG(AD22,1.01),-((M22-('main page'!$K$24+'main page'!$K$11))/(1-'normal case'!$AO$3))+'normal case'!AA22)</f>
        <v>#DIV/0!</v>
      </c>
      <c r="AC22" s="176" t="e">
        <f t="shared" ca="1" si="2"/>
        <v>#DIV/0!</v>
      </c>
      <c r="AD22" s="49">
        <f t="shared" ca="1" si="3"/>
        <v>1.4568111725277988</v>
      </c>
      <c r="AE22" s="49">
        <f>AE21*(1+'main page'!$K$32/100)</f>
        <v>1</v>
      </c>
      <c r="AF22" s="49" t="e">
        <f ca="1">IF(ABS(IF(controls!$B$45=1,$AL$13,AD22*AC22/AE22)-AF21)&lt;0.00001,AF21,IF(controls!$B$45=1,$AL$13,AD22*AC22/AE22))</f>
        <v>#DIV/0!</v>
      </c>
      <c r="AG22" s="49">
        <f>IF(controls!$B$46=0,0,IF(controls!$B$33=2,B23-B22*V23-('normal case'!H23-D22*W23-'main page'!$K$27*'normal case'!M22+'main page'!$K$31*'normal case'!AB22)-(('main page'!$K$25*'main page'!$U$13*'main page'!$K$29)/(1+('main page'!$K$25^2)*'main page'!$U$13))*('normal case'!L22-'main page'!$U$8),B23-B22*V23-('normal case'!I23-D22*W23-'main page'!$K$27*'normal case'!M22+'main page'!$K$31*'normal case'!AB22)-(('main page'!$K$25*'main page'!$U$13*'main page'!$K$29)/(1+('main page'!$K$25^2)*'main page'!$U$13))*('normal case'!L22-'main page'!$U$8)))</f>
        <v>0</v>
      </c>
      <c r="AN22" s="40"/>
      <c r="AO22" s="40"/>
    </row>
    <row r="23" spans="1:53">
      <c r="A23" s="48">
        <v>21</v>
      </c>
      <c r="B23" s="75">
        <f ca="1">IF(controls!$B$33=1,B22*(1+V23)+T23,B22*(1+V23))</f>
        <v>100</v>
      </c>
      <c r="C23" s="80">
        <f t="shared" ca="1" si="4"/>
        <v>0</v>
      </c>
      <c r="D23" s="77">
        <f t="shared" ca="1" si="0"/>
        <v>100</v>
      </c>
      <c r="E23" s="77">
        <f ca="1">AG22+IF(controls!$B$33=1,G23,F23)</f>
        <v>100</v>
      </c>
      <c r="F23" s="94">
        <f ca="1">IF(controls!$B$44=0,H23-'main page'!$K$27*M22,H23-'main page'!$K$27*M22+'main page'!$K$31*AB22)</f>
        <v>100</v>
      </c>
      <c r="G23" s="75">
        <f ca="1">IF(controls!$B$44=0,I23-'main page'!$K$27*M22,I23-'main page'!$K$27*M22+'main page'!$K$31*'normal case'!AB22)</f>
        <v>100</v>
      </c>
      <c r="H23" s="75">
        <f ca="1">IF(controls!$B$31=2,H22+D22*W23,H22+D22*W23-J22)</f>
        <v>108</v>
      </c>
      <c r="I23" s="75">
        <f ca="1">IF(controls!$B$31=2,I22+D22*W23+T23,I22+D22*W23+T23-K22)</f>
        <v>108</v>
      </c>
      <c r="L23" s="75">
        <f ca="1">IF(ABS('main page'!$K$29*L22+(1-'main page'!$K$29)*(controls!$B$9/100)*100+'main page'!$K$25*(D23-B23)-L22)&lt;0.0000001,L22,'main page'!$K$29*L22+(1-'main page'!$K$29)*(controls!$B$9/100)*100+'main page'!$K$25*(D23-B23))</f>
        <v>2</v>
      </c>
      <c r="M23" s="96">
        <f ca="1">IF(controls!$B$10=1,M22,IF(SUM(controls!$B$44:$B$46)=2,N23-'main page'!$K$29*'normal case'!L23-(1-'main page'!$K$29)*'main page'!$K$32,N23-'main page'!$K$29*'normal case'!L23-(1-'main page'!$K$29)*controls!$B$9))</f>
        <v>4</v>
      </c>
      <c r="N23" s="208">
        <f ca="1">IF(controls!$B$45=1,IF(controls!$B$46=1,'main page'!$K$24+'main page'!$K$11+'main page'!$U$8,'main page'!$K$24+'main page'!$K$11+'main page'!$K$32),IF(controls!$B$44=1,IF(O23&lt;0,0,O23),IF(O23+'main page'!$K$11&lt;0,0,O23+'main page'!$K$11)))</f>
        <v>6</v>
      </c>
      <c r="O23" s="76">
        <f ca="1">IF(controls!$B$10=1,'normal case'!M23+'normal case'!L23,'normal case'!P23)</f>
        <v>6</v>
      </c>
      <c r="P23" s="74">
        <f t="shared" ca="1" si="1"/>
        <v>6</v>
      </c>
      <c r="Q23" s="210">
        <f ca="1">IF(controls!$B$44=0,R23+'main page'!$K$29*L23+(1-'main page'!$K$29)*controls!$B$9+(('main page'!$K$25*'main page'!$U$13*'main page'!$K$29)/('main page'!$K$27*(1+('main page'!$K$25^2)*'main page'!$U$13)))*(L23-controls!$B$9),R23+'main page'!$K$29*L23+(1-'main page'!$K$29)*controls!$B$9+(('main page'!$K$25*'main page'!$U$13*'normal case'!$AO$3)/'normal case'!$AO$4)*('normal case'!L23-controls!$B$9))</f>
        <v>6</v>
      </c>
      <c r="R23" s="98">
        <f ca="1">IF(controls!$B$44=1,'main page'!$K$24+'main page'!$K$11,IF(controls!$B$33=1,((I24-D23*W24-K24-B24+B23*V24)/'main page'!$K$27)-'main page'!$K$11,((H24-D23*W24-J24-B24+B23*V24)/'main page'!$K$27)-'main page'!$K$11))</f>
        <v>4</v>
      </c>
      <c r="T23" s="71">
        <f>IF(controls!$B$6=1,$AL$3*(1+('main page'!$K$35/100))^U23-$AL$3*(1+('main page'!$K$35/100))^U22,$AL$3*(1+('main page'!$G$8/100))*(1+('main page'!$K$35/100))^U23-$AL$3*(1+('main page'!$G$8/100))*(1+('main page'!$K$35/100))^U22)</f>
        <v>0</v>
      </c>
      <c r="U23" s="73">
        <v>16</v>
      </c>
      <c r="V23" s="161">
        <f ca="1">IF(controls!$B$4=1,IF(controls!$H22=1,controls!$B$34*V22+RAND()*('main page'!$K$16/100)-RAND()*('main page'!$K$16/100),0),0)</f>
        <v>0</v>
      </c>
      <c r="W23" s="40">
        <f ca="1">IF(controls!$B$4=1,IF(controls!$I22=1,controls!$B$34*W22+RAND()*('main page'!$K$16/100)-RAND()*('main page'!$K$16/100),0),0)</f>
        <v>0</v>
      </c>
      <c r="X23" s="49">
        <f ca="1">IF(controls!$B$33=1,D23-($I$3-'main page'!$K$27*2)*(1+('main page'!$K$35/100))^A22,D23-$AL$4)</f>
        <v>0</v>
      </c>
      <c r="Y23" s="49">
        <f ca="1">ABS(L23-(controls!$B$9/100)*100)</f>
        <v>0</v>
      </c>
      <c r="AA23" s="49" t="e">
        <f ca="1">IF(controls!$B$33=1,(B24-B23*V24-I24+D23*W24+'main page'!$K$27*('main page'!$K$24+'main page'!$K$11)+K24)/'main page'!$K$31,(B24-B23*V24+D23*W24-H24+'main page'!$K$27*('main page'!$K$24+'main page'!$K$11)+J24)/'main page'!$K$31)</f>
        <v>#DIV/0!</v>
      </c>
      <c r="AB23" s="49" t="e">
        <f ca="1">IF(controls!$B$45=1,LOG(AF23,1.01)+LOG(AE23,1.01)-LOG(AD23,1.01),-((M23-('main page'!$K$24+'main page'!$K$11))/(1-'normal case'!$AO$3))+'normal case'!AA23)</f>
        <v>#DIV/0!</v>
      </c>
      <c r="AC23" s="176" t="e">
        <f t="shared" ca="1" si="2"/>
        <v>#DIV/0!</v>
      </c>
      <c r="AD23" s="49">
        <f t="shared" ca="1" si="3"/>
        <v>1.4859473959783549</v>
      </c>
      <c r="AE23" s="49">
        <f>AE22*(1+'main page'!$K$32/100)</f>
        <v>1</v>
      </c>
      <c r="AF23" s="49" t="e">
        <f ca="1">IF(ABS(IF(controls!$B$45=1,$AL$13,AD23*AC23/AE23)-AF22)&lt;0.00001,AF22,IF(controls!$B$45=1,$AL$13,AD23*AC23/AE23))</f>
        <v>#DIV/0!</v>
      </c>
      <c r="AG23" s="49">
        <f>IF(controls!$B$46=0,0,IF(controls!$B$33=2,B24-B23*V24-('normal case'!H24-D23*W24-'main page'!$K$27*'normal case'!M23+'main page'!$K$31*'normal case'!AB23)-(('main page'!$K$25*'main page'!$U$13*'main page'!$K$29)/(1+('main page'!$K$25^2)*'main page'!$U$13))*('normal case'!L23-'main page'!$U$8),B24-B23*V24-('normal case'!I24-D23*W24-'main page'!$K$27*'normal case'!M23+'main page'!$K$31*'normal case'!AB23)-(('main page'!$K$25*'main page'!$U$13*'main page'!$K$29)/(1+('main page'!$K$25^2)*'main page'!$U$13))*('normal case'!L23-'main page'!$U$8)))</f>
        <v>0</v>
      </c>
      <c r="AN23" s="40"/>
      <c r="AO23" s="40"/>
    </row>
    <row r="24" spans="1:53">
      <c r="A24" s="48">
        <v>22</v>
      </c>
      <c r="B24" s="75">
        <f ca="1">IF(controls!$B$33=1,B23*(1+V24)+T24,B23*(1+V24))</f>
        <v>100</v>
      </c>
      <c r="C24" s="80">
        <f t="shared" ca="1" si="4"/>
        <v>0</v>
      </c>
      <c r="D24" s="77">
        <f t="shared" ca="1" si="0"/>
        <v>100</v>
      </c>
      <c r="E24" s="77">
        <f ca="1">AG23+IF(controls!$B$33=1,G24,F24)</f>
        <v>100</v>
      </c>
      <c r="F24" s="94">
        <f ca="1">IF(controls!$B$44=0,H24-'main page'!$K$27*M23,H24-'main page'!$K$27*M23+'main page'!$K$31*AB23)</f>
        <v>100</v>
      </c>
      <c r="G24" s="75">
        <f ca="1">IF(controls!$B$44=0,I24-'main page'!$K$27*M23,I24-'main page'!$K$27*M23+'main page'!$K$31*'normal case'!AB23)</f>
        <v>100</v>
      </c>
      <c r="H24" s="75">
        <f t="shared" ref="H24:H87" ca="1" si="5">H23+D23*W24</f>
        <v>108</v>
      </c>
      <c r="I24" s="75">
        <f t="shared" ref="I24:I87" ca="1" si="6">I23+D23*W24+T24</f>
        <v>108</v>
      </c>
      <c r="L24" s="75">
        <f ca="1">IF(ABS('main page'!$K$29*L23+(1-'main page'!$K$29)*(controls!$B$9/100)*100+'main page'!$K$25*(D24-B24)-L23)&lt;0.0000001,L23,'main page'!$K$29*L23+(1-'main page'!$K$29)*(controls!$B$9/100)*100+'main page'!$K$25*(D24-B24))</f>
        <v>2</v>
      </c>
      <c r="M24" s="96">
        <f ca="1">IF(controls!$B$10=1,M23,IF(SUM(controls!$B$44:$B$46)=2,N24-'main page'!$K$29*'normal case'!L24-(1-'main page'!$K$29)*'main page'!$K$32,N24-'main page'!$K$29*'normal case'!L24-(1-'main page'!$K$29)*controls!$B$9))</f>
        <v>4</v>
      </c>
      <c r="N24" s="208">
        <f ca="1">IF(controls!$B$45=1,IF(controls!$B$46=1,'main page'!$K$24+'main page'!$K$11+'main page'!$U$8,'main page'!$K$24+'main page'!$K$11+'main page'!$K$32),IF(controls!$B$44=1,IF(O24&lt;0,0,O24),IF(O24+'main page'!$K$11&lt;0,0,O24+'main page'!$K$11)))</f>
        <v>6</v>
      </c>
      <c r="O24" s="76">
        <f ca="1">IF(controls!$B$10=1,'normal case'!M24+'normal case'!L24,'normal case'!P24)</f>
        <v>6</v>
      </c>
      <c r="P24" s="74">
        <f t="shared" ca="1" si="1"/>
        <v>6</v>
      </c>
      <c r="Q24" s="210">
        <f ca="1">IF(controls!$B$44=0,R24+'main page'!$K$29*L24+(1-'main page'!$K$29)*controls!$B$9+(('main page'!$K$25*'main page'!$U$13*'main page'!$K$29)/('main page'!$K$27*(1+('main page'!$K$25^2)*'main page'!$U$13)))*(L24-controls!$B$9),R24+'main page'!$K$29*L24+(1-'main page'!$K$29)*controls!$B$9+(('main page'!$K$25*'main page'!$U$13*'normal case'!$AO$3)/'normal case'!$AO$4)*('normal case'!L24-controls!$B$9))</f>
        <v>6</v>
      </c>
      <c r="R24" s="98">
        <f ca="1">IF(controls!$B$44=1,'main page'!$K$24+'main page'!$K$11,IF(controls!$B$33=1,((I25-D24*W25-B25+B24*V25)/'main page'!$K$27)-'main page'!$K$11,((H25-D24*W25-B25+B24*V25)/'main page'!$K$27)-'main page'!$K$11))</f>
        <v>4</v>
      </c>
      <c r="T24" s="71">
        <f>IF(controls!$B$6=1,$AL$3*(1+('main page'!$K$35/100))^U24-$AL$3*(1+('main page'!$K$35/100))^U23,$AL$3*(1+('main page'!$G$8/100))*(1+('main page'!$K$35/100))^U24-$AL$3*(1+('main page'!$G$8/100))*(1+('main page'!$K$35/100))^U23)</f>
        <v>0</v>
      </c>
      <c r="U24" s="73">
        <v>17</v>
      </c>
      <c r="V24" s="161">
        <v>0</v>
      </c>
      <c r="W24" s="40">
        <v>0</v>
      </c>
      <c r="X24" s="49">
        <f ca="1">IF(controls!$B$33=1,D24-($I$3-'main page'!$K$27*2)*(1+('main page'!$K$35/100))^A23,D24-$AL$4)</f>
        <v>0</v>
      </c>
      <c r="Y24" s="49">
        <f ca="1">ABS(L24-(controls!$B$9/100)*100)</f>
        <v>0</v>
      </c>
      <c r="AA24" s="49" t="e">
        <f ca="1">IF(controls!$B$33=1,(B25-B24*V25-I25+D24*W25+'main page'!$K$27*('main page'!$K$24+'main page'!$K$11))/'main page'!$K$31,(B25-B24*V25+D24*W25-H25+'main page'!$K$27*('main page'!$K$24+'main page'!$K$11))/'main page'!$K$31)</f>
        <v>#DIV/0!</v>
      </c>
      <c r="AB24" s="49" t="e">
        <f ca="1">IF(controls!$B$45=1,LOG(AF24,1.01)+LOG(AE24,1.01)-LOG(AD24,1.01),-((M24-('main page'!$K$24+'main page'!$K$11))/(1-'normal case'!$AO$3))+'normal case'!AA24)</f>
        <v>#DIV/0!</v>
      </c>
      <c r="AC24" s="176" t="e">
        <f t="shared" ca="1" si="2"/>
        <v>#DIV/0!</v>
      </c>
      <c r="AD24" s="49">
        <f t="shared" ca="1" si="3"/>
        <v>1.5156663438979221</v>
      </c>
      <c r="AE24" s="49">
        <f>AE23*(1+'main page'!$K$32/100)</f>
        <v>1</v>
      </c>
      <c r="AF24" s="49" t="e">
        <f ca="1">IF(ABS(IF(controls!$B$45=1,$AL$13,AD24*AC24/AE24)-AF23)&lt;0.00001,AF23,IF(controls!$B$45=1,$AL$13,AD24*AC24/AE24))</f>
        <v>#DIV/0!</v>
      </c>
      <c r="AG24" s="49">
        <f>IF(controls!$B$46=0,0,IF(controls!$B$33=2,B25-B24*V25-('normal case'!H25-D24*W25-'main page'!$K$27*'normal case'!M24+'main page'!$K$31*'normal case'!AB24)-(('main page'!$K$25*'main page'!$U$13*'main page'!$K$29)/(1+('main page'!$K$25^2)*'main page'!$U$13))*('normal case'!L24-'main page'!$U$8),B25-B24*V25-('normal case'!I25-D24*W25-'main page'!$K$27*'normal case'!M24+'main page'!$K$31*'normal case'!AB24)-(('main page'!$K$25*'main page'!$U$13*'main page'!$K$29)/(1+('main page'!$K$25^2)*'main page'!$U$13))*('normal case'!L24-'main page'!$U$8)))</f>
        <v>0</v>
      </c>
      <c r="AN24" s="40"/>
      <c r="AO24" s="40"/>
    </row>
    <row r="25" spans="1:53">
      <c r="A25" s="48">
        <v>23</v>
      </c>
      <c r="B25" s="75">
        <f ca="1">IF(controls!$B$33=1,B24*(1+V25)+T25,B24*(1+V25))</f>
        <v>100</v>
      </c>
      <c r="C25" s="80">
        <f t="shared" ca="1" si="4"/>
        <v>0</v>
      </c>
      <c r="D25" s="77">
        <f t="shared" ca="1" si="0"/>
        <v>100</v>
      </c>
      <c r="E25" s="77">
        <f ca="1">AG24+IF(controls!$B$33=1,G25,F25)</f>
        <v>100</v>
      </c>
      <c r="F25" s="94">
        <f ca="1">IF(controls!$B$44=0,H25-'main page'!$K$27*M24,H25-'main page'!$K$27*M24+'main page'!$K$31*AB24)</f>
        <v>100</v>
      </c>
      <c r="G25" s="75">
        <f ca="1">IF(controls!$B$44=0,I25-'main page'!$K$27*M24,I25-'main page'!$K$27*M24+'main page'!$K$31*'normal case'!AB24)</f>
        <v>100</v>
      </c>
      <c r="H25" s="75">
        <f t="shared" ca="1" si="5"/>
        <v>108</v>
      </c>
      <c r="I25" s="75">
        <f t="shared" ca="1" si="6"/>
        <v>108</v>
      </c>
      <c r="L25" s="75">
        <f ca="1">IF(ABS('main page'!$K$29*L24+(1-'main page'!$K$29)*(controls!$B$9/100)*100+'main page'!$K$25*(D25-B25)-L24)&lt;0.0000001,L24,'main page'!$K$29*L24+(1-'main page'!$K$29)*(controls!$B$9/100)*100+'main page'!$K$25*(D25-B25))</f>
        <v>2</v>
      </c>
      <c r="M25" s="96">
        <f ca="1">IF(controls!$B$10=1,M24,IF(SUM(controls!$B$44:$B$46)=2,N25-'main page'!$K$29*'normal case'!L25-(1-'main page'!$K$29)*'main page'!$K$32,N25-'main page'!$K$29*'normal case'!L25-(1-'main page'!$K$29)*controls!$B$9))</f>
        <v>4</v>
      </c>
      <c r="N25" s="208">
        <f ca="1">IF(controls!$B$45=1,IF(controls!$B$46=1,'main page'!$K$24+'main page'!$K$11+'main page'!$U$8,'main page'!$K$24+'main page'!$K$11+'main page'!$K$32),IF(controls!$B$44=1,IF(O25&lt;0,0,O25),IF(O25+'main page'!$K$11&lt;0,0,O25+'main page'!$K$11)))</f>
        <v>6</v>
      </c>
      <c r="O25" s="76">
        <f ca="1">IF(controls!$B$10=1,'normal case'!M25+'normal case'!L25,'normal case'!P25)</f>
        <v>6</v>
      </c>
      <c r="P25" s="74">
        <f t="shared" ca="1" si="1"/>
        <v>6</v>
      </c>
      <c r="Q25" s="210">
        <f ca="1">IF(controls!$B$44=0,R25+'main page'!$K$29*L25+(1-'main page'!$K$29)*controls!$B$9+(('main page'!$K$25*'main page'!$U$13*'main page'!$K$29)/('main page'!$K$27*(1+('main page'!$K$25^2)*'main page'!$U$13)))*(L25-controls!$B$9),R25+'main page'!$K$29*L25+(1-'main page'!$K$29)*controls!$B$9+(('main page'!$K$25*'main page'!$U$13*'normal case'!$AO$3)/'normal case'!$AO$4)*('normal case'!L25-controls!$B$9))</f>
        <v>6</v>
      </c>
      <c r="R25" s="98">
        <f ca="1">IF(controls!$B$44=1,'main page'!$K$24+'main page'!$K$11,IF(controls!$B$33=1,((I26-D25*W26-B26+B25*V26)/'main page'!$K$27)-'main page'!$K$11,((H26-D25*W26-B26+B25*V26)/'main page'!$K$27)-'main page'!$K$11))</f>
        <v>4</v>
      </c>
      <c r="T25" s="71">
        <f>IF(controls!$B$6=1,$AL$3*(1+('main page'!$K$35/100))^U25-$AL$3*(1+('main page'!$K$35/100))^U24,$AL$3*(1+('main page'!$G$8/100))*(1+('main page'!$K$35/100))^U25-$AL$3*(1+('main page'!$G$8/100))*(1+('main page'!$K$35/100))^U24)</f>
        <v>0</v>
      </c>
      <c r="U25" s="73">
        <v>18</v>
      </c>
      <c r="V25" s="161">
        <v>0</v>
      </c>
      <c r="W25" s="40">
        <v>0</v>
      </c>
      <c r="X25" s="49">
        <f ca="1">IF(controls!$B$33=1,D25-($I$3-'main page'!$K$27*2)*(1+('main page'!$K$35/100))^A24,D25-$AL$4)</f>
        <v>0</v>
      </c>
      <c r="Y25" s="49">
        <f ca="1">ABS(L25-(controls!$B$9/100)*100)</f>
        <v>0</v>
      </c>
      <c r="AA25" s="49" t="e">
        <f ca="1">IF(controls!$B$33=1,(B26-B25*V26-I26+D25*W26+'main page'!$K$27*('main page'!$K$24+'main page'!$K$11))/'main page'!$K$31,(B26-B25*V26+D25*W26-H26+'main page'!$K$27*('main page'!$K$24+'main page'!$K$11))/'main page'!$K$31)</f>
        <v>#DIV/0!</v>
      </c>
      <c r="AB25" s="49" t="e">
        <f ca="1">IF(controls!$B$45=1,LOG(AF25,1.01)+LOG(AE25,1.01)-LOG(AD25,1.01),-((M25-('main page'!$K$24+'main page'!$K$11))/(1-'normal case'!$AO$3))+'normal case'!AA25)</f>
        <v>#DIV/0!</v>
      </c>
      <c r="AC25" s="176" t="e">
        <f t="shared" ca="1" si="2"/>
        <v>#DIV/0!</v>
      </c>
      <c r="AD25" s="49">
        <f t="shared" ca="1" si="3"/>
        <v>1.5459796707758806</v>
      </c>
      <c r="AE25" s="49">
        <f>AE24*(1+'main page'!$K$32/100)</f>
        <v>1</v>
      </c>
      <c r="AF25" s="49" t="e">
        <f ca="1">IF(ABS(IF(controls!$B$45=1,$AL$13,AD25*AC25/AE25)-AF24)&lt;0.00001,AF24,IF(controls!$B$45=1,$AL$13,AD25*AC25/AE25))</f>
        <v>#DIV/0!</v>
      </c>
      <c r="AG25" s="49">
        <f>IF(controls!$B$46=0,0,IF(controls!$B$33=2,B26-B25*V26-('normal case'!H26-D25*W26-'main page'!$K$27*'normal case'!M25+'main page'!$K$31*'normal case'!AB25)-(('main page'!$K$25*'main page'!$U$13*'main page'!$K$29)/(1+('main page'!$K$25^2)*'main page'!$U$13))*('normal case'!L25-'main page'!$U$8),B26-B25*V26-('normal case'!I26-D25*W26-'main page'!$K$27*'normal case'!M25+'main page'!$K$31*'normal case'!AB25)-(('main page'!$K$25*'main page'!$U$13*'main page'!$K$29)/(1+('main page'!$K$25^2)*'main page'!$U$13))*('normal case'!L25-'main page'!$U$8)))</f>
        <v>0</v>
      </c>
      <c r="AN25" s="40"/>
      <c r="AO25" s="40"/>
    </row>
    <row r="26" spans="1:53">
      <c r="A26" s="48">
        <v>24</v>
      </c>
      <c r="B26" s="75">
        <f ca="1">IF(controls!$B$33=1,B25*(1+V26)+T26,B25*(1+V26))</f>
        <v>100</v>
      </c>
      <c r="C26" s="80">
        <f t="shared" ca="1" si="4"/>
        <v>0</v>
      </c>
      <c r="D26" s="77">
        <f t="shared" ca="1" si="0"/>
        <v>100</v>
      </c>
      <c r="E26" s="77">
        <f ca="1">AG25+IF(controls!$B$33=1,G26,F26)</f>
        <v>100</v>
      </c>
      <c r="F26" s="94">
        <f ca="1">IF(controls!$B$44=0,H26-'main page'!$K$27*M25,H26-'main page'!$K$27*M25+'main page'!$K$31*AB25)</f>
        <v>100</v>
      </c>
      <c r="G26" s="75">
        <f ca="1">IF(controls!$B$44=0,I26-'main page'!$K$27*M25,I26-'main page'!$K$27*M25+'main page'!$K$31*'normal case'!AB25)</f>
        <v>100</v>
      </c>
      <c r="H26" s="75">
        <f t="shared" ca="1" si="5"/>
        <v>108</v>
      </c>
      <c r="I26" s="75">
        <f t="shared" ca="1" si="6"/>
        <v>108</v>
      </c>
      <c r="L26" s="75">
        <f ca="1">IF(ABS('main page'!$K$29*L25+(1-'main page'!$K$29)*(controls!$B$9/100)*100+'main page'!$K$25*(D26-B26)-L25)&lt;0.0000001,L25,'main page'!$K$29*L25+(1-'main page'!$K$29)*(controls!$B$9/100)*100+'main page'!$K$25*(D26-B26))</f>
        <v>2</v>
      </c>
      <c r="M26" s="96">
        <f ca="1">IF(controls!$B$10=1,M25,IF(SUM(controls!$B$44:$B$46)=2,N26-'main page'!$K$29*'normal case'!L26-(1-'main page'!$K$29)*'main page'!$K$32,N26-'main page'!$K$29*'normal case'!L26-(1-'main page'!$K$29)*controls!$B$9))</f>
        <v>4</v>
      </c>
      <c r="N26" s="208">
        <f ca="1">IF(controls!$B$45=1,IF(controls!$B$46=1,'main page'!$K$24+'main page'!$K$11+'main page'!$U$8,'main page'!$K$24+'main page'!$K$11+'main page'!$K$32),IF(controls!$B$44=1,IF(O26&lt;0,0,O26),IF(O26+'main page'!$K$11&lt;0,0,O26+'main page'!$K$11)))</f>
        <v>6</v>
      </c>
      <c r="O26" s="76">
        <f ca="1">IF(controls!$B$10=1,'normal case'!M26+'normal case'!L26,'normal case'!P26)</f>
        <v>6</v>
      </c>
      <c r="P26" s="74">
        <f t="shared" ca="1" si="1"/>
        <v>6</v>
      </c>
      <c r="Q26" s="210">
        <f ca="1">IF(controls!$B$44=0,R26+'main page'!$K$29*L26+(1-'main page'!$K$29)*controls!$B$9+(('main page'!$K$25*'main page'!$U$13*'main page'!$K$29)/('main page'!$K$27*(1+('main page'!$K$25^2)*'main page'!$U$13)))*(L26-controls!$B$9),R26+'main page'!$K$29*L26+(1-'main page'!$K$29)*controls!$B$9+(('main page'!$K$25*'main page'!$U$13*'normal case'!$AO$3)/'normal case'!$AO$4)*('normal case'!L26-controls!$B$9))</f>
        <v>6</v>
      </c>
      <c r="R26" s="98">
        <f ca="1">IF(controls!$B$44=1,'main page'!$K$24+'main page'!$K$11,IF(controls!$B$33=1,((I27-D26*W27-B27+B26*V27)/'main page'!$K$27)-'main page'!$K$11,((H27-D26*W27-B27+B26*V27)/'main page'!$K$27)-'main page'!$K$11))</f>
        <v>4</v>
      </c>
      <c r="T26" s="71">
        <f>IF(controls!$B$6=1,$AL$3*(1+('main page'!$K$35/100))^U26-$AL$3*(1+('main page'!$K$35/100))^U25,$AL$3*(1+('main page'!$G$8/100))*(1+('main page'!$K$35/100))^U26-$AL$3*(1+('main page'!$G$8/100))*(1+('main page'!$K$35/100))^U25)</f>
        <v>0</v>
      </c>
      <c r="U26" s="73">
        <v>19</v>
      </c>
      <c r="V26" s="161">
        <f ca="1">IF(controls!$B$4=1,IF(controls!$H25=1,controls!$B$34*V25+RAND()*('main page'!$K$16/100)-RAND()*('main page'!$K$16/100),0),0)</f>
        <v>0</v>
      </c>
      <c r="W26" s="40">
        <f ca="1">IF(controls!$B$4=1,IF(controls!$I25=1,controls!$B$34*W25+RAND()*('main page'!$K$16/100)-RAND()*('main page'!$K$16/100),0),0)</f>
        <v>0</v>
      </c>
      <c r="X26" s="49">
        <f ca="1">IF(controls!$B$33=1,D26-($I$3-'main page'!$K$27*2)*(1+('main page'!$K$35/100))^A25,D26-$AL$4)</f>
        <v>0</v>
      </c>
      <c r="Y26" s="49">
        <f ca="1">ABS(L26-(controls!$B$9/100)*100)</f>
        <v>0</v>
      </c>
      <c r="AA26" s="49" t="e">
        <f ca="1">IF(controls!$B$33=1,(B27-B26*V27-I27+D26*W27+'main page'!$K$27*('main page'!$K$24+'main page'!$K$11))/'main page'!$K$31,(B27-B26*V27+D26*W27-H27+'main page'!$K$27*('main page'!$K$24+'main page'!$K$11))/'main page'!$K$31)</f>
        <v>#DIV/0!</v>
      </c>
      <c r="AB26" s="49" t="e">
        <f ca="1">IF(controls!$B$45=1,LOG(AF26,1.01)+LOG(AE26,1.01)-LOG(AD26,1.01),-((M26-('main page'!$K$24+'main page'!$K$11))/(1-'normal case'!$AO$3))+'normal case'!AA26)</f>
        <v>#DIV/0!</v>
      </c>
      <c r="AC26" s="176" t="e">
        <f t="shared" ca="1" si="2"/>
        <v>#DIV/0!</v>
      </c>
      <c r="AD26" s="49">
        <f t="shared" ca="1" si="3"/>
        <v>1.5768992641913981</v>
      </c>
      <c r="AE26" s="49">
        <f>AE25*(1+'main page'!$K$32/100)</f>
        <v>1</v>
      </c>
      <c r="AF26" s="49" t="e">
        <f ca="1">IF(ABS(IF(controls!$B$45=1,$AL$13,AD26*AC26/AE26)-AF25)&lt;0.00001,AF25,IF(controls!$B$45=1,$AL$13,AD26*AC26/AE26))</f>
        <v>#DIV/0!</v>
      </c>
      <c r="AG26" s="49">
        <f>IF(controls!$B$46=0,0,IF(controls!$B$33=2,B27-B26*V27-('normal case'!H27-D26*W27-'main page'!$K$27*'normal case'!M26+'main page'!$K$31*'normal case'!AB26)-(('main page'!$K$25*'main page'!$U$13*'main page'!$K$29)/(1+('main page'!$K$25^2)*'main page'!$U$13))*('normal case'!L26-'main page'!$U$8),B27-B26*V27-('normal case'!I27-D26*W27-'main page'!$K$27*'normal case'!M26+'main page'!$K$31*'normal case'!AB26)-(('main page'!$K$25*'main page'!$U$13*'main page'!$K$29)/(1+('main page'!$K$25^2)*'main page'!$U$13))*('normal case'!L26-'main page'!$U$8)))</f>
        <v>0</v>
      </c>
      <c r="AN26" s="40"/>
      <c r="AO26" s="40"/>
    </row>
    <row r="27" spans="1:53">
      <c r="A27" s="48">
        <v>25</v>
      </c>
      <c r="B27" s="75">
        <f ca="1">IF(controls!$B$33=1,B26*(1+V27)+T27,B26*(1+V27))</f>
        <v>100</v>
      </c>
      <c r="C27" s="80">
        <f t="shared" ca="1" si="4"/>
        <v>0</v>
      </c>
      <c r="D27" s="77">
        <f t="shared" ca="1" si="0"/>
        <v>100</v>
      </c>
      <c r="E27" s="77">
        <f ca="1">AG26+IF(controls!$B$33=1,G27,F27)</f>
        <v>100</v>
      </c>
      <c r="F27" s="94">
        <f ca="1">IF(controls!$B$44=0,H27-'main page'!$K$27*M26,H27-'main page'!$K$27*M26+'main page'!$K$31*AB26)</f>
        <v>100</v>
      </c>
      <c r="G27" s="75">
        <f ca="1">IF(controls!$B$44=0,I27-'main page'!$K$27*M26,I27-'main page'!$K$27*M26+'main page'!$K$31*'normal case'!AB26)</f>
        <v>100</v>
      </c>
      <c r="H27" s="75">
        <f t="shared" ca="1" si="5"/>
        <v>108</v>
      </c>
      <c r="I27" s="75">
        <f t="shared" ca="1" si="6"/>
        <v>108</v>
      </c>
      <c r="L27" s="75">
        <f ca="1">IF(ABS('main page'!$K$29*L26+(1-'main page'!$K$29)*(controls!$B$9/100)*100+'main page'!$K$25*(D27-B27)-L26)&lt;0.0000001,L26,'main page'!$K$29*L26+(1-'main page'!$K$29)*(controls!$B$9/100)*100+'main page'!$K$25*(D27-B27))</f>
        <v>2</v>
      </c>
      <c r="M27" s="96">
        <f ca="1">IF(controls!$B$10=1,M26,IF(SUM(controls!$B$44:$B$46)=2,N27-'main page'!$K$29*'normal case'!L27-(1-'main page'!$K$29)*'main page'!$K$32,N27-'main page'!$K$29*'normal case'!L27-(1-'main page'!$K$29)*controls!$B$9))</f>
        <v>4</v>
      </c>
      <c r="N27" s="208">
        <f ca="1">IF(controls!$B$45=1,IF(controls!$B$46=1,'main page'!$K$24+'main page'!$K$11+'main page'!$U$8,'main page'!$K$24+'main page'!$K$11+'main page'!$K$32),IF(controls!$B$44=1,IF(O27&lt;0,0,O27),IF(O27+'main page'!$K$11&lt;0,0,O27+'main page'!$K$11)))</f>
        <v>6</v>
      </c>
      <c r="O27" s="76">
        <f ca="1">IF(controls!$B$10=1,'normal case'!M27+'normal case'!L27,'normal case'!P27)</f>
        <v>6</v>
      </c>
      <c r="P27" s="74">
        <f t="shared" ca="1" si="1"/>
        <v>6</v>
      </c>
      <c r="Q27" s="210">
        <f ca="1">IF(controls!$B$44=0,R27+'main page'!$K$29*L27+(1-'main page'!$K$29)*controls!$B$9+(('main page'!$K$25*'main page'!$U$13*'main page'!$K$29)/('main page'!$K$27*(1+('main page'!$K$25^2)*'main page'!$U$13)))*(L27-controls!$B$9),R27+'main page'!$K$29*L27+(1-'main page'!$K$29)*controls!$B$9+(('main page'!$K$25*'main page'!$U$13*'normal case'!$AO$3)/'normal case'!$AO$4)*('normal case'!L27-controls!$B$9))</f>
        <v>6</v>
      </c>
      <c r="R27" s="98">
        <f ca="1">IF(controls!$B$44=1,'main page'!$K$24+'main page'!$K$11,IF(controls!$B$33=1,((I28-D27*W28-B28+B27*V28)/'main page'!$K$27)-'main page'!$K$11,((H28-D27*W28-B28+B27*V28)/'main page'!$K$27)-'main page'!$K$11))</f>
        <v>4</v>
      </c>
      <c r="T27" s="71">
        <f>IF(controls!$B$6=1,$AL$3*(1+('main page'!$K$35/100))^U27-$AL$3*(1+('main page'!$K$35/100))^U26,$AL$3*(1+('main page'!$G$8/100))*(1+('main page'!$K$35/100))^U27-$AL$3*(1+('main page'!$G$8/100))*(1+('main page'!$K$35/100))^U26)</f>
        <v>0</v>
      </c>
      <c r="U27" s="73">
        <v>20</v>
      </c>
      <c r="V27" s="161">
        <v>0</v>
      </c>
      <c r="W27" s="40">
        <v>0</v>
      </c>
      <c r="X27" s="49">
        <f ca="1">IF(controls!$B$33=1,D27-($I$3-'main page'!$K$27*2)*(1+('main page'!$K$35/100))^A26,D27-$AL$4)</f>
        <v>0</v>
      </c>
      <c r="Y27" s="49">
        <f ca="1">ABS(L27-(controls!$B$9/100)*100)</f>
        <v>0</v>
      </c>
      <c r="AA27" s="49" t="e">
        <f ca="1">IF(controls!$B$33=1,(B28-B27*V28-I28+D27*W28+'main page'!$K$27*('main page'!$K$24+'main page'!$K$11))/'main page'!$K$31,(B28-B27*V28+D27*W28-H28+'main page'!$K$27*('main page'!$K$24+'main page'!$K$11))/'main page'!$K$31)</f>
        <v>#DIV/0!</v>
      </c>
      <c r="AB27" s="49" t="e">
        <f ca="1">IF(controls!$B$45=1,LOG(AF27,1.01)+LOG(AE27,1.01)-LOG(AD27,1.01),-((M27-('main page'!$K$24+'main page'!$K$11))/(1-'normal case'!$AO$3))+'normal case'!AA27)</f>
        <v>#DIV/0!</v>
      </c>
      <c r="AC27" s="176" t="e">
        <f t="shared" ca="1" si="2"/>
        <v>#DIV/0!</v>
      </c>
      <c r="AD27" s="49">
        <f t="shared" ca="1" si="3"/>
        <v>1.6084372494752261</v>
      </c>
      <c r="AE27" s="49">
        <f>AE26*(1+'main page'!$K$32/100)</f>
        <v>1</v>
      </c>
      <c r="AF27" s="49" t="e">
        <f ca="1">IF(ABS(IF(controls!$B$45=1,$AL$13,AD27*AC27/AE27)-AF26)&lt;0.00001,AF26,IF(controls!$B$45=1,$AL$13,AD27*AC27/AE27))</f>
        <v>#DIV/0!</v>
      </c>
      <c r="AG27" s="49">
        <f>IF(controls!$B$46=0,0,IF(controls!$B$33=2,B28-B27*V28-('normal case'!H28-D27*W28-'main page'!$K$27*'normal case'!M27+'main page'!$K$31*'normal case'!AB27)-(('main page'!$K$25*'main page'!$U$13*'main page'!$K$29)/(1+('main page'!$K$25^2)*'main page'!$U$13))*('normal case'!L27-'main page'!$U$8),B28-B27*V28-('normal case'!I28-D27*W28-'main page'!$K$27*'normal case'!M27+'main page'!$K$31*'normal case'!AB27)-(('main page'!$K$25*'main page'!$U$13*'main page'!$K$29)/(1+('main page'!$K$25^2)*'main page'!$U$13))*('normal case'!L27-'main page'!$U$8)))</f>
        <v>0</v>
      </c>
      <c r="AN27" s="40"/>
      <c r="AO27" s="40"/>
    </row>
    <row r="28" spans="1:53">
      <c r="A28" s="48">
        <v>26</v>
      </c>
      <c r="B28" s="75">
        <f ca="1">IF(controls!$B$33=1,B27*(1+V28)+T28,B27*(1+V28))</f>
        <v>100</v>
      </c>
      <c r="C28" s="80">
        <f t="shared" ca="1" si="4"/>
        <v>0</v>
      </c>
      <c r="D28" s="77">
        <f t="shared" ca="1" si="0"/>
        <v>100</v>
      </c>
      <c r="E28" s="77">
        <f ca="1">AG27+IF(controls!$B$33=1,G28,F28)</f>
        <v>100</v>
      </c>
      <c r="F28" s="94">
        <f ca="1">IF(controls!$B$44=0,H28-'main page'!$K$27*M27,H28-'main page'!$K$27*M27+'main page'!$K$31*AB27)</f>
        <v>100</v>
      </c>
      <c r="G28" s="75">
        <f ca="1">IF(controls!$B$44=0,I28-'main page'!$K$27*M27,I28-'main page'!$K$27*M27+'main page'!$K$31*'normal case'!AB27)</f>
        <v>100</v>
      </c>
      <c r="H28" s="75">
        <f t="shared" ca="1" si="5"/>
        <v>108</v>
      </c>
      <c r="I28" s="75">
        <f t="shared" ca="1" si="6"/>
        <v>108</v>
      </c>
      <c r="L28" s="75">
        <f ca="1">IF(ABS('main page'!$K$29*L27+(1-'main page'!$K$29)*(controls!$B$9/100)*100+'main page'!$K$25*(D28-B28)-L27)&lt;0.0000001,L27,'main page'!$K$29*L27+(1-'main page'!$K$29)*(controls!$B$9/100)*100+'main page'!$K$25*(D28-B28))</f>
        <v>2</v>
      </c>
      <c r="M28" s="96">
        <f ca="1">IF(controls!$B$10=1,M27,IF(SUM(controls!$B$44:$B$46)=2,N28-'main page'!$K$29*'normal case'!L28-(1-'main page'!$K$29)*'main page'!$K$32,N28-'main page'!$K$29*'normal case'!L28-(1-'main page'!$K$29)*controls!$B$9))</f>
        <v>4</v>
      </c>
      <c r="N28" s="208">
        <f ca="1">IF(controls!$B$45=1,IF(controls!$B$46=1,'main page'!$K$24+'main page'!$K$11+'main page'!$U$8,'main page'!$K$24+'main page'!$K$11+'main page'!$K$32),IF(controls!$B$44=1,IF(O28&lt;0,0,O28),IF(O28+'main page'!$K$11&lt;0,0,O28+'main page'!$K$11)))</f>
        <v>6</v>
      </c>
      <c r="O28" s="76">
        <f ca="1">IF(controls!$B$10=1,'normal case'!M28+'normal case'!L28,'normal case'!P28)</f>
        <v>6</v>
      </c>
      <c r="P28" s="74">
        <f t="shared" ca="1" si="1"/>
        <v>6</v>
      </c>
      <c r="Q28" s="210">
        <f ca="1">IF(controls!$B$44=0,R28+'main page'!$K$29*L28+(1-'main page'!$K$29)*controls!$B$9+(('main page'!$K$25*'main page'!$U$13*'main page'!$K$29)/('main page'!$K$27*(1+('main page'!$K$25^2)*'main page'!$U$13)))*(L28-controls!$B$9),R28+'main page'!$K$29*L28+(1-'main page'!$K$29)*controls!$B$9+(('main page'!$K$25*'main page'!$U$13*'normal case'!$AO$3)/'normal case'!$AO$4)*('normal case'!L28-controls!$B$9))</f>
        <v>6</v>
      </c>
      <c r="R28" s="98">
        <f ca="1">IF(controls!$B$44=1,'main page'!$K$24+'main page'!$K$11,IF(controls!$B$33=1,((I29-D28*W29-B29+B28*V29)/'main page'!$K$27)-'main page'!$K$11,((H29-D28*W29-B29+B28*V29)/'main page'!$K$27)-'main page'!$K$11))</f>
        <v>4</v>
      </c>
      <c r="T28" s="71">
        <f>IF(controls!$B$6=1,$AL$3*(1+('main page'!$K$35/100))^U28-$AL$3*(1+('main page'!$K$35/100))^U27,$AL$3*(1+('main page'!$G$8/100))*(1+('main page'!$K$35/100))^U28-$AL$3*(1+('main page'!$G$8/100))*(1+('main page'!$K$35/100))^U27)</f>
        <v>0</v>
      </c>
      <c r="U28" s="73">
        <v>21</v>
      </c>
      <c r="V28" s="161">
        <v>0</v>
      </c>
      <c r="W28" s="40">
        <v>0</v>
      </c>
      <c r="X28" s="49">
        <f ca="1">IF(controls!$B$33=1,D28-($I$3-'main page'!$K$27*2)*(1+('main page'!$K$35/100))^A27,D28-$AL$4)</f>
        <v>0</v>
      </c>
      <c r="Y28" s="49">
        <f ca="1">ABS(L28-(controls!$B$9/100)*100)</f>
        <v>0</v>
      </c>
      <c r="AA28" s="49" t="e">
        <f ca="1">IF(controls!$B$33=1,(B29-B28*V29-I29+D28*W29+'main page'!$K$27*('main page'!$K$24+'main page'!$K$11))/'main page'!$K$31,(B29-B28*V29+D28*W29-H29+'main page'!$K$27*('main page'!$K$24+'main page'!$K$11))/'main page'!$K$31)</f>
        <v>#DIV/0!</v>
      </c>
      <c r="AB28" s="49" t="e">
        <f ca="1">IF(controls!$B$45=1,LOG(AF28,1.01)+LOG(AE28,1.01)-LOG(AD28,1.01),-((M28-('main page'!$K$24+'main page'!$K$11))/(1-'normal case'!$AO$3))+'normal case'!AA28)</f>
        <v>#DIV/0!</v>
      </c>
      <c r="AC28" s="176" t="e">
        <f t="shared" ca="1" si="2"/>
        <v>#DIV/0!</v>
      </c>
      <c r="AD28" s="49">
        <f t="shared" ca="1" si="3"/>
        <v>1.6406059944647307</v>
      </c>
      <c r="AE28" s="49">
        <f>AE27*(1+'main page'!$K$32/100)</f>
        <v>1</v>
      </c>
      <c r="AF28" s="49" t="e">
        <f ca="1">IF(ABS(IF(controls!$B$45=1,$AL$13,AD28*AC28/AE28)-AF27)&lt;0.00001,AF27,IF(controls!$B$45=1,$AL$13,AD28*AC28/AE28))</f>
        <v>#DIV/0!</v>
      </c>
      <c r="AG28" s="49">
        <f>IF(controls!$B$46=0,0,IF(controls!$B$33=2,B29-B28*V29-('normal case'!H29-D28*W29-'main page'!$K$27*'normal case'!M28+'main page'!$K$31*'normal case'!AB28)-(('main page'!$K$25*'main page'!$U$13*'main page'!$K$29)/(1+('main page'!$K$25^2)*'main page'!$U$13))*('normal case'!L28-'main page'!$U$8),B29-B28*V29-('normal case'!I29-D28*W29-'main page'!$K$27*'normal case'!M28+'main page'!$K$31*'normal case'!AB28)-(('main page'!$K$25*'main page'!$U$13*'main page'!$K$29)/(1+('main page'!$K$25^2)*'main page'!$U$13))*('normal case'!L28-'main page'!$U$8)))</f>
        <v>0</v>
      </c>
      <c r="AN28" s="40"/>
      <c r="AO28" s="40"/>
    </row>
    <row r="29" spans="1:53">
      <c r="A29" s="48">
        <v>27</v>
      </c>
      <c r="B29" s="75">
        <f ca="1">IF(controls!$B$33=1,B28*(1+V29)+T29,B28*(1+V29))</f>
        <v>100</v>
      </c>
      <c r="C29" s="80">
        <f t="shared" ca="1" si="4"/>
        <v>0</v>
      </c>
      <c r="D29" s="77">
        <f t="shared" ca="1" si="0"/>
        <v>100</v>
      </c>
      <c r="E29" s="77">
        <f ca="1">AG28+IF(controls!$B$33=1,G29,F29)</f>
        <v>100</v>
      </c>
      <c r="F29" s="94">
        <f ca="1">IF(controls!$B$44=0,H29-'main page'!$K$27*M28,H29-'main page'!$K$27*M28+'main page'!$K$31*AB28)</f>
        <v>100</v>
      </c>
      <c r="G29" s="75">
        <f ca="1">IF(controls!$B$44=0,I29-'main page'!$K$27*M28,I29-'main page'!$K$27*M28+'main page'!$K$31*'normal case'!AB28)</f>
        <v>100</v>
      </c>
      <c r="H29" s="75">
        <f t="shared" ca="1" si="5"/>
        <v>108</v>
      </c>
      <c r="I29" s="75">
        <f t="shared" ca="1" si="6"/>
        <v>108</v>
      </c>
      <c r="L29" s="75">
        <f ca="1">IF(ABS('main page'!$K$29*L28+(1-'main page'!$K$29)*(controls!$B$9/100)*100+'main page'!$K$25*(D29-B29)-L28)&lt;0.0000001,L28,'main page'!$K$29*L28+(1-'main page'!$K$29)*(controls!$B$9/100)*100+'main page'!$K$25*(D29-B29))</f>
        <v>2</v>
      </c>
      <c r="M29" s="96">
        <f ca="1">IF(controls!$B$10=1,M28,IF(SUM(controls!$B$44:$B$46)=2,N29-'main page'!$K$29*'normal case'!L29-(1-'main page'!$K$29)*'main page'!$K$32,N29-'main page'!$K$29*'normal case'!L29-(1-'main page'!$K$29)*controls!$B$9))</f>
        <v>4</v>
      </c>
      <c r="N29" s="208">
        <f ca="1">IF(controls!$B$45=1,IF(controls!$B$46=1,'main page'!$K$24+'main page'!$K$11+'main page'!$U$8,'main page'!$K$24+'main page'!$K$11+'main page'!$K$32),IF(controls!$B$44=1,IF(O29&lt;0,0,O29),IF(O29+'main page'!$K$11&lt;0,0,O29+'main page'!$K$11)))</f>
        <v>6</v>
      </c>
      <c r="O29" s="76">
        <f ca="1">IF(controls!$B$10=1,'normal case'!M29+'normal case'!L29,'normal case'!P29)</f>
        <v>6</v>
      </c>
      <c r="P29" s="74">
        <f t="shared" ca="1" si="1"/>
        <v>6</v>
      </c>
      <c r="Q29" s="210">
        <f ca="1">IF(controls!$B$44=0,R29+'main page'!$K$29*L29+(1-'main page'!$K$29)*controls!$B$9+(('main page'!$K$25*'main page'!$U$13*'main page'!$K$29)/('main page'!$K$27*(1+('main page'!$K$25^2)*'main page'!$U$13)))*(L29-controls!$B$9),R29+'main page'!$K$29*L29+(1-'main page'!$K$29)*controls!$B$9+(('main page'!$K$25*'main page'!$U$13*'normal case'!$AO$3)/'normal case'!$AO$4)*('normal case'!L29-controls!$B$9))</f>
        <v>6</v>
      </c>
      <c r="R29" s="98">
        <f ca="1">IF(controls!$B$44=1,'main page'!$K$24+'main page'!$K$11,IF(controls!$B$33=1,((I30-D29*W30-B30+B29*V30)/'main page'!$K$27)-'main page'!$K$11,((H30-D29*W30-B30+B29*V30)/'main page'!$K$27)-'main page'!$K$11))</f>
        <v>4</v>
      </c>
      <c r="T29" s="71">
        <f>IF(controls!$B$6=1,$AL$3*(1+('main page'!$K$35/100))^U29-$AL$3*(1+('main page'!$K$35/100))^U28,$AL$3*(1+('main page'!$G$8/100))*(1+('main page'!$K$35/100))^U29-$AL$3*(1+('main page'!$G$8/100))*(1+('main page'!$K$35/100))^U28)</f>
        <v>0</v>
      </c>
      <c r="U29" s="73">
        <v>22</v>
      </c>
      <c r="V29" s="161">
        <f ca="1">IF(controls!$B$4=1,IF(controls!$H28=1,controls!$B$34*V28+RAND()*('main page'!$K$16/100)-RAND()*('main page'!$K$16/100),0),0)</f>
        <v>0</v>
      </c>
      <c r="W29" s="40">
        <f ca="1">IF(controls!$B$4=1,IF(controls!$I28=1,controls!$B$34*W28+RAND()*('main page'!$K$16/100)-RAND()*('main page'!$K$16/100),0),0)</f>
        <v>0</v>
      </c>
      <c r="X29" s="49">
        <f ca="1">IF(controls!$B$33=1,D29-($I$3-'main page'!$K$27*2)*(1+('main page'!$K$35/100))^A28,D29-$AL$4)</f>
        <v>0</v>
      </c>
      <c r="Y29" s="49">
        <f ca="1">ABS(L29-(controls!$B$9/100)*100)</f>
        <v>0</v>
      </c>
      <c r="AA29" s="49" t="e">
        <f ca="1">IF(controls!$B$33=1,(B30-B29*V30-I30+D29*W30+'main page'!$K$27*('main page'!$K$24+'main page'!$K$11))/'main page'!$K$31,(B30-B29*V30+D29*W30-H30+'main page'!$K$27*('main page'!$K$24+'main page'!$K$11))/'main page'!$K$31)</f>
        <v>#DIV/0!</v>
      </c>
      <c r="AB29" s="49" t="e">
        <f ca="1">IF(controls!$B$45=1,LOG(AF29,1.01)+LOG(AE29,1.01)-LOG(AD29,1.01),-((M29-('main page'!$K$24+'main page'!$K$11))/(1-'normal case'!$AO$3))+'normal case'!AA29)</f>
        <v>#DIV/0!</v>
      </c>
      <c r="AC29" s="176" t="e">
        <f t="shared" ca="1" si="2"/>
        <v>#DIV/0!</v>
      </c>
      <c r="AD29" s="49">
        <f t="shared" ca="1" si="3"/>
        <v>1.6734181143540252</v>
      </c>
      <c r="AE29" s="49">
        <f>AE28*(1+'main page'!$K$32/100)</f>
        <v>1</v>
      </c>
      <c r="AF29" s="49" t="e">
        <f ca="1">IF(ABS(IF(controls!$B$45=1,$AL$13,AD29*AC29/AE29)-AF28)&lt;0.00001,AF28,IF(controls!$B$45=1,$AL$13,AD29*AC29/AE29))</f>
        <v>#DIV/0!</v>
      </c>
      <c r="AG29" s="49">
        <f>IF(controls!$B$46=0,0,IF(controls!$B$33=2,B30-B29*V30-('normal case'!H30-D29*W30-'main page'!$K$27*'normal case'!M29+'main page'!$K$31*'normal case'!AB29)-(('main page'!$K$25*'main page'!$U$13*'main page'!$K$29)/(1+('main page'!$K$25^2)*'main page'!$U$13))*('normal case'!L29-'main page'!$U$8),B30-B29*V30-('normal case'!I30-D29*W30-'main page'!$K$27*'normal case'!M29+'main page'!$K$31*'normal case'!AB29)-(('main page'!$K$25*'main page'!$U$13*'main page'!$K$29)/(1+('main page'!$K$25^2)*'main page'!$U$13))*('normal case'!L29-'main page'!$U$8)))</f>
        <v>0</v>
      </c>
      <c r="AN29" s="40"/>
      <c r="AO29" s="40"/>
    </row>
    <row r="30" spans="1:53">
      <c r="A30" s="48">
        <v>28</v>
      </c>
      <c r="B30" s="75">
        <f ca="1">IF(controls!$B$33=1,B29*(1+V30)+T30,B29*(1+V30))</f>
        <v>100</v>
      </c>
      <c r="C30" s="80">
        <f t="shared" ca="1" si="4"/>
        <v>0</v>
      </c>
      <c r="D30" s="77">
        <f t="shared" ca="1" si="0"/>
        <v>100</v>
      </c>
      <c r="E30" s="77">
        <f ca="1">AG29+IF(controls!$B$33=1,G30,F30)</f>
        <v>100</v>
      </c>
      <c r="F30" s="94">
        <f ca="1">IF(controls!$B$44=0,H30-'main page'!$K$27*M29,H30-'main page'!$K$27*M29+'main page'!$K$31*AB29)</f>
        <v>100</v>
      </c>
      <c r="G30" s="75">
        <f ca="1">IF(controls!$B$44=0,I30-'main page'!$K$27*M29,I30-'main page'!$K$27*M29+'main page'!$K$31*'normal case'!AB29)</f>
        <v>100</v>
      </c>
      <c r="H30" s="75">
        <f t="shared" ca="1" si="5"/>
        <v>108</v>
      </c>
      <c r="I30" s="75">
        <f t="shared" ca="1" si="6"/>
        <v>108</v>
      </c>
      <c r="L30" s="75">
        <f ca="1">IF(ABS('main page'!$K$29*L29+(1-'main page'!$K$29)*(controls!$B$9/100)*100+'main page'!$K$25*(D30-B30)-L29)&lt;0.0000001,L29,'main page'!$K$29*L29+(1-'main page'!$K$29)*(controls!$B$9/100)*100+'main page'!$K$25*(D30-B30))</f>
        <v>2</v>
      </c>
      <c r="M30" s="96">
        <f ca="1">IF(controls!$B$10=1,M29,IF(SUM(controls!$B$44:$B$46)=2,N30-'main page'!$K$29*'normal case'!L30-(1-'main page'!$K$29)*'main page'!$K$32,N30-'main page'!$K$29*'normal case'!L30-(1-'main page'!$K$29)*controls!$B$9))</f>
        <v>4</v>
      </c>
      <c r="N30" s="208">
        <f ca="1">IF(controls!$B$45=1,IF(controls!$B$46=1,'main page'!$K$24+'main page'!$K$11+'main page'!$U$8,'main page'!$K$24+'main page'!$K$11+'main page'!$K$32),IF(controls!$B$44=1,IF(O30&lt;0,0,O30),IF(O30+'main page'!$K$11&lt;0,0,O30+'main page'!$K$11)))</f>
        <v>6</v>
      </c>
      <c r="O30" s="76">
        <f ca="1">IF(controls!$B$10=1,'normal case'!M30+'normal case'!L30,'normal case'!P30)</f>
        <v>6</v>
      </c>
      <c r="P30" s="74">
        <f t="shared" ca="1" si="1"/>
        <v>6</v>
      </c>
      <c r="Q30" s="210">
        <f ca="1">IF(controls!$B$44=0,R30+'main page'!$K$29*L30+(1-'main page'!$K$29)*controls!$B$9+(('main page'!$K$25*'main page'!$U$13*'main page'!$K$29)/('main page'!$K$27*(1+('main page'!$K$25^2)*'main page'!$U$13)))*(L30-controls!$B$9),R30+'main page'!$K$29*L30+(1-'main page'!$K$29)*controls!$B$9+(('main page'!$K$25*'main page'!$U$13*'normal case'!$AO$3)/'normal case'!$AO$4)*('normal case'!L30-controls!$B$9))</f>
        <v>6</v>
      </c>
      <c r="R30" s="98">
        <f ca="1">IF(controls!$B$44=1,'main page'!$K$24+'main page'!$K$11,IF(controls!$B$33=1,((I31-D30*W31-B31+B30*V31)/'main page'!$K$27)-'main page'!$K$11,((H31-D30*W31-B31+B30*V31)/'main page'!$K$27)-'main page'!$K$11))</f>
        <v>4</v>
      </c>
      <c r="T30" s="71">
        <f>IF(controls!$B$6=1,$AL$3*(1+('main page'!$K$35/100))^U30-$AL$3*(1+('main page'!$K$35/100))^U29,$AL$3*(1+('main page'!$G$8/100))*(1+('main page'!$K$35/100))^U30-$AL$3*(1+('main page'!$G$8/100))*(1+('main page'!$K$35/100))^U29)</f>
        <v>0</v>
      </c>
      <c r="U30" s="73">
        <v>23</v>
      </c>
      <c r="V30" s="161">
        <v>0</v>
      </c>
      <c r="W30" s="40">
        <v>0</v>
      </c>
      <c r="X30" s="49">
        <f ca="1">IF(controls!$B$33=1,D30-($I$3-'main page'!$K$27*2)*(1+('main page'!$K$35/100))^A29,D30-$AL$4)</f>
        <v>0</v>
      </c>
      <c r="Y30" s="49">
        <f ca="1">ABS(L30-(controls!$B$9/100)*100)</f>
        <v>0</v>
      </c>
      <c r="AA30" s="49" t="e">
        <f ca="1">IF(controls!$B$33=1,(B31-B30*V31-I31+D30*W31+'main page'!$K$27*('main page'!$K$24+'main page'!$K$11))/'main page'!$K$31,(B31-B30*V31+D30*W31-H31+'main page'!$K$27*('main page'!$K$24+'main page'!$K$11))/'main page'!$K$31)</f>
        <v>#DIV/0!</v>
      </c>
      <c r="AB30" s="49" t="e">
        <f ca="1">IF(controls!$B$45=1,LOG(AF30,1.01)+LOG(AE30,1.01)-LOG(AD30,1.01),-((M30-('main page'!$K$24+'main page'!$K$11))/(1-'normal case'!$AO$3))+'normal case'!AA30)</f>
        <v>#DIV/0!</v>
      </c>
      <c r="AC30" s="176" t="e">
        <f t="shared" ca="1" si="2"/>
        <v>#DIV/0!</v>
      </c>
      <c r="AD30" s="49">
        <f t="shared" ca="1" si="3"/>
        <v>1.7068864766411058</v>
      </c>
      <c r="AE30" s="49">
        <f>AE29*(1+'main page'!$K$32/100)</f>
        <v>1</v>
      </c>
      <c r="AF30" s="49" t="e">
        <f ca="1">IF(ABS(IF(controls!$B$45=1,$AL$13,AD30*AC30/AE30)-AF29)&lt;0.00001,AF29,IF(controls!$B$45=1,$AL$13,AD30*AC30/AE30))</f>
        <v>#DIV/0!</v>
      </c>
      <c r="AG30" s="49">
        <f>IF(controls!$B$46=0,0,IF(controls!$B$33=2,B31-B30*V31-('normal case'!H31-D30*W31-'main page'!$K$27*'normal case'!M30+'main page'!$K$31*'normal case'!AB30)-(('main page'!$K$25*'main page'!$U$13*'main page'!$K$29)/(1+('main page'!$K$25^2)*'main page'!$U$13))*('normal case'!L30-'main page'!$U$8),B31-B30*V31-('normal case'!I31-D30*W31-'main page'!$K$27*'normal case'!M30+'main page'!$K$31*'normal case'!AB30)-(('main page'!$K$25*'main page'!$U$13*'main page'!$K$29)/(1+('main page'!$K$25^2)*'main page'!$U$13))*('normal case'!L30-'main page'!$U$8)))</f>
        <v>0</v>
      </c>
      <c r="AN30" s="40"/>
      <c r="AO30" s="40"/>
    </row>
    <row r="31" spans="1:53">
      <c r="A31" s="48">
        <v>29</v>
      </c>
      <c r="B31" s="75">
        <f ca="1">IF(controls!$B$33=1,B30*(1+V31)+T31,B30*(1+V31))</f>
        <v>100</v>
      </c>
      <c r="C31" s="80">
        <f t="shared" ca="1" si="4"/>
        <v>0</v>
      </c>
      <c r="D31" s="77">
        <f t="shared" ca="1" si="0"/>
        <v>100</v>
      </c>
      <c r="E31" s="77">
        <f ca="1">AG30+IF(controls!$B$33=1,G31,F31)</f>
        <v>100</v>
      </c>
      <c r="F31" s="94">
        <f ca="1">IF(controls!$B$44=0,H31-'main page'!$K$27*M30,H31-'main page'!$K$27*M30+'main page'!$K$31*AB30)</f>
        <v>100</v>
      </c>
      <c r="G31" s="75">
        <f ca="1">IF(controls!$B$44=0,I31-'main page'!$K$27*M30,I31-'main page'!$K$27*M30+'main page'!$K$31*'normal case'!AB30)</f>
        <v>100</v>
      </c>
      <c r="H31" s="75">
        <f t="shared" ca="1" si="5"/>
        <v>108</v>
      </c>
      <c r="I31" s="75">
        <f t="shared" ca="1" si="6"/>
        <v>108</v>
      </c>
      <c r="L31" s="75">
        <f ca="1">IF(ABS('main page'!$K$29*L30+(1-'main page'!$K$29)*(controls!$B$9/100)*100+'main page'!$K$25*(D31-B31)-L30)&lt;0.0000001,L30,'main page'!$K$29*L30+(1-'main page'!$K$29)*(controls!$B$9/100)*100+'main page'!$K$25*(D31-B31))</f>
        <v>2</v>
      </c>
      <c r="M31" s="96">
        <f ca="1">IF(controls!$B$10=1,M30,IF(SUM(controls!$B$44:$B$46)=2,N31-'main page'!$K$29*'normal case'!L31-(1-'main page'!$K$29)*'main page'!$K$32,N31-'main page'!$K$29*'normal case'!L31-(1-'main page'!$K$29)*controls!$B$9))</f>
        <v>4</v>
      </c>
      <c r="N31" s="208">
        <f ca="1">IF(controls!$B$45=1,IF(controls!$B$46=1,'main page'!$K$24+'main page'!$K$11+'main page'!$U$8,'main page'!$K$24+'main page'!$K$11+'main page'!$K$32),IF(controls!$B$44=1,IF(O31&lt;0,0,O31),IF(O31+'main page'!$K$11&lt;0,0,O31+'main page'!$K$11)))</f>
        <v>6</v>
      </c>
      <c r="O31" s="76">
        <f ca="1">IF(controls!$B$10=1,'normal case'!M31+'normal case'!L31,'normal case'!P31)</f>
        <v>6</v>
      </c>
      <c r="P31" s="74">
        <f t="shared" ca="1" si="1"/>
        <v>6</v>
      </c>
      <c r="Q31" s="210">
        <f ca="1">IF(controls!$B$44=0,R31+'main page'!$K$29*L31+(1-'main page'!$K$29)*controls!$B$9+(('main page'!$K$25*'main page'!$U$13*'main page'!$K$29)/('main page'!$K$27*(1+('main page'!$K$25^2)*'main page'!$U$13)))*(L31-controls!$B$9),R31+'main page'!$K$29*L31+(1-'main page'!$K$29)*controls!$B$9+(('main page'!$K$25*'main page'!$U$13*'normal case'!$AO$3)/'normal case'!$AO$4)*('normal case'!L31-controls!$B$9))</f>
        <v>6</v>
      </c>
      <c r="R31" s="98">
        <f ca="1">IF(controls!$B$44=1,'main page'!$K$24+'main page'!$K$11,IF(controls!$B$33=1,((I32-D31*W32-B32+B31*V32)/'main page'!$K$27)-'main page'!$K$11,((H32-D31*W32-B32+B31*V32)/'main page'!$K$27)-'main page'!$K$11))</f>
        <v>4</v>
      </c>
      <c r="T31" s="71">
        <f>IF(controls!$B$6=1,$AL$3*(1+('main page'!$K$35/100))^U31-$AL$3*(1+('main page'!$K$35/100))^U30,$AL$3*(1+('main page'!$G$8/100))*(1+('main page'!$K$35/100))^U31-$AL$3*(1+('main page'!$G$8/100))*(1+('main page'!$K$35/100))^U30)</f>
        <v>0</v>
      </c>
      <c r="U31" s="73">
        <v>24</v>
      </c>
      <c r="V31" s="161">
        <v>0</v>
      </c>
      <c r="W31" s="40">
        <v>0</v>
      </c>
      <c r="X31" s="49">
        <f ca="1">IF(controls!$B$33=1,D31-($I$3-'main page'!$K$27*2)*(1+('main page'!$K$35/100))^A30,D31-$AL$4)</f>
        <v>0</v>
      </c>
      <c r="Y31" s="49">
        <f ca="1">ABS(L31-(controls!$B$9/100)*100)</f>
        <v>0</v>
      </c>
      <c r="AA31" s="49" t="e">
        <f ca="1">IF(controls!$B$33=1,(B32-B31*V32-I32+D31*W32+'main page'!$K$27*('main page'!$K$24+'main page'!$K$11))/'main page'!$K$31,(B32-B31*V32+D31*W32-H32+'main page'!$K$27*('main page'!$K$24+'main page'!$K$11))/'main page'!$K$31)</f>
        <v>#DIV/0!</v>
      </c>
      <c r="AB31" s="49" t="e">
        <f ca="1">IF(controls!$B$45=1,LOG(AF31,1.01)+LOG(AE31,1.01)-LOG(AD31,1.01),-((M31-('main page'!$K$24+'main page'!$K$11))/(1-'normal case'!$AO$3))+'normal case'!AA31)</f>
        <v>#DIV/0!</v>
      </c>
      <c r="AC31" s="176" t="e">
        <f t="shared" ca="1" si="2"/>
        <v>#DIV/0!</v>
      </c>
      <c r="AD31" s="49">
        <f t="shared" ca="1" si="3"/>
        <v>1.7410242061739281</v>
      </c>
      <c r="AE31" s="49">
        <f>AE30*(1+'main page'!$K$32/100)</f>
        <v>1</v>
      </c>
      <c r="AF31" s="49" t="e">
        <f ca="1">IF(ABS(IF(controls!$B$45=1,$AL$13,AD31*AC31/AE31)-AF30)&lt;0.00001,AF30,IF(controls!$B$45=1,$AL$13,AD31*AC31/AE31))</f>
        <v>#DIV/0!</v>
      </c>
      <c r="AG31" s="49">
        <f>IF(controls!$B$46=0,0,IF(controls!$B$33=2,B32-B31*V32-('normal case'!H32-D31*W32-'main page'!$K$27*'normal case'!M31+'main page'!$K$31*'normal case'!AB31)-(('main page'!$K$25*'main page'!$U$13*'main page'!$K$29)/(1+('main page'!$K$25^2)*'main page'!$U$13))*('normal case'!L31-'main page'!$U$8),B32-B31*V32-('normal case'!I32-D31*W32-'main page'!$K$27*'normal case'!M31+'main page'!$K$31*'normal case'!AB31)-(('main page'!$K$25*'main page'!$U$13*'main page'!$K$29)/(1+('main page'!$K$25^2)*'main page'!$U$13))*('normal case'!L31-'main page'!$U$8)))</f>
        <v>0</v>
      </c>
      <c r="AN31" s="40"/>
      <c r="AO31" s="40"/>
    </row>
    <row r="32" spans="1:53">
      <c r="A32" s="48">
        <v>30</v>
      </c>
      <c r="B32" s="75">
        <f ca="1">IF(controls!$B$33=1,B31*(1+V32)+T32,B31*(1+V32))</f>
        <v>100</v>
      </c>
      <c r="C32" s="80">
        <f t="shared" ca="1" si="4"/>
        <v>0</v>
      </c>
      <c r="D32" s="77">
        <f t="shared" ca="1" si="0"/>
        <v>100</v>
      </c>
      <c r="E32" s="77">
        <f ca="1">AG31+IF(controls!$B$33=1,G32,F32)</f>
        <v>100</v>
      </c>
      <c r="F32" s="94">
        <f ca="1">IF(controls!$B$44=0,H32-'main page'!$K$27*M31,H32-'main page'!$K$27*M31+'main page'!$K$31*AB31)</f>
        <v>100</v>
      </c>
      <c r="G32" s="75">
        <f ca="1">IF(controls!$B$44=0,I32-'main page'!$K$27*M31,I32-'main page'!$K$27*M31+'main page'!$K$31*'normal case'!AB31)</f>
        <v>100</v>
      </c>
      <c r="H32" s="75">
        <f t="shared" ca="1" si="5"/>
        <v>108</v>
      </c>
      <c r="I32" s="75">
        <f t="shared" ca="1" si="6"/>
        <v>108</v>
      </c>
      <c r="L32" s="75">
        <f ca="1">IF(ABS('main page'!$K$29*L31+(1-'main page'!$K$29)*(controls!$B$9/100)*100+'main page'!$K$25*(D32-B32)-L31)&lt;0.0000001,L31,'main page'!$K$29*L31+(1-'main page'!$K$29)*(controls!$B$9/100)*100+'main page'!$K$25*(D32-B32))</f>
        <v>2</v>
      </c>
      <c r="M32" s="96">
        <f ca="1">IF(controls!$B$10=1,M31,IF(SUM(controls!$B$44:$B$46)=2,N32-'main page'!$K$29*'normal case'!L32-(1-'main page'!$K$29)*'main page'!$K$32,N32-'main page'!$K$29*'normal case'!L32-(1-'main page'!$K$29)*controls!$B$9))</f>
        <v>4</v>
      </c>
      <c r="N32" s="208">
        <f ca="1">IF(controls!$B$45=1,IF(controls!$B$46=1,'main page'!$K$24+'main page'!$K$11+'main page'!$U$8,'main page'!$K$24+'main page'!$K$11+'main page'!$K$32),IF(controls!$B$44=1,IF(O32&lt;0,0,O32),IF(O32+'main page'!$K$11&lt;0,0,O32+'main page'!$K$11)))</f>
        <v>6</v>
      </c>
      <c r="O32" s="76">
        <f ca="1">IF(controls!$B$10=1,'normal case'!M32+'normal case'!L32,'normal case'!P32)</f>
        <v>6</v>
      </c>
      <c r="P32" s="74">
        <f t="shared" ca="1" si="1"/>
        <v>6</v>
      </c>
      <c r="Q32" s="210">
        <f ca="1">IF(controls!$B$44=0,R32+'main page'!$K$29*L32+(1-'main page'!$K$29)*controls!$B$9+(('main page'!$K$25*'main page'!$U$13*'main page'!$K$29)/('main page'!$K$27*(1+('main page'!$K$25^2)*'main page'!$U$13)))*(L32-controls!$B$9),R32+'main page'!$K$29*L32+(1-'main page'!$K$29)*controls!$B$9+(('main page'!$K$25*'main page'!$U$13*'normal case'!$AO$3)/'normal case'!$AO$4)*('normal case'!L32-controls!$B$9))</f>
        <v>6</v>
      </c>
      <c r="R32" s="98">
        <f ca="1">IF(controls!$B$44=1,'main page'!$K$24+'main page'!$K$11,IF(controls!$B$33=1,((I33-D32*W33-B33+B32*V33)/'main page'!$K$27)-'main page'!$K$11,((H33-D32*W33-B33+B32*V33)/'main page'!$K$27)-'main page'!$K$11))</f>
        <v>4</v>
      </c>
      <c r="T32" s="71">
        <f>IF(controls!$B$6=1,$AL$3*(1+('main page'!$K$35/100))^U32-$AL$3*(1+('main page'!$K$35/100))^U31,$AL$3*(1+('main page'!$G$8/100))*(1+('main page'!$K$35/100))^U32-$AL$3*(1+('main page'!$G$8/100))*(1+('main page'!$K$35/100))^U31)</f>
        <v>0</v>
      </c>
      <c r="U32" s="73">
        <v>25</v>
      </c>
      <c r="V32" s="161">
        <f ca="1">IF(controls!$B$4=1,IF(controls!$H31=1,controls!$B$34*V31+RAND()*('main page'!$K$16/100)-RAND()*('main page'!$K$16/100),0),0)</f>
        <v>0</v>
      </c>
      <c r="W32" s="40">
        <f ca="1">IF(controls!$B$4=1,IF(controls!$I31=1,controls!$B$34*W31+RAND()*('main page'!$K$16/100)-RAND()*('main page'!$K$16/100),0),0)</f>
        <v>0</v>
      </c>
      <c r="X32" s="49">
        <f ca="1">IF(controls!$B$33=1,D32-($I$3-'main page'!$K$27*2)*(1+('main page'!$K$35/100))^A31,D32-$AL$4)</f>
        <v>0</v>
      </c>
      <c r="Y32" s="49">
        <f ca="1">ABS(L32-(controls!$B$9/100)*100)</f>
        <v>0</v>
      </c>
      <c r="AA32" s="49" t="e">
        <f ca="1">IF(controls!$B$33=1,(B33-B32*V33-I33+D32*W33+'main page'!$K$27*('main page'!$K$24+'main page'!$K$11))/'main page'!$K$31,(B33-B32*V33+D32*W33-H33+'main page'!$K$27*('main page'!$K$24+'main page'!$K$11))/'main page'!$K$31)</f>
        <v>#DIV/0!</v>
      </c>
      <c r="AB32" s="49" t="e">
        <f ca="1">IF(controls!$B$45=1,LOG(AF32,1.01)+LOG(AE32,1.01)-LOG(AD32,1.01),-((M32-('main page'!$K$24+'main page'!$K$11))/(1-'normal case'!$AO$3))+'normal case'!AA32)</f>
        <v>#DIV/0!</v>
      </c>
      <c r="AC32" s="176" t="e">
        <f t="shared" ca="1" si="2"/>
        <v>#DIV/0!</v>
      </c>
      <c r="AD32" s="49">
        <f t="shared" ca="1" si="3"/>
        <v>1.7758446902974065</v>
      </c>
      <c r="AE32" s="49">
        <f>AE31*(1+'main page'!$K$32/100)</f>
        <v>1</v>
      </c>
      <c r="AF32" s="49" t="e">
        <f ca="1">IF(ABS(IF(controls!$B$45=1,$AL$13,AD32*AC32/AE32)-AF31)&lt;0.00001,AF31,IF(controls!$B$45=1,$AL$13,AD32*AC32/AE32))</f>
        <v>#DIV/0!</v>
      </c>
      <c r="AG32" s="49">
        <f>IF(controls!$B$46=0,0,IF(controls!$B$33=2,B33-B32*V33-('normal case'!H33-D32*W33-'main page'!$K$27*'normal case'!M32+'main page'!$K$31*'normal case'!AB32)-(('main page'!$K$25*'main page'!$U$13*'main page'!$K$29)/(1+('main page'!$K$25^2)*'main page'!$U$13))*('normal case'!L32-'main page'!$U$8),B33-B32*V33-('normal case'!I33-D32*W33-'main page'!$K$27*'normal case'!M32+'main page'!$K$31*'normal case'!AB32)-(('main page'!$K$25*'main page'!$U$13*'main page'!$K$29)/(1+('main page'!$K$25^2)*'main page'!$U$13))*('normal case'!L32-'main page'!$U$8)))</f>
        <v>0</v>
      </c>
      <c r="AN32" s="40"/>
      <c r="AO32" s="40"/>
    </row>
    <row r="33" spans="1:41">
      <c r="A33" s="48">
        <v>31</v>
      </c>
      <c r="B33" s="75">
        <f ca="1">IF(controls!$B$33=1,B32*(1+V33)+T33,B32*(1+V33))</f>
        <v>100</v>
      </c>
      <c r="C33" s="80">
        <f t="shared" ca="1" si="4"/>
        <v>0</v>
      </c>
      <c r="D33" s="77">
        <f t="shared" ca="1" si="0"/>
        <v>100</v>
      </c>
      <c r="E33" s="77">
        <f ca="1">AG32+IF(controls!$B$33=1,G33,F33)</f>
        <v>100</v>
      </c>
      <c r="F33" s="94">
        <f ca="1">IF(controls!$B$44=0,H33-'main page'!$K$27*M32,H33-'main page'!$K$27*M32+'main page'!$K$31*AB32)</f>
        <v>100</v>
      </c>
      <c r="G33" s="75">
        <f ca="1">IF(controls!$B$44=0,I33-'main page'!$K$27*M32,I33-'main page'!$K$27*M32+'main page'!$K$31*'normal case'!AB32)</f>
        <v>100</v>
      </c>
      <c r="H33" s="75">
        <f t="shared" ca="1" si="5"/>
        <v>108</v>
      </c>
      <c r="I33" s="75">
        <f t="shared" ca="1" si="6"/>
        <v>108</v>
      </c>
      <c r="L33" s="75">
        <f ca="1">IF(ABS('main page'!$K$29*L32+(1-'main page'!$K$29)*(controls!$B$9/100)*100+'main page'!$K$25*(D33-B33)-L32)&lt;0.0000001,L32,'main page'!$K$29*L32+(1-'main page'!$K$29)*(controls!$B$9/100)*100+'main page'!$K$25*(D33-B33))</f>
        <v>2</v>
      </c>
      <c r="M33" s="96">
        <f ca="1">IF(controls!$B$10=1,M32,IF(SUM(controls!$B$44:$B$46)=2,N33-'main page'!$K$29*'normal case'!L33-(1-'main page'!$K$29)*'main page'!$K$32,N33-'main page'!$K$29*'normal case'!L33-(1-'main page'!$K$29)*controls!$B$9))</f>
        <v>4</v>
      </c>
      <c r="N33" s="208">
        <f ca="1">IF(controls!$B$45=1,IF(controls!$B$46=1,'main page'!$K$24+'main page'!$K$11+'main page'!$U$8,'main page'!$K$24+'main page'!$K$11+'main page'!$K$32),IF(controls!$B$44=1,IF(O33&lt;0,0,O33),IF(O33+'main page'!$K$11&lt;0,0,O33+'main page'!$K$11)))</f>
        <v>6</v>
      </c>
      <c r="O33" s="76">
        <f ca="1">IF(controls!$B$10=1,'normal case'!M33+'normal case'!L33,'normal case'!P33)</f>
        <v>6</v>
      </c>
      <c r="P33" s="74">
        <f t="shared" ca="1" si="1"/>
        <v>6</v>
      </c>
      <c r="Q33" s="210">
        <f ca="1">IF(controls!$B$44=0,R33+'main page'!$K$29*L33+(1-'main page'!$K$29)*controls!$B$9+(('main page'!$K$25*'main page'!$U$13*'main page'!$K$29)/('main page'!$K$27*(1+('main page'!$K$25^2)*'main page'!$U$13)))*(L33-controls!$B$9),R33+'main page'!$K$29*L33+(1-'main page'!$K$29)*controls!$B$9+(('main page'!$K$25*'main page'!$U$13*'normal case'!$AO$3)/'normal case'!$AO$4)*('normal case'!L33-controls!$B$9))</f>
        <v>6</v>
      </c>
      <c r="R33" s="98">
        <f ca="1">IF(controls!$B$44=1,'main page'!$K$24+'main page'!$K$11,IF(controls!$B$33=1,((I34-D33*W34-B34+B33*V34)/'main page'!$K$27)-'main page'!$K$11,((H34-D33*W34-B34+B33*V34)/'main page'!$K$27)-'main page'!$K$11))</f>
        <v>4</v>
      </c>
      <c r="T33" s="71">
        <f>IF(controls!$B$6=1,$AL$3*(1+('main page'!$K$35/100))^U33-$AL$3*(1+('main page'!$K$35/100))^U32,$AL$3*(1+('main page'!$G$8/100))*(1+('main page'!$K$35/100))^U33-$AL$3*(1+('main page'!$G$8/100))*(1+('main page'!$K$35/100))^U32)</f>
        <v>0</v>
      </c>
      <c r="U33" s="73">
        <v>26</v>
      </c>
      <c r="V33" s="161">
        <v>0</v>
      </c>
      <c r="W33" s="40">
        <v>0</v>
      </c>
      <c r="X33" s="49">
        <f ca="1">IF(controls!$B$33=1,D33-($I$3-'main page'!$K$27*2)*(1+('main page'!$K$35/100))^A32,D33-$AL$4)</f>
        <v>0</v>
      </c>
      <c r="Y33" s="49">
        <f ca="1">ABS(L33-(controls!$B$9/100)*100)</f>
        <v>0</v>
      </c>
      <c r="AA33" s="49" t="e">
        <f ca="1">IF(controls!$B$33=1,(B34-B33*V34-I34+D33*W34+'main page'!$K$27*('main page'!$K$24+'main page'!$K$11))/'main page'!$K$31,(B34-B33*V34+D33*W34-H34+'main page'!$K$27*('main page'!$K$24+'main page'!$K$11))/'main page'!$K$31)</f>
        <v>#DIV/0!</v>
      </c>
      <c r="AB33" s="49" t="e">
        <f ca="1">IF(controls!$B$45=1,LOG(AF33,1.01)+LOG(AE33,1.01)-LOG(AD33,1.01),-((M33-('main page'!$K$24+'main page'!$K$11))/(1-'normal case'!$AO$3))+'normal case'!AA33)</f>
        <v>#DIV/0!</v>
      </c>
      <c r="AC33" s="176" t="e">
        <f t="shared" ca="1" si="2"/>
        <v>#DIV/0!</v>
      </c>
      <c r="AD33" s="49">
        <f t="shared" ca="1" si="3"/>
        <v>1.8113615841033548</v>
      </c>
      <c r="AE33" s="49">
        <f>AE32*(1+'main page'!$K$32/100)</f>
        <v>1</v>
      </c>
      <c r="AF33" s="49" t="e">
        <f ca="1">IF(ABS(IF(controls!$B$45=1,$AL$13,AD33*AC33/AE33)-AF32)&lt;0.00001,AF32,IF(controls!$B$45=1,$AL$13,AD33*AC33/AE33))</f>
        <v>#DIV/0!</v>
      </c>
      <c r="AG33" s="49">
        <f>IF(controls!$B$46=0,0,IF(controls!$B$33=2,B34-B33*V34-('normal case'!H34-D33*W34-'main page'!$K$27*'normal case'!M33+'main page'!$K$31*'normal case'!AB33)-(('main page'!$K$25*'main page'!$U$13*'main page'!$K$29)/(1+('main page'!$K$25^2)*'main page'!$U$13))*('normal case'!L33-'main page'!$U$8),B34-B33*V34-('normal case'!I34-D33*W34-'main page'!$K$27*'normal case'!M33+'main page'!$K$31*'normal case'!AB33)-(('main page'!$K$25*'main page'!$U$13*'main page'!$K$29)/(1+('main page'!$K$25^2)*'main page'!$U$13))*('normal case'!L33-'main page'!$U$8)))</f>
        <v>0</v>
      </c>
      <c r="AN33" s="40"/>
      <c r="AO33" s="40"/>
    </row>
    <row r="34" spans="1:41">
      <c r="A34" s="48">
        <v>32</v>
      </c>
      <c r="B34" s="75">
        <f ca="1">IF(controls!$B$33=1,B33*(1+V34)+T34,B33*(1+V34))</f>
        <v>100</v>
      </c>
      <c r="C34" s="80">
        <f t="shared" ca="1" si="4"/>
        <v>0</v>
      </c>
      <c r="D34" s="77">
        <f t="shared" ca="1" si="0"/>
        <v>100</v>
      </c>
      <c r="E34" s="77">
        <f ca="1">AG33+IF(controls!$B$33=1,G34,F34)</f>
        <v>100</v>
      </c>
      <c r="F34" s="94">
        <f ca="1">IF(controls!$B$44=0,H34-'main page'!$K$27*M33,H34-'main page'!$K$27*M33+'main page'!$K$31*AB33)</f>
        <v>100</v>
      </c>
      <c r="G34" s="75">
        <f ca="1">IF(controls!$B$44=0,I34-'main page'!$K$27*M33,I34-'main page'!$K$27*M33+'main page'!$K$31*'normal case'!AB33)</f>
        <v>100</v>
      </c>
      <c r="H34" s="75">
        <f t="shared" ca="1" si="5"/>
        <v>108</v>
      </c>
      <c r="I34" s="75">
        <f t="shared" ca="1" si="6"/>
        <v>108</v>
      </c>
      <c r="L34" s="75">
        <f ca="1">IF(ABS('main page'!$K$29*L33+(1-'main page'!$K$29)*(controls!$B$9/100)*100+'main page'!$K$25*(D34-B34)-L33)&lt;0.0000001,L33,'main page'!$K$29*L33+(1-'main page'!$K$29)*(controls!$B$9/100)*100+'main page'!$K$25*(D34-B34))</f>
        <v>2</v>
      </c>
      <c r="M34" s="96">
        <f ca="1">IF(controls!$B$10=1,M33,IF(SUM(controls!$B$44:$B$46)=2,N34-'main page'!$K$29*'normal case'!L34-(1-'main page'!$K$29)*'main page'!$K$32,N34-'main page'!$K$29*'normal case'!L34-(1-'main page'!$K$29)*controls!$B$9))</f>
        <v>4</v>
      </c>
      <c r="N34" s="208">
        <f ca="1">IF(controls!$B$45=1,IF(controls!$B$46=1,'main page'!$K$24+'main page'!$K$11+'main page'!$U$8,'main page'!$K$24+'main page'!$K$11+'main page'!$K$32),IF(controls!$B$44=1,IF(O34&lt;0,0,O34),IF(O34+'main page'!$K$11&lt;0,0,O34+'main page'!$K$11)))</f>
        <v>6</v>
      </c>
      <c r="O34" s="76">
        <f ca="1">IF(controls!$B$10=1,'normal case'!M34+'normal case'!L34,'normal case'!P34)</f>
        <v>6</v>
      </c>
      <c r="P34" s="74">
        <f t="shared" ca="1" si="1"/>
        <v>6</v>
      </c>
      <c r="Q34" s="210">
        <f ca="1">IF(controls!$B$44=0,R34+'main page'!$K$29*L34+(1-'main page'!$K$29)*controls!$B$9+(('main page'!$K$25*'main page'!$U$13*'main page'!$K$29)/('main page'!$K$27*(1+('main page'!$K$25^2)*'main page'!$U$13)))*(L34-controls!$B$9),R34+'main page'!$K$29*L34+(1-'main page'!$K$29)*controls!$B$9+(('main page'!$K$25*'main page'!$U$13*'normal case'!$AO$3)/'normal case'!$AO$4)*('normal case'!L34-controls!$B$9))</f>
        <v>6</v>
      </c>
      <c r="R34" s="98">
        <f ca="1">IF(controls!$B$44=1,'main page'!$K$24+'main page'!$K$11,IF(controls!$B$33=1,((I35-D34*W35-B35+B34*V35)/'main page'!$K$27)-'main page'!$K$11,((H35-D34*W35-B35+B34*V35)/'main page'!$K$27)-'main page'!$K$11))</f>
        <v>4</v>
      </c>
      <c r="T34" s="71">
        <f>IF(controls!$B$6=1,$AL$3*(1+('main page'!$K$35/100))^U34-$AL$3*(1+('main page'!$K$35/100))^U33,$AL$3*(1+('main page'!$G$8/100))*(1+('main page'!$K$35/100))^U34-$AL$3*(1+('main page'!$G$8/100))*(1+('main page'!$K$35/100))^U33)</f>
        <v>0</v>
      </c>
      <c r="U34" s="73">
        <v>27</v>
      </c>
      <c r="V34" s="161">
        <v>0</v>
      </c>
      <c r="W34" s="40">
        <v>0</v>
      </c>
      <c r="X34" s="49">
        <f ca="1">IF(controls!$B$33=1,D34-($I$3-'main page'!$K$27*2)*(1+('main page'!$K$35/100))^A33,D34-$AL$4)</f>
        <v>0</v>
      </c>
      <c r="Y34" s="49">
        <f ca="1">ABS(L34-(controls!$B$9/100)*100)</f>
        <v>0</v>
      </c>
      <c r="AA34" s="49" t="e">
        <f ca="1">IF(controls!$B$33=1,(B35-B34*V35-I35+D34*W35+'main page'!$K$27*('main page'!$K$24+'main page'!$K$11))/'main page'!$K$31,(B35-B34*V35+D34*W35-H35+'main page'!$K$27*('main page'!$K$24+'main page'!$K$11))/'main page'!$K$31)</f>
        <v>#DIV/0!</v>
      </c>
      <c r="AB34" s="49" t="e">
        <f ca="1">IF(controls!$B$45=1,LOG(AF34,1.01)+LOG(AE34,1.01)-LOG(AD34,1.01),-((M34-('main page'!$K$24+'main page'!$K$11))/(1-'normal case'!$AO$3))+'normal case'!AA34)</f>
        <v>#DIV/0!</v>
      </c>
      <c r="AC34" s="176" t="e">
        <f t="shared" ca="1" si="2"/>
        <v>#DIV/0!</v>
      </c>
      <c r="AD34" s="49">
        <f t="shared" ca="1" si="3"/>
        <v>1.8475888157854219</v>
      </c>
      <c r="AE34" s="49">
        <f>AE33*(1+'main page'!$K$32/100)</f>
        <v>1</v>
      </c>
      <c r="AF34" s="49" t="e">
        <f ca="1">IF(ABS(IF(controls!$B$45=1,$AL$13,AD34*AC34/AE34)-AF33)&lt;0.00001,AF33,IF(controls!$B$45=1,$AL$13,AD34*AC34/AE34))</f>
        <v>#DIV/0!</v>
      </c>
      <c r="AG34" s="49">
        <f>IF(controls!$B$46=0,0,IF(controls!$B$33=2,B35-B34*V35-('normal case'!H35-D34*W35-'main page'!$K$27*'normal case'!M34+'main page'!$K$31*'normal case'!AB34)-(('main page'!$K$25*'main page'!$U$13*'main page'!$K$29)/(1+('main page'!$K$25^2)*'main page'!$U$13))*('normal case'!L34-'main page'!$U$8),B35-B34*V35-('normal case'!I35-D34*W35-'main page'!$K$27*'normal case'!M34+'main page'!$K$31*'normal case'!AB34)-(('main page'!$K$25*'main page'!$U$13*'main page'!$K$29)/(1+('main page'!$K$25^2)*'main page'!$U$13))*('normal case'!L34-'main page'!$U$8)))</f>
        <v>0</v>
      </c>
      <c r="AN34" s="40"/>
      <c r="AO34" s="40"/>
    </row>
    <row r="35" spans="1:41">
      <c r="A35" s="48">
        <v>33</v>
      </c>
      <c r="B35" s="75">
        <f ca="1">IF(controls!$B$33=1,B34*(1+V35)+T35,B34*(1+V35))</f>
        <v>100</v>
      </c>
      <c r="C35" s="80">
        <f t="shared" ca="1" si="4"/>
        <v>0</v>
      </c>
      <c r="D35" s="77">
        <f t="shared" ca="1" si="0"/>
        <v>100</v>
      </c>
      <c r="E35" s="77">
        <f ca="1">AG34+IF(controls!$B$33=1,G35,F35)</f>
        <v>100</v>
      </c>
      <c r="F35" s="94">
        <f ca="1">IF(controls!$B$44=0,H35-'main page'!$K$27*M34,H35-'main page'!$K$27*M34+'main page'!$K$31*AB34)</f>
        <v>100</v>
      </c>
      <c r="G35" s="75">
        <f ca="1">IF(controls!$B$44=0,I35-'main page'!$K$27*M34,I35-'main page'!$K$27*M34+'main page'!$K$31*'normal case'!AB34)</f>
        <v>100</v>
      </c>
      <c r="H35" s="75">
        <f t="shared" ca="1" si="5"/>
        <v>108</v>
      </c>
      <c r="I35" s="75">
        <f t="shared" ca="1" si="6"/>
        <v>108</v>
      </c>
      <c r="L35" s="75">
        <f ca="1">IF(ABS('main page'!$K$29*L34+(1-'main page'!$K$29)*(controls!$B$9/100)*100+'main page'!$K$25*(D35-B35)-L34)&lt;0.0000001,L34,'main page'!$K$29*L34+(1-'main page'!$K$29)*(controls!$B$9/100)*100+'main page'!$K$25*(D35-B35))</f>
        <v>2</v>
      </c>
      <c r="M35" s="96">
        <f ca="1">IF(controls!$B$10=1,M34,IF(SUM(controls!$B$44:$B$46)=2,N35-'main page'!$K$29*'normal case'!L35-(1-'main page'!$K$29)*'main page'!$K$32,N35-'main page'!$K$29*'normal case'!L35-(1-'main page'!$K$29)*controls!$B$9))</f>
        <v>4</v>
      </c>
      <c r="N35" s="208">
        <f ca="1">IF(controls!$B$45=1,IF(controls!$B$46=1,'main page'!$K$24+'main page'!$K$11+'main page'!$U$8,'main page'!$K$24+'main page'!$K$11+'main page'!$K$32),IF(controls!$B$44=1,IF(O35&lt;0,0,O35),IF(O35+'main page'!$K$11&lt;0,0,O35+'main page'!$K$11)))</f>
        <v>6</v>
      </c>
      <c r="O35" s="76">
        <f ca="1">IF(controls!$B$10=1,'normal case'!M35+'normal case'!L35,'normal case'!P35)</f>
        <v>6</v>
      </c>
      <c r="P35" s="74">
        <f t="shared" ca="1" si="1"/>
        <v>6</v>
      </c>
      <c r="Q35" s="210">
        <f ca="1">IF(controls!$B$44=0,R35+'main page'!$K$29*L35+(1-'main page'!$K$29)*controls!$B$9+(('main page'!$K$25*'main page'!$U$13*'main page'!$K$29)/('main page'!$K$27*(1+('main page'!$K$25^2)*'main page'!$U$13)))*(L35-controls!$B$9),R35+'main page'!$K$29*L35+(1-'main page'!$K$29)*controls!$B$9+(('main page'!$K$25*'main page'!$U$13*'normal case'!$AO$3)/'normal case'!$AO$4)*('normal case'!L35-controls!$B$9))</f>
        <v>6</v>
      </c>
      <c r="R35" s="98">
        <f ca="1">IF(controls!$B$44=1,'main page'!$K$24+'main page'!$K$11,IF(controls!$B$33=1,((I36-D35*W36-B36+B35*V36)/'main page'!$K$27)-'main page'!$K$11,((H36-D35*W36-B36+B35*V36)/'main page'!$K$27)-'main page'!$K$11))</f>
        <v>4</v>
      </c>
      <c r="T35" s="71">
        <f>IF(controls!$B$6=1,$AL$3*(1+('main page'!$K$35/100))^U35-$AL$3*(1+('main page'!$K$35/100))^U34,$AL$3*(1+('main page'!$G$8/100))*(1+('main page'!$K$35/100))^U35-$AL$3*(1+('main page'!$G$8/100))*(1+('main page'!$K$35/100))^U34)</f>
        <v>0</v>
      </c>
      <c r="U35" s="73">
        <v>28</v>
      </c>
      <c r="V35" s="161">
        <f ca="1">IF(controls!$B$4=1,IF(controls!$H34=1,controls!$B$34*V34+RAND()*('main page'!$K$16/100)-RAND()*('main page'!$K$16/100),0),0)</f>
        <v>0</v>
      </c>
      <c r="W35" s="40">
        <f ca="1">IF(controls!$B$4=1,IF(controls!$I34=1,controls!$B$34*W34+RAND()*('main page'!$K$16/100)-RAND()*('main page'!$K$16/100),0),0)</f>
        <v>0</v>
      </c>
      <c r="X35" s="49">
        <f ca="1">IF(controls!$B$33=1,D35-($I$3-'main page'!$K$27*2)*(1+('main page'!$K$35/100))^A34,D35-$AL$4)</f>
        <v>0</v>
      </c>
      <c r="Y35" s="49">
        <f ca="1">ABS(L35-(controls!$B$9/100)*100)</f>
        <v>0</v>
      </c>
      <c r="AA35" s="49" t="e">
        <f ca="1">IF(controls!$B$33=1,(B36-B35*V36-I36+D35*W36+'main page'!$K$27*('main page'!$K$24+'main page'!$K$11))/'main page'!$K$31,(B36-B35*V36+D35*W36-H36+'main page'!$K$27*('main page'!$K$24+'main page'!$K$11))/'main page'!$K$31)</f>
        <v>#DIV/0!</v>
      </c>
      <c r="AB35" s="49" t="e">
        <f ca="1">IF(controls!$B$45=1,LOG(AF35,1.01)+LOG(AE35,1.01)-LOG(AD35,1.01),-((M35-('main page'!$K$24+'main page'!$K$11))/(1-'normal case'!$AO$3))+'normal case'!AA35)</f>
        <v>#DIV/0!</v>
      </c>
      <c r="AC35" s="176" t="e">
        <f t="shared" ca="1" si="2"/>
        <v>#DIV/0!</v>
      </c>
      <c r="AD35" s="49">
        <f t="shared" ca="1" si="3"/>
        <v>1.8845405921011305</v>
      </c>
      <c r="AE35" s="49">
        <f>AE34*(1+'main page'!$K$32/100)</f>
        <v>1</v>
      </c>
      <c r="AF35" s="49" t="e">
        <f ca="1">IF(ABS(IF(controls!$B$45=1,$AL$13,AD35*AC35/AE35)-AF34)&lt;0.00001,AF34,IF(controls!$B$45=1,$AL$13,AD35*AC35/AE35))</f>
        <v>#DIV/0!</v>
      </c>
      <c r="AG35" s="49">
        <f>IF(controls!$B$46=0,0,IF(controls!$B$33=2,B36-B35*V36-('normal case'!H36-D35*W36-'main page'!$K$27*'normal case'!M35+'main page'!$K$31*'normal case'!AB35)-(('main page'!$K$25*'main page'!$U$13*'main page'!$K$29)/(1+('main page'!$K$25^2)*'main page'!$U$13))*('normal case'!L35-'main page'!$U$8),B36-B35*V36-('normal case'!I36-D35*W36-'main page'!$K$27*'normal case'!M35+'main page'!$K$31*'normal case'!AB35)-(('main page'!$K$25*'main page'!$U$13*'main page'!$K$29)/(1+('main page'!$K$25^2)*'main page'!$U$13))*('normal case'!L35-'main page'!$U$8)))</f>
        <v>0</v>
      </c>
      <c r="AN35" s="40"/>
      <c r="AO35" s="40"/>
    </row>
    <row r="36" spans="1:41">
      <c r="A36" s="48">
        <v>34</v>
      </c>
      <c r="B36" s="75">
        <f ca="1">IF(controls!$B$33=1,B35*(1+V36)+T36,B35*(1+V36))</f>
        <v>100</v>
      </c>
      <c r="C36" s="80">
        <f t="shared" ca="1" si="4"/>
        <v>0</v>
      </c>
      <c r="D36" s="77">
        <f t="shared" ca="1" si="0"/>
        <v>100</v>
      </c>
      <c r="E36" s="77">
        <f ca="1">AG35+IF(controls!$B$33=1,G36,F36)</f>
        <v>100</v>
      </c>
      <c r="F36" s="94">
        <f ca="1">IF(controls!$B$44=0,H36-'main page'!$K$27*M35,H36-'main page'!$K$27*M35+'main page'!$K$31*AB35)</f>
        <v>100</v>
      </c>
      <c r="G36" s="75">
        <f ca="1">IF(controls!$B$44=0,I36-'main page'!$K$27*M35,I36-'main page'!$K$27*M35+'main page'!$K$31*'normal case'!AB35)</f>
        <v>100</v>
      </c>
      <c r="H36" s="75">
        <f t="shared" ca="1" si="5"/>
        <v>108</v>
      </c>
      <c r="I36" s="75">
        <f t="shared" ca="1" si="6"/>
        <v>108</v>
      </c>
      <c r="L36" s="75">
        <f ca="1">IF(ABS('main page'!$K$29*L35+(1-'main page'!$K$29)*(controls!$B$9/100)*100+'main page'!$K$25*(D36-B36)-L35)&lt;0.0000001,L35,'main page'!$K$29*L35+(1-'main page'!$K$29)*(controls!$B$9/100)*100+'main page'!$K$25*(D36-B36))</f>
        <v>2</v>
      </c>
      <c r="M36" s="96">
        <f ca="1">IF(controls!$B$10=1,M35,IF(SUM(controls!$B$44:$B$46)=2,N36-'main page'!$K$29*'normal case'!L36-(1-'main page'!$K$29)*'main page'!$K$32,N36-'main page'!$K$29*'normal case'!L36-(1-'main page'!$K$29)*controls!$B$9))</f>
        <v>4</v>
      </c>
      <c r="N36" s="208">
        <f ca="1">IF(controls!$B$45=1,IF(controls!$B$46=1,'main page'!$K$24+'main page'!$K$11+'main page'!$U$8,'main page'!$K$24+'main page'!$K$11+'main page'!$K$32),IF(controls!$B$44=1,IF(O36&lt;0,0,O36),IF(O36+'main page'!$K$11&lt;0,0,O36+'main page'!$K$11)))</f>
        <v>6</v>
      </c>
      <c r="O36" s="76">
        <f ca="1">IF(controls!$B$10=1,'normal case'!M36+'normal case'!L36,'normal case'!P36)</f>
        <v>6</v>
      </c>
      <c r="P36" s="74">
        <f t="shared" ca="1" si="1"/>
        <v>6</v>
      </c>
      <c r="Q36" s="210">
        <f ca="1">IF(controls!$B$44=0,R36+'main page'!$K$29*L36+(1-'main page'!$K$29)*controls!$B$9+(('main page'!$K$25*'main page'!$U$13*'main page'!$K$29)/('main page'!$K$27*(1+('main page'!$K$25^2)*'main page'!$U$13)))*(L36-controls!$B$9),R36+'main page'!$K$29*L36+(1-'main page'!$K$29)*controls!$B$9+(('main page'!$K$25*'main page'!$U$13*'normal case'!$AO$3)/'normal case'!$AO$4)*('normal case'!L36-controls!$B$9))</f>
        <v>6</v>
      </c>
      <c r="R36" s="98">
        <f ca="1">IF(controls!$B$44=1,'main page'!$K$24+'main page'!$K$11,IF(controls!$B$33=1,((I37-D36*W37-B37+B36*V37)/'main page'!$K$27)-'main page'!$K$11,((H37-D36*W37-B37+B36*V37)/'main page'!$K$27)-'main page'!$K$11))</f>
        <v>4</v>
      </c>
      <c r="T36" s="71">
        <f>IF(controls!$B$6=1,$AL$3*(1+('main page'!$K$35/100))^U36-$AL$3*(1+('main page'!$K$35/100))^U35,$AL$3*(1+('main page'!$G$8/100))*(1+('main page'!$K$35/100))^U36-$AL$3*(1+('main page'!$G$8/100))*(1+('main page'!$K$35/100))^U35)</f>
        <v>0</v>
      </c>
      <c r="U36" s="73">
        <v>29</v>
      </c>
      <c r="V36" s="161">
        <v>0</v>
      </c>
      <c r="W36" s="40">
        <v>0</v>
      </c>
      <c r="X36" s="49">
        <f ca="1">IF(controls!$B$33=1,D36-($I$3-'main page'!$K$27*2)*(1+('main page'!$K$35/100))^A35,D36-$AL$4)</f>
        <v>0</v>
      </c>
      <c r="Y36" s="49">
        <f ca="1">ABS(L36-(controls!$B$9/100)*100)</f>
        <v>0</v>
      </c>
      <c r="AA36" s="49" t="e">
        <f ca="1">IF(controls!$B$33=1,(B37-B36*V37-I37+D36*W37+'main page'!$K$27*('main page'!$K$24+'main page'!$K$11))/'main page'!$K$31,(B37-B36*V37+D36*W37-H37+'main page'!$K$27*('main page'!$K$24+'main page'!$K$11))/'main page'!$K$31)</f>
        <v>#DIV/0!</v>
      </c>
      <c r="AB36" s="49" t="e">
        <f ca="1">IF(controls!$B$45=1,LOG(AF36,1.01)+LOG(AE36,1.01)-LOG(AD36,1.01),-((M36-('main page'!$K$24+'main page'!$K$11))/(1-'normal case'!$AO$3))+'normal case'!AA36)</f>
        <v>#DIV/0!</v>
      </c>
      <c r="AC36" s="176" t="e">
        <f t="shared" ca="1" si="2"/>
        <v>#DIV/0!</v>
      </c>
      <c r="AD36" s="49">
        <f t="shared" ca="1" si="3"/>
        <v>1.9222314039431532</v>
      </c>
      <c r="AE36" s="49">
        <f>AE35*(1+'main page'!$K$32/100)</f>
        <v>1</v>
      </c>
      <c r="AF36" s="49" t="e">
        <f ca="1">IF(ABS(IF(controls!$B$45=1,$AL$13,AD36*AC36/AE36)-AF35)&lt;0.00001,AF35,IF(controls!$B$45=1,$AL$13,AD36*AC36/AE36))</f>
        <v>#DIV/0!</v>
      </c>
      <c r="AG36" s="49">
        <f>IF(controls!$B$46=0,0,IF(controls!$B$33=2,B37-B36*V37-('normal case'!H37-D36*W37-'main page'!$K$27*'normal case'!M36+'main page'!$K$31*'normal case'!AB36)-(('main page'!$K$25*'main page'!$U$13*'main page'!$K$29)/(1+('main page'!$K$25^2)*'main page'!$U$13))*('normal case'!L36-'main page'!$U$8),B37-B36*V37-('normal case'!I37-D36*W37-'main page'!$K$27*'normal case'!M36+'main page'!$K$31*'normal case'!AB36)-(('main page'!$K$25*'main page'!$U$13*'main page'!$K$29)/(1+('main page'!$K$25^2)*'main page'!$U$13))*('normal case'!L36-'main page'!$U$8)))</f>
        <v>0</v>
      </c>
      <c r="AN36" s="40"/>
      <c r="AO36" s="40"/>
    </row>
    <row r="37" spans="1:41">
      <c r="A37" s="48">
        <v>35</v>
      </c>
      <c r="B37" s="75">
        <f ca="1">IF(controls!$B$33=1,B36*(1+V37)+T37,B36*(1+V37))</f>
        <v>100</v>
      </c>
      <c r="C37" s="80">
        <f t="shared" ca="1" si="4"/>
        <v>0</v>
      </c>
      <c r="D37" s="77">
        <f t="shared" ca="1" si="0"/>
        <v>100</v>
      </c>
      <c r="E37" s="77">
        <f ca="1">AG36+IF(controls!$B$33=1,G37,F37)</f>
        <v>100</v>
      </c>
      <c r="F37" s="94">
        <f ca="1">IF(controls!$B$44=0,H37-'main page'!$K$27*M36,H37-'main page'!$K$27*M36+'main page'!$K$31*AB36)</f>
        <v>100</v>
      </c>
      <c r="G37" s="75">
        <f ca="1">IF(controls!$B$44=0,I37-'main page'!$K$27*M36,I37-'main page'!$K$27*M36+'main page'!$K$31*'normal case'!AB36)</f>
        <v>100</v>
      </c>
      <c r="H37" s="75">
        <f t="shared" ca="1" si="5"/>
        <v>108</v>
      </c>
      <c r="I37" s="75">
        <f t="shared" ca="1" si="6"/>
        <v>108</v>
      </c>
      <c r="L37" s="75">
        <f ca="1">IF(ABS('main page'!$K$29*L36+(1-'main page'!$K$29)*(controls!$B$9/100)*100+'main page'!$K$25*(D37-B37)-L36)&lt;0.0000001,L36,'main page'!$K$29*L36+(1-'main page'!$K$29)*(controls!$B$9/100)*100+'main page'!$K$25*(D37-B37))</f>
        <v>2</v>
      </c>
      <c r="M37" s="96">
        <f ca="1">IF(controls!$B$10=1,M36,IF(SUM(controls!$B$44:$B$46)=2,N37-'main page'!$K$29*'normal case'!L37-(1-'main page'!$K$29)*'main page'!$K$32,N37-'main page'!$K$29*'normal case'!L37-(1-'main page'!$K$29)*controls!$B$9))</f>
        <v>4</v>
      </c>
      <c r="N37" s="208">
        <f ca="1">IF(controls!$B$45=1,IF(controls!$B$46=1,'main page'!$K$24+'main page'!$K$11+'main page'!$U$8,'main page'!$K$24+'main page'!$K$11+'main page'!$K$32),IF(controls!$B$44=1,IF(O37&lt;0,0,O37),IF(O37+'main page'!$K$11&lt;0,0,O37+'main page'!$K$11)))</f>
        <v>6</v>
      </c>
      <c r="O37" s="76">
        <f ca="1">IF(controls!$B$10=1,'normal case'!M37+'normal case'!L37,'normal case'!P37)</f>
        <v>6</v>
      </c>
      <c r="P37" s="74">
        <f t="shared" ca="1" si="1"/>
        <v>6</v>
      </c>
      <c r="Q37" s="210">
        <f ca="1">IF(controls!$B$44=0,R37+'main page'!$K$29*L37+(1-'main page'!$K$29)*controls!$B$9+(('main page'!$K$25*'main page'!$U$13*'main page'!$K$29)/('main page'!$K$27*(1+('main page'!$K$25^2)*'main page'!$U$13)))*(L37-controls!$B$9),R37+'main page'!$K$29*L37+(1-'main page'!$K$29)*controls!$B$9+(('main page'!$K$25*'main page'!$U$13*'normal case'!$AO$3)/'normal case'!$AO$4)*('normal case'!L37-controls!$B$9))</f>
        <v>6</v>
      </c>
      <c r="R37" s="98">
        <f ca="1">IF(controls!$B$44=1,'main page'!$K$24+'main page'!$K$11,IF(controls!$B$33=1,((I38-D37*W38-B38+B37*V38)/'main page'!$K$27)-'main page'!$K$11,((H38-D37*W38-B38+B37*V38)/'main page'!$K$27)-'main page'!$K$11))</f>
        <v>4</v>
      </c>
      <c r="T37" s="71">
        <f>IF(controls!$B$6=1,$AL$3*(1+('main page'!$K$35/100))^U37-$AL$3*(1+('main page'!$K$35/100))^U36,$AL$3*(1+('main page'!$G$8/100))*(1+('main page'!$K$35/100))^U37-$AL$3*(1+('main page'!$G$8/100))*(1+('main page'!$K$35/100))^U36)</f>
        <v>0</v>
      </c>
      <c r="U37" s="73">
        <v>30</v>
      </c>
      <c r="V37" s="161">
        <v>0</v>
      </c>
      <c r="W37" s="40">
        <v>0</v>
      </c>
      <c r="X37" s="49">
        <f ca="1">IF(controls!$B$33=1,D37-($I$3-'main page'!$K$27*2)*(1+('main page'!$K$35/100))^A36,D37-$AL$4)</f>
        <v>0</v>
      </c>
      <c r="Y37" s="49">
        <f ca="1">ABS(L37-(controls!$B$9/100)*100)</f>
        <v>0</v>
      </c>
      <c r="AA37" s="49" t="e">
        <f ca="1">IF(controls!$B$33=1,(B38-B37*V38-I38+D37*W38+'main page'!$K$27*('main page'!$K$24+'main page'!$K$11))/'main page'!$K$31,(B38-B37*V38+D37*W38-H38+'main page'!$K$27*('main page'!$K$24+'main page'!$K$11))/'main page'!$K$31)</f>
        <v>#DIV/0!</v>
      </c>
      <c r="AB37" s="49" t="e">
        <f ca="1">IF(controls!$B$45=1,LOG(AF37,1.01)+LOG(AE37,1.01)-LOG(AD37,1.01),-((M37-('main page'!$K$24+'main page'!$K$11))/(1-'normal case'!$AO$3))+'normal case'!AA37)</f>
        <v>#DIV/0!</v>
      </c>
      <c r="AC37" s="176" t="e">
        <f t="shared" ca="1" si="2"/>
        <v>#DIV/0!</v>
      </c>
      <c r="AD37" s="49">
        <f t="shared" ca="1" si="3"/>
        <v>1.9606760320220162</v>
      </c>
      <c r="AE37" s="49">
        <f>AE36*(1+'main page'!$K$32/100)</f>
        <v>1</v>
      </c>
      <c r="AF37" s="49" t="e">
        <f ca="1">IF(ABS(IF(controls!$B$45=1,$AL$13,AD37*AC37/AE37)-AF36)&lt;0.00001,AF36,IF(controls!$B$45=1,$AL$13,AD37*AC37/AE37))</f>
        <v>#DIV/0!</v>
      </c>
      <c r="AG37" s="49">
        <f>IF(controls!$B$46=0,0,IF(controls!$B$33=2,B38-B37*V38-('normal case'!H38-D37*W38-'main page'!$K$27*'normal case'!M37+'main page'!$K$31*'normal case'!AB37)-(('main page'!$K$25*'main page'!$U$13*'main page'!$K$29)/(1+('main page'!$K$25^2)*'main page'!$U$13))*('normal case'!L37-'main page'!$U$8),B38-B37*V38-('normal case'!I38-D37*W38-'main page'!$K$27*'normal case'!M37+'main page'!$K$31*'normal case'!AB37)-(('main page'!$K$25*'main page'!$U$13*'main page'!$K$29)/(1+('main page'!$K$25^2)*'main page'!$U$13))*('normal case'!L37-'main page'!$U$8)))</f>
        <v>0</v>
      </c>
      <c r="AN37" s="40"/>
      <c r="AO37" s="40"/>
    </row>
    <row r="38" spans="1:41">
      <c r="A38" s="48">
        <v>36</v>
      </c>
      <c r="B38" s="75">
        <f ca="1">IF(controls!$B$33=1,B37*(1+V38)+T38,B37*(1+V38))</f>
        <v>100</v>
      </c>
      <c r="C38" s="80">
        <f t="shared" ca="1" si="4"/>
        <v>0</v>
      </c>
      <c r="D38" s="77">
        <f t="shared" ca="1" si="0"/>
        <v>100</v>
      </c>
      <c r="E38" s="77">
        <f ca="1">AG37+IF(controls!$B$33=1,G38,F38)</f>
        <v>100</v>
      </c>
      <c r="F38" s="94">
        <f ca="1">IF(controls!$B$44=0,H38-'main page'!$K$27*M37,H38-'main page'!$K$27*M37+'main page'!$K$31*AB37)</f>
        <v>100</v>
      </c>
      <c r="G38" s="75">
        <f ca="1">IF(controls!$B$44=0,I38-'main page'!$K$27*M37,I38-'main page'!$K$27*M37+'main page'!$K$31*'normal case'!AB37)</f>
        <v>100</v>
      </c>
      <c r="H38" s="75">
        <f t="shared" ca="1" si="5"/>
        <v>108</v>
      </c>
      <c r="I38" s="75">
        <f t="shared" ca="1" si="6"/>
        <v>108</v>
      </c>
      <c r="L38" s="75">
        <f ca="1">IF(ABS('main page'!$K$29*L37+(1-'main page'!$K$29)*(controls!$B$9/100)*100+'main page'!$K$25*(D38-B38)-L37)&lt;0.0000001,L37,'main page'!$K$29*L37+(1-'main page'!$K$29)*(controls!$B$9/100)*100+'main page'!$K$25*(D38-B38))</f>
        <v>2</v>
      </c>
      <c r="M38" s="96">
        <f ca="1">IF(controls!$B$10=1,M37,IF(SUM(controls!$B$44:$B$46)=2,N38-'main page'!$K$29*'normal case'!L38-(1-'main page'!$K$29)*'main page'!$K$32,N38-'main page'!$K$29*'normal case'!L38-(1-'main page'!$K$29)*controls!$B$9))</f>
        <v>4</v>
      </c>
      <c r="N38" s="208">
        <f ca="1">IF(controls!$B$45=1,IF(controls!$B$46=1,'main page'!$K$24+'main page'!$K$11+'main page'!$U$8,'main page'!$K$24+'main page'!$K$11+'main page'!$K$32),IF(controls!$B$44=1,IF(O38&lt;0,0,O38),IF(O38+'main page'!$K$11&lt;0,0,O38+'main page'!$K$11)))</f>
        <v>6</v>
      </c>
      <c r="O38" s="76">
        <f ca="1">IF(controls!$B$10=1,'normal case'!M38+'normal case'!L38,'normal case'!P38)</f>
        <v>6</v>
      </c>
      <c r="P38" s="74">
        <f t="shared" ca="1" si="1"/>
        <v>6</v>
      </c>
      <c r="Q38" s="210">
        <f ca="1">IF(controls!$B$44=0,R38+'main page'!$K$29*L38+(1-'main page'!$K$29)*controls!$B$9+(('main page'!$K$25*'main page'!$U$13*'main page'!$K$29)/('main page'!$K$27*(1+('main page'!$K$25^2)*'main page'!$U$13)))*(L38-controls!$B$9),R38+'main page'!$K$29*L38+(1-'main page'!$K$29)*controls!$B$9+(('main page'!$K$25*'main page'!$U$13*'normal case'!$AO$3)/'normal case'!$AO$4)*('normal case'!L38-controls!$B$9))</f>
        <v>6</v>
      </c>
      <c r="R38" s="98">
        <f ca="1">IF(controls!$B$44=1,'main page'!$K$24+'main page'!$K$11,IF(controls!$B$33=1,((I39-D38*W39-B39+B38*V39)/'main page'!$K$27)-'main page'!$K$11,((H39-D38*W39-B39+B38*V39)/'main page'!$K$27)-'main page'!$K$11))</f>
        <v>4</v>
      </c>
      <c r="T38" s="71">
        <f>IF(controls!$B$6=1,$AL$3*(1+('main page'!$K$35/100))^U38-$AL$3*(1+('main page'!$K$35/100))^U37,$AL$3*(1+('main page'!$G$8/100))*(1+('main page'!$K$35/100))^U38-$AL$3*(1+('main page'!$G$8/100))*(1+('main page'!$K$35/100))^U37)</f>
        <v>0</v>
      </c>
      <c r="U38" s="73">
        <v>31</v>
      </c>
      <c r="V38" s="161">
        <f ca="1">IF(controls!$B$4=1,IF(controls!$H37=1,controls!$B$34*V37+RAND()*('main page'!$K$16/100)-RAND()*('main page'!$K$16/100),0),0)</f>
        <v>0</v>
      </c>
      <c r="W38" s="40">
        <f ca="1">IF(controls!$B$4=1,IF(controls!$I37=1,controls!$B$34*W37+RAND()*('main page'!$K$16/100)-RAND()*('main page'!$K$16/100),0),0)</f>
        <v>0</v>
      </c>
      <c r="X38" s="49">
        <f ca="1">IF(controls!$B$33=1,D38-($I$3-'main page'!$K$27*2)*(1+('main page'!$K$35/100))^A37,D38-$AL$4)</f>
        <v>0</v>
      </c>
      <c r="Y38" s="49">
        <f ca="1">ABS(L38-(controls!$B$9/100)*100)</f>
        <v>0</v>
      </c>
      <c r="AA38" s="49" t="e">
        <f ca="1">IF(controls!$B$33=1,(B39-B38*V39-I39+D38*W39+'main page'!$K$27*('main page'!$K$24+'main page'!$K$11))/'main page'!$K$31,(B39-B38*V39+D38*W39-H39+'main page'!$K$27*('main page'!$K$24+'main page'!$K$11))/'main page'!$K$31)</f>
        <v>#DIV/0!</v>
      </c>
      <c r="AB38" s="49" t="e">
        <f ca="1">IF(controls!$B$45=1,LOG(AF38,1.01)+LOG(AE38,1.01)-LOG(AD38,1.01),-((M38-('main page'!$K$24+'main page'!$K$11))/(1-'normal case'!$AO$3))+'normal case'!AA38)</f>
        <v>#DIV/0!</v>
      </c>
      <c r="AC38" s="176" t="e">
        <f t="shared" ca="1" si="2"/>
        <v>#DIV/0!</v>
      </c>
      <c r="AD38" s="49">
        <f t="shared" ca="1" si="3"/>
        <v>1.9998895526624565</v>
      </c>
      <c r="AE38" s="49">
        <f>AE37*(1+'main page'!$K$32/100)</f>
        <v>1</v>
      </c>
      <c r="AF38" s="49" t="e">
        <f ca="1">IF(ABS(IF(controls!$B$45=1,$AL$13,AD38*AC38/AE38)-AF37)&lt;0.00001,AF37,IF(controls!$B$45=1,$AL$13,AD38*AC38/AE38))</f>
        <v>#DIV/0!</v>
      </c>
      <c r="AG38" s="49">
        <f>IF(controls!$B$46=0,0,IF(controls!$B$33=2,B39-B38*V39-('normal case'!H39-D38*W39-'main page'!$K$27*'normal case'!M38+'main page'!$K$31*'normal case'!AB38)-(('main page'!$K$25*'main page'!$U$13*'main page'!$K$29)/(1+('main page'!$K$25^2)*'main page'!$U$13))*('normal case'!L38-'main page'!$U$8),B39-B38*V39-('normal case'!I39-D38*W39-'main page'!$K$27*'normal case'!M38+'main page'!$K$31*'normal case'!AB38)-(('main page'!$K$25*'main page'!$U$13*'main page'!$K$29)/(1+('main page'!$K$25^2)*'main page'!$U$13))*('normal case'!L38-'main page'!$U$8)))</f>
        <v>0</v>
      </c>
      <c r="AN38" s="40"/>
      <c r="AO38" s="40"/>
    </row>
    <row r="39" spans="1:41">
      <c r="A39" s="48">
        <v>37</v>
      </c>
      <c r="B39" s="75">
        <f ca="1">IF(controls!$B$33=1,B38*(1+V39)+T39,B38*(1+V39))</f>
        <v>100</v>
      </c>
      <c r="C39" s="80">
        <f t="shared" ca="1" si="4"/>
        <v>0</v>
      </c>
      <c r="D39" s="77">
        <f t="shared" ca="1" si="0"/>
        <v>100</v>
      </c>
      <c r="E39" s="77">
        <f ca="1">AG38+IF(controls!$B$33=1,G39,F39)</f>
        <v>100</v>
      </c>
      <c r="F39" s="94">
        <f ca="1">IF(controls!$B$44=0,H39-'main page'!$K$27*M38,H39-'main page'!$K$27*M38+'main page'!$K$31*AB38)</f>
        <v>100</v>
      </c>
      <c r="G39" s="75">
        <f ca="1">IF(controls!$B$44=0,I39-'main page'!$K$27*M38,I39-'main page'!$K$27*M38+'main page'!$K$31*'normal case'!AB38)</f>
        <v>100</v>
      </c>
      <c r="H39" s="75">
        <f t="shared" ca="1" si="5"/>
        <v>108</v>
      </c>
      <c r="I39" s="75">
        <f t="shared" ca="1" si="6"/>
        <v>108</v>
      </c>
      <c r="L39" s="75">
        <f ca="1">IF(ABS('main page'!$K$29*L38+(1-'main page'!$K$29)*(controls!$B$9/100)*100+'main page'!$K$25*(D39-B39)-L38)&lt;0.0000001,L38,'main page'!$K$29*L38+(1-'main page'!$K$29)*(controls!$B$9/100)*100+'main page'!$K$25*(D39-B39))</f>
        <v>2</v>
      </c>
      <c r="M39" s="96">
        <f ca="1">IF(controls!$B$10=1,M38,IF(SUM(controls!$B$44:$B$46)=2,N39-'main page'!$K$29*'normal case'!L39-(1-'main page'!$K$29)*'main page'!$K$32,N39-'main page'!$K$29*'normal case'!L39-(1-'main page'!$K$29)*controls!$B$9))</f>
        <v>4</v>
      </c>
      <c r="N39" s="208">
        <f ca="1">IF(controls!$B$45=1,IF(controls!$B$46=1,'main page'!$K$24+'main page'!$K$11+'main page'!$U$8,'main page'!$K$24+'main page'!$K$11+'main page'!$K$32),IF(controls!$B$44=1,IF(O39&lt;0,0,O39),IF(O39+'main page'!$K$11&lt;0,0,O39+'main page'!$K$11)))</f>
        <v>6</v>
      </c>
      <c r="O39" s="76">
        <f ca="1">IF(controls!$B$10=1,'normal case'!M39+'normal case'!L39,'normal case'!P39)</f>
        <v>6</v>
      </c>
      <c r="P39" s="74">
        <f t="shared" ca="1" si="1"/>
        <v>6</v>
      </c>
      <c r="Q39" s="210">
        <f ca="1">IF(controls!$B$44=0,R39+'main page'!$K$29*L39+(1-'main page'!$K$29)*controls!$B$9+(('main page'!$K$25*'main page'!$U$13*'main page'!$K$29)/('main page'!$K$27*(1+('main page'!$K$25^2)*'main page'!$U$13)))*(L39-controls!$B$9),R39+'main page'!$K$29*L39+(1-'main page'!$K$29)*controls!$B$9+(('main page'!$K$25*'main page'!$U$13*'normal case'!$AO$3)/'normal case'!$AO$4)*('normal case'!L39-controls!$B$9))</f>
        <v>6</v>
      </c>
      <c r="R39" s="98">
        <f ca="1">IF(controls!$B$44=1,'main page'!$K$24+'main page'!$K$11,IF(controls!$B$33=1,((I40-D39*W40-B40+B39*V40)/'main page'!$K$27)-'main page'!$K$11,((H40-D39*W40-B40+B39*V40)/'main page'!$K$27)-'main page'!$K$11))</f>
        <v>4</v>
      </c>
      <c r="T39" s="71">
        <f>IF(controls!$B$6=1,$AL$3*(1+('main page'!$K$35/100))^U39-$AL$3*(1+('main page'!$K$35/100))^U38,$AL$3*(1+('main page'!$G$8/100))*(1+('main page'!$K$35/100))^U39-$AL$3*(1+('main page'!$G$8/100))*(1+('main page'!$K$35/100))^U38)</f>
        <v>0</v>
      </c>
      <c r="U39" s="73">
        <v>32</v>
      </c>
      <c r="V39" s="161">
        <v>0</v>
      </c>
      <c r="W39" s="40">
        <v>0</v>
      </c>
      <c r="X39" s="49">
        <f ca="1">IF(controls!$B$33=1,D39-($I$3-'main page'!$K$27*2)*(1+('main page'!$K$35/100))^A38,D39-$AL$4)</f>
        <v>0</v>
      </c>
      <c r="Y39" s="49">
        <f ca="1">ABS(L39-(controls!$B$9/100)*100)</f>
        <v>0</v>
      </c>
      <c r="AA39" s="49" t="e">
        <f ca="1">IF(controls!$B$33=1,(B40-B39*V40-I40+D39*W40+'main page'!$K$27*('main page'!$K$24+'main page'!$K$11))/'main page'!$K$31,(B40-B39*V40+D39*W40-H40+'main page'!$K$27*('main page'!$K$24+'main page'!$K$11))/'main page'!$K$31)</f>
        <v>#DIV/0!</v>
      </c>
      <c r="AB39" s="49" t="e">
        <f ca="1">IF(controls!$B$45=1,LOG(AF39,1.01)+LOG(AE39,1.01)-LOG(AD39,1.01),-((M39-('main page'!$K$24+'main page'!$K$11))/(1-'normal case'!$AO$3))+'normal case'!AA39)</f>
        <v>#DIV/0!</v>
      </c>
      <c r="AC39" s="176" t="e">
        <f t="shared" ca="1" si="2"/>
        <v>#DIV/0!</v>
      </c>
      <c r="AD39" s="49">
        <f t="shared" ca="1" si="3"/>
        <v>2.0398873437157055</v>
      </c>
      <c r="AE39" s="49">
        <f>AE38*(1+'main page'!$K$32/100)</f>
        <v>1</v>
      </c>
      <c r="AF39" s="49" t="e">
        <f ca="1">IF(ABS(IF(controls!$B$45=1,$AL$13,AD39*AC39/AE39)-AF38)&lt;0.00001,AF38,IF(controls!$B$45=1,$AL$13,AD39*AC39/AE39))</f>
        <v>#DIV/0!</v>
      </c>
      <c r="AG39" s="49">
        <f>IF(controls!$B$46=0,0,IF(controls!$B$33=2,B40-B39*V40-('normal case'!H40-D39*W40-'main page'!$K$27*'normal case'!M39+'main page'!$K$31*'normal case'!AB39)-(('main page'!$K$25*'main page'!$U$13*'main page'!$K$29)/(1+('main page'!$K$25^2)*'main page'!$U$13))*('normal case'!L39-'main page'!$U$8),B40-B39*V40-('normal case'!I40-D39*W40-'main page'!$K$27*'normal case'!M39+'main page'!$K$31*'normal case'!AB39)-(('main page'!$K$25*'main page'!$U$13*'main page'!$K$29)/(1+('main page'!$K$25^2)*'main page'!$U$13))*('normal case'!L39-'main page'!$U$8)))</f>
        <v>0</v>
      </c>
      <c r="AN39" s="40"/>
      <c r="AO39" s="40"/>
    </row>
    <row r="40" spans="1:41">
      <c r="A40" s="48">
        <v>38</v>
      </c>
      <c r="B40" s="75">
        <f ca="1">IF(controls!$B$33=1,B39*(1+V40)+T40,B39*(1+V40))</f>
        <v>100</v>
      </c>
      <c r="C40" s="80">
        <f t="shared" ca="1" si="4"/>
        <v>0</v>
      </c>
      <c r="D40" s="77">
        <f t="shared" ca="1" si="0"/>
        <v>100</v>
      </c>
      <c r="E40" s="77">
        <f ca="1">AG39+IF(controls!$B$33=1,G40,F40)</f>
        <v>100</v>
      </c>
      <c r="F40" s="94">
        <f ca="1">IF(controls!$B$44=0,H40-'main page'!$K$27*M39,H40-'main page'!$K$27*M39+'main page'!$K$31*AB39)</f>
        <v>100</v>
      </c>
      <c r="G40" s="75">
        <f ca="1">IF(controls!$B$44=0,I40-'main page'!$K$27*M39,I40-'main page'!$K$27*M39+'main page'!$K$31*'normal case'!AB39)</f>
        <v>100</v>
      </c>
      <c r="H40" s="75">
        <f t="shared" ca="1" si="5"/>
        <v>108</v>
      </c>
      <c r="I40" s="75">
        <f t="shared" ca="1" si="6"/>
        <v>108</v>
      </c>
      <c r="L40" s="75">
        <f ca="1">IF(ABS('main page'!$K$29*L39+(1-'main page'!$K$29)*(controls!$B$9/100)*100+'main page'!$K$25*(D40-B40)-L39)&lt;0.0000001,L39,'main page'!$K$29*L39+(1-'main page'!$K$29)*(controls!$B$9/100)*100+'main page'!$K$25*(D40-B40))</f>
        <v>2</v>
      </c>
      <c r="M40" s="96">
        <f ca="1">IF(controls!$B$10=1,M39,IF(SUM(controls!$B$44:$B$46)=2,N40-'main page'!$K$29*'normal case'!L40-(1-'main page'!$K$29)*'main page'!$K$32,N40-'main page'!$K$29*'normal case'!L40-(1-'main page'!$K$29)*controls!$B$9))</f>
        <v>4</v>
      </c>
      <c r="N40" s="208">
        <f ca="1">IF(controls!$B$45=1,IF(controls!$B$46=1,'main page'!$K$24+'main page'!$K$11+'main page'!$U$8,'main page'!$K$24+'main page'!$K$11+'main page'!$K$32),IF(controls!$B$44=1,IF(O40&lt;0,0,O40),IF(O40+'main page'!$K$11&lt;0,0,O40+'main page'!$K$11)))</f>
        <v>6</v>
      </c>
      <c r="O40" s="76">
        <f ca="1">IF(controls!$B$10=1,'normal case'!M40+'normal case'!L40,'normal case'!P40)</f>
        <v>6</v>
      </c>
      <c r="P40" s="74">
        <f t="shared" ca="1" si="1"/>
        <v>6</v>
      </c>
      <c r="Q40" s="210">
        <f ca="1">IF(controls!$B$44=0,R40+'main page'!$K$29*L40+(1-'main page'!$K$29)*controls!$B$9+(('main page'!$K$25*'main page'!$U$13*'main page'!$K$29)/('main page'!$K$27*(1+('main page'!$K$25^2)*'main page'!$U$13)))*(L40-controls!$B$9),R40+'main page'!$K$29*L40+(1-'main page'!$K$29)*controls!$B$9+(('main page'!$K$25*'main page'!$U$13*'normal case'!$AO$3)/'normal case'!$AO$4)*('normal case'!L40-controls!$B$9))</f>
        <v>6</v>
      </c>
      <c r="R40" s="98">
        <f ca="1">IF(controls!$B$44=1,'main page'!$K$24+'main page'!$K$11,IF(controls!$B$33=1,((I41-D40*W41-B41+B40*V41)/'main page'!$K$27)-'main page'!$K$11,((H41-D40*W41-B41+B40*V41)/'main page'!$K$27)-'main page'!$K$11))</f>
        <v>4</v>
      </c>
      <c r="T40" s="71">
        <f>IF(controls!$B$6=1,$AL$3*(1+('main page'!$K$35/100))^U40-$AL$3*(1+('main page'!$K$35/100))^U39,$AL$3*(1+('main page'!$G$8/100))*(1+('main page'!$K$35/100))^U40-$AL$3*(1+('main page'!$G$8/100))*(1+('main page'!$K$35/100))^U39)</f>
        <v>0</v>
      </c>
      <c r="U40" s="73">
        <v>33</v>
      </c>
      <c r="V40" s="161">
        <v>0</v>
      </c>
      <c r="W40" s="40">
        <v>0</v>
      </c>
      <c r="X40" s="49">
        <f ca="1">IF(controls!$B$33=1,D40-($I$3-'main page'!$K$27*2)*(1+('main page'!$K$35/100))^A39,D40-$AL$4)</f>
        <v>0</v>
      </c>
      <c r="Y40" s="49">
        <f ca="1">ABS(L40-(controls!$B$9/100)*100)</f>
        <v>0</v>
      </c>
      <c r="AA40" s="49" t="e">
        <f ca="1">IF(controls!$B$33=1,(B41-B40*V41-I41+D40*W41+'main page'!$K$27*('main page'!$K$24+'main page'!$K$11))/'main page'!$K$31,(B41-B40*V41+D40*W41-H41+'main page'!$K$27*('main page'!$K$24+'main page'!$K$11))/'main page'!$K$31)</f>
        <v>#DIV/0!</v>
      </c>
      <c r="AB40" s="49" t="e">
        <f ca="1">IF(controls!$B$45=1,LOG(AF40,1.01)+LOG(AE40,1.01)-LOG(AD40,1.01),-((M40-('main page'!$K$24+'main page'!$K$11))/(1-'normal case'!$AO$3))+'normal case'!AA40)</f>
        <v>#DIV/0!</v>
      </c>
      <c r="AC40" s="176" t="e">
        <f t="shared" ca="1" si="2"/>
        <v>#DIV/0!</v>
      </c>
      <c r="AD40" s="49">
        <f t="shared" ca="1" si="3"/>
        <v>2.0806850905900198</v>
      </c>
      <c r="AE40" s="49">
        <f>AE39*(1+'main page'!$K$32/100)</f>
        <v>1</v>
      </c>
      <c r="AF40" s="49" t="e">
        <f ca="1">IF(ABS(IF(controls!$B$45=1,$AL$13,AD40*AC40/AE40)-AF39)&lt;0.00001,AF39,IF(controls!$B$45=1,$AL$13,AD40*AC40/AE40))</f>
        <v>#DIV/0!</v>
      </c>
      <c r="AG40" s="49">
        <f>IF(controls!$B$46=0,0,IF(controls!$B$33=2,B41-B40*V41-('normal case'!H41-D40*W41-'main page'!$K$27*'normal case'!M40+'main page'!$K$31*'normal case'!AB40)-(('main page'!$K$25*'main page'!$U$13*'main page'!$K$29)/(1+('main page'!$K$25^2)*'main page'!$U$13))*('normal case'!L40-'main page'!$U$8),B41-B40*V41-('normal case'!I41-D40*W41-'main page'!$K$27*'normal case'!M40+'main page'!$K$31*'normal case'!AB40)-(('main page'!$K$25*'main page'!$U$13*'main page'!$K$29)/(1+('main page'!$K$25^2)*'main page'!$U$13))*('normal case'!L40-'main page'!$U$8)))</f>
        <v>0</v>
      </c>
      <c r="AN40" s="40"/>
      <c r="AO40" s="40"/>
    </row>
    <row r="41" spans="1:41">
      <c r="A41" s="48">
        <v>39</v>
      </c>
      <c r="B41" s="75">
        <f ca="1">IF(controls!$B$33=1,B40*(1+V41)+T41,B40*(1+V41))</f>
        <v>100</v>
      </c>
      <c r="C41" s="80">
        <f t="shared" ca="1" si="4"/>
        <v>0</v>
      </c>
      <c r="D41" s="77">
        <f t="shared" ca="1" si="0"/>
        <v>100</v>
      </c>
      <c r="E41" s="77">
        <f ca="1">AG40+IF(controls!$B$33=1,G41,F41)</f>
        <v>100</v>
      </c>
      <c r="F41" s="94">
        <f ca="1">IF(controls!$B$44=0,H41-'main page'!$K$27*M40,H41-'main page'!$K$27*M40+'main page'!$K$31*AB40)</f>
        <v>100</v>
      </c>
      <c r="G41" s="75">
        <f ca="1">IF(controls!$B$44=0,I41-'main page'!$K$27*M40,I41-'main page'!$K$27*M40+'main page'!$K$31*'normal case'!AB40)</f>
        <v>100</v>
      </c>
      <c r="H41" s="75">
        <f t="shared" ca="1" si="5"/>
        <v>108</v>
      </c>
      <c r="I41" s="75">
        <f t="shared" ca="1" si="6"/>
        <v>108</v>
      </c>
      <c r="L41" s="75">
        <f ca="1">IF(ABS('main page'!$K$29*L40+(1-'main page'!$K$29)*(controls!$B$9/100)*100+'main page'!$K$25*(D41-B41)-L40)&lt;0.0000001,L40,'main page'!$K$29*L40+(1-'main page'!$K$29)*(controls!$B$9/100)*100+'main page'!$K$25*(D41-B41))</f>
        <v>2</v>
      </c>
      <c r="M41" s="96">
        <f ca="1">IF(controls!$B$10=1,M40,IF(SUM(controls!$B$44:$B$46)=2,N41-'main page'!$K$29*'normal case'!L41-(1-'main page'!$K$29)*'main page'!$K$32,N41-'main page'!$K$29*'normal case'!L41-(1-'main page'!$K$29)*controls!$B$9))</f>
        <v>4</v>
      </c>
      <c r="N41" s="208">
        <f ca="1">IF(controls!$B$45=1,IF(controls!$B$46=1,'main page'!$K$24+'main page'!$K$11+'main page'!$U$8,'main page'!$K$24+'main page'!$K$11+'main page'!$K$32),IF(controls!$B$44=1,IF(O41&lt;0,0,O41),IF(O41+'main page'!$K$11&lt;0,0,O41+'main page'!$K$11)))</f>
        <v>6</v>
      </c>
      <c r="O41" s="76">
        <f ca="1">IF(controls!$B$10=1,'normal case'!M41+'normal case'!L41,'normal case'!P41)</f>
        <v>6</v>
      </c>
      <c r="P41" s="74">
        <f t="shared" ca="1" si="1"/>
        <v>6</v>
      </c>
      <c r="Q41" s="210">
        <f ca="1">IF(controls!$B$44=0,R41+'main page'!$K$29*L41+(1-'main page'!$K$29)*controls!$B$9+(('main page'!$K$25*'main page'!$U$13*'main page'!$K$29)/('main page'!$K$27*(1+('main page'!$K$25^2)*'main page'!$U$13)))*(L41-controls!$B$9),R41+'main page'!$K$29*L41+(1-'main page'!$K$29)*controls!$B$9+(('main page'!$K$25*'main page'!$U$13*'normal case'!$AO$3)/'normal case'!$AO$4)*('normal case'!L41-controls!$B$9))</f>
        <v>6</v>
      </c>
      <c r="R41" s="98">
        <f ca="1">IF(controls!$B$44=1,'main page'!$K$24+'main page'!$K$11,IF(controls!$B$33=1,((I42-D41*W42-B42+B41*V42)/'main page'!$K$27)-'main page'!$K$11,((H42-D41*W42-B42+B41*V42)/'main page'!$K$27)-'main page'!$K$11))</f>
        <v>4</v>
      </c>
      <c r="T41" s="71">
        <f>IF(controls!$B$6=1,$AL$3*(1+('main page'!$K$35/100))^U41-$AL$3*(1+('main page'!$K$35/100))^U40,$AL$3*(1+('main page'!$G$8/100))*(1+('main page'!$K$35/100))^U41-$AL$3*(1+('main page'!$G$8/100))*(1+('main page'!$K$35/100))^U40)</f>
        <v>0</v>
      </c>
      <c r="U41" s="73">
        <v>34</v>
      </c>
      <c r="V41" s="161">
        <f ca="1">IF(controls!$B$4=1,IF(controls!$H40=1,controls!$B$34*V40+RAND()*('main page'!$K$16/100)-RAND()*('main page'!$K$16/100),0),0)</f>
        <v>0</v>
      </c>
      <c r="W41" s="40">
        <f ca="1">IF(controls!$B$4=1,IF(controls!$I40=1,controls!$B$34*W40+RAND()*('main page'!$K$16/100)-RAND()*('main page'!$K$16/100),0),0)</f>
        <v>0</v>
      </c>
      <c r="X41" s="49">
        <f ca="1">IF(controls!$B$33=1,D41-($I$3-'main page'!$K$27*2)*(1+('main page'!$K$35/100))^A40,D41-$AL$4)</f>
        <v>0</v>
      </c>
      <c r="Y41" s="49">
        <f ca="1">ABS(L41-(controls!$B$9/100)*100)</f>
        <v>0</v>
      </c>
      <c r="AA41" s="49" t="e">
        <f ca="1">IF(controls!$B$33=1,(B42-B41*V42-I42+D41*W42+'main page'!$K$27*('main page'!$K$24+'main page'!$K$11))/'main page'!$K$31,(B42-B41*V42+D41*W42-H42+'main page'!$K$27*('main page'!$K$24+'main page'!$K$11))/'main page'!$K$31)</f>
        <v>#DIV/0!</v>
      </c>
      <c r="AB41" s="49" t="e">
        <f ca="1">IF(controls!$B$45=1,LOG(AF41,1.01)+LOG(AE41,1.01)-LOG(AD41,1.01),-((M41-('main page'!$K$24+'main page'!$K$11))/(1-'normal case'!$AO$3))+'normal case'!AA41)</f>
        <v>#DIV/0!</v>
      </c>
      <c r="AC41" s="176" t="e">
        <f t="shared" ca="1" si="2"/>
        <v>#DIV/0!</v>
      </c>
      <c r="AD41" s="49">
        <f t="shared" ca="1" si="3"/>
        <v>2.1222987924018204</v>
      </c>
      <c r="AE41" s="49">
        <f>AE40*(1+'main page'!$K$32/100)</f>
        <v>1</v>
      </c>
      <c r="AF41" s="49" t="e">
        <f ca="1">IF(ABS(IF(controls!$B$45=1,$AL$13,AD41*AC41/AE41)-AF40)&lt;0.00001,AF40,IF(controls!$B$45=1,$AL$13,AD41*AC41/AE41))</f>
        <v>#DIV/0!</v>
      </c>
      <c r="AG41" s="49">
        <f>IF(controls!$B$46=0,0,IF(controls!$B$33=2,B42-B41*V42-('normal case'!H42-D41*W42-'main page'!$K$27*'normal case'!M41+'main page'!$K$31*'normal case'!AB41)-(('main page'!$K$25*'main page'!$U$13*'main page'!$K$29)/(1+('main page'!$K$25^2)*'main page'!$U$13))*('normal case'!L41-'main page'!$U$8),B42-B41*V42-('normal case'!I42-D41*W42-'main page'!$K$27*'normal case'!M41+'main page'!$K$31*'normal case'!AB41)-(('main page'!$K$25*'main page'!$U$13*'main page'!$K$29)/(1+('main page'!$K$25^2)*'main page'!$U$13))*('normal case'!L41-'main page'!$U$8)))</f>
        <v>0</v>
      </c>
      <c r="AN41" s="40"/>
      <c r="AO41" s="40"/>
    </row>
    <row r="42" spans="1:41">
      <c r="A42" s="48">
        <v>40</v>
      </c>
      <c r="B42" s="75">
        <f ca="1">IF(controls!$B$33=1,B41*(1+V42)+T42,B41*(1+V42))</f>
        <v>100</v>
      </c>
      <c r="C42" s="80">
        <f t="shared" ca="1" si="4"/>
        <v>0</v>
      </c>
      <c r="D42" s="77">
        <f t="shared" ca="1" si="0"/>
        <v>100</v>
      </c>
      <c r="E42" s="77">
        <f ca="1">AG41+IF(controls!$B$33=1,G42,F42)</f>
        <v>100</v>
      </c>
      <c r="F42" s="94">
        <f ca="1">IF(controls!$B$44=0,H42-'main page'!$K$27*M41,H42-'main page'!$K$27*M41+'main page'!$K$31*AB41)</f>
        <v>100</v>
      </c>
      <c r="G42" s="75">
        <f ca="1">IF(controls!$B$44=0,I42-'main page'!$K$27*M41,I42-'main page'!$K$27*M41+'main page'!$K$31*'normal case'!AB41)</f>
        <v>100</v>
      </c>
      <c r="H42" s="75">
        <f t="shared" ca="1" si="5"/>
        <v>108</v>
      </c>
      <c r="I42" s="75">
        <f t="shared" ca="1" si="6"/>
        <v>108</v>
      </c>
      <c r="L42" s="75">
        <f ca="1">IF(ABS('main page'!$K$29*L41+(1-'main page'!$K$29)*(controls!$B$9/100)*100+'main page'!$K$25*(D42-B42)-L41)&lt;0.0000001,L41,'main page'!$K$29*L41+(1-'main page'!$K$29)*(controls!$B$9/100)*100+'main page'!$K$25*(D42-B42))</f>
        <v>2</v>
      </c>
      <c r="M42" s="96">
        <f ca="1">IF(controls!$B$10=1,M41,IF(SUM(controls!$B$44:$B$46)=2,N42-'main page'!$K$29*'normal case'!L42-(1-'main page'!$K$29)*'main page'!$K$32,N42-'main page'!$K$29*'normal case'!L42-(1-'main page'!$K$29)*controls!$B$9))</f>
        <v>4</v>
      </c>
      <c r="N42" s="208">
        <f ca="1">IF(controls!$B$45=1,IF(controls!$B$46=1,'main page'!$K$24+'main page'!$K$11+'main page'!$U$8,'main page'!$K$24+'main page'!$K$11+'main page'!$K$32),IF(controls!$B$44=1,IF(O42&lt;0,0,O42),IF(O42+'main page'!$K$11&lt;0,0,O42+'main page'!$K$11)))</f>
        <v>6</v>
      </c>
      <c r="O42" s="76">
        <f ca="1">IF(controls!$B$10=1,'normal case'!M42+'normal case'!L42,'normal case'!P42)</f>
        <v>6</v>
      </c>
      <c r="P42" s="74">
        <f t="shared" ca="1" si="1"/>
        <v>6</v>
      </c>
      <c r="Q42" s="210">
        <f ca="1">IF(controls!$B$44=0,R42+'main page'!$K$29*L42+(1-'main page'!$K$29)*controls!$B$9+(('main page'!$K$25*'main page'!$U$13*'main page'!$K$29)/('main page'!$K$27*(1+('main page'!$K$25^2)*'main page'!$U$13)))*(L42-controls!$B$9),R42+'main page'!$K$29*L42+(1-'main page'!$K$29)*controls!$B$9+(('main page'!$K$25*'main page'!$U$13*'normal case'!$AO$3)/'normal case'!$AO$4)*('normal case'!L42-controls!$B$9))</f>
        <v>6</v>
      </c>
      <c r="R42" s="98">
        <f ca="1">IF(controls!$B$44=1,'main page'!$K$24+'main page'!$K$11,IF(controls!$B$33=1,((I43-D42*W43-B43+B42*V43)/'main page'!$K$27)-'main page'!$K$11,((H43-D42*W43-B43+B42*V43)/'main page'!$K$27)-'main page'!$K$11))</f>
        <v>4</v>
      </c>
      <c r="T42" s="71">
        <f>IF(controls!$B$6=1,$AL$3*(1+('main page'!$K$35/100))^U42-$AL$3*(1+('main page'!$K$35/100))^U41,$AL$3*(1+('main page'!$G$8/100))*(1+('main page'!$K$35/100))^U42-$AL$3*(1+('main page'!$G$8/100))*(1+('main page'!$K$35/100))^U41)</f>
        <v>0</v>
      </c>
      <c r="U42" s="73">
        <v>35</v>
      </c>
      <c r="V42" s="161">
        <v>0</v>
      </c>
      <c r="W42" s="40">
        <v>0</v>
      </c>
      <c r="X42" s="49">
        <f ca="1">IF(controls!$B$33=1,D42-($I$3-'main page'!$K$27*2)*(1+('main page'!$K$35/100))^A41,D42-$AL$4)</f>
        <v>0</v>
      </c>
      <c r="Y42" s="49">
        <f ca="1">ABS(L42-(controls!$B$9/100)*100)</f>
        <v>0</v>
      </c>
      <c r="AA42" s="49" t="e">
        <f ca="1">IF(controls!$B$33=1,(B43-B42*V43-I43+D42*W43+'main page'!$K$27*('main page'!$K$24+'main page'!$K$11))/'main page'!$K$31,(B43-B42*V43+D42*W43-H43+'main page'!$K$27*('main page'!$K$24+'main page'!$K$11))/'main page'!$K$31)</f>
        <v>#DIV/0!</v>
      </c>
      <c r="AB42" s="49" t="e">
        <f ca="1">IF(controls!$B$45=1,LOG(AF42,1.01)+LOG(AE42,1.01)-LOG(AD42,1.01),-((M42-('main page'!$K$24+'main page'!$K$11))/(1-'normal case'!$AO$3))+'normal case'!AA42)</f>
        <v>#DIV/0!</v>
      </c>
      <c r="AC42" s="176" t="e">
        <f t="shared" ca="1" si="2"/>
        <v>#DIV/0!</v>
      </c>
      <c r="AD42" s="49">
        <f t="shared" ca="1" si="3"/>
        <v>2.1647447682498568</v>
      </c>
      <c r="AE42" s="49">
        <f>AE41*(1+'main page'!$K$32/100)</f>
        <v>1</v>
      </c>
      <c r="AF42" s="49" t="e">
        <f ca="1">IF(ABS(IF(controls!$B$45=1,$AL$13,AD42*AC42/AE42)-AF41)&lt;0.00001,AF41,IF(controls!$B$45=1,$AL$13,AD42*AC42/AE42))</f>
        <v>#DIV/0!</v>
      </c>
      <c r="AG42" s="49">
        <f>IF(controls!$B$46=0,0,IF(controls!$B$33=2,B43-B42*V43-('normal case'!H43-D42*W43-'main page'!$K$27*'normal case'!M42+'main page'!$K$31*'normal case'!AB42)-(('main page'!$K$25*'main page'!$U$13*'main page'!$K$29)/(1+('main page'!$K$25^2)*'main page'!$U$13))*('normal case'!L42-'main page'!$U$8),B43-B42*V43-('normal case'!I43-D42*W43-'main page'!$K$27*'normal case'!M42+'main page'!$K$31*'normal case'!AB42)-(('main page'!$K$25*'main page'!$U$13*'main page'!$K$29)/(1+('main page'!$K$25^2)*'main page'!$U$13))*('normal case'!L42-'main page'!$U$8)))</f>
        <v>0</v>
      </c>
      <c r="AN42" s="40"/>
      <c r="AO42" s="40"/>
    </row>
    <row r="43" spans="1:41">
      <c r="A43" s="48">
        <v>41</v>
      </c>
      <c r="B43" s="75">
        <f ca="1">IF(controls!$B$33=1,B42*(1+V43)+T43,B42*(1+V43))</f>
        <v>100</v>
      </c>
      <c r="C43" s="80">
        <f t="shared" ca="1" si="4"/>
        <v>0</v>
      </c>
      <c r="D43" s="77">
        <f t="shared" ca="1" si="0"/>
        <v>100</v>
      </c>
      <c r="E43" s="77">
        <f ca="1">AG42+IF(controls!$B$33=1,G43,F43)</f>
        <v>100</v>
      </c>
      <c r="F43" s="94">
        <f ca="1">IF(controls!$B$44=0,H43-'main page'!$K$27*M42,H43-'main page'!$K$27*M42+'main page'!$K$31*AB42)</f>
        <v>100</v>
      </c>
      <c r="G43" s="75">
        <f ca="1">IF(controls!$B$44=0,I43-'main page'!$K$27*M42,I43-'main page'!$K$27*M42+'main page'!$K$31*'normal case'!AB42)</f>
        <v>100</v>
      </c>
      <c r="H43" s="75">
        <f t="shared" ca="1" si="5"/>
        <v>108</v>
      </c>
      <c r="I43" s="75">
        <f t="shared" ca="1" si="6"/>
        <v>108</v>
      </c>
      <c r="L43" s="75">
        <f ca="1">IF(ABS('main page'!$K$29*L42+(1-'main page'!$K$29)*(controls!$B$9/100)*100+'main page'!$K$25*(D43-B43)-L42)&lt;0.0000001,L42,'main page'!$K$29*L42+(1-'main page'!$K$29)*(controls!$B$9/100)*100+'main page'!$K$25*(D43-B43))</f>
        <v>2</v>
      </c>
      <c r="M43" s="96">
        <f ca="1">IF(controls!$B$10=1,M42,IF(SUM(controls!$B$44:$B$46)=2,N43-'main page'!$K$29*'normal case'!L43-(1-'main page'!$K$29)*'main page'!$K$32,N43-'main page'!$K$29*'normal case'!L43-(1-'main page'!$K$29)*controls!$B$9))</f>
        <v>4</v>
      </c>
      <c r="N43" s="208">
        <f ca="1">IF(controls!$B$45=1,IF(controls!$B$46=1,'main page'!$K$24+'main page'!$K$11+'main page'!$U$8,'main page'!$K$24+'main page'!$K$11+'main page'!$K$32),IF(controls!$B$44=1,IF(O43&lt;0,0,O43),IF(O43+'main page'!$K$11&lt;0,0,O43+'main page'!$K$11)))</f>
        <v>6</v>
      </c>
      <c r="O43" s="76">
        <f ca="1">IF(controls!$B$10=1,'normal case'!M43+'normal case'!L43,'normal case'!P43)</f>
        <v>6</v>
      </c>
      <c r="P43" s="74">
        <f t="shared" ca="1" si="1"/>
        <v>6</v>
      </c>
      <c r="Q43" s="210">
        <f ca="1">IF(controls!$B$44=0,R43+'main page'!$K$29*L43+(1-'main page'!$K$29)*controls!$B$9+(('main page'!$K$25*'main page'!$U$13*'main page'!$K$29)/('main page'!$K$27*(1+('main page'!$K$25^2)*'main page'!$U$13)))*(L43-controls!$B$9),R43+'main page'!$K$29*L43+(1-'main page'!$K$29)*controls!$B$9+(('main page'!$K$25*'main page'!$U$13*'normal case'!$AO$3)/'normal case'!$AO$4)*('normal case'!L43-controls!$B$9))</f>
        <v>6</v>
      </c>
      <c r="R43" s="98">
        <f ca="1">IF(controls!$B$44=1,'main page'!$K$24+'main page'!$K$11,IF(controls!$B$33=1,((I44-D43*W44-B44+B43*V44)/'main page'!$K$27)-'main page'!$K$11,((H44-D43*W44-B44+B43*V44)/'main page'!$K$27)-'main page'!$K$11))</f>
        <v>4</v>
      </c>
      <c r="T43" s="71">
        <f>IF(controls!$B$6=1,$AL$3*(1+('main page'!$K$35/100))^U43-$AL$3*(1+('main page'!$K$35/100))^U42,$AL$3*(1+('main page'!$G$8/100))*(1+('main page'!$K$35/100))^U43-$AL$3*(1+('main page'!$G$8/100))*(1+('main page'!$K$35/100))^U42)</f>
        <v>0</v>
      </c>
      <c r="U43" s="73">
        <v>36</v>
      </c>
      <c r="V43" s="161">
        <v>0</v>
      </c>
      <c r="W43" s="40">
        <v>0</v>
      </c>
      <c r="X43" s="49">
        <f ca="1">IF(controls!$B$33=1,D43-($I$3-'main page'!$K$27*2)*(1+('main page'!$K$35/100))^A42,D43-$AL$4)</f>
        <v>0</v>
      </c>
      <c r="Y43" s="49">
        <f ca="1">ABS(L43-(controls!$B$9/100)*100)</f>
        <v>0</v>
      </c>
      <c r="AA43" s="49" t="e">
        <f ca="1">IF(controls!$B$33=1,(B44-B43*V44-I44+D43*W44+'main page'!$K$27*('main page'!$K$24+'main page'!$K$11))/'main page'!$K$31,(B44-B43*V44+D43*W44-H44+'main page'!$K$27*('main page'!$K$24+'main page'!$K$11))/'main page'!$K$31)</f>
        <v>#DIV/0!</v>
      </c>
      <c r="AB43" s="49" t="e">
        <f ca="1">IF(controls!$B$45=1,LOG(AF43,1.01)+LOG(AE43,1.01)-LOG(AD43,1.01),-((M43-('main page'!$K$24+'main page'!$K$11))/(1-'normal case'!$AO$3))+'normal case'!AA43)</f>
        <v>#DIV/0!</v>
      </c>
      <c r="AC43" s="176" t="e">
        <f t="shared" ca="1" si="2"/>
        <v>#DIV/0!</v>
      </c>
      <c r="AD43" s="49">
        <f t="shared" ca="1" si="3"/>
        <v>2.208039663614854</v>
      </c>
      <c r="AE43" s="49">
        <f>AE42*(1+'main page'!$K$32/100)</f>
        <v>1</v>
      </c>
      <c r="AF43" s="49" t="e">
        <f ca="1">IF(ABS(IF(controls!$B$45=1,$AL$13,AD43*AC43/AE43)-AF42)&lt;0.00001,AF42,IF(controls!$B$45=1,$AL$13,AD43*AC43/AE43))</f>
        <v>#DIV/0!</v>
      </c>
      <c r="AG43" s="49">
        <f>IF(controls!$B$46=0,0,IF(controls!$B$33=2,B44-B43*V44-('normal case'!H44-D43*W44-'main page'!$K$27*'normal case'!M43+'main page'!$K$31*'normal case'!AB43)-(('main page'!$K$25*'main page'!$U$13*'main page'!$K$29)/(1+('main page'!$K$25^2)*'main page'!$U$13))*('normal case'!L43-'main page'!$U$8),B44-B43*V44-('normal case'!I44-D43*W44-'main page'!$K$27*'normal case'!M43+'main page'!$K$31*'normal case'!AB43)-(('main page'!$K$25*'main page'!$U$13*'main page'!$K$29)/(1+('main page'!$K$25^2)*'main page'!$U$13))*('normal case'!L43-'main page'!$U$8)))</f>
        <v>0</v>
      </c>
      <c r="AN43" s="40"/>
      <c r="AO43" s="40"/>
    </row>
    <row r="44" spans="1:41">
      <c r="A44" s="48">
        <v>42</v>
      </c>
      <c r="B44" s="75">
        <f ca="1">IF(controls!$B$33=1,B43*(1+V44)+T44,B43*(1+V44))</f>
        <v>100</v>
      </c>
      <c r="C44" s="80">
        <f t="shared" ca="1" si="4"/>
        <v>0</v>
      </c>
      <c r="D44" s="77">
        <f t="shared" ca="1" si="0"/>
        <v>100</v>
      </c>
      <c r="E44" s="77">
        <f ca="1">AG43+IF(controls!$B$33=1,G44,F44)</f>
        <v>100</v>
      </c>
      <c r="F44" s="94">
        <f ca="1">IF(controls!$B$44=0,H44-'main page'!$K$27*M43,H44-'main page'!$K$27*M43+'main page'!$K$31*AB43)</f>
        <v>100</v>
      </c>
      <c r="G44" s="75">
        <f ca="1">IF(controls!$B$44=0,I44-'main page'!$K$27*M43,I44-'main page'!$K$27*M43+'main page'!$K$31*'normal case'!AB43)</f>
        <v>100</v>
      </c>
      <c r="H44" s="75">
        <f t="shared" ca="1" si="5"/>
        <v>108</v>
      </c>
      <c r="I44" s="75">
        <f t="shared" ca="1" si="6"/>
        <v>108</v>
      </c>
      <c r="L44" s="75">
        <f ca="1">IF(ABS('main page'!$K$29*L43+(1-'main page'!$K$29)*(controls!$B$9/100)*100+'main page'!$K$25*(D44-B44)-L43)&lt;0.0000001,L43,'main page'!$K$29*L43+(1-'main page'!$K$29)*(controls!$B$9/100)*100+'main page'!$K$25*(D44-B44))</f>
        <v>2</v>
      </c>
      <c r="M44" s="96">
        <f ca="1">IF(controls!$B$10=1,M43,IF(SUM(controls!$B$44:$B$46)=2,N44-'main page'!$K$29*'normal case'!L44-(1-'main page'!$K$29)*'main page'!$K$32,N44-'main page'!$K$29*'normal case'!L44-(1-'main page'!$K$29)*controls!$B$9))</f>
        <v>4</v>
      </c>
      <c r="N44" s="208">
        <f ca="1">IF(controls!$B$45=1,IF(controls!$B$46=1,'main page'!$K$24+'main page'!$K$11+'main page'!$U$8,'main page'!$K$24+'main page'!$K$11+'main page'!$K$32),IF(controls!$B$44=1,IF(O44&lt;0,0,O44),IF(O44+'main page'!$K$11&lt;0,0,O44+'main page'!$K$11)))</f>
        <v>6</v>
      </c>
      <c r="O44" s="76">
        <f ca="1">IF(controls!$B$10=1,'normal case'!M44+'normal case'!L44,'normal case'!P44)</f>
        <v>6</v>
      </c>
      <c r="P44" s="74">
        <f t="shared" ca="1" si="1"/>
        <v>6</v>
      </c>
      <c r="Q44" s="210">
        <f ca="1">IF(controls!$B$44=0,R44+'main page'!$K$29*L44+(1-'main page'!$K$29)*controls!$B$9+(('main page'!$K$25*'main page'!$U$13*'main page'!$K$29)/('main page'!$K$27*(1+('main page'!$K$25^2)*'main page'!$U$13)))*(L44-controls!$B$9),R44+'main page'!$K$29*L44+(1-'main page'!$K$29)*controls!$B$9+(('main page'!$K$25*'main page'!$U$13*'normal case'!$AO$3)/'normal case'!$AO$4)*('normal case'!L44-controls!$B$9))</f>
        <v>6</v>
      </c>
      <c r="R44" s="98">
        <f ca="1">IF(controls!$B$44=1,'main page'!$K$24+'main page'!$K$11,IF(controls!$B$33=1,((I45-D44*W45-B45+B44*V45)/'main page'!$K$27)-'main page'!$K$11,((H45-D44*W45-B45+B44*V45)/'main page'!$K$27)-'main page'!$K$11))</f>
        <v>4</v>
      </c>
      <c r="T44" s="71">
        <f>IF(controls!$B$6=1,$AL$3*(1+('main page'!$K$35/100))^U44-$AL$3*(1+('main page'!$K$35/100))^U43,$AL$3*(1+('main page'!$G$8/100))*(1+('main page'!$K$35/100))^U44-$AL$3*(1+('main page'!$G$8/100))*(1+('main page'!$K$35/100))^U43)</f>
        <v>0</v>
      </c>
      <c r="U44" s="73">
        <v>37</v>
      </c>
      <c r="V44" s="161">
        <f ca="1">IF(controls!$B$4=1,IF(controls!$H43=1,controls!$B$34*V43+RAND()*('main page'!$K$16/100)-RAND()*('main page'!$K$16/100),0),0)</f>
        <v>0</v>
      </c>
      <c r="W44" s="40">
        <f ca="1">IF(controls!$B$4=1,IF(controls!$I43=1,controls!$B$34*W43+RAND()*('main page'!$K$16/100)-RAND()*('main page'!$K$16/100),0),0)</f>
        <v>0</v>
      </c>
      <c r="X44" s="49">
        <f ca="1">IF(controls!$B$33=1,D44-($I$3-'main page'!$K$27*2)*(1+('main page'!$K$35/100))^A43,D44-$AL$4)</f>
        <v>0</v>
      </c>
      <c r="Y44" s="49">
        <f ca="1">ABS(L44-(controls!$B$9/100)*100)</f>
        <v>0</v>
      </c>
      <c r="AA44" s="49" t="e">
        <f ca="1">IF(controls!$B$33=1,(B45-B44*V45-I45+D44*W45+'main page'!$K$27*('main page'!$K$24+'main page'!$K$11))/'main page'!$K$31,(B45-B44*V45+D44*W45-H45+'main page'!$K$27*('main page'!$K$24+'main page'!$K$11))/'main page'!$K$31)</f>
        <v>#DIV/0!</v>
      </c>
      <c r="AB44" s="49" t="e">
        <f ca="1">IF(controls!$B$45=1,LOG(AF44,1.01)+LOG(AE44,1.01)-LOG(AD44,1.01),-((M44-('main page'!$K$24+'main page'!$K$11))/(1-'normal case'!$AO$3))+'normal case'!AA44)</f>
        <v>#DIV/0!</v>
      </c>
      <c r="AC44" s="176" t="e">
        <f t="shared" ca="1" si="2"/>
        <v>#DIV/0!</v>
      </c>
      <c r="AD44" s="49">
        <f t="shared" ca="1" si="3"/>
        <v>2.252200456887151</v>
      </c>
      <c r="AE44" s="49">
        <f>AE43*(1+'main page'!$K$32/100)</f>
        <v>1</v>
      </c>
      <c r="AF44" s="49" t="e">
        <f ca="1">IF(ABS(IF(controls!$B$45=1,$AL$13,AD44*AC44/AE44)-AF43)&lt;0.00001,AF43,IF(controls!$B$45=1,$AL$13,AD44*AC44/AE44))</f>
        <v>#DIV/0!</v>
      </c>
      <c r="AG44" s="49">
        <f>IF(controls!$B$46=0,0,IF(controls!$B$33=2,B45-B44*V45-('normal case'!H45-D44*W45-'main page'!$K$27*'normal case'!M44+'main page'!$K$31*'normal case'!AB44)-(('main page'!$K$25*'main page'!$U$13*'main page'!$K$29)/(1+('main page'!$K$25^2)*'main page'!$U$13))*('normal case'!L44-'main page'!$U$8),B45-B44*V45-('normal case'!I45-D44*W45-'main page'!$K$27*'normal case'!M44+'main page'!$K$31*'normal case'!AB44)-(('main page'!$K$25*'main page'!$U$13*'main page'!$K$29)/(1+('main page'!$K$25^2)*'main page'!$U$13))*('normal case'!L44-'main page'!$U$8)))</f>
        <v>0</v>
      </c>
      <c r="AN44" s="40"/>
      <c r="AO44" s="40"/>
    </row>
    <row r="45" spans="1:41">
      <c r="A45" s="48">
        <v>43</v>
      </c>
      <c r="B45" s="75">
        <f ca="1">IF(controls!$B$33=1,B44*(1+V45)+T45,B44*(1+V45))</f>
        <v>100</v>
      </c>
      <c r="C45" s="80">
        <f t="shared" ca="1" si="4"/>
        <v>0</v>
      </c>
      <c r="D45" s="77">
        <f t="shared" ca="1" si="0"/>
        <v>100</v>
      </c>
      <c r="E45" s="77">
        <f ca="1">AG44+IF(controls!$B$33=1,G45,F45)</f>
        <v>100</v>
      </c>
      <c r="F45" s="94">
        <f ca="1">IF(controls!$B$44=0,H45-'main page'!$K$27*M44,H45-'main page'!$K$27*M44+'main page'!$K$31*AB44)</f>
        <v>100</v>
      </c>
      <c r="G45" s="75">
        <f ca="1">IF(controls!$B$44=0,I45-'main page'!$K$27*M44,I45-'main page'!$K$27*M44+'main page'!$K$31*'normal case'!AB44)</f>
        <v>100</v>
      </c>
      <c r="H45" s="75">
        <f t="shared" ca="1" si="5"/>
        <v>108</v>
      </c>
      <c r="I45" s="75">
        <f t="shared" ca="1" si="6"/>
        <v>108</v>
      </c>
      <c r="L45" s="75">
        <f ca="1">IF(ABS('main page'!$K$29*L44+(1-'main page'!$K$29)*(controls!$B$9/100)*100+'main page'!$K$25*(D45-B45)-L44)&lt;0.0000001,L44,'main page'!$K$29*L44+(1-'main page'!$K$29)*(controls!$B$9/100)*100+'main page'!$K$25*(D45-B45))</f>
        <v>2</v>
      </c>
      <c r="M45" s="96">
        <f ca="1">IF(controls!$B$10=1,M44,IF(SUM(controls!$B$44:$B$46)=2,N45-'main page'!$K$29*'normal case'!L45-(1-'main page'!$K$29)*'main page'!$K$32,N45-'main page'!$K$29*'normal case'!L45-(1-'main page'!$K$29)*controls!$B$9))</f>
        <v>4</v>
      </c>
      <c r="N45" s="208">
        <f ca="1">IF(controls!$B$45=1,IF(controls!$B$46=1,'main page'!$K$24+'main page'!$K$11+'main page'!$U$8,'main page'!$K$24+'main page'!$K$11+'main page'!$K$32),IF(controls!$B$44=1,IF(O45&lt;0,0,O45),IF(O45+'main page'!$K$11&lt;0,0,O45+'main page'!$K$11)))</f>
        <v>6</v>
      </c>
      <c r="O45" s="76">
        <f ca="1">IF(controls!$B$10=1,'normal case'!M45+'normal case'!L45,'normal case'!P45)</f>
        <v>6</v>
      </c>
      <c r="P45" s="74">
        <f t="shared" ca="1" si="1"/>
        <v>6</v>
      </c>
      <c r="Q45" s="210">
        <f ca="1">IF(controls!$B$44=0,R45+'main page'!$K$29*L45+(1-'main page'!$K$29)*controls!$B$9+(('main page'!$K$25*'main page'!$U$13*'main page'!$K$29)/('main page'!$K$27*(1+('main page'!$K$25^2)*'main page'!$U$13)))*(L45-controls!$B$9),R45+'main page'!$K$29*L45+(1-'main page'!$K$29)*controls!$B$9+(('main page'!$K$25*'main page'!$U$13*'normal case'!$AO$3)/'normal case'!$AO$4)*('normal case'!L45-controls!$B$9))</f>
        <v>6</v>
      </c>
      <c r="R45" s="98">
        <f ca="1">IF(controls!$B$44=1,'main page'!$K$24+'main page'!$K$11,IF(controls!$B$33=1,((I46-D45*W46-B46+B45*V46)/'main page'!$K$27)-'main page'!$K$11,((H46-D45*W46-B46+B45*V46)/'main page'!$K$27)-'main page'!$K$11))</f>
        <v>4</v>
      </c>
      <c r="T45" s="71">
        <f>IF(controls!$B$6=1,$AL$3*(1+('main page'!$K$35/100))^U45-$AL$3*(1+('main page'!$K$35/100))^U44,$AL$3*(1+('main page'!$G$8/100))*(1+('main page'!$K$35/100))^U45-$AL$3*(1+('main page'!$G$8/100))*(1+('main page'!$K$35/100))^U44)</f>
        <v>0</v>
      </c>
      <c r="U45" s="73">
        <v>38</v>
      </c>
      <c r="V45" s="161">
        <v>0</v>
      </c>
      <c r="W45" s="40">
        <v>0</v>
      </c>
      <c r="X45" s="49">
        <f ca="1">IF(controls!$B$33=1,D45-($I$3-'main page'!$K$27*2)*(1+('main page'!$K$35/100))^A44,D45-$AL$4)</f>
        <v>0</v>
      </c>
      <c r="Y45" s="49">
        <f ca="1">ABS(L45-(controls!$B$9/100)*100)</f>
        <v>0</v>
      </c>
      <c r="AA45" s="49" t="e">
        <f ca="1">IF(controls!$B$33=1,(B46-B45*V46-I46+D45*W46+'main page'!$K$27*('main page'!$K$24+'main page'!$K$11))/'main page'!$K$31,(B46-B45*V46+D45*W46-H46+'main page'!$K$27*('main page'!$K$24+'main page'!$K$11))/'main page'!$K$31)</f>
        <v>#DIV/0!</v>
      </c>
      <c r="AB45" s="49" t="e">
        <f ca="1">IF(controls!$B$45=1,LOG(AF45,1.01)+LOG(AE45,1.01)-LOG(AD45,1.01),-((M45-('main page'!$K$24+'main page'!$K$11))/(1-'normal case'!$AO$3))+'normal case'!AA45)</f>
        <v>#DIV/0!</v>
      </c>
      <c r="AC45" s="176" t="e">
        <f t="shared" ca="1" si="2"/>
        <v>#DIV/0!</v>
      </c>
      <c r="AD45" s="49">
        <f t="shared" ca="1" si="3"/>
        <v>2.2972444660248938</v>
      </c>
      <c r="AE45" s="49">
        <f>AE44*(1+'main page'!$K$32/100)</f>
        <v>1</v>
      </c>
      <c r="AF45" s="49" t="e">
        <f ca="1">IF(ABS(IF(controls!$B$45=1,$AL$13,AD45*AC45/AE45)-AF44)&lt;0.00001,AF44,IF(controls!$B$45=1,$AL$13,AD45*AC45/AE45))</f>
        <v>#DIV/0!</v>
      </c>
      <c r="AG45" s="49">
        <f>IF(controls!$B$46=0,0,IF(controls!$B$33=2,B46-B45*V46-('normal case'!H46-D45*W46-'main page'!$K$27*'normal case'!M45+'main page'!$K$31*'normal case'!AB45)-(('main page'!$K$25*'main page'!$U$13*'main page'!$K$29)/(1+('main page'!$K$25^2)*'main page'!$U$13))*('normal case'!L45-'main page'!$U$8),B46-B45*V46-('normal case'!I46-D45*W46-'main page'!$K$27*'normal case'!M45+'main page'!$K$31*'normal case'!AB45)-(('main page'!$K$25*'main page'!$U$13*'main page'!$K$29)/(1+('main page'!$K$25^2)*'main page'!$U$13))*('normal case'!L45-'main page'!$U$8)))</f>
        <v>0</v>
      </c>
      <c r="AN45" s="40"/>
      <c r="AO45" s="40"/>
    </row>
    <row r="46" spans="1:41">
      <c r="A46" s="48">
        <v>44</v>
      </c>
      <c r="B46" s="75">
        <f ca="1">IF(controls!$B$33=1,B45*(1+V46)+T46,B45*(1+V46))</f>
        <v>100</v>
      </c>
      <c r="C46" s="80">
        <f t="shared" ca="1" si="4"/>
        <v>0</v>
      </c>
      <c r="D46" s="77">
        <f t="shared" ca="1" si="0"/>
        <v>100</v>
      </c>
      <c r="E46" s="77">
        <f ca="1">AG45+IF(controls!$B$33=1,G46,F46)</f>
        <v>100</v>
      </c>
      <c r="F46" s="94">
        <f ca="1">IF(controls!$B$44=0,H46-'main page'!$K$27*M45,H46-'main page'!$K$27*M45+'main page'!$K$31*AB45)</f>
        <v>100</v>
      </c>
      <c r="G46" s="75">
        <f ca="1">IF(controls!$B$44=0,I46-'main page'!$K$27*M45,I46-'main page'!$K$27*M45+'main page'!$K$31*'normal case'!AB45)</f>
        <v>100</v>
      </c>
      <c r="H46" s="75">
        <f t="shared" ca="1" si="5"/>
        <v>108</v>
      </c>
      <c r="I46" s="75">
        <f t="shared" ca="1" si="6"/>
        <v>108</v>
      </c>
      <c r="L46" s="75">
        <f ca="1">IF(ABS('main page'!$K$29*L45+(1-'main page'!$K$29)*(controls!$B$9/100)*100+'main page'!$K$25*(D46-B46)-L45)&lt;0.0000001,L45,'main page'!$K$29*L45+(1-'main page'!$K$29)*(controls!$B$9/100)*100+'main page'!$K$25*(D46-B46))</f>
        <v>2</v>
      </c>
      <c r="M46" s="96">
        <f ca="1">IF(controls!$B$10=1,M45,IF(SUM(controls!$B$44:$B$46)=2,N46-'main page'!$K$29*'normal case'!L46-(1-'main page'!$K$29)*'main page'!$K$32,N46-'main page'!$K$29*'normal case'!L46-(1-'main page'!$K$29)*controls!$B$9))</f>
        <v>4</v>
      </c>
      <c r="N46" s="208">
        <f ca="1">IF(controls!$B$45=1,IF(controls!$B$46=1,'main page'!$K$24+'main page'!$K$11+'main page'!$U$8,'main page'!$K$24+'main page'!$K$11+'main page'!$K$32),IF(controls!$B$44=1,IF(O46&lt;0,0,O46),IF(O46+'main page'!$K$11&lt;0,0,O46+'main page'!$K$11)))</f>
        <v>6</v>
      </c>
      <c r="O46" s="76">
        <f ca="1">IF(controls!$B$10=1,'normal case'!M46+'normal case'!L46,'normal case'!P46)</f>
        <v>6</v>
      </c>
      <c r="P46" s="74">
        <f t="shared" ca="1" si="1"/>
        <v>6</v>
      </c>
      <c r="Q46" s="210">
        <f ca="1">IF(controls!$B$44=0,R46+'main page'!$K$29*L46+(1-'main page'!$K$29)*controls!$B$9+(('main page'!$K$25*'main page'!$U$13*'main page'!$K$29)/('main page'!$K$27*(1+('main page'!$K$25^2)*'main page'!$U$13)))*(L46-controls!$B$9),R46+'main page'!$K$29*L46+(1-'main page'!$K$29)*controls!$B$9+(('main page'!$K$25*'main page'!$U$13*'normal case'!$AO$3)/'normal case'!$AO$4)*('normal case'!L46-controls!$B$9))</f>
        <v>6</v>
      </c>
      <c r="R46" s="98">
        <f ca="1">IF(controls!$B$44=1,'main page'!$K$24+'main page'!$K$11,IF(controls!$B$33=1,((I47-D46*W47-B47+B46*V47)/'main page'!$K$27)-'main page'!$K$11,((H47-D46*W47-B47+B46*V47)/'main page'!$K$27)-'main page'!$K$11))</f>
        <v>4</v>
      </c>
      <c r="T46" s="71">
        <f>IF(controls!$B$6=1,$AL$3*(1+('main page'!$K$35/100))^U46-$AL$3*(1+('main page'!$K$35/100))^U45,$AL$3*(1+('main page'!$G$8/100))*(1+('main page'!$K$35/100))^U46-$AL$3*(1+('main page'!$G$8/100))*(1+('main page'!$K$35/100))^U45)</f>
        <v>0</v>
      </c>
      <c r="U46" s="73">
        <v>39</v>
      </c>
      <c r="V46" s="161">
        <v>0</v>
      </c>
      <c r="W46" s="40">
        <v>0</v>
      </c>
      <c r="X46" s="49">
        <f ca="1">IF(controls!$B$33=1,D46-($I$3-'main page'!$K$27*2)*(1+('main page'!$K$35/100))^A45,D46-$AL$4)</f>
        <v>0</v>
      </c>
      <c r="Y46" s="49">
        <f ca="1">ABS(L46-(controls!$B$9/100)*100)</f>
        <v>0</v>
      </c>
      <c r="AA46" s="49" t="e">
        <f ca="1">IF(controls!$B$33=1,(B47-B46*V47-I47+D46*W47+'main page'!$K$27*('main page'!$K$24+'main page'!$K$11))/'main page'!$K$31,(B47-B46*V47+D46*W47-H47+'main page'!$K$27*('main page'!$K$24+'main page'!$K$11))/'main page'!$K$31)</f>
        <v>#DIV/0!</v>
      </c>
      <c r="AB46" s="49" t="e">
        <f ca="1">IF(controls!$B$45=1,LOG(AF46,1.01)+LOG(AE46,1.01)-LOG(AD46,1.01),-((M46-('main page'!$K$24+'main page'!$K$11))/(1-'normal case'!$AO$3))+'normal case'!AA46)</f>
        <v>#DIV/0!</v>
      </c>
      <c r="AC46" s="176" t="e">
        <f t="shared" ca="1" si="2"/>
        <v>#DIV/0!</v>
      </c>
      <c r="AD46" s="49">
        <f t="shared" ca="1" si="3"/>
        <v>2.343189355345392</v>
      </c>
      <c r="AE46" s="49">
        <f>AE45*(1+'main page'!$K$32/100)</f>
        <v>1</v>
      </c>
      <c r="AF46" s="49" t="e">
        <f ca="1">IF(ABS(IF(controls!$B$45=1,$AL$13,AD46*AC46/AE46)-AF45)&lt;0.00001,AF45,IF(controls!$B$45=1,$AL$13,AD46*AC46/AE46))</f>
        <v>#DIV/0!</v>
      </c>
      <c r="AG46" s="49">
        <f>IF(controls!$B$46=0,0,IF(controls!$B$33=2,B47-B46*V47-('normal case'!H47-D46*W47-'main page'!$K$27*'normal case'!M46+'main page'!$K$31*'normal case'!AB46)-(('main page'!$K$25*'main page'!$U$13*'main page'!$K$29)/(1+('main page'!$K$25^2)*'main page'!$U$13))*('normal case'!L46-'main page'!$U$8),B47-B46*V47-('normal case'!I47-D46*W47-'main page'!$K$27*'normal case'!M46+'main page'!$K$31*'normal case'!AB46)-(('main page'!$K$25*'main page'!$U$13*'main page'!$K$29)/(1+('main page'!$K$25^2)*'main page'!$U$13))*('normal case'!L46-'main page'!$U$8)))</f>
        <v>0</v>
      </c>
      <c r="AN46" s="40"/>
      <c r="AO46" s="40"/>
    </row>
    <row r="47" spans="1:41">
      <c r="A47" s="48">
        <v>45</v>
      </c>
      <c r="B47" s="75">
        <f ca="1">IF(controls!$B$33=1,B46*(1+V47)+T47,B46*(1+V47))</f>
        <v>100</v>
      </c>
      <c r="C47" s="80">
        <f t="shared" ca="1" si="4"/>
        <v>0</v>
      </c>
      <c r="D47" s="77">
        <f t="shared" ca="1" si="0"/>
        <v>100</v>
      </c>
      <c r="E47" s="77">
        <f ca="1">AG46+IF(controls!$B$33=1,G47,F47)</f>
        <v>100</v>
      </c>
      <c r="F47" s="94">
        <f ca="1">IF(controls!$B$44=0,H47-'main page'!$K$27*M46,H47-'main page'!$K$27*M46+'main page'!$K$31*AB46)</f>
        <v>100</v>
      </c>
      <c r="G47" s="75">
        <f ca="1">IF(controls!$B$44=0,I47-'main page'!$K$27*M46,I47-'main page'!$K$27*M46+'main page'!$K$31*'normal case'!AB46)</f>
        <v>100</v>
      </c>
      <c r="H47" s="75">
        <f t="shared" ca="1" si="5"/>
        <v>108</v>
      </c>
      <c r="I47" s="75">
        <f t="shared" ca="1" si="6"/>
        <v>108</v>
      </c>
      <c r="L47" s="75">
        <f ca="1">IF(ABS('main page'!$K$29*L46+(1-'main page'!$K$29)*(controls!$B$9/100)*100+'main page'!$K$25*(D47-B47)-L46)&lt;0.0000001,L46,'main page'!$K$29*L46+(1-'main page'!$K$29)*(controls!$B$9/100)*100+'main page'!$K$25*(D47-B47))</f>
        <v>2</v>
      </c>
      <c r="M47" s="96">
        <f ca="1">IF(controls!$B$10=1,M46,IF(SUM(controls!$B$44:$B$46)=2,N47-'main page'!$K$29*'normal case'!L47-(1-'main page'!$K$29)*'main page'!$K$32,N47-'main page'!$K$29*'normal case'!L47-(1-'main page'!$K$29)*controls!$B$9))</f>
        <v>4</v>
      </c>
      <c r="N47" s="208">
        <f ca="1">IF(controls!$B$45=1,IF(controls!$B$46=1,'main page'!$K$24+'main page'!$K$11+'main page'!$U$8,'main page'!$K$24+'main page'!$K$11+'main page'!$K$32),IF(controls!$B$44=1,IF(O47&lt;0,0,O47),IF(O47+'main page'!$K$11&lt;0,0,O47+'main page'!$K$11)))</f>
        <v>6</v>
      </c>
      <c r="O47" s="76">
        <f ca="1">IF(controls!$B$10=1,'normal case'!M47+'normal case'!L47,'normal case'!P47)</f>
        <v>6</v>
      </c>
      <c r="P47" s="74">
        <f t="shared" ca="1" si="1"/>
        <v>6</v>
      </c>
      <c r="Q47" s="210">
        <f ca="1">IF(controls!$B$44=0,R47+'main page'!$K$29*L47+(1-'main page'!$K$29)*controls!$B$9+(('main page'!$K$25*'main page'!$U$13*'main page'!$K$29)/('main page'!$K$27*(1+('main page'!$K$25^2)*'main page'!$U$13)))*(L47-controls!$B$9),R47+'main page'!$K$29*L47+(1-'main page'!$K$29)*controls!$B$9+(('main page'!$K$25*'main page'!$U$13*'normal case'!$AO$3)/'normal case'!$AO$4)*('normal case'!L47-controls!$B$9))</f>
        <v>6</v>
      </c>
      <c r="R47" s="98">
        <f ca="1">IF(controls!$B$44=1,'main page'!$K$24+'main page'!$K$11,IF(controls!$B$33=1,((I48-D47*W48-B48+B47*V48)/'main page'!$K$27)-'main page'!$K$11,((H48-D47*W48-B48+B47*V48)/'main page'!$K$27)-'main page'!$K$11))</f>
        <v>4</v>
      </c>
      <c r="T47" s="71">
        <f>IF(controls!$B$6=1,$AL$3*(1+('main page'!$K$35/100))^U47-$AL$3*(1+('main page'!$K$35/100))^U46,$AL$3*(1+('main page'!$G$8/100))*(1+('main page'!$K$35/100))^U47-$AL$3*(1+('main page'!$G$8/100))*(1+('main page'!$K$35/100))^U46)</f>
        <v>0</v>
      </c>
      <c r="U47" s="73">
        <v>40</v>
      </c>
      <c r="V47" s="161">
        <f ca="1">IF(controls!$B$4=1,IF(controls!$H46=1,controls!$B$34*V46+RAND()*('main page'!$K$16/100)-RAND()*('main page'!$K$16/100),0),0)</f>
        <v>0</v>
      </c>
      <c r="W47" s="40">
        <f ca="1">IF(controls!$B$4=1,IF(controls!$I46=1,controls!$B$34*W46+RAND()*('main page'!$K$16/100)-RAND()*('main page'!$K$16/100),0),0)</f>
        <v>0</v>
      </c>
      <c r="X47" s="49">
        <f ca="1">IF(controls!$B$33=1,D47-($I$3-'main page'!$K$27*2)*(1+('main page'!$K$35/100))^A46,D47-$AL$4)</f>
        <v>0</v>
      </c>
      <c r="Y47" s="49">
        <f ca="1">ABS(L47-(controls!$B$9/100)*100)</f>
        <v>0</v>
      </c>
      <c r="AA47" s="49" t="e">
        <f ca="1">IF(controls!$B$33=1,(B48-B47*V48-I48+D47*W48+'main page'!$K$27*('main page'!$K$24+'main page'!$K$11))/'main page'!$K$31,(B48-B47*V48+D47*W48-H48+'main page'!$K$27*('main page'!$K$24+'main page'!$K$11))/'main page'!$K$31)</f>
        <v>#DIV/0!</v>
      </c>
      <c r="AB47" s="49" t="e">
        <f ca="1">IF(controls!$B$45=1,LOG(AF47,1.01)+LOG(AE47,1.01)-LOG(AD47,1.01),-((M47-('main page'!$K$24+'main page'!$K$11))/(1-'normal case'!$AO$3))+'normal case'!AA47)</f>
        <v>#DIV/0!</v>
      </c>
      <c r="AC47" s="176" t="e">
        <f t="shared" ca="1" si="2"/>
        <v>#DIV/0!</v>
      </c>
      <c r="AD47" s="49">
        <f t="shared" ca="1" si="3"/>
        <v>2.3900531424522997</v>
      </c>
      <c r="AE47" s="49">
        <f>AE46*(1+'main page'!$K$32/100)</f>
        <v>1</v>
      </c>
      <c r="AF47" s="49" t="e">
        <f ca="1">IF(ABS(IF(controls!$B$45=1,$AL$13,AD47*AC47/AE47)-AF46)&lt;0.00001,AF46,IF(controls!$B$45=1,$AL$13,AD47*AC47/AE47))</f>
        <v>#DIV/0!</v>
      </c>
      <c r="AG47" s="49">
        <f>IF(controls!$B$46=0,0,IF(controls!$B$33=2,B48-B47*V48-('normal case'!H48-D47*W48-'main page'!$K$27*'normal case'!M47+'main page'!$K$31*'normal case'!AB47)-(('main page'!$K$25*'main page'!$U$13*'main page'!$K$29)/(1+('main page'!$K$25^2)*'main page'!$U$13))*('normal case'!L47-'main page'!$U$8),B48-B47*V48-('normal case'!I48-D47*W48-'main page'!$K$27*'normal case'!M47+'main page'!$K$31*'normal case'!AB47)-(('main page'!$K$25*'main page'!$U$13*'main page'!$K$29)/(1+('main page'!$K$25^2)*'main page'!$U$13))*('normal case'!L47-'main page'!$U$8)))</f>
        <v>0</v>
      </c>
      <c r="AN47" s="40"/>
      <c r="AO47" s="40"/>
    </row>
    <row r="48" spans="1:41">
      <c r="A48" s="48">
        <v>46</v>
      </c>
      <c r="B48" s="75">
        <f ca="1">IF(controls!$B$33=1,B47*(1+V48)+T48,B47*(1+V48))</f>
        <v>100</v>
      </c>
      <c r="C48" s="80">
        <f t="shared" ca="1" si="4"/>
        <v>0</v>
      </c>
      <c r="D48" s="77">
        <f t="shared" ca="1" si="0"/>
        <v>100</v>
      </c>
      <c r="E48" s="77">
        <f ca="1">AG47+IF(controls!$B$33=1,G48,F48)</f>
        <v>100</v>
      </c>
      <c r="F48" s="94">
        <f ca="1">IF(controls!$B$44=0,H48-'main page'!$K$27*M47,H48-'main page'!$K$27*M47+'main page'!$K$31*AB47)</f>
        <v>100</v>
      </c>
      <c r="G48" s="75">
        <f ca="1">IF(controls!$B$44=0,I48-'main page'!$K$27*M47,I48-'main page'!$K$27*M47+'main page'!$K$31*'normal case'!AB47)</f>
        <v>100</v>
      </c>
      <c r="H48" s="75">
        <f t="shared" ca="1" si="5"/>
        <v>108</v>
      </c>
      <c r="I48" s="75">
        <f t="shared" ca="1" si="6"/>
        <v>108</v>
      </c>
      <c r="L48" s="75">
        <f ca="1">IF(ABS('main page'!$K$29*L47+(1-'main page'!$K$29)*(controls!$B$9/100)*100+'main page'!$K$25*(D48-B48)-L47)&lt;0.0000001,L47,'main page'!$K$29*L47+(1-'main page'!$K$29)*(controls!$B$9/100)*100+'main page'!$K$25*(D48-B48))</f>
        <v>2</v>
      </c>
      <c r="M48" s="96">
        <f ca="1">IF(controls!$B$10=1,M47,IF(SUM(controls!$B$44:$B$46)=2,N48-'main page'!$K$29*'normal case'!L48-(1-'main page'!$K$29)*'main page'!$K$32,N48-'main page'!$K$29*'normal case'!L48-(1-'main page'!$K$29)*controls!$B$9))</f>
        <v>4</v>
      </c>
      <c r="N48" s="208">
        <f ca="1">IF(controls!$B$45=1,IF(controls!$B$46=1,'main page'!$K$24+'main page'!$K$11+'main page'!$U$8,'main page'!$K$24+'main page'!$K$11+'main page'!$K$32),IF(controls!$B$44=1,IF(O48&lt;0,0,O48),IF(O48+'main page'!$K$11&lt;0,0,O48+'main page'!$K$11)))</f>
        <v>6</v>
      </c>
      <c r="O48" s="76">
        <f ca="1">IF(controls!$B$10=1,'normal case'!M48+'normal case'!L48,'normal case'!P48)</f>
        <v>6</v>
      </c>
      <c r="P48" s="74">
        <f t="shared" ca="1" si="1"/>
        <v>6</v>
      </c>
      <c r="Q48" s="210">
        <f ca="1">IF(controls!$B$44=0,R48+'main page'!$K$29*L48+(1-'main page'!$K$29)*controls!$B$9+(('main page'!$K$25*'main page'!$U$13*'main page'!$K$29)/('main page'!$K$27*(1+('main page'!$K$25^2)*'main page'!$U$13)))*(L48-controls!$B$9),R48+'main page'!$K$29*L48+(1-'main page'!$K$29)*controls!$B$9+(('main page'!$K$25*'main page'!$U$13*'normal case'!$AO$3)/'normal case'!$AO$4)*('normal case'!L48-controls!$B$9))</f>
        <v>6</v>
      </c>
      <c r="R48" s="98">
        <f ca="1">IF(controls!$B$44=1,'main page'!$K$24+'main page'!$K$11,IF(controls!$B$33=1,((I49-D48*W49-B49+B48*V49)/'main page'!$K$27)-'main page'!$K$11,((H49-D48*W49-B49+B48*V49)/'main page'!$K$27)-'main page'!$K$11))</f>
        <v>4</v>
      </c>
      <c r="T48" s="71">
        <f>IF(controls!$B$6=1,$AL$3*(1+('main page'!$K$35/100))^U48-$AL$3*(1+('main page'!$K$35/100))^U47,$AL$3*(1+('main page'!$G$8/100))*(1+('main page'!$K$35/100))^U48-$AL$3*(1+('main page'!$G$8/100))*(1+('main page'!$K$35/100))^U47)</f>
        <v>0</v>
      </c>
      <c r="U48" s="73">
        <v>41</v>
      </c>
      <c r="V48" s="161">
        <v>0</v>
      </c>
      <c r="W48" s="40">
        <v>0</v>
      </c>
      <c r="X48" s="49">
        <f ca="1">IF(controls!$B$33=1,D48-($I$3-'main page'!$K$27*2)*(1+('main page'!$K$35/100))^A47,D48-$AL$4)</f>
        <v>0</v>
      </c>
      <c r="Y48" s="49">
        <f ca="1">ABS(L48-(controls!$B$9/100)*100)</f>
        <v>0</v>
      </c>
      <c r="AA48" s="49" t="e">
        <f ca="1">IF(controls!$B$33=1,(B49-B48*V49-I49+D48*W49+'main page'!$K$27*('main page'!$K$24+'main page'!$K$11))/'main page'!$K$31,(B49-B48*V49+D48*W49-H49+'main page'!$K$27*('main page'!$K$24+'main page'!$K$11))/'main page'!$K$31)</f>
        <v>#DIV/0!</v>
      </c>
      <c r="AB48" s="49" t="e">
        <f ca="1">IF(controls!$B$45=1,LOG(AF48,1.01)+LOG(AE48,1.01)-LOG(AD48,1.01),-((M48-('main page'!$K$24+'main page'!$K$11))/(1-'normal case'!$AO$3))+'normal case'!AA48)</f>
        <v>#DIV/0!</v>
      </c>
      <c r="AC48" s="176" t="e">
        <f t="shared" ca="1" si="2"/>
        <v>#DIV/0!</v>
      </c>
      <c r="AD48" s="49">
        <f t="shared" ca="1" si="3"/>
        <v>2.4378542053013459</v>
      </c>
      <c r="AE48" s="49">
        <f>AE47*(1+'main page'!$K$32/100)</f>
        <v>1</v>
      </c>
      <c r="AF48" s="49" t="e">
        <f ca="1">IF(ABS(IF(controls!$B$45=1,$AL$13,AD48*AC48/AE48)-AF47)&lt;0.00001,AF47,IF(controls!$B$45=1,$AL$13,AD48*AC48/AE48))</f>
        <v>#DIV/0!</v>
      </c>
      <c r="AG48" s="49">
        <f>IF(controls!$B$46=0,0,IF(controls!$B$33=2,B49-B48*V49-('normal case'!H49-D48*W49-'main page'!$K$27*'normal case'!M48+'main page'!$K$31*'normal case'!AB48)-(('main page'!$K$25*'main page'!$U$13*'main page'!$K$29)/(1+('main page'!$K$25^2)*'main page'!$U$13))*('normal case'!L48-'main page'!$U$8),B49-B48*V49-('normal case'!I49-D48*W49-'main page'!$K$27*'normal case'!M48+'main page'!$K$31*'normal case'!AB48)-(('main page'!$K$25*'main page'!$U$13*'main page'!$K$29)/(1+('main page'!$K$25^2)*'main page'!$U$13))*('normal case'!L48-'main page'!$U$8)))</f>
        <v>0</v>
      </c>
      <c r="AN48" s="40"/>
      <c r="AO48" s="40"/>
    </row>
    <row r="49" spans="1:41">
      <c r="A49" s="48">
        <v>47</v>
      </c>
      <c r="B49" s="75">
        <f ca="1">IF(controls!$B$33=1,B48*(1+V49)+T49,B48*(1+V49))</f>
        <v>100</v>
      </c>
      <c r="C49" s="80">
        <f t="shared" ca="1" si="4"/>
        <v>0</v>
      </c>
      <c r="D49" s="77">
        <f t="shared" ca="1" si="0"/>
        <v>100</v>
      </c>
      <c r="E49" s="77">
        <f ca="1">AG48+IF(controls!$B$33=1,G49,F49)</f>
        <v>100</v>
      </c>
      <c r="F49" s="94">
        <f ca="1">IF(controls!$B$44=0,H49-'main page'!$K$27*M48,H49-'main page'!$K$27*M48+'main page'!$K$31*AB48)</f>
        <v>100</v>
      </c>
      <c r="G49" s="75">
        <f ca="1">IF(controls!$B$44=0,I49-'main page'!$K$27*M48,I49-'main page'!$K$27*M48+'main page'!$K$31*'normal case'!AB48)</f>
        <v>100</v>
      </c>
      <c r="H49" s="75">
        <f t="shared" ca="1" si="5"/>
        <v>108</v>
      </c>
      <c r="I49" s="75">
        <f t="shared" ca="1" si="6"/>
        <v>108</v>
      </c>
      <c r="L49" s="75">
        <f ca="1">IF(ABS('main page'!$K$29*L48+(1-'main page'!$K$29)*(controls!$B$9/100)*100+'main page'!$K$25*(D49-B49)-L48)&lt;0.0000001,L48,'main page'!$K$29*L48+(1-'main page'!$K$29)*(controls!$B$9/100)*100+'main page'!$K$25*(D49-B49))</f>
        <v>2</v>
      </c>
      <c r="M49" s="96">
        <f ca="1">IF(controls!$B$10=1,M48,IF(SUM(controls!$B$44:$B$46)=2,N49-'main page'!$K$29*'normal case'!L49-(1-'main page'!$K$29)*'main page'!$K$32,N49-'main page'!$K$29*'normal case'!L49-(1-'main page'!$K$29)*controls!$B$9))</f>
        <v>4</v>
      </c>
      <c r="N49" s="208">
        <f ca="1">IF(controls!$B$45=1,IF(controls!$B$46=1,'main page'!$K$24+'main page'!$K$11+'main page'!$U$8,'main page'!$K$24+'main page'!$K$11+'main page'!$K$32),IF(controls!$B$44=1,IF(O49&lt;0,0,O49),IF(O49+'main page'!$K$11&lt;0,0,O49+'main page'!$K$11)))</f>
        <v>6</v>
      </c>
      <c r="O49" s="76">
        <f ca="1">IF(controls!$B$10=1,'normal case'!M49+'normal case'!L49,'normal case'!P49)</f>
        <v>6</v>
      </c>
      <c r="P49" s="74">
        <f t="shared" ca="1" si="1"/>
        <v>6</v>
      </c>
      <c r="Q49" s="210">
        <f ca="1">IF(controls!$B$44=0,R49+'main page'!$K$29*L49+(1-'main page'!$K$29)*controls!$B$9+(('main page'!$K$25*'main page'!$U$13*'main page'!$K$29)/('main page'!$K$27*(1+('main page'!$K$25^2)*'main page'!$U$13)))*(L49-controls!$B$9),R49+'main page'!$K$29*L49+(1-'main page'!$K$29)*controls!$B$9+(('main page'!$K$25*'main page'!$U$13*'normal case'!$AO$3)/'normal case'!$AO$4)*('normal case'!L49-controls!$B$9))</f>
        <v>6</v>
      </c>
      <c r="R49" s="98">
        <f ca="1">IF(controls!$B$44=1,'main page'!$K$24+'main page'!$K$11,IF(controls!$B$33=1,((I50-D49*W50-B50+B49*V50)/'main page'!$K$27)-'main page'!$K$11,((H50-D49*W50-B50+B49*V50)/'main page'!$K$27)-'main page'!$K$11))</f>
        <v>4</v>
      </c>
      <c r="T49" s="71">
        <f>IF(controls!$B$6=1,$AL$3*(1+('main page'!$K$35/100))^U49-$AL$3*(1+('main page'!$K$35/100))^U48,$AL$3*(1+('main page'!$G$8/100))*(1+('main page'!$K$35/100))^U49-$AL$3*(1+('main page'!$G$8/100))*(1+('main page'!$K$35/100))^U48)</f>
        <v>0</v>
      </c>
      <c r="U49" s="73">
        <v>42</v>
      </c>
      <c r="V49" s="161">
        <v>0</v>
      </c>
      <c r="W49" s="40">
        <v>0</v>
      </c>
      <c r="X49" s="49">
        <f ca="1">IF(controls!$B$33=1,D49-($I$3-'main page'!$K$27*2)*(1+('main page'!$K$35/100))^A48,D49-$AL$4)</f>
        <v>0</v>
      </c>
      <c r="Y49" s="49">
        <f ca="1">ABS(L49-(controls!$B$9/100)*100)</f>
        <v>0</v>
      </c>
      <c r="AA49" s="49" t="e">
        <f ca="1">IF(controls!$B$33=1,(B50-B49*V50-I50+D49*W50+'main page'!$K$27*('main page'!$K$24+'main page'!$K$11))/'main page'!$K$31,(B50-B49*V50+D49*W50-H50+'main page'!$K$27*('main page'!$K$24+'main page'!$K$11))/'main page'!$K$31)</f>
        <v>#DIV/0!</v>
      </c>
      <c r="AB49" s="49" t="e">
        <f ca="1">IF(controls!$B$45=1,LOG(AF49,1.01)+LOG(AE49,1.01)-LOG(AD49,1.01),-((M49-('main page'!$K$24+'main page'!$K$11))/(1-'normal case'!$AO$3))+'normal case'!AA49)</f>
        <v>#DIV/0!</v>
      </c>
      <c r="AC49" s="176" t="e">
        <f t="shared" ca="1" si="2"/>
        <v>#DIV/0!</v>
      </c>
      <c r="AD49" s="49">
        <f t="shared" ca="1" si="3"/>
        <v>2.4866112894073726</v>
      </c>
      <c r="AE49" s="49">
        <f>AE48*(1+'main page'!$K$32/100)</f>
        <v>1</v>
      </c>
      <c r="AF49" s="49" t="e">
        <f ca="1">IF(ABS(IF(controls!$B$45=1,$AL$13,AD49*AC49/AE49)-AF48)&lt;0.00001,AF48,IF(controls!$B$45=1,$AL$13,AD49*AC49/AE49))</f>
        <v>#DIV/0!</v>
      </c>
      <c r="AG49" s="49">
        <f>IF(controls!$B$46=0,0,IF(controls!$B$33=2,B50-B49*V50-('normal case'!H50-D49*W50-'main page'!$K$27*'normal case'!M49+'main page'!$K$31*'normal case'!AB49)-(('main page'!$K$25*'main page'!$U$13*'main page'!$K$29)/(1+('main page'!$K$25^2)*'main page'!$U$13))*('normal case'!L49-'main page'!$U$8),B50-B49*V50-('normal case'!I50-D49*W50-'main page'!$K$27*'normal case'!M49+'main page'!$K$31*'normal case'!AB49)-(('main page'!$K$25*'main page'!$U$13*'main page'!$K$29)/(1+('main page'!$K$25^2)*'main page'!$U$13))*('normal case'!L49-'main page'!$U$8)))</f>
        <v>0</v>
      </c>
      <c r="AN49" s="40"/>
      <c r="AO49" s="40"/>
    </row>
    <row r="50" spans="1:41">
      <c r="A50" s="48">
        <v>48</v>
      </c>
      <c r="B50" s="75">
        <f ca="1">IF(controls!$B$33=1,B49*(1+V50)+T50,B49*(1+V50))</f>
        <v>100</v>
      </c>
      <c r="C50" s="80">
        <f t="shared" ca="1" si="4"/>
        <v>0</v>
      </c>
      <c r="D50" s="77">
        <f t="shared" ca="1" si="0"/>
        <v>100</v>
      </c>
      <c r="E50" s="77">
        <f ca="1">AG49+IF(controls!$B$33=1,G50,F50)</f>
        <v>100</v>
      </c>
      <c r="F50" s="94">
        <f ca="1">IF(controls!$B$44=0,H50-'main page'!$K$27*M49,H50-'main page'!$K$27*M49+'main page'!$K$31*AB49)</f>
        <v>100</v>
      </c>
      <c r="G50" s="75">
        <f ca="1">IF(controls!$B$44=0,I50-'main page'!$K$27*M49,I50-'main page'!$K$27*M49+'main page'!$K$31*'normal case'!AB49)</f>
        <v>100</v>
      </c>
      <c r="H50" s="75">
        <f t="shared" ca="1" si="5"/>
        <v>108</v>
      </c>
      <c r="I50" s="75">
        <f t="shared" ca="1" si="6"/>
        <v>108</v>
      </c>
      <c r="L50" s="75">
        <f ca="1">IF(ABS('main page'!$K$29*L49+(1-'main page'!$K$29)*(controls!$B$9/100)*100+'main page'!$K$25*(D50-B50)-L49)&lt;0.0000001,L49,'main page'!$K$29*L49+(1-'main page'!$K$29)*(controls!$B$9/100)*100+'main page'!$K$25*(D50-B50))</f>
        <v>2</v>
      </c>
      <c r="M50" s="96">
        <f ca="1">IF(controls!$B$10=1,M49,IF(SUM(controls!$B$44:$B$46)=2,N50-'main page'!$K$29*'normal case'!L50-(1-'main page'!$K$29)*'main page'!$K$32,N50-'main page'!$K$29*'normal case'!L50-(1-'main page'!$K$29)*controls!$B$9))</f>
        <v>4</v>
      </c>
      <c r="N50" s="208">
        <f ca="1">IF(controls!$B$45=1,IF(controls!$B$46=1,'main page'!$K$24+'main page'!$K$11+'main page'!$U$8,'main page'!$K$24+'main page'!$K$11+'main page'!$K$32),IF(controls!$B$44=1,IF(O50&lt;0,0,O50),IF(O50+'main page'!$K$11&lt;0,0,O50+'main page'!$K$11)))</f>
        <v>6</v>
      </c>
      <c r="O50" s="76">
        <f ca="1">IF(controls!$B$10=1,'normal case'!M50+'normal case'!L50,'normal case'!P50)</f>
        <v>6</v>
      </c>
      <c r="P50" s="74">
        <f t="shared" ca="1" si="1"/>
        <v>6</v>
      </c>
      <c r="Q50" s="210">
        <f ca="1">IF(controls!$B$44=0,R50+'main page'!$K$29*L50+(1-'main page'!$K$29)*controls!$B$9+(('main page'!$K$25*'main page'!$U$13*'main page'!$K$29)/('main page'!$K$27*(1+('main page'!$K$25^2)*'main page'!$U$13)))*(L50-controls!$B$9),R50+'main page'!$K$29*L50+(1-'main page'!$K$29)*controls!$B$9+(('main page'!$K$25*'main page'!$U$13*'normal case'!$AO$3)/'normal case'!$AO$4)*('normal case'!L50-controls!$B$9))</f>
        <v>6</v>
      </c>
      <c r="R50" s="98">
        <f ca="1">IF(controls!$B$44=1,'main page'!$K$24+'main page'!$K$11,IF(controls!$B$33=1,((I51-D50*W51-B51+B50*V51)/'main page'!$K$27)-'main page'!$K$11,((H51-D50*W51-B51+B50*V51)/'main page'!$K$27)-'main page'!$K$11))</f>
        <v>4</v>
      </c>
      <c r="T50" s="71">
        <f>IF(controls!$B$6=1,$AL$3*(1+('main page'!$K$35/100))^U50-$AL$3*(1+('main page'!$K$35/100))^U49,$AL$3*(1+('main page'!$G$8/100))*(1+('main page'!$K$35/100))^U50-$AL$3*(1+('main page'!$G$8/100))*(1+('main page'!$K$35/100))^U49)</f>
        <v>0</v>
      </c>
      <c r="U50" s="73">
        <v>43</v>
      </c>
      <c r="V50" s="161">
        <f ca="1">IF(controls!$B$4=1,IF(controls!$H49=1,controls!$B$34*V49+RAND()*('main page'!$K$16/100)-RAND()*('main page'!$K$16/100),0),0)</f>
        <v>0</v>
      </c>
      <c r="W50" s="40">
        <f ca="1">IF(controls!$B$4=1,IF(controls!$I49=1,controls!$B$34*W49+RAND()*('main page'!$K$16/100)-RAND()*('main page'!$K$16/100),0),0)</f>
        <v>0</v>
      </c>
      <c r="X50" s="49">
        <f ca="1">IF(controls!$B$33=1,D50-($I$3-'main page'!$K$27*2)*(1+('main page'!$K$35/100))^A49,D50-$AL$4)</f>
        <v>0</v>
      </c>
      <c r="Y50" s="49">
        <f ca="1">ABS(L50-(controls!$B$9/100)*100)</f>
        <v>0</v>
      </c>
      <c r="AA50" s="49" t="e">
        <f ca="1">IF(controls!$B$33=1,(B51-B50*V51-I51+D50*W51+'main page'!$K$27*('main page'!$K$24+'main page'!$K$11))/'main page'!$K$31,(B51-B50*V51+D50*W51-H51+'main page'!$K$27*('main page'!$K$24+'main page'!$K$11))/'main page'!$K$31)</f>
        <v>#DIV/0!</v>
      </c>
      <c r="AB50" s="49" t="e">
        <f ca="1">IF(controls!$B$45=1,LOG(AF50,1.01)+LOG(AE50,1.01)-LOG(AD50,1.01),-((M50-('main page'!$K$24+'main page'!$K$11))/(1-'normal case'!$AO$3))+'normal case'!AA50)</f>
        <v>#DIV/0!</v>
      </c>
      <c r="AC50" s="176" t="e">
        <f t="shared" ca="1" si="2"/>
        <v>#DIV/0!</v>
      </c>
      <c r="AD50" s="49">
        <f t="shared" ca="1" si="3"/>
        <v>2.53634351519552</v>
      </c>
      <c r="AE50" s="49">
        <f>AE49*(1+'main page'!$K$32/100)</f>
        <v>1</v>
      </c>
      <c r="AF50" s="49" t="e">
        <f ca="1">IF(ABS(IF(controls!$B$45=1,$AL$13,AD50*AC50/AE50)-AF49)&lt;0.00001,AF49,IF(controls!$B$45=1,$AL$13,AD50*AC50/AE50))</f>
        <v>#DIV/0!</v>
      </c>
      <c r="AG50" s="49">
        <f>IF(controls!$B$46=0,0,IF(controls!$B$33=2,B51-B50*V51-('normal case'!H51-D50*W51-'main page'!$K$27*'normal case'!M50+'main page'!$K$31*'normal case'!AB50)-(('main page'!$K$25*'main page'!$U$13*'main page'!$K$29)/(1+('main page'!$K$25^2)*'main page'!$U$13))*('normal case'!L50-'main page'!$U$8),B51-B50*V51-('normal case'!I51-D50*W51-'main page'!$K$27*'normal case'!M50+'main page'!$K$31*'normal case'!AB50)-(('main page'!$K$25*'main page'!$U$13*'main page'!$K$29)/(1+('main page'!$K$25^2)*'main page'!$U$13))*('normal case'!L50-'main page'!$U$8)))</f>
        <v>0</v>
      </c>
      <c r="AN50" s="40"/>
      <c r="AO50" s="40"/>
    </row>
    <row r="51" spans="1:41">
      <c r="A51" s="48">
        <v>49</v>
      </c>
      <c r="B51" s="75">
        <f ca="1">IF(controls!$B$33=1,B50*(1+V51)+T51,B50*(1+V51))</f>
        <v>100</v>
      </c>
      <c r="C51" s="80">
        <f t="shared" ca="1" si="4"/>
        <v>0</v>
      </c>
      <c r="D51" s="77">
        <f t="shared" ca="1" si="0"/>
        <v>100</v>
      </c>
      <c r="E51" s="77">
        <f ca="1">AG50+IF(controls!$B$33=1,G51,F51)</f>
        <v>100</v>
      </c>
      <c r="F51" s="94">
        <f ca="1">IF(controls!$B$44=0,H51-'main page'!$K$27*M50,H51-'main page'!$K$27*M50+'main page'!$K$31*AB50)</f>
        <v>100</v>
      </c>
      <c r="G51" s="75">
        <f ca="1">IF(controls!$B$44=0,I51-'main page'!$K$27*M50,I51-'main page'!$K$27*M50+'main page'!$K$31*'normal case'!AB50)</f>
        <v>100</v>
      </c>
      <c r="H51" s="75">
        <f t="shared" ca="1" si="5"/>
        <v>108</v>
      </c>
      <c r="I51" s="75">
        <f t="shared" ca="1" si="6"/>
        <v>108</v>
      </c>
      <c r="L51" s="75">
        <f ca="1">IF(ABS('main page'!$K$29*L50+(1-'main page'!$K$29)*(controls!$B$9/100)*100+'main page'!$K$25*(D51-B51)-L50)&lt;0.0000001,L50,'main page'!$K$29*L50+(1-'main page'!$K$29)*(controls!$B$9/100)*100+'main page'!$K$25*(D51-B51))</f>
        <v>2</v>
      </c>
      <c r="M51" s="96">
        <f ca="1">IF(controls!$B$10=1,M50,IF(SUM(controls!$B$44:$B$46)=2,N51-'main page'!$K$29*'normal case'!L51-(1-'main page'!$K$29)*'main page'!$K$32,N51-'main page'!$K$29*'normal case'!L51-(1-'main page'!$K$29)*controls!$B$9))</f>
        <v>4</v>
      </c>
      <c r="N51" s="208">
        <f ca="1">IF(controls!$B$45=1,IF(controls!$B$46=1,'main page'!$K$24+'main page'!$K$11+'main page'!$U$8,'main page'!$K$24+'main page'!$K$11+'main page'!$K$32),IF(controls!$B$44=1,IF(O51&lt;0,0,O51),IF(O51+'main page'!$K$11&lt;0,0,O51+'main page'!$K$11)))</f>
        <v>6</v>
      </c>
      <c r="O51" s="76">
        <f ca="1">IF(controls!$B$10=1,'normal case'!M51+'normal case'!L51,'normal case'!P51)</f>
        <v>6</v>
      </c>
      <c r="P51" s="74">
        <f t="shared" ca="1" si="1"/>
        <v>6</v>
      </c>
      <c r="Q51" s="210">
        <f ca="1">IF(controls!$B$44=0,R51+'main page'!$K$29*L51+(1-'main page'!$K$29)*controls!$B$9+(('main page'!$K$25*'main page'!$U$13*'main page'!$K$29)/('main page'!$K$27*(1+('main page'!$K$25^2)*'main page'!$U$13)))*(L51-controls!$B$9),R51+'main page'!$K$29*L51+(1-'main page'!$K$29)*controls!$B$9+(('main page'!$K$25*'main page'!$U$13*'normal case'!$AO$3)/'normal case'!$AO$4)*('normal case'!L51-controls!$B$9))</f>
        <v>6</v>
      </c>
      <c r="R51" s="98">
        <f ca="1">IF(controls!$B$44=1,'main page'!$K$24+'main page'!$K$11,IF(controls!$B$33=1,((I52-D51*W52-B52+B51*V52)/'main page'!$K$27)-'main page'!$K$11,((H52-D51*W52-B52+B51*V52)/'main page'!$K$27)-'main page'!$K$11))</f>
        <v>4</v>
      </c>
      <c r="T51" s="71">
        <f>IF(controls!$B$6=1,$AL$3*(1+('main page'!$K$35/100))^U51-$AL$3*(1+('main page'!$K$35/100))^U50,$AL$3*(1+('main page'!$G$8/100))*(1+('main page'!$K$35/100))^U51-$AL$3*(1+('main page'!$G$8/100))*(1+('main page'!$K$35/100))^U50)</f>
        <v>0</v>
      </c>
      <c r="U51" s="73">
        <v>44</v>
      </c>
      <c r="V51" s="161">
        <v>0</v>
      </c>
      <c r="W51" s="40">
        <v>0</v>
      </c>
      <c r="X51" s="49">
        <f ca="1">IF(controls!$B$33=1,D51-($I$3-'main page'!$K$27*2)*(1+('main page'!$K$35/100))^A50,D51-$AL$4)</f>
        <v>0</v>
      </c>
      <c r="Y51" s="49">
        <f ca="1">ABS(L51-(controls!$B$9/100)*100)</f>
        <v>0</v>
      </c>
      <c r="AA51" s="49" t="e">
        <f ca="1">IF(controls!$B$33=1,(B52-B51*V52-I52+D51*W52+'main page'!$K$27*('main page'!$K$24+'main page'!$K$11))/'main page'!$K$31,(B52-B51*V52+D51*W52-H52+'main page'!$K$27*('main page'!$K$24+'main page'!$K$11))/'main page'!$K$31)</f>
        <v>#DIV/0!</v>
      </c>
      <c r="AB51" s="49" t="e">
        <f ca="1">IF(controls!$B$45=1,LOG(AF51,1.01)+LOG(AE51,1.01)-LOG(AD51,1.01),-((M51-('main page'!$K$24+'main page'!$K$11))/(1-'normal case'!$AO$3))+'normal case'!AA51)</f>
        <v>#DIV/0!</v>
      </c>
      <c r="AC51" s="176" t="e">
        <f t="shared" ca="1" si="2"/>
        <v>#DIV/0!</v>
      </c>
      <c r="AD51" s="49">
        <f t="shared" ca="1" si="3"/>
        <v>2.5870703854994304</v>
      </c>
      <c r="AE51" s="49">
        <f>AE50*(1+'main page'!$K$32/100)</f>
        <v>1</v>
      </c>
      <c r="AF51" s="49" t="e">
        <f ca="1">IF(ABS(IF(controls!$B$45=1,$AL$13,AD51*AC51/AE51)-AF50)&lt;0.00001,AF50,IF(controls!$B$45=1,$AL$13,AD51*AC51/AE51))</f>
        <v>#DIV/0!</v>
      </c>
      <c r="AG51" s="49">
        <f>IF(controls!$B$46=0,0,IF(controls!$B$33=2,B52-B51*V52-('normal case'!H52-D51*W52-'main page'!$K$27*'normal case'!M51+'main page'!$K$31*'normal case'!AB51)-(('main page'!$K$25*'main page'!$U$13*'main page'!$K$29)/(1+('main page'!$K$25^2)*'main page'!$U$13))*('normal case'!L51-'main page'!$U$8),B52-B51*V52-('normal case'!I52-D51*W52-'main page'!$K$27*'normal case'!M51+'main page'!$K$31*'normal case'!AB51)-(('main page'!$K$25*'main page'!$U$13*'main page'!$K$29)/(1+('main page'!$K$25^2)*'main page'!$U$13))*('normal case'!L51-'main page'!$U$8)))</f>
        <v>0</v>
      </c>
      <c r="AN51" s="40"/>
      <c r="AO51" s="40"/>
    </row>
    <row r="52" spans="1:41">
      <c r="A52" s="48">
        <v>50</v>
      </c>
      <c r="B52" s="75">
        <f ca="1">IF(controls!$B$33=1,B51*(1+V52)+T52,B51*(1+V52))</f>
        <v>100</v>
      </c>
      <c r="C52" s="80">
        <f t="shared" ca="1" si="4"/>
        <v>0</v>
      </c>
      <c r="D52" s="77">
        <f t="shared" ca="1" si="0"/>
        <v>100</v>
      </c>
      <c r="E52" s="77">
        <f ca="1">AG51+IF(controls!$B$33=1,G52,F52)</f>
        <v>100</v>
      </c>
      <c r="F52" s="94">
        <f ca="1">IF(controls!$B$44=0,H52-'main page'!$K$27*M51,H52-'main page'!$K$27*M51+'main page'!$K$31*AB51)</f>
        <v>100</v>
      </c>
      <c r="G52" s="75">
        <f ca="1">IF(controls!$B$44=0,I52-'main page'!$K$27*M51,I52-'main page'!$K$27*M51+'main page'!$K$31*'normal case'!AB51)</f>
        <v>100</v>
      </c>
      <c r="H52" s="75">
        <f t="shared" ca="1" si="5"/>
        <v>108</v>
      </c>
      <c r="I52" s="75">
        <f t="shared" ca="1" si="6"/>
        <v>108</v>
      </c>
      <c r="L52" s="75">
        <f ca="1">IF(ABS('main page'!$K$29*L51+(1-'main page'!$K$29)*(controls!$B$9/100)*100+'main page'!$K$25*(D52-B52)-L51)&lt;0.0000001,L51,'main page'!$K$29*L51+(1-'main page'!$K$29)*(controls!$B$9/100)*100+'main page'!$K$25*(D52-B52))</f>
        <v>2</v>
      </c>
      <c r="M52" s="96">
        <f ca="1">IF(controls!$B$10=1,M51,IF(SUM(controls!$B$44:$B$46)=2,N52-'main page'!$K$29*'normal case'!L52-(1-'main page'!$K$29)*'main page'!$K$32,N52-'main page'!$K$29*'normal case'!L52-(1-'main page'!$K$29)*controls!$B$9))</f>
        <v>4</v>
      </c>
      <c r="N52" s="208">
        <f ca="1">IF(controls!$B$45=1,IF(controls!$B$46=1,'main page'!$K$24+'main page'!$K$11+'main page'!$U$8,'main page'!$K$24+'main page'!$K$11+'main page'!$K$32),IF(controls!$B$44=1,IF(O52&lt;0,0,O52),IF(O52+'main page'!$K$11&lt;0,0,O52+'main page'!$K$11)))</f>
        <v>6</v>
      </c>
      <c r="O52" s="76">
        <f ca="1">IF(controls!$B$10=1,'normal case'!M52+'normal case'!L52,'normal case'!P52)</f>
        <v>6</v>
      </c>
      <c r="P52" s="74">
        <f t="shared" ca="1" si="1"/>
        <v>6</v>
      </c>
      <c r="Q52" s="210">
        <f ca="1">IF(controls!$B$44=0,R52+'main page'!$K$29*L52+(1-'main page'!$K$29)*controls!$B$9+(('main page'!$K$25*'main page'!$U$13*'main page'!$K$29)/('main page'!$K$27*(1+('main page'!$K$25^2)*'main page'!$U$13)))*(L52-controls!$B$9),R52+'main page'!$K$29*L52+(1-'main page'!$K$29)*controls!$B$9+(('main page'!$K$25*'main page'!$U$13*'normal case'!$AO$3)/'normal case'!$AO$4)*('normal case'!L52-controls!$B$9))</f>
        <v>6</v>
      </c>
      <c r="R52" s="98">
        <f ca="1">IF(controls!$B$44=1,'main page'!$K$24+'main page'!$K$11,IF(controls!$B$33=1,((I53-D52*W53-B53+B52*V53)/'main page'!$K$27)-'main page'!$K$11,((H53-D52*W53-B53+B52*V53)/'main page'!$K$27)-'main page'!$K$11))</f>
        <v>4</v>
      </c>
      <c r="T52" s="71">
        <f>IF(controls!$B$6=1,$AL$3*(1+('main page'!$K$35/100))^U52-$AL$3*(1+('main page'!$K$35/100))^U51,$AL$3*(1+('main page'!$G$8/100))*(1+('main page'!$K$35/100))^U52-$AL$3*(1+('main page'!$G$8/100))*(1+('main page'!$K$35/100))^U51)</f>
        <v>0</v>
      </c>
      <c r="U52" s="73">
        <v>45</v>
      </c>
      <c r="V52" s="161">
        <v>0</v>
      </c>
      <c r="W52" s="40">
        <v>0</v>
      </c>
      <c r="X52" s="49">
        <f ca="1">IF(controls!$B$33=1,D52-($I$3-'main page'!$K$27*2)*(1+('main page'!$K$35/100))^A51,D52-$AL$4)</f>
        <v>0</v>
      </c>
      <c r="Y52" s="49">
        <f ca="1">ABS(L52-(controls!$B$9/100)*100)</f>
        <v>0</v>
      </c>
      <c r="AA52" s="49" t="e">
        <f ca="1">IF(controls!$B$33=1,(B53-B52*V53-I53+D52*W53+'main page'!$K$27*('main page'!$K$24+'main page'!$K$11))/'main page'!$K$31,(B53-B52*V53+D52*W53-H53+'main page'!$K$27*('main page'!$K$24+'main page'!$K$11))/'main page'!$K$31)</f>
        <v>#DIV/0!</v>
      </c>
      <c r="AB52" s="49" t="e">
        <f ca="1">IF(controls!$B$45=1,LOG(AF52,1.01)+LOG(AE52,1.01)-LOG(AD52,1.01),-((M52-('main page'!$K$24+'main page'!$K$11))/(1-'normal case'!$AO$3))+'normal case'!AA52)</f>
        <v>#DIV/0!</v>
      </c>
      <c r="AC52" s="176" t="e">
        <f t="shared" ca="1" si="2"/>
        <v>#DIV/0!</v>
      </c>
      <c r="AD52" s="49">
        <f t="shared" ca="1" si="3"/>
        <v>2.6388117932094191</v>
      </c>
      <c r="AE52" s="49">
        <f>AE51*(1+'main page'!$K$32/100)</f>
        <v>1</v>
      </c>
      <c r="AF52" s="49" t="e">
        <f ca="1">IF(ABS(IF(controls!$B$45=1,$AL$13,AD52*AC52/AE52)-AF51)&lt;0.00001,AF51,IF(controls!$B$45=1,$AL$13,AD52*AC52/AE52))</f>
        <v>#DIV/0!</v>
      </c>
      <c r="AG52" s="49">
        <f>IF(controls!$B$46=0,0,IF(controls!$B$33=2,B53-B52*V53-('normal case'!H53-D52*W53-'main page'!$K$27*'normal case'!M52+'main page'!$K$31*'normal case'!AB52)-(('main page'!$K$25*'main page'!$U$13*'main page'!$K$29)/(1+('main page'!$K$25^2)*'main page'!$U$13))*('normal case'!L52-'main page'!$U$8),B53-B52*V53-('normal case'!I53-D52*W53-'main page'!$K$27*'normal case'!M52+'main page'!$K$31*'normal case'!AB52)-(('main page'!$K$25*'main page'!$U$13*'main page'!$K$29)/(1+('main page'!$K$25^2)*'main page'!$U$13))*('normal case'!L52-'main page'!$U$8)))</f>
        <v>0</v>
      </c>
      <c r="AN52" s="40"/>
      <c r="AO52" s="40"/>
    </row>
    <row r="53" spans="1:41">
      <c r="A53" s="48">
        <v>51</v>
      </c>
      <c r="B53" s="75">
        <f ca="1">IF(controls!$B$33=1,B52*(1+V53)+T53,B52*(1+V53))</f>
        <v>100</v>
      </c>
      <c r="C53" s="80">
        <f t="shared" ca="1" si="4"/>
        <v>0</v>
      </c>
      <c r="D53" s="77">
        <f t="shared" ca="1" si="0"/>
        <v>100</v>
      </c>
      <c r="E53" s="77">
        <f ca="1">AG52+IF(controls!$B$33=1,G53,F53)</f>
        <v>100</v>
      </c>
      <c r="F53" s="94">
        <f ca="1">IF(controls!$B$44=0,H53-'main page'!$K$27*M52,H53-'main page'!$K$27*M52+'main page'!$K$31*AB52)</f>
        <v>100</v>
      </c>
      <c r="G53" s="75">
        <f ca="1">IF(controls!$B$44=0,I53-'main page'!$K$27*M52,I53-'main page'!$K$27*M52+'main page'!$K$31*'normal case'!AB52)</f>
        <v>100</v>
      </c>
      <c r="H53" s="75">
        <f t="shared" ca="1" si="5"/>
        <v>108</v>
      </c>
      <c r="I53" s="75">
        <f t="shared" ca="1" si="6"/>
        <v>108</v>
      </c>
      <c r="L53" s="75">
        <f ca="1">IF(ABS('main page'!$K$29*L52+(1-'main page'!$K$29)*(controls!$B$9/100)*100+'main page'!$K$25*(D53-B53)-L52)&lt;0.0000001,L52,'main page'!$K$29*L52+(1-'main page'!$K$29)*(controls!$B$9/100)*100+'main page'!$K$25*(D53-B53))</f>
        <v>2</v>
      </c>
      <c r="M53" s="96">
        <f ca="1">IF(controls!$B$10=1,M52,IF(SUM(controls!$B$44:$B$46)=2,N53-'main page'!$K$29*'normal case'!L53-(1-'main page'!$K$29)*'main page'!$K$32,N53-'main page'!$K$29*'normal case'!L53-(1-'main page'!$K$29)*controls!$B$9))</f>
        <v>4</v>
      </c>
      <c r="N53" s="208">
        <f ca="1">IF(controls!$B$45=1,IF(controls!$B$46=1,'main page'!$K$24+'main page'!$K$11+'main page'!$U$8,'main page'!$K$24+'main page'!$K$11+'main page'!$K$32),IF(controls!$B$44=1,IF(O53&lt;0,0,O53),IF(O53+'main page'!$K$11&lt;0,0,O53+'main page'!$K$11)))</f>
        <v>6</v>
      </c>
      <c r="O53" s="76">
        <f ca="1">IF(controls!$B$10=1,'normal case'!M53+'normal case'!L53,'normal case'!P53)</f>
        <v>6</v>
      </c>
      <c r="P53" s="74">
        <f t="shared" ca="1" si="1"/>
        <v>6</v>
      </c>
      <c r="Q53" s="210">
        <f ca="1">IF(controls!$B$44=0,R53+'main page'!$K$29*L53+(1-'main page'!$K$29)*controls!$B$9+(('main page'!$K$25*'main page'!$U$13*'main page'!$K$29)/('main page'!$K$27*(1+('main page'!$K$25^2)*'main page'!$U$13)))*(L53-controls!$B$9),R53+'main page'!$K$29*L53+(1-'main page'!$K$29)*controls!$B$9+(('main page'!$K$25*'main page'!$U$13*'normal case'!$AO$3)/'normal case'!$AO$4)*('normal case'!L53-controls!$B$9))</f>
        <v>6</v>
      </c>
      <c r="R53" s="98">
        <f ca="1">IF(controls!$B$44=1,'main page'!$K$24+'main page'!$K$11,IF(controls!$B$33=1,((I54-D53*W54-B54+B53*V54)/'main page'!$K$27)-'main page'!$K$11,((H54-D53*W54-B54+B53*V54)/'main page'!$K$27)-'main page'!$K$11))</f>
        <v>4</v>
      </c>
      <c r="T53" s="71">
        <f>IF(controls!$B$6=1,$AL$3*(1+('main page'!$K$35/100))^U53-$AL$3*(1+('main page'!$K$35/100))^U52,$AL$3*(1+('main page'!$G$8/100))*(1+('main page'!$K$35/100))^U53-$AL$3*(1+('main page'!$G$8/100))*(1+('main page'!$K$35/100))^U52)</f>
        <v>0</v>
      </c>
      <c r="U53" s="73">
        <v>46</v>
      </c>
      <c r="V53" s="161">
        <f ca="1">IF(controls!$B$4=1,IF(controls!$H52=1,controls!$B$34*V52+RAND()*('main page'!$K$16/100)-RAND()*('main page'!$K$16/100),0),0)</f>
        <v>0</v>
      </c>
      <c r="W53" s="40">
        <f ca="1">IF(controls!$B$4=1,IF(controls!$I52=1,controls!$B$34*W52+RAND()*('main page'!$K$16/100)-RAND()*('main page'!$K$16/100),0),0)</f>
        <v>0</v>
      </c>
      <c r="X53" s="49">
        <f ca="1">IF(controls!$B$33=1,D53-($I$3-'main page'!$K$27*2)*(1+('main page'!$K$35/100))^A52,D53-$AL$4)</f>
        <v>0</v>
      </c>
      <c r="Y53" s="49">
        <f ca="1">ABS(L53-(controls!$B$9/100)*100)</f>
        <v>0</v>
      </c>
      <c r="AA53" s="49" t="e">
        <f ca="1">IF(controls!$B$33=1,(B54-B53*V54-I54+D53*W54+'main page'!$K$27*('main page'!$K$24+'main page'!$K$11))/'main page'!$K$31,(B54-B53*V54+D53*W54-H54+'main page'!$K$27*('main page'!$K$24+'main page'!$K$11))/'main page'!$K$31)</f>
        <v>#DIV/0!</v>
      </c>
      <c r="AB53" s="49" t="e">
        <f ca="1">IF(controls!$B$45=1,LOG(AF53,1.01)+LOG(AE53,1.01)-LOG(AD53,1.01),-((M53-('main page'!$K$24+'main page'!$K$11))/(1-'normal case'!$AO$3))+'normal case'!AA53)</f>
        <v>#DIV/0!</v>
      </c>
      <c r="AC53" s="176" t="e">
        <f t="shared" ca="1" si="2"/>
        <v>#DIV/0!</v>
      </c>
      <c r="AD53" s="49">
        <f t="shared" ca="1" si="3"/>
        <v>2.6915880290736074</v>
      </c>
      <c r="AE53" s="49">
        <f>AE52*(1+'main page'!$K$32/100)</f>
        <v>1</v>
      </c>
      <c r="AF53" s="49" t="e">
        <f ca="1">IF(ABS(IF(controls!$B$45=1,$AL$13,AD53*AC53/AE53)-AF52)&lt;0.00001,AF52,IF(controls!$B$45=1,$AL$13,AD53*AC53/AE53))</f>
        <v>#DIV/0!</v>
      </c>
      <c r="AG53" s="49">
        <f>IF(controls!$B$46=0,0,IF(controls!$B$33=2,B54-B53*V54-('normal case'!H54-D53*W54-'main page'!$K$27*'normal case'!M53+'main page'!$K$31*'normal case'!AB53)-(('main page'!$K$25*'main page'!$U$13*'main page'!$K$29)/(1+('main page'!$K$25^2)*'main page'!$U$13))*('normal case'!L53-'main page'!$U$8),B54-B53*V54-('normal case'!I54-D53*W54-'main page'!$K$27*'normal case'!M53+'main page'!$K$31*'normal case'!AB53)-(('main page'!$K$25*'main page'!$U$13*'main page'!$K$29)/(1+('main page'!$K$25^2)*'main page'!$U$13))*('normal case'!L53-'main page'!$U$8)))</f>
        <v>0</v>
      </c>
      <c r="AN53" s="40"/>
      <c r="AO53" s="40"/>
    </row>
    <row r="54" spans="1:41">
      <c r="A54" s="48">
        <v>52</v>
      </c>
      <c r="B54" s="75">
        <f ca="1">IF(controls!$B$33=1,B53*(1+V54)+T54,B53*(1+V54))</f>
        <v>100</v>
      </c>
      <c r="C54" s="80">
        <f t="shared" ca="1" si="4"/>
        <v>0</v>
      </c>
      <c r="D54" s="77">
        <f t="shared" ca="1" si="0"/>
        <v>100</v>
      </c>
      <c r="E54" s="77">
        <f ca="1">AG53+IF(controls!$B$33=1,G54,F54)</f>
        <v>100</v>
      </c>
      <c r="F54" s="94">
        <f ca="1">IF(controls!$B$44=0,H54-'main page'!$K$27*M53,H54-'main page'!$K$27*M53+'main page'!$K$31*AB53)</f>
        <v>100</v>
      </c>
      <c r="G54" s="75">
        <f ca="1">IF(controls!$B$44=0,I54-'main page'!$K$27*M53,I54-'main page'!$K$27*M53+'main page'!$K$31*'normal case'!AB53)</f>
        <v>100</v>
      </c>
      <c r="H54" s="75">
        <f t="shared" ca="1" si="5"/>
        <v>108</v>
      </c>
      <c r="I54" s="75">
        <f t="shared" ca="1" si="6"/>
        <v>108</v>
      </c>
      <c r="L54" s="75">
        <f ca="1">IF(ABS('main page'!$K$29*L53+(1-'main page'!$K$29)*(controls!$B$9/100)*100+'main page'!$K$25*(D54-B54)-L53)&lt;0.0000001,L53,'main page'!$K$29*L53+(1-'main page'!$K$29)*(controls!$B$9/100)*100+'main page'!$K$25*(D54-B54))</f>
        <v>2</v>
      </c>
      <c r="M54" s="96">
        <f ca="1">IF(controls!$B$10=1,M53,IF(SUM(controls!$B$44:$B$46)=2,N54-'main page'!$K$29*'normal case'!L54-(1-'main page'!$K$29)*'main page'!$K$32,N54-'main page'!$K$29*'normal case'!L54-(1-'main page'!$K$29)*controls!$B$9))</f>
        <v>4</v>
      </c>
      <c r="N54" s="208">
        <f ca="1">IF(controls!$B$45=1,IF(controls!$B$46=1,'main page'!$K$24+'main page'!$K$11+'main page'!$U$8,'main page'!$K$24+'main page'!$K$11+'main page'!$K$32),IF(controls!$B$44=1,IF(O54&lt;0,0,O54),IF(O54+'main page'!$K$11&lt;0,0,O54+'main page'!$K$11)))</f>
        <v>6</v>
      </c>
      <c r="O54" s="76">
        <f ca="1">IF(controls!$B$10=1,'normal case'!M54+'normal case'!L54,'normal case'!P54)</f>
        <v>6</v>
      </c>
      <c r="P54" s="74">
        <f t="shared" ca="1" si="1"/>
        <v>6</v>
      </c>
      <c r="Q54" s="210">
        <f ca="1">IF(controls!$B$44=0,R54+'main page'!$K$29*L54+(1-'main page'!$K$29)*controls!$B$9+(('main page'!$K$25*'main page'!$U$13*'main page'!$K$29)/('main page'!$K$27*(1+('main page'!$K$25^2)*'main page'!$U$13)))*(L54-controls!$B$9),R54+'main page'!$K$29*L54+(1-'main page'!$K$29)*controls!$B$9+(('main page'!$K$25*'main page'!$U$13*'normal case'!$AO$3)/'normal case'!$AO$4)*('normal case'!L54-controls!$B$9))</f>
        <v>6</v>
      </c>
      <c r="R54" s="98">
        <f ca="1">IF(controls!$B$44=1,'main page'!$K$24+'main page'!$K$11,IF(controls!$B$33=1,((I55-D54*W55-B55+B54*V55)/'main page'!$K$27)-'main page'!$K$11,((H55-D54*W55-B55+B54*V55)/'main page'!$K$27)-'main page'!$K$11))</f>
        <v>4</v>
      </c>
      <c r="T54" s="71">
        <f>IF(controls!$B$6=1,$AL$3*(1+('main page'!$K$35/100))^U54-$AL$3*(1+('main page'!$K$35/100))^U53,$AL$3*(1+('main page'!$G$8/100))*(1+('main page'!$K$35/100))^U54-$AL$3*(1+('main page'!$G$8/100))*(1+('main page'!$K$35/100))^U53)</f>
        <v>0</v>
      </c>
      <c r="U54" s="73">
        <v>47</v>
      </c>
      <c r="V54" s="161">
        <v>0</v>
      </c>
      <c r="W54" s="40">
        <v>0</v>
      </c>
      <c r="X54" s="49">
        <f ca="1">IF(controls!$B$33=1,D54-($I$3-'main page'!$K$27*2)*(1+('main page'!$K$35/100))^A53,D54-$AL$4)</f>
        <v>0</v>
      </c>
      <c r="Y54" s="49">
        <f ca="1">ABS(L54-(controls!$B$9/100)*100)</f>
        <v>0</v>
      </c>
      <c r="AA54" s="49" t="e">
        <f ca="1">IF(controls!$B$33=1,(B55-B54*V55-I55+D54*W55+'main page'!$K$27*('main page'!$K$24+'main page'!$K$11))/'main page'!$K$31,(B55-B54*V55+D54*W55-H55+'main page'!$K$27*('main page'!$K$24+'main page'!$K$11))/'main page'!$K$31)</f>
        <v>#DIV/0!</v>
      </c>
      <c r="AB54" s="49" t="e">
        <f ca="1">IF(controls!$B$45=1,LOG(AF54,1.01)+LOG(AE54,1.01)-LOG(AD54,1.01),-((M54-('main page'!$K$24+'main page'!$K$11))/(1-'normal case'!$AO$3))+'normal case'!AA54)</f>
        <v>#DIV/0!</v>
      </c>
      <c r="AC54" s="176" t="e">
        <f t="shared" ca="1" si="2"/>
        <v>#DIV/0!</v>
      </c>
      <c r="AD54" s="49">
        <f t="shared" ca="1" si="3"/>
        <v>2.7454197896550796</v>
      </c>
      <c r="AE54" s="49">
        <f>AE53*(1+'main page'!$K$32/100)</f>
        <v>1</v>
      </c>
      <c r="AF54" s="49" t="e">
        <f ca="1">IF(ABS(IF(controls!$B$45=1,$AL$13,AD54*AC54/AE54)-AF53)&lt;0.00001,AF53,IF(controls!$B$45=1,$AL$13,AD54*AC54/AE54))</f>
        <v>#DIV/0!</v>
      </c>
      <c r="AG54" s="49">
        <f>IF(controls!$B$46=0,0,IF(controls!$B$33=2,B55-B54*V55-('normal case'!H55-D54*W55-'main page'!$K$27*'normal case'!M54+'main page'!$K$31*'normal case'!AB54)-(('main page'!$K$25*'main page'!$U$13*'main page'!$K$29)/(1+('main page'!$K$25^2)*'main page'!$U$13))*('normal case'!L54-'main page'!$U$8),B55-B54*V55-('normal case'!I55-D54*W55-'main page'!$K$27*'normal case'!M54+'main page'!$K$31*'normal case'!AB54)-(('main page'!$K$25*'main page'!$U$13*'main page'!$K$29)/(1+('main page'!$K$25^2)*'main page'!$U$13))*('normal case'!L54-'main page'!$U$8)))</f>
        <v>0</v>
      </c>
      <c r="AN54" s="40"/>
      <c r="AO54" s="40"/>
    </row>
    <row r="55" spans="1:41">
      <c r="A55" s="48">
        <v>53</v>
      </c>
      <c r="B55" s="75">
        <f ca="1">IF(controls!$B$33=1,B54*(1+V55)+T55,B54*(1+V55))</f>
        <v>100</v>
      </c>
      <c r="C55" s="80">
        <f t="shared" ca="1" si="4"/>
        <v>0</v>
      </c>
      <c r="D55" s="77">
        <f t="shared" ca="1" si="0"/>
        <v>100</v>
      </c>
      <c r="E55" s="77">
        <f ca="1">AG54+IF(controls!$B$33=1,G55,F55)</f>
        <v>100</v>
      </c>
      <c r="F55" s="94">
        <f ca="1">IF(controls!$B$44=0,H55-'main page'!$K$27*M54,H55-'main page'!$K$27*M54+'main page'!$K$31*AB54)</f>
        <v>100</v>
      </c>
      <c r="G55" s="75">
        <f ca="1">IF(controls!$B$44=0,I55-'main page'!$K$27*M54,I55-'main page'!$K$27*M54+'main page'!$K$31*'normal case'!AB54)</f>
        <v>100</v>
      </c>
      <c r="H55" s="75">
        <f t="shared" ca="1" si="5"/>
        <v>108</v>
      </c>
      <c r="I55" s="75">
        <f t="shared" ca="1" si="6"/>
        <v>108</v>
      </c>
      <c r="L55" s="75">
        <f ca="1">IF(ABS('main page'!$K$29*L54+(1-'main page'!$K$29)*(controls!$B$9/100)*100+'main page'!$K$25*(D55-B55)-L54)&lt;0.0000001,L54,'main page'!$K$29*L54+(1-'main page'!$K$29)*(controls!$B$9/100)*100+'main page'!$K$25*(D55-B55))</f>
        <v>2</v>
      </c>
      <c r="M55" s="96">
        <f ca="1">IF(controls!$B$10=1,M54,IF(SUM(controls!$B$44:$B$46)=2,N55-'main page'!$K$29*'normal case'!L55-(1-'main page'!$K$29)*'main page'!$K$32,N55-'main page'!$K$29*'normal case'!L55-(1-'main page'!$K$29)*controls!$B$9))</f>
        <v>4</v>
      </c>
      <c r="N55" s="208">
        <f ca="1">IF(controls!$B$45=1,IF(controls!$B$46=1,'main page'!$K$24+'main page'!$K$11+'main page'!$U$8,'main page'!$K$24+'main page'!$K$11+'main page'!$K$32),IF(controls!$B$44=1,IF(O55&lt;0,0,O55),IF(O55+'main page'!$K$11&lt;0,0,O55+'main page'!$K$11)))</f>
        <v>6</v>
      </c>
      <c r="O55" s="76">
        <f ca="1">IF(controls!$B$10=1,'normal case'!M55+'normal case'!L55,'normal case'!P55)</f>
        <v>6</v>
      </c>
      <c r="P55" s="74">
        <f t="shared" ca="1" si="1"/>
        <v>6</v>
      </c>
      <c r="Q55" s="210">
        <f ca="1">IF(controls!$B$44=0,R55+'main page'!$K$29*L55+(1-'main page'!$K$29)*controls!$B$9+(('main page'!$K$25*'main page'!$U$13*'main page'!$K$29)/('main page'!$K$27*(1+('main page'!$K$25^2)*'main page'!$U$13)))*(L55-controls!$B$9),R55+'main page'!$K$29*L55+(1-'main page'!$K$29)*controls!$B$9+(('main page'!$K$25*'main page'!$U$13*'normal case'!$AO$3)/'normal case'!$AO$4)*('normal case'!L55-controls!$B$9))</f>
        <v>6</v>
      </c>
      <c r="R55" s="98">
        <f ca="1">IF(controls!$B$44=1,'main page'!$K$24+'main page'!$K$11,IF(controls!$B$33=1,((I56-D55*W56-B56+B55*V56)/'main page'!$K$27)-'main page'!$K$11,((H56-D55*W56-B56+B55*V56)/'main page'!$K$27)-'main page'!$K$11))</f>
        <v>4</v>
      </c>
      <c r="T55" s="71">
        <f>IF(controls!$B$6=1,$AL$3*(1+('main page'!$K$35/100))^U55-$AL$3*(1+('main page'!$K$35/100))^U54,$AL$3*(1+('main page'!$G$8/100))*(1+('main page'!$K$35/100))^U55-$AL$3*(1+('main page'!$G$8/100))*(1+('main page'!$K$35/100))^U54)</f>
        <v>0</v>
      </c>
      <c r="U55" s="73">
        <v>48</v>
      </c>
      <c r="V55" s="161">
        <v>0</v>
      </c>
      <c r="W55" s="40">
        <v>0</v>
      </c>
      <c r="X55" s="49">
        <f ca="1">IF(controls!$B$33=1,D55-($I$3-'main page'!$K$27*2)*(1+('main page'!$K$35/100))^A54,D55-$AL$4)</f>
        <v>0</v>
      </c>
      <c r="Y55" s="49">
        <f ca="1">ABS(L55-(controls!$B$9/100)*100)</f>
        <v>0</v>
      </c>
      <c r="AA55" s="49" t="e">
        <f ca="1">IF(controls!$B$33=1,(B56-B55*V56-I56+D55*W56+'main page'!$K$27*('main page'!$K$24+'main page'!$K$11))/'main page'!$K$31,(B56-B55*V56+D55*W56-H56+'main page'!$K$27*('main page'!$K$24+'main page'!$K$11))/'main page'!$K$31)</f>
        <v>#DIV/0!</v>
      </c>
      <c r="AB55" s="49" t="e">
        <f ca="1">IF(controls!$B$45=1,LOG(AF55,1.01)+LOG(AE55,1.01)-LOG(AD55,1.01),-((M55-('main page'!$K$24+'main page'!$K$11))/(1-'normal case'!$AO$3))+'normal case'!AA55)</f>
        <v>#DIV/0!</v>
      </c>
      <c r="AC55" s="176" t="e">
        <f t="shared" ca="1" si="2"/>
        <v>#DIV/0!</v>
      </c>
      <c r="AD55" s="49">
        <f t="shared" ca="1" si="3"/>
        <v>2.8003281854481812</v>
      </c>
      <c r="AE55" s="49">
        <f>AE54*(1+'main page'!$K$32/100)</f>
        <v>1</v>
      </c>
      <c r="AF55" s="49" t="e">
        <f ca="1">IF(ABS(IF(controls!$B$45=1,$AL$13,AD55*AC55/AE55)-AF54)&lt;0.00001,AF54,IF(controls!$B$45=1,$AL$13,AD55*AC55/AE55))</f>
        <v>#DIV/0!</v>
      </c>
      <c r="AG55" s="49">
        <f>IF(controls!$B$46=0,0,IF(controls!$B$33=2,B56-B55*V56-('normal case'!H56-D55*W56-'main page'!$K$27*'normal case'!M55+'main page'!$K$31*'normal case'!AB55)-(('main page'!$K$25*'main page'!$U$13*'main page'!$K$29)/(1+('main page'!$K$25^2)*'main page'!$U$13))*('normal case'!L55-'main page'!$U$8),B56-B55*V56-('normal case'!I56-D55*W56-'main page'!$K$27*'normal case'!M55+'main page'!$K$31*'normal case'!AB55)-(('main page'!$K$25*'main page'!$U$13*'main page'!$K$29)/(1+('main page'!$K$25^2)*'main page'!$U$13))*('normal case'!L55-'main page'!$U$8)))</f>
        <v>0</v>
      </c>
      <c r="AN55" s="40"/>
      <c r="AO55" s="40"/>
    </row>
    <row r="56" spans="1:41">
      <c r="A56" s="48">
        <v>54</v>
      </c>
      <c r="B56" s="75">
        <f ca="1">IF(controls!$B$33=1,B55*(1+V56)+T56,B55*(1+V56))</f>
        <v>100</v>
      </c>
      <c r="C56" s="80">
        <f t="shared" ca="1" si="4"/>
        <v>0</v>
      </c>
      <c r="D56" s="77">
        <f t="shared" ca="1" si="0"/>
        <v>100</v>
      </c>
      <c r="E56" s="77">
        <f ca="1">AG55+IF(controls!$B$33=1,G56,F56)</f>
        <v>100</v>
      </c>
      <c r="F56" s="94">
        <f ca="1">IF(controls!$B$44=0,H56-'main page'!$K$27*M55,H56-'main page'!$K$27*M55+'main page'!$K$31*AB55)</f>
        <v>100</v>
      </c>
      <c r="G56" s="75">
        <f ca="1">IF(controls!$B$44=0,I56-'main page'!$K$27*M55,I56-'main page'!$K$27*M55+'main page'!$K$31*'normal case'!AB55)</f>
        <v>100</v>
      </c>
      <c r="H56" s="75">
        <f t="shared" ca="1" si="5"/>
        <v>108</v>
      </c>
      <c r="I56" s="75">
        <f t="shared" ca="1" si="6"/>
        <v>108</v>
      </c>
      <c r="L56" s="75">
        <f ca="1">IF(ABS('main page'!$K$29*L55+(1-'main page'!$K$29)*(controls!$B$9/100)*100+'main page'!$K$25*(D56-B56)-L55)&lt;0.0000001,L55,'main page'!$K$29*L55+(1-'main page'!$K$29)*(controls!$B$9/100)*100+'main page'!$K$25*(D56-B56))</f>
        <v>2</v>
      </c>
      <c r="M56" s="96">
        <f ca="1">IF(controls!$B$10=1,M55,IF(SUM(controls!$B$44:$B$46)=2,N56-'main page'!$K$29*'normal case'!L56-(1-'main page'!$K$29)*'main page'!$K$32,N56-'main page'!$K$29*'normal case'!L56-(1-'main page'!$K$29)*controls!$B$9))</f>
        <v>4</v>
      </c>
      <c r="N56" s="208">
        <f ca="1">IF(controls!$B$45=1,IF(controls!$B$46=1,'main page'!$K$24+'main page'!$K$11+'main page'!$U$8,'main page'!$K$24+'main page'!$K$11+'main page'!$K$32),IF(controls!$B$44=1,IF(O56&lt;0,0,O56),IF(O56+'main page'!$K$11&lt;0,0,O56+'main page'!$K$11)))</f>
        <v>6</v>
      </c>
      <c r="O56" s="76">
        <f ca="1">IF(controls!$B$10=1,'normal case'!M56+'normal case'!L56,'normal case'!P56)</f>
        <v>6</v>
      </c>
      <c r="P56" s="74">
        <f t="shared" ca="1" si="1"/>
        <v>6</v>
      </c>
      <c r="Q56" s="210">
        <f ca="1">IF(controls!$B$44=0,R56+'main page'!$K$29*L56+(1-'main page'!$K$29)*controls!$B$9+(('main page'!$K$25*'main page'!$U$13*'main page'!$K$29)/('main page'!$K$27*(1+('main page'!$K$25^2)*'main page'!$U$13)))*(L56-controls!$B$9),R56+'main page'!$K$29*L56+(1-'main page'!$K$29)*controls!$B$9+(('main page'!$K$25*'main page'!$U$13*'normal case'!$AO$3)/'normal case'!$AO$4)*('normal case'!L56-controls!$B$9))</f>
        <v>6</v>
      </c>
      <c r="R56" s="98">
        <f ca="1">IF(controls!$B$44=1,'main page'!$K$24+'main page'!$K$11,IF(controls!$B$33=1,((I57-D56*W57-B57+B56*V57)/'main page'!$K$27)-'main page'!$K$11,((H57-D56*W57-B57+B56*V57)/'main page'!$K$27)-'main page'!$K$11))</f>
        <v>4</v>
      </c>
      <c r="T56" s="71">
        <f>IF(controls!$B$6=1,$AL$3*(1+('main page'!$K$35/100))^U56-$AL$3*(1+('main page'!$K$35/100))^U55,$AL$3*(1+('main page'!$G$8/100))*(1+('main page'!$K$35/100))^U56-$AL$3*(1+('main page'!$G$8/100))*(1+('main page'!$K$35/100))^U55)</f>
        <v>0</v>
      </c>
      <c r="U56" s="73">
        <v>49</v>
      </c>
      <c r="V56" s="161">
        <f ca="1">IF(controls!$B$4=1,IF(controls!$H55=1,controls!$B$34*V55+RAND()*('main page'!$K$16/100)-RAND()*('main page'!$K$16/100),0),0)</f>
        <v>0</v>
      </c>
      <c r="W56" s="40">
        <f ca="1">IF(controls!$B$4=1,IF(controls!$I55=1,controls!$B$34*W55+RAND()*('main page'!$K$16/100)-RAND()*('main page'!$K$16/100),0),0)</f>
        <v>0</v>
      </c>
      <c r="X56" s="49">
        <f ca="1">IF(controls!$B$33=1,D56-($I$3-'main page'!$K$27*2)*(1+('main page'!$K$35/100))^A55,D56-$AL$4)</f>
        <v>0</v>
      </c>
      <c r="Y56" s="49">
        <f ca="1">ABS(L56-(controls!$B$9/100)*100)</f>
        <v>0</v>
      </c>
      <c r="AA56" s="49" t="e">
        <f ca="1">IF(controls!$B$33=1,(B57-B56*V57-I57+D56*W57+'main page'!$K$27*('main page'!$K$24+'main page'!$K$11))/'main page'!$K$31,(B57-B56*V57+D56*W57-H57+'main page'!$K$27*('main page'!$K$24+'main page'!$K$11))/'main page'!$K$31)</f>
        <v>#DIV/0!</v>
      </c>
      <c r="AB56" s="49" t="e">
        <f ca="1">IF(controls!$B$45=1,LOG(AF56,1.01)+LOG(AE56,1.01)-LOG(AD56,1.01),-((M56-('main page'!$K$24+'main page'!$K$11))/(1-'normal case'!$AO$3))+'normal case'!AA56)</f>
        <v>#DIV/0!</v>
      </c>
      <c r="AC56" s="176" t="e">
        <f t="shared" ca="1" si="2"/>
        <v>#DIV/0!</v>
      </c>
      <c r="AD56" s="49">
        <f t="shared" ca="1" si="3"/>
        <v>2.8563347491571447</v>
      </c>
      <c r="AE56" s="49">
        <f>AE55*(1+'main page'!$K$32/100)</f>
        <v>1</v>
      </c>
      <c r="AF56" s="49" t="e">
        <f ca="1">IF(ABS(IF(controls!$B$45=1,$AL$13,AD56*AC56/AE56)-AF55)&lt;0.00001,AF55,IF(controls!$B$45=1,$AL$13,AD56*AC56/AE56))</f>
        <v>#DIV/0!</v>
      </c>
      <c r="AG56" s="49">
        <f>IF(controls!$B$46=0,0,IF(controls!$B$33=2,B57-B56*V57-('normal case'!H57-D56*W57-'main page'!$K$27*'normal case'!M56+'main page'!$K$31*'normal case'!AB56)-(('main page'!$K$25*'main page'!$U$13*'main page'!$K$29)/(1+('main page'!$K$25^2)*'main page'!$U$13))*('normal case'!L56-'main page'!$U$8),B57-B56*V57-('normal case'!I57-D56*W57-'main page'!$K$27*'normal case'!M56+'main page'!$K$31*'normal case'!AB56)-(('main page'!$K$25*'main page'!$U$13*'main page'!$K$29)/(1+('main page'!$K$25^2)*'main page'!$U$13))*('normal case'!L56-'main page'!$U$8)))</f>
        <v>0</v>
      </c>
      <c r="AN56" s="40"/>
      <c r="AO56" s="40"/>
    </row>
    <row r="57" spans="1:41">
      <c r="A57" s="48">
        <v>55</v>
      </c>
      <c r="B57" s="75">
        <f ca="1">IF(controls!$B$33=1,B56*(1+V57)+T57,B56*(1+V57))</f>
        <v>100</v>
      </c>
      <c r="C57" s="80">
        <f t="shared" ca="1" si="4"/>
        <v>0</v>
      </c>
      <c r="D57" s="77">
        <f t="shared" ca="1" si="0"/>
        <v>100</v>
      </c>
      <c r="E57" s="77">
        <f ca="1">AG56+IF(controls!$B$33=1,G57,F57)</f>
        <v>100</v>
      </c>
      <c r="F57" s="94">
        <f ca="1">IF(controls!$B$44=0,H57-'main page'!$K$27*M56,H57-'main page'!$K$27*M56+'main page'!$K$31*AB56)</f>
        <v>100</v>
      </c>
      <c r="G57" s="75">
        <f ca="1">IF(controls!$B$44=0,I57-'main page'!$K$27*M56,I57-'main page'!$K$27*M56+'main page'!$K$31*'normal case'!AB56)</f>
        <v>100</v>
      </c>
      <c r="H57" s="75">
        <f t="shared" ca="1" si="5"/>
        <v>108</v>
      </c>
      <c r="I57" s="75">
        <f t="shared" ca="1" si="6"/>
        <v>108</v>
      </c>
      <c r="L57" s="75">
        <f ca="1">IF(ABS('main page'!$K$29*L56+(1-'main page'!$K$29)*(controls!$B$9/100)*100+'main page'!$K$25*(D57-B57)-L56)&lt;0.0000001,L56,'main page'!$K$29*L56+(1-'main page'!$K$29)*(controls!$B$9/100)*100+'main page'!$K$25*(D57-B57))</f>
        <v>2</v>
      </c>
      <c r="M57" s="96">
        <f ca="1">IF(controls!$B$10=1,M56,IF(SUM(controls!$B$44:$B$46)=2,N57-'main page'!$K$29*'normal case'!L57-(1-'main page'!$K$29)*'main page'!$K$32,N57-'main page'!$K$29*'normal case'!L57-(1-'main page'!$K$29)*controls!$B$9))</f>
        <v>4</v>
      </c>
      <c r="N57" s="208">
        <f ca="1">IF(controls!$B$45=1,IF(controls!$B$46=1,'main page'!$K$24+'main page'!$K$11+'main page'!$U$8,'main page'!$K$24+'main page'!$K$11+'main page'!$K$32),IF(controls!$B$44=1,IF(O57&lt;0,0,O57),IF(O57+'main page'!$K$11&lt;0,0,O57+'main page'!$K$11)))</f>
        <v>6</v>
      </c>
      <c r="O57" s="76">
        <f ca="1">IF(controls!$B$10=1,'normal case'!M57+'normal case'!L57,'normal case'!P57)</f>
        <v>6</v>
      </c>
      <c r="P57" s="74">
        <f t="shared" ca="1" si="1"/>
        <v>6</v>
      </c>
      <c r="Q57" s="210">
        <f ca="1">IF(controls!$B$44=0,R57+'main page'!$K$29*L57+(1-'main page'!$K$29)*controls!$B$9+(('main page'!$K$25*'main page'!$U$13*'main page'!$K$29)/('main page'!$K$27*(1+('main page'!$K$25^2)*'main page'!$U$13)))*(L57-controls!$B$9),R57+'main page'!$K$29*L57+(1-'main page'!$K$29)*controls!$B$9+(('main page'!$K$25*'main page'!$U$13*'normal case'!$AO$3)/'normal case'!$AO$4)*('normal case'!L57-controls!$B$9))</f>
        <v>6</v>
      </c>
      <c r="R57" s="98">
        <f ca="1">IF(controls!$B$44=1,'main page'!$K$24+'main page'!$K$11,IF(controls!$B$33=1,((I58-D57*W58-B58+B57*V58)/'main page'!$K$27)-'main page'!$K$11,((H58-D57*W58-B58+B57*V58)/'main page'!$K$27)-'main page'!$K$11))</f>
        <v>4</v>
      </c>
      <c r="T57" s="71">
        <f>IF(controls!$B$6=1,$AL$3*(1+('main page'!$K$35/100))^U57-$AL$3*(1+('main page'!$K$35/100))^U56,$AL$3*(1+('main page'!$G$8/100))*(1+('main page'!$K$35/100))^U57-$AL$3*(1+('main page'!$G$8/100))*(1+('main page'!$K$35/100))^U56)</f>
        <v>0</v>
      </c>
      <c r="U57" s="73">
        <v>50</v>
      </c>
      <c r="V57" s="161">
        <v>0</v>
      </c>
      <c r="W57" s="40">
        <v>0</v>
      </c>
      <c r="X57" s="49">
        <f ca="1">IF(controls!$B$33=1,D57-($I$3-'main page'!$K$27*2)*(1+('main page'!$K$35/100))^A56,D57-$AL$4)</f>
        <v>0</v>
      </c>
      <c r="Y57" s="49">
        <f ca="1">ABS(L57-(controls!$B$9/100)*100)</f>
        <v>0</v>
      </c>
      <c r="AA57" s="49" t="e">
        <f ca="1">IF(controls!$B$33=1,(B58-B57*V58-I58+D57*W58+'main page'!$K$27*('main page'!$K$24+'main page'!$K$11))/'main page'!$K$31,(B58-B57*V58+D57*W58-H58+'main page'!$K$27*('main page'!$K$24+'main page'!$K$11))/'main page'!$K$31)</f>
        <v>#DIV/0!</v>
      </c>
      <c r="AB57" s="49" t="e">
        <f ca="1">IF(controls!$B$45=1,LOG(AF57,1.01)+LOG(AE57,1.01)-LOG(AD57,1.01),-((M57-('main page'!$K$24+'main page'!$K$11))/(1-'normal case'!$AO$3))+'normal case'!AA57)</f>
        <v>#DIV/0!</v>
      </c>
      <c r="AC57" s="176" t="e">
        <f t="shared" ca="1" si="2"/>
        <v>#DIV/0!</v>
      </c>
      <c r="AD57" s="49">
        <f t="shared" ca="1" si="3"/>
        <v>2.9134614441402875</v>
      </c>
      <c r="AE57" s="49">
        <f>AE56*(1+'main page'!$K$32/100)</f>
        <v>1</v>
      </c>
      <c r="AF57" s="49" t="e">
        <f ca="1">IF(ABS(IF(controls!$B$45=1,$AL$13,AD57*AC57/AE57)-AF56)&lt;0.00001,AF56,IF(controls!$B$45=1,$AL$13,AD57*AC57/AE57))</f>
        <v>#DIV/0!</v>
      </c>
      <c r="AG57" s="49">
        <f>IF(controls!$B$46=0,0,IF(controls!$B$33=2,B58-B57*V58-('normal case'!H58-D57*W58-'main page'!$K$27*'normal case'!M57+'main page'!$K$31*'normal case'!AB57)-(('main page'!$K$25*'main page'!$U$13*'main page'!$K$29)/(1+('main page'!$K$25^2)*'main page'!$U$13))*('normal case'!L57-'main page'!$U$8),B58-B57*V58-('normal case'!I58-D57*W58-'main page'!$K$27*'normal case'!M57+'main page'!$K$31*'normal case'!AB57)-(('main page'!$K$25*'main page'!$U$13*'main page'!$K$29)/(1+('main page'!$K$25^2)*'main page'!$U$13))*('normal case'!L57-'main page'!$U$8)))</f>
        <v>0</v>
      </c>
      <c r="AN57" s="40"/>
      <c r="AO57" s="40"/>
    </row>
    <row r="58" spans="1:41">
      <c r="A58" s="48">
        <v>56</v>
      </c>
      <c r="B58" s="75">
        <f ca="1">IF(controls!$B$33=1,B57*(1+V58)+T58,B57*(1+V58))</f>
        <v>100</v>
      </c>
      <c r="C58" s="80">
        <f t="shared" ca="1" si="4"/>
        <v>0</v>
      </c>
      <c r="D58" s="77">
        <f t="shared" ca="1" si="0"/>
        <v>100</v>
      </c>
      <c r="E58" s="77">
        <f ca="1">AG57+IF(controls!$B$33=1,G58,F58)</f>
        <v>100</v>
      </c>
      <c r="F58" s="94">
        <f ca="1">IF(controls!$B$44=0,H58-'main page'!$K$27*M57,H58-'main page'!$K$27*M57+'main page'!$K$31*AB57)</f>
        <v>100</v>
      </c>
      <c r="G58" s="75">
        <f ca="1">IF(controls!$B$44=0,I58-'main page'!$K$27*M57,I58-'main page'!$K$27*M57+'main page'!$K$31*'normal case'!AB57)</f>
        <v>100</v>
      </c>
      <c r="H58" s="75">
        <f t="shared" ca="1" si="5"/>
        <v>108</v>
      </c>
      <c r="I58" s="75">
        <f t="shared" ca="1" si="6"/>
        <v>108</v>
      </c>
      <c r="L58" s="75">
        <f ca="1">IF(ABS('main page'!$K$29*L57+(1-'main page'!$K$29)*(controls!$B$9/100)*100+'main page'!$K$25*(D58-B58)-L57)&lt;0.0000001,L57,'main page'!$K$29*L57+(1-'main page'!$K$29)*(controls!$B$9/100)*100+'main page'!$K$25*(D58-B58))</f>
        <v>2</v>
      </c>
      <c r="M58" s="96">
        <f ca="1">IF(controls!$B$10=1,M57,IF(SUM(controls!$B$44:$B$46)=2,N58-'main page'!$K$29*'normal case'!L58-(1-'main page'!$K$29)*'main page'!$K$32,N58-'main page'!$K$29*'normal case'!L58-(1-'main page'!$K$29)*controls!$B$9))</f>
        <v>4</v>
      </c>
      <c r="N58" s="208">
        <f ca="1">IF(controls!$B$45=1,IF(controls!$B$46=1,'main page'!$K$24+'main page'!$K$11+'main page'!$U$8,'main page'!$K$24+'main page'!$K$11+'main page'!$K$32),IF(controls!$B$44=1,IF(O58&lt;0,0,O58),IF(O58+'main page'!$K$11&lt;0,0,O58+'main page'!$K$11)))</f>
        <v>6</v>
      </c>
      <c r="O58" s="76">
        <f ca="1">IF(controls!$B$10=1,'normal case'!M58+'normal case'!L58,'normal case'!P58)</f>
        <v>6</v>
      </c>
      <c r="P58" s="74">
        <f t="shared" ca="1" si="1"/>
        <v>6</v>
      </c>
      <c r="Q58" s="210">
        <f ca="1">IF(controls!$B$44=0,R58+'main page'!$K$29*L58+(1-'main page'!$K$29)*controls!$B$9+(('main page'!$K$25*'main page'!$U$13*'main page'!$K$29)/('main page'!$K$27*(1+('main page'!$K$25^2)*'main page'!$U$13)))*(L58-controls!$B$9),R58+'main page'!$K$29*L58+(1-'main page'!$K$29)*controls!$B$9+(('main page'!$K$25*'main page'!$U$13*'normal case'!$AO$3)/'normal case'!$AO$4)*('normal case'!L58-controls!$B$9))</f>
        <v>6</v>
      </c>
      <c r="R58" s="98">
        <f ca="1">IF(controls!$B$44=1,'main page'!$K$24+'main page'!$K$11,IF(controls!$B$33=1,((I59-D58*W59-B59+B58*V59)/'main page'!$K$27)-'main page'!$K$11,((H59-D58*W59-B59+B58*V59)/'main page'!$K$27)-'main page'!$K$11))</f>
        <v>4</v>
      </c>
      <c r="T58" s="71">
        <f>IF(controls!$B$6=1,$AL$3*(1+('main page'!$K$35/100))^U58-$AL$3*(1+('main page'!$K$35/100))^U57,$AL$3*(1+('main page'!$G$8/100))*(1+('main page'!$K$35/100))^U58-$AL$3*(1+('main page'!$G$8/100))*(1+('main page'!$K$35/100))^U57)</f>
        <v>0</v>
      </c>
      <c r="U58" s="73">
        <v>51</v>
      </c>
      <c r="V58" s="161">
        <v>0</v>
      </c>
      <c r="W58" s="40">
        <v>0</v>
      </c>
      <c r="X58" s="49">
        <f ca="1">IF(controls!$B$33=1,D58-($I$3-'main page'!$K$27*2)*(1+('main page'!$K$35/100))^A57,D58-$AL$4)</f>
        <v>0</v>
      </c>
      <c r="Y58" s="49">
        <f ca="1">ABS(L58-(controls!$B$9/100)*100)</f>
        <v>0</v>
      </c>
      <c r="AA58" s="49" t="e">
        <f ca="1">IF(controls!$B$33=1,(B59-B58*V59-I59+D58*W59+'main page'!$K$27*('main page'!$K$24+'main page'!$K$11))/'main page'!$K$31,(B59-B58*V59+D58*W59-H59+'main page'!$K$27*('main page'!$K$24+'main page'!$K$11))/'main page'!$K$31)</f>
        <v>#DIV/0!</v>
      </c>
      <c r="AB58" s="49" t="e">
        <f ca="1">IF(controls!$B$45=1,LOG(AF58,1.01)+LOG(AE58,1.01)-LOG(AD58,1.01),-((M58-('main page'!$K$24+'main page'!$K$11))/(1-'normal case'!$AO$3))+'normal case'!AA58)</f>
        <v>#DIV/0!</v>
      </c>
      <c r="AC58" s="176" t="e">
        <f t="shared" ca="1" si="2"/>
        <v>#DIV/0!</v>
      </c>
      <c r="AD58" s="49">
        <f t="shared" ca="1" si="3"/>
        <v>2.9717306730230932</v>
      </c>
      <c r="AE58" s="49">
        <f>AE57*(1+'main page'!$K$32/100)</f>
        <v>1</v>
      </c>
      <c r="AF58" s="49" t="e">
        <f ca="1">IF(ABS(IF(controls!$B$45=1,$AL$13,AD58*AC58/AE58)-AF57)&lt;0.00001,AF57,IF(controls!$B$45=1,$AL$13,AD58*AC58/AE58))</f>
        <v>#DIV/0!</v>
      </c>
      <c r="AG58" s="49">
        <f>IF(controls!$B$46=0,0,IF(controls!$B$33=2,B59-B58*V59-('normal case'!H59-D58*W59-'main page'!$K$27*'normal case'!M58+'main page'!$K$31*'normal case'!AB58)-(('main page'!$K$25*'main page'!$U$13*'main page'!$K$29)/(1+('main page'!$K$25^2)*'main page'!$U$13))*('normal case'!L58-'main page'!$U$8),B59-B58*V59-('normal case'!I59-D58*W59-'main page'!$K$27*'normal case'!M58+'main page'!$K$31*'normal case'!AB58)-(('main page'!$K$25*'main page'!$U$13*'main page'!$K$29)/(1+('main page'!$K$25^2)*'main page'!$U$13))*('normal case'!L58-'main page'!$U$8)))</f>
        <v>0</v>
      </c>
      <c r="AN58" s="40"/>
      <c r="AO58" s="40"/>
    </row>
    <row r="59" spans="1:41">
      <c r="A59" s="48">
        <v>57</v>
      </c>
      <c r="B59" s="75">
        <f ca="1">IF(controls!$B$33=1,B58*(1+V59)+T59,B58*(1+V59))</f>
        <v>100</v>
      </c>
      <c r="C59" s="80">
        <f t="shared" ca="1" si="4"/>
        <v>0</v>
      </c>
      <c r="D59" s="77">
        <f t="shared" ca="1" si="0"/>
        <v>100</v>
      </c>
      <c r="E59" s="77">
        <f ca="1">AG58+IF(controls!$B$33=1,G59,F59)</f>
        <v>100</v>
      </c>
      <c r="F59" s="94">
        <f ca="1">IF(controls!$B$44=0,H59-'main page'!$K$27*M58,H59-'main page'!$K$27*M58+'main page'!$K$31*AB58)</f>
        <v>100</v>
      </c>
      <c r="G59" s="75">
        <f ca="1">IF(controls!$B$44=0,I59-'main page'!$K$27*M58,I59-'main page'!$K$27*M58+'main page'!$K$31*'normal case'!AB58)</f>
        <v>100</v>
      </c>
      <c r="H59" s="75">
        <f t="shared" ca="1" si="5"/>
        <v>108</v>
      </c>
      <c r="I59" s="75">
        <f t="shared" ca="1" si="6"/>
        <v>108</v>
      </c>
      <c r="L59" s="75">
        <f ca="1">IF(ABS('main page'!$K$29*L58+(1-'main page'!$K$29)*(controls!$B$9/100)*100+'main page'!$K$25*(D59-B59)-L58)&lt;0.0000001,L58,'main page'!$K$29*L58+(1-'main page'!$K$29)*(controls!$B$9/100)*100+'main page'!$K$25*(D59-B59))</f>
        <v>2</v>
      </c>
      <c r="M59" s="96">
        <f ca="1">IF(controls!$B$10=1,M58,IF(SUM(controls!$B$44:$B$46)=2,N59-'main page'!$K$29*'normal case'!L59-(1-'main page'!$K$29)*'main page'!$K$32,N59-'main page'!$K$29*'normal case'!L59-(1-'main page'!$K$29)*controls!$B$9))</f>
        <v>4</v>
      </c>
      <c r="N59" s="208">
        <f ca="1">IF(controls!$B$45=1,IF(controls!$B$46=1,'main page'!$K$24+'main page'!$K$11+'main page'!$U$8,'main page'!$K$24+'main page'!$K$11+'main page'!$K$32),IF(controls!$B$44=1,IF(O59&lt;0,0,O59),IF(O59+'main page'!$K$11&lt;0,0,O59+'main page'!$K$11)))</f>
        <v>6</v>
      </c>
      <c r="O59" s="76">
        <f ca="1">IF(controls!$B$10=1,'normal case'!M59+'normal case'!L59,'normal case'!P59)</f>
        <v>6</v>
      </c>
      <c r="P59" s="74">
        <f t="shared" ca="1" si="1"/>
        <v>6</v>
      </c>
      <c r="Q59" s="210">
        <f ca="1">IF(controls!$B$44=0,R59+'main page'!$K$29*L59+(1-'main page'!$K$29)*controls!$B$9+(('main page'!$K$25*'main page'!$U$13*'main page'!$K$29)/('main page'!$K$27*(1+('main page'!$K$25^2)*'main page'!$U$13)))*(L59-controls!$B$9),R59+'main page'!$K$29*L59+(1-'main page'!$K$29)*controls!$B$9+(('main page'!$K$25*'main page'!$U$13*'normal case'!$AO$3)/'normal case'!$AO$4)*('normal case'!L59-controls!$B$9))</f>
        <v>6</v>
      </c>
      <c r="R59" s="98">
        <f ca="1">IF(controls!$B$44=1,'main page'!$K$24+'main page'!$K$11,IF(controls!$B$33=1,((I60-D59*W60-B60+B59*V60)/'main page'!$K$27)-'main page'!$K$11,((H60-D59*W60-B60+B59*V60)/'main page'!$K$27)-'main page'!$K$11))</f>
        <v>4</v>
      </c>
      <c r="T59" s="71">
        <f>IF(controls!$B$6=1,$AL$3*(1+('main page'!$K$35/100))^U59-$AL$3*(1+('main page'!$K$35/100))^U58,$AL$3*(1+('main page'!$G$8/100))*(1+('main page'!$K$35/100))^U59-$AL$3*(1+('main page'!$G$8/100))*(1+('main page'!$K$35/100))^U58)</f>
        <v>0</v>
      </c>
      <c r="U59" s="73">
        <v>52</v>
      </c>
      <c r="V59" s="161">
        <f ca="1">IF(controls!$B$4=1,IF(controls!$H58=1,controls!$B$34*V58+RAND()*('main page'!$K$16/100)-RAND()*('main page'!$K$16/100),0),0)</f>
        <v>0</v>
      </c>
      <c r="W59" s="40">
        <f ca="1">IF(controls!$B$4=1,IF(controls!$I58=1,controls!$B$34*W58+RAND()*('main page'!$K$16/100)-RAND()*('main page'!$K$16/100),0),0)</f>
        <v>0</v>
      </c>
      <c r="X59" s="49">
        <f ca="1">IF(controls!$B$33=1,D59-($I$3-'main page'!$K$27*2)*(1+('main page'!$K$35/100))^A58,D59-$AL$4)</f>
        <v>0</v>
      </c>
      <c r="Y59" s="49">
        <f ca="1">ABS(L59-(controls!$B$9/100)*100)</f>
        <v>0</v>
      </c>
      <c r="AA59" s="49" t="e">
        <f ca="1">IF(controls!$B$33=1,(B60-B59*V60-I60+D59*W60+'main page'!$K$27*('main page'!$K$24+'main page'!$K$11))/'main page'!$K$31,(B60-B59*V60+D59*W60-H60+'main page'!$K$27*('main page'!$K$24+'main page'!$K$11))/'main page'!$K$31)</f>
        <v>#DIV/0!</v>
      </c>
      <c r="AB59" s="49" t="e">
        <f ca="1">IF(controls!$B$45=1,LOG(AF59,1.01)+LOG(AE59,1.01)-LOG(AD59,1.01),-((M59-('main page'!$K$24+'main page'!$K$11))/(1-'normal case'!$AO$3))+'normal case'!AA59)</f>
        <v>#DIV/0!</v>
      </c>
      <c r="AC59" s="176" t="e">
        <f t="shared" ca="1" si="2"/>
        <v>#DIV/0!</v>
      </c>
      <c r="AD59" s="49">
        <f t="shared" ca="1" si="3"/>
        <v>3.0311652864835552</v>
      </c>
      <c r="AE59" s="49">
        <f>AE58*(1+'main page'!$K$32/100)</f>
        <v>1</v>
      </c>
      <c r="AF59" s="49" t="e">
        <f ca="1">IF(ABS(IF(controls!$B$45=1,$AL$13,AD59*AC59/AE59)-AF58)&lt;0.00001,AF58,IF(controls!$B$45=1,$AL$13,AD59*AC59/AE59))</f>
        <v>#DIV/0!</v>
      </c>
      <c r="AG59" s="49">
        <f>IF(controls!$B$46=0,0,IF(controls!$B$33=2,B60-B59*V60-('normal case'!H60-D59*W60-'main page'!$K$27*'normal case'!M59+'main page'!$K$31*'normal case'!AB59)-(('main page'!$K$25*'main page'!$U$13*'main page'!$K$29)/(1+('main page'!$K$25^2)*'main page'!$U$13))*('normal case'!L59-'main page'!$U$8),B60-B59*V60-('normal case'!I60-D59*W60-'main page'!$K$27*'normal case'!M59+'main page'!$K$31*'normal case'!AB59)-(('main page'!$K$25*'main page'!$U$13*'main page'!$K$29)/(1+('main page'!$K$25^2)*'main page'!$U$13))*('normal case'!L59-'main page'!$U$8)))</f>
        <v>0</v>
      </c>
      <c r="AN59" s="40"/>
      <c r="AO59" s="40"/>
    </row>
    <row r="60" spans="1:41">
      <c r="A60" s="48">
        <v>58</v>
      </c>
      <c r="B60" s="75">
        <f ca="1">IF(controls!$B$33=1,B59*(1+V60)+T60,B59*(1+V60))</f>
        <v>100</v>
      </c>
      <c r="C60" s="80">
        <f t="shared" ca="1" si="4"/>
        <v>0</v>
      </c>
      <c r="D60" s="77">
        <f t="shared" ca="1" si="0"/>
        <v>100</v>
      </c>
      <c r="E60" s="77">
        <f ca="1">AG59+IF(controls!$B$33=1,G60,F60)</f>
        <v>100</v>
      </c>
      <c r="F60" s="94">
        <f ca="1">IF(controls!$B$44=0,H60-'main page'!$K$27*M59,H60-'main page'!$K$27*M59+'main page'!$K$31*AB59)</f>
        <v>100</v>
      </c>
      <c r="G60" s="75">
        <f ca="1">IF(controls!$B$44=0,I60-'main page'!$K$27*M59,I60-'main page'!$K$27*M59+'main page'!$K$31*'normal case'!AB59)</f>
        <v>100</v>
      </c>
      <c r="H60" s="75">
        <f t="shared" ca="1" si="5"/>
        <v>108</v>
      </c>
      <c r="I60" s="75">
        <f t="shared" ca="1" si="6"/>
        <v>108</v>
      </c>
      <c r="L60" s="75">
        <f ca="1">IF(ABS('main page'!$K$29*L59+(1-'main page'!$K$29)*(controls!$B$9/100)*100+'main page'!$K$25*(D60-B60)-L59)&lt;0.0000001,L59,'main page'!$K$29*L59+(1-'main page'!$K$29)*(controls!$B$9/100)*100+'main page'!$K$25*(D60-B60))</f>
        <v>2</v>
      </c>
      <c r="M60" s="96">
        <f ca="1">IF(controls!$B$10=1,M59,IF(SUM(controls!$B$44:$B$46)=2,N60-'main page'!$K$29*'normal case'!L60-(1-'main page'!$K$29)*'main page'!$K$32,N60-'main page'!$K$29*'normal case'!L60-(1-'main page'!$K$29)*controls!$B$9))</f>
        <v>4</v>
      </c>
      <c r="N60" s="208">
        <f ca="1">IF(controls!$B$45=1,IF(controls!$B$46=1,'main page'!$K$24+'main page'!$K$11+'main page'!$U$8,'main page'!$K$24+'main page'!$K$11+'main page'!$K$32),IF(controls!$B$44=1,IF(O60&lt;0,0,O60),IF(O60+'main page'!$K$11&lt;0,0,O60+'main page'!$K$11)))</f>
        <v>6</v>
      </c>
      <c r="O60" s="76">
        <f ca="1">IF(controls!$B$10=1,'normal case'!M60+'normal case'!L60,'normal case'!P60)</f>
        <v>6</v>
      </c>
      <c r="P60" s="74">
        <f t="shared" ca="1" si="1"/>
        <v>6</v>
      </c>
      <c r="Q60" s="210">
        <f ca="1">IF(controls!$B$44=0,R60+'main page'!$K$29*L60+(1-'main page'!$K$29)*controls!$B$9+(('main page'!$K$25*'main page'!$U$13*'main page'!$K$29)/('main page'!$K$27*(1+('main page'!$K$25^2)*'main page'!$U$13)))*(L60-controls!$B$9),R60+'main page'!$K$29*L60+(1-'main page'!$K$29)*controls!$B$9+(('main page'!$K$25*'main page'!$U$13*'normal case'!$AO$3)/'normal case'!$AO$4)*('normal case'!L60-controls!$B$9))</f>
        <v>6</v>
      </c>
      <c r="R60" s="98">
        <f ca="1">IF(controls!$B$44=1,'main page'!$K$24+'main page'!$K$11,IF(controls!$B$33=1,((I61-D60*W61-B61+B60*V61)/'main page'!$K$27)-'main page'!$K$11,((H61-D60*W61-B61+B60*V61)/'main page'!$K$27)-'main page'!$K$11))</f>
        <v>4</v>
      </c>
      <c r="T60" s="71">
        <f>IF(controls!$B$6=1,$AL$3*(1+('main page'!$K$35/100))^U60-$AL$3*(1+('main page'!$K$35/100))^U59,$AL$3*(1+('main page'!$G$8/100))*(1+('main page'!$K$35/100))^U60-$AL$3*(1+('main page'!$G$8/100))*(1+('main page'!$K$35/100))^U59)</f>
        <v>0</v>
      </c>
      <c r="U60" s="73">
        <v>53</v>
      </c>
      <c r="V60" s="161">
        <v>0</v>
      </c>
      <c r="W60" s="40">
        <v>0</v>
      </c>
      <c r="X60" s="49">
        <f ca="1">IF(controls!$B$33=1,D60-($I$3-'main page'!$K$27*2)*(1+('main page'!$K$35/100))^A59,D60-$AL$4)</f>
        <v>0</v>
      </c>
      <c r="Y60" s="49">
        <f ca="1">ABS(L60-(controls!$B$9/100)*100)</f>
        <v>0</v>
      </c>
      <c r="AA60" s="49" t="e">
        <f ca="1">IF(controls!$B$33=1,(B61-B60*V61-I61+D60*W61+'main page'!$K$27*('main page'!$K$24+'main page'!$K$11))/'main page'!$K$31,(B61-B60*V61+D60*W61-H61+'main page'!$K$27*('main page'!$K$24+'main page'!$K$11))/'main page'!$K$31)</f>
        <v>#DIV/0!</v>
      </c>
      <c r="AB60" s="49" t="e">
        <f ca="1">IF(controls!$B$45=1,LOG(AF60,1.01)+LOG(AE60,1.01)-LOG(AD60,1.01),-((M60-('main page'!$K$24+'main page'!$K$11))/(1-'normal case'!$AO$3))+'normal case'!AA60)</f>
        <v>#DIV/0!</v>
      </c>
      <c r="AC60" s="176" t="e">
        <f t="shared" ca="1" si="2"/>
        <v>#DIV/0!</v>
      </c>
      <c r="AD60" s="49">
        <f t="shared" ca="1" si="3"/>
        <v>3.0917885922132262</v>
      </c>
      <c r="AE60" s="49">
        <f>AE59*(1+'main page'!$K$32/100)</f>
        <v>1</v>
      </c>
      <c r="AF60" s="49" t="e">
        <f ca="1">IF(ABS(IF(controls!$B$45=1,$AL$13,AD60*AC60/AE60)-AF59)&lt;0.00001,AF59,IF(controls!$B$45=1,$AL$13,AD60*AC60/AE60))</f>
        <v>#DIV/0!</v>
      </c>
      <c r="AG60" s="49">
        <f>IF(controls!$B$46=0,0,IF(controls!$B$33=2,B61-B60*V61-('normal case'!H61-D60*W61-'main page'!$K$27*'normal case'!M60+'main page'!$K$31*'normal case'!AB60)-(('main page'!$K$25*'main page'!$U$13*'main page'!$K$29)/(1+('main page'!$K$25^2)*'main page'!$U$13))*('normal case'!L60-'main page'!$U$8),B61-B60*V61-('normal case'!I61-D60*W61-'main page'!$K$27*'normal case'!M60+'main page'!$K$31*'normal case'!AB60)-(('main page'!$K$25*'main page'!$U$13*'main page'!$K$29)/(1+('main page'!$K$25^2)*'main page'!$U$13))*('normal case'!L60-'main page'!$U$8)))</f>
        <v>0</v>
      </c>
      <c r="AN60" s="40"/>
      <c r="AO60" s="40"/>
    </row>
    <row r="61" spans="1:41">
      <c r="A61" s="48">
        <v>59</v>
      </c>
      <c r="B61" s="75">
        <f ca="1">IF(controls!$B$33=1,B60*(1+V61)+T61,B60*(1+V61))</f>
        <v>100</v>
      </c>
      <c r="C61" s="80">
        <f t="shared" ca="1" si="4"/>
        <v>0</v>
      </c>
      <c r="D61" s="77">
        <f t="shared" ca="1" si="0"/>
        <v>100</v>
      </c>
      <c r="E61" s="77">
        <f ca="1">AG60+IF(controls!$B$33=1,G61,F61)</f>
        <v>100</v>
      </c>
      <c r="F61" s="94">
        <f ca="1">IF(controls!$B$44=0,H61-'main page'!$K$27*M60,H61-'main page'!$K$27*M60+'main page'!$K$31*AB60)</f>
        <v>100</v>
      </c>
      <c r="G61" s="75">
        <f ca="1">IF(controls!$B$44=0,I61-'main page'!$K$27*M60,I61-'main page'!$K$27*M60+'main page'!$K$31*'normal case'!AB60)</f>
        <v>100</v>
      </c>
      <c r="H61" s="75">
        <f t="shared" ca="1" si="5"/>
        <v>108</v>
      </c>
      <c r="I61" s="75">
        <f t="shared" ca="1" si="6"/>
        <v>108</v>
      </c>
      <c r="L61" s="75">
        <f ca="1">IF(ABS('main page'!$K$29*L60+(1-'main page'!$K$29)*(controls!$B$9/100)*100+'main page'!$K$25*(D61-B61)-L60)&lt;0.0000001,L60,'main page'!$K$29*L60+(1-'main page'!$K$29)*(controls!$B$9/100)*100+'main page'!$K$25*(D61-B61))</f>
        <v>2</v>
      </c>
      <c r="M61" s="96">
        <f ca="1">IF(controls!$B$10=1,M60,IF(SUM(controls!$B$44:$B$46)=2,N61-'main page'!$K$29*'normal case'!L61-(1-'main page'!$K$29)*'main page'!$K$32,N61-'main page'!$K$29*'normal case'!L61-(1-'main page'!$K$29)*controls!$B$9))</f>
        <v>4</v>
      </c>
      <c r="N61" s="208">
        <f ca="1">IF(controls!$B$45=1,IF(controls!$B$46=1,'main page'!$K$24+'main page'!$K$11+'main page'!$U$8,'main page'!$K$24+'main page'!$K$11+'main page'!$K$32),IF(controls!$B$44=1,IF(O61&lt;0,0,O61),IF(O61+'main page'!$K$11&lt;0,0,O61+'main page'!$K$11)))</f>
        <v>6</v>
      </c>
      <c r="O61" s="76">
        <f ca="1">IF(controls!$B$10=1,'normal case'!M61+'normal case'!L61,'normal case'!P61)</f>
        <v>6</v>
      </c>
      <c r="P61" s="74">
        <f t="shared" ca="1" si="1"/>
        <v>6</v>
      </c>
      <c r="Q61" s="210">
        <f ca="1">IF(controls!$B$44=0,R61+'main page'!$K$29*L61+(1-'main page'!$K$29)*controls!$B$9+(('main page'!$K$25*'main page'!$U$13*'main page'!$K$29)/('main page'!$K$27*(1+('main page'!$K$25^2)*'main page'!$U$13)))*(L61-controls!$B$9),R61+'main page'!$K$29*L61+(1-'main page'!$K$29)*controls!$B$9+(('main page'!$K$25*'main page'!$U$13*'normal case'!$AO$3)/'normal case'!$AO$4)*('normal case'!L61-controls!$B$9))</f>
        <v>6</v>
      </c>
      <c r="R61" s="98">
        <f ca="1">IF(controls!$B$44=1,'main page'!$K$24+'main page'!$K$11,IF(controls!$B$33=1,((I62-D61*W62-B62+B61*V62)/'main page'!$K$27)-'main page'!$K$11,((H62-D61*W62-B62+B61*V62)/'main page'!$K$27)-'main page'!$K$11))</f>
        <v>4</v>
      </c>
      <c r="S61" s="1"/>
      <c r="T61" s="71">
        <f>IF(controls!$B$6=1,$AL$3*(1+('main page'!$K$35/100))^U61-$AL$3*(1+('main page'!$K$35/100))^U60,$AL$3*(1+('main page'!$G$8/100))*(1+('main page'!$K$35/100))^U61-$AL$3*(1+('main page'!$G$8/100))*(1+('main page'!$K$35/100))^U60)</f>
        <v>0</v>
      </c>
      <c r="U61" s="73">
        <v>54</v>
      </c>
      <c r="V61" s="161">
        <v>0</v>
      </c>
      <c r="W61" s="40">
        <v>0</v>
      </c>
      <c r="X61" s="49">
        <f ca="1">IF(controls!$B$33=1,D61-($I$3-'main page'!$K$27*2)*(1+('main page'!$K$35/100))^A60,D61-$AL$4)</f>
        <v>0</v>
      </c>
      <c r="Y61" s="49">
        <f ca="1">ABS(L61-(controls!$B$9/100)*100)</f>
        <v>0</v>
      </c>
      <c r="AA61" s="49" t="e">
        <f ca="1">IF(controls!$B$33=1,(B62-B61*V62-I62+D61*W62+'main page'!$K$27*('main page'!$K$24+'main page'!$K$11))/'main page'!$K$31,(B62-B61*V62+D61*W62-H62+'main page'!$K$27*('main page'!$K$24+'main page'!$K$11))/'main page'!$K$31)</f>
        <v>#DIV/0!</v>
      </c>
      <c r="AB61" s="49" t="e">
        <f ca="1">IF(controls!$B$45=1,LOG(AF61,1.01)+LOG(AE61,1.01)-LOG(AD61,1.01),-((M61-('main page'!$K$24+'main page'!$K$11))/(1-'normal case'!$AO$3))+'normal case'!AA61)</f>
        <v>#DIV/0!</v>
      </c>
      <c r="AC61" s="176" t="e">
        <f t="shared" ca="1" si="2"/>
        <v>#DIV/0!</v>
      </c>
      <c r="AD61" s="49">
        <f t="shared" ca="1" si="3"/>
        <v>3.1536243640574906</v>
      </c>
      <c r="AE61" s="49">
        <f>AE60*(1+'main page'!$K$32/100)</f>
        <v>1</v>
      </c>
      <c r="AF61" s="49" t="e">
        <f ca="1">IF(ABS(IF(controls!$B$45=1,$AL$13,AD61*AC61/AE61)-AF60)&lt;0.00001,AF60,IF(controls!$B$45=1,$AL$13,AD61*AC61/AE61))</f>
        <v>#DIV/0!</v>
      </c>
      <c r="AG61" s="49">
        <f>IF(controls!$B$46=0,0,IF(controls!$B$33=2,B62-B61*V62-('normal case'!H62-D61*W62-'main page'!$K$27*'normal case'!M61+'main page'!$K$31*'normal case'!AB61)-(('main page'!$K$25*'main page'!$U$13*'main page'!$K$29)/(1+('main page'!$K$25^2)*'main page'!$U$13))*('normal case'!L61-'main page'!$U$8),B62-B61*V62-('normal case'!I62-D61*W62-'main page'!$K$27*'normal case'!M61+'main page'!$K$31*'normal case'!AB61)-(('main page'!$K$25*'main page'!$U$13*'main page'!$K$29)/(1+('main page'!$K$25^2)*'main page'!$U$13))*('normal case'!L61-'main page'!$U$8)))</f>
        <v>0</v>
      </c>
      <c r="AN61" s="40"/>
      <c r="AO61" s="40"/>
    </row>
    <row r="62" spans="1:41">
      <c r="A62" s="48">
        <v>60</v>
      </c>
      <c r="B62" s="75">
        <f ca="1">IF(controls!$B$33=1,B61*(1+V62)+T62,B61*(1+V62))</f>
        <v>100</v>
      </c>
      <c r="C62" s="80">
        <f t="shared" ca="1" si="4"/>
        <v>0</v>
      </c>
      <c r="D62" s="77">
        <f t="shared" ca="1" si="0"/>
        <v>100</v>
      </c>
      <c r="E62" s="77">
        <f ca="1">AG61+IF(controls!$B$33=1,G62,F62)</f>
        <v>100</v>
      </c>
      <c r="F62" s="94">
        <f ca="1">IF(controls!$B$44=0,H62-'main page'!$K$27*M61,H62-'main page'!$K$27*M61+'main page'!$K$31*AB61)</f>
        <v>100</v>
      </c>
      <c r="G62" s="75">
        <f ca="1">IF(controls!$B$44=0,I62-'main page'!$K$27*M61,I62-'main page'!$K$27*M61+'main page'!$K$31*'normal case'!AB61)</f>
        <v>100</v>
      </c>
      <c r="H62" s="75">
        <f t="shared" ca="1" si="5"/>
        <v>108</v>
      </c>
      <c r="I62" s="75">
        <f t="shared" ca="1" si="6"/>
        <v>108</v>
      </c>
      <c r="L62" s="75">
        <f ca="1">IF(ABS('main page'!$K$29*L61+(1-'main page'!$K$29)*(controls!$B$9/100)*100+'main page'!$K$25*(D62-B62)-L61)&lt;0.0000001,L61,'main page'!$K$29*L61+(1-'main page'!$K$29)*(controls!$B$9/100)*100+'main page'!$K$25*(D62-B62))</f>
        <v>2</v>
      </c>
      <c r="M62" s="96">
        <f ca="1">IF(controls!$B$10=1,M61,IF(SUM(controls!$B$44:$B$46)=2,N62-'main page'!$K$29*'normal case'!L62-(1-'main page'!$K$29)*'main page'!$K$32,N62-'main page'!$K$29*'normal case'!L62-(1-'main page'!$K$29)*controls!$B$9))</f>
        <v>4</v>
      </c>
      <c r="N62" s="208">
        <f ca="1">IF(controls!$B$45=1,IF(controls!$B$46=1,'main page'!$K$24+'main page'!$K$11+'main page'!$U$8,'main page'!$K$24+'main page'!$K$11+'main page'!$K$32),IF(controls!$B$44=1,IF(O62&lt;0,0,O62),IF(O62+'main page'!$K$11&lt;0,0,O62+'main page'!$K$11)))</f>
        <v>6</v>
      </c>
      <c r="O62" s="76">
        <f ca="1">IF(controls!$B$10=1,'normal case'!M62+'normal case'!L62,'normal case'!P62)</f>
        <v>6</v>
      </c>
      <c r="P62" s="74">
        <f t="shared" ca="1" si="1"/>
        <v>6</v>
      </c>
      <c r="Q62" s="210">
        <f ca="1">IF(controls!$B$44=0,R62+'main page'!$K$29*L62+(1-'main page'!$K$29)*controls!$B$9+(('main page'!$K$25*'main page'!$U$13*'main page'!$K$29)/('main page'!$K$27*(1+('main page'!$K$25^2)*'main page'!$U$13)))*(L62-controls!$B$9),R62+'main page'!$K$29*L62+(1-'main page'!$K$29)*controls!$B$9+(('main page'!$K$25*'main page'!$U$13*'normal case'!$AO$3)/'normal case'!$AO$4)*('normal case'!L62-controls!$B$9))</f>
        <v>6</v>
      </c>
      <c r="R62" s="98">
        <f ca="1">IF(controls!$B$44=1,'main page'!$K$24+'main page'!$K$11,IF(controls!$B$33=1,((I63-D62*W63-B63+B62*V63)/'main page'!$K$27)-'main page'!$K$11,((H63-D62*W63-B63+B62*V63)/'main page'!$K$27)-'main page'!$K$11))</f>
        <v>4</v>
      </c>
      <c r="S62" s="1"/>
      <c r="T62" s="71">
        <f>IF(controls!$B$6=1,$AL$3*(1+('main page'!$K$35/100))^U62-$AL$3*(1+('main page'!$K$35/100))^U61,$AL$3*(1+('main page'!$G$8/100))*(1+('main page'!$K$35/100))^U62-$AL$3*(1+('main page'!$G$8/100))*(1+('main page'!$K$35/100))^U61)</f>
        <v>0</v>
      </c>
      <c r="U62" s="73">
        <v>55</v>
      </c>
      <c r="V62" s="161">
        <f ca="1">IF(controls!$B$4=1,IF(controls!$H61=1,controls!$B$34*V61+RAND()*('main page'!$K$16/100)-RAND()*('main page'!$K$16/100),0),0)</f>
        <v>0</v>
      </c>
      <c r="W62" s="40">
        <f ca="1">IF(controls!$B$4=1,IF(controls!$I61=1,controls!$B$34*W61+RAND()*('main page'!$K$16/100)-RAND()*('main page'!$K$16/100),0),0)</f>
        <v>0</v>
      </c>
      <c r="X62" s="49">
        <f ca="1">IF(controls!$B$33=1,D62-($I$3-'main page'!$K$27*2)*(1+('main page'!$K$35/100))^A61,D62-$AL$4)</f>
        <v>0</v>
      </c>
      <c r="Y62" s="49">
        <f ca="1">ABS(L62-(controls!$B$9/100)*100)</f>
        <v>0</v>
      </c>
      <c r="AA62" s="49" t="e">
        <f ca="1">IF(controls!$B$33=1,(B63-B62*V63-I63+D62*W63+'main page'!$K$27*('main page'!$K$24+'main page'!$K$11))/'main page'!$K$31,(B63-B62*V63+D62*W63-H63+'main page'!$K$27*('main page'!$K$24+'main page'!$K$11))/'main page'!$K$31)</f>
        <v>#DIV/0!</v>
      </c>
      <c r="AB62" s="49" t="e">
        <f ca="1">IF(controls!$B$45=1,LOG(AF62,1.01)+LOG(AE62,1.01)-LOG(AD62,1.01),-((M62-('main page'!$K$24+'main page'!$K$11))/(1-'normal case'!$AO$3))+'normal case'!AA62)</f>
        <v>#DIV/0!</v>
      </c>
      <c r="AC62" s="176" t="e">
        <f t="shared" ca="1" si="2"/>
        <v>#DIV/0!</v>
      </c>
      <c r="AD62" s="49">
        <f t="shared" ca="1" si="3"/>
        <v>3.2166968513386403</v>
      </c>
      <c r="AE62" s="49">
        <f>AE61*(1+'main page'!$K$32/100)</f>
        <v>1</v>
      </c>
      <c r="AF62" s="49" t="e">
        <f ca="1">IF(ABS(IF(controls!$B$45=1,$AL$13,AD62*AC62/AE62)-AF61)&lt;0.00001,AF61,IF(controls!$B$45=1,$AL$13,AD62*AC62/AE62))</f>
        <v>#DIV/0!</v>
      </c>
      <c r="AG62" s="49">
        <f>IF(controls!$B$46=0,0,IF(controls!$B$33=2,B63-B62*V63-('normal case'!H63-D62*W63-'main page'!$K$27*'normal case'!M62+'main page'!$K$31*'normal case'!AB62)-(('main page'!$K$25*'main page'!$U$13*'main page'!$K$29)/(1+('main page'!$K$25^2)*'main page'!$U$13))*('normal case'!L62-'main page'!$U$8),B63-B62*V63-('normal case'!I63-D62*W63-'main page'!$K$27*'normal case'!M62+'main page'!$K$31*'normal case'!AB62)-(('main page'!$K$25*'main page'!$U$13*'main page'!$K$29)/(1+('main page'!$K$25^2)*'main page'!$U$13))*('normal case'!L62-'main page'!$U$8)))</f>
        <v>0</v>
      </c>
      <c r="AN62" s="40"/>
      <c r="AO62" s="40"/>
    </row>
    <row r="63" spans="1:41">
      <c r="A63" s="48">
        <v>61</v>
      </c>
      <c r="B63" s="75">
        <f ca="1">IF(controls!$B$33=1,B62*(1+V63)+T63,B62*(1+V63))</f>
        <v>100</v>
      </c>
      <c r="C63" s="80">
        <f t="shared" ca="1" si="4"/>
        <v>0</v>
      </c>
      <c r="D63" s="77">
        <f t="shared" ca="1" si="0"/>
        <v>100</v>
      </c>
      <c r="E63" s="77">
        <f ca="1">AG62+IF(controls!$B$33=1,G63,F63)</f>
        <v>100</v>
      </c>
      <c r="F63" s="94">
        <f ca="1">IF(controls!$B$44=0,H63-'main page'!$K$27*M62,H63-'main page'!$K$27*M62+'main page'!$K$31*AB62)</f>
        <v>100</v>
      </c>
      <c r="G63" s="75">
        <f ca="1">IF(controls!$B$44=0,I63-'main page'!$K$27*M62,I63-'main page'!$K$27*M62+'main page'!$K$31*'normal case'!AB62)</f>
        <v>100</v>
      </c>
      <c r="H63" s="75">
        <f t="shared" ca="1" si="5"/>
        <v>108</v>
      </c>
      <c r="I63" s="75">
        <f t="shared" ca="1" si="6"/>
        <v>108</v>
      </c>
      <c r="L63" s="75">
        <f ca="1">IF(ABS('main page'!$K$29*L62+(1-'main page'!$K$29)*(controls!$B$9/100)*100+'main page'!$K$25*(D63-B63)-L62)&lt;0.0000001,L62,'main page'!$K$29*L62+(1-'main page'!$K$29)*(controls!$B$9/100)*100+'main page'!$K$25*(D63-B63))</f>
        <v>2</v>
      </c>
      <c r="M63" s="96">
        <f ca="1">IF(controls!$B$10=1,M62,IF(SUM(controls!$B$44:$B$46)=2,N63-'main page'!$K$29*'normal case'!L63-(1-'main page'!$K$29)*'main page'!$K$32,N63-'main page'!$K$29*'normal case'!L63-(1-'main page'!$K$29)*controls!$B$9))</f>
        <v>4</v>
      </c>
      <c r="N63" s="208">
        <f ca="1">IF(controls!$B$45=1,IF(controls!$B$46=1,'main page'!$K$24+'main page'!$K$11+'main page'!$U$8,'main page'!$K$24+'main page'!$K$11+'main page'!$K$32),IF(controls!$B$44=1,IF(O63&lt;0,0,O63),IF(O63+'main page'!$K$11&lt;0,0,O63+'main page'!$K$11)))</f>
        <v>6</v>
      </c>
      <c r="O63" s="76">
        <f ca="1">IF(controls!$B$10=1,'normal case'!M63+'normal case'!L63,'normal case'!P63)</f>
        <v>6</v>
      </c>
      <c r="P63" s="74">
        <f t="shared" ca="1" si="1"/>
        <v>6</v>
      </c>
      <c r="Q63" s="210">
        <f ca="1">IF(controls!$B$44=0,R63+'main page'!$K$29*L63+(1-'main page'!$K$29)*controls!$B$9+(('main page'!$K$25*'main page'!$U$13*'main page'!$K$29)/('main page'!$K$27*(1+('main page'!$K$25^2)*'main page'!$U$13)))*(L63-controls!$B$9),R63+'main page'!$K$29*L63+(1-'main page'!$K$29)*controls!$B$9+(('main page'!$K$25*'main page'!$U$13*'normal case'!$AO$3)/'normal case'!$AO$4)*('normal case'!L63-controls!$B$9))</f>
        <v>6</v>
      </c>
      <c r="R63" s="98">
        <f ca="1">IF(controls!$B$44=1,'main page'!$K$24+'main page'!$K$11,IF(controls!$B$33=1,((I64-D63*W64-B64+B63*V64)/'main page'!$K$27)-'main page'!$K$11,((H64-D63*W64-B64+B63*V64)/'main page'!$K$27)-'main page'!$K$11))</f>
        <v>4</v>
      </c>
      <c r="T63" s="71">
        <f>IF(controls!$B$6=1,$AL$3*(1+('main page'!$K$35/100))^U63-$AL$3*(1+('main page'!$K$35/100))^U62,$AL$3*(1+('main page'!$G$8/100))*(1+('main page'!$K$35/100))^U63-$AL$3*(1+('main page'!$G$8/100))*(1+('main page'!$K$35/100))^U62)</f>
        <v>0</v>
      </c>
      <c r="U63" s="73">
        <v>56</v>
      </c>
      <c r="V63" s="161">
        <v>0</v>
      </c>
      <c r="W63" s="40">
        <v>0</v>
      </c>
      <c r="X63" s="49">
        <f ca="1">IF(controls!$B$33=1,D63-($I$3-'main page'!$K$27*2)*(1+('main page'!$K$35/100))^A62,D63-$AL$4)</f>
        <v>0</v>
      </c>
      <c r="Y63" s="49">
        <f ca="1">ABS(L63-(controls!$B$9/100)*100)</f>
        <v>0</v>
      </c>
      <c r="AA63" s="49" t="e">
        <f ca="1">IF(controls!$B$33=1,(B64-B63*V64-I64+D63*W64+'main page'!$K$27*('main page'!$K$24+'main page'!$K$11))/'main page'!$K$31,(B64-B63*V64+D63*W64-H64+'main page'!$K$27*('main page'!$K$24+'main page'!$K$11))/'main page'!$K$31)</f>
        <v>#DIV/0!</v>
      </c>
      <c r="AB63" s="49" t="e">
        <f ca="1">IF(controls!$B$45=1,LOG(AF63,1.01)+LOG(AE63,1.01)-LOG(AD63,1.01),-((M63-('main page'!$K$24+'main page'!$K$11))/(1-'normal case'!$AO$3))+'normal case'!AA63)</f>
        <v>#DIV/0!</v>
      </c>
      <c r="AC63" s="176" t="e">
        <f t="shared" ca="1" si="2"/>
        <v>#DIV/0!</v>
      </c>
      <c r="AD63" s="49">
        <f t="shared" ca="1" si="3"/>
        <v>3.2810307883654133</v>
      </c>
      <c r="AE63" s="49">
        <f>AE62*(1+'main page'!$K$32/100)</f>
        <v>1</v>
      </c>
      <c r="AF63" s="49" t="e">
        <f ca="1">IF(ABS(IF(controls!$B$45=1,$AL$13,AD63*AC63/AE63)-AF62)&lt;0.00001,AF62,IF(controls!$B$45=1,$AL$13,AD63*AC63/AE63))</f>
        <v>#DIV/0!</v>
      </c>
      <c r="AG63" s="49">
        <f>IF(controls!$B$46=0,0,IF(controls!$B$33=2,B64-B63*V64-('normal case'!H64-D63*W64-'main page'!$K$27*'normal case'!M63+'main page'!$K$31*'normal case'!AB63)-(('main page'!$K$25*'main page'!$U$13*'main page'!$K$29)/(1+('main page'!$K$25^2)*'main page'!$U$13))*('normal case'!L63-'main page'!$U$8),B64-B63*V64-('normal case'!I64-D63*W64-'main page'!$K$27*'normal case'!M63+'main page'!$K$31*'normal case'!AB63)-(('main page'!$K$25*'main page'!$U$13*'main page'!$K$29)/(1+('main page'!$K$25^2)*'main page'!$U$13))*('normal case'!L63-'main page'!$U$8)))</f>
        <v>0</v>
      </c>
      <c r="AN63" s="40"/>
      <c r="AO63" s="40"/>
    </row>
    <row r="64" spans="1:41">
      <c r="A64" s="48">
        <v>62</v>
      </c>
      <c r="B64" s="75">
        <f ca="1">IF(controls!$B$33=1,B63*(1+V64)+T64,B63*(1+V64))</f>
        <v>100</v>
      </c>
      <c r="C64" s="80">
        <f t="shared" ca="1" si="4"/>
        <v>0</v>
      </c>
      <c r="D64" s="77">
        <f t="shared" ca="1" si="0"/>
        <v>100</v>
      </c>
      <c r="E64" s="77">
        <f ca="1">AG63+IF(controls!$B$33=1,G64,F64)</f>
        <v>100</v>
      </c>
      <c r="F64" s="94">
        <f ca="1">IF(controls!$B$44=0,H64-'main page'!$K$27*M63,H64-'main page'!$K$27*M63+'main page'!$K$31*AB63)</f>
        <v>100</v>
      </c>
      <c r="G64" s="75">
        <f ca="1">IF(controls!$B$44=0,I64-'main page'!$K$27*M63,I64-'main page'!$K$27*M63+'main page'!$K$31*'normal case'!AB63)</f>
        <v>100</v>
      </c>
      <c r="H64" s="75">
        <f t="shared" ca="1" si="5"/>
        <v>108</v>
      </c>
      <c r="I64" s="75">
        <f t="shared" ca="1" si="6"/>
        <v>108</v>
      </c>
      <c r="L64" s="75">
        <f ca="1">IF(ABS('main page'!$K$29*L63+(1-'main page'!$K$29)*(controls!$B$9/100)*100+'main page'!$K$25*(D64-B64)-L63)&lt;0.0000001,L63,'main page'!$K$29*L63+(1-'main page'!$K$29)*(controls!$B$9/100)*100+'main page'!$K$25*(D64-B64))</f>
        <v>2</v>
      </c>
      <c r="M64" s="96">
        <f ca="1">IF(controls!$B$10=1,M63,IF(SUM(controls!$B$44:$B$46)=2,N64-'main page'!$K$29*'normal case'!L64-(1-'main page'!$K$29)*'main page'!$K$32,N64-'main page'!$K$29*'normal case'!L64-(1-'main page'!$K$29)*controls!$B$9))</f>
        <v>4</v>
      </c>
      <c r="N64" s="208">
        <f ca="1">IF(controls!$B$45=1,IF(controls!$B$46=1,'main page'!$K$24+'main page'!$K$11+'main page'!$U$8,'main page'!$K$24+'main page'!$K$11+'main page'!$K$32),IF(controls!$B$44=1,IF(O64&lt;0,0,O64),IF(O64+'main page'!$K$11&lt;0,0,O64+'main page'!$K$11)))</f>
        <v>6</v>
      </c>
      <c r="O64" s="76">
        <f ca="1">IF(controls!$B$10=1,'normal case'!M64+'normal case'!L64,'normal case'!P64)</f>
        <v>6</v>
      </c>
      <c r="P64" s="74">
        <f t="shared" ca="1" si="1"/>
        <v>6</v>
      </c>
      <c r="Q64" s="210">
        <f ca="1">IF(controls!$B$44=0,R64+'main page'!$K$29*L64+(1-'main page'!$K$29)*controls!$B$9+(('main page'!$K$25*'main page'!$U$13*'main page'!$K$29)/('main page'!$K$27*(1+('main page'!$K$25^2)*'main page'!$U$13)))*(L64-controls!$B$9),R64+'main page'!$K$29*L64+(1-'main page'!$K$29)*controls!$B$9+(('main page'!$K$25*'main page'!$U$13*'normal case'!$AO$3)/'normal case'!$AO$4)*('normal case'!L64-controls!$B$9))</f>
        <v>6</v>
      </c>
      <c r="R64" s="98">
        <f ca="1">IF(controls!$B$44=1,'main page'!$K$24+'main page'!$K$11,IF(controls!$B$33=1,((I65-D64*W65-B65+B64*V65)/'main page'!$K$27)-'main page'!$K$11,((H65-D64*W65-B65+B64*V65)/'main page'!$K$27)-'main page'!$K$11))</f>
        <v>4</v>
      </c>
      <c r="T64" s="71">
        <f>IF(controls!$B$6=1,$AL$3*(1+('main page'!$K$35/100))^U64-$AL$3*(1+('main page'!$K$35/100))^U63,$AL$3*(1+('main page'!$G$8/100))*(1+('main page'!$K$35/100))^U64-$AL$3*(1+('main page'!$G$8/100))*(1+('main page'!$K$35/100))^U63)</f>
        <v>0</v>
      </c>
      <c r="U64" s="73">
        <v>57</v>
      </c>
      <c r="V64" s="161">
        <v>0</v>
      </c>
      <c r="W64" s="40">
        <v>0</v>
      </c>
      <c r="X64" s="49">
        <f ca="1">IF(controls!$B$33=1,D64-($I$3-'main page'!$K$27*2)*(1+('main page'!$K$35/100))^A63,D64-$AL$4)</f>
        <v>0</v>
      </c>
      <c r="Y64" s="49">
        <f ca="1">ABS(L64-(controls!$B$9/100)*100)</f>
        <v>0</v>
      </c>
      <c r="AA64" s="49" t="e">
        <f ca="1">IF(controls!$B$33=1,(B65-B64*V65-I65+D64*W65+'main page'!$K$27*('main page'!$K$24+'main page'!$K$11))/'main page'!$K$31,(B65-B64*V65+D64*W65-H65+'main page'!$K$27*('main page'!$K$24+'main page'!$K$11))/'main page'!$K$31)</f>
        <v>#DIV/0!</v>
      </c>
      <c r="AB64" s="49" t="e">
        <f ca="1">IF(controls!$B$45=1,LOG(AF64,1.01)+LOG(AE64,1.01)-LOG(AD64,1.01),-((M64-('main page'!$K$24+'main page'!$K$11))/(1-'normal case'!$AO$3))+'normal case'!AA64)</f>
        <v>#DIV/0!</v>
      </c>
      <c r="AC64" s="176" t="e">
        <f t="shared" ca="1" si="2"/>
        <v>#DIV/0!</v>
      </c>
      <c r="AD64" s="49">
        <f t="shared" ca="1" si="3"/>
        <v>3.3466514041327216</v>
      </c>
      <c r="AE64" s="49">
        <f>AE63*(1+'main page'!$K$32/100)</f>
        <v>1</v>
      </c>
      <c r="AF64" s="49" t="e">
        <f ca="1">IF(ABS(IF(controls!$B$45=1,$AL$13,AD64*AC64/AE64)-AF63)&lt;0.00001,AF63,IF(controls!$B$45=1,$AL$13,AD64*AC64/AE64))</f>
        <v>#DIV/0!</v>
      </c>
      <c r="AG64" s="49">
        <f>IF(controls!$B$46=0,0,IF(controls!$B$33=2,B65-B64*V65-('normal case'!H65-D64*W65-'main page'!$K$27*'normal case'!M64+'main page'!$K$31*'normal case'!AB64)-(('main page'!$K$25*'main page'!$U$13*'main page'!$K$29)/(1+('main page'!$K$25^2)*'main page'!$U$13))*('normal case'!L64-'main page'!$U$8),B65-B64*V65-('normal case'!I65-D64*W65-'main page'!$K$27*'normal case'!M64+'main page'!$K$31*'normal case'!AB64)-(('main page'!$K$25*'main page'!$U$13*'main page'!$K$29)/(1+('main page'!$K$25^2)*'main page'!$U$13))*('normal case'!L64-'main page'!$U$8)))</f>
        <v>0</v>
      </c>
      <c r="AN64" s="40"/>
      <c r="AO64" s="40"/>
    </row>
    <row r="65" spans="1:41">
      <c r="A65" s="48">
        <v>63</v>
      </c>
      <c r="B65" s="75">
        <f ca="1">IF(controls!$B$33=1,B64*(1+V65)+T65,B64*(1+V65))</f>
        <v>100</v>
      </c>
      <c r="C65" s="80">
        <f t="shared" ca="1" si="4"/>
        <v>0</v>
      </c>
      <c r="D65" s="77">
        <f t="shared" ca="1" si="0"/>
        <v>100</v>
      </c>
      <c r="E65" s="77">
        <f ca="1">AG64+IF(controls!$B$33=1,G65,F65)</f>
        <v>100</v>
      </c>
      <c r="F65" s="94">
        <f ca="1">IF(controls!$B$44=0,H65-'main page'!$K$27*M64,H65-'main page'!$K$27*M64+'main page'!$K$31*AB64)</f>
        <v>100</v>
      </c>
      <c r="G65" s="75">
        <f ca="1">IF(controls!$B$44=0,I65-'main page'!$K$27*M64,I65-'main page'!$K$27*M64+'main page'!$K$31*'normal case'!AB64)</f>
        <v>100</v>
      </c>
      <c r="H65" s="75">
        <f t="shared" ca="1" si="5"/>
        <v>108</v>
      </c>
      <c r="I65" s="75">
        <f t="shared" ca="1" si="6"/>
        <v>108</v>
      </c>
      <c r="L65" s="75">
        <f ca="1">IF(ABS('main page'!$K$29*L64+(1-'main page'!$K$29)*(controls!$B$9/100)*100+'main page'!$K$25*(D65-B65)-L64)&lt;0.0000001,L64,'main page'!$K$29*L64+(1-'main page'!$K$29)*(controls!$B$9/100)*100+'main page'!$K$25*(D65-B65))</f>
        <v>2</v>
      </c>
      <c r="M65" s="96">
        <f ca="1">IF(controls!$B$10=1,M64,IF(SUM(controls!$B$44:$B$46)=2,N65-'main page'!$K$29*'normal case'!L65-(1-'main page'!$K$29)*'main page'!$K$32,N65-'main page'!$K$29*'normal case'!L65-(1-'main page'!$K$29)*controls!$B$9))</f>
        <v>4</v>
      </c>
      <c r="N65" s="208">
        <f ca="1">IF(controls!$B$45=1,IF(controls!$B$46=1,'main page'!$K$24+'main page'!$K$11+'main page'!$U$8,'main page'!$K$24+'main page'!$K$11+'main page'!$K$32),IF(controls!$B$44=1,IF(O65&lt;0,0,O65),IF(O65+'main page'!$K$11&lt;0,0,O65+'main page'!$K$11)))</f>
        <v>6</v>
      </c>
      <c r="O65" s="76">
        <f ca="1">IF(controls!$B$10=1,'normal case'!M65+'normal case'!L65,'normal case'!P65)</f>
        <v>6</v>
      </c>
      <c r="P65" s="74">
        <f t="shared" ca="1" si="1"/>
        <v>6</v>
      </c>
      <c r="Q65" s="210">
        <f ca="1">IF(controls!$B$44=0,R65+'main page'!$K$29*L65+(1-'main page'!$K$29)*controls!$B$9+(('main page'!$K$25*'main page'!$U$13*'main page'!$K$29)/('main page'!$K$27*(1+('main page'!$K$25^2)*'main page'!$U$13)))*(L65-controls!$B$9),R65+'main page'!$K$29*L65+(1-'main page'!$K$29)*controls!$B$9+(('main page'!$K$25*'main page'!$U$13*'normal case'!$AO$3)/'normal case'!$AO$4)*('normal case'!L65-controls!$B$9))</f>
        <v>6</v>
      </c>
      <c r="R65" s="98">
        <f ca="1">IF(controls!$B$44=1,'main page'!$K$24+'main page'!$K$11,IF(controls!$B$33=1,((I66-D65*W66-B66+B65*V66)/'main page'!$K$27)-'main page'!$K$11,((H66-D65*W66-B66+B65*V66)/'main page'!$K$27)-'main page'!$K$11))</f>
        <v>4</v>
      </c>
      <c r="T65" s="71">
        <f>IF(controls!$B$6=1,$AL$3*(1+('main page'!$K$35/100))^U65-$AL$3*(1+('main page'!$K$35/100))^U64,$AL$3*(1+('main page'!$G$8/100))*(1+('main page'!$K$35/100))^U65-$AL$3*(1+('main page'!$G$8/100))*(1+('main page'!$K$35/100))^U64)</f>
        <v>0</v>
      </c>
      <c r="U65" s="73">
        <v>58</v>
      </c>
      <c r="V65" s="161">
        <f ca="1">IF(controls!$B$4=1,IF(controls!$H64=1,controls!$B$34*V64+RAND()*('main page'!$K$16/100)-RAND()*('main page'!$K$16/100),0),0)</f>
        <v>0</v>
      </c>
      <c r="W65" s="40">
        <f ca="1">IF(controls!$B$4=1,IF(controls!$I64=1,controls!$B$34*W64+RAND()*('main page'!$K$16/100)-RAND()*('main page'!$K$16/100),0),0)</f>
        <v>0</v>
      </c>
      <c r="X65" s="49">
        <f ca="1">IF(controls!$B$33=1,D65-($I$3-'main page'!$K$27*2)*(1+('main page'!$K$35/100))^A64,D65-$AL$4)</f>
        <v>0</v>
      </c>
      <c r="Y65" s="49">
        <f ca="1">ABS(L65-(controls!$B$9/100)*100)</f>
        <v>0</v>
      </c>
      <c r="AA65" s="49" t="e">
        <f ca="1">IF(controls!$B$33=1,(B66-B65*V66-I66+D65*W66+'main page'!$K$27*('main page'!$K$24+'main page'!$K$11))/'main page'!$K$31,(B66-B65*V66+D65*W66-H66+'main page'!$K$27*('main page'!$K$24+'main page'!$K$11))/'main page'!$K$31)</f>
        <v>#DIV/0!</v>
      </c>
      <c r="AB65" s="49" t="e">
        <f ca="1">IF(controls!$B$45=1,LOG(AF65,1.01)+LOG(AE65,1.01)-LOG(AD65,1.01),-((M65-('main page'!$K$24+'main page'!$K$11))/(1-'normal case'!$AO$3))+'normal case'!AA65)</f>
        <v>#DIV/0!</v>
      </c>
      <c r="AC65" s="176" t="e">
        <f t="shared" ca="1" si="2"/>
        <v>#DIV/0!</v>
      </c>
      <c r="AD65" s="49">
        <f t="shared" ca="1" si="3"/>
        <v>3.4135844322153761</v>
      </c>
      <c r="AE65" s="49">
        <f>AE64*(1+'main page'!$K$32/100)</f>
        <v>1</v>
      </c>
      <c r="AF65" s="49" t="e">
        <f ca="1">IF(ABS(IF(controls!$B$45=1,$AL$13,AD65*AC65/AE65)-AF64)&lt;0.00001,AF64,IF(controls!$B$45=1,$AL$13,AD65*AC65/AE65))</f>
        <v>#DIV/0!</v>
      </c>
      <c r="AG65" s="49">
        <f>IF(controls!$B$46=0,0,IF(controls!$B$33=2,B66-B65*V66-('normal case'!H66-D65*W66-'main page'!$K$27*'normal case'!M65+'main page'!$K$31*'normal case'!AB65)-(('main page'!$K$25*'main page'!$U$13*'main page'!$K$29)/(1+('main page'!$K$25^2)*'main page'!$U$13))*('normal case'!L65-'main page'!$U$8),B66-B65*V66-('normal case'!I66-D65*W66-'main page'!$K$27*'normal case'!M65+'main page'!$K$31*'normal case'!AB65)-(('main page'!$K$25*'main page'!$U$13*'main page'!$K$29)/(1+('main page'!$K$25^2)*'main page'!$U$13))*('normal case'!L65-'main page'!$U$8)))</f>
        <v>0</v>
      </c>
      <c r="AN65" s="40"/>
      <c r="AO65" s="40"/>
    </row>
    <row r="66" spans="1:41">
      <c r="A66" s="48">
        <v>64</v>
      </c>
      <c r="B66" s="75">
        <f ca="1">IF(controls!$B$33=1,B65*(1+V66)+T66,B65*(1+V66))</f>
        <v>100</v>
      </c>
      <c r="C66" s="80">
        <f t="shared" ca="1" si="4"/>
        <v>0</v>
      </c>
      <c r="D66" s="77">
        <f t="shared" ca="1" si="0"/>
        <v>100</v>
      </c>
      <c r="E66" s="77">
        <f ca="1">AG65+IF(controls!$B$33=1,G66,F66)</f>
        <v>100</v>
      </c>
      <c r="F66" s="94">
        <f ca="1">IF(controls!$B$44=0,H66-'main page'!$K$27*M65,H66-'main page'!$K$27*M65+'main page'!$K$31*AB65)</f>
        <v>100</v>
      </c>
      <c r="G66" s="75">
        <f ca="1">IF(controls!$B$44=0,I66-'main page'!$K$27*M65,I66-'main page'!$K$27*M65+'main page'!$K$31*'normal case'!AB65)</f>
        <v>100</v>
      </c>
      <c r="H66" s="75">
        <f t="shared" ca="1" si="5"/>
        <v>108</v>
      </c>
      <c r="I66" s="75">
        <f t="shared" ca="1" si="6"/>
        <v>108</v>
      </c>
      <c r="L66" s="75">
        <f ca="1">IF(ABS('main page'!$K$29*L65+(1-'main page'!$K$29)*(controls!$B$9/100)*100+'main page'!$K$25*(D66-B66)-L65)&lt;0.0000001,L65,'main page'!$K$29*L65+(1-'main page'!$K$29)*(controls!$B$9/100)*100+'main page'!$K$25*(D66-B66))</f>
        <v>2</v>
      </c>
      <c r="M66" s="96">
        <f ca="1">IF(controls!$B$10=1,M65,IF(SUM(controls!$B$44:$B$46)=2,N66-'main page'!$K$29*'normal case'!L66-(1-'main page'!$K$29)*'main page'!$K$32,N66-'main page'!$K$29*'normal case'!L66-(1-'main page'!$K$29)*controls!$B$9))</f>
        <v>4</v>
      </c>
      <c r="N66" s="208">
        <f ca="1">IF(controls!$B$45=1,IF(controls!$B$46=1,'main page'!$K$24+'main page'!$K$11+'main page'!$U$8,'main page'!$K$24+'main page'!$K$11+'main page'!$K$32),IF(controls!$B$44=1,IF(O66&lt;0,0,O66),IF(O66+'main page'!$K$11&lt;0,0,O66+'main page'!$K$11)))</f>
        <v>6</v>
      </c>
      <c r="O66" s="76">
        <f ca="1">IF(controls!$B$10=1,'normal case'!M66+'normal case'!L66,'normal case'!P66)</f>
        <v>6</v>
      </c>
      <c r="P66" s="74">
        <f t="shared" ca="1" si="1"/>
        <v>6</v>
      </c>
      <c r="Q66" s="210">
        <f ca="1">IF(controls!$B$44=0,R66+'main page'!$K$29*L66+(1-'main page'!$K$29)*controls!$B$9+(('main page'!$K$25*'main page'!$U$13*'main page'!$K$29)/('main page'!$K$27*(1+('main page'!$K$25^2)*'main page'!$U$13)))*(L66-controls!$B$9),R66+'main page'!$K$29*L66+(1-'main page'!$K$29)*controls!$B$9+(('main page'!$K$25*'main page'!$U$13*'normal case'!$AO$3)/'normal case'!$AO$4)*('normal case'!L66-controls!$B$9))</f>
        <v>6</v>
      </c>
      <c r="R66" s="98">
        <f ca="1">IF(controls!$B$44=1,'main page'!$K$24+'main page'!$K$11,IF(controls!$B$33=1,((I67-D66*W67-B67+B66*V67)/'main page'!$K$27)-'main page'!$K$11,((H67-D66*W67-B67+B66*V67)/'main page'!$K$27)-'main page'!$K$11))</f>
        <v>4</v>
      </c>
      <c r="T66" s="71">
        <f>IF(controls!$B$6=1,$AL$3*(1+('main page'!$K$35/100))^U66-$AL$3*(1+('main page'!$K$35/100))^U65,$AL$3*(1+('main page'!$G$8/100))*(1+('main page'!$K$35/100))^U66-$AL$3*(1+('main page'!$G$8/100))*(1+('main page'!$K$35/100))^U65)</f>
        <v>0</v>
      </c>
      <c r="U66" s="73">
        <v>59</v>
      </c>
      <c r="V66" s="161">
        <v>0</v>
      </c>
      <c r="W66" s="40">
        <v>0</v>
      </c>
      <c r="X66" s="49">
        <f ca="1">IF(controls!$B$33=1,D66-($I$3-'main page'!$K$27*2)*(1+('main page'!$K$35/100))^A65,D66-$AL$4)</f>
        <v>0</v>
      </c>
      <c r="Y66" s="49">
        <f ca="1">ABS(L66-(controls!$B$9/100)*100)</f>
        <v>0</v>
      </c>
      <c r="AA66" s="49" t="e">
        <f ca="1">IF(controls!$B$33=1,(B67-B66*V67-I67+D66*W67+'main page'!$K$27*('main page'!$K$24+'main page'!$K$11))/'main page'!$K$31,(B67-B66*V67+D66*W67-H67+'main page'!$K$27*('main page'!$K$24+'main page'!$K$11))/'main page'!$K$31)</f>
        <v>#DIV/0!</v>
      </c>
      <c r="AB66" s="49" t="e">
        <f ca="1">IF(controls!$B$45=1,LOG(AF66,1.01)+LOG(AE66,1.01)-LOG(AD66,1.01),-((M66-('main page'!$K$24+'main page'!$K$11))/(1-'normal case'!$AO$3))+'normal case'!AA66)</f>
        <v>#DIV/0!</v>
      </c>
      <c r="AC66" s="176" t="e">
        <f t="shared" ca="1" si="2"/>
        <v>#DIV/0!</v>
      </c>
      <c r="AD66" s="49">
        <f t="shared" ca="1" si="3"/>
        <v>3.4818561208596837</v>
      </c>
      <c r="AE66" s="49">
        <f>AE65*(1+'main page'!$K$32/100)</f>
        <v>1</v>
      </c>
      <c r="AF66" s="49" t="e">
        <f ca="1">IF(ABS(IF(controls!$B$45=1,$AL$13,AD66*AC66/AE66)-AF65)&lt;0.00001,AF65,IF(controls!$B$45=1,$AL$13,AD66*AC66/AE66))</f>
        <v>#DIV/0!</v>
      </c>
      <c r="AG66" s="49">
        <f>IF(controls!$B$46=0,0,IF(controls!$B$33=2,B67-B66*V67-('normal case'!H67-D66*W67-'main page'!$K$27*'normal case'!M66+'main page'!$K$31*'normal case'!AB66)-(('main page'!$K$25*'main page'!$U$13*'main page'!$K$29)/(1+('main page'!$K$25^2)*'main page'!$U$13))*('normal case'!L66-'main page'!$U$8),B67-B66*V67-('normal case'!I67-D66*W67-'main page'!$K$27*'normal case'!M66+'main page'!$K$31*'normal case'!AB66)-(('main page'!$K$25*'main page'!$U$13*'main page'!$K$29)/(1+('main page'!$K$25^2)*'main page'!$U$13))*('normal case'!L66-'main page'!$U$8)))</f>
        <v>0</v>
      </c>
      <c r="AN66" s="40"/>
      <c r="AO66" s="40"/>
    </row>
    <row r="67" spans="1:41">
      <c r="A67" s="48">
        <v>65</v>
      </c>
      <c r="B67" s="75">
        <f ca="1">IF(controls!$B$33=1,B66*(1+V67)+T67,B66*(1+V67))</f>
        <v>100</v>
      </c>
      <c r="C67" s="80">
        <f t="shared" ca="1" si="4"/>
        <v>0</v>
      </c>
      <c r="D67" s="77">
        <f t="shared" ca="1" si="0"/>
        <v>100</v>
      </c>
      <c r="E67" s="77">
        <f ca="1">AG66+IF(controls!$B$33=1,G67,F67)</f>
        <v>100</v>
      </c>
      <c r="F67" s="94">
        <f ca="1">IF(controls!$B$44=0,H67-'main page'!$K$27*M66,H67-'main page'!$K$27*M66+'main page'!$K$31*AB66)</f>
        <v>100</v>
      </c>
      <c r="G67" s="75">
        <f ca="1">IF(controls!$B$44=0,I67-'main page'!$K$27*M66,I67-'main page'!$K$27*M66+'main page'!$K$31*'normal case'!AB66)</f>
        <v>100</v>
      </c>
      <c r="H67" s="75">
        <f t="shared" ca="1" si="5"/>
        <v>108</v>
      </c>
      <c r="I67" s="75">
        <f t="shared" ca="1" si="6"/>
        <v>108</v>
      </c>
      <c r="L67" s="75">
        <f ca="1">IF(ABS('main page'!$K$29*L66+(1-'main page'!$K$29)*(controls!$B$9/100)*100+'main page'!$K$25*(D67-B67)-L66)&lt;0.0000001,L66,'main page'!$K$29*L66+(1-'main page'!$K$29)*(controls!$B$9/100)*100+'main page'!$K$25*(D67-B67))</f>
        <v>2</v>
      </c>
      <c r="M67" s="96">
        <f ca="1">IF(controls!$B$10=1,M66,IF(SUM(controls!$B$44:$B$46)=2,N67-'main page'!$K$29*'normal case'!L67-(1-'main page'!$K$29)*'main page'!$K$32,N67-'main page'!$K$29*'normal case'!L67-(1-'main page'!$K$29)*controls!$B$9))</f>
        <v>4</v>
      </c>
      <c r="N67" s="208">
        <f ca="1">IF(controls!$B$45=1,IF(controls!$B$46=1,'main page'!$K$24+'main page'!$K$11+'main page'!$U$8,'main page'!$K$24+'main page'!$K$11+'main page'!$K$32),IF(controls!$B$44=1,IF(O67&lt;0,0,O67),IF(O67+'main page'!$K$11&lt;0,0,O67+'main page'!$K$11)))</f>
        <v>6</v>
      </c>
      <c r="O67" s="76">
        <f ca="1">IF(controls!$B$10=1,'normal case'!M67+'normal case'!L67,'normal case'!P67)</f>
        <v>6</v>
      </c>
      <c r="P67" s="74">
        <f t="shared" ca="1" si="1"/>
        <v>6</v>
      </c>
      <c r="Q67" s="210">
        <f ca="1">IF(controls!$B$44=0,R67+'main page'!$K$29*L67+(1-'main page'!$K$29)*controls!$B$9+(('main page'!$K$25*'main page'!$U$13*'main page'!$K$29)/('main page'!$K$27*(1+('main page'!$K$25^2)*'main page'!$U$13)))*(L67-controls!$B$9),R67+'main page'!$K$29*L67+(1-'main page'!$K$29)*controls!$B$9+(('main page'!$K$25*'main page'!$U$13*'normal case'!$AO$3)/'normal case'!$AO$4)*('normal case'!L67-controls!$B$9))</f>
        <v>6</v>
      </c>
      <c r="R67" s="98">
        <f ca="1">IF(controls!$B$44=1,'main page'!$K$24+'main page'!$K$11,IF(controls!$B$33=1,((I68-D67*W68-B68+B67*V68)/'main page'!$K$27)-'main page'!$K$11,((H68-D67*W68-B68+B67*V68)/'main page'!$K$27)-'main page'!$K$11))</f>
        <v>4</v>
      </c>
      <c r="T67" s="71">
        <f>IF(controls!$B$6=1,$AL$3*(1+('main page'!$K$35/100))^U67-$AL$3*(1+('main page'!$K$35/100))^U66,$AL$3*(1+('main page'!$G$8/100))*(1+('main page'!$K$35/100))^U67-$AL$3*(1+('main page'!$G$8/100))*(1+('main page'!$K$35/100))^U66)</f>
        <v>0</v>
      </c>
      <c r="U67" s="73">
        <v>60</v>
      </c>
      <c r="V67" s="161">
        <v>0</v>
      </c>
      <c r="W67" s="40">
        <v>0</v>
      </c>
      <c r="X67" s="49">
        <f ca="1">IF(controls!$B$33=1,D67-($I$3-'main page'!$K$27*2)*(1+('main page'!$K$35/100))^A66,D67-$AL$4)</f>
        <v>0</v>
      </c>
      <c r="Y67" s="49">
        <f ca="1">ABS(L67-(controls!$B$9/100)*100)</f>
        <v>0</v>
      </c>
      <c r="AA67" s="49" t="e">
        <f ca="1">IF(controls!$B$33=1,(B68-B67*V68-I68+D67*W68+'main page'!$K$27*('main page'!$K$24+'main page'!$K$11))/'main page'!$K$31,(B68-B67*V68+D67*W68-H68+'main page'!$K$27*('main page'!$K$24+'main page'!$K$11))/'main page'!$K$31)</f>
        <v>#DIV/0!</v>
      </c>
      <c r="AB67" s="49" t="e">
        <f ca="1">IF(controls!$B$45=1,LOG(AF67,1.01)+LOG(AE67,1.01)-LOG(AD67,1.01),-((M67-('main page'!$K$24+'main page'!$K$11))/(1-'normal case'!$AO$3))+'normal case'!AA67)</f>
        <v>#DIV/0!</v>
      </c>
      <c r="AC67" s="176" t="e">
        <f t="shared" ca="1" si="2"/>
        <v>#DIV/0!</v>
      </c>
      <c r="AD67" s="49">
        <f t="shared" ca="1" si="3"/>
        <v>3.5514932432768775</v>
      </c>
      <c r="AE67" s="49">
        <f>AE66*(1+'main page'!$K$32/100)</f>
        <v>1</v>
      </c>
      <c r="AF67" s="49" t="e">
        <f ca="1">IF(ABS(IF(controls!$B$45=1,$AL$13,AD67*AC67/AE67)-AF66)&lt;0.00001,AF66,IF(controls!$B$45=1,$AL$13,AD67*AC67/AE67))</f>
        <v>#DIV/0!</v>
      </c>
      <c r="AG67" s="49">
        <f>IF(controls!$B$46=0,0,IF(controls!$B$33=2,B68-B67*V68-('normal case'!H68-D67*W68-'main page'!$K$27*'normal case'!M67+'main page'!$K$31*'normal case'!AB67)-(('main page'!$K$25*'main page'!$U$13*'main page'!$K$29)/(1+('main page'!$K$25^2)*'main page'!$U$13))*('normal case'!L67-'main page'!$U$8),B68-B67*V68-('normal case'!I68-D67*W68-'main page'!$K$27*'normal case'!M67+'main page'!$K$31*'normal case'!AB67)-(('main page'!$K$25*'main page'!$U$13*'main page'!$K$29)/(1+('main page'!$K$25^2)*'main page'!$U$13))*('normal case'!L67-'main page'!$U$8)))</f>
        <v>0</v>
      </c>
      <c r="AN67" s="40"/>
      <c r="AO67" s="40"/>
    </row>
    <row r="68" spans="1:41">
      <c r="A68" s="48">
        <v>66</v>
      </c>
      <c r="B68" s="75">
        <f ca="1">IF(controls!$B$33=1,B67*(1+V68)+T68,B67*(1+V68))</f>
        <v>100</v>
      </c>
      <c r="C68" s="80">
        <f t="shared" ca="1" si="4"/>
        <v>0</v>
      </c>
      <c r="D68" s="77">
        <f t="shared" ref="D68:D131" ca="1" si="7">IF(E68&gt;0,E68,0.1)</f>
        <v>100</v>
      </c>
      <c r="E68" s="77">
        <f ca="1">AG67+IF(controls!$B$33=1,G68,F68)</f>
        <v>100</v>
      </c>
      <c r="F68" s="94">
        <f ca="1">IF(controls!$B$44=0,H68-'main page'!$K$27*M67,H68-'main page'!$K$27*M67+'main page'!$K$31*AB67)</f>
        <v>100</v>
      </c>
      <c r="G68" s="75">
        <f ca="1">IF(controls!$B$44=0,I68-'main page'!$K$27*M67,I68-'main page'!$K$27*M67+'main page'!$K$31*'normal case'!AB67)</f>
        <v>100</v>
      </c>
      <c r="H68" s="75">
        <f t="shared" ca="1" si="5"/>
        <v>108</v>
      </c>
      <c r="I68" s="75">
        <f t="shared" ca="1" si="6"/>
        <v>108</v>
      </c>
      <c r="L68" s="75">
        <f ca="1">IF(ABS('main page'!$K$29*L67+(1-'main page'!$K$29)*(controls!$B$9/100)*100+'main page'!$K$25*(D68-B68)-L67)&lt;0.0000001,L67,'main page'!$K$29*L67+(1-'main page'!$K$29)*(controls!$B$9/100)*100+'main page'!$K$25*(D68-B68))</f>
        <v>2</v>
      </c>
      <c r="M68" s="96">
        <f ca="1">IF(controls!$B$10=1,M67,IF(SUM(controls!$B$44:$B$46)=2,N68-'main page'!$K$29*'normal case'!L68-(1-'main page'!$K$29)*'main page'!$K$32,N68-'main page'!$K$29*'normal case'!L68-(1-'main page'!$K$29)*controls!$B$9))</f>
        <v>4</v>
      </c>
      <c r="N68" s="208">
        <f ca="1">IF(controls!$B$45=1,IF(controls!$B$46=1,'main page'!$K$24+'main page'!$K$11+'main page'!$U$8,'main page'!$K$24+'main page'!$K$11+'main page'!$K$32),IF(controls!$B$44=1,IF(O68&lt;0,0,O68),IF(O68+'main page'!$K$11&lt;0,0,O68+'main page'!$K$11)))</f>
        <v>6</v>
      </c>
      <c r="O68" s="76">
        <f ca="1">IF(controls!$B$10=1,'normal case'!M68+'normal case'!L68,'normal case'!P68)</f>
        <v>6</v>
      </c>
      <c r="P68" s="74">
        <f t="shared" ref="P68:P131" ca="1" si="8">IF(Q68&lt;0,0,Q68)</f>
        <v>6</v>
      </c>
      <c r="Q68" s="210">
        <f ca="1">IF(controls!$B$44=0,R68+'main page'!$K$29*L68+(1-'main page'!$K$29)*controls!$B$9+(('main page'!$K$25*'main page'!$U$13*'main page'!$K$29)/('main page'!$K$27*(1+('main page'!$K$25^2)*'main page'!$U$13)))*(L68-controls!$B$9),R68+'main page'!$K$29*L68+(1-'main page'!$K$29)*controls!$B$9+(('main page'!$K$25*'main page'!$U$13*'normal case'!$AO$3)/'normal case'!$AO$4)*('normal case'!L68-controls!$B$9))</f>
        <v>6</v>
      </c>
      <c r="R68" s="98">
        <f ca="1">IF(controls!$B$44=1,'main page'!$K$24+'main page'!$K$11,IF(controls!$B$33=1,((I69-D68*W69-B69+B68*V69)/'main page'!$K$27)-'main page'!$K$11,((H69-D68*W69-B69+B68*V69)/'main page'!$K$27)-'main page'!$K$11))</f>
        <v>4</v>
      </c>
      <c r="T68" s="71">
        <f>IF(controls!$B$6=1,$AL$3*(1+('main page'!$K$35/100))^U68-$AL$3*(1+('main page'!$K$35/100))^U67,$AL$3*(1+('main page'!$G$8/100))*(1+('main page'!$K$35/100))^U68-$AL$3*(1+('main page'!$G$8/100))*(1+('main page'!$K$35/100))^U67)</f>
        <v>0</v>
      </c>
      <c r="U68" s="73">
        <v>61</v>
      </c>
      <c r="V68" s="161">
        <f ca="1">IF(controls!$B$4=1,IF(controls!$H67=1,controls!$B$34*V67+RAND()*('main page'!$K$16/100)-RAND()*('main page'!$K$16/100),0),0)</f>
        <v>0</v>
      </c>
      <c r="W68" s="40">
        <f ca="1">IF(controls!$B$4=1,IF(controls!$I67=1,controls!$B$34*W67+RAND()*('main page'!$K$16/100)-RAND()*('main page'!$K$16/100),0),0)</f>
        <v>0</v>
      </c>
      <c r="X68" s="49">
        <f ca="1">IF(controls!$B$33=1,D68-($I$3-'main page'!$K$27*2)*(1+('main page'!$K$35/100))^A67,D68-$AL$4)</f>
        <v>0</v>
      </c>
      <c r="Y68" s="49">
        <f ca="1">ABS(L68-(controls!$B$9/100)*100)</f>
        <v>0</v>
      </c>
      <c r="AA68" s="49" t="e">
        <f ca="1">IF(controls!$B$33=1,(B69-B68*V69-I69+D68*W69+'main page'!$K$27*('main page'!$K$24+'main page'!$K$11))/'main page'!$K$31,(B69-B68*V69+D68*W69-H69+'main page'!$K$27*('main page'!$K$24+'main page'!$K$11))/'main page'!$K$31)</f>
        <v>#DIV/0!</v>
      </c>
      <c r="AB68" s="49" t="e">
        <f ca="1">IF(controls!$B$45=1,LOG(AF68,1.01)+LOG(AE68,1.01)-LOG(AD68,1.01),-((M68-('main page'!$K$24+'main page'!$K$11))/(1-'normal case'!$AO$3))+'normal case'!AA68)</f>
        <v>#DIV/0!</v>
      </c>
      <c r="AC68" s="176" t="e">
        <f t="shared" ref="AC68:AC131" ca="1" si="9">IF(ABS(1.025^AB68-1)&lt;0.000000000001,1,1.025^AB68)</f>
        <v>#DIV/0!</v>
      </c>
      <c r="AD68" s="49">
        <f t="shared" ref="AD68:AD131" ca="1" si="10">AD67*(1+L68/100)</f>
        <v>3.6225231081424152</v>
      </c>
      <c r="AE68" s="49">
        <f>AE67*(1+'main page'!$K$32/100)</f>
        <v>1</v>
      </c>
      <c r="AF68" s="49" t="e">
        <f ca="1">IF(ABS(IF(controls!$B$45=1,$AL$13,AD68*AC68/AE68)-AF67)&lt;0.00001,AF67,IF(controls!$B$45=1,$AL$13,AD68*AC68/AE68))</f>
        <v>#DIV/0!</v>
      </c>
      <c r="AG68" s="49">
        <f>IF(controls!$B$46=0,0,IF(controls!$B$33=2,B69-B68*V69-('normal case'!H69-D68*W69-'main page'!$K$27*'normal case'!M68+'main page'!$K$31*'normal case'!AB68)-(('main page'!$K$25*'main page'!$U$13*'main page'!$K$29)/(1+('main page'!$K$25^2)*'main page'!$U$13))*('normal case'!L68-'main page'!$U$8),B69-B68*V69-('normal case'!I69-D68*W69-'main page'!$K$27*'normal case'!M68+'main page'!$K$31*'normal case'!AB68)-(('main page'!$K$25*'main page'!$U$13*'main page'!$K$29)/(1+('main page'!$K$25^2)*'main page'!$U$13))*('normal case'!L68-'main page'!$U$8)))</f>
        <v>0</v>
      </c>
      <c r="AN68" s="40"/>
      <c r="AO68" s="40"/>
    </row>
    <row r="69" spans="1:41">
      <c r="A69" s="48">
        <v>67</v>
      </c>
      <c r="B69" s="75">
        <f ca="1">IF(controls!$B$33=1,B68*(1+V69)+T69,B68*(1+V69))</f>
        <v>100</v>
      </c>
      <c r="C69" s="80">
        <f t="shared" ca="1" si="4"/>
        <v>0</v>
      </c>
      <c r="D69" s="77">
        <f t="shared" ca="1" si="7"/>
        <v>100</v>
      </c>
      <c r="E69" s="77">
        <f ca="1">AG68+IF(controls!$B$33=1,G69,F69)</f>
        <v>100</v>
      </c>
      <c r="F69" s="94">
        <f ca="1">IF(controls!$B$44=0,H69-'main page'!$K$27*M68,H69-'main page'!$K$27*M68+'main page'!$K$31*AB68)</f>
        <v>100</v>
      </c>
      <c r="G69" s="75">
        <f ca="1">IF(controls!$B$44=0,I69-'main page'!$K$27*M68,I69-'main page'!$K$27*M68+'main page'!$K$31*'normal case'!AB68)</f>
        <v>100</v>
      </c>
      <c r="H69" s="75">
        <f t="shared" ca="1" si="5"/>
        <v>108</v>
      </c>
      <c r="I69" s="75">
        <f t="shared" ca="1" si="6"/>
        <v>108</v>
      </c>
      <c r="L69" s="75">
        <f ca="1">IF(ABS('main page'!$K$29*L68+(1-'main page'!$K$29)*(controls!$B$9/100)*100+'main page'!$K$25*(D69-B69)-L68)&lt;0.0000001,L68,'main page'!$K$29*L68+(1-'main page'!$K$29)*(controls!$B$9/100)*100+'main page'!$K$25*(D69-B69))</f>
        <v>2</v>
      </c>
      <c r="M69" s="96">
        <f ca="1">IF(controls!$B$10=1,M68,IF(SUM(controls!$B$44:$B$46)=2,N69-'main page'!$K$29*'normal case'!L69-(1-'main page'!$K$29)*'main page'!$K$32,N69-'main page'!$K$29*'normal case'!L69-(1-'main page'!$K$29)*controls!$B$9))</f>
        <v>4</v>
      </c>
      <c r="N69" s="208">
        <f ca="1">IF(controls!$B$45=1,IF(controls!$B$46=1,'main page'!$K$24+'main page'!$K$11+'main page'!$U$8,'main page'!$K$24+'main page'!$K$11+'main page'!$K$32),IF(controls!$B$44=1,IF(O69&lt;0,0,O69),IF(O69+'main page'!$K$11&lt;0,0,O69+'main page'!$K$11)))</f>
        <v>6</v>
      </c>
      <c r="O69" s="76">
        <f ca="1">IF(controls!$B$10=1,'normal case'!M69+'normal case'!L69,'normal case'!P69)</f>
        <v>6</v>
      </c>
      <c r="P69" s="74">
        <f t="shared" ca="1" si="8"/>
        <v>6</v>
      </c>
      <c r="Q69" s="210">
        <f ca="1">IF(controls!$B$44=0,R69+'main page'!$K$29*L69+(1-'main page'!$K$29)*controls!$B$9+(('main page'!$K$25*'main page'!$U$13*'main page'!$K$29)/('main page'!$K$27*(1+('main page'!$K$25^2)*'main page'!$U$13)))*(L69-controls!$B$9),R69+'main page'!$K$29*L69+(1-'main page'!$K$29)*controls!$B$9+(('main page'!$K$25*'main page'!$U$13*'normal case'!$AO$3)/'normal case'!$AO$4)*('normal case'!L69-controls!$B$9))</f>
        <v>6</v>
      </c>
      <c r="R69" s="98">
        <f ca="1">IF(controls!$B$44=1,'main page'!$K$24+'main page'!$K$11,IF(controls!$B$33=1,((I70-D69*W70-B70+B69*V70)/'main page'!$K$27)-'main page'!$K$11,((H70-D69*W70-B70+B69*V70)/'main page'!$K$27)-'main page'!$K$11))</f>
        <v>4</v>
      </c>
      <c r="T69" s="71">
        <f>IF(controls!$B$6=1,$AL$3*(1+('main page'!$K$35/100))^U69-$AL$3*(1+('main page'!$K$35/100))^U68,$AL$3*(1+('main page'!$G$8/100))*(1+('main page'!$K$35/100))^U69-$AL$3*(1+('main page'!$G$8/100))*(1+('main page'!$K$35/100))^U68)</f>
        <v>0</v>
      </c>
      <c r="U69" s="73">
        <v>62</v>
      </c>
      <c r="V69" s="161">
        <v>0</v>
      </c>
      <c r="W69" s="40">
        <v>0</v>
      </c>
      <c r="X69" s="49">
        <f ca="1">IF(controls!$B$33=1,D69-($I$3-'main page'!$K$27*2)*(1+('main page'!$K$35/100))^A68,D69-$AL$4)</f>
        <v>0</v>
      </c>
      <c r="Y69" s="49">
        <f ca="1">ABS(L69-(controls!$B$9/100)*100)</f>
        <v>0</v>
      </c>
      <c r="AA69" s="49" t="e">
        <f ca="1">IF(controls!$B$33=1,(B70-B69*V70-I70+D69*W70+'main page'!$K$27*('main page'!$K$24+'main page'!$K$11))/'main page'!$K$31,(B70-B69*V70+D69*W70-H70+'main page'!$K$27*('main page'!$K$24+'main page'!$K$11))/'main page'!$K$31)</f>
        <v>#DIV/0!</v>
      </c>
      <c r="AB69" s="49" t="e">
        <f ca="1">IF(controls!$B$45=1,LOG(AF69,1.01)+LOG(AE69,1.01)-LOG(AD69,1.01),-((M69-('main page'!$K$24+'main page'!$K$11))/(1-'normal case'!$AO$3))+'normal case'!AA69)</f>
        <v>#DIV/0!</v>
      </c>
      <c r="AC69" s="176" t="e">
        <f t="shared" ca="1" si="9"/>
        <v>#DIV/0!</v>
      </c>
      <c r="AD69" s="49">
        <f t="shared" ca="1" si="10"/>
        <v>3.6949735703052635</v>
      </c>
      <c r="AE69" s="49">
        <f>AE68*(1+'main page'!$K$32/100)</f>
        <v>1</v>
      </c>
      <c r="AF69" s="49" t="e">
        <f ca="1">IF(ABS(IF(controls!$B$45=1,$AL$13,AD69*AC69/AE69)-AF68)&lt;0.00001,AF68,IF(controls!$B$45=1,$AL$13,AD69*AC69/AE69))</f>
        <v>#DIV/0!</v>
      </c>
      <c r="AG69" s="49">
        <f>IF(controls!$B$46=0,0,IF(controls!$B$33=2,B70-B69*V70-('normal case'!H70-D69*W70-'main page'!$K$27*'normal case'!M69+'main page'!$K$31*'normal case'!AB69)-(('main page'!$K$25*'main page'!$U$13*'main page'!$K$29)/(1+('main page'!$K$25^2)*'main page'!$U$13))*('normal case'!L69-'main page'!$U$8),B70-B69*V70-('normal case'!I70-D69*W70-'main page'!$K$27*'normal case'!M69+'main page'!$K$31*'normal case'!AB69)-(('main page'!$K$25*'main page'!$U$13*'main page'!$K$29)/(1+('main page'!$K$25^2)*'main page'!$U$13))*('normal case'!L69-'main page'!$U$8)))</f>
        <v>0</v>
      </c>
      <c r="AN69" s="40"/>
      <c r="AO69" s="40"/>
    </row>
    <row r="70" spans="1:41">
      <c r="A70" s="48">
        <v>68</v>
      </c>
      <c r="B70" s="75">
        <f ca="1">IF(controls!$B$33=1,B69*(1+V70)+T70,B69*(1+V70))</f>
        <v>100</v>
      </c>
      <c r="C70" s="80">
        <f t="shared" ref="C70:C133" ca="1" si="11">IF(ABS((D70/D69-1)-C69)&lt;0.000001,C69,D70/D69-1)</f>
        <v>0</v>
      </c>
      <c r="D70" s="77">
        <f t="shared" ca="1" si="7"/>
        <v>100</v>
      </c>
      <c r="E70" s="77">
        <f ca="1">AG69+IF(controls!$B$33=1,G70,F70)</f>
        <v>100</v>
      </c>
      <c r="F70" s="94">
        <f ca="1">IF(controls!$B$44=0,H70-'main page'!$K$27*M69,H70-'main page'!$K$27*M69+'main page'!$K$31*AB69)</f>
        <v>100</v>
      </c>
      <c r="G70" s="75">
        <f ca="1">IF(controls!$B$44=0,I70-'main page'!$K$27*M69,I70-'main page'!$K$27*M69+'main page'!$K$31*'normal case'!AB69)</f>
        <v>100</v>
      </c>
      <c r="H70" s="75">
        <f t="shared" ca="1" si="5"/>
        <v>108</v>
      </c>
      <c r="I70" s="75">
        <f t="shared" ca="1" si="6"/>
        <v>108</v>
      </c>
      <c r="L70" s="75">
        <f ca="1">IF(ABS('main page'!$K$29*L69+(1-'main page'!$K$29)*(controls!$B$9/100)*100+'main page'!$K$25*(D70-B70)-L69)&lt;0.0000001,L69,'main page'!$K$29*L69+(1-'main page'!$K$29)*(controls!$B$9/100)*100+'main page'!$K$25*(D70-B70))</f>
        <v>2</v>
      </c>
      <c r="M70" s="96">
        <f ca="1">IF(controls!$B$10=1,M69,IF(SUM(controls!$B$44:$B$46)=2,N70-'main page'!$K$29*'normal case'!L70-(1-'main page'!$K$29)*'main page'!$K$32,N70-'main page'!$K$29*'normal case'!L70-(1-'main page'!$K$29)*controls!$B$9))</f>
        <v>4</v>
      </c>
      <c r="N70" s="208">
        <f ca="1">IF(controls!$B$45=1,IF(controls!$B$46=1,'main page'!$K$24+'main page'!$K$11+'main page'!$U$8,'main page'!$K$24+'main page'!$K$11+'main page'!$K$32),IF(controls!$B$44=1,IF(O70&lt;0,0,O70),IF(O70+'main page'!$K$11&lt;0,0,O70+'main page'!$K$11)))</f>
        <v>6</v>
      </c>
      <c r="O70" s="76">
        <f ca="1">IF(controls!$B$10=1,'normal case'!M70+'normal case'!L70,'normal case'!P70)</f>
        <v>6</v>
      </c>
      <c r="P70" s="74">
        <f t="shared" ca="1" si="8"/>
        <v>6</v>
      </c>
      <c r="Q70" s="210">
        <f ca="1">IF(controls!$B$44=0,R70+'main page'!$K$29*L70+(1-'main page'!$K$29)*controls!$B$9+(('main page'!$K$25*'main page'!$U$13*'main page'!$K$29)/('main page'!$K$27*(1+('main page'!$K$25^2)*'main page'!$U$13)))*(L70-controls!$B$9),R70+'main page'!$K$29*L70+(1-'main page'!$K$29)*controls!$B$9+(('main page'!$K$25*'main page'!$U$13*'normal case'!$AO$3)/'normal case'!$AO$4)*('normal case'!L70-controls!$B$9))</f>
        <v>6</v>
      </c>
      <c r="R70" s="98">
        <f ca="1">IF(controls!$B$44=1,'main page'!$K$24+'main page'!$K$11,IF(controls!$B$33=1,((I71-D70*W71-B71+B70*V71)/'main page'!$K$27)-'main page'!$K$11,((H71-D70*W71-B71+B70*V71)/'main page'!$K$27)-'main page'!$K$11))</f>
        <v>4</v>
      </c>
      <c r="T70" s="71">
        <f>IF(controls!$B$6=1,$AL$3*(1+('main page'!$K$35/100))^U70-$AL$3*(1+('main page'!$K$35/100))^U69,$AL$3*(1+('main page'!$G$8/100))*(1+('main page'!$K$35/100))^U70-$AL$3*(1+('main page'!$G$8/100))*(1+('main page'!$K$35/100))^U69)</f>
        <v>0</v>
      </c>
      <c r="U70" s="73">
        <v>63</v>
      </c>
      <c r="V70" s="161">
        <v>0</v>
      </c>
      <c r="W70" s="40">
        <v>0</v>
      </c>
      <c r="X70" s="49">
        <f ca="1">IF(controls!$B$33=1,D70-($I$3-'main page'!$K$27*2)*(1+('main page'!$K$35/100))^A69,D70-$AL$4)</f>
        <v>0</v>
      </c>
      <c r="Y70" s="49">
        <f ca="1">ABS(L70-(controls!$B$9/100)*100)</f>
        <v>0</v>
      </c>
      <c r="AA70" s="49" t="e">
        <f ca="1">IF(controls!$B$33=1,(B71-B70*V71-I71+D70*W71+'main page'!$K$27*('main page'!$K$24+'main page'!$K$11))/'main page'!$K$31,(B71-B70*V71+D70*W71-H71+'main page'!$K$27*('main page'!$K$24+'main page'!$K$11))/'main page'!$K$31)</f>
        <v>#DIV/0!</v>
      </c>
      <c r="AB70" s="49" t="e">
        <f ca="1">IF(controls!$B$45=1,LOG(AF70,1.01)+LOG(AE70,1.01)-LOG(AD70,1.01),-((M70-('main page'!$K$24+'main page'!$K$11))/(1-'normal case'!$AO$3))+'normal case'!AA70)</f>
        <v>#DIV/0!</v>
      </c>
      <c r="AC70" s="176" t="e">
        <f t="shared" ca="1" si="9"/>
        <v>#DIV/0!</v>
      </c>
      <c r="AD70" s="49">
        <f t="shared" ca="1" si="10"/>
        <v>3.7688730417113687</v>
      </c>
      <c r="AE70" s="49">
        <f>AE69*(1+'main page'!$K$32/100)</f>
        <v>1</v>
      </c>
      <c r="AF70" s="49" t="e">
        <f ca="1">IF(ABS(IF(controls!$B$45=1,$AL$13,AD70*AC70/AE70)-AF69)&lt;0.00001,AF69,IF(controls!$B$45=1,$AL$13,AD70*AC70/AE70))</f>
        <v>#DIV/0!</v>
      </c>
      <c r="AG70" s="49">
        <f>IF(controls!$B$46=0,0,IF(controls!$B$33=2,B71-B70*V71-('normal case'!H71-D70*W71-'main page'!$K$27*'normal case'!M70+'main page'!$K$31*'normal case'!AB70)-(('main page'!$K$25*'main page'!$U$13*'main page'!$K$29)/(1+('main page'!$K$25^2)*'main page'!$U$13))*('normal case'!L70-'main page'!$U$8),B71-B70*V71-('normal case'!I71-D70*W71-'main page'!$K$27*'normal case'!M70+'main page'!$K$31*'normal case'!AB70)-(('main page'!$K$25*'main page'!$U$13*'main page'!$K$29)/(1+('main page'!$K$25^2)*'main page'!$U$13))*('normal case'!L70-'main page'!$U$8)))</f>
        <v>0</v>
      </c>
      <c r="AN70" s="40"/>
      <c r="AO70" s="40"/>
    </row>
    <row r="71" spans="1:41">
      <c r="A71" s="48">
        <v>69</v>
      </c>
      <c r="B71" s="75">
        <f ca="1">IF(controls!$B$33=1,B70*(1+V71)+T71,B70*(1+V71))</f>
        <v>100</v>
      </c>
      <c r="C71" s="80">
        <f t="shared" ca="1" si="11"/>
        <v>0</v>
      </c>
      <c r="D71" s="77">
        <f t="shared" ca="1" si="7"/>
        <v>100</v>
      </c>
      <c r="E71" s="77">
        <f ca="1">AG70+IF(controls!$B$33=1,G71,F71)</f>
        <v>100</v>
      </c>
      <c r="F71" s="94">
        <f ca="1">IF(controls!$B$44=0,H71-'main page'!$K$27*M70,H71-'main page'!$K$27*M70+'main page'!$K$31*AB70)</f>
        <v>100</v>
      </c>
      <c r="G71" s="75">
        <f ca="1">IF(controls!$B$44=0,I71-'main page'!$K$27*M70,I71-'main page'!$K$27*M70+'main page'!$K$31*'normal case'!AB70)</f>
        <v>100</v>
      </c>
      <c r="H71" s="75">
        <f t="shared" ca="1" si="5"/>
        <v>108</v>
      </c>
      <c r="I71" s="75">
        <f t="shared" ca="1" si="6"/>
        <v>108</v>
      </c>
      <c r="L71" s="75">
        <f ca="1">IF(ABS('main page'!$K$29*L70+(1-'main page'!$K$29)*(controls!$B$9/100)*100+'main page'!$K$25*(D71-B71)-L70)&lt;0.0000001,L70,'main page'!$K$29*L70+(1-'main page'!$K$29)*(controls!$B$9/100)*100+'main page'!$K$25*(D71-B71))</f>
        <v>2</v>
      </c>
      <c r="M71" s="96">
        <f ca="1">IF(controls!$B$10=1,M70,IF(SUM(controls!$B$44:$B$46)=2,N71-'main page'!$K$29*'normal case'!L71-(1-'main page'!$K$29)*'main page'!$K$32,N71-'main page'!$K$29*'normal case'!L71-(1-'main page'!$K$29)*controls!$B$9))</f>
        <v>4</v>
      </c>
      <c r="N71" s="208">
        <f ca="1">IF(controls!$B$45=1,IF(controls!$B$46=1,'main page'!$K$24+'main page'!$K$11+'main page'!$U$8,'main page'!$K$24+'main page'!$K$11+'main page'!$K$32),IF(controls!$B$44=1,IF(O71&lt;0,0,O71),IF(O71+'main page'!$K$11&lt;0,0,O71+'main page'!$K$11)))</f>
        <v>6</v>
      </c>
      <c r="O71" s="76">
        <f ca="1">IF(controls!$B$10=1,'normal case'!M71+'normal case'!L71,'normal case'!P71)</f>
        <v>6</v>
      </c>
      <c r="P71" s="74">
        <f t="shared" ca="1" si="8"/>
        <v>6</v>
      </c>
      <c r="Q71" s="210">
        <f ca="1">IF(controls!$B$44=0,R71+'main page'!$K$29*L71+(1-'main page'!$K$29)*controls!$B$9+(('main page'!$K$25*'main page'!$U$13*'main page'!$K$29)/('main page'!$K$27*(1+('main page'!$K$25^2)*'main page'!$U$13)))*(L71-controls!$B$9),R71+'main page'!$K$29*L71+(1-'main page'!$K$29)*controls!$B$9+(('main page'!$K$25*'main page'!$U$13*'normal case'!$AO$3)/'normal case'!$AO$4)*('normal case'!L71-controls!$B$9))</f>
        <v>6</v>
      </c>
      <c r="R71" s="98">
        <f ca="1">IF(controls!$B$44=1,'main page'!$K$24+'main page'!$K$11,IF(controls!$B$33=1,((I72-D71*W72-B72+B71*V72)/'main page'!$K$27)-'main page'!$K$11,((H72-D71*W72-B72+B71*V72)/'main page'!$K$27)-'main page'!$K$11))</f>
        <v>4</v>
      </c>
      <c r="T71" s="71">
        <f>IF(controls!$B$6=1,$AL$3*(1+('main page'!$K$35/100))^U71-$AL$3*(1+('main page'!$K$35/100))^U70,$AL$3*(1+('main page'!$G$8/100))*(1+('main page'!$K$35/100))^U71-$AL$3*(1+('main page'!$G$8/100))*(1+('main page'!$K$35/100))^U70)</f>
        <v>0</v>
      </c>
      <c r="U71" s="73">
        <v>64</v>
      </c>
      <c r="V71" s="161">
        <f ca="1">IF(controls!$B$4=1,IF(controls!$H70=1,controls!$B$34*V70+RAND()*('main page'!$K$16/100)-RAND()*('main page'!$K$16/100),0),0)</f>
        <v>0</v>
      </c>
      <c r="W71" s="40">
        <f ca="1">IF(controls!$B$4=1,IF(controls!$I70=1,controls!$B$34*W70+RAND()*('main page'!$K$16/100)-RAND()*('main page'!$K$16/100),0),0)</f>
        <v>0</v>
      </c>
      <c r="X71" s="49">
        <f ca="1">IF(controls!$B$33=1,D71-($I$3-'main page'!$K$27*2)*(1+('main page'!$K$35/100))^A70,D71-$AL$4)</f>
        <v>0</v>
      </c>
      <c r="Y71" s="49">
        <f ca="1">ABS(L71-(controls!$B$9/100)*100)</f>
        <v>0</v>
      </c>
      <c r="AA71" s="49" t="e">
        <f ca="1">IF(controls!$B$33=1,(B72-B71*V72-I72+D71*W72+'main page'!$K$27*('main page'!$K$24+'main page'!$K$11))/'main page'!$K$31,(B72-B71*V72+D71*W72-H72+'main page'!$K$27*('main page'!$K$24+'main page'!$K$11))/'main page'!$K$31)</f>
        <v>#DIV/0!</v>
      </c>
      <c r="AB71" s="49" t="e">
        <f ca="1">IF(controls!$B$45=1,LOG(AF71,1.01)+LOG(AE71,1.01)-LOG(AD71,1.01),-((M71-('main page'!$K$24+'main page'!$K$11))/(1-'normal case'!$AO$3))+'normal case'!AA71)</f>
        <v>#DIV/0!</v>
      </c>
      <c r="AC71" s="176" t="e">
        <f t="shared" ca="1" si="9"/>
        <v>#DIV/0!</v>
      </c>
      <c r="AD71" s="49">
        <f t="shared" ca="1" si="10"/>
        <v>3.844250502545596</v>
      </c>
      <c r="AE71" s="49">
        <f>AE70*(1+'main page'!$K$32/100)</f>
        <v>1</v>
      </c>
      <c r="AF71" s="49" t="e">
        <f ca="1">IF(ABS(IF(controls!$B$45=1,$AL$13,AD71*AC71/AE71)-AF70)&lt;0.00001,AF70,IF(controls!$B$45=1,$AL$13,AD71*AC71/AE71))</f>
        <v>#DIV/0!</v>
      </c>
      <c r="AG71" s="49">
        <f>IF(controls!$B$46=0,0,IF(controls!$B$33=2,B72-B71*V72-('normal case'!H72-D71*W72-'main page'!$K$27*'normal case'!M71+'main page'!$K$31*'normal case'!AB71)-(('main page'!$K$25*'main page'!$U$13*'main page'!$K$29)/(1+('main page'!$K$25^2)*'main page'!$U$13))*('normal case'!L71-'main page'!$U$8),B72-B71*V72-('normal case'!I72-D71*W72-'main page'!$K$27*'normal case'!M71+'main page'!$K$31*'normal case'!AB71)-(('main page'!$K$25*'main page'!$U$13*'main page'!$K$29)/(1+('main page'!$K$25^2)*'main page'!$U$13))*('normal case'!L71-'main page'!$U$8)))</f>
        <v>0</v>
      </c>
      <c r="AN71" s="40"/>
      <c r="AO71" s="40"/>
    </row>
    <row r="72" spans="1:41">
      <c r="A72" s="48">
        <v>70</v>
      </c>
      <c r="B72" s="75">
        <f ca="1">IF(controls!$B$33=1,B71*(1+V72)+T72,B71*(1+V72))</f>
        <v>100</v>
      </c>
      <c r="C72" s="80">
        <f t="shared" ca="1" si="11"/>
        <v>0</v>
      </c>
      <c r="D72" s="77">
        <f t="shared" ca="1" si="7"/>
        <v>100</v>
      </c>
      <c r="E72" s="77">
        <f ca="1">AG71+IF(controls!$B$33=1,G72,F72)</f>
        <v>100</v>
      </c>
      <c r="F72" s="94">
        <f ca="1">IF(controls!$B$44=0,H72-'main page'!$K$27*M71,H72-'main page'!$K$27*M71+'main page'!$K$31*AB71)</f>
        <v>100</v>
      </c>
      <c r="G72" s="75">
        <f ca="1">IF(controls!$B$44=0,I72-'main page'!$K$27*M71,I72-'main page'!$K$27*M71+'main page'!$K$31*'normal case'!AB71)</f>
        <v>100</v>
      </c>
      <c r="H72" s="75">
        <f t="shared" ca="1" si="5"/>
        <v>108</v>
      </c>
      <c r="I72" s="75">
        <f t="shared" ca="1" si="6"/>
        <v>108</v>
      </c>
      <c r="L72" s="75">
        <f ca="1">IF(ABS('main page'!$K$29*L71+(1-'main page'!$K$29)*(controls!$B$9/100)*100+'main page'!$K$25*(D72-B72)-L71)&lt;0.0000001,L71,'main page'!$K$29*L71+(1-'main page'!$K$29)*(controls!$B$9/100)*100+'main page'!$K$25*(D72-B72))</f>
        <v>2</v>
      </c>
      <c r="M72" s="96">
        <f ca="1">IF(controls!$B$10=1,M71,IF(SUM(controls!$B$44:$B$46)=2,N72-'main page'!$K$29*'normal case'!L72-(1-'main page'!$K$29)*'main page'!$K$32,N72-'main page'!$K$29*'normal case'!L72-(1-'main page'!$K$29)*controls!$B$9))</f>
        <v>4</v>
      </c>
      <c r="N72" s="208">
        <f ca="1">IF(controls!$B$45=1,IF(controls!$B$46=1,'main page'!$K$24+'main page'!$K$11+'main page'!$U$8,'main page'!$K$24+'main page'!$K$11+'main page'!$K$32),IF(controls!$B$44=1,IF(O72&lt;0,0,O72),IF(O72+'main page'!$K$11&lt;0,0,O72+'main page'!$K$11)))</f>
        <v>6</v>
      </c>
      <c r="O72" s="76">
        <f ca="1">IF(controls!$B$10=1,'normal case'!M72+'normal case'!L72,'normal case'!P72)</f>
        <v>6</v>
      </c>
      <c r="P72" s="74">
        <f t="shared" ca="1" si="8"/>
        <v>6</v>
      </c>
      <c r="Q72" s="210">
        <f ca="1">IF(controls!$B$44=0,R72+'main page'!$K$29*L72+(1-'main page'!$K$29)*controls!$B$9+(('main page'!$K$25*'main page'!$U$13*'main page'!$K$29)/('main page'!$K$27*(1+('main page'!$K$25^2)*'main page'!$U$13)))*(L72-controls!$B$9),R72+'main page'!$K$29*L72+(1-'main page'!$K$29)*controls!$B$9+(('main page'!$K$25*'main page'!$U$13*'normal case'!$AO$3)/'normal case'!$AO$4)*('normal case'!L72-controls!$B$9))</f>
        <v>6</v>
      </c>
      <c r="R72" s="98">
        <f ca="1">IF(controls!$B$44=1,'main page'!$K$24+'main page'!$K$11,IF(controls!$B$33=1,((I73-D72*W73-B73+B72*V73)/'main page'!$K$27)-'main page'!$K$11,((H73-D72*W73-B73+B72*V73)/'main page'!$K$27)-'main page'!$K$11))</f>
        <v>4</v>
      </c>
      <c r="T72" s="71">
        <f>IF(controls!$B$6=1,$AL$3*(1+('main page'!$K$35/100))^U72-$AL$3*(1+('main page'!$K$35/100))^U71,$AL$3*(1+('main page'!$G$8/100))*(1+('main page'!$K$35/100))^U72-$AL$3*(1+('main page'!$G$8/100))*(1+('main page'!$K$35/100))^U71)</f>
        <v>0</v>
      </c>
      <c r="U72" s="73">
        <v>65</v>
      </c>
      <c r="V72" s="161">
        <v>0</v>
      </c>
      <c r="W72" s="40">
        <v>0</v>
      </c>
      <c r="X72" s="49">
        <f ca="1">IF(controls!$B$33=1,D72-($I$3-'main page'!$K$27*2)*(1+('main page'!$K$35/100))^A71,D72-$AL$4)</f>
        <v>0</v>
      </c>
      <c r="Y72" s="49">
        <f ca="1">ABS(L72-(controls!$B$9/100)*100)</f>
        <v>0</v>
      </c>
      <c r="AA72" s="49" t="e">
        <f ca="1">IF(controls!$B$33=1,(B73-B72*V73-I73+D72*W73+'main page'!$K$27*('main page'!$K$24+'main page'!$K$11))/'main page'!$K$31,(B73-B72*V73+D72*W73-H73+'main page'!$K$27*('main page'!$K$24+'main page'!$K$11))/'main page'!$K$31)</f>
        <v>#DIV/0!</v>
      </c>
      <c r="AB72" s="49" t="e">
        <f ca="1">IF(controls!$B$45=1,LOG(AF72,1.01)+LOG(AE72,1.01)-LOG(AD72,1.01),-((M72-('main page'!$K$24+'main page'!$K$11))/(1-'normal case'!$AO$3))+'normal case'!AA72)</f>
        <v>#DIV/0!</v>
      </c>
      <c r="AC72" s="176" t="e">
        <f t="shared" ca="1" si="9"/>
        <v>#DIV/0!</v>
      </c>
      <c r="AD72" s="49">
        <f t="shared" ca="1" si="10"/>
        <v>3.9211355125965079</v>
      </c>
      <c r="AE72" s="49">
        <f>AE71*(1+'main page'!$K$32/100)</f>
        <v>1</v>
      </c>
      <c r="AF72" s="49" t="e">
        <f ca="1">IF(ABS(IF(controls!$B$45=1,$AL$13,AD72*AC72/AE72)-AF71)&lt;0.00001,AF71,IF(controls!$B$45=1,$AL$13,AD72*AC72/AE72))</f>
        <v>#DIV/0!</v>
      </c>
      <c r="AG72" s="49">
        <f>IF(controls!$B$46=0,0,IF(controls!$B$33=2,B73-B72*V73-('normal case'!H73-D72*W73-'main page'!$K$27*'normal case'!M72+'main page'!$K$31*'normal case'!AB72)-(('main page'!$K$25*'main page'!$U$13*'main page'!$K$29)/(1+('main page'!$K$25^2)*'main page'!$U$13))*('normal case'!L72-'main page'!$U$8),B73-B72*V73-('normal case'!I73-D72*W73-'main page'!$K$27*'normal case'!M72+'main page'!$K$31*'normal case'!AB72)-(('main page'!$K$25*'main page'!$U$13*'main page'!$K$29)/(1+('main page'!$K$25^2)*'main page'!$U$13))*('normal case'!L72-'main page'!$U$8)))</f>
        <v>0</v>
      </c>
      <c r="AN72" s="40"/>
      <c r="AO72" s="40"/>
    </row>
    <row r="73" spans="1:41">
      <c r="A73" s="48">
        <v>71</v>
      </c>
      <c r="B73" s="75">
        <f ca="1">IF(controls!$B$33=1,B72*(1+V73)+T73,B72*(1+V73))</f>
        <v>100</v>
      </c>
      <c r="C73" s="80">
        <f t="shared" ca="1" si="11"/>
        <v>0</v>
      </c>
      <c r="D73" s="77">
        <f t="shared" ca="1" si="7"/>
        <v>100</v>
      </c>
      <c r="E73" s="77">
        <f ca="1">AG72+IF(controls!$B$33=1,G73,F73)</f>
        <v>100</v>
      </c>
      <c r="F73" s="94">
        <f ca="1">IF(controls!$B$44=0,H73-'main page'!$K$27*M72,H73-'main page'!$K$27*M72+'main page'!$K$31*AB72)</f>
        <v>100</v>
      </c>
      <c r="G73" s="75">
        <f ca="1">IF(controls!$B$44=0,I73-'main page'!$K$27*M72,I73-'main page'!$K$27*M72+'main page'!$K$31*'normal case'!AB72)</f>
        <v>100</v>
      </c>
      <c r="H73" s="75">
        <f t="shared" ca="1" si="5"/>
        <v>108</v>
      </c>
      <c r="I73" s="75">
        <f t="shared" ca="1" si="6"/>
        <v>108</v>
      </c>
      <c r="L73" s="75">
        <f ca="1">IF(ABS('main page'!$K$29*L72+(1-'main page'!$K$29)*(controls!$B$9/100)*100+'main page'!$K$25*(D73-B73)-L72)&lt;0.0000001,L72,'main page'!$K$29*L72+(1-'main page'!$K$29)*(controls!$B$9/100)*100+'main page'!$K$25*(D73-B73))</f>
        <v>2</v>
      </c>
      <c r="M73" s="96">
        <f ca="1">IF(controls!$B$10=1,M72,IF(SUM(controls!$B$44:$B$46)=2,N73-'main page'!$K$29*'normal case'!L73-(1-'main page'!$K$29)*'main page'!$K$32,N73-'main page'!$K$29*'normal case'!L73-(1-'main page'!$K$29)*controls!$B$9))</f>
        <v>4</v>
      </c>
      <c r="N73" s="208">
        <f ca="1">IF(controls!$B$45=1,IF(controls!$B$46=1,'main page'!$K$24+'main page'!$K$11+'main page'!$U$8,'main page'!$K$24+'main page'!$K$11+'main page'!$K$32),IF(controls!$B$44=1,IF(O73&lt;0,0,O73),IF(O73+'main page'!$K$11&lt;0,0,O73+'main page'!$K$11)))</f>
        <v>6</v>
      </c>
      <c r="O73" s="76">
        <f ca="1">IF(controls!$B$10=1,'normal case'!M73+'normal case'!L73,'normal case'!P73)</f>
        <v>6</v>
      </c>
      <c r="P73" s="74">
        <f t="shared" ca="1" si="8"/>
        <v>6</v>
      </c>
      <c r="Q73" s="210">
        <f ca="1">IF(controls!$B$44=0,R73+'main page'!$K$29*L73+(1-'main page'!$K$29)*controls!$B$9+(('main page'!$K$25*'main page'!$U$13*'main page'!$K$29)/('main page'!$K$27*(1+('main page'!$K$25^2)*'main page'!$U$13)))*(L73-controls!$B$9),R73+'main page'!$K$29*L73+(1-'main page'!$K$29)*controls!$B$9+(('main page'!$K$25*'main page'!$U$13*'normal case'!$AO$3)/'normal case'!$AO$4)*('normal case'!L73-controls!$B$9))</f>
        <v>6</v>
      </c>
      <c r="R73" s="98">
        <f ca="1">IF(controls!$B$44=1,'main page'!$K$24+'main page'!$K$11,IF(controls!$B$33=1,((I74-D73*W74-B74+B73*V74)/'main page'!$K$27)-'main page'!$K$11,((H74-D73*W74-B74+B73*V74)/'main page'!$K$27)-'main page'!$K$11))</f>
        <v>4</v>
      </c>
      <c r="T73" s="71">
        <f>IF(controls!$B$6=1,$AL$3*(1+('main page'!$K$35/100))^U73-$AL$3*(1+('main page'!$K$35/100))^U72,$AL$3*(1+('main page'!$G$8/100))*(1+('main page'!$K$35/100))^U73-$AL$3*(1+('main page'!$G$8/100))*(1+('main page'!$K$35/100))^U72)</f>
        <v>0</v>
      </c>
      <c r="U73" s="73">
        <v>66</v>
      </c>
      <c r="V73" s="161">
        <v>0</v>
      </c>
      <c r="W73" s="40">
        <v>0</v>
      </c>
      <c r="X73" s="49">
        <f ca="1">IF(controls!$B$33=1,D73-($I$3-'main page'!$K$27*2)*(1+('main page'!$K$35/100))^A72,D73-$AL$4)</f>
        <v>0</v>
      </c>
      <c r="Y73" s="49">
        <f ca="1">ABS(L73-(controls!$B$9/100)*100)</f>
        <v>0</v>
      </c>
      <c r="AA73" s="49" t="e">
        <f ca="1">IF(controls!$B$33=1,(B74-B73*V74-I74+D73*W74+'main page'!$K$27*('main page'!$K$24+'main page'!$K$11))/'main page'!$K$31,(B74-B73*V74+D73*W74-H74+'main page'!$K$27*('main page'!$K$24+'main page'!$K$11))/'main page'!$K$31)</f>
        <v>#DIV/0!</v>
      </c>
      <c r="AB73" s="49" t="e">
        <f ca="1">IF(controls!$B$45=1,LOG(AF73,1.01)+LOG(AE73,1.01)-LOG(AD73,1.01),-((M73-('main page'!$K$24+'main page'!$K$11))/(1-'normal case'!$AO$3))+'normal case'!AA73)</f>
        <v>#DIV/0!</v>
      </c>
      <c r="AC73" s="176" t="e">
        <f t="shared" ca="1" si="9"/>
        <v>#DIV/0!</v>
      </c>
      <c r="AD73" s="49">
        <f t="shared" ca="1" si="10"/>
        <v>3.9995582228484383</v>
      </c>
      <c r="AE73" s="49">
        <f>AE72*(1+'main page'!$K$32/100)</f>
        <v>1</v>
      </c>
      <c r="AF73" s="49" t="e">
        <f ca="1">IF(ABS(IF(controls!$B$45=1,$AL$13,AD73*AC73/AE73)-AF72)&lt;0.00001,AF72,IF(controls!$B$45=1,$AL$13,AD73*AC73/AE73))</f>
        <v>#DIV/0!</v>
      </c>
      <c r="AG73" s="49">
        <f>IF(controls!$B$46=0,0,IF(controls!$B$33=2,B74-B73*V74-('normal case'!H74-D73*W74-'main page'!$K$27*'normal case'!M73+'main page'!$K$31*'normal case'!AB73)-(('main page'!$K$25*'main page'!$U$13*'main page'!$K$29)/(1+('main page'!$K$25^2)*'main page'!$U$13))*('normal case'!L73-'main page'!$U$8),B74-B73*V74-('normal case'!I74-D73*W74-'main page'!$K$27*'normal case'!M73+'main page'!$K$31*'normal case'!AB73)-(('main page'!$K$25*'main page'!$U$13*'main page'!$K$29)/(1+('main page'!$K$25^2)*'main page'!$U$13))*('normal case'!L73-'main page'!$U$8)))</f>
        <v>0</v>
      </c>
      <c r="AN73" s="40"/>
      <c r="AO73" s="40"/>
    </row>
    <row r="74" spans="1:41">
      <c r="A74" s="48">
        <v>72</v>
      </c>
      <c r="B74" s="75">
        <f ca="1">IF(controls!$B$33=1,B73*(1+V74)+T74,B73*(1+V74))</f>
        <v>100</v>
      </c>
      <c r="C74" s="80">
        <f t="shared" ca="1" si="11"/>
        <v>0</v>
      </c>
      <c r="D74" s="77">
        <f t="shared" ca="1" si="7"/>
        <v>100</v>
      </c>
      <c r="E74" s="77">
        <f ca="1">AG73+IF(controls!$B$33=1,G74,F74)</f>
        <v>100</v>
      </c>
      <c r="F74" s="94">
        <f ca="1">IF(controls!$B$44=0,H74-'main page'!$K$27*M73,H74-'main page'!$K$27*M73+'main page'!$K$31*AB73)</f>
        <v>100</v>
      </c>
      <c r="G74" s="75">
        <f ca="1">IF(controls!$B$44=0,I74-'main page'!$K$27*M73,I74-'main page'!$K$27*M73+'main page'!$K$31*'normal case'!AB73)</f>
        <v>100</v>
      </c>
      <c r="H74" s="75">
        <f t="shared" ca="1" si="5"/>
        <v>108</v>
      </c>
      <c r="I74" s="75">
        <f t="shared" ca="1" si="6"/>
        <v>108</v>
      </c>
      <c r="L74" s="75">
        <f ca="1">IF(ABS('main page'!$K$29*L73+(1-'main page'!$K$29)*(controls!$B$9/100)*100+'main page'!$K$25*(D74-B74)-L73)&lt;0.0000001,L73,'main page'!$K$29*L73+(1-'main page'!$K$29)*(controls!$B$9/100)*100+'main page'!$K$25*(D74-B74))</f>
        <v>2</v>
      </c>
      <c r="M74" s="96">
        <f ca="1">IF(controls!$B$10=1,M73,IF(SUM(controls!$B$44:$B$46)=2,N74-'main page'!$K$29*'normal case'!L74-(1-'main page'!$K$29)*'main page'!$K$32,N74-'main page'!$K$29*'normal case'!L74-(1-'main page'!$K$29)*controls!$B$9))</f>
        <v>4</v>
      </c>
      <c r="N74" s="208">
        <f ca="1">IF(controls!$B$45=1,IF(controls!$B$46=1,'main page'!$K$24+'main page'!$K$11+'main page'!$U$8,'main page'!$K$24+'main page'!$K$11+'main page'!$K$32),IF(controls!$B$44=1,IF(O74&lt;0,0,O74),IF(O74+'main page'!$K$11&lt;0,0,O74+'main page'!$K$11)))</f>
        <v>6</v>
      </c>
      <c r="O74" s="76">
        <f ca="1">IF(controls!$B$10=1,'normal case'!M74+'normal case'!L74,'normal case'!P74)</f>
        <v>6</v>
      </c>
      <c r="P74" s="74">
        <f t="shared" ca="1" si="8"/>
        <v>6</v>
      </c>
      <c r="Q74" s="210">
        <f ca="1">IF(controls!$B$44=0,R74+'main page'!$K$29*L74+(1-'main page'!$K$29)*controls!$B$9+(('main page'!$K$25*'main page'!$U$13*'main page'!$K$29)/('main page'!$K$27*(1+('main page'!$K$25^2)*'main page'!$U$13)))*(L74-controls!$B$9),R74+'main page'!$K$29*L74+(1-'main page'!$K$29)*controls!$B$9+(('main page'!$K$25*'main page'!$U$13*'normal case'!$AO$3)/'normal case'!$AO$4)*('normal case'!L74-controls!$B$9))</f>
        <v>6</v>
      </c>
      <c r="R74" s="98">
        <f ca="1">IF(controls!$B$44=1,'main page'!$K$24+'main page'!$K$11,IF(controls!$B$33=1,((I75-D74*W75-B75+B74*V75)/'main page'!$K$27)-'main page'!$K$11,((H75-D74*W75-B75+B74*V75)/'main page'!$K$27)-'main page'!$K$11))</f>
        <v>4</v>
      </c>
      <c r="T74" s="71">
        <f>IF(controls!$B$6=1,$AL$3*(1+('main page'!$K$35/100))^U74-$AL$3*(1+('main page'!$K$35/100))^U73,$AL$3*(1+('main page'!$G$8/100))*(1+('main page'!$K$35/100))^U74-$AL$3*(1+('main page'!$G$8/100))*(1+('main page'!$K$35/100))^U73)</f>
        <v>0</v>
      </c>
      <c r="U74" s="73">
        <v>67</v>
      </c>
      <c r="V74" s="161">
        <f ca="1">IF(controls!$B$4=1,IF(controls!$H73=1,controls!$B$34*V73+RAND()*('main page'!$K$16/100)-RAND()*('main page'!$K$16/100),0),0)</f>
        <v>0</v>
      </c>
      <c r="W74" s="40">
        <f ca="1">IF(controls!$B$4=1,IF(controls!$I73=1,controls!$B$34*W73+RAND()*('main page'!$K$16/100)-RAND()*('main page'!$K$16/100),0),0)</f>
        <v>0</v>
      </c>
      <c r="X74" s="49">
        <f ca="1">IF(controls!$B$33=1,D74-($I$3-'main page'!$K$27*2)*(1+('main page'!$K$35/100))^A73,D74-$AL$4)</f>
        <v>0</v>
      </c>
      <c r="Y74" s="49">
        <f ca="1">ABS(L74-(controls!$B$9/100)*100)</f>
        <v>0</v>
      </c>
      <c r="AA74" s="49" t="e">
        <f ca="1">IF(controls!$B$33=1,(B75-B74*V75-I75+D74*W75+'main page'!$K$27*('main page'!$K$24+'main page'!$K$11))/'main page'!$K$31,(B75-B74*V75+D74*W75-H75+'main page'!$K$27*('main page'!$K$24+'main page'!$K$11))/'main page'!$K$31)</f>
        <v>#DIV/0!</v>
      </c>
      <c r="AB74" s="49" t="e">
        <f ca="1">IF(controls!$B$45=1,LOG(AF74,1.01)+LOG(AE74,1.01)-LOG(AD74,1.01),-((M74-('main page'!$K$24+'main page'!$K$11))/(1-'normal case'!$AO$3))+'normal case'!AA74)</f>
        <v>#DIV/0!</v>
      </c>
      <c r="AC74" s="176" t="e">
        <f t="shared" ca="1" si="9"/>
        <v>#DIV/0!</v>
      </c>
      <c r="AD74" s="49">
        <f t="shared" ca="1" si="10"/>
        <v>4.0795493873054074</v>
      </c>
      <c r="AE74" s="49">
        <f>AE73*(1+'main page'!$K$32/100)</f>
        <v>1</v>
      </c>
      <c r="AF74" s="49" t="e">
        <f ca="1">IF(ABS(IF(controls!$B$45=1,$AL$13,AD74*AC74/AE74)-AF73)&lt;0.00001,AF73,IF(controls!$B$45=1,$AL$13,AD74*AC74/AE74))</f>
        <v>#DIV/0!</v>
      </c>
      <c r="AG74" s="49">
        <f>IF(controls!$B$46=0,0,IF(controls!$B$33=2,B75-B74*V75-('normal case'!H75-D74*W75-'main page'!$K$27*'normal case'!M74+'main page'!$K$31*'normal case'!AB74)-(('main page'!$K$25*'main page'!$U$13*'main page'!$K$29)/(1+('main page'!$K$25^2)*'main page'!$U$13))*('normal case'!L74-'main page'!$U$8),B75-B74*V75-('normal case'!I75-D74*W75-'main page'!$K$27*'normal case'!M74+'main page'!$K$31*'normal case'!AB74)-(('main page'!$K$25*'main page'!$U$13*'main page'!$K$29)/(1+('main page'!$K$25^2)*'main page'!$U$13))*('normal case'!L74-'main page'!$U$8)))</f>
        <v>0</v>
      </c>
      <c r="AN74" s="40"/>
      <c r="AO74" s="40"/>
    </row>
    <row r="75" spans="1:41">
      <c r="A75" s="48">
        <v>73</v>
      </c>
      <c r="B75" s="75">
        <f ca="1">IF(controls!$B$33=1,B74*(1+V75)+T75,B74*(1+V75))</f>
        <v>100</v>
      </c>
      <c r="C75" s="80">
        <f t="shared" ca="1" si="11"/>
        <v>0</v>
      </c>
      <c r="D75" s="77">
        <f t="shared" ca="1" si="7"/>
        <v>100</v>
      </c>
      <c r="E75" s="77">
        <f ca="1">AG74+IF(controls!$B$33=1,G75,F75)</f>
        <v>100</v>
      </c>
      <c r="F75" s="94">
        <f ca="1">IF(controls!$B$44=0,H75-'main page'!$K$27*M74,H75-'main page'!$K$27*M74+'main page'!$K$31*AB74)</f>
        <v>100</v>
      </c>
      <c r="G75" s="75">
        <f ca="1">IF(controls!$B$44=0,I75-'main page'!$K$27*M74,I75-'main page'!$K$27*M74+'main page'!$K$31*'normal case'!AB74)</f>
        <v>100</v>
      </c>
      <c r="H75" s="75">
        <f t="shared" ca="1" si="5"/>
        <v>108</v>
      </c>
      <c r="I75" s="75">
        <f t="shared" ca="1" si="6"/>
        <v>108</v>
      </c>
      <c r="L75" s="75">
        <f ca="1">IF(ABS('main page'!$K$29*L74+(1-'main page'!$K$29)*(controls!$B$9/100)*100+'main page'!$K$25*(D75-B75)-L74)&lt;0.0000001,L74,'main page'!$K$29*L74+(1-'main page'!$K$29)*(controls!$B$9/100)*100+'main page'!$K$25*(D75-B75))</f>
        <v>2</v>
      </c>
      <c r="M75" s="96">
        <f ca="1">IF(controls!$B$10=1,M74,IF(SUM(controls!$B$44:$B$46)=2,N75-'main page'!$K$29*'normal case'!L75-(1-'main page'!$K$29)*'main page'!$K$32,N75-'main page'!$K$29*'normal case'!L75-(1-'main page'!$K$29)*controls!$B$9))</f>
        <v>4</v>
      </c>
      <c r="N75" s="208">
        <f ca="1">IF(controls!$B$45=1,IF(controls!$B$46=1,'main page'!$K$24+'main page'!$K$11+'main page'!$U$8,'main page'!$K$24+'main page'!$K$11+'main page'!$K$32),IF(controls!$B$44=1,IF(O75&lt;0,0,O75),IF(O75+'main page'!$K$11&lt;0,0,O75+'main page'!$K$11)))</f>
        <v>6</v>
      </c>
      <c r="O75" s="76">
        <f ca="1">IF(controls!$B$10=1,'normal case'!M75+'normal case'!L75,'normal case'!P75)</f>
        <v>6</v>
      </c>
      <c r="P75" s="74">
        <f t="shared" ca="1" si="8"/>
        <v>6</v>
      </c>
      <c r="Q75" s="210">
        <f ca="1">IF(controls!$B$44=0,R75+'main page'!$K$29*L75+(1-'main page'!$K$29)*controls!$B$9+(('main page'!$K$25*'main page'!$U$13*'main page'!$K$29)/('main page'!$K$27*(1+('main page'!$K$25^2)*'main page'!$U$13)))*(L75-controls!$B$9),R75+'main page'!$K$29*L75+(1-'main page'!$K$29)*controls!$B$9+(('main page'!$K$25*'main page'!$U$13*'normal case'!$AO$3)/'normal case'!$AO$4)*('normal case'!L75-controls!$B$9))</f>
        <v>6</v>
      </c>
      <c r="R75" s="98">
        <f ca="1">IF(controls!$B$44=1,'main page'!$K$24+'main page'!$K$11,IF(controls!$B$33=1,((I76-D75*W76-B76+B75*V76)/'main page'!$K$27)-'main page'!$K$11,((H76-D75*W76-B76+B75*V76)/'main page'!$K$27)-'main page'!$K$11))</f>
        <v>4</v>
      </c>
      <c r="T75" s="71">
        <f>IF(controls!$B$6=1,$AL$3*(1+('main page'!$K$35/100))^U75-$AL$3*(1+('main page'!$K$35/100))^U74,$AL$3*(1+('main page'!$G$8/100))*(1+('main page'!$K$35/100))^U75-$AL$3*(1+('main page'!$G$8/100))*(1+('main page'!$K$35/100))^U74)</f>
        <v>0</v>
      </c>
      <c r="U75" s="73">
        <v>68</v>
      </c>
      <c r="V75" s="161">
        <v>0</v>
      </c>
      <c r="W75" s="40">
        <v>0</v>
      </c>
      <c r="X75" s="49">
        <f ca="1">IF(controls!$B$33=1,D75-($I$3-'main page'!$K$27*2)*(1+('main page'!$K$35/100))^A74,D75-$AL$4)</f>
        <v>0</v>
      </c>
      <c r="Y75" s="49">
        <f ca="1">ABS(L75-(controls!$B$9/100)*100)</f>
        <v>0</v>
      </c>
      <c r="AA75" s="49" t="e">
        <f ca="1">IF(controls!$B$33=1,(B76-B75*V76-I76+D75*W76+'main page'!$K$27*('main page'!$K$24+'main page'!$K$11))/'main page'!$K$31,(B76-B75*V76+D75*W76-H76+'main page'!$K$27*('main page'!$K$24+'main page'!$K$11))/'main page'!$K$31)</f>
        <v>#DIV/0!</v>
      </c>
      <c r="AB75" s="49" t="e">
        <f ca="1">IF(controls!$B$45=1,LOG(AF75,1.01)+LOG(AE75,1.01)-LOG(AD75,1.01),-((M75-('main page'!$K$24+'main page'!$K$11))/(1-'normal case'!$AO$3))+'normal case'!AA75)</f>
        <v>#DIV/0!</v>
      </c>
      <c r="AC75" s="176" t="e">
        <f t="shared" ca="1" si="9"/>
        <v>#DIV/0!</v>
      </c>
      <c r="AD75" s="49">
        <f t="shared" ca="1" si="10"/>
        <v>4.1611403750515157</v>
      </c>
      <c r="AE75" s="49">
        <f>AE74*(1+'main page'!$K$32/100)</f>
        <v>1</v>
      </c>
      <c r="AF75" s="49" t="e">
        <f ca="1">IF(ABS(IF(controls!$B$45=1,$AL$13,AD75*AC75/AE75)-AF74)&lt;0.00001,AF74,IF(controls!$B$45=1,$AL$13,AD75*AC75/AE75))</f>
        <v>#DIV/0!</v>
      </c>
      <c r="AG75" s="49">
        <f>IF(controls!$B$46=0,0,IF(controls!$B$33=2,B76-B75*V76-('normal case'!H76-D75*W76-'main page'!$K$27*'normal case'!M75+'main page'!$K$31*'normal case'!AB75)-(('main page'!$K$25*'main page'!$U$13*'main page'!$K$29)/(1+('main page'!$K$25^2)*'main page'!$U$13))*('normal case'!L75-'main page'!$U$8),B76-B75*V76-('normal case'!I76-D75*W76-'main page'!$K$27*'normal case'!M75+'main page'!$K$31*'normal case'!AB75)-(('main page'!$K$25*'main page'!$U$13*'main page'!$K$29)/(1+('main page'!$K$25^2)*'main page'!$U$13))*('normal case'!L75-'main page'!$U$8)))</f>
        <v>0</v>
      </c>
      <c r="AN75" s="40"/>
      <c r="AO75" s="40"/>
    </row>
    <row r="76" spans="1:41">
      <c r="A76" s="48">
        <v>74</v>
      </c>
      <c r="B76" s="75">
        <f ca="1">IF(controls!$B$33=1,B75*(1+V76)+T76,B75*(1+V76))</f>
        <v>100</v>
      </c>
      <c r="C76" s="80">
        <f t="shared" ca="1" si="11"/>
        <v>0</v>
      </c>
      <c r="D76" s="77">
        <f t="shared" ca="1" si="7"/>
        <v>100</v>
      </c>
      <c r="E76" s="77">
        <f ca="1">AG75+IF(controls!$B$33=1,G76,F76)</f>
        <v>100</v>
      </c>
      <c r="F76" s="94">
        <f ca="1">IF(controls!$B$44=0,H76-'main page'!$K$27*M75,H76-'main page'!$K$27*M75+'main page'!$K$31*AB75)</f>
        <v>100</v>
      </c>
      <c r="G76" s="75">
        <f ca="1">IF(controls!$B$44=0,I76-'main page'!$K$27*M75,I76-'main page'!$K$27*M75+'main page'!$K$31*'normal case'!AB75)</f>
        <v>100</v>
      </c>
      <c r="H76" s="75">
        <f t="shared" ca="1" si="5"/>
        <v>108</v>
      </c>
      <c r="I76" s="75">
        <f t="shared" ca="1" si="6"/>
        <v>108</v>
      </c>
      <c r="L76" s="75">
        <f ca="1">IF(ABS('main page'!$K$29*L75+(1-'main page'!$K$29)*(controls!$B$9/100)*100+'main page'!$K$25*(D76-B76)-L75)&lt;0.0000001,L75,'main page'!$K$29*L75+(1-'main page'!$K$29)*(controls!$B$9/100)*100+'main page'!$K$25*(D76-B76))</f>
        <v>2</v>
      </c>
      <c r="M76" s="96">
        <f ca="1">IF(controls!$B$10=1,M75,IF(SUM(controls!$B$44:$B$46)=2,N76-'main page'!$K$29*'normal case'!L76-(1-'main page'!$K$29)*'main page'!$K$32,N76-'main page'!$K$29*'normal case'!L76-(1-'main page'!$K$29)*controls!$B$9))</f>
        <v>4</v>
      </c>
      <c r="N76" s="208">
        <f ca="1">IF(controls!$B$45=1,IF(controls!$B$46=1,'main page'!$K$24+'main page'!$K$11+'main page'!$U$8,'main page'!$K$24+'main page'!$K$11+'main page'!$K$32),IF(controls!$B$44=1,IF(O76&lt;0,0,O76),IF(O76+'main page'!$K$11&lt;0,0,O76+'main page'!$K$11)))</f>
        <v>6</v>
      </c>
      <c r="O76" s="76">
        <f ca="1">IF(controls!$B$10=1,'normal case'!M76+'normal case'!L76,'normal case'!P76)</f>
        <v>6</v>
      </c>
      <c r="P76" s="74">
        <f t="shared" ca="1" si="8"/>
        <v>6</v>
      </c>
      <c r="Q76" s="210">
        <f ca="1">IF(controls!$B$44=0,R76+'main page'!$K$29*L76+(1-'main page'!$K$29)*controls!$B$9+(('main page'!$K$25*'main page'!$U$13*'main page'!$K$29)/('main page'!$K$27*(1+('main page'!$K$25^2)*'main page'!$U$13)))*(L76-controls!$B$9),R76+'main page'!$K$29*L76+(1-'main page'!$K$29)*controls!$B$9+(('main page'!$K$25*'main page'!$U$13*'normal case'!$AO$3)/'normal case'!$AO$4)*('normal case'!L76-controls!$B$9))</f>
        <v>6</v>
      </c>
      <c r="R76" s="98">
        <f ca="1">IF(controls!$B$44=1,'main page'!$K$24+'main page'!$K$11,IF(controls!$B$33=1,((I77-D76*W77-B77+B76*V77)/'main page'!$K$27)-'main page'!$K$11,((H77-D76*W77-B77+B76*V77)/'main page'!$K$27)-'main page'!$K$11))</f>
        <v>4</v>
      </c>
      <c r="T76" s="71">
        <f>IF(controls!$B$6=1,$AL$3*(1+('main page'!$K$35/100))^U76-$AL$3*(1+('main page'!$K$35/100))^U75,$AL$3*(1+('main page'!$G$8/100))*(1+('main page'!$K$35/100))^U76-$AL$3*(1+('main page'!$G$8/100))*(1+('main page'!$K$35/100))^U75)</f>
        <v>0</v>
      </c>
      <c r="U76" s="73">
        <v>69</v>
      </c>
      <c r="V76" s="161">
        <v>0</v>
      </c>
      <c r="W76" s="40">
        <v>0</v>
      </c>
      <c r="X76" s="49">
        <f ca="1">IF(controls!$B$33=1,D76-($I$3-'main page'!$K$27*2)*(1+('main page'!$K$35/100))^A75,D76-$AL$4)</f>
        <v>0</v>
      </c>
      <c r="Y76" s="49">
        <f ca="1">ABS(L76-(controls!$B$9/100)*100)</f>
        <v>0</v>
      </c>
      <c r="AA76" s="49" t="e">
        <f ca="1">IF(controls!$B$33=1,(B77-B76*V77-I77+D76*W77+'main page'!$K$27*('main page'!$K$24+'main page'!$K$11))/'main page'!$K$31,(B77-B76*V77+D76*W77-H77+'main page'!$K$27*('main page'!$K$24+'main page'!$K$11))/'main page'!$K$31)</f>
        <v>#DIV/0!</v>
      </c>
      <c r="AB76" s="49" t="e">
        <f ca="1">IF(controls!$B$45=1,LOG(AF76,1.01)+LOG(AE76,1.01)-LOG(AD76,1.01),-((M76-('main page'!$K$24+'main page'!$K$11))/(1-'normal case'!$AO$3))+'normal case'!AA76)</f>
        <v>#DIV/0!</v>
      </c>
      <c r="AC76" s="176" t="e">
        <f t="shared" ca="1" si="9"/>
        <v>#DIV/0!</v>
      </c>
      <c r="AD76" s="49">
        <f t="shared" ca="1" si="10"/>
        <v>4.2443631825525463</v>
      </c>
      <c r="AE76" s="49">
        <f>AE75*(1+'main page'!$K$32/100)</f>
        <v>1</v>
      </c>
      <c r="AF76" s="49" t="e">
        <f ca="1">IF(ABS(IF(controls!$B$45=1,$AL$13,AD76*AC76/AE76)-AF75)&lt;0.00001,AF75,IF(controls!$B$45=1,$AL$13,AD76*AC76/AE76))</f>
        <v>#DIV/0!</v>
      </c>
      <c r="AG76" s="49">
        <f>IF(controls!$B$46=0,0,IF(controls!$B$33=2,B77-B76*V77-('normal case'!H77-D76*W77-'main page'!$K$27*'normal case'!M76+'main page'!$K$31*'normal case'!AB76)-(('main page'!$K$25*'main page'!$U$13*'main page'!$K$29)/(1+('main page'!$K$25^2)*'main page'!$U$13))*('normal case'!L76-'main page'!$U$8),B77-B76*V77-('normal case'!I77-D76*W77-'main page'!$K$27*'normal case'!M76+'main page'!$K$31*'normal case'!AB76)-(('main page'!$K$25*'main page'!$U$13*'main page'!$K$29)/(1+('main page'!$K$25^2)*'main page'!$U$13))*('normal case'!L76-'main page'!$U$8)))</f>
        <v>0</v>
      </c>
      <c r="AN76" s="40"/>
      <c r="AO76" s="40"/>
    </row>
    <row r="77" spans="1:41">
      <c r="A77" s="48">
        <v>75</v>
      </c>
      <c r="B77" s="75">
        <f ca="1">IF(controls!$B$33=1,B76*(1+V77)+T77,B76*(1+V77))</f>
        <v>100</v>
      </c>
      <c r="C77" s="80">
        <f t="shared" ca="1" si="11"/>
        <v>0</v>
      </c>
      <c r="D77" s="77">
        <f t="shared" ca="1" si="7"/>
        <v>100</v>
      </c>
      <c r="E77" s="77">
        <f ca="1">AG76+IF(controls!$B$33=1,G77,F77)</f>
        <v>100</v>
      </c>
      <c r="F77" s="94">
        <f ca="1">IF(controls!$B$44=0,H77-'main page'!$K$27*M76,H77-'main page'!$K$27*M76+'main page'!$K$31*AB76)</f>
        <v>100</v>
      </c>
      <c r="G77" s="75">
        <f ca="1">IF(controls!$B$44=0,I77-'main page'!$K$27*M76,I77-'main page'!$K$27*M76+'main page'!$K$31*'normal case'!AB76)</f>
        <v>100</v>
      </c>
      <c r="H77" s="75">
        <f t="shared" ca="1" si="5"/>
        <v>108</v>
      </c>
      <c r="I77" s="75">
        <f t="shared" ca="1" si="6"/>
        <v>108</v>
      </c>
      <c r="L77" s="75">
        <f ca="1">IF(ABS('main page'!$K$29*L76+(1-'main page'!$K$29)*(controls!$B$9/100)*100+'main page'!$K$25*(D77-B77)-L76)&lt;0.0000001,L76,'main page'!$K$29*L76+(1-'main page'!$K$29)*(controls!$B$9/100)*100+'main page'!$K$25*(D77-B77))</f>
        <v>2</v>
      </c>
      <c r="M77" s="96">
        <f ca="1">IF(controls!$B$10=1,M76,IF(SUM(controls!$B$44:$B$46)=2,N77-'main page'!$K$29*'normal case'!L77-(1-'main page'!$K$29)*'main page'!$K$32,N77-'main page'!$K$29*'normal case'!L77-(1-'main page'!$K$29)*controls!$B$9))</f>
        <v>4</v>
      </c>
      <c r="N77" s="208">
        <f ca="1">IF(controls!$B$45=1,IF(controls!$B$46=1,'main page'!$K$24+'main page'!$K$11+'main page'!$U$8,'main page'!$K$24+'main page'!$K$11+'main page'!$K$32),IF(controls!$B$44=1,IF(O77&lt;0,0,O77),IF(O77+'main page'!$K$11&lt;0,0,O77+'main page'!$K$11)))</f>
        <v>6</v>
      </c>
      <c r="O77" s="76">
        <f ca="1">IF(controls!$B$10=1,'normal case'!M77+'normal case'!L77,'normal case'!P77)</f>
        <v>6</v>
      </c>
      <c r="P77" s="74">
        <f t="shared" ca="1" si="8"/>
        <v>6</v>
      </c>
      <c r="Q77" s="210">
        <f ca="1">IF(controls!$B$44=0,R77+'main page'!$K$29*L77+(1-'main page'!$K$29)*controls!$B$9+(('main page'!$K$25*'main page'!$U$13*'main page'!$K$29)/('main page'!$K$27*(1+('main page'!$K$25^2)*'main page'!$U$13)))*(L77-controls!$B$9),R77+'main page'!$K$29*L77+(1-'main page'!$K$29)*controls!$B$9+(('main page'!$K$25*'main page'!$U$13*'normal case'!$AO$3)/'normal case'!$AO$4)*('normal case'!L77-controls!$B$9))</f>
        <v>6</v>
      </c>
      <c r="R77" s="98">
        <f ca="1">IF(controls!$B$44=1,'main page'!$K$24+'main page'!$K$11,IF(controls!$B$33=1,((I78-D77*W78-B78+B77*V78)/'main page'!$K$27)-'main page'!$K$11,((H78-D77*W78-B78+B77*V78)/'main page'!$K$27)-'main page'!$K$11))</f>
        <v>4</v>
      </c>
      <c r="T77" s="71">
        <f>IF(controls!$B$6=1,$AL$3*(1+('main page'!$K$35/100))^U77-$AL$3*(1+('main page'!$K$35/100))^U76,$AL$3*(1+('main page'!$G$8/100))*(1+('main page'!$K$35/100))^U77-$AL$3*(1+('main page'!$G$8/100))*(1+('main page'!$K$35/100))^U76)</f>
        <v>0</v>
      </c>
      <c r="U77" s="73">
        <v>70</v>
      </c>
      <c r="V77" s="161">
        <f ca="1">IF(controls!$B$4=1,IF(controls!$H76=1,controls!$B$34*V76+RAND()*('main page'!$K$16/100)-RAND()*('main page'!$K$16/100),0),0)</f>
        <v>0</v>
      </c>
      <c r="W77" s="40">
        <f ca="1">IF(controls!$B$4=1,IF(controls!$I76=1,controls!$B$34*W76+RAND()*('main page'!$K$16/100)-RAND()*('main page'!$K$16/100),0),0)</f>
        <v>0</v>
      </c>
      <c r="X77" s="49">
        <f ca="1">IF(controls!$B$33=1,D77-($I$3-'main page'!$K$27*2)*(1+('main page'!$K$35/100))^A76,D77-$AL$4)</f>
        <v>0</v>
      </c>
      <c r="Y77" s="49">
        <f ca="1">ABS(L77-(controls!$B$9/100)*100)</f>
        <v>0</v>
      </c>
      <c r="AA77" s="49" t="e">
        <f ca="1">IF(controls!$B$33=1,(B78-B77*V78-I78+D77*W78+'main page'!$K$27*('main page'!$K$24+'main page'!$K$11))/'main page'!$K$31,(B78-B77*V78+D77*W78-H78+'main page'!$K$27*('main page'!$K$24+'main page'!$K$11))/'main page'!$K$31)</f>
        <v>#DIV/0!</v>
      </c>
      <c r="AB77" s="49" t="e">
        <f ca="1">IF(controls!$B$45=1,LOG(AF77,1.01)+LOG(AE77,1.01)-LOG(AD77,1.01),-((M77-('main page'!$K$24+'main page'!$K$11))/(1-'normal case'!$AO$3))+'normal case'!AA77)</f>
        <v>#DIV/0!</v>
      </c>
      <c r="AC77" s="176" t="e">
        <f t="shared" ca="1" si="9"/>
        <v>#DIV/0!</v>
      </c>
      <c r="AD77" s="49">
        <f t="shared" ca="1" si="10"/>
        <v>4.3292504462035977</v>
      </c>
      <c r="AE77" s="49">
        <f>AE76*(1+'main page'!$K$32/100)</f>
        <v>1</v>
      </c>
      <c r="AF77" s="49" t="e">
        <f ca="1">IF(ABS(IF(controls!$B$45=1,$AL$13,AD77*AC77/AE77)-AF76)&lt;0.00001,AF76,IF(controls!$B$45=1,$AL$13,AD77*AC77/AE77))</f>
        <v>#DIV/0!</v>
      </c>
      <c r="AG77" s="49">
        <f>IF(controls!$B$46=0,0,IF(controls!$B$33=2,B78-B77*V78-('normal case'!H78-D77*W78-'main page'!$K$27*'normal case'!M77+'main page'!$K$31*'normal case'!AB77)-(('main page'!$K$25*'main page'!$U$13*'main page'!$K$29)/(1+('main page'!$K$25^2)*'main page'!$U$13))*('normal case'!L77-'main page'!$U$8),B78-B77*V78-('normal case'!I78-D77*W78-'main page'!$K$27*'normal case'!M77+'main page'!$K$31*'normal case'!AB77)-(('main page'!$K$25*'main page'!$U$13*'main page'!$K$29)/(1+('main page'!$K$25^2)*'main page'!$U$13))*('normal case'!L77-'main page'!$U$8)))</f>
        <v>0</v>
      </c>
      <c r="AN77" s="40"/>
      <c r="AO77" s="40"/>
    </row>
    <row r="78" spans="1:41">
      <c r="A78" s="48">
        <v>76</v>
      </c>
      <c r="B78" s="75">
        <f ca="1">IF(controls!$B$33=1,B77*(1+V78)+T78,B77*(1+V78))</f>
        <v>100</v>
      </c>
      <c r="C78" s="80">
        <f t="shared" ca="1" si="11"/>
        <v>0</v>
      </c>
      <c r="D78" s="77">
        <f t="shared" ca="1" si="7"/>
        <v>100</v>
      </c>
      <c r="E78" s="77">
        <f ca="1">AG77+IF(controls!$B$33=1,G78,F78)</f>
        <v>100</v>
      </c>
      <c r="F78" s="94">
        <f ca="1">IF(controls!$B$44=0,H78-'main page'!$K$27*M77,H78-'main page'!$K$27*M77+'main page'!$K$31*AB77)</f>
        <v>100</v>
      </c>
      <c r="G78" s="75">
        <f ca="1">IF(controls!$B$44=0,I78-'main page'!$K$27*M77,I78-'main page'!$K$27*M77+'main page'!$K$31*'normal case'!AB77)</f>
        <v>100</v>
      </c>
      <c r="H78" s="75">
        <f t="shared" ca="1" si="5"/>
        <v>108</v>
      </c>
      <c r="I78" s="75">
        <f t="shared" ca="1" si="6"/>
        <v>108</v>
      </c>
      <c r="L78" s="75">
        <f ca="1">IF(ABS('main page'!$K$29*L77+(1-'main page'!$K$29)*(controls!$B$9/100)*100+'main page'!$K$25*(D78-B78)-L77)&lt;0.0000001,L77,'main page'!$K$29*L77+(1-'main page'!$K$29)*(controls!$B$9/100)*100+'main page'!$K$25*(D78-B78))</f>
        <v>2</v>
      </c>
      <c r="M78" s="96">
        <f ca="1">IF(controls!$B$10=1,M77,IF(SUM(controls!$B$44:$B$46)=2,N78-'main page'!$K$29*'normal case'!L78-(1-'main page'!$K$29)*'main page'!$K$32,N78-'main page'!$K$29*'normal case'!L78-(1-'main page'!$K$29)*controls!$B$9))</f>
        <v>4</v>
      </c>
      <c r="N78" s="208">
        <f ca="1">IF(controls!$B$45=1,IF(controls!$B$46=1,'main page'!$K$24+'main page'!$K$11+'main page'!$U$8,'main page'!$K$24+'main page'!$K$11+'main page'!$K$32),IF(controls!$B$44=1,IF(O78&lt;0,0,O78),IF(O78+'main page'!$K$11&lt;0,0,O78+'main page'!$K$11)))</f>
        <v>6</v>
      </c>
      <c r="O78" s="76">
        <f ca="1">IF(controls!$B$10=1,'normal case'!M78+'normal case'!L78,'normal case'!P78)</f>
        <v>6</v>
      </c>
      <c r="P78" s="74">
        <f t="shared" ca="1" si="8"/>
        <v>6</v>
      </c>
      <c r="Q78" s="210">
        <f ca="1">IF(controls!$B$44=0,R78+'main page'!$K$29*L78+(1-'main page'!$K$29)*controls!$B$9+(('main page'!$K$25*'main page'!$U$13*'main page'!$K$29)/('main page'!$K$27*(1+('main page'!$K$25^2)*'main page'!$U$13)))*(L78-controls!$B$9),R78+'main page'!$K$29*L78+(1-'main page'!$K$29)*controls!$B$9+(('main page'!$K$25*'main page'!$U$13*'normal case'!$AO$3)/'normal case'!$AO$4)*('normal case'!L78-controls!$B$9))</f>
        <v>6</v>
      </c>
      <c r="R78" s="98">
        <f ca="1">IF(controls!$B$44=1,'main page'!$K$24+'main page'!$K$11,IF(controls!$B$33=1,((I79-D78*W79-B79+B78*V79)/'main page'!$K$27)-'main page'!$K$11,((H79-D78*W79-B79+B78*V79)/'main page'!$K$27)-'main page'!$K$11))</f>
        <v>4</v>
      </c>
      <c r="T78" s="71">
        <f>IF(controls!$B$6=1,$AL$3*(1+('main page'!$K$35/100))^U78-$AL$3*(1+('main page'!$K$35/100))^U77,$AL$3*(1+('main page'!$G$8/100))*(1+('main page'!$K$35/100))^U78-$AL$3*(1+('main page'!$G$8/100))*(1+('main page'!$K$35/100))^U77)</f>
        <v>0</v>
      </c>
      <c r="U78" s="73">
        <v>71</v>
      </c>
      <c r="V78" s="161">
        <v>0</v>
      </c>
      <c r="W78" s="40">
        <v>0</v>
      </c>
      <c r="X78" s="49">
        <f ca="1">IF(controls!$B$33=1,D78-($I$3-'main page'!$K$27*2)*(1+('main page'!$K$35/100))^A77,D78-$AL$4)</f>
        <v>0</v>
      </c>
      <c r="Y78" s="49">
        <f ca="1">ABS(L78-(controls!$B$9/100)*100)</f>
        <v>0</v>
      </c>
      <c r="AA78" s="49" t="e">
        <f ca="1">IF(controls!$B$33=1,(B79-B78*V79-I79+D78*W79+'main page'!$K$27*('main page'!$K$24+'main page'!$K$11))/'main page'!$K$31,(B79-B78*V79+D78*W79-H79+'main page'!$K$27*('main page'!$K$24+'main page'!$K$11))/'main page'!$K$31)</f>
        <v>#DIV/0!</v>
      </c>
      <c r="AB78" s="49" t="e">
        <f ca="1">IF(controls!$B$45=1,LOG(AF78,1.01)+LOG(AE78,1.01)-LOG(AD78,1.01),-((M78-('main page'!$K$24+'main page'!$K$11))/(1-'normal case'!$AO$3))+'normal case'!AA78)</f>
        <v>#DIV/0!</v>
      </c>
      <c r="AC78" s="176" t="e">
        <f t="shared" ca="1" si="9"/>
        <v>#DIV/0!</v>
      </c>
      <c r="AD78" s="49">
        <f t="shared" ca="1" si="10"/>
        <v>4.4158354551276693</v>
      </c>
      <c r="AE78" s="49">
        <f>AE77*(1+'main page'!$K$32/100)</f>
        <v>1</v>
      </c>
      <c r="AF78" s="49" t="e">
        <f ca="1">IF(ABS(IF(controls!$B$45=1,$AL$13,AD78*AC78/AE78)-AF77)&lt;0.00001,AF77,IF(controls!$B$45=1,$AL$13,AD78*AC78/AE78))</f>
        <v>#DIV/0!</v>
      </c>
      <c r="AG78" s="49">
        <f>IF(controls!$B$46=0,0,IF(controls!$B$33=2,B79-B78*V79-('normal case'!H79-D78*W79-'main page'!$K$27*'normal case'!M78+'main page'!$K$31*'normal case'!AB78)-(('main page'!$K$25*'main page'!$U$13*'main page'!$K$29)/(1+('main page'!$K$25^2)*'main page'!$U$13))*('normal case'!L78-'main page'!$U$8),B79-B78*V79-('normal case'!I79-D78*W79-'main page'!$K$27*'normal case'!M78+'main page'!$K$31*'normal case'!AB78)-(('main page'!$K$25*'main page'!$U$13*'main page'!$K$29)/(1+('main page'!$K$25^2)*'main page'!$U$13))*('normal case'!L78-'main page'!$U$8)))</f>
        <v>0</v>
      </c>
      <c r="AN78" s="40"/>
      <c r="AO78" s="40"/>
    </row>
    <row r="79" spans="1:41">
      <c r="A79" s="48">
        <v>77</v>
      </c>
      <c r="B79" s="75">
        <f ca="1">IF(controls!$B$33=1,B78*(1+V79)+T79,B78*(1+V79))</f>
        <v>100</v>
      </c>
      <c r="C79" s="80">
        <f t="shared" ca="1" si="11"/>
        <v>0</v>
      </c>
      <c r="D79" s="77">
        <f t="shared" ca="1" si="7"/>
        <v>100</v>
      </c>
      <c r="E79" s="77">
        <f ca="1">AG78+IF(controls!$B$33=1,G79,F79)</f>
        <v>100</v>
      </c>
      <c r="F79" s="94">
        <f ca="1">IF(controls!$B$44=0,H79-'main page'!$K$27*M78,H79-'main page'!$K$27*M78+'main page'!$K$31*AB78)</f>
        <v>100</v>
      </c>
      <c r="G79" s="75">
        <f ca="1">IF(controls!$B$44=0,I79-'main page'!$K$27*M78,I79-'main page'!$K$27*M78+'main page'!$K$31*'normal case'!AB78)</f>
        <v>100</v>
      </c>
      <c r="H79" s="75">
        <f t="shared" ca="1" si="5"/>
        <v>108</v>
      </c>
      <c r="I79" s="75">
        <f t="shared" ca="1" si="6"/>
        <v>108</v>
      </c>
      <c r="L79" s="75">
        <f ca="1">IF(ABS('main page'!$K$29*L78+(1-'main page'!$K$29)*(controls!$B$9/100)*100+'main page'!$K$25*(D79-B79)-L78)&lt;0.0000001,L78,'main page'!$K$29*L78+(1-'main page'!$K$29)*(controls!$B$9/100)*100+'main page'!$K$25*(D79-B79))</f>
        <v>2</v>
      </c>
      <c r="M79" s="96">
        <f ca="1">IF(controls!$B$10=1,M78,IF(SUM(controls!$B$44:$B$46)=2,N79-'main page'!$K$29*'normal case'!L79-(1-'main page'!$K$29)*'main page'!$K$32,N79-'main page'!$K$29*'normal case'!L79-(1-'main page'!$K$29)*controls!$B$9))</f>
        <v>4</v>
      </c>
      <c r="N79" s="208">
        <f ca="1">IF(controls!$B$45=1,IF(controls!$B$46=1,'main page'!$K$24+'main page'!$K$11+'main page'!$U$8,'main page'!$K$24+'main page'!$K$11+'main page'!$K$32),IF(controls!$B$44=1,IF(O79&lt;0,0,O79),IF(O79+'main page'!$K$11&lt;0,0,O79+'main page'!$K$11)))</f>
        <v>6</v>
      </c>
      <c r="O79" s="76">
        <f ca="1">IF(controls!$B$10=1,'normal case'!M79+'normal case'!L79,'normal case'!P79)</f>
        <v>6</v>
      </c>
      <c r="P79" s="74">
        <f t="shared" ca="1" si="8"/>
        <v>6</v>
      </c>
      <c r="Q79" s="210">
        <f ca="1">IF(controls!$B$44=0,R79+'main page'!$K$29*L79+(1-'main page'!$K$29)*controls!$B$9+(('main page'!$K$25*'main page'!$U$13*'main page'!$K$29)/('main page'!$K$27*(1+('main page'!$K$25^2)*'main page'!$U$13)))*(L79-controls!$B$9),R79+'main page'!$K$29*L79+(1-'main page'!$K$29)*controls!$B$9+(('main page'!$K$25*'main page'!$U$13*'normal case'!$AO$3)/'normal case'!$AO$4)*('normal case'!L79-controls!$B$9))</f>
        <v>6</v>
      </c>
      <c r="R79" s="98">
        <f ca="1">IF(controls!$B$44=1,'main page'!$K$24+'main page'!$K$11,IF(controls!$B$33=1,((I80-D79*W80-B80+B79*V80)/'main page'!$K$27)-'main page'!$K$11,((H80-D79*W80-B80+B79*V80)/'main page'!$K$27)-'main page'!$K$11))</f>
        <v>4</v>
      </c>
      <c r="T79" s="71">
        <f>IF(controls!$B$6=1,$AL$3*(1+('main page'!$K$35/100))^U79-$AL$3*(1+('main page'!$K$35/100))^U78,$AL$3*(1+('main page'!$G$8/100))*(1+('main page'!$K$35/100))^U79-$AL$3*(1+('main page'!$G$8/100))*(1+('main page'!$K$35/100))^U78)</f>
        <v>0</v>
      </c>
      <c r="U79" s="73">
        <v>72</v>
      </c>
      <c r="V79" s="161">
        <v>0</v>
      </c>
      <c r="W79" s="40">
        <v>0</v>
      </c>
      <c r="X79" s="49">
        <f ca="1">IF(controls!$B$33=1,D79-($I$3-'main page'!$K$27*2)*(1+('main page'!$K$35/100))^A78,D79-$AL$4)</f>
        <v>0</v>
      </c>
      <c r="Y79" s="49">
        <f ca="1">ABS(L79-(controls!$B$9/100)*100)</f>
        <v>0</v>
      </c>
      <c r="AA79" s="49" t="e">
        <f ca="1">IF(controls!$B$33=1,(B80-B79*V80-I80+D79*W80+'main page'!$K$27*('main page'!$K$24+'main page'!$K$11))/'main page'!$K$31,(B80-B79*V80+D79*W80-H80+'main page'!$K$27*('main page'!$K$24+'main page'!$K$11))/'main page'!$K$31)</f>
        <v>#DIV/0!</v>
      </c>
      <c r="AB79" s="49" t="e">
        <f ca="1">IF(controls!$B$45=1,LOG(AF79,1.01)+LOG(AE79,1.01)-LOG(AD79,1.01),-((M79-('main page'!$K$24+'main page'!$K$11))/(1-'normal case'!$AO$3))+'normal case'!AA79)</f>
        <v>#DIV/0!</v>
      </c>
      <c r="AC79" s="176" t="e">
        <f t="shared" ca="1" si="9"/>
        <v>#DIV/0!</v>
      </c>
      <c r="AD79" s="49">
        <f t="shared" ca="1" si="10"/>
        <v>4.5041521642302227</v>
      </c>
      <c r="AE79" s="49">
        <f>AE78*(1+'main page'!$K$32/100)</f>
        <v>1</v>
      </c>
      <c r="AF79" s="49" t="e">
        <f ca="1">IF(ABS(IF(controls!$B$45=1,$AL$13,AD79*AC79/AE79)-AF78)&lt;0.00001,AF78,IF(controls!$B$45=1,$AL$13,AD79*AC79/AE79))</f>
        <v>#DIV/0!</v>
      </c>
      <c r="AG79" s="49">
        <f>IF(controls!$B$46=0,0,IF(controls!$B$33=2,B80-B79*V80-('normal case'!H80-D79*W80-'main page'!$K$27*'normal case'!M79+'main page'!$K$31*'normal case'!AB79)-(('main page'!$K$25*'main page'!$U$13*'main page'!$K$29)/(1+('main page'!$K$25^2)*'main page'!$U$13))*('normal case'!L79-'main page'!$U$8),B80-B79*V80-('normal case'!I80-D79*W80-'main page'!$K$27*'normal case'!M79+'main page'!$K$31*'normal case'!AB79)-(('main page'!$K$25*'main page'!$U$13*'main page'!$K$29)/(1+('main page'!$K$25^2)*'main page'!$U$13))*('normal case'!L79-'main page'!$U$8)))</f>
        <v>0</v>
      </c>
      <c r="AN79" s="40"/>
      <c r="AO79" s="40"/>
    </row>
    <row r="80" spans="1:41">
      <c r="A80" s="48">
        <v>78</v>
      </c>
      <c r="B80" s="75">
        <f ca="1">IF(controls!$B$33=1,B79*(1+V80)+T80,B79*(1+V80))</f>
        <v>100</v>
      </c>
      <c r="C80" s="80">
        <f t="shared" ca="1" si="11"/>
        <v>0</v>
      </c>
      <c r="D80" s="77">
        <f t="shared" ca="1" si="7"/>
        <v>100</v>
      </c>
      <c r="E80" s="77">
        <f ca="1">AG79+IF(controls!$B$33=1,G80,F80)</f>
        <v>100</v>
      </c>
      <c r="F80" s="94">
        <f ca="1">IF(controls!$B$44=0,H80-'main page'!$K$27*M79,H80-'main page'!$K$27*M79+'main page'!$K$31*AB79)</f>
        <v>100</v>
      </c>
      <c r="G80" s="75">
        <f ca="1">IF(controls!$B$44=0,I80-'main page'!$K$27*M79,I80-'main page'!$K$27*M79+'main page'!$K$31*'normal case'!AB79)</f>
        <v>100</v>
      </c>
      <c r="H80" s="75">
        <f t="shared" ca="1" si="5"/>
        <v>108</v>
      </c>
      <c r="I80" s="75">
        <f t="shared" ca="1" si="6"/>
        <v>108</v>
      </c>
      <c r="L80" s="75">
        <f ca="1">IF(ABS('main page'!$K$29*L79+(1-'main page'!$K$29)*(controls!$B$9/100)*100+'main page'!$K$25*(D80-B80)-L79)&lt;0.0000001,L79,'main page'!$K$29*L79+(1-'main page'!$K$29)*(controls!$B$9/100)*100+'main page'!$K$25*(D80-B80))</f>
        <v>2</v>
      </c>
      <c r="M80" s="96">
        <f ca="1">IF(controls!$B$10=1,M79,IF(SUM(controls!$B$44:$B$46)=2,N80-'main page'!$K$29*'normal case'!L80-(1-'main page'!$K$29)*'main page'!$K$32,N80-'main page'!$K$29*'normal case'!L80-(1-'main page'!$K$29)*controls!$B$9))</f>
        <v>4</v>
      </c>
      <c r="N80" s="208">
        <f ca="1">IF(controls!$B$45=1,IF(controls!$B$46=1,'main page'!$K$24+'main page'!$K$11+'main page'!$U$8,'main page'!$K$24+'main page'!$K$11+'main page'!$K$32),IF(controls!$B$44=1,IF(O80&lt;0,0,O80),IF(O80+'main page'!$K$11&lt;0,0,O80+'main page'!$K$11)))</f>
        <v>6</v>
      </c>
      <c r="O80" s="76">
        <f ca="1">IF(controls!$B$10=1,'normal case'!M80+'normal case'!L80,'normal case'!P80)</f>
        <v>6</v>
      </c>
      <c r="P80" s="74">
        <f t="shared" ca="1" si="8"/>
        <v>6</v>
      </c>
      <c r="Q80" s="210">
        <f ca="1">IF(controls!$B$44=0,R80+'main page'!$K$29*L80+(1-'main page'!$K$29)*controls!$B$9+(('main page'!$K$25*'main page'!$U$13*'main page'!$K$29)/('main page'!$K$27*(1+('main page'!$K$25^2)*'main page'!$U$13)))*(L80-controls!$B$9),R80+'main page'!$K$29*L80+(1-'main page'!$K$29)*controls!$B$9+(('main page'!$K$25*'main page'!$U$13*'normal case'!$AO$3)/'normal case'!$AO$4)*('normal case'!L80-controls!$B$9))</f>
        <v>6</v>
      </c>
      <c r="R80" s="98">
        <f ca="1">IF(controls!$B$44=1,'main page'!$K$24+'main page'!$K$11,IF(controls!$B$33=1,((I81-D80*W81-B81+B80*V81)/'main page'!$K$27)-'main page'!$K$11,((H81-D80*W81-B81+B80*V81)/'main page'!$K$27)-'main page'!$K$11))</f>
        <v>4</v>
      </c>
      <c r="T80" s="71">
        <f>IF(controls!$B$6=1,$AL$3*(1+('main page'!$K$35/100))^U80-$AL$3*(1+('main page'!$K$35/100))^U79,$AL$3*(1+('main page'!$G$8/100))*(1+('main page'!$K$35/100))^U80-$AL$3*(1+('main page'!$G$8/100))*(1+('main page'!$K$35/100))^U79)</f>
        <v>0</v>
      </c>
      <c r="U80" s="73">
        <v>73</v>
      </c>
      <c r="V80" s="161">
        <f ca="1">IF(controls!$B$4=1,IF(controls!$H79=1,controls!$B$34*V79+RAND()*('main page'!$K$16/100)-RAND()*('main page'!$K$16/100),0),0)</f>
        <v>0</v>
      </c>
      <c r="W80" s="40">
        <f ca="1">IF(controls!$B$4=1,IF(controls!$I79=1,controls!$B$34*W79+RAND()*('main page'!$K$16/100)-RAND()*('main page'!$K$16/100),0),0)</f>
        <v>0</v>
      </c>
      <c r="X80" s="49">
        <f ca="1">IF(controls!$B$33=1,D80-($I$3-'main page'!$K$27*2)*(1+('main page'!$K$35/100))^A79,D80-$AL$4)</f>
        <v>0</v>
      </c>
      <c r="Y80" s="49">
        <f ca="1">ABS(L80-(controls!$B$9/100)*100)</f>
        <v>0</v>
      </c>
      <c r="AA80" s="49" t="e">
        <f ca="1">IF(controls!$B$33=1,(B81-B80*V81-I81+D80*W81+'main page'!$K$27*('main page'!$K$24+'main page'!$K$11))/'main page'!$K$31,(B81-B80*V81+D80*W81-H81+'main page'!$K$27*('main page'!$K$24+'main page'!$K$11))/'main page'!$K$31)</f>
        <v>#DIV/0!</v>
      </c>
      <c r="AB80" s="49" t="e">
        <f ca="1">IF(controls!$B$45=1,LOG(AF80,1.01)+LOG(AE80,1.01)-LOG(AD80,1.01),-((M80-('main page'!$K$24+'main page'!$K$11))/(1-'normal case'!$AO$3))+'normal case'!AA80)</f>
        <v>#DIV/0!</v>
      </c>
      <c r="AC80" s="176" t="e">
        <f t="shared" ca="1" si="9"/>
        <v>#DIV/0!</v>
      </c>
      <c r="AD80" s="49">
        <f t="shared" ca="1" si="10"/>
        <v>4.5942352075148269</v>
      </c>
      <c r="AE80" s="49">
        <f>AE79*(1+'main page'!$K$32/100)</f>
        <v>1</v>
      </c>
      <c r="AF80" s="49" t="e">
        <f ca="1">IF(ABS(IF(controls!$B$45=1,$AL$13,AD80*AC80/AE80)-AF79)&lt;0.00001,AF79,IF(controls!$B$45=1,$AL$13,AD80*AC80/AE80))</f>
        <v>#DIV/0!</v>
      </c>
      <c r="AG80" s="49">
        <f>IF(controls!$B$46=0,0,IF(controls!$B$33=2,B81-B80*V81-('normal case'!H81-D80*W81-'main page'!$K$27*'normal case'!M80+'main page'!$K$31*'normal case'!AB80)-(('main page'!$K$25*'main page'!$U$13*'main page'!$K$29)/(1+('main page'!$K$25^2)*'main page'!$U$13))*('normal case'!L80-'main page'!$U$8),B81-B80*V81-('normal case'!I81-D80*W81-'main page'!$K$27*'normal case'!M80+'main page'!$K$31*'normal case'!AB80)-(('main page'!$K$25*'main page'!$U$13*'main page'!$K$29)/(1+('main page'!$K$25^2)*'main page'!$U$13))*('normal case'!L80-'main page'!$U$8)))</f>
        <v>0</v>
      </c>
      <c r="AN80" s="40"/>
      <c r="AO80" s="40"/>
    </row>
    <row r="81" spans="1:41">
      <c r="A81" s="48">
        <v>79</v>
      </c>
      <c r="B81" s="75">
        <f ca="1">IF(controls!$B$33=1,B80*(1+V81)+T81,B80*(1+V81))</f>
        <v>100</v>
      </c>
      <c r="C81" s="80">
        <f t="shared" ca="1" si="11"/>
        <v>0</v>
      </c>
      <c r="D81" s="77">
        <f t="shared" ca="1" si="7"/>
        <v>100</v>
      </c>
      <c r="E81" s="77">
        <f ca="1">AG80+IF(controls!$B$33=1,G81,F81)</f>
        <v>100</v>
      </c>
      <c r="F81" s="94">
        <f ca="1">IF(controls!$B$44=0,H81-'main page'!$K$27*M80,H81-'main page'!$K$27*M80+'main page'!$K$31*AB80)</f>
        <v>100</v>
      </c>
      <c r="G81" s="75">
        <f ca="1">IF(controls!$B$44=0,I81-'main page'!$K$27*M80,I81-'main page'!$K$27*M80+'main page'!$K$31*'normal case'!AB80)</f>
        <v>100</v>
      </c>
      <c r="H81" s="75">
        <f t="shared" ca="1" si="5"/>
        <v>108</v>
      </c>
      <c r="I81" s="75">
        <f t="shared" ca="1" si="6"/>
        <v>108</v>
      </c>
      <c r="L81" s="75">
        <f ca="1">IF(ABS('main page'!$K$29*L80+(1-'main page'!$K$29)*(controls!$B$9/100)*100+'main page'!$K$25*(D81-B81)-L80)&lt;0.0000001,L80,'main page'!$K$29*L80+(1-'main page'!$K$29)*(controls!$B$9/100)*100+'main page'!$K$25*(D81-B81))</f>
        <v>2</v>
      </c>
      <c r="M81" s="96">
        <f ca="1">IF(controls!$B$10=1,M80,IF(SUM(controls!$B$44:$B$46)=2,N81-'main page'!$K$29*'normal case'!L81-(1-'main page'!$K$29)*'main page'!$K$32,N81-'main page'!$K$29*'normal case'!L81-(1-'main page'!$K$29)*controls!$B$9))</f>
        <v>4</v>
      </c>
      <c r="N81" s="208">
        <f ca="1">IF(controls!$B$45=1,IF(controls!$B$46=1,'main page'!$K$24+'main page'!$K$11+'main page'!$U$8,'main page'!$K$24+'main page'!$K$11+'main page'!$K$32),IF(controls!$B$44=1,IF(O81&lt;0,0,O81),IF(O81+'main page'!$K$11&lt;0,0,O81+'main page'!$K$11)))</f>
        <v>6</v>
      </c>
      <c r="O81" s="76">
        <f ca="1">IF(controls!$B$10=1,'normal case'!M81+'normal case'!L81,'normal case'!P81)</f>
        <v>6</v>
      </c>
      <c r="P81" s="74">
        <f t="shared" ca="1" si="8"/>
        <v>6</v>
      </c>
      <c r="Q81" s="210">
        <f ca="1">IF(controls!$B$44=0,R81+'main page'!$K$29*L81+(1-'main page'!$K$29)*controls!$B$9+(('main page'!$K$25*'main page'!$U$13*'main page'!$K$29)/('main page'!$K$27*(1+('main page'!$K$25^2)*'main page'!$U$13)))*(L81-controls!$B$9),R81+'main page'!$K$29*L81+(1-'main page'!$K$29)*controls!$B$9+(('main page'!$K$25*'main page'!$U$13*'normal case'!$AO$3)/'normal case'!$AO$4)*('normal case'!L81-controls!$B$9))</f>
        <v>6</v>
      </c>
      <c r="R81" s="98">
        <f ca="1">IF(controls!$B$44=1,'main page'!$K$24+'main page'!$K$11,IF(controls!$B$33=1,((I82-D81*W82-B82+B81*V82)/'main page'!$K$27)-'main page'!$K$11,((H82-D81*W82-B82+B81*V82)/'main page'!$K$27)-'main page'!$K$11))</f>
        <v>4</v>
      </c>
      <c r="T81" s="71">
        <f>IF(controls!$B$6=1,$AL$3*(1+('main page'!$K$35/100))^U81-$AL$3*(1+('main page'!$K$35/100))^U80,$AL$3*(1+('main page'!$G$8/100))*(1+('main page'!$K$35/100))^U81-$AL$3*(1+('main page'!$G$8/100))*(1+('main page'!$K$35/100))^U80)</f>
        <v>0</v>
      </c>
      <c r="U81" s="73">
        <v>74</v>
      </c>
      <c r="V81" s="161">
        <v>0</v>
      </c>
      <c r="W81" s="40">
        <v>0</v>
      </c>
      <c r="X81" s="49">
        <f ca="1">IF(controls!$B$33=1,D81-($I$3-'main page'!$K$27*2)*(1+('main page'!$K$35/100))^A80,D81-$AL$4)</f>
        <v>0</v>
      </c>
      <c r="Y81" s="49">
        <f ca="1">ABS(L81-(controls!$B$9/100)*100)</f>
        <v>0</v>
      </c>
      <c r="AA81" s="49" t="e">
        <f ca="1">IF(controls!$B$33=1,(B82-B81*V82-I82+D81*W82+'main page'!$K$27*('main page'!$K$24+'main page'!$K$11))/'main page'!$K$31,(B82-B81*V82+D81*W82-H82+'main page'!$K$27*('main page'!$K$24+'main page'!$K$11))/'main page'!$K$31)</f>
        <v>#DIV/0!</v>
      </c>
      <c r="AB81" s="49" t="e">
        <f ca="1">IF(controls!$B$45=1,LOG(AF81,1.01)+LOG(AE81,1.01)-LOG(AD81,1.01),-((M81-('main page'!$K$24+'main page'!$K$11))/(1-'normal case'!$AO$3))+'normal case'!AA81)</f>
        <v>#DIV/0!</v>
      </c>
      <c r="AC81" s="176" t="e">
        <f t="shared" ca="1" si="9"/>
        <v>#DIV/0!</v>
      </c>
      <c r="AD81" s="49">
        <f t="shared" ca="1" si="10"/>
        <v>4.6861199116651235</v>
      </c>
      <c r="AE81" s="49">
        <f>AE80*(1+'main page'!$K$32/100)</f>
        <v>1</v>
      </c>
      <c r="AF81" s="49" t="e">
        <f ca="1">IF(ABS(IF(controls!$B$45=1,$AL$13,AD81*AC81/AE81)-AF80)&lt;0.00001,AF80,IF(controls!$B$45=1,$AL$13,AD81*AC81/AE81))</f>
        <v>#DIV/0!</v>
      </c>
      <c r="AG81" s="49">
        <f>IF(controls!$B$46=0,0,IF(controls!$B$33=2,B82-B81*V82-('normal case'!H82-D81*W82-'main page'!$K$27*'normal case'!M81+'main page'!$K$31*'normal case'!AB81)-(('main page'!$K$25*'main page'!$U$13*'main page'!$K$29)/(1+('main page'!$K$25^2)*'main page'!$U$13))*('normal case'!L81-'main page'!$U$8),B82-B81*V82-('normal case'!I82-D81*W82-'main page'!$K$27*'normal case'!M81+'main page'!$K$31*'normal case'!AB81)-(('main page'!$K$25*'main page'!$U$13*'main page'!$K$29)/(1+('main page'!$K$25^2)*'main page'!$U$13))*('normal case'!L81-'main page'!$U$8)))</f>
        <v>0</v>
      </c>
      <c r="AN81" s="40"/>
      <c r="AO81" s="40"/>
    </row>
    <row r="82" spans="1:41">
      <c r="A82" s="48">
        <v>80</v>
      </c>
      <c r="B82" s="75">
        <f ca="1">IF(controls!$B$33=1,B81*(1+V82)+T82,B81*(1+V82))</f>
        <v>100</v>
      </c>
      <c r="C82" s="80">
        <f t="shared" ca="1" si="11"/>
        <v>0</v>
      </c>
      <c r="D82" s="77">
        <f t="shared" ca="1" si="7"/>
        <v>100</v>
      </c>
      <c r="E82" s="77">
        <f ca="1">AG81+IF(controls!$B$33=1,G82,F82)</f>
        <v>100</v>
      </c>
      <c r="F82" s="94">
        <f ca="1">IF(controls!$B$44=0,H82-'main page'!$K$27*M81,H82-'main page'!$K$27*M81+'main page'!$K$31*AB81)</f>
        <v>100</v>
      </c>
      <c r="G82" s="75">
        <f ca="1">IF(controls!$B$44=0,I82-'main page'!$K$27*M81,I82-'main page'!$K$27*M81+'main page'!$K$31*'normal case'!AB81)</f>
        <v>100</v>
      </c>
      <c r="H82" s="75">
        <f t="shared" ca="1" si="5"/>
        <v>108</v>
      </c>
      <c r="I82" s="75">
        <f t="shared" ca="1" si="6"/>
        <v>108</v>
      </c>
      <c r="L82" s="75">
        <f ca="1">IF(ABS('main page'!$K$29*L81+(1-'main page'!$K$29)*(controls!$B$9/100)*100+'main page'!$K$25*(D82-B82)-L81)&lt;0.0000001,L81,'main page'!$K$29*L81+(1-'main page'!$K$29)*(controls!$B$9/100)*100+'main page'!$K$25*(D82-B82))</f>
        <v>2</v>
      </c>
      <c r="M82" s="96">
        <f ca="1">IF(controls!$B$10=1,M81,IF(SUM(controls!$B$44:$B$46)=2,N82-'main page'!$K$29*'normal case'!L82-(1-'main page'!$K$29)*'main page'!$K$32,N82-'main page'!$K$29*'normal case'!L82-(1-'main page'!$K$29)*controls!$B$9))</f>
        <v>4</v>
      </c>
      <c r="N82" s="208">
        <f ca="1">IF(controls!$B$45=1,IF(controls!$B$46=1,'main page'!$K$24+'main page'!$K$11+'main page'!$U$8,'main page'!$K$24+'main page'!$K$11+'main page'!$K$32),IF(controls!$B$44=1,IF(O82&lt;0,0,O82),IF(O82+'main page'!$K$11&lt;0,0,O82+'main page'!$K$11)))</f>
        <v>6</v>
      </c>
      <c r="O82" s="76">
        <f ca="1">IF(controls!$B$10=1,'normal case'!M82+'normal case'!L82,'normal case'!P82)</f>
        <v>6</v>
      </c>
      <c r="P82" s="74">
        <f t="shared" ca="1" si="8"/>
        <v>6</v>
      </c>
      <c r="Q82" s="210">
        <f ca="1">IF(controls!$B$44=0,R82+'main page'!$K$29*L82+(1-'main page'!$K$29)*controls!$B$9+(('main page'!$K$25*'main page'!$U$13*'main page'!$K$29)/('main page'!$K$27*(1+('main page'!$K$25^2)*'main page'!$U$13)))*(L82-controls!$B$9),R82+'main page'!$K$29*L82+(1-'main page'!$K$29)*controls!$B$9+(('main page'!$K$25*'main page'!$U$13*'normal case'!$AO$3)/'normal case'!$AO$4)*('normal case'!L82-controls!$B$9))</f>
        <v>6</v>
      </c>
      <c r="R82" s="98">
        <f ca="1">IF(controls!$B$44=1,'main page'!$K$24+'main page'!$K$11,IF(controls!$B$33=1,((I83-D82*W83-B83+B82*V83)/'main page'!$K$27)-'main page'!$K$11,((H83-D82*W83-B83+B82*V83)/'main page'!$K$27)-'main page'!$K$11))</f>
        <v>4</v>
      </c>
      <c r="T82" s="71">
        <f>IF(controls!$B$6=1,$AL$3*(1+('main page'!$K$35/100))^U82-$AL$3*(1+('main page'!$K$35/100))^U81,$AL$3*(1+('main page'!$G$8/100))*(1+('main page'!$K$35/100))^U82-$AL$3*(1+('main page'!$G$8/100))*(1+('main page'!$K$35/100))^U81)</f>
        <v>0</v>
      </c>
      <c r="U82" s="73">
        <v>75</v>
      </c>
      <c r="V82" s="161">
        <v>0</v>
      </c>
      <c r="W82" s="40">
        <v>0</v>
      </c>
      <c r="X82" s="49">
        <f ca="1">IF(controls!$B$33=1,D82-($I$3-'main page'!$K$27*2)*(1+('main page'!$K$35/100))^A81,D82-$AL$4)</f>
        <v>0</v>
      </c>
      <c r="Y82" s="49">
        <f ca="1">ABS(L82-(controls!$B$9/100)*100)</f>
        <v>0</v>
      </c>
      <c r="AA82" s="49" t="e">
        <f ca="1">IF(controls!$B$33=1,(B83-B82*V83-I83+D82*W83+'main page'!$K$27*('main page'!$K$24+'main page'!$K$11))/'main page'!$K$31,(B83-B82*V83+D82*W83-H83+'main page'!$K$27*('main page'!$K$24+'main page'!$K$11))/'main page'!$K$31)</f>
        <v>#DIV/0!</v>
      </c>
      <c r="AB82" s="49" t="e">
        <f ca="1">IF(controls!$B$45=1,LOG(AF82,1.01)+LOG(AE82,1.01)-LOG(AD82,1.01),-((M82-('main page'!$K$24+'main page'!$K$11))/(1-'normal case'!$AO$3))+'normal case'!AA82)</f>
        <v>#DIV/0!</v>
      </c>
      <c r="AC82" s="176" t="e">
        <f t="shared" ca="1" si="9"/>
        <v>#DIV/0!</v>
      </c>
      <c r="AD82" s="49">
        <f t="shared" ca="1" si="10"/>
        <v>4.7798423098984264</v>
      </c>
      <c r="AE82" s="49">
        <f>AE81*(1+'main page'!$K$32/100)</f>
        <v>1</v>
      </c>
      <c r="AF82" s="49" t="e">
        <f ca="1">IF(ABS(IF(controls!$B$45=1,$AL$13,AD82*AC82/AE82)-AF81)&lt;0.00001,AF81,IF(controls!$B$45=1,$AL$13,AD82*AC82/AE82))</f>
        <v>#DIV/0!</v>
      </c>
      <c r="AG82" s="49">
        <f>IF(controls!$B$46=0,0,IF(controls!$B$33=2,B83-B82*V83-('normal case'!H83-D82*W83-'main page'!$K$27*'normal case'!M82+'main page'!$K$31*'normal case'!AB82)-(('main page'!$K$25*'main page'!$U$13*'main page'!$K$29)/(1+('main page'!$K$25^2)*'main page'!$U$13))*('normal case'!L82-'main page'!$U$8),B83-B82*V83-('normal case'!I83-D82*W83-'main page'!$K$27*'normal case'!M82+'main page'!$K$31*'normal case'!AB82)-(('main page'!$K$25*'main page'!$U$13*'main page'!$K$29)/(1+('main page'!$K$25^2)*'main page'!$U$13))*('normal case'!L82-'main page'!$U$8)))</f>
        <v>0</v>
      </c>
      <c r="AN82" s="40"/>
      <c r="AO82" s="40"/>
    </row>
    <row r="83" spans="1:41">
      <c r="A83" s="48">
        <v>81</v>
      </c>
      <c r="B83" s="75">
        <f ca="1">IF(controls!$B$33=1,B82*(1+V83)+T83,B82*(1+V83))</f>
        <v>100</v>
      </c>
      <c r="C83" s="80">
        <f t="shared" ca="1" si="11"/>
        <v>0</v>
      </c>
      <c r="D83" s="77">
        <f t="shared" ca="1" si="7"/>
        <v>100</v>
      </c>
      <c r="E83" s="77">
        <f ca="1">AG82+IF(controls!$B$33=1,G83,F83)</f>
        <v>100</v>
      </c>
      <c r="F83" s="94">
        <f ca="1">IF(controls!$B$44=0,H83-'main page'!$K$27*M82,H83-'main page'!$K$27*M82+'main page'!$K$31*AB82)</f>
        <v>100</v>
      </c>
      <c r="G83" s="75">
        <f ca="1">IF(controls!$B$44=0,I83-'main page'!$K$27*M82,I83-'main page'!$K$27*M82+'main page'!$K$31*'normal case'!AB82)</f>
        <v>100</v>
      </c>
      <c r="H83" s="75">
        <f t="shared" ca="1" si="5"/>
        <v>108</v>
      </c>
      <c r="I83" s="75">
        <f t="shared" ca="1" si="6"/>
        <v>108</v>
      </c>
      <c r="L83" s="75">
        <f ca="1">IF(ABS('main page'!$K$29*L82+(1-'main page'!$K$29)*(controls!$B$9/100)*100+'main page'!$K$25*(D83-B83)-L82)&lt;0.0000001,L82,'main page'!$K$29*L82+(1-'main page'!$K$29)*(controls!$B$9/100)*100+'main page'!$K$25*(D83-B83))</f>
        <v>2</v>
      </c>
      <c r="M83" s="96">
        <f ca="1">IF(controls!$B$10=1,M82,IF(SUM(controls!$B$44:$B$46)=2,N83-'main page'!$K$29*'normal case'!L83-(1-'main page'!$K$29)*'main page'!$K$32,N83-'main page'!$K$29*'normal case'!L83-(1-'main page'!$K$29)*controls!$B$9))</f>
        <v>4</v>
      </c>
      <c r="N83" s="208">
        <f ca="1">IF(controls!$B$45=1,IF(controls!$B$46=1,'main page'!$K$24+'main page'!$K$11+'main page'!$U$8,'main page'!$K$24+'main page'!$K$11+'main page'!$K$32),IF(controls!$B$44=1,IF(O83&lt;0,0,O83),IF(O83+'main page'!$K$11&lt;0,0,O83+'main page'!$K$11)))</f>
        <v>6</v>
      </c>
      <c r="O83" s="76">
        <f ca="1">IF(controls!$B$10=1,'normal case'!M83+'normal case'!L83,'normal case'!P83)</f>
        <v>6</v>
      </c>
      <c r="P83" s="74">
        <f t="shared" ca="1" si="8"/>
        <v>6</v>
      </c>
      <c r="Q83" s="210">
        <f ca="1">IF(controls!$B$44=0,R83+'main page'!$K$29*L83+(1-'main page'!$K$29)*controls!$B$9+(('main page'!$K$25*'main page'!$U$13*'main page'!$K$29)/('main page'!$K$27*(1+('main page'!$K$25^2)*'main page'!$U$13)))*(L83-controls!$B$9),R83+'main page'!$K$29*L83+(1-'main page'!$K$29)*controls!$B$9+(('main page'!$K$25*'main page'!$U$13*'normal case'!$AO$3)/'normal case'!$AO$4)*('normal case'!L83-controls!$B$9))</f>
        <v>6</v>
      </c>
      <c r="R83" s="98">
        <f ca="1">IF(controls!$B$44=1,'main page'!$K$24+'main page'!$K$11,IF(controls!$B$33=1,((I84-D83*W84-B84+B83*V84)/'main page'!$K$27)-'main page'!$K$11,((H84-D83*W84-B84+B83*V84)/'main page'!$K$27)-'main page'!$K$11))</f>
        <v>4</v>
      </c>
      <c r="T83" s="71">
        <f>IF(controls!$B$6=1,$AL$3*(1+('main page'!$K$35/100))^U83-$AL$3*(1+('main page'!$K$35/100))^U82,$AL$3*(1+('main page'!$G$8/100))*(1+('main page'!$K$35/100))^U83-$AL$3*(1+('main page'!$G$8/100))*(1+('main page'!$K$35/100))^U82)</f>
        <v>0</v>
      </c>
      <c r="U83" s="73">
        <v>76</v>
      </c>
      <c r="V83" s="161">
        <f ca="1">IF(controls!$B$4=1,IF(controls!$H82=1,controls!$B$34*V82+RAND()*('main page'!$K$16/100)-RAND()*('main page'!$K$16/100),0),0)</f>
        <v>0</v>
      </c>
      <c r="W83" s="40">
        <f ca="1">IF(controls!$B$4=1,IF(controls!$I82=1,controls!$B$34*W82+RAND()*('main page'!$K$16/100)-RAND()*('main page'!$K$16/100),0),0)</f>
        <v>0</v>
      </c>
      <c r="X83" s="49">
        <f ca="1">IF(controls!$B$33=1,D83-($I$3-'main page'!$K$27*2)*(1+('main page'!$K$35/100))^A82,D83-$AL$4)</f>
        <v>0</v>
      </c>
      <c r="Y83" s="49">
        <f ca="1">ABS(L83-(controls!$B$9/100)*100)</f>
        <v>0</v>
      </c>
      <c r="AA83" s="49" t="e">
        <f ca="1">IF(controls!$B$33=1,(B84-B83*V84-I84+D83*W84+'main page'!$K$27*('main page'!$K$24+'main page'!$K$11))/'main page'!$K$31,(B84-B83*V84+D83*W84-H84+'main page'!$K$27*('main page'!$K$24+'main page'!$K$11))/'main page'!$K$31)</f>
        <v>#DIV/0!</v>
      </c>
      <c r="AB83" s="49" t="e">
        <f ca="1">IF(controls!$B$45=1,LOG(AF83,1.01)+LOG(AE83,1.01)-LOG(AD83,1.01),-((M83-('main page'!$K$24+'main page'!$K$11))/(1-'normal case'!$AO$3))+'normal case'!AA83)</f>
        <v>#DIV/0!</v>
      </c>
      <c r="AC83" s="176" t="e">
        <f t="shared" ca="1" si="9"/>
        <v>#DIV/0!</v>
      </c>
      <c r="AD83" s="49">
        <f t="shared" ca="1" si="10"/>
        <v>4.8754391560963954</v>
      </c>
      <c r="AE83" s="49">
        <f>AE82*(1+'main page'!$K$32/100)</f>
        <v>1</v>
      </c>
      <c r="AF83" s="49" t="e">
        <f ca="1">IF(ABS(IF(controls!$B$45=1,$AL$13,AD83*AC83/AE83)-AF82)&lt;0.00001,AF82,IF(controls!$B$45=1,$AL$13,AD83*AC83/AE83))</f>
        <v>#DIV/0!</v>
      </c>
      <c r="AG83" s="49">
        <f>IF(controls!$B$46=0,0,IF(controls!$B$33=2,B84-B83*V84-('normal case'!H84-D83*W84-'main page'!$K$27*'normal case'!M83+'main page'!$K$31*'normal case'!AB83)-(('main page'!$K$25*'main page'!$U$13*'main page'!$K$29)/(1+('main page'!$K$25^2)*'main page'!$U$13))*('normal case'!L83-'main page'!$U$8),B84-B83*V84-('normal case'!I84-D83*W84-'main page'!$K$27*'normal case'!M83+'main page'!$K$31*'normal case'!AB83)-(('main page'!$K$25*'main page'!$U$13*'main page'!$K$29)/(1+('main page'!$K$25^2)*'main page'!$U$13))*('normal case'!L83-'main page'!$U$8)))</f>
        <v>0</v>
      </c>
      <c r="AN83" s="40"/>
      <c r="AO83" s="40"/>
    </row>
    <row r="84" spans="1:41">
      <c r="A84" s="48">
        <v>82</v>
      </c>
      <c r="B84" s="75">
        <f ca="1">IF(controls!$B$33=1,B83*(1+V84)+T84,B83*(1+V84))</f>
        <v>100</v>
      </c>
      <c r="C84" s="80">
        <f t="shared" ca="1" si="11"/>
        <v>0</v>
      </c>
      <c r="D84" s="77">
        <f t="shared" ca="1" si="7"/>
        <v>100</v>
      </c>
      <c r="E84" s="77">
        <f ca="1">AG83+IF(controls!$B$33=1,G84,F84)</f>
        <v>100</v>
      </c>
      <c r="F84" s="94">
        <f ca="1">IF(controls!$B$44=0,H84-'main page'!$K$27*M83,H84-'main page'!$K$27*M83+'main page'!$K$31*AB83)</f>
        <v>100</v>
      </c>
      <c r="G84" s="75">
        <f ca="1">IF(controls!$B$44=0,I84-'main page'!$K$27*M83,I84-'main page'!$K$27*M83+'main page'!$K$31*'normal case'!AB83)</f>
        <v>100</v>
      </c>
      <c r="H84" s="75">
        <f t="shared" ca="1" si="5"/>
        <v>108</v>
      </c>
      <c r="I84" s="75">
        <f t="shared" ca="1" si="6"/>
        <v>108</v>
      </c>
      <c r="L84" s="75">
        <f ca="1">IF(ABS('main page'!$K$29*L83+(1-'main page'!$K$29)*(controls!$B$9/100)*100+'main page'!$K$25*(D84-B84)-L83)&lt;0.0000001,L83,'main page'!$K$29*L83+(1-'main page'!$K$29)*(controls!$B$9/100)*100+'main page'!$K$25*(D84-B84))</f>
        <v>2</v>
      </c>
      <c r="M84" s="96">
        <f ca="1">IF(controls!$B$10=1,M83,IF(SUM(controls!$B$44:$B$46)=2,N84-'main page'!$K$29*'normal case'!L84-(1-'main page'!$K$29)*'main page'!$K$32,N84-'main page'!$K$29*'normal case'!L84-(1-'main page'!$K$29)*controls!$B$9))</f>
        <v>4</v>
      </c>
      <c r="N84" s="208">
        <f ca="1">IF(controls!$B$45=1,IF(controls!$B$46=1,'main page'!$K$24+'main page'!$K$11+'main page'!$U$8,'main page'!$K$24+'main page'!$K$11+'main page'!$K$32),IF(controls!$B$44=1,IF(O84&lt;0,0,O84),IF(O84+'main page'!$K$11&lt;0,0,O84+'main page'!$K$11)))</f>
        <v>6</v>
      </c>
      <c r="O84" s="76">
        <f ca="1">IF(controls!$B$10=1,'normal case'!M84+'normal case'!L84,'normal case'!P84)</f>
        <v>6</v>
      </c>
      <c r="P84" s="74">
        <f t="shared" ca="1" si="8"/>
        <v>6</v>
      </c>
      <c r="Q84" s="210">
        <f ca="1">IF(controls!$B$44=0,R84+'main page'!$K$29*L84+(1-'main page'!$K$29)*controls!$B$9+(('main page'!$K$25*'main page'!$U$13*'main page'!$K$29)/('main page'!$K$27*(1+('main page'!$K$25^2)*'main page'!$U$13)))*(L84-controls!$B$9),R84+'main page'!$K$29*L84+(1-'main page'!$K$29)*controls!$B$9+(('main page'!$K$25*'main page'!$U$13*'normal case'!$AO$3)/'normal case'!$AO$4)*('normal case'!L84-controls!$B$9))</f>
        <v>6</v>
      </c>
      <c r="R84" s="98">
        <f ca="1">IF(controls!$B$44=1,'main page'!$K$24+'main page'!$K$11,IF(controls!$B$33=1,((I85-D84*W85-B85+B84*V85)/'main page'!$K$27)-'main page'!$K$11,((H85-D84*W85-B85+B84*V85)/'main page'!$K$27)-'main page'!$K$11))</f>
        <v>4</v>
      </c>
      <c r="T84" s="71">
        <f>IF(controls!$B$6=1,$AL$3*(1+('main page'!$K$35/100))^U84-$AL$3*(1+('main page'!$K$35/100))^U83,$AL$3*(1+('main page'!$G$8/100))*(1+('main page'!$K$35/100))^U84-$AL$3*(1+('main page'!$G$8/100))*(1+('main page'!$K$35/100))^U83)</f>
        <v>0</v>
      </c>
      <c r="U84" s="73">
        <v>77</v>
      </c>
      <c r="V84" s="161">
        <v>0</v>
      </c>
      <c r="W84" s="40">
        <v>0</v>
      </c>
      <c r="X84" s="49">
        <f ca="1">IF(controls!$B$33=1,D84-($I$3-'main page'!$K$27*2)*(1+('main page'!$K$35/100))^A83,D84-$AL$4)</f>
        <v>0</v>
      </c>
      <c r="Y84" s="49">
        <f ca="1">ABS(L84-(controls!$B$9/100)*100)</f>
        <v>0</v>
      </c>
      <c r="AA84" s="49" t="e">
        <f ca="1">IF(controls!$B$33=1,(B85-B84*V85-I85+D84*W85+'main page'!$K$27*('main page'!$K$24+'main page'!$K$11))/'main page'!$K$31,(B85-B84*V85+D84*W85-H85+'main page'!$K$27*('main page'!$K$24+'main page'!$K$11))/'main page'!$K$31)</f>
        <v>#DIV/0!</v>
      </c>
      <c r="AB84" s="49" t="e">
        <f ca="1">IF(controls!$B$45=1,LOG(AF84,1.01)+LOG(AE84,1.01)-LOG(AD84,1.01),-((M84-('main page'!$K$24+'main page'!$K$11))/(1-'normal case'!$AO$3))+'normal case'!AA84)</f>
        <v>#DIV/0!</v>
      </c>
      <c r="AC84" s="176" t="e">
        <f t="shared" ca="1" si="9"/>
        <v>#DIV/0!</v>
      </c>
      <c r="AD84" s="49">
        <f t="shared" ca="1" si="10"/>
        <v>4.9729479392183231</v>
      </c>
      <c r="AE84" s="49">
        <f>AE83*(1+'main page'!$K$32/100)</f>
        <v>1</v>
      </c>
      <c r="AF84" s="49" t="e">
        <f ca="1">IF(ABS(IF(controls!$B$45=1,$AL$13,AD84*AC84/AE84)-AF83)&lt;0.00001,AF83,IF(controls!$B$45=1,$AL$13,AD84*AC84/AE84))</f>
        <v>#DIV/0!</v>
      </c>
      <c r="AG84" s="49">
        <f>IF(controls!$B$46=0,0,IF(controls!$B$33=2,B85-B84*V85-('normal case'!H85-D84*W85-'main page'!$K$27*'normal case'!M84+'main page'!$K$31*'normal case'!AB84)-(('main page'!$K$25*'main page'!$U$13*'main page'!$K$29)/(1+('main page'!$K$25^2)*'main page'!$U$13))*('normal case'!L84-'main page'!$U$8),B85-B84*V85-('normal case'!I85-D84*W85-'main page'!$K$27*'normal case'!M84+'main page'!$K$31*'normal case'!AB84)-(('main page'!$K$25*'main page'!$U$13*'main page'!$K$29)/(1+('main page'!$K$25^2)*'main page'!$U$13))*('normal case'!L84-'main page'!$U$8)))</f>
        <v>0</v>
      </c>
      <c r="AN84" s="40"/>
      <c r="AO84" s="40"/>
    </row>
    <row r="85" spans="1:41">
      <c r="A85" s="48">
        <v>83</v>
      </c>
      <c r="B85" s="75">
        <f ca="1">IF(controls!$B$33=1,B84*(1+V85)+T85,B84*(1+V85))</f>
        <v>100</v>
      </c>
      <c r="C85" s="80">
        <f t="shared" ca="1" si="11"/>
        <v>0</v>
      </c>
      <c r="D85" s="77">
        <f t="shared" ca="1" si="7"/>
        <v>100</v>
      </c>
      <c r="E85" s="77">
        <f ca="1">AG84+IF(controls!$B$33=1,G85,F85)</f>
        <v>100</v>
      </c>
      <c r="F85" s="94">
        <f ca="1">IF(controls!$B$44=0,H85-'main page'!$K$27*M84,H85-'main page'!$K$27*M84+'main page'!$K$31*AB84)</f>
        <v>100</v>
      </c>
      <c r="G85" s="75">
        <f ca="1">IF(controls!$B$44=0,I85-'main page'!$K$27*M84,I85-'main page'!$K$27*M84+'main page'!$K$31*'normal case'!AB84)</f>
        <v>100</v>
      </c>
      <c r="H85" s="75">
        <f t="shared" ca="1" si="5"/>
        <v>108</v>
      </c>
      <c r="I85" s="75">
        <f t="shared" ca="1" si="6"/>
        <v>108</v>
      </c>
      <c r="L85" s="75">
        <f ca="1">IF(ABS('main page'!$K$29*L84+(1-'main page'!$K$29)*(controls!$B$9/100)*100+'main page'!$K$25*(D85-B85)-L84)&lt;0.0000001,L84,'main page'!$K$29*L84+(1-'main page'!$K$29)*(controls!$B$9/100)*100+'main page'!$K$25*(D85-B85))</f>
        <v>2</v>
      </c>
      <c r="M85" s="96">
        <f ca="1">IF(controls!$B$10=1,M84,IF(SUM(controls!$B$44:$B$46)=2,N85-'main page'!$K$29*'normal case'!L85-(1-'main page'!$K$29)*'main page'!$K$32,N85-'main page'!$K$29*'normal case'!L85-(1-'main page'!$K$29)*controls!$B$9))</f>
        <v>4</v>
      </c>
      <c r="N85" s="208">
        <f ca="1">IF(controls!$B$45=1,IF(controls!$B$46=1,'main page'!$K$24+'main page'!$K$11+'main page'!$U$8,'main page'!$K$24+'main page'!$K$11+'main page'!$K$32),IF(controls!$B$44=1,IF(O85&lt;0,0,O85),IF(O85+'main page'!$K$11&lt;0,0,O85+'main page'!$K$11)))</f>
        <v>6</v>
      </c>
      <c r="O85" s="76">
        <f ca="1">IF(controls!$B$10=1,'normal case'!M85+'normal case'!L85,'normal case'!P85)</f>
        <v>6</v>
      </c>
      <c r="P85" s="74">
        <f t="shared" ca="1" si="8"/>
        <v>6</v>
      </c>
      <c r="Q85" s="210">
        <f ca="1">IF(controls!$B$44=0,R85+'main page'!$K$29*L85+(1-'main page'!$K$29)*controls!$B$9+(('main page'!$K$25*'main page'!$U$13*'main page'!$K$29)/('main page'!$K$27*(1+('main page'!$K$25^2)*'main page'!$U$13)))*(L85-controls!$B$9),R85+'main page'!$K$29*L85+(1-'main page'!$K$29)*controls!$B$9+(('main page'!$K$25*'main page'!$U$13*'normal case'!$AO$3)/'normal case'!$AO$4)*('normal case'!L85-controls!$B$9))</f>
        <v>6</v>
      </c>
      <c r="R85" s="98">
        <f ca="1">IF(controls!$B$44=1,'main page'!$K$24+'main page'!$K$11,IF(controls!$B$33=1,((I86-D85*W86-B86+B85*V86)/'main page'!$K$27)-'main page'!$K$11,((H86-D85*W86-B86+B85*V86)/'main page'!$K$27)-'main page'!$K$11))</f>
        <v>4</v>
      </c>
      <c r="T85" s="71">
        <f>IF(controls!$B$6=1,$AL$3*(1+('main page'!$K$35/100))^U85-$AL$3*(1+('main page'!$K$35/100))^U84,$AL$3*(1+('main page'!$G$8/100))*(1+('main page'!$K$35/100))^U85-$AL$3*(1+('main page'!$G$8/100))*(1+('main page'!$K$35/100))^U84)</f>
        <v>0</v>
      </c>
      <c r="U85" s="73">
        <v>78</v>
      </c>
      <c r="V85" s="161">
        <v>0</v>
      </c>
      <c r="W85" s="40">
        <v>0</v>
      </c>
      <c r="X85" s="49">
        <f ca="1">IF(controls!$B$33=1,D85-($I$3-'main page'!$K$27*2)*(1+('main page'!$K$35/100))^A84,D85-$AL$4)</f>
        <v>0</v>
      </c>
      <c r="Y85" s="49">
        <f ca="1">ABS(L85-(controls!$B$9/100)*100)</f>
        <v>0</v>
      </c>
      <c r="AA85" s="49" t="e">
        <f ca="1">IF(controls!$B$33=1,(B86-B85*V86-I86+D85*W86+'main page'!$K$27*('main page'!$K$24+'main page'!$K$11))/'main page'!$K$31,(B86-B85*V86+D85*W86-H86+'main page'!$K$27*('main page'!$K$24+'main page'!$K$11))/'main page'!$K$31)</f>
        <v>#DIV/0!</v>
      </c>
      <c r="AB85" s="49" t="e">
        <f ca="1">IF(controls!$B$45=1,LOG(AF85,1.01)+LOG(AE85,1.01)-LOG(AD85,1.01),-((M85-('main page'!$K$24+'main page'!$K$11))/(1-'normal case'!$AO$3))+'normal case'!AA85)</f>
        <v>#DIV/0!</v>
      </c>
      <c r="AC85" s="176" t="e">
        <f t="shared" ca="1" si="9"/>
        <v>#DIV/0!</v>
      </c>
      <c r="AD85" s="49">
        <f t="shared" ca="1" si="10"/>
        <v>5.07240689800269</v>
      </c>
      <c r="AE85" s="49">
        <f>AE84*(1+'main page'!$K$32/100)</f>
        <v>1</v>
      </c>
      <c r="AF85" s="49" t="e">
        <f ca="1">IF(ABS(IF(controls!$B$45=1,$AL$13,AD85*AC85/AE85)-AF84)&lt;0.00001,AF84,IF(controls!$B$45=1,$AL$13,AD85*AC85/AE85))</f>
        <v>#DIV/0!</v>
      </c>
      <c r="AG85" s="49">
        <f>IF(controls!$B$46=0,0,IF(controls!$B$33=2,B86-B85*V86-('normal case'!H86-D85*W86-'main page'!$K$27*'normal case'!M85+'main page'!$K$31*'normal case'!AB85)-(('main page'!$K$25*'main page'!$U$13*'main page'!$K$29)/(1+('main page'!$K$25^2)*'main page'!$U$13))*('normal case'!L85-'main page'!$U$8),B86-B85*V86-('normal case'!I86-D85*W86-'main page'!$K$27*'normal case'!M85+'main page'!$K$31*'normal case'!AB85)-(('main page'!$K$25*'main page'!$U$13*'main page'!$K$29)/(1+('main page'!$K$25^2)*'main page'!$U$13))*('normal case'!L85-'main page'!$U$8)))</f>
        <v>0</v>
      </c>
      <c r="AN85" s="40"/>
      <c r="AO85" s="40"/>
    </row>
    <row r="86" spans="1:41">
      <c r="A86" s="48">
        <v>84</v>
      </c>
      <c r="B86" s="75">
        <f ca="1">IF(controls!$B$33=1,B85*(1+V86)+T86,B85*(1+V86))</f>
        <v>100</v>
      </c>
      <c r="C86" s="80">
        <f t="shared" ca="1" si="11"/>
        <v>0</v>
      </c>
      <c r="D86" s="77">
        <f t="shared" ca="1" si="7"/>
        <v>100</v>
      </c>
      <c r="E86" s="77">
        <f ca="1">AG85+IF(controls!$B$33=1,G86,F86)</f>
        <v>100</v>
      </c>
      <c r="F86" s="94">
        <f ca="1">IF(controls!$B$44=0,H86-'main page'!$K$27*M85,H86-'main page'!$K$27*M85+'main page'!$K$31*AB85)</f>
        <v>100</v>
      </c>
      <c r="G86" s="75">
        <f ca="1">IF(controls!$B$44=0,I86-'main page'!$K$27*M85,I86-'main page'!$K$27*M85+'main page'!$K$31*'normal case'!AB85)</f>
        <v>100</v>
      </c>
      <c r="H86" s="75">
        <f t="shared" ca="1" si="5"/>
        <v>108</v>
      </c>
      <c r="I86" s="75">
        <f t="shared" ca="1" si="6"/>
        <v>108</v>
      </c>
      <c r="L86" s="75">
        <f ca="1">IF(ABS('main page'!$K$29*L85+(1-'main page'!$K$29)*(controls!$B$9/100)*100+'main page'!$K$25*(D86-B86)-L85)&lt;0.0000001,L85,'main page'!$K$29*L85+(1-'main page'!$K$29)*(controls!$B$9/100)*100+'main page'!$K$25*(D86-B86))</f>
        <v>2</v>
      </c>
      <c r="M86" s="96">
        <f ca="1">IF(controls!$B$10=1,M85,IF(SUM(controls!$B$44:$B$46)=2,N86-'main page'!$K$29*'normal case'!L86-(1-'main page'!$K$29)*'main page'!$K$32,N86-'main page'!$K$29*'normal case'!L86-(1-'main page'!$K$29)*controls!$B$9))</f>
        <v>4</v>
      </c>
      <c r="N86" s="208">
        <f ca="1">IF(controls!$B$45=1,IF(controls!$B$46=1,'main page'!$K$24+'main page'!$K$11+'main page'!$U$8,'main page'!$K$24+'main page'!$K$11+'main page'!$K$32),IF(controls!$B$44=1,IF(O86&lt;0,0,O86),IF(O86+'main page'!$K$11&lt;0,0,O86+'main page'!$K$11)))</f>
        <v>6</v>
      </c>
      <c r="O86" s="76">
        <f ca="1">IF(controls!$B$10=1,'normal case'!M86+'normal case'!L86,'normal case'!P86)</f>
        <v>6</v>
      </c>
      <c r="P86" s="74">
        <f t="shared" ca="1" si="8"/>
        <v>6</v>
      </c>
      <c r="Q86" s="210">
        <f ca="1">IF(controls!$B$44=0,R86+'main page'!$K$29*L86+(1-'main page'!$K$29)*controls!$B$9+(('main page'!$K$25*'main page'!$U$13*'main page'!$K$29)/('main page'!$K$27*(1+('main page'!$K$25^2)*'main page'!$U$13)))*(L86-controls!$B$9),R86+'main page'!$K$29*L86+(1-'main page'!$K$29)*controls!$B$9+(('main page'!$K$25*'main page'!$U$13*'normal case'!$AO$3)/'normal case'!$AO$4)*('normal case'!L86-controls!$B$9))</f>
        <v>6</v>
      </c>
      <c r="R86" s="98">
        <f ca="1">IF(controls!$B$44=1,'main page'!$K$24+'main page'!$K$11,IF(controls!$B$33=1,((I87-D86*W87-B87+B86*V87)/'main page'!$K$27)-'main page'!$K$11,((H87-D86*W87-B87+B86*V87)/'main page'!$K$27)-'main page'!$K$11))</f>
        <v>4</v>
      </c>
      <c r="T86" s="71">
        <f>IF(controls!$B$6=1,$AL$3*(1+('main page'!$K$35/100))^U86-$AL$3*(1+('main page'!$K$35/100))^U85,$AL$3*(1+('main page'!$G$8/100))*(1+('main page'!$K$35/100))^U86-$AL$3*(1+('main page'!$G$8/100))*(1+('main page'!$K$35/100))^U85)</f>
        <v>0</v>
      </c>
      <c r="U86" s="73">
        <v>79</v>
      </c>
      <c r="V86" s="161">
        <f ca="1">IF(controls!$B$4=1,IF(controls!$H85=1,controls!$B$34*V85+RAND()*('main page'!$K$16/100)-RAND()*('main page'!$K$16/100),0),0)</f>
        <v>0</v>
      </c>
      <c r="W86" s="40">
        <f ca="1">IF(controls!$B$4=1,IF(controls!$I85=1,controls!$B$34*W85+RAND()*('main page'!$K$16/100)-RAND()*('main page'!$K$16/100),0),0)</f>
        <v>0</v>
      </c>
      <c r="X86" s="49">
        <f ca="1">IF(controls!$B$33=1,D86-($I$3-'main page'!$K$27*2)*(1+('main page'!$K$35/100))^A85,D86-$AL$4)</f>
        <v>0</v>
      </c>
      <c r="Y86" s="49">
        <f ca="1">ABS(L86-(controls!$B$9/100)*100)</f>
        <v>0</v>
      </c>
      <c r="AA86" s="49" t="e">
        <f ca="1">IF(controls!$B$33=1,(B87-B86*V87-I87+D86*W87+'main page'!$K$27*('main page'!$K$24+'main page'!$K$11))/'main page'!$K$31,(B87-B86*V87+D86*W87-H87+'main page'!$K$27*('main page'!$K$24+'main page'!$K$11))/'main page'!$K$31)</f>
        <v>#DIV/0!</v>
      </c>
      <c r="AB86" s="49" t="e">
        <f ca="1">IF(controls!$B$45=1,LOG(AF86,1.01)+LOG(AE86,1.01)-LOG(AD86,1.01),-((M86-('main page'!$K$24+'main page'!$K$11))/(1-'normal case'!$AO$3))+'normal case'!AA86)</f>
        <v>#DIV/0!</v>
      </c>
      <c r="AC86" s="176" t="e">
        <f t="shared" ca="1" si="9"/>
        <v>#DIV/0!</v>
      </c>
      <c r="AD86" s="49">
        <f t="shared" ca="1" si="10"/>
        <v>5.1738550359627435</v>
      </c>
      <c r="AE86" s="49">
        <f>AE85*(1+'main page'!$K$32/100)</f>
        <v>1</v>
      </c>
      <c r="AF86" s="49" t="e">
        <f ca="1">IF(ABS(IF(controls!$B$45=1,$AL$13,AD86*AC86/AE86)-AF85)&lt;0.00001,AF85,IF(controls!$B$45=1,$AL$13,AD86*AC86/AE86))</f>
        <v>#DIV/0!</v>
      </c>
      <c r="AG86" s="49">
        <f>IF(controls!$B$46=0,0,IF(controls!$B$33=2,B87-B86*V87-('normal case'!H87-D86*W87-'main page'!$K$27*'normal case'!M86+'main page'!$K$31*'normal case'!AB86)-(('main page'!$K$25*'main page'!$U$13*'main page'!$K$29)/(1+('main page'!$K$25^2)*'main page'!$U$13))*('normal case'!L86-'main page'!$U$8),B87-B86*V87-('normal case'!I87-D86*W87-'main page'!$K$27*'normal case'!M86+'main page'!$K$31*'normal case'!AB86)-(('main page'!$K$25*'main page'!$U$13*'main page'!$K$29)/(1+('main page'!$K$25^2)*'main page'!$U$13))*('normal case'!L86-'main page'!$U$8)))</f>
        <v>0</v>
      </c>
      <c r="AN86" s="40"/>
      <c r="AO86" s="40"/>
    </row>
    <row r="87" spans="1:41">
      <c r="A87" s="48">
        <v>85</v>
      </c>
      <c r="B87" s="75">
        <f ca="1">IF(controls!$B$33=1,B86*(1+V87)+T87,B86*(1+V87))</f>
        <v>100</v>
      </c>
      <c r="C87" s="80">
        <f t="shared" ca="1" si="11"/>
        <v>0</v>
      </c>
      <c r="D87" s="77">
        <f t="shared" ca="1" si="7"/>
        <v>100</v>
      </c>
      <c r="E87" s="77">
        <f ca="1">AG86+IF(controls!$B$33=1,G87,F87)</f>
        <v>100</v>
      </c>
      <c r="F87" s="94">
        <f ca="1">IF(controls!$B$44=0,H87-'main page'!$K$27*M86,H87-'main page'!$K$27*M86+'main page'!$K$31*AB86)</f>
        <v>100</v>
      </c>
      <c r="G87" s="75">
        <f ca="1">IF(controls!$B$44=0,I87-'main page'!$K$27*M86,I87-'main page'!$K$27*M86+'main page'!$K$31*'normal case'!AB86)</f>
        <v>100</v>
      </c>
      <c r="H87" s="75">
        <f t="shared" ca="1" si="5"/>
        <v>108</v>
      </c>
      <c r="I87" s="75">
        <f t="shared" ca="1" si="6"/>
        <v>108</v>
      </c>
      <c r="L87" s="75">
        <f ca="1">IF(ABS('main page'!$K$29*L86+(1-'main page'!$K$29)*(controls!$B$9/100)*100+'main page'!$K$25*(D87-B87)-L86)&lt;0.0000001,L86,'main page'!$K$29*L86+(1-'main page'!$K$29)*(controls!$B$9/100)*100+'main page'!$K$25*(D87-B87))</f>
        <v>2</v>
      </c>
      <c r="M87" s="96">
        <f ca="1">IF(controls!$B$10=1,M86,IF(SUM(controls!$B$44:$B$46)=2,N87-'main page'!$K$29*'normal case'!L87-(1-'main page'!$K$29)*'main page'!$K$32,N87-'main page'!$K$29*'normal case'!L87-(1-'main page'!$K$29)*controls!$B$9))</f>
        <v>4</v>
      </c>
      <c r="N87" s="208">
        <f ca="1">IF(controls!$B$45=1,IF(controls!$B$46=1,'main page'!$K$24+'main page'!$K$11+'main page'!$U$8,'main page'!$K$24+'main page'!$K$11+'main page'!$K$32),IF(controls!$B$44=1,IF(O87&lt;0,0,O87),IF(O87+'main page'!$K$11&lt;0,0,O87+'main page'!$K$11)))</f>
        <v>6</v>
      </c>
      <c r="O87" s="76">
        <f ca="1">IF(controls!$B$10=1,'normal case'!M87+'normal case'!L87,'normal case'!P87)</f>
        <v>6</v>
      </c>
      <c r="P87" s="74">
        <f t="shared" ca="1" si="8"/>
        <v>6</v>
      </c>
      <c r="Q87" s="210">
        <f ca="1">IF(controls!$B$44=0,R87+'main page'!$K$29*L87+(1-'main page'!$K$29)*controls!$B$9+(('main page'!$K$25*'main page'!$U$13*'main page'!$K$29)/('main page'!$K$27*(1+('main page'!$K$25^2)*'main page'!$U$13)))*(L87-controls!$B$9),R87+'main page'!$K$29*L87+(1-'main page'!$K$29)*controls!$B$9+(('main page'!$K$25*'main page'!$U$13*'normal case'!$AO$3)/'normal case'!$AO$4)*('normal case'!L87-controls!$B$9))</f>
        <v>6</v>
      </c>
      <c r="R87" s="98">
        <f ca="1">IF(controls!$B$44=1,'main page'!$K$24+'main page'!$K$11,IF(controls!$B$33=1,((I88-D87*W88-B88+B87*V88)/'main page'!$K$27)-'main page'!$K$11,((H88-D87*W88-B88+B87*V88)/'main page'!$K$27)-'main page'!$K$11))</f>
        <v>4</v>
      </c>
      <c r="T87" s="71">
        <f>IF(controls!$B$6=1,$AL$3*(1+('main page'!$K$35/100))^U87-$AL$3*(1+('main page'!$K$35/100))^U86,$AL$3*(1+('main page'!$G$8/100))*(1+('main page'!$K$35/100))^U87-$AL$3*(1+('main page'!$G$8/100))*(1+('main page'!$K$35/100))^U86)</f>
        <v>0</v>
      </c>
      <c r="U87" s="73">
        <v>80</v>
      </c>
      <c r="V87" s="161">
        <v>0</v>
      </c>
      <c r="W87" s="40">
        <v>0</v>
      </c>
      <c r="X87" s="49">
        <f ca="1">IF(controls!$B$33=1,D87-($I$3-'main page'!$K$27*2)*(1+('main page'!$K$35/100))^A86,D87-$AL$4)</f>
        <v>0</v>
      </c>
      <c r="Y87" s="49">
        <f ca="1">ABS(L87-(controls!$B$9/100)*100)</f>
        <v>0</v>
      </c>
      <c r="AA87" s="49" t="e">
        <f ca="1">IF(controls!$B$33=1,(B88-B87*V88-I88+D87*W88+'main page'!$K$27*('main page'!$K$24+'main page'!$K$11))/'main page'!$K$31,(B88-B87*V88+D87*W88-H88+'main page'!$K$27*('main page'!$K$24+'main page'!$K$11))/'main page'!$K$31)</f>
        <v>#DIV/0!</v>
      </c>
      <c r="AB87" s="49" t="e">
        <f ca="1">IF(controls!$B$45=1,LOG(AF87,1.01)+LOG(AE87,1.01)-LOG(AD87,1.01),-((M87-('main page'!$K$24+'main page'!$K$11))/(1-'normal case'!$AO$3))+'normal case'!AA87)</f>
        <v>#DIV/0!</v>
      </c>
      <c r="AC87" s="176" t="e">
        <f t="shared" ca="1" si="9"/>
        <v>#DIV/0!</v>
      </c>
      <c r="AD87" s="49">
        <f t="shared" ca="1" si="10"/>
        <v>5.2773321366819985</v>
      </c>
      <c r="AE87" s="49">
        <f>AE86*(1+'main page'!$K$32/100)</f>
        <v>1</v>
      </c>
      <c r="AF87" s="49" t="e">
        <f ca="1">IF(ABS(IF(controls!$B$45=1,$AL$13,AD87*AC87/AE87)-AF86)&lt;0.00001,AF86,IF(controls!$B$45=1,$AL$13,AD87*AC87/AE87))</f>
        <v>#DIV/0!</v>
      </c>
      <c r="AG87" s="49">
        <f>IF(controls!$B$46=0,0,IF(controls!$B$33=2,B88-B87*V88-('normal case'!H88-D87*W88-'main page'!$K$27*'normal case'!M87+'main page'!$K$31*'normal case'!AB87)-(('main page'!$K$25*'main page'!$U$13*'main page'!$K$29)/(1+('main page'!$K$25^2)*'main page'!$U$13))*('normal case'!L87-'main page'!$U$8),B88-B87*V88-('normal case'!I88-D87*W88-'main page'!$K$27*'normal case'!M87+'main page'!$K$31*'normal case'!AB87)-(('main page'!$K$25*'main page'!$U$13*'main page'!$K$29)/(1+('main page'!$K$25^2)*'main page'!$U$13))*('normal case'!L87-'main page'!$U$8)))</f>
        <v>0</v>
      </c>
      <c r="AN87" s="40"/>
      <c r="AO87" s="40"/>
    </row>
    <row r="88" spans="1:41">
      <c r="A88" s="48">
        <v>86</v>
      </c>
      <c r="B88" s="75">
        <f ca="1">IF(controls!$B$33=1,B87*(1+V88)+T88,B87*(1+V88))</f>
        <v>100</v>
      </c>
      <c r="C88" s="80">
        <f t="shared" ca="1" si="11"/>
        <v>0</v>
      </c>
      <c r="D88" s="77">
        <f t="shared" ca="1" si="7"/>
        <v>100</v>
      </c>
      <c r="E88" s="77">
        <f ca="1">AG87+IF(controls!$B$33=1,G88,F88)</f>
        <v>100</v>
      </c>
      <c r="F88" s="94">
        <f ca="1">IF(controls!$B$44=0,H88-'main page'!$K$27*M87,H88-'main page'!$K$27*M87+'main page'!$K$31*AB87)</f>
        <v>100</v>
      </c>
      <c r="G88" s="75">
        <f ca="1">IF(controls!$B$44=0,I88-'main page'!$K$27*M87,I88-'main page'!$K$27*M87+'main page'!$K$31*'normal case'!AB87)</f>
        <v>100</v>
      </c>
      <c r="H88" s="75">
        <f t="shared" ref="H88:H151" ca="1" si="12">H87+D87*W88</f>
        <v>108</v>
      </c>
      <c r="I88" s="75">
        <f t="shared" ref="I88:I151" ca="1" si="13">I87+D87*W88+T88</f>
        <v>108</v>
      </c>
      <c r="L88" s="75">
        <f ca="1">IF(ABS('main page'!$K$29*L87+(1-'main page'!$K$29)*(controls!$B$9/100)*100+'main page'!$K$25*(D88-B88)-L87)&lt;0.0000001,L87,'main page'!$K$29*L87+(1-'main page'!$K$29)*(controls!$B$9/100)*100+'main page'!$K$25*(D88-B88))</f>
        <v>2</v>
      </c>
      <c r="M88" s="96">
        <f ca="1">IF(controls!$B$10=1,M87,IF(SUM(controls!$B$44:$B$46)=2,N88-'main page'!$K$29*'normal case'!L88-(1-'main page'!$K$29)*'main page'!$K$32,N88-'main page'!$K$29*'normal case'!L88-(1-'main page'!$K$29)*controls!$B$9))</f>
        <v>4</v>
      </c>
      <c r="N88" s="208">
        <f ca="1">IF(controls!$B$45=1,IF(controls!$B$46=1,'main page'!$K$24+'main page'!$K$11+'main page'!$U$8,'main page'!$K$24+'main page'!$K$11+'main page'!$K$32),IF(controls!$B$44=1,IF(O88&lt;0,0,O88),IF(O88+'main page'!$K$11&lt;0,0,O88+'main page'!$K$11)))</f>
        <v>6</v>
      </c>
      <c r="O88" s="76">
        <f ca="1">IF(controls!$B$10=1,'normal case'!M88+'normal case'!L88,'normal case'!P88)</f>
        <v>6</v>
      </c>
      <c r="P88" s="74">
        <f t="shared" ca="1" si="8"/>
        <v>6</v>
      </c>
      <c r="Q88" s="210">
        <f ca="1">IF(controls!$B$44=0,R88+'main page'!$K$29*L88+(1-'main page'!$K$29)*controls!$B$9+(('main page'!$K$25*'main page'!$U$13*'main page'!$K$29)/('main page'!$K$27*(1+('main page'!$K$25^2)*'main page'!$U$13)))*(L88-controls!$B$9),R88+'main page'!$K$29*L88+(1-'main page'!$K$29)*controls!$B$9+(('main page'!$K$25*'main page'!$U$13*'normal case'!$AO$3)/'normal case'!$AO$4)*('normal case'!L88-controls!$B$9))</f>
        <v>6</v>
      </c>
      <c r="R88" s="98">
        <f ca="1">IF(controls!$B$44=1,'main page'!$K$24+'main page'!$K$11,IF(controls!$B$33=1,((I89-D88*W89-B89+B88*V89)/'main page'!$K$27)-'main page'!$K$11,((H89-D88*W89-B89+B88*V89)/'main page'!$K$27)-'main page'!$K$11))</f>
        <v>4</v>
      </c>
      <c r="T88" s="71">
        <f>IF(controls!$B$6=1,$AL$3*(1+('main page'!$K$35/100))^U88-$AL$3*(1+('main page'!$K$35/100))^U87,$AL$3*(1+('main page'!$G$8/100))*(1+('main page'!$K$35/100))^U88-$AL$3*(1+('main page'!$G$8/100))*(1+('main page'!$K$35/100))^U87)</f>
        <v>0</v>
      </c>
      <c r="U88" s="73">
        <v>81</v>
      </c>
      <c r="V88" s="161">
        <v>0</v>
      </c>
      <c r="W88" s="40">
        <v>0</v>
      </c>
      <c r="X88" s="49">
        <f ca="1">IF(controls!$B$33=1,D88-($I$3-'main page'!$K$27*2)*(1+('main page'!$K$35/100))^A87,D88-$AL$4)</f>
        <v>0</v>
      </c>
      <c r="Y88" s="49">
        <f ca="1">ABS(L88-(controls!$B$9/100)*100)</f>
        <v>0</v>
      </c>
      <c r="AA88" s="49" t="e">
        <f ca="1">IF(controls!$B$33=1,(B89-B88*V89-I89+D88*W89+'main page'!$K$27*('main page'!$K$24+'main page'!$K$11))/'main page'!$K$31,(B89-B88*V89+D88*W89-H89+'main page'!$K$27*('main page'!$K$24+'main page'!$K$11))/'main page'!$K$31)</f>
        <v>#DIV/0!</v>
      </c>
      <c r="AB88" s="49" t="e">
        <f ca="1">IF(controls!$B$45=1,LOG(AF88,1.01)+LOG(AE88,1.01)-LOG(AD88,1.01),-((M88-('main page'!$K$24+'main page'!$K$11))/(1-'normal case'!$AO$3))+'normal case'!AA88)</f>
        <v>#DIV/0!</v>
      </c>
      <c r="AC88" s="176" t="e">
        <f t="shared" ca="1" si="9"/>
        <v>#DIV/0!</v>
      </c>
      <c r="AD88" s="49">
        <f t="shared" ca="1" si="10"/>
        <v>5.3828787794156385</v>
      </c>
      <c r="AE88" s="49">
        <f>AE87*(1+'main page'!$K$32/100)</f>
        <v>1</v>
      </c>
      <c r="AF88" s="49" t="e">
        <f ca="1">IF(ABS(IF(controls!$B$45=1,$AL$13,AD88*AC88/AE88)-AF87)&lt;0.00001,AF87,IF(controls!$B$45=1,$AL$13,AD88*AC88/AE88))</f>
        <v>#DIV/0!</v>
      </c>
      <c r="AG88" s="49">
        <f>IF(controls!$B$46=0,0,IF(controls!$B$33=2,B89-B88*V89-('normal case'!H89-D88*W89-'main page'!$K$27*'normal case'!M88+'main page'!$K$31*'normal case'!AB88)-(('main page'!$K$25*'main page'!$U$13*'main page'!$K$29)/(1+('main page'!$K$25^2)*'main page'!$U$13))*('normal case'!L88-'main page'!$U$8),B89-B88*V89-('normal case'!I89-D88*W89-'main page'!$K$27*'normal case'!M88+'main page'!$K$31*'normal case'!AB88)-(('main page'!$K$25*'main page'!$U$13*'main page'!$K$29)/(1+('main page'!$K$25^2)*'main page'!$U$13))*('normal case'!L88-'main page'!$U$8)))</f>
        <v>0</v>
      </c>
      <c r="AN88" s="40"/>
      <c r="AO88" s="40"/>
    </row>
    <row r="89" spans="1:41">
      <c r="A89" s="48">
        <v>87</v>
      </c>
      <c r="B89" s="75">
        <f ca="1">IF(controls!$B$33=1,B88*(1+V89)+T89,B88*(1+V89))</f>
        <v>100</v>
      </c>
      <c r="C89" s="80">
        <f t="shared" ca="1" si="11"/>
        <v>0</v>
      </c>
      <c r="D89" s="77">
        <f t="shared" ca="1" si="7"/>
        <v>100</v>
      </c>
      <c r="E89" s="77">
        <f ca="1">AG88+IF(controls!$B$33=1,G89,F89)</f>
        <v>100</v>
      </c>
      <c r="F89" s="94">
        <f ca="1">IF(controls!$B$44=0,H89-'main page'!$K$27*M88,H89-'main page'!$K$27*M88+'main page'!$K$31*AB88)</f>
        <v>100</v>
      </c>
      <c r="G89" s="75">
        <f ca="1">IF(controls!$B$44=0,I89-'main page'!$K$27*M88,I89-'main page'!$K$27*M88+'main page'!$K$31*'normal case'!AB88)</f>
        <v>100</v>
      </c>
      <c r="H89" s="75">
        <f t="shared" ca="1" si="12"/>
        <v>108</v>
      </c>
      <c r="I89" s="75">
        <f t="shared" ca="1" si="13"/>
        <v>108</v>
      </c>
      <c r="L89" s="75">
        <f ca="1">IF(ABS('main page'!$K$29*L88+(1-'main page'!$K$29)*(controls!$B$9/100)*100+'main page'!$K$25*(D89-B89)-L88)&lt;0.0000001,L88,'main page'!$K$29*L88+(1-'main page'!$K$29)*(controls!$B$9/100)*100+'main page'!$K$25*(D89-B89))</f>
        <v>2</v>
      </c>
      <c r="M89" s="96">
        <f ca="1">IF(controls!$B$10=1,M88,IF(SUM(controls!$B$44:$B$46)=2,N89-'main page'!$K$29*'normal case'!L89-(1-'main page'!$K$29)*'main page'!$K$32,N89-'main page'!$K$29*'normal case'!L89-(1-'main page'!$K$29)*controls!$B$9))</f>
        <v>4</v>
      </c>
      <c r="N89" s="208">
        <f ca="1">IF(controls!$B$45=1,IF(controls!$B$46=1,'main page'!$K$24+'main page'!$K$11+'main page'!$U$8,'main page'!$K$24+'main page'!$K$11+'main page'!$K$32),IF(controls!$B$44=1,IF(O89&lt;0,0,O89),IF(O89+'main page'!$K$11&lt;0,0,O89+'main page'!$K$11)))</f>
        <v>6</v>
      </c>
      <c r="O89" s="76">
        <f ca="1">IF(controls!$B$10=1,'normal case'!M89+'normal case'!L89,'normal case'!P89)</f>
        <v>6</v>
      </c>
      <c r="P89" s="74">
        <f t="shared" ca="1" si="8"/>
        <v>6</v>
      </c>
      <c r="Q89" s="210">
        <f ca="1">IF(controls!$B$44=0,R89+'main page'!$K$29*L89+(1-'main page'!$K$29)*controls!$B$9+(('main page'!$K$25*'main page'!$U$13*'main page'!$K$29)/('main page'!$K$27*(1+('main page'!$K$25^2)*'main page'!$U$13)))*(L89-controls!$B$9),R89+'main page'!$K$29*L89+(1-'main page'!$K$29)*controls!$B$9+(('main page'!$K$25*'main page'!$U$13*'normal case'!$AO$3)/'normal case'!$AO$4)*('normal case'!L89-controls!$B$9))</f>
        <v>6</v>
      </c>
      <c r="R89" s="98">
        <f ca="1">IF(controls!$B$44=1,'main page'!$K$24+'main page'!$K$11,IF(controls!$B$33=1,((I90-D89*W90-B90+B89*V90)/'main page'!$K$27)-'main page'!$K$11,((H90-D89*W90-B90+B89*V90)/'main page'!$K$27)-'main page'!$K$11))</f>
        <v>4</v>
      </c>
      <c r="T89" s="71">
        <f>IF(controls!$B$6=1,$AL$3*(1+('main page'!$K$35/100))^U89-$AL$3*(1+('main page'!$K$35/100))^U88,$AL$3*(1+('main page'!$G$8/100))*(1+('main page'!$K$35/100))^U89-$AL$3*(1+('main page'!$G$8/100))*(1+('main page'!$K$35/100))^U88)</f>
        <v>0</v>
      </c>
      <c r="U89" s="73">
        <v>82</v>
      </c>
      <c r="V89" s="161">
        <f ca="1">IF(controls!$B$4=1,IF(controls!$H88=1,controls!$B$34*V88+RAND()*('main page'!$K$16/100)-RAND()*('main page'!$K$16/100),0),0)</f>
        <v>0</v>
      </c>
      <c r="W89" s="40">
        <f ca="1">IF(controls!$B$4=1,IF(controls!$I88=1,controls!$B$34*W88+RAND()*('main page'!$K$16/100)-RAND()*('main page'!$K$16/100),0),0)</f>
        <v>0</v>
      </c>
      <c r="X89" s="49">
        <f ca="1">IF(controls!$B$33=1,D89-($I$3-'main page'!$K$27*2)*(1+('main page'!$K$35/100))^A88,D89-$AL$4)</f>
        <v>0</v>
      </c>
      <c r="Y89" s="49">
        <f ca="1">ABS(L89-(controls!$B$9/100)*100)</f>
        <v>0</v>
      </c>
      <c r="AA89" s="49" t="e">
        <f ca="1">IF(controls!$B$33=1,(B90-B89*V90-I90+D89*W90+'main page'!$K$27*('main page'!$K$24+'main page'!$K$11))/'main page'!$K$31,(B90-B89*V90+D89*W90-H90+'main page'!$K$27*('main page'!$K$24+'main page'!$K$11))/'main page'!$K$31)</f>
        <v>#DIV/0!</v>
      </c>
      <c r="AB89" s="49" t="e">
        <f ca="1">IF(controls!$B$45=1,LOG(AF89,1.01)+LOG(AE89,1.01)-LOG(AD89,1.01),-((M89-('main page'!$K$24+'main page'!$K$11))/(1-'normal case'!$AO$3))+'normal case'!AA89)</f>
        <v>#DIV/0!</v>
      </c>
      <c r="AC89" s="176" t="e">
        <f t="shared" ca="1" si="9"/>
        <v>#DIV/0!</v>
      </c>
      <c r="AD89" s="49">
        <f t="shared" ca="1" si="10"/>
        <v>5.4905363550039512</v>
      </c>
      <c r="AE89" s="49">
        <f>AE88*(1+'main page'!$K$32/100)</f>
        <v>1</v>
      </c>
      <c r="AF89" s="49" t="e">
        <f ca="1">IF(ABS(IF(controls!$B$45=1,$AL$13,AD89*AC89/AE89)-AF88)&lt;0.00001,AF88,IF(controls!$B$45=1,$AL$13,AD89*AC89/AE89))</f>
        <v>#DIV/0!</v>
      </c>
      <c r="AG89" s="49">
        <f>IF(controls!$B$46=0,0,IF(controls!$B$33=2,B90-B89*V90-('normal case'!H90-D89*W90-'main page'!$K$27*'normal case'!M89+'main page'!$K$31*'normal case'!AB89)-(('main page'!$K$25*'main page'!$U$13*'main page'!$K$29)/(1+('main page'!$K$25^2)*'main page'!$U$13))*('normal case'!L89-'main page'!$U$8),B90-B89*V90-('normal case'!I90-D89*W90-'main page'!$K$27*'normal case'!M89+'main page'!$K$31*'normal case'!AB89)-(('main page'!$K$25*'main page'!$U$13*'main page'!$K$29)/(1+('main page'!$K$25^2)*'main page'!$U$13))*('normal case'!L89-'main page'!$U$8)))</f>
        <v>0</v>
      </c>
      <c r="AN89" s="40"/>
      <c r="AO89" s="40"/>
    </row>
    <row r="90" spans="1:41">
      <c r="A90" s="48">
        <v>88</v>
      </c>
      <c r="B90" s="75">
        <f ca="1">IF(controls!$B$33=1,B89*(1+V90)+T90,B89*(1+V90))</f>
        <v>100</v>
      </c>
      <c r="C90" s="80">
        <f t="shared" ca="1" si="11"/>
        <v>0</v>
      </c>
      <c r="D90" s="77">
        <f t="shared" ca="1" si="7"/>
        <v>100</v>
      </c>
      <c r="E90" s="77">
        <f ca="1">AG89+IF(controls!$B$33=1,G90,F90)</f>
        <v>100</v>
      </c>
      <c r="F90" s="94">
        <f ca="1">IF(controls!$B$44=0,H90-'main page'!$K$27*M89,H90-'main page'!$K$27*M89+'main page'!$K$31*AB89)</f>
        <v>100</v>
      </c>
      <c r="G90" s="75">
        <f ca="1">IF(controls!$B$44=0,I90-'main page'!$K$27*M89,I90-'main page'!$K$27*M89+'main page'!$K$31*'normal case'!AB89)</f>
        <v>100</v>
      </c>
      <c r="H90" s="75">
        <f t="shared" ca="1" si="12"/>
        <v>108</v>
      </c>
      <c r="I90" s="75">
        <f t="shared" ca="1" si="13"/>
        <v>108</v>
      </c>
      <c r="L90" s="75">
        <f ca="1">IF(ABS('main page'!$K$29*L89+(1-'main page'!$K$29)*(controls!$B$9/100)*100+'main page'!$K$25*(D90-B90)-L89)&lt;0.0000001,L89,'main page'!$K$29*L89+(1-'main page'!$K$29)*(controls!$B$9/100)*100+'main page'!$K$25*(D90-B90))</f>
        <v>2</v>
      </c>
      <c r="M90" s="96">
        <f ca="1">IF(controls!$B$10=1,M89,IF(SUM(controls!$B$44:$B$46)=2,N90-'main page'!$K$29*'normal case'!L90-(1-'main page'!$K$29)*'main page'!$K$32,N90-'main page'!$K$29*'normal case'!L90-(1-'main page'!$K$29)*controls!$B$9))</f>
        <v>4</v>
      </c>
      <c r="N90" s="208">
        <f ca="1">IF(controls!$B$45=1,IF(controls!$B$46=1,'main page'!$K$24+'main page'!$K$11+'main page'!$U$8,'main page'!$K$24+'main page'!$K$11+'main page'!$K$32),IF(controls!$B$44=1,IF(O90&lt;0,0,O90),IF(O90+'main page'!$K$11&lt;0,0,O90+'main page'!$K$11)))</f>
        <v>6</v>
      </c>
      <c r="O90" s="76">
        <f ca="1">IF(controls!$B$10=1,'normal case'!M90+'normal case'!L90,'normal case'!P90)</f>
        <v>6</v>
      </c>
      <c r="P90" s="74">
        <f t="shared" ca="1" si="8"/>
        <v>6</v>
      </c>
      <c r="Q90" s="210">
        <f ca="1">IF(controls!$B$44=0,R90+'main page'!$K$29*L90+(1-'main page'!$K$29)*controls!$B$9+(('main page'!$K$25*'main page'!$U$13*'main page'!$K$29)/('main page'!$K$27*(1+('main page'!$K$25^2)*'main page'!$U$13)))*(L90-controls!$B$9),R90+'main page'!$K$29*L90+(1-'main page'!$K$29)*controls!$B$9+(('main page'!$K$25*'main page'!$U$13*'normal case'!$AO$3)/'normal case'!$AO$4)*('normal case'!L90-controls!$B$9))</f>
        <v>6</v>
      </c>
      <c r="R90" s="98">
        <f ca="1">IF(controls!$B$44=1,'main page'!$K$24+'main page'!$K$11,IF(controls!$B$33=1,((I91-D90*W91-B91+B90*V91)/'main page'!$K$27)-'main page'!$K$11,((H91-D90*W91-B91+B90*V91)/'main page'!$K$27)-'main page'!$K$11))</f>
        <v>4</v>
      </c>
      <c r="T90" s="71">
        <f>IF(controls!$B$6=1,$AL$3*(1+('main page'!$K$35/100))^U90-$AL$3*(1+('main page'!$K$35/100))^U89,$AL$3*(1+('main page'!$G$8/100))*(1+('main page'!$K$35/100))^U90-$AL$3*(1+('main page'!$G$8/100))*(1+('main page'!$K$35/100))^U89)</f>
        <v>0</v>
      </c>
      <c r="U90" s="73">
        <v>83</v>
      </c>
      <c r="V90" s="161">
        <v>0</v>
      </c>
      <c r="W90" s="40">
        <v>0</v>
      </c>
      <c r="X90" s="49">
        <f ca="1">IF(controls!$B$33=1,D90-($I$3-'main page'!$K$27*2)*(1+('main page'!$K$35/100))^A89,D90-$AL$4)</f>
        <v>0</v>
      </c>
      <c r="Y90" s="49">
        <f ca="1">ABS(L90-(controls!$B$9/100)*100)</f>
        <v>0</v>
      </c>
      <c r="AA90" s="49" t="e">
        <f ca="1">IF(controls!$B$33=1,(B91-B90*V91-I91+D90*W91+'main page'!$K$27*('main page'!$K$24+'main page'!$K$11))/'main page'!$K$31,(B91-B90*V91+D90*W91-H91+'main page'!$K$27*('main page'!$K$24+'main page'!$K$11))/'main page'!$K$31)</f>
        <v>#DIV/0!</v>
      </c>
      <c r="AB90" s="49" t="e">
        <f ca="1">IF(controls!$B$45=1,LOG(AF90,1.01)+LOG(AE90,1.01)-LOG(AD90,1.01),-((M90-('main page'!$K$24+'main page'!$K$11))/(1-'normal case'!$AO$3))+'normal case'!AA90)</f>
        <v>#DIV/0!</v>
      </c>
      <c r="AC90" s="176" t="e">
        <f t="shared" ca="1" si="9"/>
        <v>#DIV/0!</v>
      </c>
      <c r="AD90" s="49">
        <f t="shared" ca="1" si="10"/>
        <v>5.6003470821040304</v>
      </c>
      <c r="AE90" s="49">
        <f>AE89*(1+'main page'!$K$32/100)</f>
        <v>1</v>
      </c>
      <c r="AF90" s="49" t="e">
        <f ca="1">IF(ABS(IF(controls!$B$45=1,$AL$13,AD90*AC90/AE90)-AF89)&lt;0.00001,AF89,IF(controls!$B$45=1,$AL$13,AD90*AC90/AE90))</f>
        <v>#DIV/0!</v>
      </c>
      <c r="AG90" s="49">
        <f>IF(controls!$B$46=0,0,IF(controls!$B$33=2,B91-B90*V91-('normal case'!H91-D90*W91-'main page'!$K$27*'normal case'!M90+'main page'!$K$31*'normal case'!AB90)-(('main page'!$K$25*'main page'!$U$13*'main page'!$K$29)/(1+('main page'!$K$25^2)*'main page'!$U$13))*('normal case'!L90-'main page'!$U$8),B91-B90*V91-('normal case'!I91-D90*W91-'main page'!$K$27*'normal case'!M90+'main page'!$K$31*'normal case'!AB90)-(('main page'!$K$25*'main page'!$U$13*'main page'!$K$29)/(1+('main page'!$K$25^2)*'main page'!$U$13))*('normal case'!L90-'main page'!$U$8)))</f>
        <v>0</v>
      </c>
      <c r="AN90" s="40"/>
      <c r="AO90" s="40"/>
    </row>
    <row r="91" spans="1:41">
      <c r="A91" s="48">
        <v>89</v>
      </c>
      <c r="B91" s="75">
        <f ca="1">IF(controls!$B$33=1,B90*(1+V91)+T91,B90*(1+V91))</f>
        <v>100</v>
      </c>
      <c r="C91" s="80">
        <f t="shared" ca="1" si="11"/>
        <v>0</v>
      </c>
      <c r="D91" s="77">
        <f t="shared" ca="1" si="7"/>
        <v>100</v>
      </c>
      <c r="E91" s="77">
        <f ca="1">AG90+IF(controls!$B$33=1,G91,F91)</f>
        <v>100</v>
      </c>
      <c r="F91" s="94">
        <f ca="1">IF(controls!$B$44=0,H91-'main page'!$K$27*M90,H91-'main page'!$K$27*M90+'main page'!$K$31*AB90)</f>
        <v>100</v>
      </c>
      <c r="G91" s="75">
        <f ca="1">IF(controls!$B$44=0,I91-'main page'!$K$27*M90,I91-'main page'!$K$27*M90+'main page'!$K$31*'normal case'!AB90)</f>
        <v>100</v>
      </c>
      <c r="H91" s="75">
        <f t="shared" ca="1" si="12"/>
        <v>108</v>
      </c>
      <c r="I91" s="75">
        <f t="shared" ca="1" si="13"/>
        <v>108</v>
      </c>
      <c r="L91" s="75">
        <f ca="1">IF(ABS('main page'!$K$29*L90+(1-'main page'!$K$29)*(controls!$B$9/100)*100+'main page'!$K$25*(D91-B91)-L90)&lt;0.0000001,L90,'main page'!$K$29*L90+(1-'main page'!$K$29)*(controls!$B$9/100)*100+'main page'!$K$25*(D91-B91))</f>
        <v>2</v>
      </c>
      <c r="M91" s="96">
        <f ca="1">IF(controls!$B$10=1,M90,IF(SUM(controls!$B$44:$B$46)=2,N91-'main page'!$K$29*'normal case'!L91-(1-'main page'!$K$29)*'main page'!$K$32,N91-'main page'!$K$29*'normal case'!L91-(1-'main page'!$K$29)*controls!$B$9))</f>
        <v>4</v>
      </c>
      <c r="N91" s="208">
        <f ca="1">IF(controls!$B$45=1,IF(controls!$B$46=1,'main page'!$K$24+'main page'!$K$11+'main page'!$U$8,'main page'!$K$24+'main page'!$K$11+'main page'!$K$32),IF(controls!$B$44=1,IF(O91&lt;0,0,O91),IF(O91+'main page'!$K$11&lt;0,0,O91+'main page'!$K$11)))</f>
        <v>6</v>
      </c>
      <c r="O91" s="76">
        <f ca="1">IF(controls!$B$10=1,'normal case'!M91+'normal case'!L91,'normal case'!P91)</f>
        <v>6</v>
      </c>
      <c r="P91" s="74">
        <f t="shared" ca="1" si="8"/>
        <v>6</v>
      </c>
      <c r="Q91" s="210">
        <f ca="1">IF(controls!$B$44=0,R91+'main page'!$K$29*L91+(1-'main page'!$K$29)*controls!$B$9+(('main page'!$K$25*'main page'!$U$13*'main page'!$K$29)/('main page'!$K$27*(1+('main page'!$K$25^2)*'main page'!$U$13)))*(L91-controls!$B$9),R91+'main page'!$K$29*L91+(1-'main page'!$K$29)*controls!$B$9+(('main page'!$K$25*'main page'!$U$13*'normal case'!$AO$3)/'normal case'!$AO$4)*('normal case'!L91-controls!$B$9))</f>
        <v>6</v>
      </c>
      <c r="R91" s="98">
        <f ca="1">IF(controls!$B$44=1,'main page'!$K$24+'main page'!$K$11,IF(controls!$B$33=1,((I92-D91*W92-B92+B91*V92)/'main page'!$K$27)-'main page'!$K$11,((H92-D91*W92-B92+B91*V92)/'main page'!$K$27)-'main page'!$K$11))</f>
        <v>4</v>
      </c>
      <c r="T91" s="71">
        <f>IF(controls!$B$6=1,$AL$3*(1+('main page'!$K$35/100))^U91-$AL$3*(1+('main page'!$K$35/100))^U90,$AL$3*(1+('main page'!$G$8/100))*(1+('main page'!$K$35/100))^U91-$AL$3*(1+('main page'!$G$8/100))*(1+('main page'!$K$35/100))^U90)</f>
        <v>0</v>
      </c>
      <c r="U91" s="73">
        <v>84</v>
      </c>
      <c r="V91" s="161">
        <v>0</v>
      </c>
      <c r="W91" s="40">
        <v>0</v>
      </c>
      <c r="X91" s="49">
        <f ca="1">IF(controls!$B$33=1,D91-($I$3-'main page'!$K$27*2)*(1+('main page'!$K$35/100))^A90,D91-$AL$4)</f>
        <v>0</v>
      </c>
      <c r="Y91" s="49">
        <f ca="1">ABS(L91-(controls!$B$9/100)*100)</f>
        <v>0</v>
      </c>
      <c r="AA91" s="49" t="e">
        <f ca="1">IF(controls!$B$33=1,(B92-B91*V92-I92+D91*W92+'main page'!$K$27*('main page'!$K$24+'main page'!$K$11))/'main page'!$K$31,(B92-B91*V92+D91*W92-H92+'main page'!$K$27*('main page'!$K$24+'main page'!$K$11))/'main page'!$K$31)</f>
        <v>#DIV/0!</v>
      </c>
      <c r="AB91" s="49" t="e">
        <f ca="1">IF(controls!$B$45=1,LOG(AF91,1.01)+LOG(AE91,1.01)-LOG(AD91,1.01),-((M91-('main page'!$K$24+'main page'!$K$11))/(1-'normal case'!$AO$3))+'normal case'!AA91)</f>
        <v>#DIV/0!</v>
      </c>
      <c r="AC91" s="176" t="e">
        <f t="shared" ca="1" si="9"/>
        <v>#DIV/0!</v>
      </c>
      <c r="AD91" s="49">
        <f t="shared" ca="1" si="10"/>
        <v>5.7123540237461112</v>
      </c>
      <c r="AE91" s="49">
        <f>AE90*(1+'main page'!$K$32/100)</f>
        <v>1</v>
      </c>
      <c r="AF91" s="49" t="e">
        <f ca="1">IF(ABS(IF(controls!$B$45=1,$AL$13,AD91*AC91/AE91)-AF90)&lt;0.00001,AF90,IF(controls!$B$45=1,$AL$13,AD91*AC91/AE91))</f>
        <v>#DIV/0!</v>
      </c>
      <c r="AG91" s="49">
        <f>IF(controls!$B$46=0,0,IF(controls!$B$33=2,B92-B91*V92-('normal case'!H92-D91*W92-'main page'!$K$27*'normal case'!M91+'main page'!$K$31*'normal case'!AB91)-(('main page'!$K$25*'main page'!$U$13*'main page'!$K$29)/(1+('main page'!$K$25^2)*'main page'!$U$13))*('normal case'!L91-'main page'!$U$8),B92-B91*V92-('normal case'!I92-D91*W92-'main page'!$K$27*'normal case'!M91+'main page'!$K$31*'normal case'!AB91)-(('main page'!$K$25*'main page'!$U$13*'main page'!$K$29)/(1+('main page'!$K$25^2)*'main page'!$U$13))*('normal case'!L91-'main page'!$U$8)))</f>
        <v>0</v>
      </c>
      <c r="AN91" s="40"/>
      <c r="AO91" s="40"/>
    </row>
    <row r="92" spans="1:41">
      <c r="A92" s="48">
        <v>90</v>
      </c>
      <c r="B92" s="75">
        <f ca="1">IF(controls!$B$33=1,B91*(1+V92)+T92,B91*(1+V92))</f>
        <v>100</v>
      </c>
      <c r="C92" s="80">
        <f t="shared" ca="1" si="11"/>
        <v>0</v>
      </c>
      <c r="D92" s="77">
        <f t="shared" ca="1" si="7"/>
        <v>100</v>
      </c>
      <c r="E92" s="77">
        <f ca="1">AG91+IF(controls!$B$33=1,G92,F92)</f>
        <v>100</v>
      </c>
      <c r="F92" s="94">
        <f ca="1">IF(controls!$B$44=0,H92-'main page'!$K$27*M91,H92-'main page'!$K$27*M91+'main page'!$K$31*AB91)</f>
        <v>100</v>
      </c>
      <c r="G92" s="75">
        <f ca="1">IF(controls!$B$44=0,I92-'main page'!$K$27*M91,I92-'main page'!$K$27*M91+'main page'!$K$31*'normal case'!AB91)</f>
        <v>100</v>
      </c>
      <c r="H92" s="75">
        <f t="shared" ca="1" si="12"/>
        <v>108</v>
      </c>
      <c r="I92" s="75">
        <f t="shared" ca="1" si="13"/>
        <v>108</v>
      </c>
      <c r="L92" s="75">
        <f ca="1">IF(ABS('main page'!$K$29*L91+(1-'main page'!$K$29)*(controls!$B$9/100)*100+'main page'!$K$25*(D92-B92)-L91)&lt;0.0000001,L91,'main page'!$K$29*L91+(1-'main page'!$K$29)*(controls!$B$9/100)*100+'main page'!$K$25*(D92-B92))</f>
        <v>2</v>
      </c>
      <c r="M92" s="96">
        <f ca="1">IF(controls!$B$10=1,M91,IF(SUM(controls!$B$44:$B$46)=2,N92-'main page'!$K$29*'normal case'!L92-(1-'main page'!$K$29)*'main page'!$K$32,N92-'main page'!$K$29*'normal case'!L92-(1-'main page'!$K$29)*controls!$B$9))</f>
        <v>4</v>
      </c>
      <c r="N92" s="208">
        <f ca="1">IF(controls!$B$45=1,IF(controls!$B$46=1,'main page'!$K$24+'main page'!$K$11+'main page'!$U$8,'main page'!$K$24+'main page'!$K$11+'main page'!$K$32),IF(controls!$B$44=1,IF(O92&lt;0,0,O92),IF(O92+'main page'!$K$11&lt;0,0,O92+'main page'!$K$11)))</f>
        <v>6</v>
      </c>
      <c r="O92" s="76">
        <f ca="1">IF(controls!$B$10=1,'normal case'!M92+'normal case'!L92,'normal case'!P92)</f>
        <v>6</v>
      </c>
      <c r="P92" s="74">
        <f t="shared" ca="1" si="8"/>
        <v>6</v>
      </c>
      <c r="Q92" s="210">
        <f ca="1">IF(controls!$B$44=0,R92+'main page'!$K$29*L92+(1-'main page'!$K$29)*controls!$B$9+(('main page'!$K$25*'main page'!$U$13*'main page'!$K$29)/('main page'!$K$27*(1+('main page'!$K$25^2)*'main page'!$U$13)))*(L92-controls!$B$9),R92+'main page'!$K$29*L92+(1-'main page'!$K$29)*controls!$B$9+(('main page'!$K$25*'main page'!$U$13*'normal case'!$AO$3)/'normal case'!$AO$4)*('normal case'!L92-controls!$B$9))</f>
        <v>6</v>
      </c>
      <c r="R92" s="98">
        <f ca="1">IF(controls!$B$44=1,'main page'!$K$24+'main page'!$K$11,IF(controls!$B$33=1,((I93-D92*W93-B93+B92*V93)/'main page'!$K$27)-'main page'!$K$11,((H93-D92*W93-B93+B92*V93)/'main page'!$K$27)-'main page'!$K$11))</f>
        <v>4</v>
      </c>
      <c r="T92" s="71">
        <f>IF(controls!$B$6=1,$AL$3*(1+('main page'!$K$35/100))^U92-$AL$3*(1+('main page'!$K$35/100))^U91,$AL$3*(1+('main page'!$G$8/100))*(1+('main page'!$K$35/100))^U92-$AL$3*(1+('main page'!$G$8/100))*(1+('main page'!$K$35/100))^U91)</f>
        <v>0</v>
      </c>
      <c r="U92" s="73">
        <v>85</v>
      </c>
      <c r="V92" s="161">
        <f ca="1">IF(controls!$B$4=1,IF(controls!$H91=1,controls!$B$34*V91+RAND()*('main page'!$K$16/100)-RAND()*('main page'!$K$16/100),0),0)</f>
        <v>0</v>
      </c>
      <c r="W92" s="40">
        <f ca="1">IF(controls!$B$4=1,IF(controls!$I91=1,controls!$B$34*W91+RAND()*('main page'!$K$16/100)-RAND()*('main page'!$K$16/100),0),0)</f>
        <v>0</v>
      </c>
      <c r="X92" s="49">
        <f ca="1">IF(controls!$B$33=1,D92-($I$3-'main page'!$K$27*2)*(1+('main page'!$K$35/100))^A91,D92-$AL$4)</f>
        <v>0</v>
      </c>
      <c r="Y92" s="49">
        <f ca="1">ABS(L92-(controls!$B$9/100)*100)</f>
        <v>0</v>
      </c>
      <c r="AA92" s="49" t="e">
        <f ca="1">IF(controls!$B$33=1,(B93-B92*V93-I93+D92*W93+'main page'!$K$27*('main page'!$K$24+'main page'!$K$11))/'main page'!$K$31,(B93-B92*V93+D92*W93-H93+'main page'!$K$27*('main page'!$K$24+'main page'!$K$11))/'main page'!$K$31)</f>
        <v>#DIV/0!</v>
      </c>
      <c r="AB92" s="49" t="e">
        <f ca="1">IF(controls!$B$45=1,LOG(AF92,1.01)+LOG(AE92,1.01)-LOG(AD92,1.01),-((M92-('main page'!$K$24+'main page'!$K$11))/(1-'normal case'!$AO$3))+'normal case'!AA92)</f>
        <v>#DIV/0!</v>
      </c>
      <c r="AC92" s="176" t="e">
        <f t="shared" ca="1" si="9"/>
        <v>#DIV/0!</v>
      </c>
      <c r="AD92" s="49">
        <f t="shared" ca="1" si="10"/>
        <v>5.8266011042210337</v>
      </c>
      <c r="AE92" s="49">
        <f>AE91*(1+'main page'!$K$32/100)</f>
        <v>1</v>
      </c>
      <c r="AF92" s="49" t="e">
        <f ca="1">IF(ABS(IF(controls!$B$45=1,$AL$13,AD92*AC92/AE92)-AF91)&lt;0.00001,AF91,IF(controls!$B$45=1,$AL$13,AD92*AC92/AE92))</f>
        <v>#DIV/0!</v>
      </c>
      <c r="AG92" s="49">
        <f>IF(controls!$B$46=0,0,IF(controls!$B$33=2,B93-B92*V93-('normal case'!H93-D92*W93-'main page'!$K$27*'normal case'!M92+'main page'!$K$31*'normal case'!AB92)-(('main page'!$K$25*'main page'!$U$13*'main page'!$K$29)/(1+('main page'!$K$25^2)*'main page'!$U$13))*('normal case'!L92-'main page'!$U$8),B93-B92*V93-('normal case'!I93-D92*W93-'main page'!$K$27*'normal case'!M92+'main page'!$K$31*'normal case'!AB92)-(('main page'!$K$25*'main page'!$U$13*'main page'!$K$29)/(1+('main page'!$K$25^2)*'main page'!$U$13))*('normal case'!L92-'main page'!$U$8)))</f>
        <v>0</v>
      </c>
      <c r="AN92" s="40"/>
      <c r="AO92" s="40"/>
    </row>
    <row r="93" spans="1:41">
      <c r="A93" s="48">
        <v>91</v>
      </c>
      <c r="B93" s="75">
        <f ca="1">IF(controls!$B$33=1,B92*(1+V93)+T93,B92*(1+V93))</f>
        <v>100</v>
      </c>
      <c r="C93" s="80">
        <f t="shared" ca="1" si="11"/>
        <v>0</v>
      </c>
      <c r="D93" s="77">
        <f t="shared" ca="1" si="7"/>
        <v>100</v>
      </c>
      <c r="E93" s="77">
        <f ca="1">AG92+IF(controls!$B$33=1,G93,F93)</f>
        <v>100</v>
      </c>
      <c r="F93" s="94">
        <f ca="1">IF(controls!$B$44=0,H93-'main page'!$K$27*M92,H93-'main page'!$K$27*M92+'main page'!$K$31*AB92)</f>
        <v>100</v>
      </c>
      <c r="G93" s="75">
        <f ca="1">IF(controls!$B$44=0,I93-'main page'!$K$27*M92,I93-'main page'!$K$27*M92+'main page'!$K$31*'normal case'!AB92)</f>
        <v>100</v>
      </c>
      <c r="H93" s="75">
        <f t="shared" ca="1" si="12"/>
        <v>108</v>
      </c>
      <c r="I93" s="75">
        <f t="shared" ca="1" si="13"/>
        <v>108</v>
      </c>
      <c r="L93" s="75">
        <f ca="1">IF(ABS('main page'!$K$29*L92+(1-'main page'!$K$29)*(controls!$B$9/100)*100+'main page'!$K$25*(D93-B93)-L92)&lt;0.0000001,L92,'main page'!$K$29*L92+(1-'main page'!$K$29)*(controls!$B$9/100)*100+'main page'!$K$25*(D93-B93))</f>
        <v>2</v>
      </c>
      <c r="M93" s="96">
        <f ca="1">IF(controls!$B$10=1,M92,IF(SUM(controls!$B$44:$B$46)=2,N93-'main page'!$K$29*'normal case'!L93-(1-'main page'!$K$29)*'main page'!$K$32,N93-'main page'!$K$29*'normal case'!L93-(1-'main page'!$K$29)*controls!$B$9))</f>
        <v>4</v>
      </c>
      <c r="N93" s="208">
        <f ca="1">IF(controls!$B$45=1,IF(controls!$B$46=1,'main page'!$K$24+'main page'!$K$11+'main page'!$U$8,'main page'!$K$24+'main page'!$K$11+'main page'!$K$32),IF(controls!$B$44=1,IF(O93&lt;0,0,O93),IF(O93+'main page'!$K$11&lt;0,0,O93+'main page'!$K$11)))</f>
        <v>6</v>
      </c>
      <c r="O93" s="76">
        <f ca="1">IF(controls!$B$10=1,'normal case'!M93+'normal case'!L93,'normal case'!P93)</f>
        <v>6</v>
      </c>
      <c r="P93" s="74">
        <f t="shared" ca="1" si="8"/>
        <v>6</v>
      </c>
      <c r="Q93" s="210">
        <f ca="1">IF(controls!$B$44=0,R93+'main page'!$K$29*L93+(1-'main page'!$K$29)*controls!$B$9+(('main page'!$K$25*'main page'!$U$13*'main page'!$K$29)/('main page'!$K$27*(1+('main page'!$K$25^2)*'main page'!$U$13)))*(L93-controls!$B$9),R93+'main page'!$K$29*L93+(1-'main page'!$K$29)*controls!$B$9+(('main page'!$K$25*'main page'!$U$13*'normal case'!$AO$3)/'normal case'!$AO$4)*('normal case'!L93-controls!$B$9))</f>
        <v>6</v>
      </c>
      <c r="R93" s="98">
        <f ca="1">IF(controls!$B$44=1,'main page'!$K$24+'main page'!$K$11,IF(controls!$B$33=1,((I94-D93*W94-B94+B93*V94)/'main page'!$K$27)-'main page'!$K$11,((H94-D93*W94-B94+B93*V94)/'main page'!$K$27)-'main page'!$K$11))</f>
        <v>4</v>
      </c>
      <c r="T93" s="71">
        <f>IF(controls!$B$6=1,$AL$3*(1+('main page'!$K$35/100))^U93-$AL$3*(1+('main page'!$K$35/100))^U92,$AL$3*(1+('main page'!$G$8/100))*(1+('main page'!$K$35/100))^U93-$AL$3*(1+('main page'!$G$8/100))*(1+('main page'!$K$35/100))^U92)</f>
        <v>0</v>
      </c>
      <c r="U93" s="73">
        <v>86</v>
      </c>
      <c r="V93" s="161">
        <v>0</v>
      </c>
      <c r="W93" s="40">
        <v>0</v>
      </c>
      <c r="X93" s="49">
        <f ca="1">IF(controls!$B$33=1,D93-($I$3-'main page'!$K$27*2)*(1+('main page'!$K$35/100))^A92,D93-$AL$4)</f>
        <v>0</v>
      </c>
      <c r="Y93" s="49">
        <f ca="1">ABS(L93-(controls!$B$9/100)*100)</f>
        <v>0</v>
      </c>
      <c r="AA93" s="49" t="e">
        <f ca="1">IF(controls!$B$33=1,(B94-B93*V94-I94+D93*W94+'main page'!$K$27*('main page'!$K$24+'main page'!$K$11))/'main page'!$K$31,(B94-B93*V94+D93*W94-H94+'main page'!$K$27*('main page'!$K$24+'main page'!$K$11))/'main page'!$K$31)</f>
        <v>#DIV/0!</v>
      </c>
      <c r="AB93" s="49" t="e">
        <f ca="1">IF(controls!$B$45=1,LOG(AF93,1.01)+LOG(AE93,1.01)-LOG(AD93,1.01),-((M93-('main page'!$K$24+'main page'!$K$11))/(1-'normal case'!$AO$3))+'normal case'!AA93)</f>
        <v>#DIV/0!</v>
      </c>
      <c r="AC93" s="176" t="e">
        <f t="shared" ca="1" si="9"/>
        <v>#DIV/0!</v>
      </c>
      <c r="AD93" s="49">
        <f t="shared" ca="1" si="10"/>
        <v>5.9431331263054545</v>
      </c>
      <c r="AE93" s="49">
        <f>AE92*(1+'main page'!$K$32/100)</f>
        <v>1</v>
      </c>
      <c r="AF93" s="49" t="e">
        <f ca="1">IF(ABS(IF(controls!$B$45=1,$AL$13,AD93*AC93/AE93)-AF92)&lt;0.00001,AF92,IF(controls!$B$45=1,$AL$13,AD93*AC93/AE93))</f>
        <v>#DIV/0!</v>
      </c>
      <c r="AG93" s="49">
        <f>IF(controls!$B$46=0,0,IF(controls!$B$33=2,B94-B93*V94-('normal case'!H94-D93*W94-'main page'!$K$27*'normal case'!M93+'main page'!$K$31*'normal case'!AB93)-(('main page'!$K$25*'main page'!$U$13*'main page'!$K$29)/(1+('main page'!$K$25^2)*'main page'!$U$13))*('normal case'!L93-'main page'!$U$8),B94-B93*V94-('normal case'!I94-D93*W94-'main page'!$K$27*'normal case'!M93+'main page'!$K$31*'normal case'!AB93)-(('main page'!$K$25*'main page'!$U$13*'main page'!$K$29)/(1+('main page'!$K$25^2)*'main page'!$U$13))*('normal case'!L93-'main page'!$U$8)))</f>
        <v>0</v>
      </c>
      <c r="AN93" s="40"/>
      <c r="AO93" s="40"/>
    </row>
    <row r="94" spans="1:41">
      <c r="A94" s="48">
        <v>92</v>
      </c>
      <c r="B94" s="75">
        <f ca="1">IF(controls!$B$33=1,B93*(1+V94)+T94,B93*(1+V94))</f>
        <v>100</v>
      </c>
      <c r="C94" s="80">
        <f t="shared" ca="1" si="11"/>
        <v>0</v>
      </c>
      <c r="D94" s="77">
        <f t="shared" ca="1" si="7"/>
        <v>100</v>
      </c>
      <c r="E94" s="77">
        <f ca="1">AG93+IF(controls!$B$33=1,G94,F94)</f>
        <v>100</v>
      </c>
      <c r="F94" s="94">
        <f ca="1">IF(controls!$B$44=0,H94-'main page'!$K$27*M93,H94-'main page'!$K$27*M93+'main page'!$K$31*AB93)</f>
        <v>100</v>
      </c>
      <c r="G94" s="75">
        <f ca="1">IF(controls!$B$44=0,I94-'main page'!$K$27*M93,I94-'main page'!$K$27*M93+'main page'!$K$31*'normal case'!AB93)</f>
        <v>100</v>
      </c>
      <c r="H94" s="75">
        <f t="shared" ca="1" si="12"/>
        <v>108</v>
      </c>
      <c r="I94" s="75">
        <f t="shared" ca="1" si="13"/>
        <v>108</v>
      </c>
      <c r="L94" s="75">
        <f ca="1">IF(ABS('main page'!$K$29*L93+(1-'main page'!$K$29)*(controls!$B$9/100)*100+'main page'!$K$25*(D94-B94)-L93)&lt;0.0000001,L93,'main page'!$K$29*L93+(1-'main page'!$K$29)*(controls!$B$9/100)*100+'main page'!$K$25*(D94-B94))</f>
        <v>2</v>
      </c>
      <c r="M94" s="96">
        <f ca="1">IF(controls!$B$10=1,M93,IF(SUM(controls!$B$44:$B$46)=2,N94-'main page'!$K$29*'normal case'!L94-(1-'main page'!$K$29)*'main page'!$K$32,N94-'main page'!$K$29*'normal case'!L94-(1-'main page'!$K$29)*controls!$B$9))</f>
        <v>4</v>
      </c>
      <c r="N94" s="208">
        <f ca="1">IF(controls!$B$45=1,IF(controls!$B$46=1,'main page'!$K$24+'main page'!$K$11+'main page'!$U$8,'main page'!$K$24+'main page'!$K$11+'main page'!$K$32),IF(controls!$B$44=1,IF(O94&lt;0,0,O94),IF(O94+'main page'!$K$11&lt;0,0,O94+'main page'!$K$11)))</f>
        <v>6</v>
      </c>
      <c r="O94" s="76">
        <f ca="1">IF(controls!$B$10=1,'normal case'!M94+'normal case'!L94,'normal case'!P94)</f>
        <v>6</v>
      </c>
      <c r="P94" s="74">
        <f t="shared" ca="1" si="8"/>
        <v>6</v>
      </c>
      <c r="Q94" s="210">
        <f ca="1">IF(controls!$B$44=0,R94+'main page'!$K$29*L94+(1-'main page'!$K$29)*controls!$B$9+(('main page'!$K$25*'main page'!$U$13*'main page'!$K$29)/('main page'!$K$27*(1+('main page'!$K$25^2)*'main page'!$U$13)))*(L94-controls!$B$9),R94+'main page'!$K$29*L94+(1-'main page'!$K$29)*controls!$B$9+(('main page'!$K$25*'main page'!$U$13*'normal case'!$AO$3)/'normal case'!$AO$4)*('normal case'!L94-controls!$B$9))</f>
        <v>6</v>
      </c>
      <c r="R94" s="98">
        <f ca="1">IF(controls!$B$44=1,'main page'!$K$24+'main page'!$K$11,IF(controls!$B$33=1,((I95-D94*W95-B95+B94*V95)/'main page'!$K$27)-'main page'!$K$11,((H95-D94*W95-B95+B94*V95)/'main page'!$K$27)-'main page'!$K$11))</f>
        <v>4</v>
      </c>
      <c r="T94" s="71">
        <f>IF(controls!$B$6=1,$AL$3*(1+('main page'!$K$35/100))^U94-$AL$3*(1+('main page'!$K$35/100))^U93,$AL$3*(1+('main page'!$G$8/100))*(1+('main page'!$K$35/100))^U94-$AL$3*(1+('main page'!$G$8/100))*(1+('main page'!$K$35/100))^U93)</f>
        <v>0</v>
      </c>
      <c r="U94" s="73">
        <v>87</v>
      </c>
      <c r="V94" s="161">
        <v>0</v>
      </c>
      <c r="W94" s="40">
        <v>0</v>
      </c>
      <c r="X94" s="49">
        <f ca="1">IF(controls!$B$33=1,D94-($I$3-'main page'!$K$27*2)*(1+('main page'!$K$35/100))^A93,D94-$AL$4)</f>
        <v>0</v>
      </c>
      <c r="Y94" s="49">
        <f ca="1">ABS(L94-(controls!$B$9/100)*100)</f>
        <v>0</v>
      </c>
      <c r="AA94" s="49" t="e">
        <f ca="1">IF(controls!$B$33=1,(B95-B94*V95-I95+D94*W95+'main page'!$K$27*('main page'!$K$24+'main page'!$K$11))/'main page'!$K$31,(B95-B94*V95+D94*W95-H95+'main page'!$K$27*('main page'!$K$24+'main page'!$K$11))/'main page'!$K$31)</f>
        <v>#DIV/0!</v>
      </c>
      <c r="AB94" s="49" t="e">
        <f ca="1">IF(controls!$B$45=1,LOG(AF94,1.01)+LOG(AE94,1.01)-LOG(AD94,1.01),-((M94-('main page'!$K$24+'main page'!$K$11))/(1-'normal case'!$AO$3))+'normal case'!AA94)</f>
        <v>#DIV/0!</v>
      </c>
      <c r="AC94" s="176" t="e">
        <f t="shared" ca="1" si="9"/>
        <v>#DIV/0!</v>
      </c>
      <c r="AD94" s="49">
        <f t="shared" ca="1" si="10"/>
        <v>6.0619957888315641</v>
      </c>
      <c r="AE94" s="49">
        <f>AE93*(1+'main page'!$K$32/100)</f>
        <v>1</v>
      </c>
      <c r="AF94" s="49" t="e">
        <f ca="1">IF(ABS(IF(controls!$B$45=1,$AL$13,AD94*AC94/AE94)-AF93)&lt;0.00001,AF93,IF(controls!$B$45=1,$AL$13,AD94*AC94/AE94))</f>
        <v>#DIV/0!</v>
      </c>
      <c r="AG94" s="49">
        <f>IF(controls!$B$46=0,0,IF(controls!$B$33=2,B95-B94*V95-('normal case'!H95-D94*W95-'main page'!$K$27*'normal case'!M94+'main page'!$K$31*'normal case'!AB94)-(('main page'!$K$25*'main page'!$U$13*'main page'!$K$29)/(1+('main page'!$K$25^2)*'main page'!$U$13))*('normal case'!L94-'main page'!$U$8),B95-B94*V95-('normal case'!I95-D94*W95-'main page'!$K$27*'normal case'!M94+'main page'!$K$31*'normal case'!AB94)-(('main page'!$K$25*'main page'!$U$13*'main page'!$K$29)/(1+('main page'!$K$25^2)*'main page'!$U$13))*('normal case'!L94-'main page'!$U$8)))</f>
        <v>0</v>
      </c>
      <c r="AN94" s="40"/>
      <c r="AO94" s="40"/>
    </row>
    <row r="95" spans="1:41">
      <c r="A95" s="48">
        <v>93</v>
      </c>
      <c r="B95" s="75">
        <f ca="1">IF(controls!$B$33=1,B94*(1+V95)+T95,B94*(1+V95))</f>
        <v>100</v>
      </c>
      <c r="C95" s="80">
        <f t="shared" ca="1" si="11"/>
        <v>0</v>
      </c>
      <c r="D95" s="77">
        <f t="shared" ca="1" si="7"/>
        <v>100</v>
      </c>
      <c r="E95" s="77">
        <f ca="1">AG94+IF(controls!$B$33=1,G95,F95)</f>
        <v>100</v>
      </c>
      <c r="F95" s="94">
        <f ca="1">IF(controls!$B$44=0,H95-'main page'!$K$27*M94,H95-'main page'!$K$27*M94+'main page'!$K$31*AB94)</f>
        <v>100</v>
      </c>
      <c r="G95" s="75">
        <f ca="1">IF(controls!$B$44=0,I95-'main page'!$K$27*M94,I95-'main page'!$K$27*M94+'main page'!$K$31*'normal case'!AB94)</f>
        <v>100</v>
      </c>
      <c r="H95" s="75">
        <f t="shared" ca="1" si="12"/>
        <v>108</v>
      </c>
      <c r="I95" s="75">
        <f t="shared" ca="1" si="13"/>
        <v>108</v>
      </c>
      <c r="L95" s="75">
        <f ca="1">IF(ABS('main page'!$K$29*L94+(1-'main page'!$K$29)*(controls!$B$9/100)*100+'main page'!$K$25*(D95-B95)-L94)&lt;0.0000001,L94,'main page'!$K$29*L94+(1-'main page'!$K$29)*(controls!$B$9/100)*100+'main page'!$K$25*(D95-B95))</f>
        <v>2</v>
      </c>
      <c r="M95" s="96">
        <f ca="1">IF(controls!$B$10=1,M94,IF(SUM(controls!$B$44:$B$46)=2,N95-'main page'!$K$29*'normal case'!L95-(1-'main page'!$K$29)*'main page'!$K$32,N95-'main page'!$K$29*'normal case'!L95-(1-'main page'!$K$29)*controls!$B$9))</f>
        <v>4</v>
      </c>
      <c r="N95" s="208">
        <f ca="1">IF(controls!$B$45=1,IF(controls!$B$46=1,'main page'!$K$24+'main page'!$K$11+'main page'!$U$8,'main page'!$K$24+'main page'!$K$11+'main page'!$K$32),IF(controls!$B$44=1,IF(O95&lt;0,0,O95),IF(O95+'main page'!$K$11&lt;0,0,O95+'main page'!$K$11)))</f>
        <v>6</v>
      </c>
      <c r="O95" s="76">
        <f ca="1">IF(controls!$B$10=1,'normal case'!M95+'normal case'!L95,'normal case'!P95)</f>
        <v>6</v>
      </c>
      <c r="P95" s="74">
        <f t="shared" ca="1" si="8"/>
        <v>6</v>
      </c>
      <c r="Q95" s="210">
        <f ca="1">IF(controls!$B$44=0,R95+'main page'!$K$29*L95+(1-'main page'!$K$29)*controls!$B$9+(('main page'!$K$25*'main page'!$U$13*'main page'!$K$29)/('main page'!$K$27*(1+('main page'!$K$25^2)*'main page'!$U$13)))*(L95-controls!$B$9),R95+'main page'!$K$29*L95+(1-'main page'!$K$29)*controls!$B$9+(('main page'!$K$25*'main page'!$U$13*'normal case'!$AO$3)/'normal case'!$AO$4)*('normal case'!L95-controls!$B$9))</f>
        <v>6</v>
      </c>
      <c r="R95" s="98">
        <f ca="1">IF(controls!$B$44=1,'main page'!$K$24+'main page'!$K$11,IF(controls!$B$33=1,((I96-D95*W96-B96+B95*V96)/'main page'!$K$27)-'main page'!$K$11,((H96-D95*W96-B96+B95*V96)/'main page'!$K$27)-'main page'!$K$11))</f>
        <v>4</v>
      </c>
      <c r="T95" s="71">
        <f>IF(controls!$B$6=1,$AL$3*(1+('main page'!$K$35/100))^U95-$AL$3*(1+('main page'!$K$35/100))^U94,$AL$3*(1+('main page'!$G$8/100))*(1+('main page'!$K$35/100))^U95-$AL$3*(1+('main page'!$G$8/100))*(1+('main page'!$K$35/100))^U94)</f>
        <v>0</v>
      </c>
      <c r="U95" s="73">
        <v>88</v>
      </c>
      <c r="V95" s="161">
        <f ca="1">IF(controls!$B$4=1,IF(controls!$H94=1,controls!$B$34*V94+RAND()*('main page'!$K$16/100)-RAND()*('main page'!$K$16/100),0),0)</f>
        <v>0</v>
      </c>
      <c r="W95" s="40">
        <f ca="1">IF(controls!$B$4=1,IF(controls!$I94=1,controls!$B$34*W94+RAND()*('main page'!$K$16/100)-RAND()*('main page'!$K$16/100),0),0)</f>
        <v>0</v>
      </c>
      <c r="X95" s="49">
        <f ca="1">IF(controls!$B$33=1,D95-($I$3-'main page'!$K$27*2)*(1+('main page'!$K$35/100))^A94,D95-$AL$4)</f>
        <v>0</v>
      </c>
      <c r="Y95" s="49">
        <f ca="1">ABS(L95-(controls!$B$9/100)*100)</f>
        <v>0</v>
      </c>
      <c r="AA95" s="49" t="e">
        <f ca="1">IF(controls!$B$33=1,(B96-B95*V96-I96+D95*W96+'main page'!$K$27*('main page'!$K$24+'main page'!$K$11))/'main page'!$K$31,(B96-B95*V96+D95*W96-H96+'main page'!$K$27*('main page'!$K$24+'main page'!$K$11))/'main page'!$K$31)</f>
        <v>#DIV/0!</v>
      </c>
      <c r="AB95" s="49" t="e">
        <f ca="1">IF(controls!$B$45=1,LOG(AF95,1.01)+LOG(AE95,1.01)-LOG(AD95,1.01),-((M95-('main page'!$K$24+'main page'!$K$11))/(1-'normal case'!$AO$3))+'normal case'!AA95)</f>
        <v>#DIV/0!</v>
      </c>
      <c r="AC95" s="176" t="e">
        <f t="shared" ca="1" si="9"/>
        <v>#DIV/0!</v>
      </c>
      <c r="AD95" s="49">
        <f t="shared" ca="1" si="10"/>
        <v>6.1832357046081956</v>
      </c>
      <c r="AE95" s="49">
        <f>AE94*(1+'main page'!$K$32/100)</f>
        <v>1</v>
      </c>
      <c r="AF95" s="49" t="e">
        <f ca="1">IF(ABS(IF(controls!$B$45=1,$AL$13,AD95*AC95/AE95)-AF94)&lt;0.00001,AF94,IF(controls!$B$45=1,$AL$13,AD95*AC95/AE95))</f>
        <v>#DIV/0!</v>
      </c>
      <c r="AG95" s="49">
        <f>IF(controls!$B$46=0,0,IF(controls!$B$33=2,B96-B95*V96-('normal case'!H96-D95*W96-'main page'!$K$27*'normal case'!M95+'main page'!$K$31*'normal case'!AB95)-(('main page'!$K$25*'main page'!$U$13*'main page'!$K$29)/(1+('main page'!$K$25^2)*'main page'!$U$13))*('normal case'!L95-'main page'!$U$8),B96-B95*V96-('normal case'!I96-D95*W96-'main page'!$K$27*'normal case'!M95+'main page'!$K$31*'normal case'!AB95)-(('main page'!$K$25*'main page'!$U$13*'main page'!$K$29)/(1+('main page'!$K$25^2)*'main page'!$U$13))*('normal case'!L95-'main page'!$U$8)))</f>
        <v>0</v>
      </c>
      <c r="AN95" s="40"/>
      <c r="AO95" s="40"/>
    </row>
    <row r="96" spans="1:41">
      <c r="A96" s="48">
        <v>94</v>
      </c>
      <c r="B96" s="75">
        <f ca="1">IF(controls!$B$33=1,B95*(1+V96)+T96,B95*(1+V96))</f>
        <v>100</v>
      </c>
      <c r="C96" s="80">
        <f t="shared" ca="1" si="11"/>
        <v>0</v>
      </c>
      <c r="D96" s="77">
        <f t="shared" ca="1" si="7"/>
        <v>100</v>
      </c>
      <c r="E96" s="77">
        <f ca="1">AG95+IF(controls!$B$33=1,G96,F96)</f>
        <v>100</v>
      </c>
      <c r="F96" s="94">
        <f ca="1">IF(controls!$B$44=0,H96-'main page'!$K$27*M95,H96-'main page'!$K$27*M95+'main page'!$K$31*AB95)</f>
        <v>100</v>
      </c>
      <c r="G96" s="75">
        <f ca="1">IF(controls!$B$44=0,I96-'main page'!$K$27*M95,I96-'main page'!$K$27*M95+'main page'!$K$31*'normal case'!AB95)</f>
        <v>100</v>
      </c>
      <c r="H96" s="75">
        <f t="shared" ca="1" si="12"/>
        <v>108</v>
      </c>
      <c r="I96" s="75">
        <f t="shared" ca="1" si="13"/>
        <v>108</v>
      </c>
      <c r="L96" s="75">
        <f ca="1">IF(ABS('main page'!$K$29*L95+(1-'main page'!$K$29)*(controls!$B$9/100)*100+'main page'!$K$25*(D96-B96)-L95)&lt;0.0000001,L95,'main page'!$K$29*L95+(1-'main page'!$K$29)*(controls!$B$9/100)*100+'main page'!$K$25*(D96-B96))</f>
        <v>2</v>
      </c>
      <c r="M96" s="96">
        <f ca="1">IF(controls!$B$10=1,M95,IF(SUM(controls!$B$44:$B$46)=2,N96-'main page'!$K$29*'normal case'!L96-(1-'main page'!$K$29)*'main page'!$K$32,N96-'main page'!$K$29*'normal case'!L96-(1-'main page'!$K$29)*controls!$B$9))</f>
        <v>4</v>
      </c>
      <c r="N96" s="208">
        <f ca="1">IF(controls!$B$45=1,IF(controls!$B$46=1,'main page'!$K$24+'main page'!$K$11+'main page'!$U$8,'main page'!$K$24+'main page'!$K$11+'main page'!$K$32),IF(controls!$B$44=1,IF(O96&lt;0,0,O96),IF(O96+'main page'!$K$11&lt;0,0,O96+'main page'!$K$11)))</f>
        <v>6</v>
      </c>
      <c r="O96" s="76">
        <f ca="1">IF(controls!$B$10=1,'normal case'!M96+'normal case'!L96,'normal case'!P96)</f>
        <v>6</v>
      </c>
      <c r="P96" s="74">
        <f t="shared" ca="1" si="8"/>
        <v>6</v>
      </c>
      <c r="Q96" s="210">
        <f ca="1">IF(controls!$B$44=0,R96+'main page'!$K$29*L96+(1-'main page'!$K$29)*controls!$B$9+(('main page'!$K$25*'main page'!$U$13*'main page'!$K$29)/('main page'!$K$27*(1+('main page'!$K$25^2)*'main page'!$U$13)))*(L96-controls!$B$9),R96+'main page'!$K$29*L96+(1-'main page'!$K$29)*controls!$B$9+(('main page'!$K$25*'main page'!$U$13*'normal case'!$AO$3)/'normal case'!$AO$4)*('normal case'!L96-controls!$B$9))</f>
        <v>6</v>
      </c>
      <c r="R96" s="98">
        <f ca="1">IF(controls!$B$44=1,'main page'!$K$24+'main page'!$K$11,IF(controls!$B$33=1,((I97-D96*W97-B97+B96*V97)/'main page'!$K$27)-'main page'!$K$11,((H97-D96*W97-B97+B96*V97)/'main page'!$K$27)-'main page'!$K$11))</f>
        <v>4</v>
      </c>
      <c r="T96" s="71">
        <f>IF(controls!$B$6=1,$AL$3*(1+('main page'!$K$35/100))^U96-$AL$3*(1+('main page'!$K$35/100))^U95,$AL$3*(1+('main page'!$G$8/100))*(1+('main page'!$K$35/100))^U96-$AL$3*(1+('main page'!$G$8/100))*(1+('main page'!$K$35/100))^U95)</f>
        <v>0</v>
      </c>
      <c r="U96" s="73">
        <v>89</v>
      </c>
      <c r="V96" s="161">
        <v>0</v>
      </c>
      <c r="W96" s="40">
        <v>0</v>
      </c>
      <c r="X96" s="49">
        <f ca="1">IF(controls!$B$33=1,D96-($I$3-'main page'!$K$27*2)*(1+('main page'!$K$35/100))^A95,D96-$AL$4)</f>
        <v>0</v>
      </c>
      <c r="Y96" s="49">
        <f ca="1">ABS(L96-(controls!$B$9/100)*100)</f>
        <v>0</v>
      </c>
      <c r="AA96" s="49" t="e">
        <f ca="1">IF(controls!$B$33=1,(B97-B96*V97-I97+D96*W97+'main page'!$K$27*('main page'!$K$24+'main page'!$K$11))/'main page'!$K$31,(B97-B96*V97+D96*W97-H97+'main page'!$K$27*('main page'!$K$24+'main page'!$K$11))/'main page'!$K$31)</f>
        <v>#DIV/0!</v>
      </c>
      <c r="AB96" s="49" t="e">
        <f ca="1">IF(controls!$B$45=1,LOG(AF96,1.01)+LOG(AE96,1.01)-LOG(AD96,1.01),-((M96-('main page'!$K$24+'main page'!$K$11))/(1-'normal case'!$AO$3))+'normal case'!AA96)</f>
        <v>#DIV/0!</v>
      </c>
      <c r="AC96" s="176" t="e">
        <f t="shared" ca="1" si="9"/>
        <v>#DIV/0!</v>
      </c>
      <c r="AD96" s="49">
        <f t="shared" ca="1" si="10"/>
        <v>6.3069004187003594</v>
      </c>
      <c r="AE96" s="49">
        <f>AE95*(1+'main page'!$K$32/100)</f>
        <v>1</v>
      </c>
      <c r="AF96" s="49" t="e">
        <f ca="1">IF(ABS(IF(controls!$B$45=1,$AL$13,AD96*AC96/AE96)-AF95)&lt;0.00001,AF95,IF(controls!$B$45=1,$AL$13,AD96*AC96/AE96))</f>
        <v>#DIV/0!</v>
      </c>
      <c r="AG96" s="49">
        <f>IF(controls!$B$46=0,0,IF(controls!$B$33=2,B97-B96*V97-('normal case'!H97-D96*W97-'main page'!$K$27*'normal case'!M96+'main page'!$K$31*'normal case'!AB96)-(('main page'!$K$25*'main page'!$U$13*'main page'!$K$29)/(1+('main page'!$K$25^2)*'main page'!$U$13))*('normal case'!L96-'main page'!$U$8),B97-B96*V97-('normal case'!I97-D96*W97-'main page'!$K$27*'normal case'!M96+'main page'!$K$31*'normal case'!AB96)-(('main page'!$K$25*'main page'!$U$13*'main page'!$K$29)/(1+('main page'!$K$25^2)*'main page'!$U$13))*('normal case'!L96-'main page'!$U$8)))</f>
        <v>0</v>
      </c>
      <c r="AN96" s="40"/>
      <c r="AO96" s="40"/>
    </row>
    <row r="97" spans="1:41">
      <c r="A97" s="48">
        <v>95</v>
      </c>
      <c r="B97" s="75">
        <f ca="1">IF(controls!$B$33=1,B96*(1+V97)+T97,B96*(1+V97))</f>
        <v>100</v>
      </c>
      <c r="C97" s="80">
        <f t="shared" ca="1" si="11"/>
        <v>0</v>
      </c>
      <c r="D97" s="77">
        <f t="shared" ca="1" si="7"/>
        <v>100</v>
      </c>
      <c r="E97" s="77">
        <f ca="1">AG96+IF(controls!$B$33=1,G97,F97)</f>
        <v>100</v>
      </c>
      <c r="F97" s="94">
        <f ca="1">IF(controls!$B$44=0,H97-'main page'!$K$27*M96,H97-'main page'!$K$27*M96+'main page'!$K$31*AB96)</f>
        <v>100</v>
      </c>
      <c r="G97" s="75">
        <f ca="1">IF(controls!$B$44=0,I97-'main page'!$K$27*M96,I97-'main page'!$K$27*M96+'main page'!$K$31*'normal case'!AB96)</f>
        <v>100</v>
      </c>
      <c r="H97" s="75">
        <f t="shared" ca="1" si="12"/>
        <v>108</v>
      </c>
      <c r="I97" s="75">
        <f t="shared" ca="1" si="13"/>
        <v>108</v>
      </c>
      <c r="L97" s="75">
        <f ca="1">IF(ABS('main page'!$K$29*L96+(1-'main page'!$K$29)*(controls!$B$9/100)*100+'main page'!$K$25*(D97-B97)-L96)&lt;0.0000001,L96,'main page'!$K$29*L96+(1-'main page'!$K$29)*(controls!$B$9/100)*100+'main page'!$K$25*(D97-B97))</f>
        <v>2</v>
      </c>
      <c r="M97" s="96">
        <f ca="1">IF(controls!$B$10=1,M96,IF(SUM(controls!$B$44:$B$46)=2,N97-'main page'!$K$29*'normal case'!L97-(1-'main page'!$K$29)*'main page'!$K$32,N97-'main page'!$K$29*'normal case'!L97-(1-'main page'!$K$29)*controls!$B$9))</f>
        <v>4</v>
      </c>
      <c r="N97" s="208">
        <f ca="1">IF(controls!$B$45=1,IF(controls!$B$46=1,'main page'!$K$24+'main page'!$K$11+'main page'!$U$8,'main page'!$K$24+'main page'!$K$11+'main page'!$K$32),IF(controls!$B$44=1,IF(O97&lt;0,0,O97),IF(O97+'main page'!$K$11&lt;0,0,O97+'main page'!$K$11)))</f>
        <v>6</v>
      </c>
      <c r="O97" s="76">
        <f ca="1">IF(controls!$B$10=1,'normal case'!M97+'normal case'!L97,'normal case'!P97)</f>
        <v>6</v>
      </c>
      <c r="P97" s="74">
        <f t="shared" ca="1" si="8"/>
        <v>6</v>
      </c>
      <c r="Q97" s="210">
        <f ca="1">IF(controls!$B$44=0,R97+'main page'!$K$29*L97+(1-'main page'!$K$29)*controls!$B$9+(('main page'!$K$25*'main page'!$U$13*'main page'!$K$29)/('main page'!$K$27*(1+('main page'!$K$25^2)*'main page'!$U$13)))*(L97-controls!$B$9),R97+'main page'!$K$29*L97+(1-'main page'!$K$29)*controls!$B$9+(('main page'!$K$25*'main page'!$U$13*'normal case'!$AO$3)/'normal case'!$AO$4)*('normal case'!L97-controls!$B$9))</f>
        <v>6</v>
      </c>
      <c r="R97" s="98">
        <f ca="1">IF(controls!$B$44=1,'main page'!$K$24+'main page'!$K$11,IF(controls!$B$33=1,((I98-D97*W98-B98+B97*V98)/'main page'!$K$27)-'main page'!$K$11,((H98-D97*W98-B98+B97*V98)/'main page'!$K$27)-'main page'!$K$11))</f>
        <v>4</v>
      </c>
      <c r="T97" s="71">
        <f>IF(controls!$B$6=1,$AL$3*(1+('main page'!$K$35/100))^U97-$AL$3*(1+('main page'!$K$35/100))^U96,$AL$3*(1+('main page'!$G$8/100))*(1+('main page'!$K$35/100))^U97-$AL$3*(1+('main page'!$G$8/100))*(1+('main page'!$K$35/100))^U96)</f>
        <v>0</v>
      </c>
      <c r="U97" s="73">
        <v>90</v>
      </c>
      <c r="V97" s="161">
        <v>0</v>
      </c>
      <c r="W97" s="40">
        <v>0</v>
      </c>
      <c r="X97" s="49">
        <f ca="1">IF(controls!$B$33=1,D97-($I$3-'main page'!$K$27*2)*(1+('main page'!$K$35/100))^A96,D97-$AL$4)</f>
        <v>0</v>
      </c>
      <c r="Y97" s="49">
        <f ca="1">ABS(L97-(controls!$B$9/100)*100)</f>
        <v>0</v>
      </c>
      <c r="AA97" s="49" t="e">
        <f ca="1">IF(controls!$B$33=1,(B98-B97*V98-I98+D97*W98+'main page'!$K$27*('main page'!$K$24+'main page'!$K$11))/'main page'!$K$31,(B98-B97*V98+D97*W98-H98+'main page'!$K$27*('main page'!$K$24+'main page'!$K$11))/'main page'!$K$31)</f>
        <v>#DIV/0!</v>
      </c>
      <c r="AB97" s="49" t="e">
        <f ca="1">IF(controls!$B$45=1,LOG(AF97,1.01)+LOG(AE97,1.01)-LOG(AD97,1.01),-((M97-('main page'!$K$24+'main page'!$K$11))/(1-'normal case'!$AO$3))+'normal case'!AA97)</f>
        <v>#DIV/0!</v>
      </c>
      <c r="AC97" s="176" t="e">
        <f t="shared" ca="1" si="9"/>
        <v>#DIV/0!</v>
      </c>
      <c r="AD97" s="49">
        <f t="shared" ca="1" si="10"/>
        <v>6.4330384270743668</v>
      </c>
      <c r="AE97" s="49">
        <f>AE96*(1+'main page'!$K$32/100)</f>
        <v>1</v>
      </c>
      <c r="AF97" s="49" t="e">
        <f ca="1">IF(ABS(IF(controls!$B$45=1,$AL$13,AD97*AC97/AE97)-AF96)&lt;0.00001,AF96,IF(controls!$B$45=1,$AL$13,AD97*AC97/AE97))</f>
        <v>#DIV/0!</v>
      </c>
      <c r="AG97" s="49">
        <f>IF(controls!$B$46=0,0,IF(controls!$B$33=2,B98-B97*V98-('normal case'!H98-D97*W98-'main page'!$K$27*'normal case'!M97+'main page'!$K$31*'normal case'!AB97)-(('main page'!$K$25*'main page'!$U$13*'main page'!$K$29)/(1+('main page'!$K$25^2)*'main page'!$U$13))*('normal case'!L97-'main page'!$U$8),B98-B97*V98-('normal case'!I98-D97*W98-'main page'!$K$27*'normal case'!M97+'main page'!$K$31*'normal case'!AB97)-(('main page'!$K$25*'main page'!$U$13*'main page'!$K$29)/(1+('main page'!$K$25^2)*'main page'!$U$13))*('normal case'!L97-'main page'!$U$8)))</f>
        <v>0</v>
      </c>
      <c r="AN97" s="40"/>
      <c r="AO97" s="40"/>
    </row>
    <row r="98" spans="1:41">
      <c r="A98" s="48">
        <v>96</v>
      </c>
      <c r="B98" s="75">
        <f ca="1">IF(controls!$B$33=1,B97*(1+V98)+T98,B97*(1+V98))</f>
        <v>100</v>
      </c>
      <c r="C98" s="80">
        <f t="shared" ca="1" si="11"/>
        <v>0</v>
      </c>
      <c r="D98" s="77">
        <f t="shared" ca="1" si="7"/>
        <v>100</v>
      </c>
      <c r="E98" s="77">
        <f ca="1">AG97+IF(controls!$B$33=1,G98,F98)</f>
        <v>100</v>
      </c>
      <c r="F98" s="94">
        <f ca="1">IF(controls!$B$44=0,H98-'main page'!$K$27*M97,H98-'main page'!$K$27*M97+'main page'!$K$31*AB97)</f>
        <v>100</v>
      </c>
      <c r="G98" s="75">
        <f ca="1">IF(controls!$B$44=0,I98-'main page'!$K$27*M97,I98-'main page'!$K$27*M97+'main page'!$K$31*'normal case'!AB97)</f>
        <v>100</v>
      </c>
      <c r="H98" s="75">
        <f t="shared" ca="1" si="12"/>
        <v>108</v>
      </c>
      <c r="I98" s="75">
        <f t="shared" ca="1" si="13"/>
        <v>108</v>
      </c>
      <c r="L98" s="75">
        <f ca="1">IF(ABS('main page'!$K$29*L97+(1-'main page'!$K$29)*(controls!$B$9/100)*100+'main page'!$K$25*(D98-B98)-L97)&lt;0.0000001,L97,'main page'!$K$29*L97+(1-'main page'!$K$29)*(controls!$B$9/100)*100+'main page'!$K$25*(D98-B98))</f>
        <v>2</v>
      </c>
      <c r="M98" s="96">
        <f ca="1">IF(controls!$B$10=1,M97,IF(SUM(controls!$B$44:$B$46)=2,N98-'main page'!$K$29*'normal case'!L98-(1-'main page'!$K$29)*'main page'!$K$32,N98-'main page'!$K$29*'normal case'!L98-(1-'main page'!$K$29)*controls!$B$9))</f>
        <v>4</v>
      </c>
      <c r="N98" s="208">
        <f ca="1">IF(controls!$B$45=1,IF(controls!$B$46=1,'main page'!$K$24+'main page'!$K$11+'main page'!$U$8,'main page'!$K$24+'main page'!$K$11+'main page'!$K$32),IF(controls!$B$44=1,IF(O98&lt;0,0,O98),IF(O98+'main page'!$K$11&lt;0,0,O98+'main page'!$K$11)))</f>
        <v>6</v>
      </c>
      <c r="O98" s="76">
        <f ca="1">IF(controls!$B$10=1,'normal case'!M98+'normal case'!L98,'normal case'!P98)</f>
        <v>6</v>
      </c>
      <c r="P98" s="74">
        <f t="shared" ca="1" si="8"/>
        <v>6</v>
      </c>
      <c r="Q98" s="210">
        <f ca="1">IF(controls!$B$44=0,R98+'main page'!$K$29*L98+(1-'main page'!$K$29)*controls!$B$9+(('main page'!$K$25*'main page'!$U$13*'main page'!$K$29)/('main page'!$K$27*(1+('main page'!$K$25^2)*'main page'!$U$13)))*(L98-controls!$B$9),R98+'main page'!$K$29*L98+(1-'main page'!$K$29)*controls!$B$9+(('main page'!$K$25*'main page'!$U$13*'normal case'!$AO$3)/'normal case'!$AO$4)*('normal case'!L98-controls!$B$9))</f>
        <v>6</v>
      </c>
      <c r="R98" s="98">
        <f ca="1">IF(controls!$B$44=1,'main page'!$K$24+'main page'!$K$11,IF(controls!$B$33=1,((I99-D98*W99-B99+B98*V99)/'main page'!$K$27)-'main page'!$K$11,((H99-D98*W99-B99+B98*V99)/'main page'!$K$27)-'main page'!$K$11))</f>
        <v>4</v>
      </c>
      <c r="T98" s="71">
        <f>IF(controls!$B$6=1,$AL$3*(1+('main page'!$K$35/100))^U98-$AL$3*(1+('main page'!$K$35/100))^U97,$AL$3*(1+('main page'!$G$8/100))*(1+('main page'!$K$35/100))^U98-$AL$3*(1+('main page'!$G$8/100))*(1+('main page'!$K$35/100))^U97)</f>
        <v>0</v>
      </c>
      <c r="U98" s="73">
        <v>91</v>
      </c>
      <c r="V98" s="161">
        <f ca="1">IF(controls!$B$4=1,IF(controls!$H97=1,controls!$B$34*V97+RAND()*('main page'!$K$16/100)-RAND()*('main page'!$K$16/100),0),0)</f>
        <v>0</v>
      </c>
      <c r="W98" s="40">
        <f ca="1">IF(controls!$B$4=1,IF(controls!$I97=1,controls!$B$34*W97+RAND()*('main page'!$K$16/100)-RAND()*('main page'!$K$16/100),0),0)</f>
        <v>0</v>
      </c>
      <c r="X98" s="49">
        <f ca="1">IF(controls!$B$33=1,D98-($I$3-'main page'!$K$27*2)*(1+('main page'!$K$35/100))^A97,D98-$AL$4)</f>
        <v>0</v>
      </c>
      <c r="Y98" s="49">
        <f ca="1">ABS(L98-(controls!$B$9/100)*100)</f>
        <v>0</v>
      </c>
      <c r="AA98" s="49" t="e">
        <f ca="1">IF(controls!$B$33=1,(B99-B98*V99-I99+D98*W99+'main page'!$K$27*('main page'!$K$24+'main page'!$K$11))/'main page'!$K$31,(B99-B98*V99+D98*W99-H99+'main page'!$K$27*('main page'!$K$24+'main page'!$K$11))/'main page'!$K$31)</f>
        <v>#DIV/0!</v>
      </c>
      <c r="AB98" s="49" t="e">
        <f ca="1">IF(controls!$B$45=1,LOG(AF98,1.01)+LOG(AE98,1.01)-LOG(AD98,1.01),-((M98-('main page'!$K$24+'main page'!$K$11))/(1-'normal case'!$AO$3))+'normal case'!AA98)</f>
        <v>#DIV/0!</v>
      </c>
      <c r="AC98" s="176" t="e">
        <f t="shared" ca="1" si="9"/>
        <v>#DIV/0!</v>
      </c>
      <c r="AD98" s="49">
        <f t="shared" ca="1" si="10"/>
        <v>6.5616991956158541</v>
      </c>
      <c r="AE98" s="49">
        <f>AE97*(1+'main page'!$K$32/100)</f>
        <v>1</v>
      </c>
      <c r="AF98" s="49" t="e">
        <f ca="1">IF(ABS(IF(controls!$B$45=1,$AL$13,AD98*AC98/AE98)-AF97)&lt;0.00001,AF97,IF(controls!$B$45=1,$AL$13,AD98*AC98/AE98))</f>
        <v>#DIV/0!</v>
      </c>
      <c r="AG98" s="49">
        <f>IF(controls!$B$46=0,0,IF(controls!$B$33=2,B99-B98*V99-('normal case'!H99-D98*W99-'main page'!$K$27*'normal case'!M98+'main page'!$K$31*'normal case'!AB98)-(('main page'!$K$25*'main page'!$U$13*'main page'!$K$29)/(1+('main page'!$K$25^2)*'main page'!$U$13))*('normal case'!L98-'main page'!$U$8),B99-B98*V99-('normal case'!I99-D98*W99-'main page'!$K$27*'normal case'!M98+'main page'!$K$31*'normal case'!AB98)-(('main page'!$K$25*'main page'!$U$13*'main page'!$K$29)/(1+('main page'!$K$25^2)*'main page'!$U$13))*('normal case'!L98-'main page'!$U$8)))</f>
        <v>0</v>
      </c>
      <c r="AN98" s="40"/>
      <c r="AO98" s="40"/>
    </row>
    <row r="99" spans="1:41">
      <c r="A99" s="48">
        <v>97</v>
      </c>
      <c r="B99" s="75">
        <f ca="1">IF(controls!$B$33=1,B98*(1+V99)+T99,B98*(1+V99))</f>
        <v>100</v>
      </c>
      <c r="C99" s="80">
        <f t="shared" ca="1" si="11"/>
        <v>0</v>
      </c>
      <c r="D99" s="77">
        <f t="shared" ca="1" si="7"/>
        <v>100</v>
      </c>
      <c r="E99" s="77">
        <f ca="1">AG98+IF(controls!$B$33=1,G99,F99)</f>
        <v>100</v>
      </c>
      <c r="F99" s="94">
        <f ca="1">IF(controls!$B$44=0,H99-'main page'!$K$27*M98,H99-'main page'!$K$27*M98+'main page'!$K$31*AB98)</f>
        <v>100</v>
      </c>
      <c r="G99" s="75">
        <f ca="1">IF(controls!$B$44=0,I99-'main page'!$K$27*M98,I99-'main page'!$K$27*M98+'main page'!$K$31*'normal case'!AB98)</f>
        <v>100</v>
      </c>
      <c r="H99" s="75">
        <f t="shared" ca="1" si="12"/>
        <v>108</v>
      </c>
      <c r="I99" s="75">
        <f t="shared" ca="1" si="13"/>
        <v>108</v>
      </c>
      <c r="L99" s="75">
        <f ca="1">IF(ABS('main page'!$K$29*L98+(1-'main page'!$K$29)*(controls!$B$9/100)*100+'main page'!$K$25*(D99-B99)-L98)&lt;0.0000001,L98,'main page'!$K$29*L98+(1-'main page'!$K$29)*(controls!$B$9/100)*100+'main page'!$K$25*(D99-B99))</f>
        <v>2</v>
      </c>
      <c r="M99" s="96">
        <f ca="1">IF(controls!$B$10=1,M98,IF(SUM(controls!$B$44:$B$46)=2,N99-'main page'!$K$29*'normal case'!L99-(1-'main page'!$K$29)*'main page'!$K$32,N99-'main page'!$K$29*'normal case'!L99-(1-'main page'!$K$29)*controls!$B$9))</f>
        <v>4</v>
      </c>
      <c r="N99" s="208">
        <f ca="1">IF(controls!$B$45=1,IF(controls!$B$46=1,'main page'!$K$24+'main page'!$K$11+'main page'!$U$8,'main page'!$K$24+'main page'!$K$11+'main page'!$K$32),IF(controls!$B$44=1,IF(O99&lt;0,0,O99),IF(O99+'main page'!$K$11&lt;0,0,O99+'main page'!$K$11)))</f>
        <v>6</v>
      </c>
      <c r="O99" s="76">
        <f ca="1">IF(controls!$B$10=1,'normal case'!M99+'normal case'!L99,'normal case'!P99)</f>
        <v>6</v>
      </c>
      <c r="P99" s="74">
        <f t="shared" ca="1" si="8"/>
        <v>6</v>
      </c>
      <c r="Q99" s="210">
        <f ca="1">IF(controls!$B$44=0,R99+'main page'!$K$29*L99+(1-'main page'!$K$29)*controls!$B$9+(('main page'!$K$25*'main page'!$U$13*'main page'!$K$29)/('main page'!$K$27*(1+('main page'!$K$25^2)*'main page'!$U$13)))*(L99-controls!$B$9),R99+'main page'!$K$29*L99+(1-'main page'!$K$29)*controls!$B$9+(('main page'!$K$25*'main page'!$U$13*'normal case'!$AO$3)/'normal case'!$AO$4)*('normal case'!L99-controls!$B$9))</f>
        <v>6</v>
      </c>
      <c r="R99" s="98">
        <f ca="1">IF(controls!$B$44=1,'main page'!$K$24+'main page'!$K$11,IF(controls!$B$33=1,((I100-D99*W100-B100+B99*V100)/'main page'!$K$27)-'main page'!$K$11,((H100-D99*W100-B100+B99*V100)/'main page'!$K$27)-'main page'!$K$11))</f>
        <v>4</v>
      </c>
      <c r="T99" s="71">
        <f>IF(controls!$B$6=1,$AL$3*(1+('main page'!$K$35/100))^U99-$AL$3*(1+('main page'!$K$35/100))^U98,$AL$3*(1+('main page'!$G$8/100))*(1+('main page'!$K$35/100))^U99-$AL$3*(1+('main page'!$G$8/100))*(1+('main page'!$K$35/100))^U98)</f>
        <v>0</v>
      </c>
      <c r="U99" s="73">
        <v>92</v>
      </c>
      <c r="V99" s="161">
        <v>0</v>
      </c>
      <c r="W99" s="40">
        <v>0</v>
      </c>
      <c r="X99" s="49">
        <f ca="1">IF(controls!$B$33=1,D99-($I$3-'main page'!$K$27*2)*(1+('main page'!$K$35/100))^A98,D99-$AL$4)</f>
        <v>0</v>
      </c>
      <c r="Y99" s="49">
        <f ca="1">ABS(L99-(controls!$B$9/100)*100)</f>
        <v>0</v>
      </c>
      <c r="AA99" s="49" t="e">
        <f ca="1">IF(controls!$B$33=1,(B100-B99*V100-I100+D99*W100+'main page'!$K$27*('main page'!$K$24+'main page'!$K$11))/'main page'!$K$31,(B100-B99*V100+D99*W100-H100+'main page'!$K$27*('main page'!$K$24+'main page'!$K$11))/'main page'!$K$31)</f>
        <v>#DIV/0!</v>
      </c>
      <c r="AB99" s="49" t="e">
        <f ca="1">IF(controls!$B$45=1,LOG(AF99,1.01)+LOG(AE99,1.01)-LOG(AD99,1.01),-((M99-('main page'!$K$24+'main page'!$K$11))/(1-'normal case'!$AO$3))+'normal case'!AA99)</f>
        <v>#DIV/0!</v>
      </c>
      <c r="AC99" s="176" t="e">
        <f t="shared" ca="1" si="9"/>
        <v>#DIV/0!</v>
      </c>
      <c r="AD99" s="49">
        <f t="shared" ca="1" si="10"/>
        <v>6.692933179528171</v>
      </c>
      <c r="AE99" s="49">
        <f>AE98*(1+'main page'!$K$32/100)</f>
        <v>1</v>
      </c>
      <c r="AF99" s="49" t="e">
        <f ca="1">IF(ABS(IF(controls!$B$45=1,$AL$13,AD99*AC99/AE99)-AF98)&lt;0.00001,AF98,IF(controls!$B$45=1,$AL$13,AD99*AC99/AE99))</f>
        <v>#DIV/0!</v>
      </c>
      <c r="AG99" s="49">
        <f>IF(controls!$B$46=0,0,IF(controls!$B$33=2,B100-B99*V100-('normal case'!H100-D99*W100-'main page'!$K$27*'normal case'!M99+'main page'!$K$31*'normal case'!AB99)-(('main page'!$K$25*'main page'!$U$13*'main page'!$K$29)/(1+('main page'!$K$25^2)*'main page'!$U$13))*('normal case'!L99-'main page'!$U$8),B100-B99*V100-('normal case'!I100-D99*W100-'main page'!$K$27*'normal case'!M99+'main page'!$K$31*'normal case'!AB99)-(('main page'!$K$25*'main page'!$U$13*'main page'!$K$29)/(1+('main page'!$K$25^2)*'main page'!$U$13))*('normal case'!L99-'main page'!$U$8)))</f>
        <v>0</v>
      </c>
      <c r="AN99" s="40"/>
      <c r="AO99" s="40"/>
    </row>
    <row r="100" spans="1:41">
      <c r="A100" s="48">
        <v>98</v>
      </c>
      <c r="B100" s="75">
        <f ca="1">IF(controls!$B$33=1,B99*(1+V100)+T100,B99*(1+V100))</f>
        <v>100</v>
      </c>
      <c r="C100" s="80">
        <f t="shared" ca="1" si="11"/>
        <v>0</v>
      </c>
      <c r="D100" s="77">
        <f t="shared" ca="1" si="7"/>
        <v>100</v>
      </c>
      <c r="E100" s="77">
        <f ca="1">AG99+IF(controls!$B$33=1,G100,F100)</f>
        <v>100</v>
      </c>
      <c r="F100" s="94">
        <f ca="1">IF(controls!$B$44=0,H100-'main page'!$K$27*M99,H100-'main page'!$K$27*M99+'main page'!$K$31*AB99)</f>
        <v>100</v>
      </c>
      <c r="G100" s="75">
        <f ca="1">IF(controls!$B$44=0,I100-'main page'!$K$27*M99,I100-'main page'!$K$27*M99+'main page'!$K$31*'normal case'!AB99)</f>
        <v>100</v>
      </c>
      <c r="H100" s="75">
        <f t="shared" ca="1" si="12"/>
        <v>108</v>
      </c>
      <c r="I100" s="75">
        <f t="shared" ca="1" si="13"/>
        <v>108</v>
      </c>
      <c r="L100" s="75">
        <f ca="1">IF(ABS('main page'!$K$29*L99+(1-'main page'!$K$29)*(controls!$B$9/100)*100+'main page'!$K$25*(D100-B100)-L99)&lt;0.0000001,L99,'main page'!$K$29*L99+(1-'main page'!$K$29)*(controls!$B$9/100)*100+'main page'!$K$25*(D100-B100))</f>
        <v>2</v>
      </c>
      <c r="M100" s="96">
        <f ca="1">IF(controls!$B$10=1,M99,IF(SUM(controls!$B$44:$B$46)=2,N100-'main page'!$K$29*'normal case'!L100-(1-'main page'!$K$29)*'main page'!$K$32,N100-'main page'!$K$29*'normal case'!L100-(1-'main page'!$K$29)*controls!$B$9))</f>
        <v>4</v>
      </c>
      <c r="N100" s="208">
        <f ca="1">IF(controls!$B$45=1,IF(controls!$B$46=1,'main page'!$K$24+'main page'!$K$11+'main page'!$U$8,'main page'!$K$24+'main page'!$K$11+'main page'!$K$32),IF(controls!$B$44=1,IF(O100&lt;0,0,O100),IF(O100+'main page'!$K$11&lt;0,0,O100+'main page'!$K$11)))</f>
        <v>6</v>
      </c>
      <c r="O100" s="76">
        <f ca="1">IF(controls!$B$10=1,'normal case'!M100+'normal case'!L100,'normal case'!P100)</f>
        <v>6</v>
      </c>
      <c r="P100" s="74">
        <f t="shared" ca="1" si="8"/>
        <v>6</v>
      </c>
      <c r="Q100" s="210">
        <f ca="1">IF(controls!$B$44=0,R100+'main page'!$K$29*L100+(1-'main page'!$K$29)*controls!$B$9+(('main page'!$K$25*'main page'!$U$13*'main page'!$K$29)/('main page'!$K$27*(1+('main page'!$K$25^2)*'main page'!$U$13)))*(L100-controls!$B$9),R100+'main page'!$K$29*L100+(1-'main page'!$K$29)*controls!$B$9+(('main page'!$K$25*'main page'!$U$13*'normal case'!$AO$3)/'normal case'!$AO$4)*('normal case'!L100-controls!$B$9))</f>
        <v>6</v>
      </c>
      <c r="R100" s="98">
        <f ca="1">IF(controls!$B$44=1,'main page'!$K$24+'main page'!$K$11,IF(controls!$B$33=1,((I101-D100*W101-B101+B100*V101)/'main page'!$K$27)-'main page'!$K$11,((H101-D100*W101-B101+B100*V101)/'main page'!$K$27)-'main page'!$K$11))</f>
        <v>4</v>
      </c>
      <c r="T100" s="71">
        <f>IF(controls!$B$6=1,$AL$3*(1+('main page'!$K$35/100))^U100-$AL$3*(1+('main page'!$K$35/100))^U99,$AL$3*(1+('main page'!$G$8/100))*(1+('main page'!$K$35/100))^U100-$AL$3*(1+('main page'!$G$8/100))*(1+('main page'!$K$35/100))^U99)</f>
        <v>0</v>
      </c>
      <c r="U100" s="73">
        <v>93</v>
      </c>
      <c r="V100" s="161">
        <v>0</v>
      </c>
      <c r="W100" s="40">
        <v>0</v>
      </c>
      <c r="X100" s="49">
        <f ca="1">IF(controls!$B$33=1,D100-($I$3-'main page'!$K$27*2)*(1+('main page'!$K$35/100))^A99,D100-$AL$4)</f>
        <v>0</v>
      </c>
      <c r="Y100" s="49">
        <f ca="1">ABS(L100-(controls!$B$9/100)*100)</f>
        <v>0</v>
      </c>
      <c r="AA100" s="49" t="e">
        <f ca="1">IF(controls!$B$33=1,(B101-B100*V101-I101+D100*W101+'main page'!$K$27*('main page'!$K$24+'main page'!$K$11))/'main page'!$K$31,(B101-B100*V101+D100*W101-H101+'main page'!$K$27*('main page'!$K$24+'main page'!$K$11))/'main page'!$K$31)</f>
        <v>#DIV/0!</v>
      </c>
      <c r="AB100" s="49" t="e">
        <f ca="1">IF(controls!$B$45=1,LOG(AF100,1.01)+LOG(AE100,1.01)-LOG(AD100,1.01),-((M100-('main page'!$K$24+'main page'!$K$11))/(1-'normal case'!$AO$3))+'normal case'!AA100)</f>
        <v>#DIV/0!</v>
      </c>
      <c r="AC100" s="176" t="e">
        <f t="shared" ca="1" si="9"/>
        <v>#DIV/0!</v>
      </c>
      <c r="AD100" s="49">
        <f t="shared" ca="1" si="10"/>
        <v>6.8267918431187349</v>
      </c>
      <c r="AE100" s="49">
        <f>AE99*(1+'main page'!$K$32/100)</f>
        <v>1</v>
      </c>
      <c r="AF100" s="49" t="e">
        <f ca="1">IF(ABS(IF(controls!$B$45=1,$AL$13,AD100*AC100/AE100)-AF99)&lt;0.00001,AF99,IF(controls!$B$45=1,$AL$13,AD100*AC100/AE100))</f>
        <v>#DIV/0!</v>
      </c>
      <c r="AG100" s="49">
        <f>IF(controls!$B$46=0,0,IF(controls!$B$33=2,B101-B100*V101-('normal case'!H101-D100*W101-'main page'!$K$27*'normal case'!M100+'main page'!$K$31*'normal case'!AB100)-(('main page'!$K$25*'main page'!$U$13*'main page'!$K$29)/(1+('main page'!$K$25^2)*'main page'!$U$13))*('normal case'!L100-'main page'!$U$8),B101-B100*V101-('normal case'!I101-D100*W101-'main page'!$K$27*'normal case'!M100+'main page'!$K$31*'normal case'!AB100)-(('main page'!$K$25*'main page'!$U$13*'main page'!$K$29)/(1+('main page'!$K$25^2)*'main page'!$U$13))*('normal case'!L100-'main page'!$U$8)))</f>
        <v>0</v>
      </c>
      <c r="AN100" s="40"/>
      <c r="AO100" s="40"/>
    </row>
    <row r="101" spans="1:41">
      <c r="A101" s="48">
        <v>99</v>
      </c>
      <c r="B101" s="75">
        <f ca="1">IF(controls!$B$33=1,B100*(1+V101)+T101,B100*(1+V101))</f>
        <v>100</v>
      </c>
      <c r="C101" s="80">
        <f t="shared" ca="1" si="11"/>
        <v>0</v>
      </c>
      <c r="D101" s="77">
        <f t="shared" ca="1" si="7"/>
        <v>100</v>
      </c>
      <c r="E101" s="77">
        <f ca="1">AG100+IF(controls!$B$33=1,G101,F101)</f>
        <v>100</v>
      </c>
      <c r="F101" s="94">
        <f ca="1">IF(controls!$B$44=0,H101-'main page'!$K$27*M100,H101-'main page'!$K$27*M100+'main page'!$K$31*AB100)</f>
        <v>100</v>
      </c>
      <c r="G101" s="75">
        <f ca="1">IF(controls!$B$44=0,I101-'main page'!$K$27*M100,I101-'main page'!$K$27*M100+'main page'!$K$31*'normal case'!AB100)</f>
        <v>100</v>
      </c>
      <c r="H101" s="75">
        <f t="shared" ca="1" si="12"/>
        <v>108</v>
      </c>
      <c r="I101" s="75">
        <f t="shared" ca="1" si="13"/>
        <v>108</v>
      </c>
      <c r="L101" s="75">
        <f ca="1">IF(ABS('main page'!$K$29*L100+(1-'main page'!$K$29)*(controls!$B$9/100)*100+'main page'!$K$25*(D101-B101)-L100)&lt;0.0000001,L100,'main page'!$K$29*L100+(1-'main page'!$K$29)*(controls!$B$9/100)*100+'main page'!$K$25*(D101-B101))</f>
        <v>2</v>
      </c>
      <c r="M101" s="96">
        <f ca="1">IF(controls!$B$10=1,M100,IF(SUM(controls!$B$44:$B$46)=2,N101-'main page'!$K$29*'normal case'!L101-(1-'main page'!$K$29)*'main page'!$K$32,N101-'main page'!$K$29*'normal case'!L101-(1-'main page'!$K$29)*controls!$B$9))</f>
        <v>4</v>
      </c>
      <c r="N101" s="208">
        <f ca="1">IF(controls!$B$45=1,IF(controls!$B$46=1,'main page'!$K$24+'main page'!$K$11+'main page'!$U$8,'main page'!$K$24+'main page'!$K$11+'main page'!$K$32),IF(controls!$B$44=1,IF(O101&lt;0,0,O101),IF(O101+'main page'!$K$11&lt;0,0,O101+'main page'!$K$11)))</f>
        <v>6</v>
      </c>
      <c r="O101" s="76">
        <f ca="1">IF(controls!$B$10=1,'normal case'!M101+'normal case'!L101,'normal case'!P101)</f>
        <v>6</v>
      </c>
      <c r="P101" s="74">
        <f t="shared" ca="1" si="8"/>
        <v>6</v>
      </c>
      <c r="Q101" s="210">
        <f ca="1">IF(controls!$B$44=0,R101+'main page'!$K$29*L101+(1-'main page'!$K$29)*controls!$B$9+(('main page'!$K$25*'main page'!$U$13*'main page'!$K$29)/('main page'!$K$27*(1+('main page'!$K$25^2)*'main page'!$U$13)))*(L101-controls!$B$9),R101+'main page'!$K$29*L101+(1-'main page'!$K$29)*controls!$B$9+(('main page'!$K$25*'main page'!$U$13*'normal case'!$AO$3)/'normal case'!$AO$4)*('normal case'!L101-controls!$B$9))</f>
        <v>6</v>
      </c>
      <c r="R101" s="98">
        <f ca="1">IF(controls!$B$44=1,'main page'!$K$24+'main page'!$K$11,IF(controls!$B$33=1,((I102-D101*W102-B102+B101*V102)/'main page'!$K$27)-'main page'!$K$11,((H102-D101*W102-B102+B101*V102)/'main page'!$K$27)-'main page'!$K$11))</f>
        <v>4</v>
      </c>
      <c r="T101" s="71">
        <f>IF(controls!$B$6=1,$AL$3*(1+('main page'!$K$35/100))^U101-$AL$3*(1+('main page'!$K$35/100))^U100,$AL$3*(1+('main page'!$G$8/100))*(1+('main page'!$K$35/100))^U101-$AL$3*(1+('main page'!$G$8/100))*(1+('main page'!$K$35/100))^U100)</f>
        <v>0</v>
      </c>
      <c r="U101" s="73">
        <v>94</v>
      </c>
      <c r="V101" s="161">
        <f ca="1">IF(controls!$B$4=1,IF(controls!$H100=1,controls!$B$34*V100+RAND()*('main page'!$K$16/100)-RAND()*('main page'!$K$16/100),0),0)</f>
        <v>0</v>
      </c>
      <c r="W101" s="40">
        <f ca="1">IF(controls!$B$4=1,IF(controls!$I100=1,controls!$B$34*W100+RAND()*('main page'!$K$16/100)-RAND()*('main page'!$K$16/100),0),0)</f>
        <v>0</v>
      </c>
      <c r="X101" s="49">
        <f ca="1">IF(controls!$B$33=1,D101-($I$3-'main page'!$K$27*2)*(1+('main page'!$K$35/100))^A100,D101-$AL$4)</f>
        <v>0</v>
      </c>
      <c r="Y101" s="49">
        <f ca="1">ABS(L101-(controls!$B$9/100)*100)</f>
        <v>0</v>
      </c>
      <c r="AA101" s="49" t="e">
        <f ca="1">IF(controls!$B$33=1,(B102-B101*V102-I102+D101*W102+'main page'!$K$27*('main page'!$K$24+'main page'!$K$11))/'main page'!$K$31,(B102-B101*V102+D101*W102-H102+'main page'!$K$27*('main page'!$K$24+'main page'!$K$11))/'main page'!$K$31)</f>
        <v>#DIV/0!</v>
      </c>
      <c r="AB101" s="49" t="e">
        <f ca="1">IF(controls!$B$45=1,LOG(AF101,1.01)+LOG(AE101,1.01)-LOG(AD101,1.01),-((M101-('main page'!$K$24+'main page'!$K$11))/(1-'normal case'!$AO$3))+'normal case'!AA101)</f>
        <v>#DIV/0!</v>
      </c>
      <c r="AC101" s="176" t="e">
        <f t="shared" ca="1" si="9"/>
        <v>#DIV/0!</v>
      </c>
      <c r="AD101" s="49">
        <f t="shared" ca="1" si="10"/>
        <v>6.9633276799811101</v>
      </c>
      <c r="AE101" s="49">
        <f>AE100*(1+'main page'!$K$32/100)</f>
        <v>1</v>
      </c>
      <c r="AF101" s="49" t="e">
        <f ca="1">IF(ABS(IF(controls!$B$45=1,$AL$13,AD101*AC101/AE101)-AF100)&lt;0.00001,AF100,IF(controls!$B$45=1,$AL$13,AD101*AC101/AE101))</f>
        <v>#DIV/0!</v>
      </c>
      <c r="AG101" s="49">
        <f>IF(controls!$B$46=0,0,IF(controls!$B$33=2,B102-B101*V102-('normal case'!H102-D101*W102-'main page'!$K$27*'normal case'!M101+'main page'!$K$31*'normal case'!AB101)-(('main page'!$K$25*'main page'!$U$13*'main page'!$K$29)/(1+('main page'!$K$25^2)*'main page'!$U$13))*('normal case'!L101-'main page'!$U$8),B102-B101*V102-('normal case'!I102-D101*W102-'main page'!$K$27*'normal case'!M101+'main page'!$K$31*'normal case'!AB101)-(('main page'!$K$25*'main page'!$U$13*'main page'!$K$29)/(1+('main page'!$K$25^2)*'main page'!$U$13))*('normal case'!L101-'main page'!$U$8)))</f>
        <v>0</v>
      </c>
      <c r="AN101" s="40"/>
      <c r="AO101" s="40"/>
    </row>
    <row r="102" spans="1:41">
      <c r="A102" s="48">
        <v>100</v>
      </c>
      <c r="B102" s="75">
        <f ca="1">IF(controls!$B$33=1,B101*(1+V102)+T102,B101*(1+V102))</f>
        <v>100</v>
      </c>
      <c r="C102" s="80">
        <f t="shared" ca="1" si="11"/>
        <v>0</v>
      </c>
      <c r="D102" s="77">
        <f t="shared" ca="1" si="7"/>
        <v>100</v>
      </c>
      <c r="E102" s="77">
        <f ca="1">AG101+IF(controls!$B$33=1,G102,F102)</f>
        <v>100</v>
      </c>
      <c r="F102" s="94">
        <f ca="1">IF(controls!$B$44=0,H102-'main page'!$K$27*M101,H102-'main page'!$K$27*M101+'main page'!$K$31*AB101)</f>
        <v>100</v>
      </c>
      <c r="G102" s="75">
        <f ca="1">IF(controls!$B$44=0,I102-'main page'!$K$27*M101,I102-'main page'!$K$27*M101+'main page'!$K$31*'normal case'!AB101)</f>
        <v>100</v>
      </c>
      <c r="H102" s="75">
        <f t="shared" ca="1" si="12"/>
        <v>108</v>
      </c>
      <c r="I102" s="75">
        <f t="shared" ca="1" si="13"/>
        <v>108</v>
      </c>
      <c r="L102" s="75">
        <f ca="1">IF(ABS('main page'!$K$29*L101+(1-'main page'!$K$29)*(controls!$B$9/100)*100+'main page'!$K$25*(D102-B102)-L101)&lt;0.0000001,L101,'main page'!$K$29*L101+(1-'main page'!$K$29)*(controls!$B$9/100)*100+'main page'!$K$25*(D102-B102))</f>
        <v>2</v>
      </c>
      <c r="M102" s="96">
        <f ca="1">IF(controls!$B$10=1,M101,IF(SUM(controls!$B$44:$B$46)=2,N102-'main page'!$K$29*'normal case'!L102-(1-'main page'!$K$29)*'main page'!$K$32,N102-'main page'!$K$29*'normal case'!L102-(1-'main page'!$K$29)*controls!$B$9))</f>
        <v>4</v>
      </c>
      <c r="N102" s="208">
        <f ca="1">IF(controls!$B$45=1,IF(controls!$B$46=1,'main page'!$K$24+'main page'!$K$11+'main page'!$U$8,'main page'!$K$24+'main page'!$K$11+'main page'!$K$32),IF(controls!$B$44=1,IF(O102&lt;0,0,O102),IF(O102+'main page'!$K$11&lt;0,0,O102+'main page'!$K$11)))</f>
        <v>6</v>
      </c>
      <c r="O102" s="76">
        <f ca="1">IF(controls!$B$10=1,'normal case'!M102+'normal case'!L102,'normal case'!P102)</f>
        <v>6</v>
      </c>
      <c r="P102" s="74">
        <f t="shared" ca="1" si="8"/>
        <v>6</v>
      </c>
      <c r="Q102" s="210">
        <f ca="1">IF(controls!$B$44=0,R102+'main page'!$K$29*L102+(1-'main page'!$K$29)*controls!$B$9+(('main page'!$K$25*'main page'!$U$13*'main page'!$K$29)/('main page'!$K$27*(1+('main page'!$K$25^2)*'main page'!$U$13)))*(L102-controls!$B$9),R102+'main page'!$K$29*L102+(1-'main page'!$K$29)*controls!$B$9+(('main page'!$K$25*'main page'!$U$13*'normal case'!$AO$3)/'normal case'!$AO$4)*('normal case'!L102-controls!$B$9))</f>
        <v>6</v>
      </c>
      <c r="R102" s="98">
        <f ca="1">IF(controls!$B$44=1,'main page'!$K$24+'main page'!$K$11,IF(controls!$B$33=1,((I103-D102*W103-B103+B102*V103)/'main page'!$K$27)-'main page'!$K$11,((H103-D102*W103-B103+B102*V103)/'main page'!$K$27)-'main page'!$K$11))</f>
        <v>4</v>
      </c>
      <c r="T102" s="71">
        <f>IF(controls!$B$6=1,$AL$3*(1+('main page'!$K$35/100))^U102-$AL$3*(1+('main page'!$K$35/100))^U101,$AL$3*(1+('main page'!$G$8/100))*(1+('main page'!$K$35/100))^U102-$AL$3*(1+('main page'!$G$8/100))*(1+('main page'!$K$35/100))^U101)</f>
        <v>0</v>
      </c>
      <c r="U102" s="73">
        <v>95</v>
      </c>
      <c r="V102" s="161">
        <v>0</v>
      </c>
      <c r="W102" s="40">
        <v>0</v>
      </c>
      <c r="X102" s="49">
        <f ca="1">IF(controls!$B$33=1,D102-($I$3-'main page'!$K$27*2)*(1+('main page'!$K$35/100))^A101,D102-$AL$4)</f>
        <v>0</v>
      </c>
      <c r="Y102" s="49">
        <f ca="1">ABS(L102-(controls!$B$9/100)*100)</f>
        <v>0</v>
      </c>
      <c r="AA102" s="49" t="e">
        <f ca="1">IF(controls!$B$33=1,(B103-B102*V103-I103+D102*W103+'main page'!$K$27*('main page'!$K$24+'main page'!$K$11))/'main page'!$K$31,(B103-B102*V103+D102*W103-H103+'main page'!$K$27*('main page'!$K$24+'main page'!$K$11))/'main page'!$K$31)</f>
        <v>#DIV/0!</v>
      </c>
      <c r="AB102" s="49" t="e">
        <f ca="1">IF(controls!$B$45=1,LOG(AF102,1.01)+LOG(AE102,1.01)-LOG(AD102,1.01),-((M102-('main page'!$K$24+'main page'!$K$11))/(1-'normal case'!$AO$3))+'normal case'!AA102)</f>
        <v>#DIV/0!</v>
      </c>
      <c r="AC102" s="176" t="e">
        <f t="shared" ca="1" si="9"/>
        <v>#DIV/0!</v>
      </c>
      <c r="AD102" s="49">
        <f t="shared" ca="1" si="10"/>
        <v>7.1025942335807324</v>
      </c>
      <c r="AE102" s="49">
        <f>AE101*(1+'main page'!$K$32/100)</f>
        <v>1</v>
      </c>
      <c r="AF102" s="49" t="e">
        <f ca="1">IF(ABS(IF(controls!$B$45=1,$AL$13,AD102*AC102/AE102)-AF101)&lt;0.00001,AF101,IF(controls!$B$45=1,$AL$13,AD102*AC102/AE102))</f>
        <v>#DIV/0!</v>
      </c>
      <c r="AG102" s="49">
        <f>IF(controls!$B$46=0,0,IF(controls!$B$33=2,B103-B102*V103-('normal case'!H103-D102*W103-'main page'!$K$27*'normal case'!M102+'main page'!$K$31*'normal case'!AB102)-(('main page'!$K$25*'main page'!$U$13*'main page'!$K$29)/(1+('main page'!$K$25^2)*'main page'!$U$13))*('normal case'!L102-'main page'!$U$8),B103-B102*V103-('normal case'!I103-D102*W103-'main page'!$K$27*'normal case'!M102+'main page'!$K$31*'normal case'!AB102)-(('main page'!$K$25*'main page'!$U$13*'main page'!$K$29)/(1+('main page'!$K$25^2)*'main page'!$U$13))*('normal case'!L102-'main page'!$U$8)))</f>
        <v>0</v>
      </c>
      <c r="AN102" s="40"/>
      <c r="AO102" s="40"/>
    </row>
    <row r="103" spans="1:41">
      <c r="A103" s="48">
        <v>101</v>
      </c>
      <c r="B103" s="75">
        <f ca="1">IF(controls!$B$33=1,B102*(1+V103)+T103,B102*(1+V103))</f>
        <v>100</v>
      </c>
      <c r="C103" s="80">
        <f t="shared" ca="1" si="11"/>
        <v>0</v>
      </c>
      <c r="D103" s="77">
        <f t="shared" ca="1" si="7"/>
        <v>100</v>
      </c>
      <c r="E103" s="77">
        <f ca="1">AG102+IF(controls!$B$33=1,G103,F103)</f>
        <v>100</v>
      </c>
      <c r="F103" s="94">
        <f ca="1">IF(controls!$B$44=0,H103-'main page'!$K$27*M102,H103-'main page'!$K$27*M102+'main page'!$K$31*AB102)</f>
        <v>100</v>
      </c>
      <c r="G103" s="75">
        <f ca="1">IF(controls!$B$44=0,I103-'main page'!$K$27*M102,I103-'main page'!$K$27*M102+'main page'!$K$31*'normal case'!AB102)</f>
        <v>100</v>
      </c>
      <c r="H103" s="75">
        <f t="shared" ca="1" si="12"/>
        <v>108</v>
      </c>
      <c r="I103" s="75">
        <f t="shared" ca="1" si="13"/>
        <v>108</v>
      </c>
      <c r="L103" s="75">
        <f ca="1">IF(ABS('main page'!$K$29*L102+(1-'main page'!$K$29)*(controls!$B$9/100)*100+'main page'!$K$25*(D103-B103)-L102)&lt;0.0000001,L102,'main page'!$K$29*L102+(1-'main page'!$K$29)*(controls!$B$9/100)*100+'main page'!$K$25*(D103-B103))</f>
        <v>2</v>
      </c>
      <c r="M103" s="96">
        <f ca="1">IF(controls!$B$10=1,M102,IF(SUM(controls!$B$44:$B$46)=2,N103-'main page'!$K$29*'normal case'!L103-(1-'main page'!$K$29)*'main page'!$K$32,N103-'main page'!$K$29*'normal case'!L103-(1-'main page'!$K$29)*controls!$B$9))</f>
        <v>4</v>
      </c>
      <c r="N103" s="208">
        <f ca="1">IF(controls!$B$45=1,IF(controls!$B$46=1,'main page'!$K$24+'main page'!$K$11+'main page'!$U$8,'main page'!$K$24+'main page'!$K$11+'main page'!$K$32),IF(controls!$B$44=1,IF(O103&lt;0,0,O103),IF(O103+'main page'!$K$11&lt;0,0,O103+'main page'!$K$11)))</f>
        <v>6</v>
      </c>
      <c r="O103" s="76">
        <f ca="1">IF(controls!$B$10=1,'normal case'!M103+'normal case'!L103,'normal case'!P103)</f>
        <v>6</v>
      </c>
      <c r="P103" s="74">
        <f t="shared" ca="1" si="8"/>
        <v>6</v>
      </c>
      <c r="Q103" s="210">
        <f ca="1">IF(controls!$B$44=0,R103+'main page'!$K$29*L103+(1-'main page'!$K$29)*controls!$B$9+(('main page'!$K$25*'main page'!$U$13*'main page'!$K$29)/('main page'!$K$27*(1+('main page'!$K$25^2)*'main page'!$U$13)))*(L103-controls!$B$9),R103+'main page'!$K$29*L103+(1-'main page'!$K$29)*controls!$B$9+(('main page'!$K$25*'main page'!$U$13*'normal case'!$AO$3)/'normal case'!$AO$4)*('normal case'!L103-controls!$B$9))</f>
        <v>6</v>
      </c>
      <c r="R103" s="98">
        <f ca="1">IF(controls!$B$44=1,'main page'!$K$24+'main page'!$K$11,IF(controls!$B$33=1,((I104-D103*W104-B104+B103*V104)/'main page'!$K$27)-'main page'!$K$11,((H104-D103*W104-B104+B103*V104)/'main page'!$K$27)-'main page'!$K$11))</f>
        <v>4</v>
      </c>
      <c r="T103" s="71">
        <f>IF(controls!$B$6=1,$AL$3*(1+('main page'!$K$35/100))^U103-$AL$3*(1+('main page'!$K$35/100))^U102,$AL$3*(1+('main page'!$G$8/100))*(1+('main page'!$K$35/100))^U103-$AL$3*(1+('main page'!$G$8/100))*(1+('main page'!$K$35/100))^U102)</f>
        <v>0</v>
      </c>
      <c r="U103" s="73">
        <v>96</v>
      </c>
      <c r="V103" s="161">
        <v>0</v>
      </c>
      <c r="W103" s="40">
        <v>0</v>
      </c>
      <c r="X103" s="49">
        <f ca="1">IF(controls!$B$33=1,D103-($I$3-'main page'!$K$27*2)*(1+('main page'!$K$35/100))^A102,D103-$AL$4)</f>
        <v>0</v>
      </c>
      <c r="Y103" s="49">
        <f ca="1">ABS(L103-(controls!$B$9/100)*100)</f>
        <v>0</v>
      </c>
      <c r="AA103" s="49" t="e">
        <f ca="1">IF(controls!$B$33=1,(B104-B103*V104-I104+D103*W104+'main page'!$K$27*('main page'!$K$24+'main page'!$K$11))/'main page'!$K$31,(B104-B103*V104+D103*W104-H104+'main page'!$K$27*('main page'!$K$24+'main page'!$K$11))/'main page'!$K$31)</f>
        <v>#DIV/0!</v>
      </c>
      <c r="AB103" s="49" t="e">
        <f ca="1">IF(controls!$B$45=1,LOG(AF103,1.01)+LOG(AE103,1.01)-LOG(AD103,1.01),-((M103-('main page'!$K$24+'main page'!$K$11))/(1-'normal case'!$AO$3))+'normal case'!AA103)</f>
        <v>#DIV/0!</v>
      </c>
      <c r="AC103" s="176" t="e">
        <f t="shared" ca="1" si="9"/>
        <v>#DIV/0!</v>
      </c>
      <c r="AD103" s="49">
        <f t="shared" ca="1" si="10"/>
        <v>7.2446461182523469</v>
      </c>
      <c r="AE103" s="49">
        <f>AE102*(1+'main page'!$K$32/100)</f>
        <v>1</v>
      </c>
      <c r="AF103" s="49" t="e">
        <f ca="1">IF(ABS(IF(controls!$B$45=1,$AL$13,AD103*AC103/AE103)-AF102)&lt;0.00001,AF102,IF(controls!$B$45=1,$AL$13,AD103*AC103/AE103))</f>
        <v>#DIV/0!</v>
      </c>
      <c r="AG103" s="49">
        <f>IF(controls!$B$46=0,0,IF(controls!$B$33=2,B104-B103*V104-('normal case'!H104-D103*W104-'main page'!$K$27*'normal case'!M103+'main page'!$K$31*'normal case'!AB103)-(('main page'!$K$25*'main page'!$U$13*'main page'!$K$29)/(1+('main page'!$K$25^2)*'main page'!$U$13))*('normal case'!L103-'main page'!$U$8),B104-B103*V104-('normal case'!I104-D103*W104-'main page'!$K$27*'normal case'!M103+'main page'!$K$31*'normal case'!AB103)-(('main page'!$K$25*'main page'!$U$13*'main page'!$K$29)/(1+('main page'!$K$25^2)*'main page'!$U$13))*('normal case'!L103-'main page'!$U$8)))</f>
        <v>0</v>
      </c>
      <c r="AN103" s="40"/>
      <c r="AO103" s="40"/>
    </row>
    <row r="104" spans="1:41">
      <c r="A104" s="48">
        <v>102</v>
      </c>
      <c r="B104" s="75">
        <f ca="1">IF(controls!$B$33=1,B103*(1+V104)+T104,B103*(1+V104))</f>
        <v>100</v>
      </c>
      <c r="C104" s="80">
        <f t="shared" ca="1" si="11"/>
        <v>0</v>
      </c>
      <c r="D104" s="77">
        <f t="shared" ca="1" si="7"/>
        <v>100</v>
      </c>
      <c r="E104" s="77">
        <f ca="1">AG103+IF(controls!$B$33=1,G104,F104)</f>
        <v>100</v>
      </c>
      <c r="F104" s="94">
        <f ca="1">IF(controls!$B$44=0,H104-'main page'!$K$27*M103,H104-'main page'!$K$27*M103+'main page'!$K$31*AB103)</f>
        <v>100</v>
      </c>
      <c r="G104" s="75">
        <f ca="1">IF(controls!$B$44=0,I104-'main page'!$K$27*M103,I104-'main page'!$K$27*M103+'main page'!$K$31*'normal case'!AB103)</f>
        <v>100</v>
      </c>
      <c r="H104" s="75">
        <f t="shared" ca="1" si="12"/>
        <v>108</v>
      </c>
      <c r="I104" s="75">
        <f t="shared" ca="1" si="13"/>
        <v>108</v>
      </c>
      <c r="L104" s="75">
        <f ca="1">IF(ABS('main page'!$K$29*L103+(1-'main page'!$K$29)*(controls!$B$9/100)*100+'main page'!$K$25*(D104-B104)-L103)&lt;0.0000001,L103,'main page'!$K$29*L103+(1-'main page'!$K$29)*(controls!$B$9/100)*100+'main page'!$K$25*(D104-B104))</f>
        <v>2</v>
      </c>
      <c r="M104" s="96">
        <f ca="1">IF(controls!$B$10=1,M103,IF(SUM(controls!$B$44:$B$46)=2,N104-'main page'!$K$29*'normal case'!L104-(1-'main page'!$K$29)*'main page'!$K$32,N104-'main page'!$K$29*'normal case'!L104-(1-'main page'!$K$29)*controls!$B$9))</f>
        <v>4</v>
      </c>
      <c r="N104" s="208">
        <f ca="1">IF(controls!$B$45=1,IF(controls!$B$46=1,'main page'!$K$24+'main page'!$K$11+'main page'!$U$8,'main page'!$K$24+'main page'!$K$11+'main page'!$K$32),IF(controls!$B$44=1,IF(O104&lt;0,0,O104),IF(O104+'main page'!$K$11&lt;0,0,O104+'main page'!$K$11)))</f>
        <v>6</v>
      </c>
      <c r="O104" s="76">
        <f ca="1">IF(controls!$B$10=1,'normal case'!M104+'normal case'!L104,'normal case'!P104)</f>
        <v>6</v>
      </c>
      <c r="P104" s="74">
        <f t="shared" ca="1" si="8"/>
        <v>6</v>
      </c>
      <c r="Q104" s="210">
        <f ca="1">IF(controls!$B$44=0,R104+'main page'!$K$29*L104+(1-'main page'!$K$29)*controls!$B$9+(('main page'!$K$25*'main page'!$U$13*'main page'!$K$29)/('main page'!$K$27*(1+('main page'!$K$25^2)*'main page'!$U$13)))*(L104-controls!$B$9),R104+'main page'!$K$29*L104+(1-'main page'!$K$29)*controls!$B$9+(('main page'!$K$25*'main page'!$U$13*'normal case'!$AO$3)/'normal case'!$AO$4)*('normal case'!L104-controls!$B$9))</f>
        <v>6</v>
      </c>
      <c r="R104" s="98">
        <f ca="1">IF(controls!$B$44=1,'main page'!$K$24+'main page'!$K$11,IF(controls!$B$33=1,((I105-D104*W105-B105+B104*V105)/'main page'!$K$27)-'main page'!$K$11,((H105-D104*W105-B105+B104*V105)/'main page'!$K$27)-'main page'!$K$11))</f>
        <v>4</v>
      </c>
      <c r="T104" s="71">
        <f>IF(controls!$B$6=1,$AL$3*(1+('main page'!$K$35/100))^U104-$AL$3*(1+('main page'!$K$35/100))^U103,$AL$3*(1+('main page'!$G$8/100))*(1+('main page'!$K$35/100))^U104-$AL$3*(1+('main page'!$G$8/100))*(1+('main page'!$K$35/100))^U103)</f>
        <v>0</v>
      </c>
      <c r="U104" s="73">
        <v>97</v>
      </c>
      <c r="V104" s="161">
        <f ca="1">IF(controls!$B$4=1,IF(controls!$H103=1,controls!$B$34*V103+RAND()*('main page'!$K$16/100)-RAND()*('main page'!$K$16/100),0),0)</f>
        <v>0</v>
      </c>
      <c r="W104" s="40">
        <f ca="1">IF(controls!$B$4=1,IF(controls!$I103=1,controls!$B$34*W103+RAND()*('main page'!$K$16/100)-RAND()*('main page'!$K$16/100),0),0)</f>
        <v>0</v>
      </c>
      <c r="X104" s="49">
        <f ca="1">IF(controls!$B$33=1,D104-($I$3-'main page'!$K$27*2)*(1+('main page'!$K$35/100))^A103,D104-$AL$4)</f>
        <v>0</v>
      </c>
      <c r="Y104" s="49">
        <f ca="1">ABS(L104-(controls!$B$9/100)*100)</f>
        <v>0</v>
      </c>
      <c r="AA104" s="49" t="e">
        <f ca="1">IF(controls!$B$33=1,(B105-B104*V105-I105+D104*W105+'main page'!$K$27*('main page'!$K$24+'main page'!$K$11))/'main page'!$K$31,(B105-B104*V105+D104*W105-H105+'main page'!$K$27*('main page'!$K$24+'main page'!$K$11))/'main page'!$K$31)</f>
        <v>#DIV/0!</v>
      </c>
      <c r="AB104" s="49" t="e">
        <f ca="1">IF(controls!$B$45=1,LOG(AF104,1.01)+LOG(AE104,1.01)-LOG(AD104,1.01),-((M104-('main page'!$K$24+'main page'!$K$11))/(1-'normal case'!$AO$3))+'normal case'!AA104)</f>
        <v>#DIV/0!</v>
      </c>
      <c r="AC104" s="176" t="e">
        <f t="shared" ca="1" si="9"/>
        <v>#DIV/0!</v>
      </c>
      <c r="AD104" s="49">
        <f t="shared" ca="1" si="10"/>
        <v>7.389539040617394</v>
      </c>
      <c r="AE104" s="49">
        <f>AE103*(1+'main page'!$K$32/100)</f>
        <v>1</v>
      </c>
      <c r="AF104" s="49" t="e">
        <f ca="1">IF(ABS(IF(controls!$B$45=1,$AL$13,AD104*AC104/AE104)-AF103)&lt;0.00001,AF103,IF(controls!$B$45=1,$AL$13,AD104*AC104/AE104))</f>
        <v>#DIV/0!</v>
      </c>
      <c r="AG104" s="49">
        <f>IF(controls!$B$46=0,0,IF(controls!$B$33=2,B105-B104*V105-('normal case'!H105-D104*W105-'main page'!$K$27*'normal case'!M104+'main page'!$K$31*'normal case'!AB104)-(('main page'!$K$25*'main page'!$U$13*'main page'!$K$29)/(1+('main page'!$K$25^2)*'main page'!$U$13))*('normal case'!L104-'main page'!$U$8),B105-B104*V105-('normal case'!I105-D104*W105-'main page'!$K$27*'normal case'!M104+'main page'!$K$31*'normal case'!AB104)-(('main page'!$K$25*'main page'!$U$13*'main page'!$K$29)/(1+('main page'!$K$25^2)*'main page'!$U$13))*('normal case'!L104-'main page'!$U$8)))</f>
        <v>0</v>
      </c>
      <c r="AN104" s="40"/>
      <c r="AO104" s="40"/>
    </row>
    <row r="105" spans="1:41">
      <c r="A105" s="48">
        <v>103</v>
      </c>
      <c r="B105" s="75">
        <f ca="1">IF(controls!$B$33=1,B104*(1+V105)+T105,B104*(1+V105))</f>
        <v>100</v>
      </c>
      <c r="C105" s="80">
        <f t="shared" ca="1" si="11"/>
        <v>0</v>
      </c>
      <c r="D105" s="77">
        <f t="shared" ca="1" si="7"/>
        <v>100</v>
      </c>
      <c r="E105" s="77">
        <f ca="1">AG104+IF(controls!$B$33=1,G105,F105)</f>
        <v>100</v>
      </c>
      <c r="F105" s="94">
        <f ca="1">IF(controls!$B$44=0,H105-'main page'!$K$27*M104,H105-'main page'!$K$27*M104+'main page'!$K$31*AB104)</f>
        <v>100</v>
      </c>
      <c r="G105" s="75">
        <f ca="1">IF(controls!$B$44=0,I105-'main page'!$K$27*M104,I105-'main page'!$K$27*M104+'main page'!$K$31*'normal case'!AB104)</f>
        <v>100</v>
      </c>
      <c r="H105" s="75">
        <f t="shared" ca="1" si="12"/>
        <v>108</v>
      </c>
      <c r="I105" s="75">
        <f t="shared" ca="1" si="13"/>
        <v>108</v>
      </c>
      <c r="L105" s="75">
        <f ca="1">IF(ABS('main page'!$K$29*L104+(1-'main page'!$K$29)*(controls!$B$9/100)*100+'main page'!$K$25*(D105-B105)-L104)&lt;0.0000001,L104,'main page'!$K$29*L104+(1-'main page'!$K$29)*(controls!$B$9/100)*100+'main page'!$K$25*(D105-B105))</f>
        <v>2</v>
      </c>
      <c r="M105" s="96">
        <f ca="1">IF(controls!$B$10=1,M104,IF(SUM(controls!$B$44:$B$46)=2,N105-'main page'!$K$29*'normal case'!L105-(1-'main page'!$K$29)*'main page'!$K$32,N105-'main page'!$K$29*'normal case'!L105-(1-'main page'!$K$29)*controls!$B$9))</f>
        <v>4</v>
      </c>
      <c r="N105" s="208">
        <f ca="1">IF(controls!$B$45=1,IF(controls!$B$46=1,'main page'!$K$24+'main page'!$K$11+'main page'!$U$8,'main page'!$K$24+'main page'!$K$11+'main page'!$K$32),IF(controls!$B$44=1,IF(O105&lt;0,0,O105),IF(O105+'main page'!$K$11&lt;0,0,O105+'main page'!$K$11)))</f>
        <v>6</v>
      </c>
      <c r="O105" s="76">
        <f ca="1">IF(controls!$B$10=1,'normal case'!M105+'normal case'!L105,'normal case'!P105)</f>
        <v>6</v>
      </c>
      <c r="P105" s="74">
        <f t="shared" ca="1" si="8"/>
        <v>6</v>
      </c>
      <c r="Q105" s="210">
        <f ca="1">IF(controls!$B$44=0,R105+'main page'!$K$29*L105+(1-'main page'!$K$29)*controls!$B$9+(('main page'!$K$25*'main page'!$U$13*'main page'!$K$29)/('main page'!$K$27*(1+('main page'!$K$25^2)*'main page'!$U$13)))*(L105-controls!$B$9),R105+'main page'!$K$29*L105+(1-'main page'!$K$29)*controls!$B$9+(('main page'!$K$25*'main page'!$U$13*'normal case'!$AO$3)/'normal case'!$AO$4)*('normal case'!L105-controls!$B$9))</f>
        <v>6</v>
      </c>
      <c r="R105" s="98">
        <f ca="1">IF(controls!$B$44=1,'main page'!$K$24+'main page'!$K$11,IF(controls!$B$33=1,((I106-D105*W106-B106+B105*V106)/'main page'!$K$27)-'main page'!$K$11,((H106-D105*W106-B106+B105*V106)/'main page'!$K$27)-'main page'!$K$11))</f>
        <v>4</v>
      </c>
      <c r="T105" s="71">
        <f>IF(controls!$B$6=1,$AL$3*(1+('main page'!$K$35/100))^U105-$AL$3*(1+('main page'!$K$35/100))^U104,$AL$3*(1+('main page'!$G$8/100))*(1+('main page'!$K$35/100))^U105-$AL$3*(1+('main page'!$G$8/100))*(1+('main page'!$K$35/100))^U104)</f>
        <v>0</v>
      </c>
      <c r="U105" s="73">
        <v>98</v>
      </c>
      <c r="V105" s="161">
        <v>0</v>
      </c>
      <c r="W105" s="40">
        <v>0</v>
      </c>
      <c r="X105" s="49">
        <f ca="1">IF(controls!$B$33=1,D105-($I$3-'main page'!$K$27*2)*(1+('main page'!$K$35/100))^A104,D105-$AL$4)</f>
        <v>0</v>
      </c>
      <c r="Y105" s="49">
        <f ca="1">ABS(L105-(controls!$B$9/100)*100)</f>
        <v>0</v>
      </c>
      <c r="AA105" s="49" t="e">
        <f ca="1">IF(controls!$B$33=1,(B106-B105*V106-I106+D105*W106+'main page'!$K$27*('main page'!$K$24+'main page'!$K$11))/'main page'!$K$31,(B106-B105*V106+D105*W106-H106+'main page'!$K$27*('main page'!$K$24+'main page'!$K$11))/'main page'!$K$31)</f>
        <v>#DIV/0!</v>
      </c>
      <c r="AB105" s="49" t="e">
        <f ca="1">IF(controls!$B$45=1,LOG(AF105,1.01)+LOG(AE105,1.01)-LOG(AD105,1.01),-((M105-('main page'!$K$24+'main page'!$K$11))/(1-'normal case'!$AO$3))+'normal case'!AA105)</f>
        <v>#DIV/0!</v>
      </c>
      <c r="AC105" s="176" t="e">
        <f t="shared" ca="1" si="9"/>
        <v>#DIV/0!</v>
      </c>
      <c r="AD105" s="49">
        <f t="shared" ca="1" si="10"/>
        <v>7.5373298214297417</v>
      </c>
      <c r="AE105" s="49">
        <f>AE104*(1+'main page'!$K$32/100)</f>
        <v>1</v>
      </c>
      <c r="AF105" s="49" t="e">
        <f ca="1">IF(ABS(IF(controls!$B$45=1,$AL$13,AD105*AC105/AE105)-AF104)&lt;0.00001,AF104,IF(controls!$B$45=1,$AL$13,AD105*AC105/AE105))</f>
        <v>#DIV/0!</v>
      </c>
      <c r="AG105" s="49">
        <f>IF(controls!$B$46=0,0,IF(controls!$B$33=2,B106-B105*V106-('normal case'!H106-D105*W106-'main page'!$K$27*'normal case'!M105+'main page'!$K$31*'normal case'!AB105)-(('main page'!$K$25*'main page'!$U$13*'main page'!$K$29)/(1+('main page'!$K$25^2)*'main page'!$U$13))*('normal case'!L105-'main page'!$U$8),B106-B105*V106-('normal case'!I106-D105*W106-'main page'!$K$27*'normal case'!M105+'main page'!$K$31*'normal case'!AB105)-(('main page'!$K$25*'main page'!$U$13*'main page'!$K$29)/(1+('main page'!$K$25^2)*'main page'!$U$13))*('normal case'!L105-'main page'!$U$8)))</f>
        <v>0</v>
      </c>
      <c r="AN105" s="40"/>
      <c r="AO105" s="40"/>
    </row>
    <row r="106" spans="1:41">
      <c r="A106" s="48">
        <v>104</v>
      </c>
      <c r="B106" s="75">
        <f ca="1">IF(controls!$B$33=1,B105*(1+V106)+T106,B105*(1+V106))</f>
        <v>100</v>
      </c>
      <c r="C106" s="80">
        <f t="shared" ca="1" si="11"/>
        <v>0</v>
      </c>
      <c r="D106" s="77">
        <f t="shared" ca="1" si="7"/>
        <v>100</v>
      </c>
      <c r="E106" s="77">
        <f ca="1">AG105+IF(controls!$B$33=1,G106,F106)</f>
        <v>100</v>
      </c>
      <c r="F106" s="94">
        <f ca="1">IF(controls!$B$44=0,H106-'main page'!$K$27*M105,H106-'main page'!$K$27*M105+'main page'!$K$31*AB105)</f>
        <v>100</v>
      </c>
      <c r="G106" s="75">
        <f ca="1">IF(controls!$B$44=0,I106-'main page'!$K$27*M105,I106-'main page'!$K$27*M105+'main page'!$K$31*'normal case'!AB105)</f>
        <v>100</v>
      </c>
      <c r="H106" s="75">
        <f t="shared" ca="1" si="12"/>
        <v>108</v>
      </c>
      <c r="I106" s="75">
        <f t="shared" ca="1" si="13"/>
        <v>108</v>
      </c>
      <c r="L106" s="75">
        <f ca="1">IF(ABS('main page'!$K$29*L105+(1-'main page'!$K$29)*(controls!$B$9/100)*100+'main page'!$K$25*(D106-B106)-L105)&lt;0.0000001,L105,'main page'!$K$29*L105+(1-'main page'!$K$29)*(controls!$B$9/100)*100+'main page'!$K$25*(D106-B106))</f>
        <v>2</v>
      </c>
      <c r="M106" s="96">
        <f ca="1">IF(controls!$B$10=1,M105,IF(SUM(controls!$B$44:$B$46)=2,N106-'main page'!$K$29*'normal case'!L106-(1-'main page'!$K$29)*'main page'!$K$32,N106-'main page'!$K$29*'normal case'!L106-(1-'main page'!$K$29)*controls!$B$9))</f>
        <v>4</v>
      </c>
      <c r="N106" s="208">
        <f ca="1">IF(controls!$B$45=1,IF(controls!$B$46=1,'main page'!$K$24+'main page'!$K$11+'main page'!$U$8,'main page'!$K$24+'main page'!$K$11+'main page'!$K$32),IF(controls!$B$44=1,IF(O106&lt;0,0,O106),IF(O106+'main page'!$K$11&lt;0,0,O106+'main page'!$K$11)))</f>
        <v>6</v>
      </c>
      <c r="O106" s="76">
        <f ca="1">IF(controls!$B$10=1,'normal case'!M106+'normal case'!L106,'normal case'!P106)</f>
        <v>6</v>
      </c>
      <c r="P106" s="74">
        <f t="shared" ca="1" si="8"/>
        <v>6</v>
      </c>
      <c r="Q106" s="210">
        <f ca="1">IF(controls!$B$44=0,R106+'main page'!$K$29*L106+(1-'main page'!$K$29)*controls!$B$9+(('main page'!$K$25*'main page'!$U$13*'main page'!$K$29)/('main page'!$K$27*(1+('main page'!$K$25^2)*'main page'!$U$13)))*(L106-controls!$B$9),R106+'main page'!$K$29*L106+(1-'main page'!$K$29)*controls!$B$9+(('main page'!$K$25*'main page'!$U$13*'normal case'!$AO$3)/'normal case'!$AO$4)*('normal case'!L106-controls!$B$9))</f>
        <v>6</v>
      </c>
      <c r="R106" s="98">
        <f ca="1">IF(controls!$B$44=1,'main page'!$K$24+'main page'!$K$11,IF(controls!$B$33=1,((I107-D106*W107-B107+B106*V107)/'main page'!$K$27)-'main page'!$K$11,((H107-D106*W107-B107+B106*V107)/'main page'!$K$27)-'main page'!$K$11))</f>
        <v>4</v>
      </c>
      <c r="T106" s="71">
        <f>IF(controls!$B$6=1,$AL$3*(1+('main page'!$K$35/100))^U106-$AL$3*(1+('main page'!$K$35/100))^U105,$AL$3*(1+('main page'!$G$8/100))*(1+('main page'!$K$35/100))^U106-$AL$3*(1+('main page'!$G$8/100))*(1+('main page'!$K$35/100))^U105)</f>
        <v>0</v>
      </c>
      <c r="U106" s="73">
        <v>99</v>
      </c>
      <c r="V106" s="161">
        <v>0</v>
      </c>
      <c r="W106" s="40">
        <v>0</v>
      </c>
      <c r="X106" s="49">
        <f ca="1">IF(controls!$B$33=1,D106-($I$3-'main page'!$K$27*2)*(1+('main page'!$K$35/100))^A105,D106-$AL$4)</f>
        <v>0</v>
      </c>
      <c r="Y106" s="49">
        <f ca="1">ABS(L106-(controls!$B$9/100)*100)</f>
        <v>0</v>
      </c>
      <c r="AA106" s="49" t="e">
        <f ca="1">IF(controls!$B$33=1,(B107-B106*V107-I107+D106*W107+'main page'!$K$27*('main page'!$K$24+'main page'!$K$11))/'main page'!$K$31,(B107-B106*V107+D106*W107-H107+'main page'!$K$27*('main page'!$K$24+'main page'!$K$11))/'main page'!$K$31)</f>
        <v>#DIV/0!</v>
      </c>
      <c r="AB106" s="49" t="e">
        <f ca="1">IF(controls!$B$45=1,LOG(AF106,1.01)+LOG(AE106,1.01)-LOG(AD106,1.01),-((M106-('main page'!$K$24+'main page'!$K$11))/(1-'normal case'!$AO$3))+'normal case'!AA106)</f>
        <v>#DIV/0!</v>
      </c>
      <c r="AC106" s="176" t="e">
        <f t="shared" ca="1" si="9"/>
        <v>#DIV/0!</v>
      </c>
      <c r="AD106" s="49">
        <f t="shared" ca="1" si="10"/>
        <v>7.688076417858337</v>
      </c>
      <c r="AE106" s="49">
        <f>AE105*(1+'main page'!$K$32/100)</f>
        <v>1</v>
      </c>
      <c r="AF106" s="49" t="e">
        <f ca="1">IF(ABS(IF(controls!$B$45=1,$AL$13,AD106*AC106/AE106)-AF105)&lt;0.00001,AF105,IF(controls!$B$45=1,$AL$13,AD106*AC106/AE106))</f>
        <v>#DIV/0!</v>
      </c>
      <c r="AG106" s="49">
        <f>IF(controls!$B$46=0,0,IF(controls!$B$33=2,B107-B106*V107-('normal case'!H107-D106*W107-'main page'!$K$27*'normal case'!M106+'main page'!$K$31*'normal case'!AB106)-(('main page'!$K$25*'main page'!$U$13*'main page'!$K$29)/(1+('main page'!$K$25^2)*'main page'!$U$13))*('normal case'!L106-'main page'!$U$8),B107-B106*V107-('normal case'!I107-D106*W107-'main page'!$K$27*'normal case'!M106+'main page'!$K$31*'normal case'!AB106)-(('main page'!$K$25*'main page'!$U$13*'main page'!$K$29)/(1+('main page'!$K$25^2)*'main page'!$U$13))*('normal case'!L106-'main page'!$U$8)))</f>
        <v>0</v>
      </c>
      <c r="AN106" s="40"/>
      <c r="AO106" s="40"/>
    </row>
    <row r="107" spans="1:41">
      <c r="A107" s="48">
        <v>105</v>
      </c>
      <c r="B107" s="75">
        <f ca="1">IF(controls!$B$33=1,B106*(1+V107)+T107,B106*(1+V107))</f>
        <v>100</v>
      </c>
      <c r="C107" s="80">
        <f t="shared" ca="1" si="11"/>
        <v>0</v>
      </c>
      <c r="D107" s="77">
        <f t="shared" ca="1" si="7"/>
        <v>100</v>
      </c>
      <c r="E107" s="77">
        <f ca="1">AG106+IF(controls!$B$33=1,G107,F107)</f>
        <v>100</v>
      </c>
      <c r="F107" s="94">
        <f ca="1">IF(controls!$B$44=0,H107-'main page'!$K$27*M106,H107-'main page'!$K$27*M106+'main page'!$K$31*AB106)</f>
        <v>100</v>
      </c>
      <c r="G107" s="75">
        <f ca="1">IF(controls!$B$44=0,I107-'main page'!$K$27*M106,I107-'main page'!$K$27*M106+'main page'!$K$31*'normal case'!AB106)</f>
        <v>100</v>
      </c>
      <c r="H107" s="75">
        <f t="shared" ca="1" si="12"/>
        <v>108</v>
      </c>
      <c r="I107" s="75">
        <f t="shared" ca="1" si="13"/>
        <v>108</v>
      </c>
      <c r="L107" s="75">
        <f ca="1">IF(ABS('main page'!$K$29*L106+(1-'main page'!$K$29)*(controls!$B$9/100)*100+'main page'!$K$25*(D107-B107)-L106)&lt;0.0000001,L106,'main page'!$K$29*L106+(1-'main page'!$K$29)*(controls!$B$9/100)*100+'main page'!$K$25*(D107-B107))</f>
        <v>2</v>
      </c>
      <c r="M107" s="96">
        <f ca="1">IF(controls!$B$10=1,M106,IF(SUM(controls!$B$44:$B$46)=2,N107-'main page'!$K$29*'normal case'!L107-(1-'main page'!$K$29)*'main page'!$K$32,N107-'main page'!$K$29*'normal case'!L107-(1-'main page'!$K$29)*controls!$B$9))</f>
        <v>4</v>
      </c>
      <c r="N107" s="208">
        <f ca="1">IF(controls!$B$45=1,IF(controls!$B$46=1,'main page'!$K$24+'main page'!$K$11+'main page'!$U$8,'main page'!$K$24+'main page'!$K$11+'main page'!$K$32),IF(controls!$B$44=1,IF(O107&lt;0,0,O107),IF(O107+'main page'!$K$11&lt;0,0,O107+'main page'!$K$11)))</f>
        <v>6</v>
      </c>
      <c r="O107" s="76">
        <f ca="1">IF(controls!$B$10=1,'normal case'!M107+'normal case'!L107,'normal case'!P107)</f>
        <v>6</v>
      </c>
      <c r="P107" s="74">
        <f t="shared" ca="1" si="8"/>
        <v>6</v>
      </c>
      <c r="Q107" s="210">
        <f ca="1">IF(controls!$B$44=0,R107+'main page'!$K$29*L107+(1-'main page'!$K$29)*controls!$B$9+(('main page'!$K$25*'main page'!$U$13*'main page'!$K$29)/('main page'!$K$27*(1+('main page'!$K$25^2)*'main page'!$U$13)))*(L107-controls!$B$9),R107+'main page'!$K$29*L107+(1-'main page'!$K$29)*controls!$B$9+(('main page'!$K$25*'main page'!$U$13*'normal case'!$AO$3)/'normal case'!$AO$4)*('normal case'!L107-controls!$B$9))</f>
        <v>6</v>
      </c>
      <c r="R107" s="98">
        <f ca="1">IF(controls!$B$44=1,'main page'!$K$24+'main page'!$K$11,IF(controls!$B$33=1,((I108-D107*W108-B108+B107*V108)/'main page'!$K$27)-'main page'!$K$11,((H108-D107*W108-B108+B107*V108)/'main page'!$K$27)-'main page'!$K$11))</f>
        <v>4</v>
      </c>
      <c r="T107" s="71">
        <f>IF(controls!$B$6=1,$AL$3*(1+('main page'!$K$35/100))^U107-$AL$3*(1+('main page'!$K$35/100))^U106,$AL$3*(1+('main page'!$G$8/100))*(1+('main page'!$K$35/100))^U107-$AL$3*(1+('main page'!$G$8/100))*(1+('main page'!$K$35/100))^U106)</f>
        <v>0</v>
      </c>
      <c r="U107" s="73">
        <v>100</v>
      </c>
      <c r="V107" s="161">
        <f ca="1">IF(controls!$B$4=1,IF(controls!$H106=1,controls!$B$34*V106+RAND()*('main page'!$K$16/100)-RAND()*('main page'!$K$16/100),0),0)</f>
        <v>0</v>
      </c>
      <c r="W107" s="40">
        <f ca="1">IF(controls!$B$4=1,IF(controls!$I106=1,controls!$B$34*W106+RAND()*('main page'!$K$16/100)-RAND()*('main page'!$K$16/100),0),0)</f>
        <v>0</v>
      </c>
      <c r="X107" s="49">
        <f ca="1">IF(controls!$B$33=1,D107-($I$3-'main page'!$K$27*2)*(1+('main page'!$K$35/100))^A106,D107-$AL$4)</f>
        <v>0</v>
      </c>
      <c r="Y107" s="49">
        <f ca="1">ABS(L107-(controls!$B$9/100)*100)</f>
        <v>0</v>
      </c>
      <c r="AA107" s="49" t="e">
        <f ca="1">IF(controls!$B$33=1,(B108-B107*V108-I108+D107*W108+'main page'!$K$27*('main page'!$K$24+'main page'!$K$11))/'main page'!$K$31,(B108-B107*V108+D107*W108-H108+'main page'!$K$27*('main page'!$K$24+'main page'!$K$11))/'main page'!$K$31)</f>
        <v>#DIV/0!</v>
      </c>
      <c r="AB107" s="49" t="e">
        <f ca="1">IF(controls!$B$45=1,LOG(AF107,1.01)+LOG(AE107,1.01)-LOG(AD107,1.01),-((M107-('main page'!$K$24+'main page'!$K$11))/(1-'normal case'!$AO$3))+'normal case'!AA107)</f>
        <v>#DIV/0!</v>
      </c>
      <c r="AC107" s="176" t="e">
        <f t="shared" ca="1" si="9"/>
        <v>#DIV/0!</v>
      </c>
      <c r="AD107" s="49">
        <f t="shared" ca="1" si="10"/>
        <v>7.8418379462155041</v>
      </c>
      <c r="AE107" s="49">
        <f>AE106*(1+'main page'!$K$32/100)</f>
        <v>1</v>
      </c>
      <c r="AF107" s="49" t="e">
        <f ca="1">IF(ABS(IF(controls!$B$45=1,$AL$13,AD107*AC107/AE107)-AF106)&lt;0.00001,AF106,IF(controls!$B$45=1,$AL$13,AD107*AC107/AE107))</f>
        <v>#DIV/0!</v>
      </c>
      <c r="AG107" s="49">
        <f>IF(controls!$B$46=0,0,IF(controls!$B$33=2,B108-B107*V108-('normal case'!H108-D107*W108-'main page'!$K$27*'normal case'!M107+'main page'!$K$31*'normal case'!AB107)-(('main page'!$K$25*'main page'!$U$13*'main page'!$K$29)/(1+('main page'!$K$25^2)*'main page'!$U$13))*('normal case'!L107-'main page'!$U$8),B108-B107*V108-('normal case'!I108-D107*W108-'main page'!$K$27*'normal case'!M107+'main page'!$K$31*'normal case'!AB107)-(('main page'!$K$25*'main page'!$U$13*'main page'!$K$29)/(1+('main page'!$K$25^2)*'main page'!$U$13))*('normal case'!L107-'main page'!$U$8)))</f>
        <v>0</v>
      </c>
      <c r="AN107" s="40"/>
      <c r="AO107" s="40"/>
    </row>
    <row r="108" spans="1:41">
      <c r="A108" s="48">
        <v>106</v>
      </c>
      <c r="B108" s="75">
        <f ca="1">IF(controls!$B$33=1,B107*(1+V108)+T108,B107*(1+V108))</f>
        <v>100</v>
      </c>
      <c r="C108" s="80">
        <f t="shared" ca="1" si="11"/>
        <v>0</v>
      </c>
      <c r="D108" s="77">
        <f t="shared" ca="1" si="7"/>
        <v>100</v>
      </c>
      <c r="E108" s="77">
        <f ca="1">AG107+IF(controls!$B$33=1,G108,F108)</f>
        <v>100</v>
      </c>
      <c r="F108" s="94">
        <f ca="1">IF(controls!$B$44=0,H108-'main page'!$K$27*M107,H108-'main page'!$K$27*M107+'main page'!$K$31*AB107)</f>
        <v>100</v>
      </c>
      <c r="G108" s="75">
        <f ca="1">IF(controls!$B$44=0,I108-'main page'!$K$27*M107,I108-'main page'!$K$27*M107+'main page'!$K$31*'normal case'!AB107)</f>
        <v>100</v>
      </c>
      <c r="H108" s="75">
        <f t="shared" ca="1" si="12"/>
        <v>108</v>
      </c>
      <c r="I108" s="75">
        <f t="shared" ca="1" si="13"/>
        <v>108</v>
      </c>
      <c r="L108" s="75">
        <f ca="1">IF(ABS('main page'!$K$29*L107+(1-'main page'!$K$29)*(controls!$B$9/100)*100+'main page'!$K$25*(D108-B108)-L107)&lt;0.0000001,L107,'main page'!$K$29*L107+(1-'main page'!$K$29)*(controls!$B$9/100)*100+'main page'!$K$25*(D108-B108))</f>
        <v>2</v>
      </c>
      <c r="M108" s="96">
        <f ca="1">IF(controls!$B$10=1,M107,IF(SUM(controls!$B$44:$B$46)=2,N108-'main page'!$K$29*'normal case'!L108-(1-'main page'!$K$29)*'main page'!$K$32,N108-'main page'!$K$29*'normal case'!L108-(1-'main page'!$K$29)*controls!$B$9))</f>
        <v>4</v>
      </c>
      <c r="N108" s="208">
        <f ca="1">IF(controls!$B$45=1,IF(controls!$B$46=1,'main page'!$K$24+'main page'!$K$11+'main page'!$U$8,'main page'!$K$24+'main page'!$K$11+'main page'!$K$32),IF(controls!$B$44=1,IF(O108&lt;0,0,O108),IF(O108+'main page'!$K$11&lt;0,0,O108+'main page'!$K$11)))</f>
        <v>6</v>
      </c>
      <c r="O108" s="76">
        <f ca="1">IF(controls!$B$10=1,'normal case'!M108+'normal case'!L108,'normal case'!P108)</f>
        <v>6</v>
      </c>
      <c r="P108" s="74">
        <f t="shared" ca="1" si="8"/>
        <v>6</v>
      </c>
      <c r="Q108" s="210">
        <f ca="1">IF(controls!$B$44=0,R108+'main page'!$K$29*L108+(1-'main page'!$K$29)*controls!$B$9+(('main page'!$K$25*'main page'!$U$13*'main page'!$K$29)/('main page'!$K$27*(1+('main page'!$K$25^2)*'main page'!$U$13)))*(L108-controls!$B$9),R108+'main page'!$K$29*L108+(1-'main page'!$K$29)*controls!$B$9+(('main page'!$K$25*'main page'!$U$13*'normal case'!$AO$3)/'normal case'!$AO$4)*('normal case'!L108-controls!$B$9))</f>
        <v>6</v>
      </c>
      <c r="R108" s="98">
        <f ca="1">IF(controls!$B$44=1,'main page'!$K$24+'main page'!$K$11,IF(controls!$B$33=1,((I109-D108*W109-B109+B108*V109)/'main page'!$K$27)-'main page'!$K$11,((H109-D108*W109-B109+B108*V109)/'main page'!$K$27)-'main page'!$K$11))</f>
        <v>4</v>
      </c>
      <c r="T108" s="71">
        <f>IF(controls!$B$6=1,$AL$3*(1+('main page'!$K$35/100))^U108-$AL$3*(1+('main page'!$K$35/100))^U107,$AL$3*(1+('main page'!$G$8/100))*(1+('main page'!$K$35/100))^U108-$AL$3*(1+('main page'!$G$8/100))*(1+('main page'!$K$35/100))^U107)</f>
        <v>0</v>
      </c>
      <c r="U108" s="73">
        <v>101</v>
      </c>
      <c r="V108" s="161">
        <v>0</v>
      </c>
      <c r="W108" s="40">
        <v>0</v>
      </c>
      <c r="X108" s="49">
        <f ca="1">IF(controls!$B$33=1,D108-($I$3-'main page'!$K$27*2)*(1+('main page'!$K$35/100))^A107,D108-$AL$4)</f>
        <v>0</v>
      </c>
      <c r="Y108" s="49">
        <f ca="1">ABS(L108-(controls!$B$9/100)*100)</f>
        <v>0</v>
      </c>
      <c r="AA108" s="49" t="e">
        <f ca="1">IF(controls!$B$33=1,(B109-B108*V109-I109+D108*W109+'main page'!$K$27*('main page'!$K$24+'main page'!$K$11))/'main page'!$K$31,(B109-B108*V109+D108*W109-H109+'main page'!$K$27*('main page'!$K$24+'main page'!$K$11))/'main page'!$K$31)</f>
        <v>#DIV/0!</v>
      </c>
      <c r="AB108" s="49" t="e">
        <f ca="1">IF(controls!$B$45=1,LOG(AF108,1.01)+LOG(AE108,1.01)-LOG(AD108,1.01),-((M108-('main page'!$K$24+'main page'!$K$11))/(1-'normal case'!$AO$3))+'normal case'!AA108)</f>
        <v>#DIV/0!</v>
      </c>
      <c r="AC108" s="176" t="e">
        <f t="shared" ca="1" si="9"/>
        <v>#DIV/0!</v>
      </c>
      <c r="AD108" s="49">
        <f t="shared" ca="1" si="10"/>
        <v>7.9986747051398144</v>
      </c>
      <c r="AE108" s="49">
        <f>AE107*(1+'main page'!$K$32/100)</f>
        <v>1</v>
      </c>
      <c r="AF108" s="49" t="e">
        <f ca="1">IF(ABS(IF(controls!$B$45=1,$AL$13,AD108*AC108/AE108)-AF107)&lt;0.00001,AF107,IF(controls!$B$45=1,$AL$13,AD108*AC108/AE108))</f>
        <v>#DIV/0!</v>
      </c>
      <c r="AG108" s="49">
        <f>IF(controls!$B$46=0,0,IF(controls!$B$33=2,B109-B108*V109-('normal case'!H109-D108*W109-'main page'!$K$27*'normal case'!M108+'main page'!$K$31*'normal case'!AB108)-(('main page'!$K$25*'main page'!$U$13*'main page'!$K$29)/(1+('main page'!$K$25^2)*'main page'!$U$13))*('normal case'!L108-'main page'!$U$8),B109-B108*V109-('normal case'!I109-D108*W109-'main page'!$K$27*'normal case'!M108+'main page'!$K$31*'normal case'!AB108)-(('main page'!$K$25*'main page'!$U$13*'main page'!$K$29)/(1+('main page'!$K$25^2)*'main page'!$U$13))*('normal case'!L108-'main page'!$U$8)))</f>
        <v>0</v>
      </c>
      <c r="AN108" s="40"/>
      <c r="AO108" s="40"/>
    </row>
    <row r="109" spans="1:41">
      <c r="A109" s="48">
        <v>107</v>
      </c>
      <c r="B109" s="75">
        <f ca="1">IF(controls!$B$33=1,B108*(1+V109)+T109,B108*(1+V109))</f>
        <v>100</v>
      </c>
      <c r="C109" s="80">
        <f t="shared" ca="1" si="11"/>
        <v>0</v>
      </c>
      <c r="D109" s="77">
        <f t="shared" ca="1" si="7"/>
        <v>100</v>
      </c>
      <c r="E109" s="77">
        <f ca="1">AG108+IF(controls!$B$33=1,G109,F109)</f>
        <v>100</v>
      </c>
      <c r="F109" s="94">
        <f ca="1">IF(controls!$B$44=0,H109-'main page'!$K$27*M108,H109-'main page'!$K$27*M108+'main page'!$K$31*AB108)</f>
        <v>100</v>
      </c>
      <c r="G109" s="75">
        <f ca="1">IF(controls!$B$44=0,I109-'main page'!$K$27*M108,I109-'main page'!$K$27*M108+'main page'!$K$31*'normal case'!AB108)</f>
        <v>100</v>
      </c>
      <c r="H109" s="75">
        <f t="shared" ca="1" si="12"/>
        <v>108</v>
      </c>
      <c r="I109" s="75">
        <f t="shared" ca="1" si="13"/>
        <v>108</v>
      </c>
      <c r="L109" s="75">
        <f ca="1">IF(ABS('main page'!$K$29*L108+(1-'main page'!$K$29)*(controls!$B$9/100)*100+'main page'!$K$25*(D109-B109)-L108)&lt;0.0000001,L108,'main page'!$K$29*L108+(1-'main page'!$K$29)*(controls!$B$9/100)*100+'main page'!$K$25*(D109-B109))</f>
        <v>2</v>
      </c>
      <c r="M109" s="96">
        <f ca="1">IF(controls!$B$10=1,M108,IF(SUM(controls!$B$44:$B$46)=2,N109-'main page'!$K$29*'normal case'!L109-(1-'main page'!$K$29)*'main page'!$K$32,N109-'main page'!$K$29*'normal case'!L109-(1-'main page'!$K$29)*controls!$B$9))</f>
        <v>4</v>
      </c>
      <c r="N109" s="208">
        <f ca="1">IF(controls!$B$45=1,IF(controls!$B$46=1,'main page'!$K$24+'main page'!$K$11+'main page'!$U$8,'main page'!$K$24+'main page'!$K$11+'main page'!$K$32),IF(controls!$B$44=1,IF(O109&lt;0,0,O109),IF(O109+'main page'!$K$11&lt;0,0,O109+'main page'!$K$11)))</f>
        <v>6</v>
      </c>
      <c r="O109" s="76">
        <f ca="1">IF(controls!$B$10=1,'normal case'!M109+'normal case'!L109,'normal case'!P109)</f>
        <v>6</v>
      </c>
      <c r="P109" s="74">
        <f t="shared" ca="1" si="8"/>
        <v>6</v>
      </c>
      <c r="Q109" s="210">
        <f ca="1">IF(controls!$B$44=0,R109+'main page'!$K$29*L109+(1-'main page'!$K$29)*controls!$B$9+(('main page'!$K$25*'main page'!$U$13*'main page'!$K$29)/('main page'!$K$27*(1+('main page'!$K$25^2)*'main page'!$U$13)))*(L109-controls!$B$9),R109+'main page'!$K$29*L109+(1-'main page'!$K$29)*controls!$B$9+(('main page'!$K$25*'main page'!$U$13*'normal case'!$AO$3)/'normal case'!$AO$4)*('normal case'!L109-controls!$B$9))</f>
        <v>6</v>
      </c>
      <c r="R109" s="98">
        <f ca="1">IF(controls!$B$44=1,'main page'!$K$24+'main page'!$K$11,IF(controls!$B$33=1,((I110-D109*W110-B110+B109*V110)/'main page'!$K$27)-'main page'!$K$11,((H110-D109*W110-B110+B109*V110)/'main page'!$K$27)-'main page'!$K$11))</f>
        <v>4</v>
      </c>
      <c r="T109" s="71">
        <f>IF(controls!$B$6=1,$AL$3*(1+('main page'!$K$35/100))^U109-$AL$3*(1+('main page'!$K$35/100))^U108,$AL$3*(1+('main page'!$G$8/100))*(1+('main page'!$K$35/100))^U109-$AL$3*(1+('main page'!$G$8/100))*(1+('main page'!$K$35/100))^U108)</f>
        <v>0</v>
      </c>
      <c r="U109" s="73">
        <v>102</v>
      </c>
      <c r="V109" s="161">
        <v>0</v>
      </c>
      <c r="W109" s="40">
        <v>0</v>
      </c>
      <c r="X109" s="49">
        <f ca="1">IF(controls!$B$33=1,D109-($I$3-'main page'!$K$27*2)*(1+('main page'!$K$35/100))^A108,D109-$AL$4)</f>
        <v>0</v>
      </c>
      <c r="Y109" s="49">
        <f ca="1">ABS(L109-(controls!$B$9/100)*100)</f>
        <v>0</v>
      </c>
      <c r="AA109" s="49" t="e">
        <f ca="1">IF(controls!$B$33=1,(B110-B109*V110-I110+D109*W110+'main page'!$K$27*('main page'!$K$24+'main page'!$K$11))/'main page'!$K$31,(B110-B109*V110+D109*W110-H110+'main page'!$K$27*('main page'!$K$24+'main page'!$K$11))/'main page'!$K$31)</f>
        <v>#DIV/0!</v>
      </c>
      <c r="AB109" s="49" t="e">
        <f ca="1">IF(controls!$B$45=1,LOG(AF109,1.01)+LOG(AE109,1.01)-LOG(AD109,1.01),-((M109-('main page'!$K$24+'main page'!$K$11))/(1-'normal case'!$AO$3))+'normal case'!AA109)</f>
        <v>#DIV/0!</v>
      </c>
      <c r="AC109" s="176" t="e">
        <f t="shared" ca="1" si="9"/>
        <v>#DIV/0!</v>
      </c>
      <c r="AD109" s="49">
        <f t="shared" ca="1" si="10"/>
        <v>8.1586481992426112</v>
      </c>
      <c r="AE109" s="49">
        <f>AE108*(1+'main page'!$K$32/100)</f>
        <v>1</v>
      </c>
      <c r="AF109" s="49" t="e">
        <f ca="1">IF(ABS(IF(controls!$B$45=1,$AL$13,AD109*AC109/AE109)-AF108)&lt;0.00001,AF108,IF(controls!$B$45=1,$AL$13,AD109*AC109/AE109))</f>
        <v>#DIV/0!</v>
      </c>
      <c r="AG109" s="49">
        <f>IF(controls!$B$46=0,0,IF(controls!$B$33=2,B110-B109*V110-('normal case'!H110-D109*W110-'main page'!$K$27*'normal case'!M109+'main page'!$K$31*'normal case'!AB109)-(('main page'!$K$25*'main page'!$U$13*'main page'!$K$29)/(1+('main page'!$K$25^2)*'main page'!$U$13))*('normal case'!L109-'main page'!$U$8),B110-B109*V110-('normal case'!I110-D109*W110-'main page'!$K$27*'normal case'!M109+'main page'!$K$31*'normal case'!AB109)-(('main page'!$K$25*'main page'!$U$13*'main page'!$K$29)/(1+('main page'!$K$25^2)*'main page'!$U$13))*('normal case'!L109-'main page'!$U$8)))</f>
        <v>0</v>
      </c>
      <c r="AN109" s="40"/>
      <c r="AO109" s="40"/>
    </row>
    <row r="110" spans="1:41">
      <c r="A110" s="48">
        <v>108</v>
      </c>
      <c r="B110" s="75">
        <f ca="1">IF(controls!$B$33=1,B109*(1+V110)+T110,B109*(1+V110))</f>
        <v>100</v>
      </c>
      <c r="C110" s="80">
        <f t="shared" ca="1" si="11"/>
        <v>0</v>
      </c>
      <c r="D110" s="77">
        <f t="shared" ca="1" si="7"/>
        <v>100</v>
      </c>
      <c r="E110" s="77">
        <f ca="1">AG109+IF(controls!$B$33=1,G110,F110)</f>
        <v>100</v>
      </c>
      <c r="F110" s="94">
        <f ca="1">IF(controls!$B$44=0,H110-'main page'!$K$27*M109,H110-'main page'!$K$27*M109+'main page'!$K$31*AB109)</f>
        <v>100</v>
      </c>
      <c r="G110" s="75">
        <f ca="1">IF(controls!$B$44=0,I110-'main page'!$K$27*M109,I110-'main page'!$K$27*M109+'main page'!$K$31*'normal case'!AB109)</f>
        <v>100</v>
      </c>
      <c r="H110" s="75">
        <f t="shared" ca="1" si="12"/>
        <v>108</v>
      </c>
      <c r="I110" s="75">
        <f t="shared" ca="1" si="13"/>
        <v>108</v>
      </c>
      <c r="L110" s="75">
        <f ca="1">IF(ABS('main page'!$K$29*L109+(1-'main page'!$K$29)*(controls!$B$9/100)*100+'main page'!$K$25*(D110-B110)-L109)&lt;0.0000001,L109,'main page'!$K$29*L109+(1-'main page'!$K$29)*(controls!$B$9/100)*100+'main page'!$K$25*(D110-B110))</f>
        <v>2</v>
      </c>
      <c r="M110" s="96">
        <f ca="1">IF(controls!$B$10=1,M109,IF(SUM(controls!$B$44:$B$46)=2,N110-'main page'!$K$29*'normal case'!L110-(1-'main page'!$K$29)*'main page'!$K$32,N110-'main page'!$K$29*'normal case'!L110-(1-'main page'!$K$29)*controls!$B$9))</f>
        <v>4</v>
      </c>
      <c r="N110" s="208">
        <f ca="1">IF(controls!$B$45=1,IF(controls!$B$46=1,'main page'!$K$24+'main page'!$K$11+'main page'!$U$8,'main page'!$K$24+'main page'!$K$11+'main page'!$K$32),IF(controls!$B$44=1,IF(O110&lt;0,0,O110),IF(O110+'main page'!$K$11&lt;0,0,O110+'main page'!$K$11)))</f>
        <v>6</v>
      </c>
      <c r="O110" s="76">
        <f ca="1">IF(controls!$B$10=1,'normal case'!M110+'normal case'!L110,'normal case'!P110)</f>
        <v>6</v>
      </c>
      <c r="P110" s="74">
        <f t="shared" ca="1" si="8"/>
        <v>6</v>
      </c>
      <c r="Q110" s="210">
        <f ca="1">IF(controls!$B$44=0,R110+'main page'!$K$29*L110+(1-'main page'!$K$29)*controls!$B$9+(('main page'!$K$25*'main page'!$U$13*'main page'!$K$29)/('main page'!$K$27*(1+('main page'!$K$25^2)*'main page'!$U$13)))*(L110-controls!$B$9),R110+'main page'!$K$29*L110+(1-'main page'!$K$29)*controls!$B$9+(('main page'!$K$25*'main page'!$U$13*'normal case'!$AO$3)/'normal case'!$AO$4)*('normal case'!L110-controls!$B$9))</f>
        <v>6</v>
      </c>
      <c r="R110" s="98">
        <f ca="1">IF(controls!$B$44=1,'main page'!$K$24+'main page'!$K$11,IF(controls!$B$33=1,((I111-D110*W111-B111+B110*V111)/'main page'!$K$27)-'main page'!$K$11,((H111-D110*W111-B111+B110*V111)/'main page'!$K$27)-'main page'!$K$11))</f>
        <v>4</v>
      </c>
      <c r="T110" s="71">
        <f>IF(controls!$B$6=1,$AL$3*(1+('main page'!$K$35/100))^U110-$AL$3*(1+('main page'!$K$35/100))^U109,$AL$3*(1+('main page'!$G$8/100))*(1+('main page'!$K$35/100))^U110-$AL$3*(1+('main page'!$G$8/100))*(1+('main page'!$K$35/100))^U109)</f>
        <v>0</v>
      </c>
      <c r="U110" s="73">
        <v>103</v>
      </c>
      <c r="V110" s="161">
        <f ca="1">IF(controls!$B$4=1,IF(controls!$H109=1,controls!$B$34*V109+RAND()*('main page'!$K$16/100)-RAND()*('main page'!$K$16/100),0),0)</f>
        <v>0</v>
      </c>
      <c r="W110" s="40">
        <f ca="1">IF(controls!$B$4=1,IF(controls!$I109=1,controls!$B$34*W109+RAND()*('main page'!$K$16/100)-RAND()*('main page'!$K$16/100),0),0)</f>
        <v>0</v>
      </c>
      <c r="X110" s="49">
        <f ca="1">IF(controls!$B$33=1,D110-($I$3-'main page'!$K$27*2)*(1+('main page'!$K$35/100))^A109,D110-$AL$4)</f>
        <v>0</v>
      </c>
      <c r="Y110" s="49">
        <f ca="1">ABS(L110-(controls!$B$9/100)*100)</f>
        <v>0</v>
      </c>
      <c r="AA110" s="49" t="e">
        <f ca="1">IF(controls!$B$33=1,(B111-B110*V111-I111+D110*W111+'main page'!$K$27*('main page'!$K$24+'main page'!$K$11))/'main page'!$K$31,(B111-B110*V111+D110*W111-H111+'main page'!$K$27*('main page'!$K$24+'main page'!$K$11))/'main page'!$K$31)</f>
        <v>#DIV/0!</v>
      </c>
      <c r="AB110" s="49" t="e">
        <f ca="1">IF(controls!$B$45=1,LOG(AF110,1.01)+LOG(AE110,1.01)-LOG(AD110,1.01),-((M110-('main page'!$K$24+'main page'!$K$11))/(1-'normal case'!$AO$3))+'normal case'!AA110)</f>
        <v>#DIV/0!</v>
      </c>
      <c r="AC110" s="176" t="e">
        <f t="shared" ca="1" si="9"/>
        <v>#DIV/0!</v>
      </c>
      <c r="AD110" s="49">
        <f t="shared" ca="1" si="10"/>
        <v>8.3218211632274635</v>
      </c>
      <c r="AE110" s="49">
        <f>AE109*(1+'main page'!$K$32/100)</f>
        <v>1</v>
      </c>
      <c r="AF110" s="49" t="e">
        <f ca="1">IF(ABS(IF(controls!$B$45=1,$AL$13,AD110*AC110/AE110)-AF109)&lt;0.00001,AF109,IF(controls!$B$45=1,$AL$13,AD110*AC110/AE110))</f>
        <v>#DIV/0!</v>
      </c>
      <c r="AG110" s="49">
        <f>IF(controls!$B$46=0,0,IF(controls!$B$33=2,B111-B110*V111-('normal case'!H111-D110*W111-'main page'!$K$27*'normal case'!M110+'main page'!$K$31*'normal case'!AB110)-(('main page'!$K$25*'main page'!$U$13*'main page'!$K$29)/(1+('main page'!$K$25^2)*'main page'!$U$13))*('normal case'!L110-'main page'!$U$8),B111-B110*V111-('normal case'!I111-D110*W111-'main page'!$K$27*'normal case'!M110+'main page'!$K$31*'normal case'!AB110)-(('main page'!$K$25*'main page'!$U$13*'main page'!$K$29)/(1+('main page'!$K$25^2)*'main page'!$U$13))*('normal case'!L110-'main page'!$U$8)))</f>
        <v>0</v>
      </c>
      <c r="AN110" s="40"/>
      <c r="AO110" s="40"/>
    </row>
    <row r="111" spans="1:41">
      <c r="A111" s="48">
        <v>109</v>
      </c>
      <c r="B111" s="75">
        <f ca="1">IF(controls!$B$33=1,B110*(1+V111)+T111,B110*(1+V111))</f>
        <v>100</v>
      </c>
      <c r="C111" s="80">
        <f t="shared" ca="1" si="11"/>
        <v>0</v>
      </c>
      <c r="D111" s="77">
        <f t="shared" ca="1" si="7"/>
        <v>100</v>
      </c>
      <c r="E111" s="77">
        <f ca="1">AG110+IF(controls!$B$33=1,G111,F111)</f>
        <v>100</v>
      </c>
      <c r="F111" s="94">
        <f ca="1">IF(controls!$B$44=0,H111-'main page'!$K$27*M110,H111-'main page'!$K$27*M110+'main page'!$K$31*AB110)</f>
        <v>100</v>
      </c>
      <c r="G111" s="75">
        <f ca="1">IF(controls!$B$44=0,I111-'main page'!$K$27*M110,I111-'main page'!$K$27*M110+'main page'!$K$31*'normal case'!AB110)</f>
        <v>100</v>
      </c>
      <c r="H111" s="75">
        <f t="shared" ca="1" si="12"/>
        <v>108</v>
      </c>
      <c r="I111" s="75">
        <f t="shared" ca="1" si="13"/>
        <v>108</v>
      </c>
      <c r="L111" s="75">
        <f ca="1">IF(ABS('main page'!$K$29*L110+(1-'main page'!$K$29)*(controls!$B$9/100)*100+'main page'!$K$25*(D111-B111)-L110)&lt;0.0000001,L110,'main page'!$K$29*L110+(1-'main page'!$K$29)*(controls!$B$9/100)*100+'main page'!$K$25*(D111-B111))</f>
        <v>2</v>
      </c>
      <c r="M111" s="96">
        <f ca="1">IF(controls!$B$10=1,M110,IF(SUM(controls!$B$44:$B$46)=2,N111-'main page'!$K$29*'normal case'!L111-(1-'main page'!$K$29)*'main page'!$K$32,N111-'main page'!$K$29*'normal case'!L111-(1-'main page'!$K$29)*controls!$B$9))</f>
        <v>4</v>
      </c>
      <c r="N111" s="208">
        <f ca="1">IF(controls!$B$45=1,IF(controls!$B$46=1,'main page'!$K$24+'main page'!$K$11+'main page'!$U$8,'main page'!$K$24+'main page'!$K$11+'main page'!$K$32),IF(controls!$B$44=1,IF(O111&lt;0,0,O111),IF(O111+'main page'!$K$11&lt;0,0,O111+'main page'!$K$11)))</f>
        <v>6</v>
      </c>
      <c r="O111" s="76">
        <f ca="1">IF(controls!$B$10=1,'normal case'!M111+'normal case'!L111,'normal case'!P111)</f>
        <v>6</v>
      </c>
      <c r="P111" s="74">
        <f t="shared" ca="1" si="8"/>
        <v>6</v>
      </c>
      <c r="Q111" s="210">
        <f ca="1">IF(controls!$B$44=0,R111+'main page'!$K$29*L111+(1-'main page'!$K$29)*controls!$B$9+(('main page'!$K$25*'main page'!$U$13*'main page'!$K$29)/('main page'!$K$27*(1+('main page'!$K$25^2)*'main page'!$U$13)))*(L111-controls!$B$9),R111+'main page'!$K$29*L111+(1-'main page'!$K$29)*controls!$B$9+(('main page'!$K$25*'main page'!$U$13*'normal case'!$AO$3)/'normal case'!$AO$4)*('normal case'!L111-controls!$B$9))</f>
        <v>6</v>
      </c>
      <c r="R111" s="98">
        <f ca="1">IF(controls!$B$44=1,'main page'!$K$24+'main page'!$K$11,IF(controls!$B$33=1,((I112-D111*W112-B112+B111*V112)/'main page'!$K$27)-'main page'!$K$11,((H112-D111*W112-B112+B111*V112)/'main page'!$K$27)-'main page'!$K$11))</f>
        <v>4</v>
      </c>
      <c r="T111" s="71">
        <f>IF(controls!$B$6=1,$AL$3*(1+('main page'!$K$35/100))^U111-$AL$3*(1+('main page'!$K$35/100))^U110,$AL$3*(1+('main page'!$G$8/100))*(1+('main page'!$K$35/100))^U111-$AL$3*(1+('main page'!$G$8/100))*(1+('main page'!$K$35/100))^U110)</f>
        <v>0</v>
      </c>
      <c r="U111" s="73">
        <v>104</v>
      </c>
      <c r="V111" s="161">
        <v>0</v>
      </c>
      <c r="W111" s="40">
        <v>0</v>
      </c>
      <c r="X111" s="49">
        <f ca="1">IF(controls!$B$33=1,D111-($I$3-'main page'!$K$27*2)*(1+('main page'!$K$35/100))^A110,D111-$AL$4)</f>
        <v>0</v>
      </c>
      <c r="Y111" s="49">
        <f ca="1">ABS(L111-(controls!$B$9/100)*100)</f>
        <v>0</v>
      </c>
      <c r="AA111" s="49" t="e">
        <f ca="1">IF(controls!$B$33=1,(B112-B111*V112-I112+D111*W112+'main page'!$K$27*('main page'!$K$24+'main page'!$K$11))/'main page'!$K$31,(B112-B111*V112+D111*W112-H112+'main page'!$K$27*('main page'!$K$24+'main page'!$K$11))/'main page'!$K$31)</f>
        <v>#DIV/0!</v>
      </c>
      <c r="AB111" s="49" t="e">
        <f ca="1">IF(controls!$B$45=1,LOG(AF111,1.01)+LOG(AE111,1.01)-LOG(AD111,1.01),-((M111-('main page'!$K$24+'main page'!$K$11))/(1-'normal case'!$AO$3))+'normal case'!AA111)</f>
        <v>#DIV/0!</v>
      </c>
      <c r="AC111" s="176" t="e">
        <f t="shared" ca="1" si="9"/>
        <v>#DIV/0!</v>
      </c>
      <c r="AD111" s="49">
        <f t="shared" ca="1" si="10"/>
        <v>8.4882575864920131</v>
      </c>
      <c r="AE111" s="49">
        <f>AE110*(1+'main page'!$K$32/100)</f>
        <v>1</v>
      </c>
      <c r="AF111" s="49" t="e">
        <f ca="1">IF(ABS(IF(controls!$B$45=1,$AL$13,AD111*AC111/AE111)-AF110)&lt;0.00001,AF110,IF(controls!$B$45=1,$AL$13,AD111*AC111/AE111))</f>
        <v>#DIV/0!</v>
      </c>
      <c r="AG111" s="49">
        <f>IF(controls!$B$46=0,0,IF(controls!$B$33=2,B112-B111*V112-('normal case'!H112-D111*W112-'main page'!$K$27*'normal case'!M111+'main page'!$K$31*'normal case'!AB111)-(('main page'!$K$25*'main page'!$U$13*'main page'!$K$29)/(1+('main page'!$K$25^2)*'main page'!$U$13))*('normal case'!L111-'main page'!$U$8),B112-B111*V112-('normal case'!I112-D111*W112-'main page'!$K$27*'normal case'!M111+'main page'!$K$31*'normal case'!AB111)-(('main page'!$K$25*'main page'!$U$13*'main page'!$K$29)/(1+('main page'!$K$25^2)*'main page'!$U$13))*('normal case'!L111-'main page'!$U$8)))</f>
        <v>0</v>
      </c>
      <c r="AN111" s="40"/>
      <c r="AO111" s="40"/>
    </row>
    <row r="112" spans="1:41">
      <c r="A112" s="48">
        <v>110</v>
      </c>
      <c r="B112" s="75">
        <f ca="1">IF(controls!$B$33=1,B111*(1+V112)+T112,B111*(1+V112))</f>
        <v>100</v>
      </c>
      <c r="C112" s="80">
        <f t="shared" ca="1" si="11"/>
        <v>0</v>
      </c>
      <c r="D112" s="77">
        <f t="shared" ca="1" si="7"/>
        <v>100</v>
      </c>
      <c r="E112" s="77">
        <f ca="1">AG111+IF(controls!$B$33=1,G112,F112)</f>
        <v>100</v>
      </c>
      <c r="F112" s="94">
        <f ca="1">IF(controls!$B$44=0,H112-'main page'!$K$27*M111,H112-'main page'!$K$27*M111+'main page'!$K$31*AB111)</f>
        <v>100</v>
      </c>
      <c r="G112" s="75">
        <f ca="1">IF(controls!$B$44=0,I112-'main page'!$K$27*M111,I112-'main page'!$K$27*M111+'main page'!$K$31*'normal case'!AB111)</f>
        <v>100</v>
      </c>
      <c r="H112" s="75">
        <f t="shared" ca="1" si="12"/>
        <v>108</v>
      </c>
      <c r="I112" s="75">
        <f t="shared" ca="1" si="13"/>
        <v>108</v>
      </c>
      <c r="L112" s="75">
        <f ca="1">IF(ABS('main page'!$K$29*L111+(1-'main page'!$K$29)*(controls!$B$9/100)*100+'main page'!$K$25*(D112-B112)-L111)&lt;0.0000001,L111,'main page'!$K$29*L111+(1-'main page'!$K$29)*(controls!$B$9/100)*100+'main page'!$K$25*(D112-B112))</f>
        <v>2</v>
      </c>
      <c r="M112" s="96">
        <f ca="1">IF(controls!$B$10=1,M111,IF(SUM(controls!$B$44:$B$46)=2,N112-'main page'!$K$29*'normal case'!L112-(1-'main page'!$K$29)*'main page'!$K$32,N112-'main page'!$K$29*'normal case'!L112-(1-'main page'!$K$29)*controls!$B$9))</f>
        <v>4</v>
      </c>
      <c r="N112" s="208">
        <f ca="1">IF(controls!$B$45=1,IF(controls!$B$46=1,'main page'!$K$24+'main page'!$K$11+'main page'!$U$8,'main page'!$K$24+'main page'!$K$11+'main page'!$K$32),IF(controls!$B$44=1,IF(O112&lt;0,0,O112),IF(O112+'main page'!$K$11&lt;0,0,O112+'main page'!$K$11)))</f>
        <v>6</v>
      </c>
      <c r="O112" s="76">
        <f ca="1">IF(controls!$B$10=1,'normal case'!M112+'normal case'!L112,'normal case'!P112)</f>
        <v>6</v>
      </c>
      <c r="P112" s="74">
        <f t="shared" ca="1" si="8"/>
        <v>6</v>
      </c>
      <c r="Q112" s="210">
        <f ca="1">IF(controls!$B$44=0,R112+'main page'!$K$29*L112+(1-'main page'!$K$29)*controls!$B$9+(('main page'!$K$25*'main page'!$U$13*'main page'!$K$29)/('main page'!$K$27*(1+('main page'!$K$25^2)*'main page'!$U$13)))*(L112-controls!$B$9),R112+'main page'!$K$29*L112+(1-'main page'!$K$29)*controls!$B$9+(('main page'!$K$25*'main page'!$U$13*'normal case'!$AO$3)/'normal case'!$AO$4)*('normal case'!L112-controls!$B$9))</f>
        <v>6</v>
      </c>
      <c r="R112" s="98">
        <f ca="1">IF(controls!$B$44=1,'main page'!$K$24+'main page'!$K$11,IF(controls!$B$33=1,((I113-D112*W113-B113+B112*V113)/'main page'!$K$27)-'main page'!$K$11,((H113-D112*W113-B113+B112*V113)/'main page'!$K$27)-'main page'!$K$11))</f>
        <v>4</v>
      </c>
      <c r="T112" s="71">
        <f>IF(controls!$B$6=1,$AL$3*(1+('main page'!$K$35/100))^U112-$AL$3*(1+('main page'!$K$35/100))^U111,$AL$3*(1+('main page'!$G$8/100))*(1+('main page'!$K$35/100))^U112-$AL$3*(1+('main page'!$G$8/100))*(1+('main page'!$K$35/100))^U111)</f>
        <v>0</v>
      </c>
      <c r="U112" s="73">
        <v>105</v>
      </c>
      <c r="V112" s="161">
        <v>0</v>
      </c>
      <c r="W112" s="40">
        <v>0</v>
      </c>
      <c r="X112" s="49">
        <f ca="1">IF(controls!$B$33=1,D112-($I$3-'main page'!$K$27*2)*(1+('main page'!$K$35/100))^A111,D112-$AL$4)</f>
        <v>0</v>
      </c>
      <c r="Y112" s="49">
        <f ca="1">ABS(L112-(controls!$B$9/100)*100)</f>
        <v>0</v>
      </c>
      <c r="AA112" s="49" t="e">
        <f ca="1">IF(controls!$B$33=1,(B113-B112*V113-I113+D112*W113+'main page'!$K$27*('main page'!$K$24+'main page'!$K$11))/'main page'!$K$31,(B113-B112*V113+D112*W113-H113+'main page'!$K$27*('main page'!$K$24+'main page'!$K$11))/'main page'!$K$31)</f>
        <v>#DIV/0!</v>
      </c>
      <c r="AB112" s="49" t="e">
        <f ca="1">IF(controls!$B$45=1,LOG(AF112,1.01)+LOG(AE112,1.01)-LOG(AD112,1.01),-((M112-('main page'!$K$24+'main page'!$K$11))/(1-'normal case'!$AO$3))+'normal case'!AA112)</f>
        <v>#DIV/0!</v>
      </c>
      <c r="AC112" s="176" t="e">
        <f t="shared" ca="1" si="9"/>
        <v>#DIV/0!</v>
      </c>
      <c r="AD112" s="49">
        <f t="shared" ca="1" si="10"/>
        <v>8.6580227382218542</v>
      </c>
      <c r="AE112" s="49">
        <f>AE111*(1+'main page'!$K$32/100)</f>
        <v>1</v>
      </c>
      <c r="AF112" s="49" t="e">
        <f ca="1">IF(ABS(IF(controls!$B$45=1,$AL$13,AD112*AC112/AE112)-AF111)&lt;0.00001,AF111,IF(controls!$B$45=1,$AL$13,AD112*AC112/AE112))</f>
        <v>#DIV/0!</v>
      </c>
      <c r="AG112" s="49">
        <f>IF(controls!$B$46=0,0,IF(controls!$B$33=2,B113-B112*V113-('normal case'!H113-D112*W113-'main page'!$K$27*'normal case'!M112+'main page'!$K$31*'normal case'!AB112)-(('main page'!$K$25*'main page'!$U$13*'main page'!$K$29)/(1+('main page'!$K$25^2)*'main page'!$U$13))*('normal case'!L112-'main page'!$U$8),B113-B112*V113-('normal case'!I113-D112*W113-'main page'!$K$27*'normal case'!M112+'main page'!$K$31*'normal case'!AB112)-(('main page'!$K$25*'main page'!$U$13*'main page'!$K$29)/(1+('main page'!$K$25^2)*'main page'!$U$13))*('normal case'!L112-'main page'!$U$8)))</f>
        <v>0</v>
      </c>
      <c r="AN112" s="40"/>
      <c r="AO112" s="40"/>
    </row>
    <row r="113" spans="1:41">
      <c r="A113" s="48">
        <v>111</v>
      </c>
      <c r="B113" s="75">
        <f ca="1">IF(controls!$B$33=1,B112*(1+V113)+T113,B112*(1+V113))</f>
        <v>100</v>
      </c>
      <c r="C113" s="80">
        <f t="shared" ca="1" si="11"/>
        <v>0</v>
      </c>
      <c r="D113" s="77">
        <f t="shared" ca="1" si="7"/>
        <v>100</v>
      </c>
      <c r="E113" s="77">
        <f ca="1">AG112+IF(controls!$B$33=1,G113,F113)</f>
        <v>100</v>
      </c>
      <c r="F113" s="94">
        <f ca="1">IF(controls!$B$44=0,H113-'main page'!$K$27*M112,H113-'main page'!$K$27*M112+'main page'!$K$31*AB112)</f>
        <v>100</v>
      </c>
      <c r="G113" s="75">
        <f ca="1">IF(controls!$B$44=0,I113-'main page'!$K$27*M112,I113-'main page'!$K$27*M112+'main page'!$K$31*'normal case'!AB112)</f>
        <v>100</v>
      </c>
      <c r="H113" s="75">
        <f t="shared" ca="1" si="12"/>
        <v>108</v>
      </c>
      <c r="I113" s="75">
        <f t="shared" ca="1" si="13"/>
        <v>108</v>
      </c>
      <c r="L113" s="75">
        <f ca="1">IF(ABS('main page'!$K$29*L112+(1-'main page'!$K$29)*(controls!$B$9/100)*100+'main page'!$K$25*(D113-B113)-L112)&lt;0.0000001,L112,'main page'!$K$29*L112+(1-'main page'!$K$29)*(controls!$B$9/100)*100+'main page'!$K$25*(D113-B113))</f>
        <v>2</v>
      </c>
      <c r="M113" s="96">
        <f ca="1">IF(controls!$B$10=1,M112,IF(SUM(controls!$B$44:$B$46)=2,N113-'main page'!$K$29*'normal case'!L113-(1-'main page'!$K$29)*'main page'!$K$32,N113-'main page'!$K$29*'normal case'!L113-(1-'main page'!$K$29)*controls!$B$9))</f>
        <v>4</v>
      </c>
      <c r="N113" s="208">
        <f ca="1">IF(controls!$B$45=1,IF(controls!$B$46=1,'main page'!$K$24+'main page'!$K$11+'main page'!$U$8,'main page'!$K$24+'main page'!$K$11+'main page'!$K$32),IF(controls!$B$44=1,IF(O113&lt;0,0,O113),IF(O113+'main page'!$K$11&lt;0,0,O113+'main page'!$K$11)))</f>
        <v>6</v>
      </c>
      <c r="O113" s="76">
        <f ca="1">IF(controls!$B$10=1,'normal case'!M113+'normal case'!L113,'normal case'!P113)</f>
        <v>6</v>
      </c>
      <c r="P113" s="74">
        <f t="shared" ca="1" si="8"/>
        <v>6</v>
      </c>
      <c r="Q113" s="210">
        <f ca="1">IF(controls!$B$44=0,R113+'main page'!$K$29*L113+(1-'main page'!$K$29)*controls!$B$9+(('main page'!$K$25*'main page'!$U$13*'main page'!$K$29)/('main page'!$K$27*(1+('main page'!$K$25^2)*'main page'!$U$13)))*(L113-controls!$B$9),R113+'main page'!$K$29*L113+(1-'main page'!$K$29)*controls!$B$9+(('main page'!$K$25*'main page'!$U$13*'normal case'!$AO$3)/'normal case'!$AO$4)*('normal case'!L113-controls!$B$9))</f>
        <v>6</v>
      </c>
      <c r="R113" s="98">
        <f ca="1">IF(controls!$B$44=1,'main page'!$K$24+'main page'!$K$11,IF(controls!$B$33=1,((I114-D113*W114-B114+B113*V114)/'main page'!$K$27)-'main page'!$K$11,((H114-D113*W114-B114+B113*V114)/'main page'!$K$27)-'main page'!$K$11))</f>
        <v>4</v>
      </c>
      <c r="T113" s="71">
        <f>IF(controls!$B$6=1,$AL$3*(1+('main page'!$K$35/100))^U113-$AL$3*(1+('main page'!$K$35/100))^U112,$AL$3*(1+('main page'!$G$8/100))*(1+('main page'!$K$35/100))^U113-$AL$3*(1+('main page'!$G$8/100))*(1+('main page'!$K$35/100))^U112)</f>
        <v>0</v>
      </c>
      <c r="U113" s="73">
        <v>106</v>
      </c>
      <c r="V113" s="161">
        <f ca="1">IF(controls!$B$4=1,IF(controls!$H112=1,controls!$B$34*V112+RAND()*('main page'!$K$16/100)-RAND()*('main page'!$K$16/100),0),0)</f>
        <v>0</v>
      </c>
      <c r="W113" s="40">
        <f ca="1">IF(controls!$B$4=1,IF(controls!$I112=1,controls!$B$34*W112+RAND()*('main page'!$K$16/100)-RAND()*('main page'!$K$16/100),0),0)</f>
        <v>0</v>
      </c>
      <c r="X113" s="49">
        <f ca="1">IF(controls!$B$33=1,D113-($I$3-'main page'!$K$27*2)*(1+('main page'!$K$35/100))^A112,D113-$AL$4)</f>
        <v>0</v>
      </c>
      <c r="Y113" s="49">
        <f ca="1">ABS(L113-(controls!$B$9/100)*100)</f>
        <v>0</v>
      </c>
      <c r="AA113" s="49" t="e">
        <f ca="1">IF(controls!$B$33=1,(B114-B113*V114-I114+D113*W114+'main page'!$K$27*('main page'!$K$24+'main page'!$K$11))/'main page'!$K$31,(B114-B113*V114+D113*W114-H114+'main page'!$K$27*('main page'!$K$24+'main page'!$K$11))/'main page'!$K$31)</f>
        <v>#DIV/0!</v>
      </c>
      <c r="AB113" s="49" t="e">
        <f ca="1">IF(controls!$B$45=1,LOG(AF113,1.01)+LOG(AE113,1.01)-LOG(AD113,1.01),-((M113-('main page'!$K$24+'main page'!$K$11))/(1-'normal case'!$AO$3))+'normal case'!AA113)</f>
        <v>#DIV/0!</v>
      </c>
      <c r="AC113" s="176" t="e">
        <f t="shared" ca="1" si="9"/>
        <v>#DIV/0!</v>
      </c>
      <c r="AD113" s="49">
        <f t="shared" ca="1" si="10"/>
        <v>8.8311831929862912</v>
      </c>
      <c r="AE113" s="49">
        <f>AE112*(1+'main page'!$K$32/100)</f>
        <v>1</v>
      </c>
      <c r="AF113" s="49" t="e">
        <f ca="1">IF(ABS(IF(controls!$B$45=1,$AL$13,AD113*AC113/AE113)-AF112)&lt;0.00001,AF112,IF(controls!$B$45=1,$AL$13,AD113*AC113/AE113))</f>
        <v>#DIV/0!</v>
      </c>
      <c r="AG113" s="49">
        <f>IF(controls!$B$46=0,0,IF(controls!$B$33=2,B114-B113*V114-('normal case'!H114-D113*W114-'main page'!$K$27*'normal case'!M113+'main page'!$K$31*'normal case'!AB113)-(('main page'!$K$25*'main page'!$U$13*'main page'!$K$29)/(1+('main page'!$K$25^2)*'main page'!$U$13))*('normal case'!L113-'main page'!$U$8),B114-B113*V114-('normal case'!I114-D113*W114-'main page'!$K$27*'normal case'!M113+'main page'!$K$31*'normal case'!AB113)-(('main page'!$K$25*'main page'!$U$13*'main page'!$K$29)/(1+('main page'!$K$25^2)*'main page'!$U$13))*('normal case'!L113-'main page'!$U$8)))</f>
        <v>0</v>
      </c>
      <c r="AN113" s="40"/>
      <c r="AO113" s="40"/>
    </row>
    <row r="114" spans="1:41">
      <c r="A114" s="48">
        <v>112</v>
      </c>
      <c r="B114" s="75">
        <f ca="1">IF(controls!$B$33=1,B113*(1+V114)+T114,B113*(1+V114))</f>
        <v>100</v>
      </c>
      <c r="C114" s="80">
        <f t="shared" ca="1" si="11"/>
        <v>0</v>
      </c>
      <c r="D114" s="77">
        <f t="shared" ca="1" si="7"/>
        <v>100</v>
      </c>
      <c r="E114" s="77">
        <f ca="1">AG113+IF(controls!$B$33=1,G114,F114)</f>
        <v>100</v>
      </c>
      <c r="F114" s="94">
        <f ca="1">IF(controls!$B$44=0,H114-'main page'!$K$27*M113,H114-'main page'!$K$27*M113+'main page'!$K$31*AB113)</f>
        <v>100</v>
      </c>
      <c r="G114" s="75">
        <f ca="1">IF(controls!$B$44=0,I114-'main page'!$K$27*M113,I114-'main page'!$K$27*M113+'main page'!$K$31*'normal case'!AB113)</f>
        <v>100</v>
      </c>
      <c r="H114" s="75">
        <f t="shared" ca="1" si="12"/>
        <v>108</v>
      </c>
      <c r="I114" s="75">
        <f t="shared" ca="1" si="13"/>
        <v>108</v>
      </c>
      <c r="L114" s="75">
        <f ca="1">IF(ABS('main page'!$K$29*L113+(1-'main page'!$K$29)*(controls!$B$9/100)*100+'main page'!$K$25*(D114-B114)-L113)&lt;0.0000001,L113,'main page'!$K$29*L113+(1-'main page'!$K$29)*(controls!$B$9/100)*100+'main page'!$K$25*(D114-B114))</f>
        <v>2</v>
      </c>
      <c r="M114" s="96">
        <f ca="1">IF(controls!$B$10=1,M113,IF(SUM(controls!$B$44:$B$46)=2,N114-'main page'!$K$29*'normal case'!L114-(1-'main page'!$K$29)*'main page'!$K$32,N114-'main page'!$K$29*'normal case'!L114-(1-'main page'!$K$29)*controls!$B$9))</f>
        <v>4</v>
      </c>
      <c r="N114" s="208">
        <f ca="1">IF(controls!$B$45=1,IF(controls!$B$46=1,'main page'!$K$24+'main page'!$K$11+'main page'!$U$8,'main page'!$K$24+'main page'!$K$11+'main page'!$K$32),IF(controls!$B$44=1,IF(O114&lt;0,0,O114),IF(O114+'main page'!$K$11&lt;0,0,O114+'main page'!$K$11)))</f>
        <v>6</v>
      </c>
      <c r="O114" s="76">
        <f ca="1">IF(controls!$B$10=1,'normal case'!M114+'normal case'!L114,'normal case'!P114)</f>
        <v>6</v>
      </c>
      <c r="P114" s="74">
        <f t="shared" ca="1" si="8"/>
        <v>6</v>
      </c>
      <c r="Q114" s="210">
        <f ca="1">IF(controls!$B$44=0,R114+'main page'!$K$29*L114+(1-'main page'!$K$29)*controls!$B$9+(('main page'!$K$25*'main page'!$U$13*'main page'!$K$29)/('main page'!$K$27*(1+('main page'!$K$25^2)*'main page'!$U$13)))*(L114-controls!$B$9),R114+'main page'!$K$29*L114+(1-'main page'!$K$29)*controls!$B$9+(('main page'!$K$25*'main page'!$U$13*'normal case'!$AO$3)/'normal case'!$AO$4)*('normal case'!L114-controls!$B$9))</f>
        <v>6</v>
      </c>
      <c r="R114" s="98">
        <f ca="1">IF(controls!$B$44=1,'main page'!$K$24+'main page'!$K$11,IF(controls!$B$33=1,((I115-D114*W115-B115+B114*V115)/'main page'!$K$27)-'main page'!$K$11,((H115-D114*W115-B115+B114*V115)/'main page'!$K$27)-'main page'!$K$11))</f>
        <v>4</v>
      </c>
      <c r="T114" s="71">
        <f>IF(controls!$B$6=1,$AL$3*(1+('main page'!$K$35/100))^U114-$AL$3*(1+('main page'!$K$35/100))^U113,$AL$3*(1+('main page'!$G$8/100))*(1+('main page'!$K$35/100))^U114-$AL$3*(1+('main page'!$G$8/100))*(1+('main page'!$K$35/100))^U113)</f>
        <v>0</v>
      </c>
      <c r="U114" s="73">
        <v>107</v>
      </c>
      <c r="V114" s="161">
        <v>0</v>
      </c>
      <c r="W114" s="40">
        <v>0</v>
      </c>
      <c r="X114" s="49">
        <f ca="1">IF(controls!$B$33=1,D114-($I$3-'main page'!$K$27*2)*(1+('main page'!$K$35/100))^A113,D114-$AL$4)</f>
        <v>0</v>
      </c>
      <c r="Y114" s="49">
        <f ca="1">ABS(L114-(controls!$B$9/100)*100)</f>
        <v>0</v>
      </c>
      <c r="AA114" s="49" t="e">
        <f ca="1">IF(controls!$B$33=1,(B115-B114*V115-I115+D114*W115+'main page'!$K$27*('main page'!$K$24+'main page'!$K$11))/'main page'!$K$31,(B115-B114*V115+D114*W115-H115+'main page'!$K$27*('main page'!$K$24+'main page'!$K$11))/'main page'!$K$31)</f>
        <v>#DIV/0!</v>
      </c>
      <c r="AB114" s="49" t="e">
        <f ca="1">IF(controls!$B$45=1,LOG(AF114,1.01)+LOG(AE114,1.01)-LOG(AD114,1.01),-((M114-('main page'!$K$24+'main page'!$K$11))/(1-'normal case'!$AO$3))+'normal case'!AA114)</f>
        <v>#DIV/0!</v>
      </c>
      <c r="AC114" s="176" t="e">
        <f t="shared" ca="1" si="9"/>
        <v>#DIV/0!</v>
      </c>
      <c r="AD114" s="49">
        <f t="shared" ca="1" si="10"/>
        <v>9.0078068568460168</v>
      </c>
      <c r="AE114" s="49">
        <f>AE113*(1+'main page'!$K$32/100)</f>
        <v>1</v>
      </c>
      <c r="AF114" s="49" t="e">
        <f ca="1">IF(ABS(IF(controls!$B$45=1,$AL$13,AD114*AC114/AE114)-AF113)&lt;0.00001,AF113,IF(controls!$B$45=1,$AL$13,AD114*AC114/AE114))</f>
        <v>#DIV/0!</v>
      </c>
      <c r="AG114" s="49">
        <f>IF(controls!$B$46=0,0,IF(controls!$B$33=2,B115-B114*V115-('normal case'!H115-D114*W115-'main page'!$K$27*'normal case'!M114+'main page'!$K$31*'normal case'!AB114)-(('main page'!$K$25*'main page'!$U$13*'main page'!$K$29)/(1+('main page'!$K$25^2)*'main page'!$U$13))*('normal case'!L114-'main page'!$U$8),B115-B114*V115-('normal case'!I115-D114*W115-'main page'!$K$27*'normal case'!M114+'main page'!$K$31*'normal case'!AB114)-(('main page'!$K$25*'main page'!$U$13*'main page'!$K$29)/(1+('main page'!$K$25^2)*'main page'!$U$13))*('normal case'!L114-'main page'!$U$8)))</f>
        <v>0</v>
      </c>
      <c r="AN114" s="40"/>
      <c r="AO114" s="40"/>
    </row>
    <row r="115" spans="1:41">
      <c r="A115" s="48">
        <v>113</v>
      </c>
      <c r="B115" s="75">
        <f ca="1">IF(controls!$B$33=1,B114*(1+V115)+T115,B114*(1+V115))</f>
        <v>100</v>
      </c>
      <c r="C115" s="80">
        <f t="shared" ca="1" si="11"/>
        <v>0</v>
      </c>
      <c r="D115" s="77">
        <f t="shared" ca="1" si="7"/>
        <v>100</v>
      </c>
      <c r="E115" s="77">
        <f ca="1">AG114+IF(controls!$B$33=1,G115,F115)</f>
        <v>100</v>
      </c>
      <c r="F115" s="94">
        <f ca="1">IF(controls!$B$44=0,H115-'main page'!$K$27*M114,H115-'main page'!$K$27*M114+'main page'!$K$31*AB114)</f>
        <v>100</v>
      </c>
      <c r="G115" s="75">
        <f ca="1">IF(controls!$B$44=0,I115-'main page'!$K$27*M114,I115-'main page'!$K$27*M114+'main page'!$K$31*'normal case'!AB114)</f>
        <v>100</v>
      </c>
      <c r="H115" s="75">
        <f t="shared" ca="1" si="12"/>
        <v>108</v>
      </c>
      <c r="I115" s="75">
        <f t="shared" ca="1" si="13"/>
        <v>108</v>
      </c>
      <c r="L115" s="75">
        <f ca="1">IF(ABS('main page'!$K$29*L114+(1-'main page'!$K$29)*(controls!$B$9/100)*100+'main page'!$K$25*(D115-B115)-L114)&lt;0.0000001,L114,'main page'!$K$29*L114+(1-'main page'!$K$29)*(controls!$B$9/100)*100+'main page'!$K$25*(D115-B115))</f>
        <v>2</v>
      </c>
      <c r="M115" s="96">
        <f ca="1">IF(controls!$B$10=1,M114,IF(SUM(controls!$B$44:$B$46)=2,N115-'main page'!$K$29*'normal case'!L115-(1-'main page'!$K$29)*'main page'!$K$32,N115-'main page'!$K$29*'normal case'!L115-(1-'main page'!$K$29)*controls!$B$9))</f>
        <v>4</v>
      </c>
      <c r="N115" s="208">
        <f ca="1">IF(controls!$B$45=1,IF(controls!$B$46=1,'main page'!$K$24+'main page'!$K$11+'main page'!$U$8,'main page'!$K$24+'main page'!$K$11+'main page'!$K$32),IF(controls!$B$44=1,IF(O115&lt;0,0,O115),IF(O115+'main page'!$K$11&lt;0,0,O115+'main page'!$K$11)))</f>
        <v>6</v>
      </c>
      <c r="O115" s="76">
        <f ca="1">IF(controls!$B$10=1,'normal case'!M115+'normal case'!L115,'normal case'!P115)</f>
        <v>6</v>
      </c>
      <c r="P115" s="74">
        <f t="shared" ca="1" si="8"/>
        <v>6</v>
      </c>
      <c r="Q115" s="210">
        <f ca="1">IF(controls!$B$44=0,R115+'main page'!$K$29*L115+(1-'main page'!$K$29)*controls!$B$9+(('main page'!$K$25*'main page'!$U$13*'main page'!$K$29)/('main page'!$K$27*(1+('main page'!$K$25^2)*'main page'!$U$13)))*(L115-controls!$B$9),R115+'main page'!$K$29*L115+(1-'main page'!$K$29)*controls!$B$9+(('main page'!$K$25*'main page'!$U$13*'normal case'!$AO$3)/'normal case'!$AO$4)*('normal case'!L115-controls!$B$9))</f>
        <v>6</v>
      </c>
      <c r="R115" s="98">
        <f ca="1">IF(controls!$B$44=1,'main page'!$K$24+'main page'!$K$11,IF(controls!$B$33=1,((I116-D115*W116-B116+B115*V116)/'main page'!$K$27)-'main page'!$K$11,((H116-D115*W116-B116+B115*V116)/'main page'!$K$27)-'main page'!$K$11))</f>
        <v>4</v>
      </c>
      <c r="T115" s="71">
        <f>IF(controls!$B$6=1,$AL$3*(1+('main page'!$K$35/100))^U115-$AL$3*(1+('main page'!$K$35/100))^U114,$AL$3*(1+('main page'!$G$8/100))*(1+('main page'!$K$35/100))^U115-$AL$3*(1+('main page'!$G$8/100))*(1+('main page'!$K$35/100))^U114)</f>
        <v>0</v>
      </c>
      <c r="U115" s="73">
        <v>108</v>
      </c>
      <c r="V115" s="161">
        <v>0</v>
      </c>
      <c r="W115" s="40">
        <v>0</v>
      </c>
      <c r="X115" s="49">
        <f ca="1">IF(controls!$B$33=1,D115-($I$3-'main page'!$K$27*2)*(1+('main page'!$K$35/100))^A114,D115-$AL$4)</f>
        <v>0</v>
      </c>
      <c r="Y115" s="49">
        <f ca="1">ABS(L115-(controls!$B$9/100)*100)</f>
        <v>0</v>
      </c>
      <c r="AA115" s="49" t="e">
        <f ca="1">IF(controls!$B$33=1,(B116-B115*V116-I116+D115*W116+'main page'!$K$27*('main page'!$K$24+'main page'!$K$11))/'main page'!$K$31,(B116-B115*V116+D115*W116-H116+'main page'!$K$27*('main page'!$K$24+'main page'!$K$11))/'main page'!$K$31)</f>
        <v>#DIV/0!</v>
      </c>
      <c r="AB115" s="49" t="e">
        <f ca="1">IF(controls!$B$45=1,LOG(AF115,1.01)+LOG(AE115,1.01)-LOG(AD115,1.01),-((M115-('main page'!$K$24+'main page'!$K$11))/(1-'normal case'!$AO$3))+'normal case'!AA115)</f>
        <v>#DIV/0!</v>
      </c>
      <c r="AC115" s="176" t="e">
        <f t="shared" ca="1" si="9"/>
        <v>#DIV/0!</v>
      </c>
      <c r="AD115" s="49">
        <f t="shared" ca="1" si="10"/>
        <v>9.1879629939829375</v>
      </c>
      <c r="AE115" s="49">
        <f>AE114*(1+'main page'!$K$32/100)</f>
        <v>1</v>
      </c>
      <c r="AF115" s="49" t="e">
        <f ca="1">IF(ABS(IF(controls!$B$45=1,$AL$13,AD115*AC115/AE115)-AF114)&lt;0.00001,AF114,IF(controls!$B$45=1,$AL$13,AD115*AC115/AE115))</f>
        <v>#DIV/0!</v>
      </c>
      <c r="AG115" s="49">
        <f>IF(controls!$B$46=0,0,IF(controls!$B$33=2,B116-B115*V116-('normal case'!H116-D115*W116-'main page'!$K$27*'normal case'!M115+'main page'!$K$31*'normal case'!AB115)-(('main page'!$K$25*'main page'!$U$13*'main page'!$K$29)/(1+('main page'!$K$25^2)*'main page'!$U$13))*('normal case'!L115-'main page'!$U$8),B116-B115*V116-('normal case'!I116-D115*W116-'main page'!$K$27*'normal case'!M115+'main page'!$K$31*'normal case'!AB115)-(('main page'!$K$25*'main page'!$U$13*'main page'!$K$29)/(1+('main page'!$K$25^2)*'main page'!$U$13))*('normal case'!L115-'main page'!$U$8)))</f>
        <v>0</v>
      </c>
      <c r="AN115" s="40"/>
      <c r="AO115" s="40"/>
    </row>
    <row r="116" spans="1:41">
      <c r="A116" s="48">
        <v>114</v>
      </c>
      <c r="B116" s="75">
        <f ca="1">IF(controls!$B$33=1,B115*(1+V116)+T116,B115*(1+V116))</f>
        <v>100</v>
      </c>
      <c r="C116" s="80">
        <f t="shared" ca="1" si="11"/>
        <v>0</v>
      </c>
      <c r="D116" s="77">
        <f t="shared" ca="1" si="7"/>
        <v>100</v>
      </c>
      <c r="E116" s="77">
        <f ca="1">AG115+IF(controls!$B$33=1,G116,F116)</f>
        <v>100</v>
      </c>
      <c r="F116" s="94">
        <f ca="1">IF(controls!$B$44=0,H116-'main page'!$K$27*M115,H116-'main page'!$K$27*M115+'main page'!$K$31*AB115)</f>
        <v>100</v>
      </c>
      <c r="G116" s="75">
        <f ca="1">IF(controls!$B$44=0,I116-'main page'!$K$27*M115,I116-'main page'!$K$27*M115+'main page'!$K$31*'normal case'!AB115)</f>
        <v>100</v>
      </c>
      <c r="H116" s="75">
        <f t="shared" ca="1" si="12"/>
        <v>108</v>
      </c>
      <c r="I116" s="75">
        <f t="shared" ca="1" si="13"/>
        <v>108</v>
      </c>
      <c r="L116" s="75">
        <f ca="1">IF(ABS('main page'!$K$29*L115+(1-'main page'!$K$29)*(controls!$B$9/100)*100+'main page'!$K$25*(D116-B116)-L115)&lt;0.0000001,L115,'main page'!$K$29*L115+(1-'main page'!$K$29)*(controls!$B$9/100)*100+'main page'!$K$25*(D116-B116))</f>
        <v>2</v>
      </c>
      <c r="M116" s="96">
        <f ca="1">IF(controls!$B$10=1,M115,IF(SUM(controls!$B$44:$B$46)=2,N116-'main page'!$K$29*'normal case'!L116-(1-'main page'!$K$29)*'main page'!$K$32,N116-'main page'!$K$29*'normal case'!L116-(1-'main page'!$K$29)*controls!$B$9))</f>
        <v>4</v>
      </c>
      <c r="N116" s="208">
        <f ca="1">IF(controls!$B$45=1,IF(controls!$B$46=1,'main page'!$K$24+'main page'!$K$11+'main page'!$U$8,'main page'!$K$24+'main page'!$K$11+'main page'!$K$32),IF(controls!$B$44=1,IF(O116&lt;0,0,O116),IF(O116+'main page'!$K$11&lt;0,0,O116+'main page'!$K$11)))</f>
        <v>6</v>
      </c>
      <c r="O116" s="76">
        <f ca="1">IF(controls!$B$10=1,'normal case'!M116+'normal case'!L116,'normal case'!P116)</f>
        <v>6</v>
      </c>
      <c r="P116" s="74">
        <f t="shared" ca="1" si="8"/>
        <v>6</v>
      </c>
      <c r="Q116" s="210">
        <f ca="1">IF(controls!$B$44=0,R116+'main page'!$K$29*L116+(1-'main page'!$K$29)*controls!$B$9+(('main page'!$K$25*'main page'!$U$13*'main page'!$K$29)/('main page'!$K$27*(1+('main page'!$K$25^2)*'main page'!$U$13)))*(L116-controls!$B$9),R116+'main page'!$K$29*L116+(1-'main page'!$K$29)*controls!$B$9+(('main page'!$K$25*'main page'!$U$13*'normal case'!$AO$3)/'normal case'!$AO$4)*('normal case'!L116-controls!$B$9))</f>
        <v>6</v>
      </c>
      <c r="R116" s="98">
        <f ca="1">IF(controls!$B$44=1,'main page'!$K$24+'main page'!$K$11,IF(controls!$B$33=1,((I117-D116*W117-B117+B116*V117)/'main page'!$K$27)-'main page'!$K$11,((H117-D116*W117-B117+B116*V117)/'main page'!$K$27)-'main page'!$K$11))</f>
        <v>4</v>
      </c>
      <c r="T116" s="71">
        <f>IF(controls!$B$6=1,$AL$3*(1+('main page'!$K$35/100))^U116-$AL$3*(1+('main page'!$K$35/100))^U115,$AL$3*(1+('main page'!$G$8/100))*(1+('main page'!$K$35/100))^U116-$AL$3*(1+('main page'!$G$8/100))*(1+('main page'!$K$35/100))^U115)</f>
        <v>0</v>
      </c>
      <c r="U116" s="73">
        <v>109</v>
      </c>
      <c r="V116" s="161">
        <f ca="1">IF(controls!$B$4=1,IF(controls!$H115=1,controls!$B$34*V115+RAND()*('main page'!$K$16/100)-RAND()*('main page'!$K$16/100),0),0)</f>
        <v>0</v>
      </c>
      <c r="W116" s="40">
        <f ca="1">IF(controls!$B$4=1,IF(controls!$I115=1,controls!$B$34*W115+RAND()*('main page'!$K$16/100)-RAND()*('main page'!$K$16/100),0),0)</f>
        <v>0</v>
      </c>
      <c r="X116" s="49">
        <f ca="1">IF(controls!$B$33=1,D116-($I$3-'main page'!$K$27*2)*(1+('main page'!$K$35/100))^A115,D116-$AL$4)</f>
        <v>0</v>
      </c>
      <c r="Y116" s="49">
        <f ca="1">ABS(L116-(controls!$B$9/100)*100)</f>
        <v>0</v>
      </c>
      <c r="AA116" s="49" t="e">
        <f ca="1">IF(controls!$B$33=1,(B117-B116*V117-I117+D116*W117+'main page'!$K$27*('main page'!$K$24+'main page'!$K$11))/'main page'!$K$31,(B117-B116*V117+D116*W117-H117+'main page'!$K$27*('main page'!$K$24+'main page'!$K$11))/'main page'!$K$31)</f>
        <v>#DIV/0!</v>
      </c>
      <c r="AB116" s="49" t="e">
        <f ca="1">IF(controls!$B$45=1,LOG(AF116,1.01)+LOG(AE116,1.01)-LOG(AD116,1.01),-((M116-('main page'!$K$24+'main page'!$K$11))/(1-'normal case'!$AO$3))+'normal case'!AA116)</f>
        <v>#DIV/0!</v>
      </c>
      <c r="AC116" s="176" t="e">
        <f t="shared" ca="1" si="9"/>
        <v>#DIV/0!</v>
      </c>
      <c r="AD116" s="49">
        <f t="shared" ca="1" si="10"/>
        <v>9.3717222538625968</v>
      </c>
      <c r="AE116" s="49">
        <f>AE115*(1+'main page'!$K$32/100)</f>
        <v>1</v>
      </c>
      <c r="AF116" s="49" t="e">
        <f ca="1">IF(ABS(IF(controls!$B$45=1,$AL$13,AD116*AC116/AE116)-AF115)&lt;0.00001,AF115,IF(controls!$B$45=1,$AL$13,AD116*AC116/AE116))</f>
        <v>#DIV/0!</v>
      </c>
      <c r="AG116" s="49">
        <f>IF(controls!$B$46=0,0,IF(controls!$B$33=2,B117-B116*V117-('normal case'!H117-D116*W117-'main page'!$K$27*'normal case'!M116+'main page'!$K$31*'normal case'!AB116)-(('main page'!$K$25*'main page'!$U$13*'main page'!$K$29)/(1+('main page'!$K$25^2)*'main page'!$U$13))*('normal case'!L116-'main page'!$U$8),B117-B116*V117-('normal case'!I117-D116*W117-'main page'!$K$27*'normal case'!M116+'main page'!$K$31*'normal case'!AB116)-(('main page'!$K$25*'main page'!$U$13*'main page'!$K$29)/(1+('main page'!$K$25^2)*'main page'!$U$13))*('normal case'!L116-'main page'!$U$8)))</f>
        <v>0</v>
      </c>
      <c r="AN116" s="40"/>
      <c r="AO116" s="40"/>
    </row>
    <row r="117" spans="1:41">
      <c r="A117" s="48">
        <v>115</v>
      </c>
      <c r="B117" s="75">
        <f ca="1">IF(controls!$B$33=1,B116*(1+V117)+T117,B116*(1+V117))</f>
        <v>100</v>
      </c>
      <c r="C117" s="80">
        <f t="shared" ca="1" si="11"/>
        <v>0</v>
      </c>
      <c r="D117" s="77">
        <f t="shared" ca="1" si="7"/>
        <v>100</v>
      </c>
      <c r="E117" s="77">
        <f ca="1">AG116+IF(controls!$B$33=1,G117,F117)</f>
        <v>100</v>
      </c>
      <c r="F117" s="94">
        <f ca="1">IF(controls!$B$44=0,H117-'main page'!$K$27*M116,H117-'main page'!$K$27*M116+'main page'!$K$31*AB116)</f>
        <v>100</v>
      </c>
      <c r="G117" s="75">
        <f ca="1">IF(controls!$B$44=0,I117-'main page'!$K$27*M116,I117-'main page'!$K$27*M116+'main page'!$K$31*'normal case'!AB116)</f>
        <v>100</v>
      </c>
      <c r="H117" s="75">
        <f t="shared" ca="1" si="12"/>
        <v>108</v>
      </c>
      <c r="I117" s="75">
        <f t="shared" ca="1" si="13"/>
        <v>108</v>
      </c>
      <c r="L117" s="75">
        <f ca="1">IF(ABS('main page'!$K$29*L116+(1-'main page'!$K$29)*(controls!$B$9/100)*100+'main page'!$K$25*(D117-B117)-L116)&lt;0.0000001,L116,'main page'!$K$29*L116+(1-'main page'!$K$29)*(controls!$B$9/100)*100+'main page'!$K$25*(D117-B117))</f>
        <v>2</v>
      </c>
      <c r="M117" s="96">
        <f ca="1">IF(controls!$B$10=1,M116,IF(SUM(controls!$B$44:$B$46)=2,N117-'main page'!$K$29*'normal case'!L117-(1-'main page'!$K$29)*'main page'!$K$32,N117-'main page'!$K$29*'normal case'!L117-(1-'main page'!$K$29)*controls!$B$9))</f>
        <v>4</v>
      </c>
      <c r="N117" s="208">
        <f ca="1">IF(controls!$B$45=1,IF(controls!$B$46=1,'main page'!$K$24+'main page'!$K$11+'main page'!$U$8,'main page'!$K$24+'main page'!$K$11+'main page'!$K$32),IF(controls!$B$44=1,IF(O117&lt;0,0,O117),IF(O117+'main page'!$K$11&lt;0,0,O117+'main page'!$K$11)))</f>
        <v>6</v>
      </c>
      <c r="O117" s="76">
        <f ca="1">IF(controls!$B$10=1,'normal case'!M117+'normal case'!L117,'normal case'!P117)</f>
        <v>6</v>
      </c>
      <c r="P117" s="74">
        <f t="shared" ca="1" si="8"/>
        <v>6</v>
      </c>
      <c r="Q117" s="210">
        <f ca="1">IF(controls!$B$44=0,R117+'main page'!$K$29*L117+(1-'main page'!$K$29)*controls!$B$9+(('main page'!$K$25*'main page'!$U$13*'main page'!$K$29)/('main page'!$K$27*(1+('main page'!$K$25^2)*'main page'!$U$13)))*(L117-controls!$B$9),R117+'main page'!$K$29*L117+(1-'main page'!$K$29)*controls!$B$9+(('main page'!$K$25*'main page'!$U$13*'normal case'!$AO$3)/'normal case'!$AO$4)*('normal case'!L117-controls!$B$9))</f>
        <v>6</v>
      </c>
      <c r="R117" s="98">
        <f ca="1">IF(controls!$B$44=1,'main page'!$K$24+'main page'!$K$11,IF(controls!$B$33=1,((I118-D117*W118-B118+B117*V118)/'main page'!$K$27)-'main page'!$K$11,((H118-D117*W118-B118+B117*V118)/'main page'!$K$27)-'main page'!$K$11))</f>
        <v>4</v>
      </c>
      <c r="T117" s="71">
        <f>IF(controls!$B$6=1,$AL$3*(1+('main page'!$K$35/100))^U117-$AL$3*(1+('main page'!$K$35/100))^U116,$AL$3*(1+('main page'!$G$8/100))*(1+('main page'!$K$35/100))^U117-$AL$3*(1+('main page'!$G$8/100))*(1+('main page'!$K$35/100))^U116)</f>
        <v>0</v>
      </c>
      <c r="U117" s="73">
        <v>110</v>
      </c>
      <c r="V117" s="161">
        <v>0</v>
      </c>
      <c r="W117" s="40">
        <v>0</v>
      </c>
      <c r="X117" s="49">
        <f ca="1">IF(controls!$B$33=1,D117-($I$3-'main page'!$K$27*2)*(1+('main page'!$K$35/100))^A116,D117-$AL$4)</f>
        <v>0</v>
      </c>
      <c r="Y117" s="49">
        <f ca="1">ABS(L117-(controls!$B$9/100)*100)</f>
        <v>0</v>
      </c>
      <c r="AA117" s="49" t="e">
        <f ca="1">IF(controls!$B$33=1,(B118-B117*V118-I118+D117*W118+'main page'!$K$27*('main page'!$K$24+'main page'!$K$11))/'main page'!$K$31,(B118-B117*V118+D117*W118-H118+'main page'!$K$27*('main page'!$K$24+'main page'!$K$11))/'main page'!$K$31)</f>
        <v>#DIV/0!</v>
      </c>
      <c r="AB117" s="49" t="e">
        <f ca="1">IF(controls!$B$45=1,LOG(AF117,1.01)+LOG(AE117,1.01)-LOG(AD117,1.01),-((M117-('main page'!$K$24+'main page'!$K$11))/(1-'normal case'!$AO$3))+'normal case'!AA117)</f>
        <v>#DIV/0!</v>
      </c>
      <c r="AC117" s="176" t="e">
        <f t="shared" ca="1" si="9"/>
        <v>#DIV/0!</v>
      </c>
      <c r="AD117" s="49">
        <f t="shared" ca="1" si="10"/>
        <v>9.5591566989398498</v>
      </c>
      <c r="AE117" s="49">
        <f>AE116*(1+'main page'!$K$32/100)</f>
        <v>1</v>
      </c>
      <c r="AF117" s="49" t="e">
        <f ca="1">IF(ABS(IF(controls!$B$45=1,$AL$13,AD117*AC117/AE117)-AF116)&lt;0.00001,AF116,IF(controls!$B$45=1,$AL$13,AD117*AC117/AE117))</f>
        <v>#DIV/0!</v>
      </c>
      <c r="AG117" s="49">
        <f>IF(controls!$B$46=0,0,IF(controls!$B$33=2,B118-B117*V118-('normal case'!H118-D117*W118-'main page'!$K$27*'normal case'!M117+'main page'!$K$31*'normal case'!AB117)-(('main page'!$K$25*'main page'!$U$13*'main page'!$K$29)/(1+('main page'!$K$25^2)*'main page'!$U$13))*('normal case'!L117-'main page'!$U$8),B118-B117*V118-('normal case'!I118-D117*W118-'main page'!$K$27*'normal case'!M117+'main page'!$K$31*'normal case'!AB117)-(('main page'!$K$25*'main page'!$U$13*'main page'!$K$29)/(1+('main page'!$K$25^2)*'main page'!$U$13))*('normal case'!L117-'main page'!$U$8)))</f>
        <v>0</v>
      </c>
      <c r="AN117" s="40"/>
      <c r="AO117" s="40"/>
    </row>
    <row r="118" spans="1:41">
      <c r="A118" s="48">
        <v>116</v>
      </c>
      <c r="B118" s="75">
        <f ca="1">IF(controls!$B$33=1,B117*(1+V118)+T118,B117*(1+V118))</f>
        <v>100</v>
      </c>
      <c r="C118" s="80">
        <f t="shared" ca="1" si="11"/>
        <v>0</v>
      </c>
      <c r="D118" s="77">
        <f t="shared" ca="1" si="7"/>
        <v>100</v>
      </c>
      <c r="E118" s="77">
        <f ca="1">AG117+IF(controls!$B$33=1,G118,F118)</f>
        <v>100</v>
      </c>
      <c r="F118" s="94">
        <f ca="1">IF(controls!$B$44=0,H118-'main page'!$K$27*M117,H118-'main page'!$K$27*M117+'main page'!$K$31*AB117)</f>
        <v>100</v>
      </c>
      <c r="G118" s="75">
        <f ca="1">IF(controls!$B$44=0,I118-'main page'!$K$27*M117,I118-'main page'!$K$27*M117+'main page'!$K$31*'normal case'!AB117)</f>
        <v>100</v>
      </c>
      <c r="H118" s="75">
        <f t="shared" ca="1" si="12"/>
        <v>108</v>
      </c>
      <c r="I118" s="75">
        <f t="shared" ca="1" si="13"/>
        <v>108</v>
      </c>
      <c r="L118" s="75">
        <f ca="1">IF(ABS('main page'!$K$29*L117+(1-'main page'!$K$29)*(controls!$B$9/100)*100+'main page'!$K$25*(D118-B118)-L117)&lt;0.0000001,L117,'main page'!$K$29*L117+(1-'main page'!$K$29)*(controls!$B$9/100)*100+'main page'!$K$25*(D118-B118))</f>
        <v>2</v>
      </c>
      <c r="M118" s="96">
        <f ca="1">IF(controls!$B$10=1,M117,IF(SUM(controls!$B$44:$B$46)=2,N118-'main page'!$K$29*'normal case'!L118-(1-'main page'!$K$29)*'main page'!$K$32,N118-'main page'!$K$29*'normal case'!L118-(1-'main page'!$K$29)*controls!$B$9))</f>
        <v>4</v>
      </c>
      <c r="N118" s="208">
        <f ca="1">IF(controls!$B$45=1,IF(controls!$B$46=1,'main page'!$K$24+'main page'!$K$11+'main page'!$U$8,'main page'!$K$24+'main page'!$K$11+'main page'!$K$32),IF(controls!$B$44=1,IF(O118&lt;0,0,O118),IF(O118+'main page'!$K$11&lt;0,0,O118+'main page'!$K$11)))</f>
        <v>6</v>
      </c>
      <c r="O118" s="76">
        <f ca="1">IF(controls!$B$10=1,'normal case'!M118+'normal case'!L118,'normal case'!P118)</f>
        <v>6</v>
      </c>
      <c r="P118" s="74">
        <f t="shared" ca="1" si="8"/>
        <v>6</v>
      </c>
      <c r="Q118" s="210">
        <f ca="1">IF(controls!$B$44=0,R118+'main page'!$K$29*L118+(1-'main page'!$K$29)*controls!$B$9+(('main page'!$K$25*'main page'!$U$13*'main page'!$K$29)/('main page'!$K$27*(1+('main page'!$K$25^2)*'main page'!$U$13)))*(L118-controls!$B$9),R118+'main page'!$K$29*L118+(1-'main page'!$K$29)*controls!$B$9+(('main page'!$K$25*'main page'!$U$13*'normal case'!$AO$3)/'normal case'!$AO$4)*('normal case'!L118-controls!$B$9))</f>
        <v>6</v>
      </c>
      <c r="R118" s="98">
        <f ca="1">IF(controls!$B$44=1,'main page'!$K$24+'main page'!$K$11,IF(controls!$B$33=1,((I119-D118*W119-B119+B118*V119)/'main page'!$K$27)-'main page'!$K$11,((H119-D118*W119-B119+B118*V119)/'main page'!$K$27)-'main page'!$K$11))</f>
        <v>4</v>
      </c>
      <c r="T118" s="71">
        <f>IF(controls!$B$6=1,$AL$3*(1+('main page'!$K$35/100))^U118-$AL$3*(1+('main page'!$K$35/100))^U117,$AL$3*(1+('main page'!$G$8/100))*(1+('main page'!$K$35/100))^U118-$AL$3*(1+('main page'!$G$8/100))*(1+('main page'!$K$35/100))^U117)</f>
        <v>0</v>
      </c>
      <c r="U118" s="73">
        <v>111</v>
      </c>
      <c r="V118" s="161">
        <v>0</v>
      </c>
      <c r="W118" s="40">
        <v>0</v>
      </c>
      <c r="X118" s="49">
        <f ca="1">IF(controls!$B$33=1,D118-($I$3-'main page'!$K$27*2)*(1+('main page'!$K$35/100))^A117,D118-$AL$4)</f>
        <v>0</v>
      </c>
      <c r="Y118" s="49">
        <f ca="1">ABS(L118-(controls!$B$9/100)*100)</f>
        <v>0</v>
      </c>
      <c r="AA118" s="49" t="e">
        <f ca="1">IF(controls!$B$33=1,(B119-B118*V119-I119+D118*W119+'main page'!$K$27*('main page'!$K$24+'main page'!$K$11))/'main page'!$K$31,(B119-B118*V119+D118*W119-H119+'main page'!$K$27*('main page'!$K$24+'main page'!$K$11))/'main page'!$K$31)</f>
        <v>#DIV/0!</v>
      </c>
      <c r="AB118" s="49" t="e">
        <f ca="1">IF(controls!$B$45=1,LOG(AF118,1.01)+LOG(AE118,1.01)-LOG(AD118,1.01),-((M118-('main page'!$K$24+'main page'!$K$11))/(1-'normal case'!$AO$3))+'normal case'!AA118)</f>
        <v>#DIV/0!</v>
      </c>
      <c r="AC118" s="176" t="e">
        <f t="shared" ca="1" si="9"/>
        <v>#DIV/0!</v>
      </c>
      <c r="AD118" s="49">
        <f t="shared" ca="1" si="10"/>
        <v>9.7503398329186464</v>
      </c>
      <c r="AE118" s="49">
        <f>AE117*(1+'main page'!$K$32/100)</f>
        <v>1</v>
      </c>
      <c r="AF118" s="49" t="e">
        <f ca="1">IF(ABS(IF(controls!$B$45=1,$AL$13,AD118*AC118/AE118)-AF117)&lt;0.00001,AF117,IF(controls!$B$45=1,$AL$13,AD118*AC118/AE118))</f>
        <v>#DIV/0!</v>
      </c>
      <c r="AG118" s="49">
        <f>IF(controls!$B$46=0,0,IF(controls!$B$33=2,B119-B118*V119-('normal case'!H119-D118*W119-'main page'!$K$27*'normal case'!M118+'main page'!$K$31*'normal case'!AB118)-(('main page'!$K$25*'main page'!$U$13*'main page'!$K$29)/(1+('main page'!$K$25^2)*'main page'!$U$13))*('normal case'!L118-'main page'!$U$8),B119-B118*V119-('normal case'!I119-D118*W119-'main page'!$K$27*'normal case'!M118+'main page'!$K$31*'normal case'!AB118)-(('main page'!$K$25*'main page'!$U$13*'main page'!$K$29)/(1+('main page'!$K$25^2)*'main page'!$U$13))*('normal case'!L118-'main page'!$U$8)))</f>
        <v>0</v>
      </c>
      <c r="AN118" s="40"/>
      <c r="AO118" s="40"/>
    </row>
    <row r="119" spans="1:41">
      <c r="A119" s="48">
        <v>117</v>
      </c>
      <c r="B119" s="75">
        <f ca="1">IF(controls!$B$33=1,B118*(1+V119)+T119,B118*(1+V119))</f>
        <v>100</v>
      </c>
      <c r="C119" s="80">
        <f t="shared" ca="1" si="11"/>
        <v>0</v>
      </c>
      <c r="D119" s="77">
        <f t="shared" ca="1" si="7"/>
        <v>100</v>
      </c>
      <c r="E119" s="77">
        <f ca="1">AG118+IF(controls!$B$33=1,G119,F119)</f>
        <v>100</v>
      </c>
      <c r="F119" s="94">
        <f ca="1">IF(controls!$B$44=0,H119-'main page'!$K$27*M118,H119-'main page'!$K$27*M118+'main page'!$K$31*AB118)</f>
        <v>100</v>
      </c>
      <c r="G119" s="75">
        <f ca="1">IF(controls!$B$44=0,I119-'main page'!$K$27*M118,I119-'main page'!$K$27*M118+'main page'!$K$31*'normal case'!AB118)</f>
        <v>100</v>
      </c>
      <c r="H119" s="75">
        <f t="shared" ca="1" si="12"/>
        <v>108</v>
      </c>
      <c r="I119" s="75">
        <f t="shared" ca="1" si="13"/>
        <v>108</v>
      </c>
      <c r="L119" s="75">
        <f ca="1">IF(ABS('main page'!$K$29*L118+(1-'main page'!$K$29)*(controls!$B$9/100)*100+'main page'!$K$25*(D119-B119)-L118)&lt;0.0000001,L118,'main page'!$K$29*L118+(1-'main page'!$K$29)*(controls!$B$9/100)*100+'main page'!$K$25*(D119-B119))</f>
        <v>2</v>
      </c>
      <c r="M119" s="96">
        <f ca="1">IF(controls!$B$10=1,M118,IF(SUM(controls!$B$44:$B$46)=2,N119-'main page'!$K$29*'normal case'!L119-(1-'main page'!$K$29)*'main page'!$K$32,N119-'main page'!$K$29*'normal case'!L119-(1-'main page'!$K$29)*controls!$B$9))</f>
        <v>4</v>
      </c>
      <c r="N119" s="208">
        <f ca="1">IF(controls!$B$45=1,IF(controls!$B$46=1,'main page'!$K$24+'main page'!$K$11+'main page'!$U$8,'main page'!$K$24+'main page'!$K$11+'main page'!$K$32),IF(controls!$B$44=1,IF(O119&lt;0,0,O119),IF(O119+'main page'!$K$11&lt;0,0,O119+'main page'!$K$11)))</f>
        <v>6</v>
      </c>
      <c r="O119" s="76">
        <f ca="1">IF(controls!$B$10=1,'normal case'!M119+'normal case'!L119,'normal case'!P119)</f>
        <v>6</v>
      </c>
      <c r="P119" s="74">
        <f t="shared" ca="1" si="8"/>
        <v>6</v>
      </c>
      <c r="Q119" s="210">
        <f ca="1">IF(controls!$B$44=0,R119+'main page'!$K$29*L119+(1-'main page'!$K$29)*controls!$B$9+(('main page'!$K$25*'main page'!$U$13*'main page'!$K$29)/('main page'!$K$27*(1+('main page'!$K$25^2)*'main page'!$U$13)))*(L119-controls!$B$9),R119+'main page'!$K$29*L119+(1-'main page'!$K$29)*controls!$B$9+(('main page'!$K$25*'main page'!$U$13*'normal case'!$AO$3)/'normal case'!$AO$4)*('normal case'!L119-controls!$B$9))</f>
        <v>6</v>
      </c>
      <c r="R119" s="98">
        <f ca="1">IF(controls!$B$44=1,'main page'!$K$24+'main page'!$K$11,IF(controls!$B$33=1,((I120-D119*W120-B120+B119*V120)/'main page'!$K$27)-'main page'!$K$11,((H120-D119*W120-B120+B119*V120)/'main page'!$K$27)-'main page'!$K$11))</f>
        <v>4</v>
      </c>
      <c r="T119" s="71">
        <f>IF(controls!$B$6=1,$AL$3*(1+('main page'!$K$35/100))^U119-$AL$3*(1+('main page'!$K$35/100))^U118,$AL$3*(1+('main page'!$G$8/100))*(1+('main page'!$K$35/100))^U119-$AL$3*(1+('main page'!$G$8/100))*(1+('main page'!$K$35/100))^U118)</f>
        <v>0</v>
      </c>
      <c r="U119" s="73">
        <v>112</v>
      </c>
      <c r="V119" s="161">
        <f ca="1">IF(controls!$B$4=1,IF(controls!$H118=1,controls!$B$34*V118+RAND()*('main page'!$K$16/100)-RAND()*('main page'!$K$16/100),0),0)</f>
        <v>0</v>
      </c>
      <c r="W119" s="40">
        <f ca="1">IF(controls!$B$4=1,IF(controls!$I118=1,controls!$B$34*W118+RAND()*('main page'!$K$16/100)-RAND()*('main page'!$K$16/100),0),0)</f>
        <v>0</v>
      </c>
      <c r="X119" s="49">
        <f ca="1">IF(controls!$B$33=1,D119-($I$3-'main page'!$K$27*2)*(1+('main page'!$K$35/100))^A118,D119-$AL$4)</f>
        <v>0</v>
      </c>
      <c r="Y119" s="49">
        <f ca="1">ABS(L119-(controls!$B$9/100)*100)</f>
        <v>0</v>
      </c>
      <c r="AA119" s="49" t="e">
        <f ca="1">IF(controls!$B$33=1,(B120-B119*V120-I120+D119*W120+'main page'!$K$27*('main page'!$K$24+'main page'!$K$11))/'main page'!$K$31,(B120-B119*V120+D119*W120-H120+'main page'!$K$27*('main page'!$K$24+'main page'!$K$11))/'main page'!$K$31)</f>
        <v>#DIV/0!</v>
      </c>
      <c r="AB119" s="49" t="e">
        <f ca="1">IF(controls!$B$45=1,LOG(AF119,1.01)+LOG(AE119,1.01)-LOG(AD119,1.01),-((M119-('main page'!$K$24+'main page'!$K$11))/(1-'normal case'!$AO$3))+'normal case'!AA119)</f>
        <v>#DIV/0!</v>
      </c>
      <c r="AC119" s="176" t="e">
        <f t="shared" ca="1" si="9"/>
        <v>#DIV/0!</v>
      </c>
      <c r="AD119" s="49">
        <f t="shared" ca="1" si="10"/>
        <v>9.9453466295770188</v>
      </c>
      <c r="AE119" s="49">
        <f>AE118*(1+'main page'!$K$32/100)</f>
        <v>1</v>
      </c>
      <c r="AF119" s="49" t="e">
        <f ca="1">IF(ABS(IF(controls!$B$45=1,$AL$13,AD119*AC119/AE119)-AF118)&lt;0.00001,AF118,IF(controls!$B$45=1,$AL$13,AD119*AC119/AE119))</f>
        <v>#DIV/0!</v>
      </c>
      <c r="AG119" s="49">
        <f>IF(controls!$B$46=0,0,IF(controls!$B$33=2,B120-B119*V120-('normal case'!H120-D119*W120-'main page'!$K$27*'normal case'!M119+'main page'!$K$31*'normal case'!AB119)-(('main page'!$K$25*'main page'!$U$13*'main page'!$K$29)/(1+('main page'!$K$25^2)*'main page'!$U$13))*('normal case'!L119-'main page'!$U$8),B120-B119*V120-('normal case'!I120-D119*W120-'main page'!$K$27*'normal case'!M119+'main page'!$K$31*'normal case'!AB119)-(('main page'!$K$25*'main page'!$U$13*'main page'!$K$29)/(1+('main page'!$K$25^2)*'main page'!$U$13))*('normal case'!L119-'main page'!$U$8)))</f>
        <v>0</v>
      </c>
      <c r="AN119" s="40"/>
      <c r="AO119" s="40"/>
    </row>
    <row r="120" spans="1:41">
      <c r="A120" s="48">
        <v>118</v>
      </c>
      <c r="B120" s="75">
        <f ca="1">IF(controls!$B$33=1,B119*(1+V120)+T120,B119*(1+V120))</f>
        <v>100</v>
      </c>
      <c r="C120" s="80">
        <f t="shared" ca="1" si="11"/>
        <v>0</v>
      </c>
      <c r="D120" s="77">
        <f t="shared" ca="1" si="7"/>
        <v>100</v>
      </c>
      <c r="E120" s="77">
        <f ca="1">AG119+IF(controls!$B$33=1,G120,F120)</f>
        <v>100</v>
      </c>
      <c r="F120" s="94">
        <f ca="1">IF(controls!$B$44=0,H120-'main page'!$K$27*M119,H120-'main page'!$K$27*M119+'main page'!$K$31*AB119)</f>
        <v>100</v>
      </c>
      <c r="G120" s="75">
        <f ca="1">IF(controls!$B$44=0,I120-'main page'!$K$27*M119,I120-'main page'!$K$27*M119+'main page'!$K$31*'normal case'!AB119)</f>
        <v>100</v>
      </c>
      <c r="H120" s="75">
        <f t="shared" ca="1" si="12"/>
        <v>108</v>
      </c>
      <c r="I120" s="75">
        <f t="shared" ca="1" si="13"/>
        <v>108</v>
      </c>
      <c r="L120" s="75">
        <f ca="1">IF(ABS('main page'!$K$29*L119+(1-'main page'!$K$29)*(controls!$B$9/100)*100+'main page'!$K$25*(D120-B120)-L119)&lt;0.0000001,L119,'main page'!$K$29*L119+(1-'main page'!$K$29)*(controls!$B$9/100)*100+'main page'!$K$25*(D120-B120))</f>
        <v>2</v>
      </c>
      <c r="M120" s="96">
        <f ca="1">IF(controls!$B$10=1,M119,IF(SUM(controls!$B$44:$B$46)=2,N120-'main page'!$K$29*'normal case'!L120-(1-'main page'!$K$29)*'main page'!$K$32,N120-'main page'!$K$29*'normal case'!L120-(1-'main page'!$K$29)*controls!$B$9))</f>
        <v>4</v>
      </c>
      <c r="N120" s="208">
        <f ca="1">IF(controls!$B$45=1,IF(controls!$B$46=1,'main page'!$K$24+'main page'!$K$11+'main page'!$U$8,'main page'!$K$24+'main page'!$K$11+'main page'!$K$32),IF(controls!$B$44=1,IF(O120&lt;0,0,O120),IF(O120+'main page'!$K$11&lt;0,0,O120+'main page'!$K$11)))</f>
        <v>6</v>
      </c>
      <c r="O120" s="76">
        <f ca="1">IF(controls!$B$10=1,'normal case'!M120+'normal case'!L120,'normal case'!P120)</f>
        <v>6</v>
      </c>
      <c r="P120" s="74">
        <f t="shared" ca="1" si="8"/>
        <v>6</v>
      </c>
      <c r="Q120" s="210">
        <f ca="1">IF(controls!$B$44=0,R120+'main page'!$K$29*L120+(1-'main page'!$K$29)*controls!$B$9+(('main page'!$K$25*'main page'!$U$13*'main page'!$K$29)/('main page'!$K$27*(1+('main page'!$K$25^2)*'main page'!$U$13)))*(L120-controls!$B$9),R120+'main page'!$K$29*L120+(1-'main page'!$K$29)*controls!$B$9+(('main page'!$K$25*'main page'!$U$13*'normal case'!$AO$3)/'normal case'!$AO$4)*('normal case'!L120-controls!$B$9))</f>
        <v>6</v>
      </c>
      <c r="R120" s="98">
        <f ca="1">IF(controls!$B$44=1,'main page'!$K$24+'main page'!$K$11,IF(controls!$B$33=1,((I121-D120*W121-B121+B120*V121)/'main page'!$K$27)-'main page'!$K$11,((H121-D120*W121-B121+B120*V121)/'main page'!$K$27)-'main page'!$K$11))</f>
        <v>4</v>
      </c>
      <c r="T120" s="71">
        <f>IF(controls!$B$6=1,$AL$3*(1+('main page'!$K$35/100))^U120-$AL$3*(1+('main page'!$K$35/100))^U119,$AL$3*(1+('main page'!$G$8/100))*(1+('main page'!$K$35/100))^U120-$AL$3*(1+('main page'!$G$8/100))*(1+('main page'!$K$35/100))^U119)</f>
        <v>0</v>
      </c>
      <c r="U120" s="73">
        <v>113</v>
      </c>
      <c r="V120" s="161">
        <v>0</v>
      </c>
      <c r="W120" s="40">
        <v>0</v>
      </c>
      <c r="X120" s="49">
        <f ca="1">IF(controls!$B$33=1,D120-($I$3-'main page'!$K$27*2)*(1+('main page'!$K$35/100))^A119,D120-$AL$4)</f>
        <v>0</v>
      </c>
      <c r="Y120" s="49">
        <f ca="1">ABS(L120-(controls!$B$9/100)*100)</f>
        <v>0</v>
      </c>
      <c r="AA120" s="49" t="e">
        <f ca="1">IF(controls!$B$33=1,(B121-B120*V121-I121+D120*W121+'main page'!$K$27*('main page'!$K$24+'main page'!$K$11))/'main page'!$K$31,(B121-B120*V121+D120*W121-H121+'main page'!$K$27*('main page'!$K$24+'main page'!$K$11))/'main page'!$K$31)</f>
        <v>#DIV/0!</v>
      </c>
      <c r="AB120" s="49" t="e">
        <f ca="1">IF(controls!$B$45=1,LOG(AF120,1.01)+LOG(AE120,1.01)-LOG(AD120,1.01),-((M120-('main page'!$K$24+'main page'!$K$11))/(1-'normal case'!$AO$3))+'normal case'!AA120)</f>
        <v>#DIV/0!</v>
      </c>
      <c r="AC120" s="176" t="e">
        <f t="shared" ca="1" si="9"/>
        <v>#DIV/0!</v>
      </c>
      <c r="AD120" s="49">
        <f t="shared" ca="1" si="10"/>
        <v>10.14425356216856</v>
      </c>
      <c r="AE120" s="49">
        <f>AE119*(1+'main page'!$K$32/100)</f>
        <v>1</v>
      </c>
      <c r="AF120" s="49" t="e">
        <f ca="1">IF(ABS(IF(controls!$B$45=1,$AL$13,AD120*AC120/AE120)-AF119)&lt;0.00001,AF119,IF(controls!$B$45=1,$AL$13,AD120*AC120/AE120))</f>
        <v>#DIV/0!</v>
      </c>
      <c r="AG120" s="49">
        <f>IF(controls!$B$46=0,0,IF(controls!$B$33=2,B121-B120*V121-('normal case'!H121-D120*W121-'main page'!$K$27*'normal case'!M120+'main page'!$K$31*'normal case'!AB120)-(('main page'!$K$25*'main page'!$U$13*'main page'!$K$29)/(1+('main page'!$K$25^2)*'main page'!$U$13))*('normal case'!L120-'main page'!$U$8),B121-B120*V121-('normal case'!I121-D120*W121-'main page'!$K$27*'normal case'!M120+'main page'!$K$31*'normal case'!AB120)-(('main page'!$K$25*'main page'!$U$13*'main page'!$K$29)/(1+('main page'!$K$25^2)*'main page'!$U$13))*('normal case'!L120-'main page'!$U$8)))</f>
        <v>0</v>
      </c>
      <c r="AN120" s="40"/>
      <c r="AO120" s="40"/>
    </row>
    <row r="121" spans="1:41">
      <c r="A121" s="48">
        <v>119</v>
      </c>
      <c r="B121" s="75">
        <f ca="1">IF(controls!$B$33=1,B120*(1+V121)+T121,B120*(1+V121))</f>
        <v>100</v>
      </c>
      <c r="C121" s="80">
        <f t="shared" ca="1" si="11"/>
        <v>0</v>
      </c>
      <c r="D121" s="77">
        <f t="shared" ca="1" si="7"/>
        <v>100</v>
      </c>
      <c r="E121" s="77">
        <f ca="1">AG120+IF(controls!$B$33=1,G121,F121)</f>
        <v>100</v>
      </c>
      <c r="F121" s="94">
        <f ca="1">IF(controls!$B$44=0,H121-'main page'!$K$27*M120,H121-'main page'!$K$27*M120+'main page'!$K$31*AB120)</f>
        <v>100</v>
      </c>
      <c r="G121" s="75">
        <f ca="1">IF(controls!$B$44=0,I121-'main page'!$K$27*M120,I121-'main page'!$K$27*M120+'main page'!$K$31*'normal case'!AB120)</f>
        <v>100</v>
      </c>
      <c r="H121" s="75">
        <f t="shared" ca="1" si="12"/>
        <v>108</v>
      </c>
      <c r="I121" s="75">
        <f t="shared" ca="1" si="13"/>
        <v>108</v>
      </c>
      <c r="L121" s="75">
        <f ca="1">IF(ABS('main page'!$K$29*L120+(1-'main page'!$K$29)*(controls!$B$9/100)*100+'main page'!$K$25*(D121-B121)-L120)&lt;0.0000001,L120,'main page'!$K$29*L120+(1-'main page'!$K$29)*(controls!$B$9/100)*100+'main page'!$K$25*(D121-B121))</f>
        <v>2</v>
      </c>
      <c r="M121" s="96">
        <f ca="1">IF(controls!$B$10=1,M120,IF(SUM(controls!$B$44:$B$46)=2,N121-'main page'!$K$29*'normal case'!L121-(1-'main page'!$K$29)*'main page'!$K$32,N121-'main page'!$K$29*'normal case'!L121-(1-'main page'!$K$29)*controls!$B$9))</f>
        <v>4</v>
      </c>
      <c r="N121" s="208">
        <f ca="1">IF(controls!$B$45=1,IF(controls!$B$46=1,'main page'!$K$24+'main page'!$K$11+'main page'!$U$8,'main page'!$K$24+'main page'!$K$11+'main page'!$K$32),IF(controls!$B$44=1,IF(O121&lt;0,0,O121),IF(O121+'main page'!$K$11&lt;0,0,O121+'main page'!$K$11)))</f>
        <v>6</v>
      </c>
      <c r="O121" s="76">
        <f ca="1">IF(controls!$B$10=1,'normal case'!M121+'normal case'!L121,'normal case'!P121)</f>
        <v>6</v>
      </c>
      <c r="P121" s="74">
        <f t="shared" ca="1" si="8"/>
        <v>6</v>
      </c>
      <c r="Q121" s="210">
        <f ca="1">IF(controls!$B$44=0,R121+'main page'!$K$29*L121+(1-'main page'!$K$29)*controls!$B$9+(('main page'!$K$25*'main page'!$U$13*'main page'!$K$29)/('main page'!$K$27*(1+('main page'!$K$25^2)*'main page'!$U$13)))*(L121-controls!$B$9),R121+'main page'!$K$29*L121+(1-'main page'!$K$29)*controls!$B$9+(('main page'!$K$25*'main page'!$U$13*'normal case'!$AO$3)/'normal case'!$AO$4)*('normal case'!L121-controls!$B$9))</f>
        <v>6</v>
      </c>
      <c r="R121" s="98">
        <f ca="1">IF(controls!$B$44=1,'main page'!$K$24+'main page'!$K$11,IF(controls!$B$33=1,((I122-D121*W122-B122+B121*V122)/'main page'!$K$27)-'main page'!$K$11,((H122-D121*W122-B122+B121*V122)/'main page'!$K$27)-'main page'!$K$11))</f>
        <v>4</v>
      </c>
      <c r="T121" s="71">
        <f>IF(controls!$B$6=1,$AL$3*(1+('main page'!$K$35/100))^U121-$AL$3*(1+('main page'!$K$35/100))^U120,$AL$3*(1+('main page'!$G$8/100))*(1+('main page'!$K$35/100))^U121-$AL$3*(1+('main page'!$G$8/100))*(1+('main page'!$K$35/100))^U120)</f>
        <v>0</v>
      </c>
      <c r="U121" s="73">
        <v>114</v>
      </c>
      <c r="V121" s="161">
        <v>0</v>
      </c>
      <c r="W121" s="40">
        <v>0</v>
      </c>
      <c r="X121" s="49">
        <f ca="1">IF(controls!$B$33=1,D121-($I$3-'main page'!$K$27*2)*(1+('main page'!$K$35/100))^A120,D121-$AL$4)</f>
        <v>0</v>
      </c>
      <c r="Y121" s="49">
        <f ca="1">ABS(L121-(controls!$B$9/100)*100)</f>
        <v>0</v>
      </c>
      <c r="AA121" s="49" t="e">
        <f ca="1">IF(controls!$B$33=1,(B122-B121*V122-I122+D121*W122+'main page'!$K$27*('main page'!$K$24+'main page'!$K$11))/'main page'!$K$31,(B122-B121*V122+D121*W122-H122+'main page'!$K$27*('main page'!$K$24+'main page'!$K$11))/'main page'!$K$31)</f>
        <v>#DIV/0!</v>
      </c>
      <c r="AB121" s="49" t="e">
        <f ca="1">IF(controls!$B$45=1,LOG(AF121,1.01)+LOG(AE121,1.01)-LOG(AD121,1.01),-((M121-('main page'!$K$24+'main page'!$K$11))/(1-'normal case'!$AO$3))+'normal case'!AA121)</f>
        <v>#DIV/0!</v>
      </c>
      <c r="AC121" s="176" t="e">
        <f t="shared" ca="1" si="9"/>
        <v>#DIV/0!</v>
      </c>
      <c r="AD121" s="49">
        <f t="shared" ca="1" si="10"/>
        <v>10.34713863341193</v>
      </c>
      <c r="AE121" s="49">
        <f>AE120*(1+'main page'!$K$32/100)</f>
        <v>1</v>
      </c>
      <c r="AF121" s="49" t="e">
        <f ca="1">IF(ABS(IF(controls!$B$45=1,$AL$13,AD121*AC121/AE121)-AF120)&lt;0.00001,AF120,IF(controls!$B$45=1,$AL$13,AD121*AC121/AE121))</f>
        <v>#DIV/0!</v>
      </c>
      <c r="AG121" s="49">
        <f>IF(controls!$B$46=0,0,IF(controls!$B$33=2,B122-B121*V122-('normal case'!H122-D121*W122-'main page'!$K$27*'normal case'!M121+'main page'!$K$31*'normal case'!AB121)-(('main page'!$K$25*'main page'!$U$13*'main page'!$K$29)/(1+('main page'!$K$25^2)*'main page'!$U$13))*('normal case'!L121-'main page'!$U$8),B122-B121*V122-('normal case'!I122-D121*W122-'main page'!$K$27*'normal case'!M121+'main page'!$K$31*'normal case'!AB121)-(('main page'!$K$25*'main page'!$U$13*'main page'!$K$29)/(1+('main page'!$K$25^2)*'main page'!$U$13))*('normal case'!L121-'main page'!$U$8)))</f>
        <v>0</v>
      </c>
      <c r="AN121" s="40"/>
      <c r="AO121" s="40"/>
    </row>
    <row r="122" spans="1:41">
      <c r="A122" s="48">
        <v>120</v>
      </c>
      <c r="B122" s="75">
        <f ca="1">IF(controls!$B$33=1,B121*(1+V122)+T122,B121*(1+V122))</f>
        <v>100</v>
      </c>
      <c r="C122" s="80">
        <f t="shared" ca="1" si="11"/>
        <v>0</v>
      </c>
      <c r="D122" s="77">
        <f t="shared" ca="1" si="7"/>
        <v>100</v>
      </c>
      <c r="E122" s="77">
        <f ca="1">AG121+IF(controls!$B$33=1,G122,F122)</f>
        <v>100</v>
      </c>
      <c r="F122" s="94">
        <f ca="1">IF(controls!$B$44=0,H122-'main page'!$K$27*M121,H122-'main page'!$K$27*M121+'main page'!$K$31*AB121)</f>
        <v>100</v>
      </c>
      <c r="G122" s="75">
        <f ca="1">IF(controls!$B$44=0,I122-'main page'!$K$27*M121,I122-'main page'!$K$27*M121+'main page'!$K$31*'normal case'!AB121)</f>
        <v>100</v>
      </c>
      <c r="H122" s="75">
        <f t="shared" ca="1" si="12"/>
        <v>108</v>
      </c>
      <c r="I122" s="75">
        <f t="shared" ca="1" si="13"/>
        <v>108</v>
      </c>
      <c r="L122" s="75">
        <f ca="1">IF(ABS('main page'!$K$29*L121+(1-'main page'!$K$29)*(controls!$B$9/100)*100+'main page'!$K$25*(D122-B122)-L121)&lt;0.0000001,L121,'main page'!$K$29*L121+(1-'main page'!$K$29)*(controls!$B$9/100)*100+'main page'!$K$25*(D122-B122))</f>
        <v>2</v>
      </c>
      <c r="M122" s="96">
        <f ca="1">IF(controls!$B$10=1,M121,IF(SUM(controls!$B$44:$B$46)=2,N122-'main page'!$K$29*'normal case'!L122-(1-'main page'!$K$29)*'main page'!$K$32,N122-'main page'!$K$29*'normal case'!L122-(1-'main page'!$K$29)*controls!$B$9))</f>
        <v>4</v>
      </c>
      <c r="N122" s="208">
        <f ca="1">IF(controls!$B$45=1,IF(controls!$B$46=1,'main page'!$K$24+'main page'!$K$11+'main page'!$U$8,'main page'!$K$24+'main page'!$K$11+'main page'!$K$32),IF(controls!$B$44=1,IF(O122&lt;0,0,O122),IF(O122+'main page'!$K$11&lt;0,0,O122+'main page'!$K$11)))</f>
        <v>6</v>
      </c>
      <c r="O122" s="76">
        <f ca="1">IF(controls!$B$10=1,'normal case'!M122+'normal case'!L122,'normal case'!P122)</f>
        <v>6</v>
      </c>
      <c r="P122" s="74">
        <f t="shared" ca="1" si="8"/>
        <v>6</v>
      </c>
      <c r="Q122" s="210">
        <f ca="1">IF(controls!$B$44=0,R122+'main page'!$K$29*L122+(1-'main page'!$K$29)*controls!$B$9+(('main page'!$K$25*'main page'!$U$13*'main page'!$K$29)/('main page'!$K$27*(1+('main page'!$K$25^2)*'main page'!$U$13)))*(L122-controls!$B$9),R122+'main page'!$K$29*L122+(1-'main page'!$K$29)*controls!$B$9+(('main page'!$K$25*'main page'!$U$13*'normal case'!$AO$3)/'normal case'!$AO$4)*('normal case'!L122-controls!$B$9))</f>
        <v>6</v>
      </c>
      <c r="R122" s="98">
        <f ca="1">IF(controls!$B$44=1,'main page'!$K$24+'main page'!$K$11,IF(controls!$B$33=1,((I123-D122*W123-B123+B122*V123)/'main page'!$K$27)-'main page'!$K$11,((H123-D122*W123-B123+B122*V123)/'main page'!$K$27)-'main page'!$K$11))</f>
        <v>4</v>
      </c>
      <c r="T122" s="71">
        <f>IF(controls!$B$6=1,$AL$3*(1+('main page'!$K$35/100))^U122-$AL$3*(1+('main page'!$K$35/100))^U121,$AL$3*(1+('main page'!$G$8/100))*(1+('main page'!$K$35/100))^U122-$AL$3*(1+('main page'!$G$8/100))*(1+('main page'!$K$35/100))^U121)</f>
        <v>0</v>
      </c>
      <c r="U122" s="73">
        <v>115</v>
      </c>
      <c r="V122" s="161">
        <f ca="1">IF(controls!$B$4=1,IF(controls!$H121=1,controls!$B$34*V121+RAND()*('main page'!$K$16/100)-RAND()*('main page'!$K$16/100),0),0)</f>
        <v>0</v>
      </c>
      <c r="W122" s="40">
        <f ca="1">IF(controls!$B$4=1,IF(controls!$I121=1,controls!$B$34*W121+RAND()*('main page'!$K$16/100)-RAND()*('main page'!$K$16/100),0),0)</f>
        <v>0</v>
      </c>
      <c r="X122" s="49">
        <f ca="1">IF(controls!$B$33=1,D122-($I$3-'main page'!$K$27*2)*(1+('main page'!$K$35/100))^A121,D122-$AL$4)</f>
        <v>0</v>
      </c>
      <c r="Y122" s="49">
        <f ca="1">ABS(L122-(controls!$B$9/100)*100)</f>
        <v>0</v>
      </c>
      <c r="AA122" s="49" t="e">
        <f ca="1">IF(controls!$B$33=1,(B123-B122*V123-I123+D122*W123+'main page'!$K$27*('main page'!$K$24+'main page'!$K$11))/'main page'!$K$31,(B123-B122*V123+D122*W123-H123+'main page'!$K$27*('main page'!$K$24+'main page'!$K$11))/'main page'!$K$31)</f>
        <v>#DIV/0!</v>
      </c>
      <c r="AB122" s="49" t="e">
        <f ca="1">IF(controls!$B$45=1,LOG(AF122,1.01)+LOG(AE122,1.01)-LOG(AD122,1.01),-((M122-('main page'!$K$24+'main page'!$K$11))/(1-'normal case'!$AO$3))+'normal case'!AA122)</f>
        <v>#DIV/0!</v>
      </c>
      <c r="AC122" s="176" t="e">
        <f t="shared" ca="1" si="9"/>
        <v>#DIV/0!</v>
      </c>
      <c r="AD122" s="49">
        <f t="shared" ca="1" si="10"/>
        <v>10.554081406080169</v>
      </c>
      <c r="AE122" s="49">
        <f>AE121*(1+'main page'!$K$32/100)</f>
        <v>1</v>
      </c>
      <c r="AF122" s="49" t="e">
        <f ca="1">IF(ABS(IF(controls!$B$45=1,$AL$13,AD122*AC122/AE122)-AF121)&lt;0.00001,AF121,IF(controls!$B$45=1,$AL$13,AD122*AC122/AE122))</f>
        <v>#DIV/0!</v>
      </c>
      <c r="AG122" s="49">
        <f>IF(controls!$B$46=0,0,IF(controls!$B$33=2,B123-B122*V123-('normal case'!H123-D122*W123-'main page'!$K$27*'normal case'!M122+'main page'!$K$31*'normal case'!AB122)-(('main page'!$K$25*'main page'!$U$13*'main page'!$K$29)/(1+('main page'!$K$25^2)*'main page'!$U$13))*('normal case'!L122-'main page'!$U$8),B123-B122*V123-('normal case'!I123-D122*W123-'main page'!$K$27*'normal case'!M122+'main page'!$K$31*'normal case'!AB122)-(('main page'!$K$25*'main page'!$U$13*'main page'!$K$29)/(1+('main page'!$K$25^2)*'main page'!$U$13))*('normal case'!L122-'main page'!$U$8)))</f>
        <v>0</v>
      </c>
      <c r="AN122" s="40"/>
      <c r="AO122" s="40"/>
    </row>
    <row r="123" spans="1:41">
      <c r="A123" s="48">
        <v>121</v>
      </c>
      <c r="B123" s="75">
        <f ca="1">IF(controls!$B$33=1,B122*(1+V123)+T123,B122*(1+V123))</f>
        <v>100</v>
      </c>
      <c r="C123" s="80">
        <f t="shared" ca="1" si="11"/>
        <v>0</v>
      </c>
      <c r="D123" s="77">
        <f t="shared" ca="1" si="7"/>
        <v>100</v>
      </c>
      <c r="E123" s="77">
        <f ca="1">AG122+IF(controls!$B$33=1,G123,F123)</f>
        <v>100</v>
      </c>
      <c r="F123" s="94">
        <f ca="1">IF(controls!$B$44=0,H123-'main page'!$K$27*M122,H123-'main page'!$K$27*M122+'main page'!$K$31*AB122)</f>
        <v>100</v>
      </c>
      <c r="G123" s="75">
        <f ca="1">IF(controls!$B$44=0,I123-'main page'!$K$27*M122,I123-'main page'!$K$27*M122+'main page'!$K$31*'normal case'!AB122)</f>
        <v>100</v>
      </c>
      <c r="H123" s="75">
        <f t="shared" ca="1" si="12"/>
        <v>108</v>
      </c>
      <c r="I123" s="75">
        <f t="shared" ca="1" si="13"/>
        <v>108</v>
      </c>
      <c r="L123" s="75">
        <f ca="1">IF(ABS('main page'!$K$29*L122+(1-'main page'!$K$29)*(controls!$B$9/100)*100+'main page'!$K$25*(D123-B123)-L122)&lt;0.0000001,L122,'main page'!$K$29*L122+(1-'main page'!$K$29)*(controls!$B$9/100)*100+'main page'!$K$25*(D123-B123))</f>
        <v>2</v>
      </c>
      <c r="M123" s="96">
        <f ca="1">IF(controls!$B$10=1,M122,IF(SUM(controls!$B$44:$B$46)=2,N123-'main page'!$K$29*'normal case'!L123-(1-'main page'!$K$29)*'main page'!$K$32,N123-'main page'!$K$29*'normal case'!L123-(1-'main page'!$K$29)*controls!$B$9))</f>
        <v>4</v>
      </c>
      <c r="N123" s="208">
        <f ca="1">IF(controls!$B$45=1,IF(controls!$B$46=1,'main page'!$K$24+'main page'!$K$11+'main page'!$U$8,'main page'!$K$24+'main page'!$K$11+'main page'!$K$32),IF(controls!$B$44=1,IF(O123&lt;0,0,O123),IF(O123+'main page'!$K$11&lt;0,0,O123+'main page'!$K$11)))</f>
        <v>6</v>
      </c>
      <c r="O123" s="76">
        <f ca="1">IF(controls!$B$10=1,'normal case'!M123+'normal case'!L123,'normal case'!P123)</f>
        <v>6</v>
      </c>
      <c r="P123" s="74">
        <f t="shared" ca="1" si="8"/>
        <v>6</v>
      </c>
      <c r="Q123" s="210">
        <f ca="1">IF(controls!$B$44=0,R123+'main page'!$K$29*L123+(1-'main page'!$K$29)*controls!$B$9+(('main page'!$K$25*'main page'!$U$13*'main page'!$K$29)/('main page'!$K$27*(1+('main page'!$K$25^2)*'main page'!$U$13)))*(L123-controls!$B$9),R123+'main page'!$K$29*L123+(1-'main page'!$K$29)*controls!$B$9+(('main page'!$K$25*'main page'!$U$13*'normal case'!$AO$3)/'normal case'!$AO$4)*('normal case'!L123-controls!$B$9))</f>
        <v>6</v>
      </c>
      <c r="R123" s="98">
        <f ca="1">IF(controls!$B$44=1,'main page'!$K$24+'main page'!$K$11,IF(controls!$B$33=1,((I124-D123*W124-B124+B123*V124)/'main page'!$K$27)-'main page'!$K$11,((H124-D123*W124-B124+B123*V124)/'main page'!$K$27)-'main page'!$K$11))</f>
        <v>4</v>
      </c>
      <c r="T123" s="71">
        <f>IF(controls!$B$6=1,$AL$3*(1+('main page'!$K$35/100))^U123-$AL$3*(1+('main page'!$K$35/100))^U122,$AL$3*(1+('main page'!$G$8/100))*(1+('main page'!$K$35/100))^U123-$AL$3*(1+('main page'!$G$8/100))*(1+('main page'!$K$35/100))^U122)</f>
        <v>0</v>
      </c>
      <c r="U123" s="73">
        <v>116</v>
      </c>
      <c r="V123" s="161">
        <v>0</v>
      </c>
      <c r="W123" s="40">
        <v>0</v>
      </c>
      <c r="X123" s="49">
        <f ca="1">IF(controls!$B$33=1,D123-($I$3-'main page'!$K$27*2)*(1+('main page'!$K$35/100))^A122,D123-$AL$4)</f>
        <v>0</v>
      </c>
      <c r="Y123" s="49">
        <f ca="1">ABS(L123-(controls!$B$9/100)*100)</f>
        <v>0</v>
      </c>
      <c r="AA123" s="49" t="e">
        <f ca="1">IF(controls!$B$33=1,(B124-B123*V124-I124+D123*W124+'main page'!$K$27*('main page'!$K$24+'main page'!$K$11))/'main page'!$K$31,(B124-B123*V124+D123*W124-H124+'main page'!$K$27*('main page'!$K$24+'main page'!$K$11))/'main page'!$K$31)</f>
        <v>#DIV/0!</v>
      </c>
      <c r="AB123" s="49" t="e">
        <f ca="1">IF(controls!$B$45=1,LOG(AF123,1.01)+LOG(AE123,1.01)-LOG(AD123,1.01),-((M123-('main page'!$K$24+'main page'!$K$11))/(1-'normal case'!$AO$3))+'normal case'!AA123)</f>
        <v>#DIV/0!</v>
      </c>
      <c r="AC123" s="176" t="e">
        <f t="shared" ca="1" si="9"/>
        <v>#DIV/0!</v>
      </c>
      <c r="AD123" s="49">
        <f t="shared" ca="1" si="10"/>
        <v>10.765163034201771</v>
      </c>
      <c r="AE123" s="49">
        <f>AE122*(1+'main page'!$K$32/100)</f>
        <v>1</v>
      </c>
      <c r="AF123" s="49" t="e">
        <f ca="1">IF(ABS(IF(controls!$B$45=1,$AL$13,AD123*AC123/AE123)-AF122)&lt;0.00001,AF122,IF(controls!$B$45=1,$AL$13,AD123*AC123/AE123))</f>
        <v>#DIV/0!</v>
      </c>
      <c r="AG123" s="49">
        <f>IF(controls!$B$46=0,0,IF(controls!$B$33=2,B124-B123*V124-('normal case'!H124-D123*W124-'main page'!$K$27*'normal case'!M123+'main page'!$K$31*'normal case'!AB123)-(('main page'!$K$25*'main page'!$U$13*'main page'!$K$29)/(1+('main page'!$K$25^2)*'main page'!$U$13))*('normal case'!L123-'main page'!$U$8),B124-B123*V124-('normal case'!I124-D123*W124-'main page'!$K$27*'normal case'!M123+'main page'!$K$31*'normal case'!AB123)-(('main page'!$K$25*'main page'!$U$13*'main page'!$K$29)/(1+('main page'!$K$25^2)*'main page'!$U$13))*('normal case'!L123-'main page'!$U$8)))</f>
        <v>0</v>
      </c>
      <c r="AN123" s="40"/>
      <c r="AO123" s="40"/>
    </row>
    <row r="124" spans="1:41">
      <c r="A124" s="48">
        <v>122</v>
      </c>
      <c r="B124" s="75">
        <f ca="1">IF(controls!$B$33=1,B123*(1+V124)+T124,B123*(1+V124))</f>
        <v>100</v>
      </c>
      <c r="C124" s="80">
        <f t="shared" ca="1" si="11"/>
        <v>0</v>
      </c>
      <c r="D124" s="77">
        <f t="shared" ca="1" si="7"/>
        <v>100</v>
      </c>
      <c r="E124" s="77">
        <f ca="1">AG123+IF(controls!$B$33=1,G124,F124)</f>
        <v>100</v>
      </c>
      <c r="F124" s="94">
        <f ca="1">IF(controls!$B$44=0,H124-'main page'!$K$27*M123,H124-'main page'!$K$27*M123+'main page'!$K$31*AB123)</f>
        <v>100</v>
      </c>
      <c r="G124" s="75">
        <f ca="1">IF(controls!$B$44=0,I124-'main page'!$K$27*M123,I124-'main page'!$K$27*M123+'main page'!$K$31*'normal case'!AB123)</f>
        <v>100</v>
      </c>
      <c r="H124" s="75">
        <f t="shared" ca="1" si="12"/>
        <v>108</v>
      </c>
      <c r="I124" s="75">
        <f t="shared" ca="1" si="13"/>
        <v>108</v>
      </c>
      <c r="L124" s="75">
        <f ca="1">IF(ABS('main page'!$K$29*L123+(1-'main page'!$K$29)*(controls!$B$9/100)*100+'main page'!$K$25*(D124-B124)-L123)&lt;0.0000001,L123,'main page'!$K$29*L123+(1-'main page'!$K$29)*(controls!$B$9/100)*100+'main page'!$K$25*(D124-B124))</f>
        <v>2</v>
      </c>
      <c r="M124" s="96">
        <f ca="1">IF(controls!$B$10=1,M123,IF(SUM(controls!$B$44:$B$46)=2,N124-'main page'!$K$29*'normal case'!L124-(1-'main page'!$K$29)*'main page'!$K$32,N124-'main page'!$K$29*'normal case'!L124-(1-'main page'!$K$29)*controls!$B$9))</f>
        <v>4</v>
      </c>
      <c r="N124" s="208">
        <f ca="1">IF(controls!$B$45=1,IF(controls!$B$46=1,'main page'!$K$24+'main page'!$K$11+'main page'!$U$8,'main page'!$K$24+'main page'!$K$11+'main page'!$K$32),IF(controls!$B$44=1,IF(O124&lt;0,0,O124),IF(O124+'main page'!$K$11&lt;0,0,O124+'main page'!$K$11)))</f>
        <v>6</v>
      </c>
      <c r="O124" s="76">
        <f ca="1">IF(controls!$B$10=1,'normal case'!M124+'normal case'!L124,'normal case'!P124)</f>
        <v>6</v>
      </c>
      <c r="P124" s="74">
        <f t="shared" ca="1" si="8"/>
        <v>6</v>
      </c>
      <c r="Q124" s="210">
        <f ca="1">IF(controls!$B$44=0,R124+'main page'!$K$29*L124+(1-'main page'!$K$29)*controls!$B$9+(('main page'!$K$25*'main page'!$U$13*'main page'!$K$29)/('main page'!$K$27*(1+('main page'!$K$25^2)*'main page'!$U$13)))*(L124-controls!$B$9),R124+'main page'!$K$29*L124+(1-'main page'!$K$29)*controls!$B$9+(('main page'!$K$25*'main page'!$U$13*'normal case'!$AO$3)/'normal case'!$AO$4)*('normal case'!L124-controls!$B$9))</f>
        <v>6</v>
      </c>
      <c r="R124" s="98">
        <f ca="1">IF(controls!$B$44=1,'main page'!$K$24+'main page'!$K$11,IF(controls!$B$33=1,((I125-D124*W125-B125+B124*V125)/'main page'!$K$27)-'main page'!$K$11,((H125-D124*W125-B125+B124*V125)/'main page'!$K$27)-'main page'!$K$11))</f>
        <v>4</v>
      </c>
      <c r="T124" s="71">
        <f>IF(controls!$B$6=1,$AL$3*(1+('main page'!$K$35/100))^U124-$AL$3*(1+('main page'!$K$35/100))^U123,$AL$3*(1+('main page'!$G$8/100))*(1+('main page'!$K$35/100))^U124-$AL$3*(1+('main page'!$G$8/100))*(1+('main page'!$K$35/100))^U123)</f>
        <v>0</v>
      </c>
      <c r="U124" s="73">
        <v>117</v>
      </c>
      <c r="V124" s="161">
        <v>0</v>
      </c>
      <c r="W124" s="40">
        <v>0</v>
      </c>
      <c r="X124" s="49">
        <f ca="1">IF(controls!$B$33=1,D124-($I$3-'main page'!$K$27*2)*(1+('main page'!$K$35/100))^A123,D124-$AL$4)</f>
        <v>0</v>
      </c>
      <c r="Y124" s="49">
        <f ca="1">ABS(L124-(controls!$B$9/100)*100)</f>
        <v>0</v>
      </c>
      <c r="AA124" s="49" t="e">
        <f ca="1">IF(controls!$B$33=1,(B125-B124*V125-I125+D124*W125+'main page'!$K$27*('main page'!$K$24+'main page'!$K$11))/'main page'!$K$31,(B125-B124*V125+D124*W125-H125+'main page'!$K$27*('main page'!$K$24+'main page'!$K$11))/'main page'!$K$31)</f>
        <v>#DIV/0!</v>
      </c>
      <c r="AB124" s="49" t="e">
        <f ca="1">IF(controls!$B$45=1,LOG(AF124,1.01)+LOG(AE124,1.01)-LOG(AD124,1.01),-((M124-('main page'!$K$24+'main page'!$K$11))/(1-'normal case'!$AO$3))+'normal case'!AA124)</f>
        <v>#DIV/0!</v>
      </c>
      <c r="AC124" s="176" t="e">
        <f t="shared" ca="1" si="9"/>
        <v>#DIV/0!</v>
      </c>
      <c r="AD124" s="49">
        <f t="shared" ca="1" si="10"/>
        <v>10.980466294885806</v>
      </c>
      <c r="AE124" s="49">
        <f>AE123*(1+'main page'!$K$32/100)</f>
        <v>1</v>
      </c>
      <c r="AF124" s="49" t="e">
        <f ca="1">IF(ABS(IF(controls!$B$45=1,$AL$13,AD124*AC124/AE124)-AF123)&lt;0.00001,AF123,IF(controls!$B$45=1,$AL$13,AD124*AC124/AE124))</f>
        <v>#DIV/0!</v>
      </c>
      <c r="AG124" s="49">
        <f>IF(controls!$B$46=0,0,IF(controls!$B$33=2,B125-B124*V125-('normal case'!H125-D124*W125-'main page'!$K$27*'normal case'!M124+'main page'!$K$31*'normal case'!AB124)-(('main page'!$K$25*'main page'!$U$13*'main page'!$K$29)/(1+('main page'!$K$25^2)*'main page'!$U$13))*('normal case'!L124-'main page'!$U$8),B125-B124*V125-('normal case'!I125-D124*W125-'main page'!$K$27*'normal case'!M124+'main page'!$K$31*'normal case'!AB124)-(('main page'!$K$25*'main page'!$U$13*'main page'!$K$29)/(1+('main page'!$K$25^2)*'main page'!$U$13))*('normal case'!L124-'main page'!$U$8)))</f>
        <v>0</v>
      </c>
      <c r="AN124" s="40"/>
      <c r="AO124" s="40"/>
    </row>
    <row r="125" spans="1:41">
      <c r="A125" s="48">
        <v>123</v>
      </c>
      <c r="B125" s="75">
        <f ca="1">IF(controls!$B$33=1,B124*(1+V125)+T125,B124*(1+V125))</f>
        <v>100</v>
      </c>
      <c r="C125" s="80">
        <f t="shared" ca="1" si="11"/>
        <v>0</v>
      </c>
      <c r="D125" s="77">
        <f t="shared" ca="1" si="7"/>
        <v>100</v>
      </c>
      <c r="E125" s="77">
        <f ca="1">AG124+IF(controls!$B$33=1,G125,F125)</f>
        <v>100</v>
      </c>
      <c r="F125" s="94">
        <f ca="1">IF(controls!$B$44=0,H125-'main page'!$K$27*M124,H125-'main page'!$K$27*M124+'main page'!$K$31*AB124)</f>
        <v>100</v>
      </c>
      <c r="G125" s="75">
        <f ca="1">IF(controls!$B$44=0,I125-'main page'!$K$27*M124,I125-'main page'!$K$27*M124+'main page'!$K$31*'normal case'!AB124)</f>
        <v>100</v>
      </c>
      <c r="H125" s="75">
        <f t="shared" ca="1" si="12"/>
        <v>108</v>
      </c>
      <c r="I125" s="75">
        <f t="shared" ca="1" si="13"/>
        <v>108</v>
      </c>
      <c r="L125" s="75">
        <f ca="1">IF(ABS('main page'!$K$29*L124+(1-'main page'!$K$29)*(controls!$B$9/100)*100+'main page'!$K$25*(D125-B125)-L124)&lt;0.0000001,L124,'main page'!$K$29*L124+(1-'main page'!$K$29)*(controls!$B$9/100)*100+'main page'!$K$25*(D125-B125))</f>
        <v>2</v>
      </c>
      <c r="M125" s="96">
        <f ca="1">IF(controls!$B$10=1,M124,IF(SUM(controls!$B$44:$B$46)=2,N125-'main page'!$K$29*'normal case'!L125-(1-'main page'!$K$29)*'main page'!$K$32,N125-'main page'!$K$29*'normal case'!L125-(1-'main page'!$K$29)*controls!$B$9))</f>
        <v>4</v>
      </c>
      <c r="N125" s="208">
        <f ca="1">IF(controls!$B$45=1,IF(controls!$B$46=1,'main page'!$K$24+'main page'!$K$11+'main page'!$U$8,'main page'!$K$24+'main page'!$K$11+'main page'!$K$32),IF(controls!$B$44=1,IF(O125&lt;0,0,O125),IF(O125+'main page'!$K$11&lt;0,0,O125+'main page'!$K$11)))</f>
        <v>6</v>
      </c>
      <c r="O125" s="76">
        <f ca="1">IF(controls!$B$10=1,'normal case'!M125+'normal case'!L125,'normal case'!P125)</f>
        <v>6</v>
      </c>
      <c r="P125" s="74">
        <f t="shared" ca="1" si="8"/>
        <v>6</v>
      </c>
      <c r="Q125" s="210">
        <f ca="1">IF(controls!$B$44=0,R125+'main page'!$K$29*L125+(1-'main page'!$K$29)*controls!$B$9+(('main page'!$K$25*'main page'!$U$13*'main page'!$K$29)/('main page'!$K$27*(1+('main page'!$K$25^2)*'main page'!$U$13)))*(L125-controls!$B$9),R125+'main page'!$K$29*L125+(1-'main page'!$K$29)*controls!$B$9+(('main page'!$K$25*'main page'!$U$13*'normal case'!$AO$3)/'normal case'!$AO$4)*('normal case'!L125-controls!$B$9))</f>
        <v>6</v>
      </c>
      <c r="R125" s="98">
        <f ca="1">IF(controls!$B$44=1,'main page'!$K$24+'main page'!$K$11,IF(controls!$B$33=1,((I126-D125*W126-B126+B125*V126)/'main page'!$K$27)-'main page'!$K$11,((H126-D125*W126-B126+B125*V126)/'main page'!$K$27)-'main page'!$K$11))</f>
        <v>4</v>
      </c>
      <c r="T125" s="71">
        <f>IF(controls!$B$6=1,$AL$3*(1+('main page'!$K$35/100))^U125-$AL$3*(1+('main page'!$K$35/100))^U124,$AL$3*(1+('main page'!$G$8/100))*(1+('main page'!$K$35/100))^U125-$AL$3*(1+('main page'!$G$8/100))*(1+('main page'!$K$35/100))^U124)</f>
        <v>0</v>
      </c>
      <c r="U125" s="73">
        <v>118</v>
      </c>
      <c r="V125" s="161">
        <f ca="1">IF(controls!$B$4=1,IF(controls!$H124=1,controls!$B$34*V124+RAND()*('main page'!$K$16/100)-RAND()*('main page'!$K$16/100),0),0)</f>
        <v>0</v>
      </c>
      <c r="W125" s="40">
        <f ca="1">IF(controls!$B$4=1,IF(controls!$I124=1,controls!$B$34*W124+RAND()*('main page'!$K$16/100)-RAND()*('main page'!$K$16/100),0),0)</f>
        <v>0</v>
      </c>
      <c r="X125" s="49">
        <f ca="1">IF(controls!$B$33=1,D125-($I$3-'main page'!$K$27*2)*(1+('main page'!$K$35/100))^A124,D125-$AL$4)</f>
        <v>0</v>
      </c>
      <c r="Y125" s="49">
        <f ca="1">ABS(L125-(controls!$B$9/100)*100)</f>
        <v>0</v>
      </c>
      <c r="AA125" s="49" t="e">
        <f ca="1">IF(controls!$B$33=1,(B126-B125*V126-I126+D125*W126+'main page'!$K$27*('main page'!$K$24+'main page'!$K$11))/'main page'!$K$31,(B126-B125*V126+D125*W126-H126+'main page'!$K$27*('main page'!$K$24+'main page'!$K$11))/'main page'!$K$31)</f>
        <v>#DIV/0!</v>
      </c>
      <c r="AB125" s="49" t="e">
        <f ca="1">IF(controls!$B$45=1,LOG(AF125,1.01)+LOG(AE125,1.01)-LOG(AD125,1.01),-((M125-('main page'!$K$24+'main page'!$K$11))/(1-'normal case'!$AO$3))+'normal case'!AA125)</f>
        <v>#DIV/0!</v>
      </c>
      <c r="AC125" s="176" t="e">
        <f t="shared" ca="1" si="9"/>
        <v>#DIV/0!</v>
      </c>
      <c r="AD125" s="49">
        <f t="shared" ca="1" si="10"/>
        <v>11.200075620783522</v>
      </c>
      <c r="AE125" s="49">
        <f>AE124*(1+'main page'!$K$32/100)</f>
        <v>1</v>
      </c>
      <c r="AF125" s="49" t="e">
        <f ca="1">IF(ABS(IF(controls!$B$45=1,$AL$13,AD125*AC125/AE125)-AF124)&lt;0.00001,AF124,IF(controls!$B$45=1,$AL$13,AD125*AC125/AE125))</f>
        <v>#DIV/0!</v>
      </c>
      <c r="AG125" s="49">
        <f>IF(controls!$B$46=0,0,IF(controls!$B$33=2,B126-B125*V126-('normal case'!H126-D125*W126-'main page'!$K$27*'normal case'!M125+'main page'!$K$31*'normal case'!AB125)-(('main page'!$K$25*'main page'!$U$13*'main page'!$K$29)/(1+('main page'!$K$25^2)*'main page'!$U$13))*('normal case'!L125-'main page'!$U$8),B126-B125*V126-('normal case'!I126-D125*W126-'main page'!$K$27*'normal case'!M125+'main page'!$K$31*'normal case'!AB125)-(('main page'!$K$25*'main page'!$U$13*'main page'!$K$29)/(1+('main page'!$K$25^2)*'main page'!$U$13))*('normal case'!L125-'main page'!$U$8)))</f>
        <v>0</v>
      </c>
      <c r="AN125" s="40"/>
      <c r="AO125" s="40"/>
    </row>
    <row r="126" spans="1:41">
      <c r="A126" s="48">
        <v>124</v>
      </c>
      <c r="B126" s="75">
        <f ca="1">IF(controls!$B$33=1,B125*(1+V126)+T126,B125*(1+V126))</f>
        <v>100</v>
      </c>
      <c r="C126" s="80">
        <f t="shared" ca="1" si="11"/>
        <v>0</v>
      </c>
      <c r="D126" s="77">
        <f t="shared" ca="1" si="7"/>
        <v>100</v>
      </c>
      <c r="E126" s="77">
        <f ca="1">AG125+IF(controls!$B$33=1,G126,F126)</f>
        <v>100</v>
      </c>
      <c r="F126" s="94">
        <f ca="1">IF(controls!$B$44=0,H126-'main page'!$K$27*M125,H126-'main page'!$K$27*M125+'main page'!$K$31*AB125)</f>
        <v>100</v>
      </c>
      <c r="G126" s="75">
        <f ca="1">IF(controls!$B$44=0,I126-'main page'!$K$27*M125,I126-'main page'!$K$27*M125+'main page'!$K$31*'normal case'!AB125)</f>
        <v>100</v>
      </c>
      <c r="H126" s="75">
        <f t="shared" ca="1" si="12"/>
        <v>108</v>
      </c>
      <c r="I126" s="75">
        <f t="shared" ca="1" si="13"/>
        <v>108</v>
      </c>
      <c r="L126" s="75">
        <f ca="1">IF(ABS('main page'!$K$29*L125+(1-'main page'!$K$29)*(controls!$B$9/100)*100+'main page'!$K$25*(D126-B126)-L125)&lt;0.0000001,L125,'main page'!$K$29*L125+(1-'main page'!$K$29)*(controls!$B$9/100)*100+'main page'!$K$25*(D126-B126))</f>
        <v>2</v>
      </c>
      <c r="M126" s="96">
        <f ca="1">IF(controls!$B$10=1,M125,IF(SUM(controls!$B$44:$B$46)=2,N126-'main page'!$K$29*'normal case'!L126-(1-'main page'!$K$29)*'main page'!$K$32,N126-'main page'!$K$29*'normal case'!L126-(1-'main page'!$K$29)*controls!$B$9))</f>
        <v>4</v>
      </c>
      <c r="N126" s="208">
        <f ca="1">IF(controls!$B$45=1,IF(controls!$B$46=1,'main page'!$K$24+'main page'!$K$11+'main page'!$U$8,'main page'!$K$24+'main page'!$K$11+'main page'!$K$32),IF(controls!$B$44=1,IF(O126&lt;0,0,O126),IF(O126+'main page'!$K$11&lt;0,0,O126+'main page'!$K$11)))</f>
        <v>6</v>
      </c>
      <c r="O126" s="76">
        <f ca="1">IF(controls!$B$10=1,'normal case'!M126+'normal case'!L126,'normal case'!P126)</f>
        <v>6</v>
      </c>
      <c r="P126" s="74">
        <f t="shared" ca="1" si="8"/>
        <v>6</v>
      </c>
      <c r="Q126" s="210">
        <f ca="1">IF(controls!$B$44=0,R126+'main page'!$K$29*L126+(1-'main page'!$K$29)*controls!$B$9+(('main page'!$K$25*'main page'!$U$13*'main page'!$K$29)/('main page'!$K$27*(1+('main page'!$K$25^2)*'main page'!$U$13)))*(L126-controls!$B$9),R126+'main page'!$K$29*L126+(1-'main page'!$K$29)*controls!$B$9+(('main page'!$K$25*'main page'!$U$13*'normal case'!$AO$3)/'normal case'!$AO$4)*('normal case'!L126-controls!$B$9))</f>
        <v>6</v>
      </c>
      <c r="R126" s="98">
        <f ca="1">IF(controls!$B$44=1,'main page'!$K$24+'main page'!$K$11,IF(controls!$B$33=1,((I127-D126*W127-B127+B126*V127)/'main page'!$K$27)-'main page'!$K$11,((H127-D126*W127-B127+B126*V127)/'main page'!$K$27)-'main page'!$K$11))</f>
        <v>4</v>
      </c>
      <c r="T126" s="71">
        <f>IF(controls!$B$6=1,$AL$3*(1+('main page'!$K$35/100))^U126-$AL$3*(1+('main page'!$K$35/100))^U125,$AL$3*(1+('main page'!$G$8/100))*(1+('main page'!$K$35/100))^U126-$AL$3*(1+('main page'!$G$8/100))*(1+('main page'!$K$35/100))^U125)</f>
        <v>0</v>
      </c>
      <c r="U126" s="73">
        <v>119</v>
      </c>
      <c r="V126" s="161">
        <v>0</v>
      </c>
      <c r="W126" s="40">
        <v>0</v>
      </c>
      <c r="X126" s="49">
        <f ca="1">IF(controls!$B$33=1,D126-($I$3-'main page'!$K$27*2)*(1+('main page'!$K$35/100))^A125,D126-$AL$4)</f>
        <v>0</v>
      </c>
      <c r="Y126" s="49">
        <f ca="1">ABS(L126-(controls!$B$9/100)*100)</f>
        <v>0</v>
      </c>
      <c r="AA126" s="49" t="e">
        <f ca="1">IF(controls!$B$33=1,(B127-B126*V127-I127+D126*W127+'main page'!$K$27*('main page'!$K$24+'main page'!$K$11))/'main page'!$K$31,(B127-B126*V127+D126*W127-H127+'main page'!$K$27*('main page'!$K$24+'main page'!$K$11))/'main page'!$K$31)</f>
        <v>#DIV/0!</v>
      </c>
      <c r="AB126" s="49" t="e">
        <f ca="1">IF(controls!$B$45=1,LOG(AF126,1.01)+LOG(AE126,1.01)-LOG(AD126,1.01),-((M126-('main page'!$K$24+'main page'!$K$11))/(1-'normal case'!$AO$3))+'normal case'!AA126)</f>
        <v>#DIV/0!</v>
      </c>
      <c r="AC126" s="176" t="e">
        <f t="shared" ca="1" si="9"/>
        <v>#DIV/0!</v>
      </c>
      <c r="AD126" s="49">
        <f t="shared" ca="1" si="10"/>
        <v>11.424077133199193</v>
      </c>
      <c r="AE126" s="49">
        <f>AE125*(1+'main page'!$K$32/100)</f>
        <v>1</v>
      </c>
      <c r="AF126" s="49" t="e">
        <f ca="1">IF(ABS(IF(controls!$B$45=1,$AL$13,AD126*AC126/AE126)-AF125)&lt;0.00001,AF125,IF(controls!$B$45=1,$AL$13,AD126*AC126/AE126))</f>
        <v>#DIV/0!</v>
      </c>
      <c r="AG126" s="49">
        <f>IF(controls!$B$46=0,0,IF(controls!$B$33=2,B127-B126*V127-('normal case'!H127-D126*W127-'main page'!$K$27*'normal case'!M126+'main page'!$K$31*'normal case'!AB126)-(('main page'!$K$25*'main page'!$U$13*'main page'!$K$29)/(1+('main page'!$K$25^2)*'main page'!$U$13))*('normal case'!L126-'main page'!$U$8),B127-B126*V127-('normal case'!I127-D126*W127-'main page'!$K$27*'normal case'!M126+'main page'!$K$31*'normal case'!AB126)-(('main page'!$K$25*'main page'!$U$13*'main page'!$K$29)/(1+('main page'!$K$25^2)*'main page'!$U$13))*('normal case'!L126-'main page'!$U$8)))</f>
        <v>0</v>
      </c>
      <c r="AN126" s="40"/>
      <c r="AO126" s="40"/>
    </row>
    <row r="127" spans="1:41">
      <c r="A127" s="48">
        <v>125</v>
      </c>
      <c r="B127" s="75">
        <f ca="1">IF(controls!$B$33=1,B126*(1+V127)+T127,B126*(1+V127))</f>
        <v>100</v>
      </c>
      <c r="C127" s="80">
        <f t="shared" ca="1" si="11"/>
        <v>0</v>
      </c>
      <c r="D127" s="77">
        <f t="shared" ca="1" si="7"/>
        <v>100</v>
      </c>
      <c r="E127" s="77">
        <f ca="1">AG126+IF(controls!$B$33=1,G127,F127)</f>
        <v>100</v>
      </c>
      <c r="F127" s="94">
        <f ca="1">IF(controls!$B$44=0,H127-'main page'!$K$27*M126,H127-'main page'!$K$27*M126+'main page'!$K$31*AB126)</f>
        <v>100</v>
      </c>
      <c r="G127" s="75">
        <f ca="1">IF(controls!$B$44=0,I127-'main page'!$K$27*M126,I127-'main page'!$K$27*M126+'main page'!$K$31*'normal case'!AB126)</f>
        <v>100</v>
      </c>
      <c r="H127" s="75">
        <f t="shared" ca="1" si="12"/>
        <v>108</v>
      </c>
      <c r="I127" s="75">
        <f t="shared" ca="1" si="13"/>
        <v>108</v>
      </c>
      <c r="L127" s="75">
        <f ca="1">IF(ABS('main page'!$K$29*L126+(1-'main page'!$K$29)*(controls!$B$9/100)*100+'main page'!$K$25*(D127-B127)-L126)&lt;0.0000001,L126,'main page'!$K$29*L126+(1-'main page'!$K$29)*(controls!$B$9/100)*100+'main page'!$K$25*(D127-B127))</f>
        <v>2</v>
      </c>
      <c r="M127" s="96">
        <f ca="1">IF(controls!$B$10=1,M126,IF(SUM(controls!$B$44:$B$46)=2,N127-'main page'!$K$29*'normal case'!L127-(1-'main page'!$K$29)*'main page'!$K$32,N127-'main page'!$K$29*'normal case'!L127-(1-'main page'!$K$29)*controls!$B$9))</f>
        <v>4</v>
      </c>
      <c r="N127" s="208">
        <f ca="1">IF(controls!$B$45=1,IF(controls!$B$46=1,'main page'!$K$24+'main page'!$K$11+'main page'!$U$8,'main page'!$K$24+'main page'!$K$11+'main page'!$K$32),IF(controls!$B$44=1,IF(O127&lt;0,0,O127),IF(O127+'main page'!$K$11&lt;0,0,O127+'main page'!$K$11)))</f>
        <v>6</v>
      </c>
      <c r="O127" s="76">
        <f ca="1">IF(controls!$B$10=1,'normal case'!M127+'normal case'!L127,'normal case'!P127)</f>
        <v>6</v>
      </c>
      <c r="P127" s="74">
        <f t="shared" ca="1" si="8"/>
        <v>6</v>
      </c>
      <c r="Q127" s="210">
        <f ca="1">IF(controls!$B$44=0,R127+'main page'!$K$29*L127+(1-'main page'!$K$29)*controls!$B$9+(('main page'!$K$25*'main page'!$U$13*'main page'!$K$29)/('main page'!$K$27*(1+('main page'!$K$25^2)*'main page'!$U$13)))*(L127-controls!$B$9),R127+'main page'!$K$29*L127+(1-'main page'!$K$29)*controls!$B$9+(('main page'!$K$25*'main page'!$U$13*'normal case'!$AO$3)/'normal case'!$AO$4)*('normal case'!L127-controls!$B$9))</f>
        <v>6</v>
      </c>
      <c r="R127" s="98">
        <f ca="1">IF(controls!$B$44=1,'main page'!$K$24+'main page'!$K$11,IF(controls!$B$33=1,((I128-D127*W128-B128+B127*V128)/'main page'!$K$27)-'main page'!$K$11,((H128-D127*W128-B128+B127*V128)/'main page'!$K$27)-'main page'!$K$11))</f>
        <v>4</v>
      </c>
      <c r="T127" s="71">
        <f>IF(controls!$B$6=1,$AL$3*(1+('main page'!$K$35/100))^U127-$AL$3*(1+('main page'!$K$35/100))^U126,$AL$3*(1+('main page'!$G$8/100))*(1+('main page'!$K$35/100))^U127-$AL$3*(1+('main page'!$G$8/100))*(1+('main page'!$K$35/100))^U126)</f>
        <v>0</v>
      </c>
      <c r="U127" s="73">
        <v>120</v>
      </c>
      <c r="V127" s="161">
        <v>0</v>
      </c>
      <c r="W127" s="40">
        <v>0</v>
      </c>
      <c r="X127" s="49">
        <f ca="1">IF(controls!$B$33=1,D127-($I$3-'main page'!$K$27*2)*(1+('main page'!$K$35/100))^A126,D127-$AL$4)</f>
        <v>0</v>
      </c>
      <c r="Y127" s="49">
        <f ca="1">ABS(L127-(controls!$B$9/100)*100)</f>
        <v>0</v>
      </c>
      <c r="AA127" s="49" t="e">
        <f ca="1">IF(controls!$B$33=1,(B128-B127*V128-I128+D127*W128+'main page'!$K$27*('main page'!$K$24+'main page'!$K$11))/'main page'!$K$31,(B128-B127*V128+D127*W128-H128+'main page'!$K$27*('main page'!$K$24+'main page'!$K$11))/'main page'!$K$31)</f>
        <v>#DIV/0!</v>
      </c>
      <c r="AB127" s="49" t="e">
        <f ca="1">IF(controls!$B$45=1,LOG(AF127,1.01)+LOG(AE127,1.01)-LOG(AD127,1.01),-((M127-('main page'!$K$24+'main page'!$K$11))/(1-'normal case'!$AO$3))+'normal case'!AA127)</f>
        <v>#DIV/0!</v>
      </c>
      <c r="AC127" s="176" t="e">
        <f t="shared" ca="1" si="9"/>
        <v>#DIV/0!</v>
      </c>
      <c r="AD127" s="49">
        <f t="shared" ca="1" si="10"/>
        <v>11.652558675863176</v>
      </c>
      <c r="AE127" s="49">
        <f>AE126*(1+'main page'!$K$32/100)</f>
        <v>1</v>
      </c>
      <c r="AF127" s="49" t="e">
        <f ca="1">IF(ABS(IF(controls!$B$45=1,$AL$13,AD127*AC127/AE127)-AF126)&lt;0.00001,AF126,IF(controls!$B$45=1,$AL$13,AD127*AC127/AE127))</f>
        <v>#DIV/0!</v>
      </c>
      <c r="AG127" s="49">
        <f>IF(controls!$B$46=0,0,IF(controls!$B$33=2,B128-B127*V128-('normal case'!H128-D127*W128-'main page'!$K$27*'normal case'!M127+'main page'!$K$31*'normal case'!AB127)-(('main page'!$K$25*'main page'!$U$13*'main page'!$K$29)/(1+('main page'!$K$25^2)*'main page'!$U$13))*('normal case'!L127-'main page'!$U$8),B128-B127*V128-('normal case'!I128-D127*W128-'main page'!$K$27*'normal case'!M127+'main page'!$K$31*'normal case'!AB127)-(('main page'!$K$25*'main page'!$U$13*'main page'!$K$29)/(1+('main page'!$K$25^2)*'main page'!$U$13))*('normal case'!L127-'main page'!$U$8)))</f>
        <v>0</v>
      </c>
      <c r="AN127" s="40"/>
      <c r="AO127" s="40"/>
    </row>
    <row r="128" spans="1:41">
      <c r="A128" s="48">
        <v>126</v>
      </c>
      <c r="B128" s="75">
        <f ca="1">IF(controls!$B$33=1,B127*(1+V128)+T128,B127*(1+V128))</f>
        <v>100</v>
      </c>
      <c r="C128" s="80">
        <f t="shared" ca="1" si="11"/>
        <v>0</v>
      </c>
      <c r="D128" s="77">
        <f t="shared" ca="1" si="7"/>
        <v>100</v>
      </c>
      <c r="E128" s="77">
        <f ca="1">AG127+IF(controls!$B$33=1,G128,F128)</f>
        <v>100</v>
      </c>
      <c r="F128" s="94">
        <f ca="1">IF(controls!$B$44=0,H128-'main page'!$K$27*M127,H128-'main page'!$K$27*M127+'main page'!$K$31*AB127)</f>
        <v>100</v>
      </c>
      <c r="G128" s="75">
        <f ca="1">IF(controls!$B$44=0,I128-'main page'!$K$27*M127,I128-'main page'!$K$27*M127+'main page'!$K$31*'normal case'!AB127)</f>
        <v>100</v>
      </c>
      <c r="H128" s="75">
        <f t="shared" ca="1" si="12"/>
        <v>108</v>
      </c>
      <c r="I128" s="75">
        <f t="shared" ca="1" si="13"/>
        <v>108</v>
      </c>
      <c r="L128" s="75">
        <f ca="1">IF(ABS('main page'!$K$29*L127+(1-'main page'!$K$29)*(controls!$B$9/100)*100+'main page'!$K$25*(D128-B128)-L127)&lt;0.0000001,L127,'main page'!$K$29*L127+(1-'main page'!$K$29)*(controls!$B$9/100)*100+'main page'!$K$25*(D128-B128))</f>
        <v>2</v>
      </c>
      <c r="M128" s="96">
        <f ca="1">IF(controls!$B$10=1,M127,IF(SUM(controls!$B$44:$B$46)=2,N128-'main page'!$K$29*'normal case'!L128-(1-'main page'!$K$29)*'main page'!$K$32,N128-'main page'!$K$29*'normal case'!L128-(1-'main page'!$K$29)*controls!$B$9))</f>
        <v>4</v>
      </c>
      <c r="N128" s="208">
        <f ca="1">IF(controls!$B$45=1,IF(controls!$B$46=1,'main page'!$K$24+'main page'!$K$11+'main page'!$U$8,'main page'!$K$24+'main page'!$K$11+'main page'!$K$32),IF(controls!$B$44=1,IF(O128&lt;0,0,O128),IF(O128+'main page'!$K$11&lt;0,0,O128+'main page'!$K$11)))</f>
        <v>6</v>
      </c>
      <c r="O128" s="76">
        <f ca="1">IF(controls!$B$10=1,'normal case'!M128+'normal case'!L128,'normal case'!P128)</f>
        <v>6</v>
      </c>
      <c r="P128" s="74">
        <f t="shared" ca="1" si="8"/>
        <v>6</v>
      </c>
      <c r="Q128" s="210">
        <f ca="1">IF(controls!$B$44=0,R128+'main page'!$K$29*L128+(1-'main page'!$K$29)*controls!$B$9+(('main page'!$K$25*'main page'!$U$13*'main page'!$K$29)/('main page'!$K$27*(1+('main page'!$K$25^2)*'main page'!$U$13)))*(L128-controls!$B$9),R128+'main page'!$K$29*L128+(1-'main page'!$K$29)*controls!$B$9+(('main page'!$K$25*'main page'!$U$13*'normal case'!$AO$3)/'normal case'!$AO$4)*('normal case'!L128-controls!$B$9))</f>
        <v>6</v>
      </c>
      <c r="R128" s="98">
        <f ca="1">IF(controls!$B$44=1,'main page'!$K$24+'main page'!$K$11,IF(controls!$B$33=1,((I129-D128*W129-B129+B128*V129)/'main page'!$K$27)-'main page'!$K$11,((H129-D128*W129-B129+B128*V129)/'main page'!$K$27)-'main page'!$K$11))</f>
        <v>4</v>
      </c>
      <c r="T128" s="71">
        <f>IF(controls!$B$6=1,$AL$3*(1+('main page'!$K$35/100))^U128-$AL$3*(1+('main page'!$K$35/100))^U127,$AL$3*(1+('main page'!$G$8/100))*(1+('main page'!$K$35/100))^U128-$AL$3*(1+('main page'!$G$8/100))*(1+('main page'!$K$35/100))^U127)</f>
        <v>0</v>
      </c>
      <c r="U128" s="73">
        <v>121</v>
      </c>
      <c r="V128" s="161">
        <f ca="1">IF(controls!$B$4=1,IF(controls!$H127=1,controls!$B$34*V127+RAND()*('main page'!$K$16/100)-RAND()*('main page'!$K$16/100),0),0)</f>
        <v>0</v>
      </c>
      <c r="W128" s="40">
        <f ca="1">IF(controls!$B$4=1,IF(controls!$I127=1,controls!$B$34*W127+RAND()*('main page'!$K$16/100)-RAND()*('main page'!$K$16/100),0),0)</f>
        <v>0</v>
      </c>
      <c r="X128" s="49">
        <f ca="1">IF(controls!$B$33=1,D128-($I$3-'main page'!$K$27*2)*(1+('main page'!$K$35/100))^A127,D128-$AL$4)</f>
        <v>0</v>
      </c>
      <c r="Y128" s="49">
        <f ca="1">ABS(L128-(controls!$B$9/100)*100)</f>
        <v>0</v>
      </c>
      <c r="AA128" s="49" t="e">
        <f ca="1">IF(controls!$B$33=1,(B129-B128*V129-I129+D128*W129+'main page'!$K$27*('main page'!$K$24+'main page'!$K$11))/'main page'!$K$31,(B129-B128*V129+D128*W129-H129+'main page'!$K$27*('main page'!$K$24+'main page'!$K$11))/'main page'!$K$31)</f>
        <v>#DIV/0!</v>
      </c>
      <c r="AB128" s="49" t="e">
        <f ca="1">IF(controls!$B$45=1,LOG(AF128,1.01)+LOG(AE128,1.01)-LOG(AD128,1.01),-((M128-('main page'!$K$24+'main page'!$K$11))/(1-'normal case'!$AO$3))+'normal case'!AA128)</f>
        <v>#DIV/0!</v>
      </c>
      <c r="AC128" s="176" t="e">
        <f t="shared" ca="1" si="9"/>
        <v>#DIV/0!</v>
      </c>
      <c r="AD128" s="49">
        <f t="shared" ca="1" si="10"/>
        <v>11.88560984938044</v>
      </c>
      <c r="AE128" s="49">
        <f>AE127*(1+'main page'!$K$32/100)</f>
        <v>1</v>
      </c>
      <c r="AF128" s="49" t="e">
        <f ca="1">IF(ABS(IF(controls!$B$45=1,$AL$13,AD128*AC128/AE128)-AF127)&lt;0.00001,AF127,IF(controls!$B$45=1,$AL$13,AD128*AC128/AE128))</f>
        <v>#DIV/0!</v>
      </c>
      <c r="AG128" s="49">
        <f>IF(controls!$B$46=0,0,IF(controls!$B$33=2,B129-B128*V129-('normal case'!H129-D128*W129-'main page'!$K$27*'normal case'!M128+'main page'!$K$31*'normal case'!AB128)-(('main page'!$K$25*'main page'!$U$13*'main page'!$K$29)/(1+('main page'!$K$25^2)*'main page'!$U$13))*('normal case'!L128-'main page'!$U$8),B129-B128*V129-('normal case'!I129-D128*W129-'main page'!$K$27*'normal case'!M128+'main page'!$K$31*'normal case'!AB128)-(('main page'!$K$25*'main page'!$U$13*'main page'!$K$29)/(1+('main page'!$K$25^2)*'main page'!$U$13))*('normal case'!L128-'main page'!$U$8)))</f>
        <v>0</v>
      </c>
      <c r="AN128" s="40"/>
      <c r="AO128" s="40"/>
    </row>
    <row r="129" spans="1:41">
      <c r="A129" s="48">
        <v>127</v>
      </c>
      <c r="B129" s="75">
        <f ca="1">IF(controls!$B$33=1,B128*(1+V129)+T129,B128*(1+V129))</f>
        <v>100</v>
      </c>
      <c r="C129" s="80">
        <f t="shared" ca="1" si="11"/>
        <v>0</v>
      </c>
      <c r="D129" s="77">
        <f t="shared" ca="1" si="7"/>
        <v>100</v>
      </c>
      <c r="E129" s="77">
        <f ca="1">AG128+IF(controls!$B$33=1,G129,F129)</f>
        <v>100</v>
      </c>
      <c r="F129" s="94">
        <f ca="1">IF(controls!$B$44=0,H129-'main page'!$K$27*M128,H129-'main page'!$K$27*M128+'main page'!$K$31*AB128)</f>
        <v>100</v>
      </c>
      <c r="G129" s="75">
        <f ca="1">IF(controls!$B$44=0,I129-'main page'!$K$27*M128,I129-'main page'!$K$27*M128+'main page'!$K$31*'normal case'!AB128)</f>
        <v>100</v>
      </c>
      <c r="H129" s="75">
        <f t="shared" ca="1" si="12"/>
        <v>108</v>
      </c>
      <c r="I129" s="75">
        <f t="shared" ca="1" si="13"/>
        <v>108</v>
      </c>
      <c r="L129" s="75">
        <f ca="1">IF(ABS('main page'!$K$29*L128+(1-'main page'!$K$29)*(controls!$B$9/100)*100+'main page'!$K$25*(D129-B129)-L128)&lt;0.0000001,L128,'main page'!$K$29*L128+(1-'main page'!$K$29)*(controls!$B$9/100)*100+'main page'!$K$25*(D129-B129))</f>
        <v>2</v>
      </c>
      <c r="M129" s="96">
        <f ca="1">IF(controls!$B$10=1,M128,IF(SUM(controls!$B$44:$B$46)=2,N129-'main page'!$K$29*'normal case'!L129-(1-'main page'!$K$29)*'main page'!$K$32,N129-'main page'!$K$29*'normal case'!L129-(1-'main page'!$K$29)*controls!$B$9))</f>
        <v>4</v>
      </c>
      <c r="N129" s="208">
        <f ca="1">IF(controls!$B$45=1,IF(controls!$B$46=1,'main page'!$K$24+'main page'!$K$11+'main page'!$U$8,'main page'!$K$24+'main page'!$K$11+'main page'!$K$32),IF(controls!$B$44=1,IF(O129&lt;0,0,O129),IF(O129+'main page'!$K$11&lt;0,0,O129+'main page'!$K$11)))</f>
        <v>6</v>
      </c>
      <c r="O129" s="76">
        <f ca="1">IF(controls!$B$10=1,'normal case'!M129+'normal case'!L129,'normal case'!P129)</f>
        <v>6</v>
      </c>
      <c r="P129" s="74">
        <f t="shared" ca="1" si="8"/>
        <v>6</v>
      </c>
      <c r="Q129" s="210">
        <f ca="1">IF(controls!$B$44=0,R129+'main page'!$K$29*L129+(1-'main page'!$K$29)*controls!$B$9+(('main page'!$K$25*'main page'!$U$13*'main page'!$K$29)/('main page'!$K$27*(1+('main page'!$K$25^2)*'main page'!$U$13)))*(L129-controls!$B$9),R129+'main page'!$K$29*L129+(1-'main page'!$K$29)*controls!$B$9+(('main page'!$K$25*'main page'!$U$13*'normal case'!$AO$3)/'normal case'!$AO$4)*('normal case'!L129-controls!$B$9))</f>
        <v>6</v>
      </c>
      <c r="R129" s="98">
        <f ca="1">IF(controls!$B$44=1,'main page'!$K$24+'main page'!$K$11,IF(controls!$B$33=1,((I130-D129*W130-B130+B129*V130)/'main page'!$K$27)-'main page'!$K$11,((H130-D129*W130-B130+B129*V130)/'main page'!$K$27)-'main page'!$K$11))</f>
        <v>4</v>
      </c>
      <c r="T129" s="71">
        <f>IF(controls!$B$6=1,$AL$3*(1+('main page'!$K$35/100))^U129-$AL$3*(1+('main page'!$K$35/100))^U128,$AL$3*(1+('main page'!$G$8/100))*(1+('main page'!$K$35/100))^U129-$AL$3*(1+('main page'!$G$8/100))*(1+('main page'!$K$35/100))^U128)</f>
        <v>0</v>
      </c>
      <c r="U129" s="73">
        <v>122</v>
      </c>
      <c r="V129" s="161">
        <v>0</v>
      </c>
      <c r="W129" s="40">
        <v>0</v>
      </c>
      <c r="X129" s="49">
        <f ca="1">IF(controls!$B$33=1,D129-($I$3-'main page'!$K$27*2)*(1+('main page'!$K$35/100))^A128,D129-$AL$4)</f>
        <v>0</v>
      </c>
      <c r="Y129" s="49">
        <f ca="1">ABS(L129-(controls!$B$9/100)*100)</f>
        <v>0</v>
      </c>
      <c r="AA129" s="49" t="e">
        <f ca="1">IF(controls!$B$33=1,(B130-B129*V130-I130+D129*W130+'main page'!$K$27*('main page'!$K$24+'main page'!$K$11))/'main page'!$K$31,(B130-B129*V130+D129*W130-H130+'main page'!$K$27*('main page'!$K$24+'main page'!$K$11))/'main page'!$K$31)</f>
        <v>#DIV/0!</v>
      </c>
      <c r="AB129" s="49" t="e">
        <f ca="1">IF(controls!$B$45=1,LOG(AF129,1.01)+LOG(AE129,1.01)-LOG(AD129,1.01),-((M129-('main page'!$K$24+'main page'!$K$11))/(1-'normal case'!$AO$3))+'normal case'!AA129)</f>
        <v>#DIV/0!</v>
      </c>
      <c r="AC129" s="176" t="e">
        <f t="shared" ca="1" si="9"/>
        <v>#DIV/0!</v>
      </c>
      <c r="AD129" s="49">
        <f t="shared" ca="1" si="10"/>
        <v>12.123322046368049</v>
      </c>
      <c r="AE129" s="49">
        <f>AE128*(1+'main page'!$K$32/100)</f>
        <v>1</v>
      </c>
      <c r="AF129" s="49" t="e">
        <f ca="1">IF(ABS(IF(controls!$B$45=1,$AL$13,AD129*AC129/AE129)-AF128)&lt;0.00001,AF128,IF(controls!$B$45=1,$AL$13,AD129*AC129/AE129))</f>
        <v>#DIV/0!</v>
      </c>
      <c r="AG129" s="49">
        <f>IF(controls!$B$46=0,0,IF(controls!$B$33=2,B130-B129*V130-('normal case'!H130-D129*W130-'main page'!$K$27*'normal case'!M129+'main page'!$K$31*'normal case'!AB129)-(('main page'!$K$25*'main page'!$U$13*'main page'!$K$29)/(1+('main page'!$K$25^2)*'main page'!$U$13))*('normal case'!L129-'main page'!$U$8),B130-B129*V130-('normal case'!I130-D129*W130-'main page'!$K$27*'normal case'!M129+'main page'!$K$31*'normal case'!AB129)-(('main page'!$K$25*'main page'!$U$13*'main page'!$K$29)/(1+('main page'!$K$25^2)*'main page'!$U$13))*('normal case'!L129-'main page'!$U$8)))</f>
        <v>0</v>
      </c>
      <c r="AN129" s="40"/>
      <c r="AO129" s="40"/>
    </row>
    <row r="130" spans="1:41">
      <c r="A130" s="48">
        <v>128</v>
      </c>
      <c r="B130" s="75">
        <f ca="1">IF(controls!$B$33=1,B129*(1+V130)+T130,B129*(1+V130))</f>
        <v>100</v>
      </c>
      <c r="C130" s="80">
        <f t="shared" ca="1" si="11"/>
        <v>0</v>
      </c>
      <c r="D130" s="77">
        <f t="shared" ca="1" si="7"/>
        <v>100</v>
      </c>
      <c r="E130" s="77">
        <f ca="1">AG129+IF(controls!$B$33=1,G130,F130)</f>
        <v>100</v>
      </c>
      <c r="F130" s="94">
        <f ca="1">IF(controls!$B$44=0,H130-'main page'!$K$27*M129,H130-'main page'!$K$27*M129+'main page'!$K$31*AB129)</f>
        <v>100</v>
      </c>
      <c r="G130" s="75">
        <f ca="1">IF(controls!$B$44=0,I130-'main page'!$K$27*M129,I130-'main page'!$K$27*M129+'main page'!$K$31*'normal case'!AB129)</f>
        <v>100</v>
      </c>
      <c r="H130" s="75">
        <f t="shared" ca="1" si="12"/>
        <v>108</v>
      </c>
      <c r="I130" s="75">
        <f t="shared" ca="1" si="13"/>
        <v>108</v>
      </c>
      <c r="L130" s="75">
        <f ca="1">IF(ABS('main page'!$K$29*L129+(1-'main page'!$K$29)*(controls!$B$9/100)*100+'main page'!$K$25*(D130-B130)-L129)&lt;0.0000001,L129,'main page'!$K$29*L129+(1-'main page'!$K$29)*(controls!$B$9/100)*100+'main page'!$K$25*(D130-B130))</f>
        <v>2</v>
      </c>
      <c r="M130" s="96">
        <f ca="1">IF(controls!$B$10=1,M129,IF(SUM(controls!$B$44:$B$46)=2,N130-'main page'!$K$29*'normal case'!L130-(1-'main page'!$K$29)*'main page'!$K$32,N130-'main page'!$K$29*'normal case'!L130-(1-'main page'!$K$29)*controls!$B$9))</f>
        <v>4</v>
      </c>
      <c r="N130" s="208">
        <f ca="1">IF(controls!$B$45=1,IF(controls!$B$46=1,'main page'!$K$24+'main page'!$K$11+'main page'!$U$8,'main page'!$K$24+'main page'!$K$11+'main page'!$K$32),IF(controls!$B$44=1,IF(O130&lt;0,0,O130),IF(O130+'main page'!$K$11&lt;0,0,O130+'main page'!$K$11)))</f>
        <v>6</v>
      </c>
      <c r="O130" s="76">
        <f ca="1">IF(controls!$B$10=1,'normal case'!M130+'normal case'!L130,'normal case'!P130)</f>
        <v>6</v>
      </c>
      <c r="P130" s="74">
        <f t="shared" ca="1" si="8"/>
        <v>6</v>
      </c>
      <c r="Q130" s="210">
        <f ca="1">IF(controls!$B$44=0,R130+'main page'!$K$29*L130+(1-'main page'!$K$29)*controls!$B$9+(('main page'!$K$25*'main page'!$U$13*'main page'!$K$29)/('main page'!$K$27*(1+('main page'!$K$25^2)*'main page'!$U$13)))*(L130-controls!$B$9),R130+'main page'!$K$29*L130+(1-'main page'!$K$29)*controls!$B$9+(('main page'!$K$25*'main page'!$U$13*'normal case'!$AO$3)/'normal case'!$AO$4)*('normal case'!L130-controls!$B$9))</f>
        <v>6</v>
      </c>
      <c r="R130" s="98">
        <f ca="1">IF(controls!$B$44=1,'main page'!$K$24+'main page'!$K$11,IF(controls!$B$33=1,((I131-D130*W131-B131+B130*V131)/'main page'!$K$27)-'main page'!$K$11,((H131-D130*W131-B131+B130*V131)/'main page'!$K$27)-'main page'!$K$11))</f>
        <v>4</v>
      </c>
      <c r="T130" s="71">
        <f>IF(controls!$B$6=1,$AL$3*(1+('main page'!$K$35/100))^U130-$AL$3*(1+('main page'!$K$35/100))^U129,$AL$3*(1+('main page'!$G$8/100))*(1+('main page'!$K$35/100))^U130-$AL$3*(1+('main page'!$G$8/100))*(1+('main page'!$K$35/100))^U129)</f>
        <v>0</v>
      </c>
      <c r="U130" s="73">
        <v>123</v>
      </c>
      <c r="V130" s="161">
        <v>0</v>
      </c>
      <c r="W130" s="40">
        <v>0</v>
      </c>
      <c r="X130" s="49">
        <f ca="1">IF(controls!$B$33=1,D130-($I$3-'main page'!$K$27*2)*(1+('main page'!$K$35/100))^A129,D130-$AL$4)</f>
        <v>0</v>
      </c>
      <c r="Y130" s="49">
        <f ca="1">ABS(L130-(controls!$B$9/100)*100)</f>
        <v>0</v>
      </c>
      <c r="AA130" s="49" t="e">
        <f ca="1">IF(controls!$B$33=1,(B131-B130*V131-I131+D130*W131+'main page'!$K$27*('main page'!$K$24+'main page'!$K$11))/'main page'!$K$31,(B131-B130*V131+D130*W131-H131+'main page'!$K$27*('main page'!$K$24+'main page'!$K$11))/'main page'!$K$31)</f>
        <v>#DIV/0!</v>
      </c>
      <c r="AB130" s="49" t="e">
        <f ca="1">IF(controls!$B$45=1,LOG(AF130,1.01)+LOG(AE130,1.01)-LOG(AD130,1.01),-((M130-('main page'!$K$24+'main page'!$K$11))/(1-'normal case'!$AO$3))+'normal case'!AA130)</f>
        <v>#DIV/0!</v>
      </c>
      <c r="AC130" s="176" t="e">
        <f t="shared" ca="1" si="9"/>
        <v>#DIV/0!</v>
      </c>
      <c r="AD130" s="49">
        <f t="shared" ca="1" si="10"/>
        <v>12.36578848729541</v>
      </c>
      <c r="AE130" s="49">
        <f>AE129*(1+'main page'!$K$32/100)</f>
        <v>1</v>
      </c>
      <c r="AF130" s="49" t="e">
        <f ca="1">IF(ABS(IF(controls!$B$45=1,$AL$13,AD130*AC130/AE130)-AF129)&lt;0.00001,AF129,IF(controls!$B$45=1,$AL$13,AD130*AC130/AE130))</f>
        <v>#DIV/0!</v>
      </c>
      <c r="AG130" s="49">
        <f>IF(controls!$B$46=0,0,IF(controls!$B$33=2,B131-B130*V131-('normal case'!H131-D130*W131-'main page'!$K$27*'normal case'!M130+'main page'!$K$31*'normal case'!AB130)-(('main page'!$K$25*'main page'!$U$13*'main page'!$K$29)/(1+('main page'!$K$25^2)*'main page'!$U$13))*('normal case'!L130-'main page'!$U$8),B131-B130*V131-('normal case'!I131-D130*W131-'main page'!$K$27*'normal case'!M130+'main page'!$K$31*'normal case'!AB130)-(('main page'!$K$25*'main page'!$U$13*'main page'!$K$29)/(1+('main page'!$K$25^2)*'main page'!$U$13))*('normal case'!L130-'main page'!$U$8)))</f>
        <v>0</v>
      </c>
      <c r="AN130" s="40"/>
      <c r="AO130" s="40"/>
    </row>
    <row r="131" spans="1:41">
      <c r="A131" s="48">
        <v>129</v>
      </c>
      <c r="B131" s="75">
        <f ca="1">IF(controls!$B$33=1,B130*(1+V131)+T131,B130*(1+V131))</f>
        <v>100</v>
      </c>
      <c r="C131" s="80">
        <f t="shared" ca="1" si="11"/>
        <v>0</v>
      </c>
      <c r="D131" s="77">
        <f t="shared" ca="1" si="7"/>
        <v>100</v>
      </c>
      <c r="E131" s="77">
        <f ca="1">AG130+IF(controls!$B$33=1,G131,F131)</f>
        <v>100</v>
      </c>
      <c r="F131" s="94">
        <f ca="1">IF(controls!$B$44=0,H131-'main page'!$K$27*M130,H131-'main page'!$K$27*M130+'main page'!$K$31*AB130)</f>
        <v>100</v>
      </c>
      <c r="G131" s="75">
        <f ca="1">IF(controls!$B$44=0,I131-'main page'!$K$27*M130,I131-'main page'!$K$27*M130+'main page'!$K$31*'normal case'!AB130)</f>
        <v>100</v>
      </c>
      <c r="H131" s="75">
        <f t="shared" ca="1" si="12"/>
        <v>108</v>
      </c>
      <c r="I131" s="75">
        <f t="shared" ca="1" si="13"/>
        <v>108</v>
      </c>
      <c r="L131" s="75">
        <f ca="1">IF(ABS('main page'!$K$29*L130+(1-'main page'!$K$29)*(controls!$B$9/100)*100+'main page'!$K$25*(D131-B131)-L130)&lt;0.0000001,L130,'main page'!$K$29*L130+(1-'main page'!$K$29)*(controls!$B$9/100)*100+'main page'!$K$25*(D131-B131))</f>
        <v>2</v>
      </c>
      <c r="M131" s="96">
        <f ca="1">IF(controls!$B$10=1,M130,IF(SUM(controls!$B$44:$B$46)=2,N131-'main page'!$K$29*'normal case'!L131-(1-'main page'!$K$29)*'main page'!$K$32,N131-'main page'!$K$29*'normal case'!L131-(1-'main page'!$K$29)*controls!$B$9))</f>
        <v>4</v>
      </c>
      <c r="N131" s="208">
        <f ca="1">IF(controls!$B$45=1,IF(controls!$B$46=1,'main page'!$K$24+'main page'!$K$11+'main page'!$U$8,'main page'!$K$24+'main page'!$K$11+'main page'!$K$32),IF(controls!$B$44=1,IF(O131&lt;0,0,O131),IF(O131+'main page'!$K$11&lt;0,0,O131+'main page'!$K$11)))</f>
        <v>6</v>
      </c>
      <c r="O131" s="76">
        <f ca="1">IF(controls!$B$10=1,'normal case'!M131+'normal case'!L131,'normal case'!P131)</f>
        <v>6</v>
      </c>
      <c r="P131" s="74">
        <f t="shared" ca="1" si="8"/>
        <v>6</v>
      </c>
      <c r="Q131" s="210">
        <f ca="1">IF(controls!$B$44=0,R131+'main page'!$K$29*L131+(1-'main page'!$K$29)*controls!$B$9+(('main page'!$K$25*'main page'!$U$13*'main page'!$K$29)/('main page'!$K$27*(1+('main page'!$K$25^2)*'main page'!$U$13)))*(L131-controls!$B$9),R131+'main page'!$K$29*L131+(1-'main page'!$K$29)*controls!$B$9+(('main page'!$K$25*'main page'!$U$13*'normal case'!$AO$3)/'normal case'!$AO$4)*('normal case'!L131-controls!$B$9))</f>
        <v>6</v>
      </c>
      <c r="R131" s="98">
        <f ca="1">IF(controls!$B$44=1,'main page'!$K$24+'main page'!$K$11,IF(controls!$B$33=1,((I132-D131*W132-B132+B131*V132)/'main page'!$K$27)-'main page'!$K$11,((H132-D131*W132-B132+B131*V132)/'main page'!$K$27)-'main page'!$K$11))</f>
        <v>4</v>
      </c>
      <c r="T131" s="71">
        <f>IF(controls!$B$6=1,$AL$3*(1+('main page'!$K$35/100))^U131-$AL$3*(1+('main page'!$K$35/100))^U130,$AL$3*(1+('main page'!$G$8/100))*(1+('main page'!$K$35/100))^U131-$AL$3*(1+('main page'!$G$8/100))*(1+('main page'!$K$35/100))^U130)</f>
        <v>0</v>
      </c>
      <c r="U131" s="73">
        <v>124</v>
      </c>
      <c r="V131" s="161">
        <f ca="1">IF(controls!$B$4=1,IF(controls!$H130=1,controls!$B$34*V130+RAND()*('main page'!$K$16/100)-RAND()*('main page'!$K$16/100),0),0)</f>
        <v>0</v>
      </c>
      <c r="W131" s="40">
        <f ca="1">IF(controls!$B$4=1,IF(controls!$I130=1,controls!$B$34*W130+RAND()*('main page'!$K$16/100)-RAND()*('main page'!$K$16/100),0),0)</f>
        <v>0</v>
      </c>
      <c r="X131" s="49">
        <f ca="1">IF(controls!$B$33=1,D131-($I$3-'main page'!$K$27*2)*(1+('main page'!$K$35/100))^A130,D131-$AL$4)</f>
        <v>0</v>
      </c>
      <c r="Y131" s="49">
        <f ca="1">ABS(L131-(controls!$B$9/100)*100)</f>
        <v>0</v>
      </c>
      <c r="AA131" s="49" t="e">
        <f ca="1">IF(controls!$B$33=1,(B132-B131*V132-I132+D131*W132+'main page'!$K$27*('main page'!$K$24+'main page'!$K$11))/'main page'!$K$31,(B132-B131*V132+D131*W132-H132+'main page'!$K$27*('main page'!$K$24+'main page'!$K$11))/'main page'!$K$31)</f>
        <v>#DIV/0!</v>
      </c>
      <c r="AB131" s="49" t="e">
        <f ca="1">IF(controls!$B$45=1,LOG(AF131,1.01)+LOG(AE131,1.01)-LOG(AD131,1.01),-((M131-('main page'!$K$24+'main page'!$K$11))/(1-'normal case'!$AO$3))+'normal case'!AA131)</f>
        <v>#DIV/0!</v>
      </c>
      <c r="AC131" s="176" t="e">
        <f t="shared" ca="1" si="9"/>
        <v>#DIV/0!</v>
      </c>
      <c r="AD131" s="49">
        <f t="shared" ca="1" si="10"/>
        <v>12.613104257041318</v>
      </c>
      <c r="AE131" s="49">
        <f>AE130*(1+'main page'!$K$32/100)</f>
        <v>1</v>
      </c>
      <c r="AF131" s="49" t="e">
        <f ca="1">IF(ABS(IF(controls!$B$45=1,$AL$13,AD131*AC131/AE131)-AF130)&lt;0.00001,AF130,IF(controls!$B$45=1,$AL$13,AD131*AC131/AE131))</f>
        <v>#DIV/0!</v>
      </c>
      <c r="AG131" s="49">
        <f>IF(controls!$B$46=0,0,IF(controls!$B$33=2,B132-B131*V132-('normal case'!H132-D131*W132-'main page'!$K$27*'normal case'!M131+'main page'!$K$31*'normal case'!AB131)-(('main page'!$K$25*'main page'!$U$13*'main page'!$K$29)/(1+('main page'!$K$25^2)*'main page'!$U$13))*('normal case'!L131-'main page'!$U$8),B132-B131*V132-('normal case'!I132-D131*W132-'main page'!$K$27*'normal case'!M131+'main page'!$K$31*'normal case'!AB131)-(('main page'!$K$25*'main page'!$U$13*'main page'!$K$29)/(1+('main page'!$K$25^2)*'main page'!$U$13))*('normal case'!L131-'main page'!$U$8)))</f>
        <v>0</v>
      </c>
      <c r="AN131" s="40"/>
      <c r="AO131" s="40"/>
    </row>
    <row r="132" spans="1:41">
      <c r="A132" s="48">
        <v>130</v>
      </c>
      <c r="B132" s="75">
        <f ca="1">IF(controls!$B$33=1,B131*(1+V132)+T132,B131*(1+V132))</f>
        <v>100</v>
      </c>
      <c r="C132" s="80">
        <f t="shared" ca="1" si="11"/>
        <v>0</v>
      </c>
      <c r="D132" s="77">
        <f t="shared" ref="D132:D195" ca="1" si="14">IF(E132&gt;0,E132,0.1)</f>
        <v>100</v>
      </c>
      <c r="E132" s="77">
        <f ca="1">AG131+IF(controls!$B$33=1,G132,F132)</f>
        <v>100</v>
      </c>
      <c r="F132" s="94">
        <f ca="1">IF(controls!$B$44=0,H132-'main page'!$K$27*M131,H132-'main page'!$K$27*M131+'main page'!$K$31*AB131)</f>
        <v>100</v>
      </c>
      <c r="G132" s="75">
        <f ca="1">IF(controls!$B$44=0,I132-'main page'!$K$27*M131,I132-'main page'!$K$27*M131+'main page'!$K$31*'normal case'!AB131)</f>
        <v>100</v>
      </c>
      <c r="H132" s="75">
        <f t="shared" ca="1" si="12"/>
        <v>108</v>
      </c>
      <c r="I132" s="75">
        <f t="shared" ca="1" si="13"/>
        <v>108</v>
      </c>
      <c r="L132" s="75">
        <f ca="1">IF(ABS('main page'!$K$29*L131+(1-'main page'!$K$29)*(controls!$B$9/100)*100+'main page'!$K$25*(D132-B132)-L131)&lt;0.0000001,L131,'main page'!$K$29*L131+(1-'main page'!$K$29)*(controls!$B$9/100)*100+'main page'!$K$25*(D132-B132))</f>
        <v>2</v>
      </c>
      <c r="M132" s="96">
        <f ca="1">IF(controls!$B$10=1,M131,IF(SUM(controls!$B$44:$B$46)=2,N132-'main page'!$K$29*'normal case'!L132-(1-'main page'!$K$29)*'main page'!$K$32,N132-'main page'!$K$29*'normal case'!L132-(1-'main page'!$K$29)*controls!$B$9))</f>
        <v>4</v>
      </c>
      <c r="N132" s="208">
        <f ca="1">IF(controls!$B$45=1,IF(controls!$B$46=1,'main page'!$K$24+'main page'!$K$11+'main page'!$U$8,'main page'!$K$24+'main page'!$K$11+'main page'!$K$32),IF(controls!$B$44=1,IF(O132&lt;0,0,O132),IF(O132+'main page'!$K$11&lt;0,0,O132+'main page'!$K$11)))</f>
        <v>6</v>
      </c>
      <c r="O132" s="76">
        <f ca="1">IF(controls!$B$10=1,'normal case'!M132+'normal case'!L132,'normal case'!P132)</f>
        <v>6</v>
      </c>
      <c r="P132" s="74">
        <f t="shared" ref="P132:P195" ca="1" si="15">IF(Q132&lt;0,0,Q132)</f>
        <v>6</v>
      </c>
      <c r="Q132" s="210">
        <f ca="1">IF(controls!$B$44=0,R132+'main page'!$K$29*L132+(1-'main page'!$K$29)*controls!$B$9+(('main page'!$K$25*'main page'!$U$13*'main page'!$K$29)/('main page'!$K$27*(1+('main page'!$K$25^2)*'main page'!$U$13)))*(L132-controls!$B$9),R132+'main page'!$K$29*L132+(1-'main page'!$K$29)*controls!$B$9+(('main page'!$K$25*'main page'!$U$13*'normal case'!$AO$3)/'normal case'!$AO$4)*('normal case'!L132-controls!$B$9))</f>
        <v>6</v>
      </c>
      <c r="R132" s="98">
        <f ca="1">IF(controls!$B$44=1,'main page'!$K$24+'main page'!$K$11,IF(controls!$B$33=1,((I133-D132*W133-B133+B132*V133)/'main page'!$K$27)-'main page'!$K$11,((H133-D132*W133-B133+B132*V133)/'main page'!$K$27)-'main page'!$K$11))</f>
        <v>4</v>
      </c>
      <c r="T132" s="71">
        <f>IF(controls!$B$6=1,$AL$3*(1+('main page'!$K$35/100))^U132-$AL$3*(1+('main page'!$K$35/100))^U131,$AL$3*(1+('main page'!$G$8/100))*(1+('main page'!$K$35/100))^U132-$AL$3*(1+('main page'!$G$8/100))*(1+('main page'!$K$35/100))^U131)</f>
        <v>0</v>
      </c>
      <c r="U132" s="73">
        <v>125</v>
      </c>
      <c r="V132" s="161">
        <v>0</v>
      </c>
      <c r="W132" s="40">
        <v>0</v>
      </c>
      <c r="X132" s="49">
        <f ca="1">IF(controls!$B$33=1,D132-($I$3-'main page'!$K$27*2)*(1+('main page'!$K$35/100))^A131,D132-$AL$4)</f>
        <v>0</v>
      </c>
      <c r="Y132" s="49">
        <f ca="1">ABS(L132-(controls!$B$9/100)*100)</f>
        <v>0</v>
      </c>
      <c r="AA132" s="49" t="e">
        <f ca="1">IF(controls!$B$33=1,(B133-B132*V133-I133+D132*W133+'main page'!$K$27*('main page'!$K$24+'main page'!$K$11))/'main page'!$K$31,(B133-B132*V133+D132*W133-H133+'main page'!$K$27*('main page'!$K$24+'main page'!$K$11))/'main page'!$K$31)</f>
        <v>#DIV/0!</v>
      </c>
      <c r="AB132" s="49" t="e">
        <f ca="1">IF(controls!$B$45=1,LOG(AF132,1.01)+LOG(AE132,1.01)-LOG(AD132,1.01),-((M132-('main page'!$K$24+'main page'!$K$11))/(1-'normal case'!$AO$3))+'normal case'!AA132)</f>
        <v>#DIV/0!</v>
      </c>
      <c r="AC132" s="176" t="e">
        <f t="shared" ref="AC132:AC195" ca="1" si="16">IF(ABS(1.025^AB132-1)&lt;0.000000000001,1,1.025^AB132)</f>
        <v>#DIV/0!</v>
      </c>
      <c r="AD132" s="49">
        <f t="shared" ref="AD132:AD195" ca="1" si="17">AD131*(1+L132/100)</f>
        <v>12.865366342182144</v>
      </c>
      <c r="AE132" s="49">
        <f>AE131*(1+'main page'!$K$32/100)</f>
        <v>1</v>
      </c>
      <c r="AF132" s="49" t="e">
        <f ca="1">IF(ABS(IF(controls!$B$45=1,$AL$13,AD132*AC132/AE132)-AF131)&lt;0.00001,AF131,IF(controls!$B$45=1,$AL$13,AD132*AC132/AE132))</f>
        <v>#DIV/0!</v>
      </c>
      <c r="AG132" s="49">
        <f>IF(controls!$B$46=0,0,IF(controls!$B$33=2,B133-B132*V133-('normal case'!H133-D132*W133-'main page'!$K$27*'normal case'!M132+'main page'!$K$31*'normal case'!AB132)-(('main page'!$K$25*'main page'!$U$13*'main page'!$K$29)/(1+('main page'!$K$25^2)*'main page'!$U$13))*('normal case'!L132-'main page'!$U$8),B133-B132*V133-('normal case'!I133-D132*W133-'main page'!$K$27*'normal case'!M132+'main page'!$K$31*'normal case'!AB132)-(('main page'!$K$25*'main page'!$U$13*'main page'!$K$29)/(1+('main page'!$K$25^2)*'main page'!$U$13))*('normal case'!L132-'main page'!$U$8)))</f>
        <v>0</v>
      </c>
      <c r="AN132" s="40"/>
      <c r="AO132" s="40"/>
    </row>
    <row r="133" spans="1:41">
      <c r="A133" s="48">
        <v>131</v>
      </c>
      <c r="B133" s="75">
        <f ca="1">IF(controls!$B$33=1,B132*(1+V133)+T133,B132*(1+V133))</f>
        <v>100</v>
      </c>
      <c r="C133" s="80">
        <f t="shared" ca="1" si="11"/>
        <v>0</v>
      </c>
      <c r="D133" s="77">
        <f t="shared" ca="1" si="14"/>
        <v>100</v>
      </c>
      <c r="E133" s="77">
        <f ca="1">AG132+IF(controls!$B$33=1,G133,F133)</f>
        <v>100</v>
      </c>
      <c r="F133" s="94">
        <f ca="1">IF(controls!$B$44=0,H133-'main page'!$K$27*M132,H133-'main page'!$K$27*M132+'main page'!$K$31*AB132)</f>
        <v>100</v>
      </c>
      <c r="G133" s="75">
        <f ca="1">IF(controls!$B$44=0,I133-'main page'!$K$27*M132,I133-'main page'!$K$27*M132+'main page'!$K$31*'normal case'!AB132)</f>
        <v>100</v>
      </c>
      <c r="H133" s="75">
        <f t="shared" ca="1" si="12"/>
        <v>108</v>
      </c>
      <c r="I133" s="75">
        <f t="shared" ca="1" si="13"/>
        <v>108</v>
      </c>
      <c r="L133" s="75">
        <f ca="1">IF(ABS('main page'!$K$29*L132+(1-'main page'!$K$29)*(controls!$B$9/100)*100+'main page'!$K$25*(D133-B133)-L132)&lt;0.0000001,L132,'main page'!$K$29*L132+(1-'main page'!$K$29)*(controls!$B$9/100)*100+'main page'!$K$25*(D133-B133))</f>
        <v>2</v>
      </c>
      <c r="M133" s="96">
        <f ca="1">IF(controls!$B$10=1,M132,IF(SUM(controls!$B$44:$B$46)=2,N133-'main page'!$K$29*'normal case'!L133-(1-'main page'!$K$29)*'main page'!$K$32,N133-'main page'!$K$29*'normal case'!L133-(1-'main page'!$K$29)*controls!$B$9))</f>
        <v>4</v>
      </c>
      <c r="N133" s="208">
        <f ca="1">IF(controls!$B$45=1,IF(controls!$B$46=1,'main page'!$K$24+'main page'!$K$11+'main page'!$U$8,'main page'!$K$24+'main page'!$K$11+'main page'!$K$32),IF(controls!$B$44=1,IF(O133&lt;0,0,O133),IF(O133+'main page'!$K$11&lt;0,0,O133+'main page'!$K$11)))</f>
        <v>6</v>
      </c>
      <c r="O133" s="76">
        <f ca="1">IF(controls!$B$10=1,'normal case'!M133+'normal case'!L133,'normal case'!P133)</f>
        <v>6</v>
      </c>
      <c r="P133" s="74">
        <f t="shared" ca="1" si="15"/>
        <v>6</v>
      </c>
      <c r="Q133" s="210">
        <f ca="1">IF(controls!$B$44=0,R133+'main page'!$K$29*L133+(1-'main page'!$K$29)*controls!$B$9+(('main page'!$K$25*'main page'!$U$13*'main page'!$K$29)/('main page'!$K$27*(1+('main page'!$K$25^2)*'main page'!$U$13)))*(L133-controls!$B$9),R133+'main page'!$K$29*L133+(1-'main page'!$K$29)*controls!$B$9+(('main page'!$K$25*'main page'!$U$13*'normal case'!$AO$3)/'normal case'!$AO$4)*('normal case'!L133-controls!$B$9))</f>
        <v>6</v>
      </c>
      <c r="R133" s="98">
        <f ca="1">IF(controls!$B$44=1,'main page'!$K$24+'main page'!$K$11,IF(controls!$B$33=1,((I134-D133*W134-B134+B133*V134)/'main page'!$K$27)-'main page'!$K$11,((H134-D133*W134-B134+B133*V134)/'main page'!$K$27)-'main page'!$K$11))</f>
        <v>4</v>
      </c>
      <c r="T133" s="71">
        <f>IF(controls!$B$6=1,$AL$3*(1+('main page'!$K$35/100))^U133-$AL$3*(1+('main page'!$K$35/100))^U132,$AL$3*(1+('main page'!$G$8/100))*(1+('main page'!$K$35/100))^U133-$AL$3*(1+('main page'!$G$8/100))*(1+('main page'!$K$35/100))^U132)</f>
        <v>0</v>
      </c>
      <c r="U133" s="73">
        <v>126</v>
      </c>
      <c r="V133" s="161">
        <v>0</v>
      </c>
      <c r="W133" s="40">
        <v>0</v>
      </c>
      <c r="X133" s="49">
        <f ca="1">IF(controls!$B$33=1,D133-($I$3-'main page'!$K$27*2)*(1+('main page'!$K$35/100))^A132,D133-$AL$4)</f>
        <v>0</v>
      </c>
      <c r="Y133" s="49">
        <f ca="1">ABS(L133-(controls!$B$9/100)*100)</f>
        <v>0</v>
      </c>
      <c r="AA133" s="49" t="e">
        <f ca="1">IF(controls!$B$33=1,(B134-B133*V134-I134+D133*W134+'main page'!$K$27*('main page'!$K$24+'main page'!$K$11))/'main page'!$K$31,(B134-B133*V134+D133*W134-H134+'main page'!$K$27*('main page'!$K$24+'main page'!$K$11))/'main page'!$K$31)</f>
        <v>#DIV/0!</v>
      </c>
      <c r="AB133" s="49" t="e">
        <f ca="1">IF(controls!$B$45=1,LOG(AF133,1.01)+LOG(AE133,1.01)-LOG(AD133,1.01),-((M133-('main page'!$K$24+'main page'!$K$11))/(1-'normal case'!$AO$3))+'normal case'!AA133)</f>
        <v>#DIV/0!</v>
      </c>
      <c r="AC133" s="176" t="e">
        <f t="shared" ca="1" si="16"/>
        <v>#DIV/0!</v>
      </c>
      <c r="AD133" s="49">
        <f t="shared" ca="1" si="17"/>
        <v>13.122673669025787</v>
      </c>
      <c r="AE133" s="49">
        <f>AE132*(1+'main page'!$K$32/100)</f>
        <v>1</v>
      </c>
      <c r="AF133" s="49" t="e">
        <f ca="1">IF(ABS(IF(controls!$B$45=1,$AL$13,AD133*AC133/AE133)-AF132)&lt;0.00001,AF132,IF(controls!$B$45=1,$AL$13,AD133*AC133/AE133))</f>
        <v>#DIV/0!</v>
      </c>
      <c r="AG133" s="49">
        <f>IF(controls!$B$46=0,0,IF(controls!$B$33=2,B134-B133*V134-('normal case'!H134-D133*W134-'main page'!$K$27*'normal case'!M133+'main page'!$K$31*'normal case'!AB133)-(('main page'!$K$25*'main page'!$U$13*'main page'!$K$29)/(1+('main page'!$K$25^2)*'main page'!$U$13))*('normal case'!L133-'main page'!$U$8),B134-B133*V134-('normal case'!I134-D133*W134-'main page'!$K$27*'normal case'!M133+'main page'!$K$31*'normal case'!AB133)-(('main page'!$K$25*'main page'!$U$13*'main page'!$K$29)/(1+('main page'!$K$25^2)*'main page'!$U$13))*('normal case'!L133-'main page'!$U$8)))</f>
        <v>0</v>
      </c>
      <c r="AN133" s="40"/>
      <c r="AO133" s="40"/>
    </row>
    <row r="134" spans="1:41">
      <c r="A134" s="48">
        <v>132</v>
      </c>
      <c r="B134" s="75">
        <f ca="1">IF(controls!$B$33=1,B133*(1+V134)+T134,B133*(1+V134))</f>
        <v>100</v>
      </c>
      <c r="C134" s="80">
        <f t="shared" ref="C134:C197" ca="1" si="18">IF(ABS((D134/D133-1)-C133)&lt;0.000001,C133,D134/D133-1)</f>
        <v>0</v>
      </c>
      <c r="D134" s="77">
        <f t="shared" ca="1" si="14"/>
        <v>100</v>
      </c>
      <c r="E134" s="77">
        <f ca="1">AG133+IF(controls!$B$33=1,G134,F134)</f>
        <v>100</v>
      </c>
      <c r="F134" s="94">
        <f ca="1">IF(controls!$B$44=0,H134-'main page'!$K$27*M133,H134-'main page'!$K$27*M133+'main page'!$K$31*AB133)</f>
        <v>100</v>
      </c>
      <c r="G134" s="75">
        <f ca="1">IF(controls!$B$44=0,I134-'main page'!$K$27*M133,I134-'main page'!$K$27*M133+'main page'!$K$31*'normal case'!AB133)</f>
        <v>100</v>
      </c>
      <c r="H134" s="75">
        <f t="shared" ca="1" si="12"/>
        <v>108</v>
      </c>
      <c r="I134" s="75">
        <f t="shared" ca="1" si="13"/>
        <v>108</v>
      </c>
      <c r="L134" s="75">
        <f ca="1">IF(ABS('main page'!$K$29*L133+(1-'main page'!$K$29)*(controls!$B$9/100)*100+'main page'!$K$25*(D134-B134)-L133)&lt;0.0000001,L133,'main page'!$K$29*L133+(1-'main page'!$K$29)*(controls!$B$9/100)*100+'main page'!$K$25*(D134-B134))</f>
        <v>2</v>
      </c>
      <c r="M134" s="96">
        <f ca="1">IF(controls!$B$10=1,M133,IF(SUM(controls!$B$44:$B$46)=2,N134-'main page'!$K$29*'normal case'!L134-(1-'main page'!$K$29)*'main page'!$K$32,N134-'main page'!$K$29*'normal case'!L134-(1-'main page'!$K$29)*controls!$B$9))</f>
        <v>4</v>
      </c>
      <c r="N134" s="208">
        <f ca="1">IF(controls!$B$45=1,IF(controls!$B$46=1,'main page'!$K$24+'main page'!$K$11+'main page'!$U$8,'main page'!$K$24+'main page'!$K$11+'main page'!$K$32),IF(controls!$B$44=1,IF(O134&lt;0,0,O134),IF(O134+'main page'!$K$11&lt;0,0,O134+'main page'!$K$11)))</f>
        <v>6</v>
      </c>
      <c r="O134" s="76">
        <f ca="1">IF(controls!$B$10=1,'normal case'!M134+'normal case'!L134,'normal case'!P134)</f>
        <v>6</v>
      </c>
      <c r="P134" s="74">
        <f t="shared" ca="1" si="15"/>
        <v>6</v>
      </c>
      <c r="Q134" s="210">
        <f ca="1">IF(controls!$B$44=0,R134+'main page'!$K$29*L134+(1-'main page'!$K$29)*controls!$B$9+(('main page'!$K$25*'main page'!$U$13*'main page'!$K$29)/('main page'!$K$27*(1+('main page'!$K$25^2)*'main page'!$U$13)))*(L134-controls!$B$9),R134+'main page'!$K$29*L134+(1-'main page'!$K$29)*controls!$B$9+(('main page'!$K$25*'main page'!$U$13*'normal case'!$AO$3)/'normal case'!$AO$4)*('normal case'!L134-controls!$B$9))</f>
        <v>6</v>
      </c>
      <c r="R134" s="98">
        <f ca="1">IF(controls!$B$44=1,'main page'!$K$24+'main page'!$K$11,IF(controls!$B$33=1,((I135-D134*W135-B135+B134*V135)/'main page'!$K$27)-'main page'!$K$11,((H135-D134*W135-B135+B134*V135)/'main page'!$K$27)-'main page'!$K$11))</f>
        <v>4</v>
      </c>
      <c r="T134" s="71">
        <f>IF(controls!$B$6=1,$AL$3*(1+('main page'!$K$35/100))^U134-$AL$3*(1+('main page'!$K$35/100))^U133,$AL$3*(1+('main page'!$G$8/100))*(1+('main page'!$K$35/100))^U134-$AL$3*(1+('main page'!$G$8/100))*(1+('main page'!$K$35/100))^U133)</f>
        <v>0</v>
      </c>
      <c r="U134" s="73">
        <v>127</v>
      </c>
      <c r="V134" s="161">
        <f ca="1">IF(controls!$B$4=1,IF(controls!$H133=1,controls!$B$34*V133+RAND()*('main page'!$K$16/100)-RAND()*('main page'!$K$16/100),0),0)</f>
        <v>0</v>
      </c>
      <c r="W134" s="40">
        <f ca="1">IF(controls!$B$4=1,IF(controls!$I133=1,controls!$B$34*W133+RAND()*('main page'!$K$16/100)-RAND()*('main page'!$K$16/100),0),0)</f>
        <v>0</v>
      </c>
      <c r="X134" s="49">
        <f ca="1">IF(controls!$B$33=1,D134-($I$3-'main page'!$K$27*2)*(1+('main page'!$K$35/100))^A133,D134-$AL$4)</f>
        <v>0</v>
      </c>
      <c r="Y134" s="49">
        <f ca="1">ABS(L134-(controls!$B$9/100)*100)</f>
        <v>0</v>
      </c>
      <c r="AA134" s="49" t="e">
        <f ca="1">IF(controls!$B$33=1,(B135-B134*V135-I135+D134*W135+'main page'!$K$27*('main page'!$K$24+'main page'!$K$11))/'main page'!$K$31,(B135-B134*V135+D134*W135-H135+'main page'!$K$27*('main page'!$K$24+'main page'!$K$11))/'main page'!$K$31)</f>
        <v>#DIV/0!</v>
      </c>
      <c r="AB134" s="49" t="e">
        <f ca="1">IF(controls!$B$45=1,LOG(AF134,1.01)+LOG(AE134,1.01)-LOG(AD134,1.01),-((M134-('main page'!$K$24+'main page'!$K$11))/(1-'normal case'!$AO$3))+'normal case'!AA134)</f>
        <v>#DIV/0!</v>
      </c>
      <c r="AC134" s="176" t="e">
        <f t="shared" ca="1" si="16"/>
        <v>#DIV/0!</v>
      </c>
      <c r="AD134" s="49">
        <f t="shared" ca="1" si="17"/>
        <v>13.385127142406303</v>
      </c>
      <c r="AE134" s="49">
        <f>AE133*(1+'main page'!$K$32/100)</f>
        <v>1</v>
      </c>
      <c r="AF134" s="49" t="e">
        <f ca="1">IF(ABS(IF(controls!$B$45=1,$AL$13,AD134*AC134/AE134)-AF133)&lt;0.00001,AF133,IF(controls!$B$45=1,$AL$13,AD134*AC134/AE134))</f>
        <v>#DIV/0!</v>
      </c>
      <c r="AG134" s="49">
        <f>IF(controls!$B$46=0,0,IF(controls!$B$33=2,B135-B134*V135-('normal case'!H135-D134*W135-'main page'!$K$27*'normal case'!M134+'main page'!$K$31*'normal case'!AB134)-(('main page'!$K$25*'main page'!$U$13*'main page'!$K$29)/(1+('main page'!$K$25^2)*'main page'!$U$13))*('normal case'!L134-'main page'!$U$8),B135-B134*V135-('normal case'!I135-D134*W135-'main page'!$K$27*'normal case'!M134+'main page'!$K$31*'normal case'!AB134)-(('main page'!$K$25*'main page'!$U$13*'main page'!$K$29)/(1+('main page'!$K$25^2)*'main page'!$U$13))*('normal case'!L134-'main page'!$U$8)))</f>
        <v>0</v>
      </c>
      <c r="AN134" s="40"/>
      <c r="AO134" s="40"/>
    </row>
    <row r="135" spans="1:41">
      <c r="A135" s="48">
        <v>133</v>
      </c>
      <c r="B135" s="75">
        <f ca="1">IF(controls!$B$33=1,B134*(1+V135)+T135,B134*(1+V135))</f>
        <v>100</v>
      </c>
      <c r="C135" s="80">
        <f t="shared" ca="1" si="18"/>
        <v>0</v>
      </c>
      <c r="D135" s="77">
        <f t="shared" ca="1" si="14"/>
        <v>100</v>
      </c>
      <c r="E135" s="77">
        <f ca="1">AG134+IF(controls!$B$33=1,G135,F135)</f>
        <v>100</v>
      </c>
      <c r="F135" s="94">
        <f ca="1">IF(controls!$B$44=0,H135-'main page'!$K$27*M134,H135-'main page'!$K$27*M134+'main page'!$K$31*AB134)</f>
        <v>100</v>
      </c>
      <c r="G135" s="75">
        <f ca="1">IF(controls!$B$44=0,I135-'main page'!$K$27*M134,I135-'main page'!$K$27*M134+'main page'!$K$31*'normal case'!AB134)</f>
        <v>100</v>
      </c>
      <c r="H135" s="75">
        <f t="shared" ca="1" si="12"/>
        <v>108</v>
      </c>
      <c r="I135" s="75">
        <f t="shared" ca="1" si="13"/>
        <v>108</v>
      </c>
      <c r="L135" s="75">
        <f ca="1">IF(ABS('main page'!$K$29*L134+(1-'main page'!$K$29)*(controls!$B$9/100)*100+'main page'!$K$25*(D135-B135)-L134)&lt;0.0000001,L134,'main page'!$K$29*L134+(1-'main page'!$K$29)*(controls!$B$9/100)*100+'main page'!$K$25*(D135-B135))</f>
        <v>2</v>
      </c>
      <c r="M135" s="96">
        <f ca="1">IF(controls!$B$10=1,M134,IF(SUM(controls!$B$44:$B$46)=2,N135-'main page'!$K$29*'normal case'!L135-(1-'main page'!$K$29)*'main page'!$K$32,N135-'main page'!$K$29*'normal case'!L135-(1-'main page'!$K$29)*controls!$B$9))</f>
        <v>4</v>
      </c>
      <c r="N135" s="208">
        <f ca="1">IF(controls!$B$45=1,IF(controls!$B$46=1,'main page'!$K$24+'main page'!$K$11+'main page'!$U$8,'main page'!$K$24+'main page'!$K$11+'main page'!$K$32),IF(controls!$B$44=1,IF(O135&lt;0,0,O135),IF(O135+'main page'!$K$11&lt;0,0,O135+'main page'!$K$11)))</f>
        <v>6</v>
      </c>
      <c r="O135" s="76">
        <f ca="1">IF(controls!$B$10=1,'normal case'!M135+'normal case'!L135,'normal case'!P135)</f>
        <v>6</v>
      </c>
      <c r="P135" s="74">
        <f t="shared" ca="1" si="15"/>
        <v>6</v>
      </c>
      <c r="Q135" s="210">
        <f ca="1">IF(controls!$B$44=0,R135+'main page'!$K$29*L135+(1-'main page'!$K$29)*controls!$B$9+(('main page'!$K$25*'main page'!$U$13*'main page'!$K$29)/('main page'!$K$27*(1+('main page'!$K$25^2)*'main page'!$U$13)))*(L135-controls!$B$9),R135+'main page'!$K$29*L135+(1-'main page'!$K$29)*controls!$B$9+(('main page'!$K$25*'main page'!$U$13*'normal case'!$AO$3)/'normal case'!$AO$4)*('normal case'!L135-controls!$B$9))</f>
        <v>6</v>
      </c>
      <c r="R135" s="98">
        <f ca="1">IF(controls!$B$44=1,'main page'!$K$24+'main page'!$K$11,IF(controls!$B$33=1,((I136-D135*W136-B136+B135*V136)/'main page'!$K$27)-'main page'!$K$11,((H136-D135*W136-B136+B135*V136)/'main page'!$K$27)-'main page'!$K$11))</f>
        <v>4</v>
      </c>
      <c r="T135" s="71">
        <f>IF(controls!$B$6=1,$AL$3*(1+('main page'!$K$35/100))^U135-$AL$3*(1+('main page'!$K$35/100))^U134,$AL$3*(1+('main page'!$G$8/100))*(1+('main page'!$K$35/100))^U135-$AL$3*(1+('main page'!$G$8/100))*(1+('main page'!$K$35/100))^U134)</f>
        <v>0</v>
      </c>
      <c r="U135" s="73">
        <v>128</v>
      </c>
      <c r="V135" s="161">
        <v>0</v>
      </c>
      <c r="W135" s="40">
        <v>0</v>
      </c>
      <c r="X135" s="49">
        <f ca="1">IF(controls!$B$33=1,D135-($I$3-'main page'!$K$27*2)*(1+('main page'!$K$35/100))^A134,D135-$AL$4)</f>
        <v>0</v>
      </c>
      <c r="Y135" s="49">
        <f ca="1">ABS(L135-(controls!$B$9/100)*100)</f>
        <v>0</v>
      </c>
      <c r="AA135" s="49" t="e">
        <f ca="1">IF(controls!$B$33=1,(B136-B135*V136-I136+D135*W136+'main page'!$K$27*('main page'!$K$24+'main page'!$K$11))/'main page'!$K$31,(B136-B135*V136+D135*W136-H136+'main page'!$K$27*('main page'!$K$24+'main page'!$K$11))/'main page'!$K$31)</f>
        <v>#DIV/0!</v>
      </c>
      <c r="AB135" s="49" t="e">
        <f ca="1">IF(controls!$B$45=1,LOG(AF135,1.01)+LOG(AE135,1.01)-LOG(AD135,1.01),-((M135-('main page'!$K$24+'main page'!$K$11))/(1-'normal case'!$AO$3))+'normal case'!AA135)</f>
        <v>#DIV/0!</v>
      </c>
      <c r="AC135" s="176" t="e">
        <f t="shared" ca="1" si="16"/>
        <v>#DIV/0!</v>
      </c>
      <c r="AD135" s="49">
        <f t="shared" ca="1" si="17"/>
        <v>13.652829685254428</v>
      </c>
      <c r="AE135" s="49">
        <f>AE134*(1+'main page'!$K$32/100)</f>
        <v>1</v>
      </c>
      <c r="AF135" s="49" t="e">
        <f ca="1">IF(ABS(IF(controls!$B$45=1,$AL$13,AD135*AC135/AE135)-AF134)&lt;0.00001,AF134,IF(controls!$B$45=1,$AL$13,AD135*AC135/AE135))</f>
        <v>#DIV/0!</v>
      </c>
      <c r="AG135" s="49">
        <f>IF(controls!$B$46=0,0,IF(controls!$B$33=2,B136-B135*V136-('normal case'!H136-D135*W136-'main page'!$K$27*'normal case'!M135+'main page'!$K$31*'normal case'!AB135)-(('main page'!$K$25*'main page'!$U$13*'main page'!$K$29)/(1+('main page'!$K$25^2)*'main page'!$U$13))*('normal case'!L135-'main page'!$U$8),B136-B135*V136-('normal case'!I136-D135*W136-'main page'!$K$27*'normal case'!M135+'main page'!$K$31*'normal case'!AB135)-(('main page'!$K$25*'main page'!$U$13*'main page'!$K$29)/(1+('main page'!$K$25^2)*'main page'!$U$13))*('normal case'!L135-'main page'!$U$8)))</f>
        <v>0</v>
      </c>
      <c r="AN135" s="40"/>
      <c r="AO135" s="40"/>
    </row>
    <row r="136" spans="1:41">
      <c r="A136" s="48">
        <v>134</v>
      </c>
      <c r="B136" s="75">
        <f ca="1">IF(controls!$B$33=1,B135*(1+V136)+T136,B135*(1+V136))</f>
        <v>100</v>
      </c>
      <c r="C136" s="80">
        <f t="shared" ca="1" si="18"/>
        <v>0</v>
      </c>
      <c r="D136" s="77">
        <f t="shared" ca="1" si="14"/>
        <v>100</v>
      </c>
      <c r="E136" s="77">
        <f ca="1">AG135+IF(controls!$B$33=1,G136,F136)</f>
        <v>100</v>
      </c>
      <c r="F136" s="94">
        <f ca="1">IF(controls!$B$44=0,H136-'main page'!$K$27*M135,H136-'main page'!$K$27*M135+'main page'!$K$31*AB135)</f>
        <v>100</v>
      </c>
      <c r="G136" s="75">
        <f ca="1">IF(controls!$B$44=0,I136-'main page'!$K$27*M135,I136-'main page'!$K$27*M135+'main page'!$K$31*'normal case'!AB135)</f>
        <v>100</v>
      </c>
      <c r="H136" s="75">
        <f t="shared" ca="1" si="12"/>
        <v>108</v>
      </c>
      <c r="I136" s="75">
        <f t="shared" ca="1" si="13"/>
        <v>108</v>
      </c>
      <c r="L136" s="75">
        <f ca="1">IF(ABS('main page'!$K$29*L135+(1-'main page'!$K$29)*(controls!$B$9/100)*100+'main page'!$K$25*(D136-B136)-L135)&lt;0.0000001,L135,'main page'!$K$29*L135+(1-'main page'!$K$29)*(controls!$B$9/100)*100+'main page'!$K$25*(D136-B136))</f>
        <v>2</v>
      </c>
      <c r="M136" s="96">
        <f ca="1">IF(controls!$B$10=1,M135,IF(SUM(controls!$B$44:$B$46)=2,N136-'main page'!$K$29*'normal case'!L136-(1-'main page'!$K$29)*'main page'!$K$32,N136-'main page'!$K$29*'normal case'!L136-(1-'main page'!$K$29)*controls!$B$9))</f>
        <v>4</v>
      </c>
      <c r="N136" s="208">
        <f ca="1">IF(controls!$B$45=1,IF(controls!$B$46=1,'main page'!$K$24+'main page'!$K$11+'main page'!$U$8,'main page'!$K$24+'main page'!$K$11+'main page'!$K$32),IF(controls!$B$44=1,IF(O136&lt;0,0,O136),IF(O136+'main page'!$K$11&lt;0,0,O136+'main page'!$K$11)))</f>
        <v>6</v>
      </c>
      <c r="O136" s="76">
        <f ca="1">IF(controls!$B$10=1,'normal case'!M136+'normal case'!L136,'normal case'!P136)</f>
        <v>6</v>
      </c>
      <c r="P136" s="74">
        <f t="shared" ca="1" si="15"/>
        <v>6</v>
      </c>
      <c r="Q136" s="210">
        <f ca="1">IF(controls!$B$44=0,R136+'main page'!$K$29*L136+(1-'main page'!$K$29)*controls!$B$9+(('main page'!$K$25*'main page'!$U$13*'main page'!$K$29)/('main page'!$K$27*(1+('main page'!$K$25^2)*'main page'!$U$13)))*(L136-controls!$B$9),R136+'main page'!$K$29*L136+(1-'main page'!$K$29)*controls!$B$9+(('main page'!$K$25*'main page'!$U$13*'normal case'!$AO$3)/'normal case'!$AO$4)*('normal case'!L136-controls!$B$9))</f>
        <v>6</v>
      </c>
      <c r="R136" s="98">
        <f ca="1">IF(controls!$B$44=1,'main page'!$K$24+'main page'!$K$11,IF(controls!$B$33=1,((I137-D136*W137-B137+B136*V137)/'main page'!$K$27)-'main page'!$K$11,((H137-D136*W137-B137+B136*V137)/'main page'!$K$27)-'main page'!$K$11))</f>
        <v>4</v>
      </c>
      <c r="T136" s="71">
        <f>IF(controls!$B$6=1,$AL$3*(1+('main page'!$K$35/100))^U136-$AL$3*(1+('main page'!$K$35/100))^U135,$AL$3*(1+('main page'!$G$8/100))*(1+('main page'!$K$35/100))^U136-$AL$3*(1+('main page'!$G$8/100))*(1+('main page'!$K$35/100))^U135)</f>
        <v>0</v>
      </c>
      <c r="U136" s="73">
        <v>129</v>
      </c>
      <c r="V136" s="161">
        <v>0</v>
      </c>
      <c r="W136" s="40">
        <v>0</v>
      </c>
      <c r="X136" s="49">
        <f ca="1">IF(controls!$B$33=1,D136-($I$3-'main page'!$K$27*2)*(1+('main page'!$K$35/100))^A135,D136-$AL$4)</f>
        <v>0</v>
      </c>
      <c r="Y136" s="49">
        <f ca="1">ABS(L136-(controls!$B$9/100)*100)</f>
        <v>0</v>
      </c>
      <c r="AA136" s="49" t="e">
        <f ca="1">IF(controls!$B$33=1,(B137-B136*V137-I137+D136*W137+'main page'!$K$27*('main page'!$K$24+'main page'!$K$11))/'main page'!$K$31,(B137-B136*V137+D136*W137-H137+'main page'!$K$27*('main page'!$K$24+'main page'!$K$11))/'main page'!$K$31)</f>
        <v>#DIV/0!</v>
      </c>
      <c r="AB136" s="49" t="e">
        <f ca="1">IF(controls!$B$45=1,LOG(AF136,1.01)+LOG(AE136,1.01)-LOG(AD136,1.01),-((M136-('main page'!$K$24+'main page'!$K$11))/(1-'normal case'!$AO$3))+'normal case'!AA136)</f>
        <v>#DIV/0!</v>
      </c>
      <c r="AC136" s="176" t="e">
        <f t="shared" ca="1" si="16"/>
        <v>#DIV/0!</v>
      </c>
      <c r="AD136" s="49">
        <f t="shared" ca="1" si="17"/>
        <v>13.925886278959517</v>
      </c>
      <c r="AE136" s="49">
        <f>AE135*(1+'main page'!$K$32/100)</f>
        <v>1</v>
      </c>
      <c r="AF136" s="49" t="e">
        <f ca="1">IF(ABS(IF(controls!$B$45=1,$AL$13,AD136*AC136/AE136)-AF135)&lt;0.00001,AF135,IF(controls!$B$45=1,$AL$13,AD136*AC136/AE136))</f>
        <v>#DIV/0!</v>
      </c>
      <c r="AG136" s="49">
        <f>IF(controls!$B$46=0,0,IF(controls!$B$33=2,B137-B136*V137-('normal case'!H137-D136*W137-'main page'!$K$27*'normal case'!M136+'main page'!$K$31*'normal case'!AB136)-(('main page'!$K$25*'main page'!$U$13*'main page'!$K$29)/(1+('main page'!$K$25^2)*'main page'!$U$13))*('normal case'!L136-'main page'!$U$8),B137-B136*V137-('normal case'!I137-D136*W137-'main page'!$K$27*'normal case'!M136+'main page'!$K$31*'normal case'!AB136)-(('main page'!$K$25*'main page'!$U$13*'main page'!$K$29)/(1+('main page'!$K$25^2)*'main page'!$U$13))*('normal case'!L136-'main page'!$U$8)))</f>
        <v>0</v>
      </c>
      <c r="AN136" s="40"/>
      <c r="AO136" s="40"/>
    </row>
    <row r="137" spans="1:41">
      <c r="A137" s="48">
        <v>135</v>
      </c>
      <c r="B137" s="75">
        <f ca="1">IF(controls!$B$33=1,B136*(1+V137)+T137,B136*(1+V137))</f>
        <v>100</v>
      </c>
      <c r="C137" s="80">
        <f t="shared" ca="1" si="18"/>
        <v>0</v>
      </c>
      <c r="D137" s="77">
        <f t="shared" ca="1" si="14"/>
        <v>100</v>
      </c>
      <c r="E137" s="77">
        <f ca="1">AG136+IF(controls!$B$33=1,G137,F137)</f>
        <v>100</v>
      </c>
      <c r="F137" s="94">
        <f ca="1">IF(controls!$B$44=0,H137-'main page'!$K$27*M136,H137-'main page'!$K$27*M136+'main page'!$K$31*AB136)</f>
        <v>100</v>
      </c>
      <c r="G137" s="75">
        <f ca="1">IF(controls!$B$44=0,I137-'main page'!$K$27*M136,I137-'main page'!$K$27*M136+'main page'!$K$31*'normal case'!AB136)</f>
        <v>100</v>
      </c>
      <c r="H137" s="75">
        <f t="shared" ca="1" si="12"/>
        <v>108</v>
      </c>
      <c r="I137" s="75">
        <f t="shared" ca="1" si="13"/>
        <v>108</v>
      </c>
      <c r="L137" s="75">
        <f ca="1">IF(ABS('main page'!$K$29*L136+(1-'main page'!$K$29)*(controls!$B$9/100)*100+'main page'!$K$25*(D137-B137)-L136)&lt;0.0000001,L136,'main page'!$K$29*L136+(1-'main page'!$K$29)*(controls!$B$9/100)*100+'main page'!$K$25*(D137-B137))</f>
        <v>2</v>
      </c>
      <c r="M137" s="96">
        <f ca="1">IF(controls!$B$10=1,M136,IF(SUM(controls!$B$44:$B$46)=2,N137-'main page'!$K$29*'normal case'!L137-(1-'main page'!$K$29)*'main page'!$K$32,N137-'main page'!$K$29*'normal case'!L137-(1-'main page'!$K$29)*controls!$B$9))</f>
        <v>4</v>
      </c>
      <c r="N137" s="208">
        <f ca="1">IF(controls!$B$45=1,IF(controls!$B$46=1,'main page'!$K$24+'main page'!$K$11+'main page'!$U$8,'main page'!$K$24+'main page'!$K$11+'main page'!$K$32),IF(controls!$B$44=1,IF(O137&lt;0,0,O137),IF(O137+'main page'!$K$11&lt;0,0,O137+'main page'!$K$11)))</f>
        <v>6</v>
      </c>
      <c r="O137" s="76">
        <f ca="1">IF(controls!$B$10=1,'normal case'!M137+'normal case'!L137,'normal case'!P137)</f>
        <v>6</v>
      </c>
      <c r="P137" s="74">
        <f t="shared" ca="1" si="15"/>
        <v>6</v>
      </c>
      <c r="Q137" s="210">
        <f ca="1">IF(controls!$B$44=0,R137+'main page'!$K$29*L137+(1-'main page'!$K$29)*controls!$B$9+(('main page'!$K$25*'main page'!$U$13*'main page'!$K$29)/('main page'!$K$27*(1+('main page'!$K$25^2)*'main page'!$U$13)))*(L137-controls!$B$9),R137+'main page'!$K$29*L137+(1-'main page'!$K$29)*controls!$B$9+(('main page'!$K$25*'main page'!$U$13*'normal case'!$AO$3)/'normal case'!$AO$4)*('normal case'!L137-controls!$B$9))</f>
        <v>6</v>
      </c>
      <c r="R137" s="98">
        <f ca="1">IF(controls!$B$44=1,'main page'!$K$24+'main page'!$K$11,IF(controls!$B$33=1,((I138-D137*W138-B138+B137*V138)/'main page'!$K$27)-'main page'!$K$11,((H138-D137*W138-B138+B137*V138)/'main page'!$K$27)-'main page'!$K$11))</f>
        <v>4</v>
      </c>
      <c r="T137" s="71">
        <f>IF(controls!$B$6=1,$AL$3*(1+('main page'!$K$35/100))^U137-$AL$3*(1+('main page'!$K$35/100))^U136,$AL$3*(1+('main page'!$G$8/100))*(1+('main page'!$K$35/100))^U137-$AL$3*(1+('main page'!$G$8/100))*(1+('main page'!$K$35/100))^U136)</f>
        <v>0</v>
      </c>
      <c r="U137" s="73">
        <v>130</v>
      </c>
      <c r="V137" s="161">
        <f ca="1">IF(controls!$B$4=1,IF(controls!$H136=1,controls!$B$34*V136+RAND()*('main page'!$K$16/100)-RAND()*('main page'!$K$16/100),0),0)</f>
        <v>0</v>
      </c>
      <c r="W137" s="40">
        <f ca="1">IF(controls!$B$4=1,IF(controls!$I136=1,controls!$B$34*W136+RAND()*('main page'!$K$16/100)-RAND()*('main page'!$K$16/100),0),0)</f>
        <v>0</v>
      </c>
      <c r="X137" s="49">
        <f ca="1">IF(controls!$B$33=1,D137-($I$3-'main page'!$K$27*2)*(1+('main page'!$K$35/100))^A136,D137-$AL$4)</f>
        <v>0</v>
      </c>
      <c r="Y137" s="49">
        <f ca="1">ABS(L137-(controls!$B$9/100)*100)</f>
        <v>0</v>
      </c>
      <c r="AA137" s="49" t="e">
        <f ca="1">IF(controls!$B$33=1,(B138-B137*V138-I138+D137*W138+'main page'!$K$27*('main page'!$K$24+'main page'!$K$11))/'main page'!$K$31,(B138-B137*V138+D137*W138-H138+'main page'!$K$27*('main page'!$K$24+'main page'!$K$11))/'main page'!$K$31)</f>
        <v>#DIV/0!</v>
      </c>
      <c r="AB137" s="49" t="e">
        <f ca="1">IF(controls!$B$45=1,LOG(AF137,1.01)+LOG(AE137,1.01)-LOG(AD137,1.01),-((M137-('main page'!$K$24+'main page'!$K$11))/(1-'normal case'!$AO$3))+'normal case'!AA137)</f>
        <v>#DIV/0!</v>
      </c>
      <c r="AC137" s="176" t="e">
        <f t="shared" ca="1" si="16"/>
        <v>#DIV/0!</v>
      </c>
      <c r="AD137" s="49">
        <f t="shared" ca="1" si="17"/>
        <v>14.204404004538707</v>
      </c>
      <c r="AE137" s="49">
        <f>AE136*(1+'main page'!$K$32/100)</f>
        <v>1</v>
      </c>
      <c r="AF137" s="49" t="e">
        <f ca="1">IF(ABS(IF(controls!$B$45=1,$AL$13,AD137*AC137/AE137)-AF136)&lt;0.00001,AF136,IF(controls!$B$45=1,$AL$13,AD137*AC137/AE137))</f>
        <v>#DIV/0!</v>
      </c>
      <c r="AG137" s="49">
        <f>IF(controls!$B$46=0,0,IF(controls!$B$33=2,B138-B137*V138-('normal case'!H138-D137*W138-'main page'!$K$27*'normal case'!M137+'main page'!$K$31*'normal case'!AB137)-(('main page'!$K$25*'main page'!$U$13*'main page'!$K$29)/(1+('main page'!$K$25^2)*'main page'!$U$13))*('normal case'!L137-'main page'!$U$8),B138-B137*V138-('normal case'!I138-D137*W138-'main page'!$K$27*'normal case'!M137+'main page'!$K$31*'normal case'!AB137)-(('main page'!$K$25*'main page'!$U$13*'main page'!$K$29)/(1+('main page'!$K$25^2)*'main page'!$U$13))*('normal case'!L137-'main page'!$U$8)))</f>
        <v>0</v>
      </c>
      <c r="AN137" s="40"/>
      <c r="AO137" s="40"/>
    </row>
    <row r="138" spans="1:41">
      <c r="A138" s="48">
        <v>136</v>
      </c>
      <c r="B138" s="75">
        <f ca="1">IF(controls!$B$33=1,B137*(1+V138)+T138,B137*(1+V138))</f>
        <v>100</v>
      </c>
      <c r="C138" s="80">
        <f t="shared" ca="1" si="18"/>
        <v>0</v>
      </c>
      <c r="D138" s="77">
        <f t="shared" ca="1" si="14"/>
        <v>100</v>
      </c>
      <c r="E138" s="77">
        <f ca="1">AG137+IF(controls!$B$33=1,G138,F138)</f>
        <v>100</v>
      </c>
      <c r="F138" s="94">
        <f ca="1">IF(controls!$B$44=0,H138-'main page'!$K$27*M137,H138-'main page'!$K$27*M137+'main page'!$K$31*AB137)</f>
        <v>100</v>
      </c>
      <c r="G138" s="75">
        <f ca="1">IF(controls!$B$44=0,I138-'main page'!$K$27*M137,I138-'main page'!$K$27*M137+'main page'!$K$31*'normal case'!AB137)</f>
        <v>100</v>
      </c>
      <c r="H138" s="75">
        <f t="shared" ca="1" si="12"/>
        <v>108</v>
      </c>
      <c r="I138" s="75">
        <f t="shared" ca="1" si="13"/>
        <v>108</v>
      </c>
      <c r="L138" s="75">
        <f ca="1">IF(ABS('main page'!$K$29*L137+(1-'main page'!$K$29)*(controls!$B$9/100)*100+'main page'!$K$25*(D138-B138)-L137)&lt;0.0000001,L137,'main page'!$K$29*L137+(1-'main page'!$K$29)*(controls!$B$9/100)*100+'main page'!$K$25*(D138-B138))</f>
        <v>2</v>
      </c>
      <c r="M138" s="96">
        <f ca="1">IF(controls!$B$10=1,M137,IF(SUM(controls!$B$44:$B$46)=2,N138-'main page'!$K$29*'normal case'!L138-(1-'main page'!$K$29)*'main page'!$K$32,N138-'main page'!$K$29*'normal case'!L138-(1-'main page'!$K$29)*controls!$B$9))</f>
        <v>4</v>
      </c>
      <c r="N138" s="208">
        <f ca="1">IF(controls!$B$45=1,IF(controls!$B$46=1,'main page'!$K$24+'main page'!$K$11+'main page'!$U$8,'main page'!$K$24+'main page'!$K$11+'main page'!$K$32),IF(controls!$B$44=1,IF(O138&lt;0,0,O138),IF(O138+'main page'!$K$11&lt;0,0,O138+'main page'!$K$11)))</f>
        <v>6</v>
      </c>
      <c r="O138" s="76">
        <f ca="1">IF(controls!$B$10=1,'normal case'!M138+'normal case'!L138,'normal case'!P138)</f>
        <v>6</v>
      </c>
      <c r="P138" s="74">
        <f t="shared" ca="1" si="15"/>
        <v>6</v>
      </c>
      <c r="Q138" s="210">
        <f ca="1">IF(controls!$B$44=0,R138+'main page'!$K$29*L138+(1-'main page'!$K$29)*controls!$B$9+(('main page'!$K$25*'main page'!$U$13*'main page'!$K$29)/('main page'!$K$27*(1+('main page'!$K$25^2)*'main page'!$U$13)))*(L138-controls!$B$9),R138+'main page'!$K$29*L138+(1-'main page'!$K$29)*controls!$B$9+(('main page'!$K$25*'main page'!$U$13*'normal case'!$AO$3)/'normal case'!$AO$4)*('normal case'!L138-controls!$B$9))</f>
        <v>6</v>
      </c>
      <c r="R138" s="98">
        <f ca="1">IF(controls!$B$44=1,'main page'!$K$24+'main page'!$K$11,IF(controls!$B$33=1,((I139-D138*W139-B139+B138*V139)/'main page'!$K$27)-'main page'!$K$11,((H139-D138*W139-B139+B138*V139)/'main page'!$K$27)-'main page'!$K$11))</f>
        <v>4</v>
      </c>
      <c r="T138" s="71">
        <f>IF(controls!$B$6=1,$AL$3*(1+('main page'!$K$35/100))^U138-$AL$3*(1+('main page'!$K$35/100))^U137,$AL$3*(1+('main page'!$G$8/100))*(1+('main page'!$K$35/100))^U138-$AL$3*(1+('main page'!$G$8/100))*(1+('main page'!$K$35/100))^U137)</f>
        <v>0</v>
      </c>
      <c r="U138" s="73">
        <v>131</v>
      </c>
      <c r="V138" s="161">
        <v>0</v>
      </c>
      <c r="W138" s="40">
        <v>0</v>
      </c>
      <c r="X138" s="49">
        <f ca="1">IF(controls!$B$33=1,D138-($I$3-'main page'!$K$27*2)*(1+('main page'!$K$35/100))^A137,D138-$AL$4)</f>
        <v>0</v>
      </c>
      <c r="Y138" s="49">
        <f ca="1">ABS(L138-(controls!$B$9/100)*100)</f>
        <v>0</v>
      </c>
      <c r="AA138" s="49" t="e">
        <f ca="1">IF(controls!$B$33=1,(B139-B138*V139-I139+D138*W139+'main page'!$K$27*('main page'!$K$24+'main page'!$K$11))/'main page'!$K$31,(B139-B138*V139+D138*W139-H139+'main page'!$K$27*('main page'!$K$24+'main page'!$K$11))/'main page'!$K$31)</f>
        <v>#DIV/0!</v>
      </c>
      <c r="AB138" s="49" t="e">
        <f ca="1">IF(controls!$B$45=1,LOG(AF138,1.01)+LOG(AE138,1.01)-LOG(AD138,1.01),-((M138-('main page'!$K$24+'main page'!$K$11))/(1-'normal case'!$AO$3))+'normal case'!AA138)</f>
        <v>#DIV/0!</v>
      </c>
      <c r="AC138" s="176" t="e">
        <f t="shared" ca="1" si="16"/>
        <v>#DIV/0!</v>
      </c>
      <c r="AD138" s="49">
        <f t="shared" ca="1" si="17"/>
        <v>14.488492084629481</v>
      </c>
      <c r="AE138" s="49">
        <f>AE137*(1+'main page'!$K$32/100)</f>
        <v>1</v>
      </c>
      <c r="AF138" s="49" t="e">
        <f ca="1">IF(ABS(IF(controls!$B$45=1,$AL$13,AD138*AC138/AE138)-AF137)&lt;0.00001,AF137,IF(controls!$B$45=1,$AL$13,AD138*AC138/AE138))</f>
        <v>#DIV/0!</v>
      </c>
      <c r="AG138" s="49">
        <f>IF(controls!$B$46=0,0,IF(controls!$B$33=2,B139-B138*V139-('normal case'!H139-D138*W139-'main page'!$K$27*'normal case'!M138+'main page'!$K$31*'normal case'!AB138)-(('main page'!$K$25*'main page'!$U$13*'main page'!$K$29)/(1+('main page'!$K$25^2)*'main page'!$U$13))*('normal case'!L138-'main page'!$U$8),B139-B138*V139-('normal case'!I139-D138*W139-'main page'!$K$27*'normal case'!M138+'main page'!$K$31*'normal case'!AB138)-(('main page'!$K$25*'main page'!$U$13*'main page'!$K$29)/(1+('main page'!$K$25^2)*'main page'!$U$13))*('normal case'!L138-'main page'!$U$8)))</f>
        <v>0</v>
      </c>
      <c r="AN138" s="40"/>
      <c r="AO138" s="40"/>
    </row>
    <row r="139" spans="1:41">
      <c r="A139" s="48">
        <v>137</v>
      </c>
      <c r="B139" s="75">
        <f ca="1">IF(controls!$B$33=1,B138*(1+V139)+T139,B138*(1+V139))</f>
        <v>100</v>
      </c>
      <c r="C139" s="80">
        <f t="shared" ca="1" si="18"/>
        <v>0</v>
      </c>
      <c r="D139" s="77">
        <f t="shared" ca="1" si="14"/>
        <v>100</v>
      </c>
      <c r="E139" s="77">
        <f ca="1">AG138+IF(controls!$B$33=1,G139,F139)</f>
        <v>100</v>
      </c>
      <c r="F139" s="94">
        <f ca="1">IF(controls!$B$44=0,H139-'main page'!$K$27*M138,H139-'main page'!$K$27*M138+'main page'!$K$31*AB138)</f>
        <v>100</v>
      </c>
      <c r="G139" s="75">
        <f ca="1">IF(controls!$B$44=0,I139-'main page'!$K$27*M138,I139-'main page'!$K$27*M138+'main page'!$K$31*'normal case'!AB138)</f>
        <v>100</v>
      </c>
      <c r="H139" s="75">
        <f t="shared" ca="1" si="12"/>
        <v>108</v>
      </c>
      <c r="I139" s="75">
        <f t="shared" ca="1" si="13"/>
        <v>108</v>
      </c>
      <c r="L139" s="75">
        <f ca="1">IF(ABS('main page'!$K$29*L138+(1-'main page'!$K$29)*(controls!$B$9/100)*100+'main page'!$K$25*(D139-B139)-L138)&lt;0.0000001,L138,'main page'!$K$29*L138+(1-'main page'!$K$29)*(controls!$B$9/100)*100+'main page'!$K$25*(D139-B139))</f>
        <v>2</v>
      </c>
      <c r="M139" s="96">
        <f ca="1">IF(controls!$B$10=1,M138,IF(SUM(controls!$B$44:$B$46)=2,N139-'main page'!$K$29*'normal case'!L139-(1-'main page'!$K$29)*'main page'!$K$32,N139-'main page'!$K$29*'normal case'!L139-(1-'main page'!$K$29)*controls!$B$9))</f>
        <v>4</v>
      </c>
      <c r="N139" s="208">
        <f ca="1">IF(controls!$B$45=1,IF(controls!$B$46=1,'main page'!$K$24+'main page'!$K$11+'main page'!$U$8,'main page'!$K$24+'main page'!$K$11+'main page'!$K$32),IF(controls!$B$44=1,IF(O139&lt;0,0,O139),IF(O139+'main page'!$K$11&lt;0,0,O139+'main page'!$K$11)))</f>
        <v>6</v>
      </c>
      <c r="O139" s="76">
        <f ca="1">IF(controls!$B$10=1,'normal case'!M139+'normal case'!L139,'normal case'!P139)</f>
        <v>6</v>
      </c>
      <c r="P139" s="74">
        <f t="shared" ca="1" si="15"/>
        <v>6</v>
      </c>
      <c r="Q139" s="210">
        <f ca="1">IF(controls!$B$44=0,R139+'main page'!$K$29*L139+(1-'main page'!$K$29)*controls!$B$9+(('main page'!$K$25*'main page'!$U$13*'main page'!$K$29)/('main page'!$K$27*(1+('main page'!$K$25^2)*'main page'!$U$13)))*(L139-controls!$B$9),R139+'main page'!$K$29*L139+(1-'main page'!$K$29)*controls!$B$9+(('main page'!$K$25*'main page'!$U$13*'normal case'!$AO$3)/'normal case'!$AO$4)*('normal case'!L139-controls!$B$9))</f>
        <v>6</v>
      </c>
      <c r="R139" s="98">
        <f ca="1">IF(controls!$B$44=1,'main page'!$K$24+'main page'!$K$11,IF(controls!$B$33=1,((I140-D139*W140-B140+B139*V140)/'main page'!$K$27)-'main page'!$K$11,((H140-D139*W140-B140+B139*V140)/'main page'!$K$27)-'main page'!$K$11))</f>
        <v>4</v>
      </c>
      <c r="T139" s="71">
        <f>IF(controls!$B$6=1,$AL$3*(1+('main page'!$K$35/100))^U139-$AL$3*(1+('main page'!$K$35/100))^U138,$AL$3*(1+('main page'!$G$8/100))*(1+('main page'!$K$35/100))^U139-$AL$3*(1+('main page'!$G$8/100))*(1+('main page'!$K$35/100))^U138)</f>
        <v>0</v>
      </c>
      <c r="U139" s="73">
        <v>132</v>
      </c>
      <c r="V139" s="161">
        <v>0</v>
      </c>
      <c r="W139" s="40">
        <v>0</v>
      </c>
      <c r="X139" s="49">
        <f ca="1">IF(controls!$B$33=1,D139-($I$3-'main page'!$K$27*2)*(1+('main page'!$K$35/100))^A138,D139-$AL$4)</f>
        <v>0</v>
      </c>
      <c r="Y139" s="49">
        <f ca="1">ABS(L139-(controls!$B$9/100)*100)</f>
        <v>0</v>
      </c>
      <c r="AA139" s="49" t="e">
        <f ca="1">IF(controls!$B$33=1,(B140-B139*V140-I140+D139*W140+'main page'!$K$27*('main page'!$K$24+'main page'!$K$11))/'main page'!$K$31,(B140-B139*V140+D139*W140-H140+'main page'!$K$27*('main page'!$K$24+'main page'!$K$11))/'main page'!$K$31)</f>
        <v>#DIV/0!</v>
      </c>
      <c r="AB139" s="49" t="e">
        <f ca="1">IF(controls!$B$45=1,LOG(AF139,1.01)+LOG(AE139,1.01)-LOG(AD139,1.01),-((M139-('main page'!$K$24+'main page'!$K$11))/(1-'normal case'!$AO$3))+'normal case'!AA139)</f>
        <v>#DIV/0!</v>
      </c>
      <c r="AC139" s="176" t="e">
        <f t="shared" ca="1" si="16"/>
        <v>#DIV/0!</v>
      </c>
      <c r="AD139" s="49">
        <f t="shared" ca="1" si="17"/>
        <v>14.77826192632207</v>
      </c>
      <c r="AE139" s="49">
        <f>AE138*(1+'main page'!$K$32/100)</f>
        <v>1</v>
      </c>
      <c r="AF139" s="49" t="e">
        <f ca="1">IF(ABS(IF(controls!$B$45=1,$AL$13,AD139*AC139/AE139)-AF138)&lt;0.00001,AF138,IF(controls!$B$45=1,$AL$13,AD139*AC139/AE139))</f>
        <v>#DIV/0!</v>
      </c>
      <c r="AG139" s="49">
        <f>IF(controls!$B$46=0,0,IF(controls!$B$33=2,B140-B139*V140-('normal case'!H140-D139*W140-'main page'!$K$27*'normal case'!M139+'main page'!$K$31*'normal case'!AB139)-(('main page'!$K$25*'main page'!$U$13*'main page'!$K$29)/(1+('main page'!$K$25^2)*'main page'!$U$13))*('normal case'!L139-'main page'!$U$8),B140-B139*V140-('normal case'!I140-D139*W140-'main page'!$K$27*'normal case'!M139+'main page'!$K$31*'normal case'!AB139)-(('main page'!$K$25*'main page'!$U$13*'main page'!$K$29)/(1+('main page'!$K$25^2)*'main page'!$U$13))*('normal case'!L139-'main page'!$U$8)))</f>
        <v>0</v>
      </c>
      <c r="AN139" s="40"/>
      <c r="AO139" s="40"/>
    </row>
    <row r="140" spans="1:41">
      <c r="A140" s="48">
        <v>138</v>
      </c>
      <c r="B140" s="75">
        <f ca="1">IF(controls!$B$33=1,B139*(1+V140)+T140,B139*(1+V140))</f>
        <v>100</v>
      </c>
      <c r="C140" s="80">
        <f t="shared" ca="1" si="18"/>
        <v>0</v>
      </c>
      <c r="D140" s="77">
        <f t="shared" ca="1" si="14"/>
        <v>100</v>
      </c>
      <c r="E140" s="77">
        <f ca="1">AG139+IF(controls!$B$33=1,G140,F140)</f>
        <v>100</v>
      </c>
      <c r="F140" s="94">
        <f ca="1">IF(controls!$B$44=0,H140-'main page'!$K$27*M139,H140-'main page'!$K$27*M139+'main page'!$K$31*AB139)</f>
        <v>100</v>
      </c>
      <c r="G140" s="75">
        <f ca="1">IF(controls!$B$44=0,I140-'main page'!$K$27*M139,I140-'main page'!$K$27*M139+'main page'!$K$31*'normal case'!AB139)</f>
        <v>100</v>
      </c>
      <c r="H140" s="75">
        <f t="shared" ca="1" si="12"/>
        <v>108</v>
      </c>
      <c r="I140" s="75">
        <f t="shared" ca="1" si="13"/>
        <v>108</v>
      </c>
      <c r="L140" s="75">
        <f ca="1">IF(ABS('main page'!$K$29*L139+(1-'main page'!$K$29)*(controls!$B$9/100)*100+'main page'!$K$25*(D140-B140)-L139)&lt;0.0000001,L139,'main page'!$K$29*L139+(1-'main page'!$K$29)*(controls!$B$9/100)*100+'main page'!$K$25*(D140-B140))</f>
        <v>2</v>
      </c>
      <c r="M140" s="96">
        <f ca="1">IF(controls!$B$10=1,M139,IF(SUM(controls!$B$44:$B$46)=2,N140-'main page'!$K$29*'normal case'!L140-(1-'main page'!$K$29)*'main page'!$K$32,N140-'main page'!$K$29*'normal case'!L140-(1-'main page'!$K$29)*controls!$B$9))</f>
        <v>4</v>
      </c>
      <c r="N140" s="208">
        <f ca="1">IF(controls!$B$45=1,IF(controls!$B$46=1,'main page'!$K$24+'main page'!$K$11+'main page'!$U$8,'main page'!$K$24+'main page'!$K$11+'main page'!$K$32),IF(controls!$B$44=1,IF(O140&lt;0,0,O140),IF(O140+'main page'!$K$11&lt;0,0,O140+'main page'!$K$11)))</f>
        <v>6</v>
      </c>
      <c r="O140" s="76">
        <f ca="1">IF(controls!$B$10=1,'normal case'!M140+'normal case'!L140,'normal case'!P140)</f>
        <v>6</v>
      </c>
      <c r="P140" s="74">
        <f t="shared" ca="1" si="15"/>
        <v>6</v>
      </c>
      <c r="Q140" s="210">
        <f ca="1">IF(controls!$B$44=0,R140+'main page'!$K$29*L140+(1-'main page'!$K$29)*controls!$B$9+(('main page'!$K$25*'main page'!$U$13*'main page'!$K$29)/('main page'!$K$27*(1+('main page'!$K$25^2)*'main page'!$U$13)))*(L140-controls!$B$9),R140+'main page'!$K$29*L140+(1-'main page'!$K$29)*controls!$B$9+(('main page'!$K$25*'main page'!$U$13*'normal case'!$AO$3)/'normal case'!$AO$4)*('normal case'!L140-controls!$B$9))</f>
        <v>6</v>
      </c>
      <c r="R140" s="98">
        <f ca="1">IF(controls!$B$44=1,'main page'!$K$24+'main page'!$K$11,IF(controls!$B$33=1,((I141-D140*W141-B141+B140*V141)/'main page'!$K$27)-'main page'!$K$11,((H141-D140*W141-B141+B140*V141)/'main page'!$K$27)-'main page'!$K$11))</f>
        <v>4</v>
      </c>
      <c r="T140" s="71">
        <f>IF(controls!$B$6=1,$AL$3*(1+('main page'!$K$35/100))^U140-$AL$3*(1+('main page'!$K$35/100))^U139,$AL$3*(1+('main page'!$G$8/100))*(1+('main page'!$K$35/100))^U140-$AL$3*(1+('main page'!$G$8/100))*(1+('main page'!$K$35/100))^U139)</f>
        <v>0</v>
      </c>
      <c r="U140" s="73">
        <v>133</v>
      </c>
      <c r="V140" s="161">
        <f ca="1">IF(controls!$B$4=1,IF(controls!$H139=1,controls!$B$34*V139+RAND()*('main page'!$K$16/100)-RAND()*('main page'!$K$16/100),0),0)</f>
        <v>0</v>
      </c>
      <c r="W140" s="40">
        <f ca="1">IF(controls!$B$4=1,IF(controls!$I139=1,controls!$B$34*W139+RAND()*('main page'!$K$16/100)-RAND()*('main page'!$K$16/100),0),0)</f>
        <v>0</v>
      </c>
      <c r="X140" s="49">
        <f ca="1">IF(controls!$B$33=1,D140-($I$3-'main page'!$K$27*2)*(1+('main page'!$K$35/100))^A139,D140-$AL$4)</f>
        <v>0</v>
      </c>
      <c r="Y140" s="49">
        <f ca="1">ABS(L140-(controls!$B$9/100)*100)</f>
        <v>0</v>
      </c>
      <c r="AA140" s="49" t="e">
        <f ca="1">IF(controls!$B$33=1,(B141-B140*V141-I141+D140*W141+'main page'!$K$27*('main page'!$K$24+'main page'!$K$11))/'main page'!$K$31,(B141-B140*V141+D140*W141-H141+'main page'!$K$27*('main page'!$K$24+'main page'!$K$11))/'main page'!$K$31)</f>
        <v>#DIV/0!</v>
      </c>
      <c r="AB140" s="49" t="e">
        <f ca="1">IF(controls!$B$45=1,LOG(AF140,1.01)+LOG(AE140,1.01)-LOG(AD140,1.01),-((M140-('main page'!$K$24+'main page'!$K$11))/(1-'normal case'!$AO$3))+'normal case'!AA140)</f>
        <v>#DIV/0!</v>
      </c>
      <c r="AC140" s="176" t="e">
        <f t="shared" ca="1" si="16"/>
        <v>#DIV/0!</v>
      </c>
      <c r="AD140" s="49">
        <f t="shared" ca="1" si="17"/>
        <v>15.073827164848511</v>
      </c>
      <c r="AE140" s="49">
        <f>AE139*(1+'main page'!$K$32/100)</f>
        <v>1</v>
      </c>
      <c r="AF140" s="49" t="e">
        <f ca="1">IF(ABS(IF(controls!$B$45=1,$AL$13,AD140*AC140/AE140)-AF139)&lt;0.00001,AF139,IF(controls!$B$45=1,$AL$13,AD140*AC140/AE140))</f>
        <v>#DIV/0!</v>
      </c>
      <c r="AG140" s="49">
        <f>IF(controls!$B$46=0,0,IF(controls!$B$33=2,B141-B140*V141-('normal case'!H141-D140*W141-'main page'!$K$27*'normal case'!M140+'main page'!$K$31*'normal case'!AB140)-(('main page'!$K$25*'main page'!$U$13*'main page'!$K$29)/(1+('main page'!$K$25^2)*'main page'!$U$13))*('normal case'!L140-'main page'!$U$8),B141-B140*V141-('normal case'!I141-D140*W141-'main page'!$K$27*'normal case'!M140+'main page'!$K$31*'normal case'!AB140)-(('main page'!$K$25*'main page'!$U$13*'main page'!$K$29)/(1+('main page'!$K$25^2)*'main page'!$U$13))*('normal case'!L140-'main page'!$U$8)))</f>
        <v>0</v>
      </c>
      <c r="AN140" s="40"/>
      <c r="AO140" s="40"/>
    </row>
    <row r="141" spans="1:41">
      <c r="A141" s="48">
        <v>139</v>
      </c>
      <c r="B141" s="75">
        <f ca="1">IF(controls!$B$33=1,B140*(1+V141)+T141,B140*(1+V141))</f>
        <v>100</v>
      </c>
      <c r="C141" s="80">
        <f t="shared" ca="1" si="18"/>
        <v>0</v>
      </c>
      <c r="D141" s="77">
        <f t="shared" ca="1" si="14"/>
        <v>100</v>
      </c>
      <c r="E141" s="77">
        <f ca="1">AG140+IF(controls!$B$33=1,G141,F141)</f>
        <v>100</v>
      </c>
      <c r="F141" s="94">
        <f ca="1">IF(controls!$B$44=0,H141-'main page'!$K$27*M140,H141-'main page'!$K$27*M140+'main page'!$K$31*AB140)</f>
        <v>100</v>
      </c>
      <c r="G141" s="75">
        <f ca="1">IF(controls!$B$44=0,I141-'main page'!$K$27*M140,I141-'main page'!$K$27*M140+'main page'!$K$31*'normal case'!AB140)</f>
        <v>100</v>
      </c>
      <c r="H141" s="75">
        <f t="shared" ca="1" si="12"/>
        <v>108</v>
      </c>
      <c r="I141" s="75">
        <f t="shared" ca="1" si="13"/>
        <v>108</v>
      </c>
      <c r="L141" s="75">
        <f ca="1">IF(ABS('main page'!$K$29*L140+(1-'main page'!$K$29)*(controls!$B$9/100)*100+'main page'!$K$25*(D141-B141)-L140)&lt;0.0000001,L140,'main page'!$K$29*L140+(1-'main page'!$K$29)*(controls!$B$9/100)*100+'main page'!$K$25*(D141-B141))</f>
        <v>2</v>
      </c>
      <c r="M141" s="96">
        <f ca="1">IF(controls!$B$10=1,M140,IF(SUM(controls!$B$44:$B$46)=2,N141-'main page'!$K$29*'normal case'!L141-(1-'main page'!$K$29)*'main page'!$K$32,N141-'main page'!$K$29*'normal case'!L141-(1-'main page'!$K$29)*controls!$B$9))</f>
        <v>4</v>
      </c>
      <c r="N141" s="208">
        <f ca="1">IF(controls!$B$45=1,IF(controls!$B$46=1,'main page'!$K$24+'main page'!$K$11+'main page'!$U$8,'main page'!$K$24+'main page'!$K$11+'main page'!$K$32),IF(controls!$B$44=1,IF(O141&lt;0,0,O141),IF(O141+'main page'!$K$11&lt;0,0,O141+'main page'!$K$11)))</f>
        <v>6</v>
      </c>
      <c r="O141" s="76">
        <f ca="1">IF(controls!$B$10=1,'normal case'!M141+'normal case'!L141,'normal case'!P141)</f>
        <v>6</v>
      </c>
      <c r="P141" s="74">
        <f t="shared" ca="1" si="15"/>
        <v>6</v>
      </c>
      <c r="Q141" s="210">
        <f ca="1">IF(controls!$B$44=0,R141+'main page'!$K$29*L141+(1-'main page'!$K$29)*controls!$B$9+(('main page'!$K$25*'main page'!$U$13*'main page'!$K$29)/('main page'!$K$27*(1+('main page'!$K$25^2)*'main page'!$U$13)))*(L141-controls!$B$9),R141+'main page'!$K$29*L141+(1-'main page'!$K$29)*controls!$B$9+(('main page'!$K$25*'main page'!$U$13*'normal case'!$AO$3)/'normal case'!$AO$4)*('normal case'!L141-controls!$B$9))</f>
        <v>6</v>
      </c>
      <c r="R141" s="98">
        <f ca="1">IF(controls!$B$44=1,'main page'!$K$24+'main page'!$K$11,IF(controls!$B$33=1,((I142-D141*W142-B142+B141*V142)/'main page'!$K$27)-'main page'!$K$11,((H142-D141*W142-B142+B141*V142)/'main page'!$K$27)-'main page'!$K$11))</f>
        <v>4</v>
      </c>
      <c r="T141" s="71">
        <f>IF(controls!$B$6=1,$AL$3*(1+('main page'!$K$35/100))^U141-$AL$3*(1+('main page'!$K$35/100))^U140,$AL$3*(1+('main page'!$G$8/100))*(1+('main page'!$K$35/100))^U141-$AL$3*(1+('main page'!$G$8/100))*(1+('main page'!$K$35/100))^U140)</f>
        <v>0</v>
      </c>
      <c r="U141" s="73">
        <v>134</v>
      </c>
      <c r="V141" s="161">
        <v>0</v>
      </c>
      <c r="W141" s="40">
        <v>0</v>
      </c>
      <c r="X141" s="49">
        <f ca="1">IF(controls!$B$33=1,D141-($I$3-'main page'!$K$27*2)*(1+('main page'!$K$35/100))^A140,D141-$AL$4)</f>
        <v>0</v>
      </c>
      <c r="Y141" s="49">
        <f ca="1">ABS(L141-(controls!$B$9/100)*100)</f>
        <v>0</v>
      </c>
      <c r="AA141" s="49" t="e">
        <f ca="1">IF(controls!$B$33=1,(B142-B141*V142-I142+D141*W142+'main page'!$K$27*('main page'!$K$24+'main page'!$K$11))/'main page'!$K$31,(B142-B141*V142+D141*W142-H142+'main page'!$K$27*('main page'!$K$24+'main page'!$K$11))/'main page'!$K$31)</f>
        <v>#DIV/0!</v>
      </c>
      <c r="AB141" s="49" t="e">
        <f ca="1">IF(controls!$B$45=1,LOG(AF141,1.01)+LOG(AE141,1.01)-LOG(AD141,1.01),-((M141-('main page'!$K$24+'main page'!$K$11))/(1-'normal case'!$AO$3))+'normal case'!AA141)</f>
        <v>#DIV/0!</v>
      </c>
      <c r="AC141" s="176" t="e">
        <f t="shared" ca="1" si="16"/>
        <v>#DIV/0!</v>
      </c>
      <c r="AD141" s="49">
        <f t="shared" ca="1" si="17"/>
        <v>15.375303708145482</v>
      </c>
      <c r="AE141" s="49">
        <f>AE140*(1+'main page'!$K$32/100)</f>
        <v>1</v>
      </c>
      <c r="AF141" s="49" t="e">
        <f ca="1">IF(ABS(IF(controls!$B$45=1,$AL$13,AD141*AC141/AE141)-AF140)&lt;0.00001,AF140,IF(controls!$B$45=1,$AL$13,AD141*AC141/AE141))</f>
        <v>#DIV/0!</v>
      </c>
      <c r="AG141" s="49">
        <f>IF(controls!$B$46=0,0,IF(controls!$B$33=2,B142-B141*V142-('normal case'!H142-D141*W142-'main page'!$K$27*'normal case'!M141+'main page'!$K$31*'normal case'!AB141)-(('main page'!$K$25*'main page'!$U$13*'main page'!$K$29)/(1+('main page'!$K$25^2)*'main page'!$U$13))*('normal case'!L141-'main page'!$U$8),B142-B141*V142-('normal case'!I142-D141*W142-'main page'!$K$27*'normal case'!M141+'main page'!$K$31*'normal case'!AB141)-(('main page'!$K$25*'main page'!$U$13*'main page'!$K$29)/(1+('main page'!$K$25^2)*'main page'!$U$13))*('normal case'!L141-'main page'!$U$8)))</f>
        <v>0</v>
      </c>
      <c r="AN141" s="40"/>
      <c r="AO141" s="40"/>
    </row>
    <row r="142" spans="1:41">
      <c r="A142" s="48">
        <v>140</v>
      </c>
      <c r="B142" s="75">
        <f ca="1">IF(controls!$B$33=1,B141*(1+V142)+T142,B141*(1+V142))</f>
        <v>100</v>
      </c>
      <c r="C142" s="80">
        <f t="shared" ca="1" si="18"/>
        <v>0</v>
      </c>
      <c r="D142" s="77">
        <f t="shared" ca="1" si="14"/>
        <v>100</v>
      </c>
      <c r="E142" s="77">
        <f ca="1">AG141+IF(controls!$B$33=1,G142,F142)</f>
        <v>100</v>
      </c>
      <c r="F142" s="94">
        <f ca="1">IF(controls!$B$44=0,H142-'main page'!$K$27*M141,H142-'main page'!$K$27*M141+'main page'!$K$31*AB141)</f>
        <v>100</v>
      </c>
      <c r="G142" s="75">
        <f ca="1">IF(controls!$B$44=0,I142-'main page'!$K$27*M141,I142-'main page'!$K$27*M141+'main page'!$K$31*'normal case'!AB141)</f>
        <v>100</v>
      </c>
      <c r="H142" s="75">
        <f t="shared" ca="1" si="12"/>
        <v>108</v>
      </c>
      <c r="I142" s="75">
        <f t="shared" ca="1" si="13"/>
        <v>108</v>
      </c>
      <c r="L142" s="75">
        <f ca="1">IF(ABS('main page'!$K$29*L141+(1-'main page'!$K$29)*(controls!$B$9/100)*100+'main page'!$K$25*(D142-B142)-L141)&lt;0.0000001,L141,'main page'!$K$29*L141+(1-'main page'!$K$29)*(controls!$B$9/100)*100+'main page'!$K$25*(D142-B142))</f>
        <v>2</v>
      </c>
      <c r="M142" s="96">
        <f ca="1">IF(controls!$B$10=1,M141,IF(SUM(controls!$B$44:$B$46)=2,N142-'main page'!$K$29*'normal case'!L142-(1-'main page'!$K$29)*'main page'!$K$32,N142-'main page'!$K$29*'normal case'!L142-(1-'main page'!$K$29)*controls!$B$9))</f>
        <v>4</v>
      </c>
      <c r="N142" s="208">
        <f ca="1">IF(controls!$B$45=1,IF(controls!$B$46=1,'main page'!$K$24+'main page'!$K$11+'main page'!$U$8,'main page'!$K$24+'main page'!$K$11+'main page'!$K$32),IF(controls!$B$44=1,IF(O142&lt;0,0,O142),IF(O142+'main page'!$K$11&lt;0,0,O142+'main page'!$K$11)))</f>
        <v>6</v>
      </c>
      <c r="O142" s="76">
        <f ca="1">IF(controls!$B$10=1,'normal case'!M142+'normal case'!L142,'normal case'!P142)</f>
        <v>6</v>
      </c>
      <c r="P142" s="74">
        <f t="shared" ca="1" si="15"/>
        <v>6</v>
      </c>
      <c r="Q142" s="210">
        <f ca="1">IF(controls!$B$44=0,R142+'main page'!$K$29*L142+(1-'main page'!$K$29)*controls!$B$9+(('main page'!$K$25*'main page'!$U$13*'main page'!$K$29)/('main page'!$K$27*(1+('main page'!$K$25^2)*'main page'!$U$13)))*(L142-controls!$B$9),R142+'main page'!$K$29*L142+(1-'main page'!$K$29)*controls!$B$9+(('main page'!$K$25*'main page'!$U$13*'normal case'!$AO$3)/'normal case'!$AO$4)*('normal case'!L142-controls!$B$9))</f>
        <v>6</v>
      </c>
      <c r="R142" s="98">
        <f ca="1">IF(controls!$B$44=1,'main page'!$K$24+'main page'!$K$11,IF(controls!$B$33=1,((I143-D142*W143-B143+B142*V143)/'main page'!$K$27)-'main page'!$K$11,((H143-D142*W143-B143+B142*V143)/'main page'!$K$27)-'main page'!$K$11))</f>
        <v>4</v>
      </c>
      <c r="T142" s="71">
        <f>IF(controls!$B$6=1,$AL$3*(1+('main page'!$K$35/100))^U142-$AL$3*(1+('main page'!$K$35/100))^U141,$AL$3*(1+('main page'!$G$8/100))*(1+('main page'!$K$35/100))^U142-$AL$3*(1+('main page'!$G$8/100))*(1+('main page'!$K$35/100))^U141)</f>
        <v>0</v>
      </c>
      <c r="U142" s="73">
        <v>135</v>
      </c>
      <c r="V142" s="161">
        <v>0</v>
      </c>
      <c r="W142" s="40">
        <v>0</v>
      </c>
      <c r="X142" s="49">
        <f ca="1">IF(controls!$B$33=1,D142-($I$3-'main page'!$K$27*2)*(1+('main page'!$K$35/100))^A141,D142-$AL$4)</f>
        <v>0</v>
      </c>
      <c r="Y142" s="49">
        <f ca="1">ABS(L142-(controls!$B$9/100)*100)</f>
        <v>0</v>
      </c>
      <c r="AA142" s="49" t="e">
        <f ca="1">IF(controls!$B$33=1,(B143-B142*V143-I143+D142*W143+'main page'!$K$27*('main page'!$K$24+'main page'!$K$11))/'main page'!$K$31,(B143-B142*V143+D142*W143-H143+'main page'!$K$27*('main page'!$K$24+'main page'!$K$11))/'main page'!$K$31)</f>
        <v>#DIV/0!</v>
      </c>
      <c r="AB142" s="49" t="e">
        <f ca="1">IF(controls!$B$45=1,LOG(AF142,1.01)+LOG(AE142,1.01)-LOG(AD142,1.01),-((M142-('main page'!$K$24+'main page'!$K$11))/(1-'normal case'!$AO$3))+'normal case'!AA142)</f>
        <v>#DIV/0!</v>
      </c>
      <c r="AC142" s="176" t="e">
        <f t="shared" ca="1" si="16"/>
        <v>#DIV/0!</v>
      </c>
      <c r="AD142" s="49">
        <f t="shared" ca="1" si="17"/>
        <v>15.682809782308393</v>
      </c>
      <c r="AE142" s="49">
        <f>AE141*(1+'main page'!$K$32/100)</f>
        <v>1</v>
      </c>
      <c r="AF142" s="49" t="e">
        <f ca="1">IF(ABS(IF(controls!$B$45=1,$AL$13,AD142*AC142/AE142)-AF141)&lt;0.00001,AF141,IF(controls!$B$45=1,$AL$13,AD142*AC142/AE142))</f>
        <v>#DIV/0!</v>
      </c>
      <c r="AG142" s="49">
        <f>IF(controls!$B$46=0,0,IF(controls!$B$33=2,B143-B142*V143-('normal case'!H143-D142*W143-'main page'!$K$27*'normal case'!M142+'main page'!$K$31*'normal case'!AB142)-(('main page'!$K$25*'main page'!$U$13*'main page'!$K$29)/(1+('main page'!$K$25^2)*'main page'!$U$13))*('normal case'!L142-'main page'!$U$8),B143-B142*V143-('normal case'!I143-D142*W143-'main page'!$K$27*'normal case'!M142+'main page'!$K$31*'normal case'!AB142)-(('main page'!$K$25*'main page'!$U$13*'main page'!$K$29)/(1+('main page'!$K$25^2)*'main page'!$U$13))*('normal case'!L142-'main page'!$U$8)))</f>
        <v>0</v>
      </c>
      <c r="AN142" s="40"/>
      <c r="AO142" s="40"/>
    </row>
    <row r="143" spans="1:41">
      <c r="A143" s="48">
        <v>141</v>
      </c>
      <c r="B143" s="75">
        <f ca="1">IF(controls!$B$33=1,B142*(1+V143)+T143,B142*(1+V143))</f>
        <v>100</v>
      </c>
      <c r="C143" s="80">
        <f t="shared" ca="1" si="18"/>
        <v>0</v>
      </c>
      <c r="D143" s="77">
        <f t="shared" ca="1" si="14"/>
        <v>100</v>
      </c>
      <c r="E143" s="77">
        <f ca="1">AG142+IF(controls!$B$33=1,G143,F143)</f>
        <v>100</v>
      </c>
      <c r="F143" s="94">
        <f ca="1">IF(controls!$B$44=0,H143-'main page'!$K$27*M142,H143-'main page'!$K$27*M142+'main page'!$K$31*AB142)</f>
        <v>100</v>
      </c>
      <c r="G143" s="75">
        <f ca="1">IF(controls!$B$44=0,I143-'main page'!$K$27*M142,I143-'main page'!$K$27*M142+'main page'!$K$31*'normal case'!AB142)</f>
        <v>100</v>
      </c>
      <c r="H143" s="75">
        <f t="shared" ca="1" si="12"/>
        <v>108</v>
      </c>
      <c r="I143" s="75">
        <f t="shared" ca="1" si="13"/>
        <v>108</v>
      </c>
      <c r="L143" s="75">
        <f ca="1">IF(ABS('main page'!$K$29*L142+(1-'main page'!$K$29)*(controls!$B$9/100)*100+'main page'!$K$25*(D143-B143)-L142)&lt;0.0000001,L142,'main page'!$K$29*L142+(1-'main page'!$K$29)*(controls!$B$9/100)*100+'main page'!$K$25*(D143-B143))</f>
        <v>2</v>
      </c>
      <c r="M143" s="96">
        <f ca="1">IF(controls!$B$10=1,M142,IF(SUM(controls!$B$44:$B$46)=2,N143-'main page'!$K$29*'normal case'!L143-(1-'main page'!$K$29)*'main page'!$K$32,N143-'main page'!$K$29*'normal case'!L143-(1-'main page'!$K$29)*controls!$B$9))</f>
        <v>4</v>
      </c>
      <c r="N143" s="208">
        <f ca="1">IF(controls!$B$45=1,IF(controls!$B$46=1,'main page'!$K$24+'main page'!$K$11+'main page'!$U$8,'main page'!$K$24+'main page'!$K$11+'main page'!$K$32),IF(controls!$B$44=1,IF(O143&lt;0,0,O143),IF(O143+'main page'!$K$11&lt;0,0,O143+'main page'!$K$11)))</f>
        <v>6</v>
      </c>
      <c r="O143" s="76">
        <f ca="1">IF(controls!$B$10=1,'normal case'!M143+'normal case'!L143,'normal case'!P143)</f>
        <v>6</v>
      </c>
      <c r="P143" s="74">
        <f t="shared" ca="1" si="15"/>
        <v>6</v>
      </c>
      <c r="Q143" s="210">
        <f ca="1">IF(controls!$B$44=0,R143+'main page'!$K$29*L143+(1-'main page'!$K$29)*controls!$B$9+(('main page'!$K$25*'main page'!$U$13*'main page'!$K$29)/('main page'!$K$27*(1+('main page'!$K$25^2)*'main page'!$U$13)))*(L143-controls!$B$9),R143+'main page'!$K$29*L143+(1-'main page'!$K$29)*controls!$B$9+(('main page'!$K$25*'main page'!$U$13*'normal case'!$AO$3)/'normal case'!$AO$4)*('normal case'!L143-controls!$B$9))</f>
        <v>6</v>
      </c>
      <c r="R143" s="98">
        <f ca="1">IF(controls!$B$44=1,'main page'!$K$24+'main page'!$K$11,IF(controls!$B$33=1,((I144-D143*W144-B144+B143*V144)/'main page'!$K$27)-'main page'!$K$11,((H144-D143*W144-B144+B143*V144)/'main page'!$K$27)-'main page'!$K$11))</f>
        <v>4</v>
      </c>
      <c r="T143" s="71">
        <f>IF(controls!$B$6=1,$AL$3*(1+('main page'!$K$35/100))^U143-$AL$3*(1+('main page'!$K$35/100))^U142,$AL$3*(1+('main page'!$G$8/100))*(1+('main page'!$K$35/100))^U143-$AL$3*(1+('main page'!$G$8/100))*(1+('main page'!$K$35/100))^U142)</f>
        <v>0</v>
      </c>
      <c r="U143" s="73">
        <v>136</v>
      </c>
      <c r="V143" s="161">
        <f ca="1">IF(controls!$B$4=1,IF(controls!$H142=1,controls!$B$34*V142+RAND()*('main page'!$K$16/100)-RAND()*('main page'!$K$16/100),0),0)</f>
        <v>0</v>
      </c>
      <c r="W143" s="40">
        <f ca="1">IF(controls!$B$4=1,IF(controls!$I142=1,controls!$B$34*W142+RAND()*('main page'!$K$16/100)-RAND()*('main page'!$K$16/100),0),0)</f>
        <v>0</v>
      </c>
      <c r="X143" s="49">
        <f ca="1">IF(controls!$B$33=1,D143-($I$3-'main page'!$K$27*2)*(1+('main page'!$K$35/100))^A142,D143-$AL$4)</f>
        <v>0</v>
      </c>
      <c r="Y143" s="49">
        <f ca="1">ABS(L143-(controls!$B$9/100)*100)</f>
        <v>0</v>
      </c>
      <c r="AA143" s="49" t="e">
        <f ca="1">IF(controls!$B$33=1,(B144-B143*V144-I144+D143*W144+'main page'!$K$27*('main page'!$K$24+'main page'!$K$11))/'main page'!$K$31,(B144-B143*V144+D143*W144-H144+'main page'!$K$27*('main page'!$K$24+'main page'!$K$11))/'main page'!$K$31)</f>
        <v>#DIV/0!</v>
      </c>
      <c r="AB143" s="49" t="e">
        <f ca="1">IF(controls!$B$45=1,LOG(AF143,1.01)+LOG(AE143,1.01)-LOG(AD143,1.01),-((M143-('main page'!$K$24+'main page'!$K$11))/(1-'normal case'!$AO$3))+'normal case'!AA143)</f>
        <v>#DIV/0!</v>
      </c>
      <c r="AC143" s="176" t="e">
        <f t="shared" ca="1" si="16"/>
        <v>#DIV/0!</v>
      </c>
      <c r="AD143" s="49">
        <f t="shared" ca="1" si="17"/>
        <v>15.996465977954561</v>
      </c>
      <c r="AE143" s="49">
        <f>AE142*(1+'main page'!$K$32/100)</f>
        <v>1</v>
      </c>
      <c r="AF143" s="49" t="e">
        <f ca="1">IF(ABS(IF(controls!$B$45=1,$AL$13,AD143*AC143/AE143)-AF142)&lt;0.00001,AF142,IF(controls!$B$45=1,$AL$13,AD143*AC143/AE143))</f>
        <v>#DIV/0!</v>
      </c>
      <c r="AG143" s="49">
        <f>IF(controls!$B$46=0,0,IF(controls!$B$33=2,B144-B143*V144-('normal case'!H144-D143*W144-'main page'!$K$27*'normal case'!M143+'main page'!$K$31*'normal case'!AB143)-(('main page'!$K$25*'main page'!$U$13*'main page'!$K$29)/(1+('main page'!$K$25^2)*'main page'!$U$13))*('normal case'!L143-'main page'!$U$8),B144-B143*V144-('normal case'!I144-D143*W144-'main page'!$K$27*'normal case'!M143+'main page'!$K$31*'normal case'!AB143)-(('main page'!$K$25*'main page'!$U$13*'main page'!$K$29)/(1+('main page'!$K$25^2)*'main page'!$U$13))*('normal case'!L143-'main page'!$U$8)))</f>
        <v>0</v>
      </c>
      <c r="AN143" s="40"/>
      <c r="AO143" s="40"/>
    </row>
    <row r="144" spans="1:41">
      <c r="A144" s="48">
        <v>142</v>
      </c>
      <c r="B144" s="75">
        <f ca="1">IF(controls!$B$33=1,B143*(1+V144)+T144,B143*(1+V144))</f>
        <v>100</v>
      </c>
      <c r="C144" s="80">
        <f t="shared" ca="1" si="18"/>
        <v>0</v>
      </c>
      <c r="D144" s="77">
        <f t="shared" ca="1" si="14"/>
        <v>100</v>
      </c>
      <c r="E144" s="77">
        <f ca="1">AG143+IF(controls!$B$33=1,G144,F144)</f>
        <v>100</v>
      </c>
      <c r="F144" s="94">
        <f ca="1">IF(controls!$B$44=0,H144-'main page'!$K$27*M143,H144-'main page'!$K$27*M143+'main page'!$K$31*AB143)</f>
        <v>100</v>
      </c>
      <c r="G144" s="75">
        <f ca="1">IF(controls!$B$44=0,I144-'main page'!$K$27*M143,I144-'main page'!$K$27*M143+'main page'!$K$31*'normal case'!AB143)</f>
        <v>100</v>
      </c>
      <c r="H144" s="75">
        <f t="shared" ca="1" si="12"/>
        <v>108</v>
      </c>
      <c r="I144" s="75">
        <f t="shared" ca="1" si="13"/>
        <v>108</v>
      </c>
      <c r="L144" s="75">
        <f ca="1">IF(ABS('main page'!$K$29*L143+(1-'main page'!$K$29)*(controls!$B$9/100)*100+'main page'!$K$25*(D144-B144)-L143)&lt;0.0000001,L143,'main page'!$K$29*L143+(1-'main page'!$K$29)*(controls!$B$9/100)*100+'main page'!$K$25*(D144-B144))</f>
        <v>2</v>
      </c>
      <c r="M144" s="96">
        <f ca="1">IF(controls!$B$10=1,M143,IF(SUM(controls!$B$44:$B$46)=2,N144-'main page'!$K$29*'normal case'!L144-(1-'main page'!$K$29)*'main page'!$K$32,N144-'main page'!$K$29*'normal case'!L144-(1-'main page'!$K$29)*controls!$B$9))</f>
        <v>4</v>
      </c>
      <c r="N144" s="208">
        <f ca="1">IF(controls!$B$45=1,IF(controls!$B$46=1,'main page'!$K$24+'main page'!$K$11+'main page'!$U$8,'main page'!$K$24+'main page'!$K$11+'main page'!$K$32),IF(controls!$B$44=1,IF(O144&lt;0,0,O144),IF(O144+'main page'!$K$11&lt;0,0,O144+'main page'!$K$11)))</f>
        <v>6</v>
      </c>
      <c r="O144" s="76">
        <f ca="1">IF(controls!$B$10=1,'normal case'!M144+'normal case'!L144,'normal case'!P144)</f>
        <v>6</v>
      </c>
      <c r="P144" s="74">
        <f t="shared" ca="1" si="15"/>
        <v>6</v>
      </c>
      <c r="Q144" s="210">
        <f ca="1">IF(controls!$B$44=0,R144+'main page'!$K$29*L144+(1-'main page'!$K$29)*controls!$B$9+(('main page'!$K$25*'main page'!$U$13*'main page'!$K$29)/('main page'!$K$27*(1+('main page'!$K$25^2)*'main page'!$U$13)))*(L144-controls!$B$9),R144+'main page'!$K$29*L144+(1-'main page'!$K$29)*controls!$B$9+(('main page'!$K$25*'main page'!$U$13*'normal case'!$AO$3)/'normal case'!$AO$4)*('normal case'!L144-controls!$B$9))</f>
        <v>6</v>
      </c>
      <c r="R144" s="98">
        <f ca="1">IF(controls!$B$44=1,'main page'!$K$24+'main page'!$K$11,IF(controls!$B$33=1,((I145-D144*W145-B145+B144*V145)/'main page'!$K$27)-'main page'!$K$11,((H145-D144*W145-B145+B144*V145)/'main page'!$K$27)-'main page'!$K$11))</f>
        <v>4</v>
      </c>
      <c r="T144" s="71">
        <f>IF(controls!$B$6=1,$AL$3*(1+('main page'!$K$35/100))^U144-$AL$3*(1+('main page'!$K$35/100))^U143,$AL$3*(1+('main page'!$G$8/100))*(1+('main page'!$K$35/100))^U144-$AL$3*(1+('main page'!$G$8/100))*(1+('main page'!$K$35/100))^U143)</f>
        <v>0</v>
      </c>
      <c r="U144" s="73">
        <v>137</v>
      </c>
      <c r="V144" s="161">
        <v>0</v>
      </c>
      <c r="W144" s="40">
        <v>0</v>
      </c>
      <c r="X144" s="49">
        <f ca="1">IF(controls!$B$33=1,D144-($I$3-'main page'!$K$27*2)*(1+('main page'!$K$35/100))^A143,D144-$AL$4)</f>
        <v>0</v>
      </c>
      <c r="Y144" s="49">
        <f ca="1">ABS(L144-(controls!$B$9/100)*100)</f>
        <v>0</v>
      </c>
      <c r="AA144" s="49" t="e">
        <f ca="1">IF(controls!$B$33=1,(B145-B144*V145-I145+D144*W145+'main page'!$K$27*('main page'!$K$24+'main page'!$K$11))/'main page'!$K$31,(B145-B144*V145+D144*W145-H145+'main page'!$K$27*('main page'!$K$24+'main page'!$K$11))/'main page'!$K$31)</f>
        <v>#DIV/0!</v>
      </c>
      <c r="AB144" s="49" t="e">
        <f ca="1">IF(controls!$B$45=1,LOG(AF144,1.01)+LOG(AE144,1.01)-LOG(AD144,1.01),-((M144-('main page'!$K$24+'main page'!$K$11))/(1-'normal case'!$AO$3))+'normal case'!AA144)</f>
        <v>#DIV/0!</v>
      </c>
      <c r="AC144" s="176" t="e">
        <f t="shared" ca="1" si="16"/>
        <v>#DIV/0!</v>
      </c>
      <c r="AD144" s="49">
        <f t="shared" ca="1" si="17"/>
        <v>16.316395297513651</v>
      </c>
      <c r="AE144" s="49">
        <f>AE143*(1+'main page'!$K$32/100)</f>
        <v>1</v>
      </c>
      <c r="AF144" s="49" t="e">
        <f ca="1">IF(ABS(IF(controls!$B$45=1,$AL$13,AD144*AC144/AE144)-AF143)&lt;0.00001,AF143,IF(controls!$B$45=1,$AL$13,AD144*AC144/AE144))</f>
        <v>#DIV/0!</v>
      </c>
      <c r="AG144" s="49">
        <f>IF(controls!$B$46=0,0,IF(controls!$B$33=2,B145-B144*V145-('normal case'!H145-D144*W145-'main page'!$K$27*'normal case'!M144+'main page'!$K$31*'normal case'!AB144)-(('main page'!$K$25*'main page'!$U$13*'main page'!$K$29)/(1+('main page'!$K$25^2)*'main page'!$U$13))*('normal case'!L144-'main page'!$U$8),B145-B144*V145-('normal case'!I145-D144*W145-'main page'!$K$27*'normal case'!M144+'main page'!$K$31*'normal case'!AB144)-(('main page'!$K$25*'main page'!$U$13*'main page'!$K$29)/(1+('main page'!$K$25^2)*'main page'!$U$13))*('normal case'!L144-'main page'!$U$8)))</f>
        <v>0</v>
      </c>
      <c r="AN144" s="40"/>
      <c r="AO144" s="40"/>
    </row>
    <row r="145" spans="1:41">
      <c r="A145" s="48">
        <v>143</v>
      </c>
      <c r="B145" s="75">
        <f ca="1">IF(controls!$B$33=1,B144*(1+V145)+T145,B144*(1+V145))</f>
        <v>100</v>
      </c>
      <c r="C145" s="80">
        <f t="shared" ca="1" si="18"/>
        <v>0</v>
      </c>
      <c r="D145" s="77">
        <f t="shared" ca="1" si="14"/>
        <v>100</v>
      </c>
      <c r="E145" s="77">
        <f ca="1">AG144+IF(controls!$B$33=1,G145,F145)</f>
        <v>100</v>
      </c>
      <c r="F145" s="94">
        <f ca="1">IF(controls!$B$44=0,H145-'main page'!$K$27*M144,H145-'main page'!$K$27*M144+'main page'!$K$31*AB144)</f>
        <v>100</v>
      </c>
      <c r="G145" s="75">
        <f ca="1">IF(controls!$B$44=0,I145-'main page'!$K$27*M144,I145-'main page'!$K$27*M144+'main page'!$K$31*'normal case'!AB144)</f>
        <v>100</v>
      </c>
      <c r="H145" s="75">
        <f t="shared" ca="1" si="12"/>
        <v>108</v>
      </c>
      <c r="I145" s="75">
        <f t="shared" ca="1" si="13"/>
        <v>108</v>
      </c>
      <c r="L145" s="75">
        <f ca="1">IF(ABS('main page'!$K$29*L144+(1-'main page'!$K$29)*(controls!$B$9/100)*100+'main page'!$K$25*(D145-B145)-L144)&lt;0.0000001,L144,'main page'!$K$29*L144+(1-'main page'!$K$29)*(controls!$B$9/100)*100+'main page'!$K$25*(D145-B145))</f>
        <v>2</v>
      </c>
      <c r="M145" s="96">
        <f ca="1">IF(controls!$B$10=1,M144,IF(SUM(controls!$B$44:$B$46)=2,N145-'main page'!$K$29*'normal case'!L145-(1-'main page'!$K$29)*'main page'!$K$32,N145-'main page'!$K$29*'normal case'!L145-(1-'main page'!$K$29)*controls!$B$9))</f>
        <v>4</v>
      </c>
      <c r="N145" s="208">
        <f ca="1">IF(controls!$B$45=1,IF(controls!$B$46=1,'main page'!$K$24+'main page'!$K$11+'main page'!$U$8,'main page'!$K$24+'main page'!$K$11+'main page'!$K$32),IF(controls!$B$44=1,IF(O145&lt;0,0,O145),IF(O145+'main page'!$K$11&lt;0,0,O145+'main page'!$K$11)))</f>
        <v>6</v>
      </c>
      <c r="O145" s="76">
        <f ca="1">IF(controls!$B$10=1,'normal case'!M145+'normal case'!L145,'normal case'!P145)</f>
        <v>6</v>
      </c>
      <c r="P145" s="74">
        <f t="shared" ca="1" si="15"/>
        <v>6</v>
      </c>
      <c r="Q145" s="210">
        <f ca="1">IF(controls!$B$44=0,R145+'main page'!$K$29*L145+(1-'main page'!$K$29)*controls!$B$9+(('main page'!$K$25*'main page'!$U$13*'main page'!$K$29)/('main page'!$K$27*(1+('main page'!$K$25^2)*'main page'!$U$13)))*(L145-controls!$B$9),R145+'main page'!$K$29*L145+(1-'main page'!$K$29)*controls!$B$9+(('main page'!$K$25*'main page'!$U$13*'normal case'!$AO$3)/'normal case'!$AO$4)*('normal case'!L145-controls!$B$9))</f>
        <v>6</v>
      </c>
      <c r="R145" s="98">
        <f ca="1">IF(controls!$B$44=1,'main page'!$K$24+'main page'!$K$11,IF(controls!$B$33=1,((I146-D145*W146-B146+B145*V146)/'main page'!$K$27)-'main page'!$K$11,((H146-D145*W146-B146+B145*V146)/'main page'!$K$27)-'main page'!$K$11))</f>
        <v>4</v>
      </c>
      <c r="T145" s="71">
        <f>IF(controls!$B$6=1,$AL$3*(1+('main page'!$K$35/100))^U145-$AL$3*(1+('main page'!$K$35/100))^U144,$AL$3*(1+('main page'!$G$8/100))*(1+('main page'!$K$35/100))^U145-$AL$3*(1+('main page'!$G$8/100))*(1+('main page'!$K$35/100))^U144)</f>
        <v>0</v>
      </c>
      <c r="U145" s="73">
        <v>138</v>
      </c>
      <c r="V145" s="161">
        <v>0</v>
      </c>
      <c r="W145" s="40">
        <v>0</v>
      </c>
      <c r="X145" s="49">
        <f ca="1">IF(controls!$B$33=1,D145-($I$3-'main page'!$K$27*2)*(1+('main page'!$K$35/100))^A144,D145-$AL$4)</f>
        <v>0</v>
      </c>
      <c r="Y145" s="49">
        <f ca="1">ABS(L145-(controls!$B$9/100)*100)</f>
        <v>0</v>
      </c>
      <c r="AA145" s="49" t="e">
        <f ca="1">IF(controls!$B$33=1,(B146-B145*V146-I146+D145*W146+'main page'!$K$27*('main page'!$K$24+'main page'!$K$11))/'main page'!$K$31,(B146-B145*V146+D145*W146-H146+'main page'!$K$27*('main page'!$K$24+'main page'!$K$11))/'main page'!$K$31)</f>
        <v>#DIV/0!</v>
      </c>
      <c r="AB145" s="49" t="e">
        <f ca="1">IF(controls!$B$45=1,LOG(AF145,1.01)+LOG(AE145,1.01)-LOG(AD145,1.01),-((M145-('main page'!$K$24+'main page'!$K$11))/(1-'normal case'!$AO$3))+'normal case'!AA145)</f>
        <v>#DIV/0!</v>
      </c>
      <c r="AC145" s="176" t="e">
        <f t="shared" ca="1" si="16"/>
        <v>#DIV/0!</v>
      </c>
      <c r="AD145" s="49">
        <f t="shared" ca="1" si="17"/>
        <v>16.642723203463923</v>
      </c>
      <c r="AE145" s="49">
        <f>AE144*(1+'main page'!$K$32/100)</f>
        <v>1</v>
      </c>
      <c r="AF145" s="49" t="e">
        <f ca="1">IF(ABS(IF(controls!$B$45=1,$AL$13,AD145*AC145/AE145)-AF144)&lt;0.00001,AF144,IF(controls!$B$45=1,$AL$13,AD145*AC145/AE145))</f>
        <v>#DIV/0!</v>
      </c>
      <c r="AG145" s="49">
        <f>IF(controls!$B$46=0,0,IF(controls!$B$33=2,B146-B145*V146-('normal case'!H146-D145*W146-'main page'!$K$27*'normal case'!M145+'main page'!$K$31*'normal case'!AB145)-(('main page'!$K$25*'main page'!$U$13*'main page'!$K$29)/(1+('main page'!$K$25^2)*'main page'!$U$13))*('normal case'!L145-'main page'!$U$8),B146-B145*V146-('normal case'!I146-D145*W146-'main page'!$K$27*'normal case'!M145+'main page'!$K$31*'normal case'!AB145)-(('main page'!$K$25*'main page'!$U$13*'main page'!$K$29)/(1+('main page'!$K$25^2)*'main page'!$U$13))*('normal case'!L145-'main page'!$U$8)))</f>
        <v>0</v>
      </c>
      <c r="AN145" s="40"/>
      <c r="AO145" s="40"/>
    </row>
    <row r="146" spans="1:41">
      <c r="A146" s="48">
        <v>144</v>
      </c>
      <c r="B146" s="75">
        <f ca="1">IF(controls!$B$33=1,B145*(1+V146)+T146,B145*(1+V146))</f>
        <v>100</v>
      </c>
      <c r="C146" s="80">
        <f t="shared" ca="1" si="18"/>
        <v>0</v>
      </c>
      <c r="D146" s="77">
        <f t="shared" ca="1" si="14"/>
        <v>100</v>
      </c>
      <c r="E146" s="77">
        <f ca="1">AG145+IF(controls!$B$33=1,G146,F146)</f>
        <v>100</v>
      </c>
      <c r="F146" s="94">
        <f ca="1">IF(controls!$B$44=0,H146-'main page'!$K$27*M145,H146-'main page'!$K$27*M145+'main page'!$K$31*AB145)</f>
        <v>100</v>
      </c>
      <c r="G146" s="75">
        <f ca="1">IF(controls!$B$44=0,I146-'main page'!$K$27*M145,I146-'main page'!$K$27*M145+'main page'!$K$31*'normal case'!AB145)</f>
        <v>100</v>
      </c>
      <c r="H146" s="75">
        <f t="shared" ca="1" si="12"/>
        <v>108</v>
      </c>
      <c r="I146" s="75">
        <f t="shared" ca="1" si="13"/>
        <v>108</v>
      </c>
      <c r="L146" s="75">
        <f ca="1">IF(ABS('main page'!$K$29*L145+(1-'main page'!$K$29)*(controls!$B$9/100)*100+'main page'!$K$25*(D146-B146)-L145)&lt;0.0000001,L145,'main page'!$K$29*L145+(1-'main page'!$K$29)*(controls!$B$9/100)*100+'main page'!$K$25*(D146-B146))</f>
        <v>2</v>
      </c>
      <c r="M146" s="96">
        <f ca="1">IF(controls!$B$10=1,M145,IF(SUM(controls!$B$44:$B$46)=2,N146-'main page'!$K$29*'normal case'!L146-(1-'main page'!$K$29)*'main page'!$K$32,N146-'main page'!$K$29*'normal case'!L146-(1-'main page'!$K$29)*controls!$B$9))</f>
        <v>4</v>
      </c>
      <c r="N146" s="208">
        <f ca="1">IF(controls!$B$45=1,IF(controls!$B$46=1,'main page'!$K$24+'main page'!$K$11+'main page'!$U$8,'main page'!$K$24+'main page'!$K$11+'main page'!$K$32),IF(controls!$B$44=1,IF(O146&lt;0,0,O146),IF(O146+'main page'!$K$11&lt;0,0,O146+'main page'!$K$11)))</f>
        <v>6</v>
      </c>
      <c r="O146" s="76">
        <f ca="1">IF(controls!$B$10=1,'normal case'!M146+'normal case'!L146,'normal case'!P146)</f>
        <v>6</v>
      </c>
      <c r="P146" s="74">
        <f t="shared" ca="1" si="15"/>
        <v>6</v>
      </c>
      <c r="Q146" s="210">
        <f ca="1">IF(controls!$B$44=0,R146+'main page'!$K$29*L146+(1-'main page'!$K$29)*controls!$B$9+(('main page'!$K$25*'main page'!$U$13*'main page'!$K$29)/('main page'!$K$27*(1+('main page'!$K$25^2)*'main page'!$U$13)))*(L146-controls!$B$9),R146+'main page'!$K$29*L146+(1-'main page'!$K$29)*controls!$B$9+(('main page'!$K$25*'main page'!$U$13*'normal case'!$AO$3)/'normal case'!$AO$4)*('normal case'!L146-controls!$B$9))</f>
        <v>6</v>
      </c>
      <c r="R146" s="98">
        <f ca="1">IF(controls!$B$44=1,'main page'!$K$24+'main page'!$K$11,IF(controls!$B$33=1,((I147-D146*W147-B147+B146*V147)/'main page'!$K$27)-'main page'!$K$11,((H147-D146*W147-B147+B146*V147)/'main page'!$K$27)-'main page'!$K$11))</f>
        <v>4</v>
      </c>
      <c r="T146" s="71">
        <f>IF(controls!$B$6=1,$AL$3*(1+('main page'!$K$35/100))^U146-$AL$3*(1+('main page'!$K$35/100))^U145,$AL$3*(1+('main page'!$G$8/100))*(1+('main page'!$K$35/100))^U146-$AL$3*(1+('main page'!$G$8/100))*(1+('main page'!$K$35/100))^U145)</f>
        <v>0</v>
      </c>
      <c r="U146" s="73">
        <v>139</v>
      </c>
      <c r="V146" s="161">
        <f ca="1">IF(controls!$B$4=1,IF(controls!$H145=1,controls!$B$34*V145+RAND()*('main page'!$K$16/100)-RAND()*('main page'!$K$16/100),0),0)</f>
        <v>0</v>
      </c>
      <c r="W146" s="40">
        <f ca="1">IF(controls!$B$4=1,IF(controls!$I145=1,controls!$B$34*W145+RAND()*('main page'!$K$16/100)-RAND()*('main page'!$K$16/100),0),0)</f>
        <v>0</v>
      </c>
      <c r="X146" s="49">
        <f ca="1">IF(controls!$B$33=1,D146-($I$3-'main page'!$K$27*2)*(1+('main page'!$K$35/100))^A145,D146-$AL$4)</f>
        <v>0</v>
      </c>
      <c r="Y146" s="49">
        <f ca="1">ABS(L146-(controls!$B$9/100)*100)</f>
        <v>0</v>
      </c>
      <c r="AA146" s="49" t="e">
        <f ca="1">IF(controls!$B$33=1,(B147-B146*V147-I147+D146*W147+'main page'!$K$27*('main page'!$K$24+'main page'!$K$11))/'main page'!$K$31,(B147-B146*V147+D146*W147-H147+'main page'!$K$27*('main page'!$K$24+'main page'!$K$11))/'main page'!$K$31)</f>
        <v>#DIV/0!</v>
      </c>
      <c r="AB146" s="49" t="e">
        <f ca="1">IF(controls!$B$45=1,LOG(AF146,1.01)+LOG(AE146,1.01)-LOG(AD146,1.01),-((M146-('main page'!$K$24+'main page'!$K$11))/(1-'normal case'!$AO$3))+'normal case'!AA146)</f>
        <v>#DIV/0!</v>
      </c>
      <c r="AC146" s="176" t="e">
        <f t="shared" ca="1" si="16"/>
        <v>#DIV/0!</v>
      </c>
      <c r="AD146" s="49">
        <f t="shared" ca="1" si="17"/>
        <v>16.975577667533202</v>
      </c>
      <c r="AE146" s="49">
        <f>AE145*(1+'main page'!$K$32/100)</f>
        <v>1</v>
      </c>
      <c r="AF146" s="49" t="e">
        <f ca="1">IF(ABS(IF(controls!$B$45=1,$AL$13,AD146*AC146/AE146)-AF145)&lt;0.00001,AF145,IF(controls!$B$45=1,$AL$13,AD146*AC146/AE146))</f>
        <v>#DIV/0!</v>
      </c>
      <c r="AG146" s="49">
        <f>IF(controls!$B$46=0,0,IF(controls!$B$33=2,B147-B146*V147-('normal case'!H147-D146*W147-'main page'!$K$27*'normal case'!M146+'main page'!$K$31*'normal case'!AB146)-(('main page'!$K$25*'main page'!$U$13*'main page'!$K$29)/(1+('main page'!$K$25^2)*'main page'!$U$13))*('normal case'!L146-'main page'!$U$8),B147-B146*V147-('normal case'!I147-D146*W147-'main page'!$K$27*'normal case'!M146+'main page'!$K$31*'normal case'!AB146)-(('main page'!$K$25*'main page'!$U$13*'main page'!$K$29)/(1+('main page'!$K$25^2)*'main page'!$U$13))*('normal case'!L146-'main page'!$U$8)))</f>
        <v>0</v>
      </c>
      <c r="AN146" s="40"/>
      <c r="AO146" s="40"/>
    </row>
    <row r="147" spans="1:41">
      <c r="A147" s="48">
        <v>145</v>
      </c>
      <c r="B147" s="75">
        <f ca="1">IF(controls!$B$33=1,B146*(1+V147)+T147,B146*(1+V147))</f>
        <v>100</v>
      </c>
      <c r="C147" s="80">
        <f t="shared" ca="1" si="18"/>
        <v>0</v>
      </c>
      <c r="D147" s="77">
        <f t="shared" ca="1" si="14"/>
        <v>100</v>
      </c>
      <c r="E147" s="77">
        <f ca="1">AG146+IF(controls!$B$33=1,G147,F147)</f>
        <v>100</v>
      </c>
      <c r="F147" s="94">
        <f ca="1">IF(controls!$B$44=0,H147-'main page'!$K$27*M146,H147-'main page'!$K$27*M146+'main page'!$K$31*AB146)</f>
        <v>100</v>
      </c>
      <c r="G147" s="75">
        <f ca="1">IF(controls!$B$44=0,I147-'main page'!$K$27*M146,I147-'main page'!$K$27*M146+'main page'!$K$31*'normal case'!AB146)</f>
        <v>100</v>
      </c>
      <c r="H147" s="75">
        <f t="shared" ca="1" si="12"/>
        <v>108</v>
      </c>
      <c r="I147" s="75">
        <f t="shared" ca="1" si="13"/>
        <v>108</v>
      </c>
      <c r="L147" s="75">
        <f ca="1">IF(ABS('main page'!$K$29*L146+(1-'main page'!$K$29)*(controls!$B$9/100)*100+'main page'!$K$25*(D147-B147)-L146)&lt;0.0000001,L146,'main page'!$K$29*L146+(1-'main page'!$K$29)*(controls!$B$9/100)*100+'main page'!$K$25*(D147-B147))</f>
        <v>2</v>
      </c>
      <c r="M147" s="96">
        <f ca="1">IF(controls!$B$10=1,M146,IF(SUM(controls!$B$44:$B$46)=2,N147-'main page'!$K$29*'normal case'!L147-(1-'main page'!$K$29)*'main page'!$K$32,N147-'main page'!$K$29*'normal case'!L147-(1-'main page'!$K$29)*controls!$B$9))</f>
        <v>4</v>
      </c>
      <c r="N147" s="208">
        <f ca="1">IF(controls!$B$45=1,IF(controls!$B$46=1,'main page'!$K$24+'main page'!$K$11+'main page'!$U$8,'main page'!$K$24+'main page'!$K$11+'main page'!$K$32),IF(controls!$B$44=1,IF(O147&lt;0,0,O147),IF(O147+'main page'!$K$11&lt;0,0,O147+'main page'!$K$11)))</f>
        <v>6</v>
      </c>
      <c r="O147" s="76">
        <f ca="1">IF(controls!$B$10=1,'normal case'!M147+'normal case'!L147,'normal case'!P147)</f>
        <v>6</v>
      </c>
      <c r="P147" s="74">
        <f t="shared" ca="1" si="15"/>
        <v>6</v>
      </c>
      <c r="Q147" s="210">
        <f ca="1">IF(controls!$B$44=0,R147+'main page'!$K$29*L147+(1-'main page'!$K$29)*controls!$B$9+(('main page'!$K$25*'main page'!$U$13*'main page'!$K$29)/('main page'!$K$27*(1+('main page'!$K$25^2)*'main page'!$U$13)))*(L147-controls!$B$9),R147+'main page'!$K$29*L147+(1-'main page'!$K$29)*controls!$B$9+(('main page'!$K$25*'main page'!$U$13*'normal case'!$AO$3)/'normal case'!$AO$4)*('normal case'!L147-controls!$B$9))</f>
        <v>6</v>
      </c>
      <c r="R147" s="98">
        <f ca="1">IF(controls!$B$44=1,'main page'!$K$24+'main page'!$K$11,IF(controls!$B$33=1,((I148-D147*W148-B148+B147*V148)/'main page'!$K$27)-'main page'!$K$11,((H148-D147*W148-B148+B147*V148)/'main page'!$K$27)-'main page'!$K$11))</f>
        <v>4</v>
      </c>
      <c r="T147" s="71">
        <f>IF(controls!$B$6=1,$AL$3*(1+('main page'!$K$35/100))^U147-$AL$3*(1+('main page'!$K$35/100))^U146,$AL$3*(1+('main page'!$G$8/100))*(1+('main page'!$K$35/100))^U147-$AL$3*(1+('main page'!$G$8/100))*(1+('main page'!$K$35/100))^U146)</f>
        <v>0</v>
      </c>
      <c r="U147" s="73">
        <v>140</v>
      </c>
      <c r="V147" s="161">
        <v>0</v>
      </c>
      <c r="W147" s="40">
        <v>0</v>
      </c>
      <c r="X147" s="49">
        <f ca="1">IF(controls!$B$33=1,D147-($I$3-'main page'!$K$27*2)*(1+('main page'!$K$35/100))^A146,D147-$AL$4)</f>
        <v>0</v>
      </c>
      <c r="Y147" s="49">
        <f ca="1">ABS(L147-(controls!$B$9/100)*100)</f>
        <v>0</v>
      </c>
      <c r="AA147" s="49" t="e">
        <f ca="1">IF(controls!$B$33=1,(B148-B147*V148-I148+D147*W148+'main page'!$K$27*('main page'!$K$24+'main page'!$K$11))/'main page'!$K$31,(B148-B147*V148+D147*W148-H148+'main page'!$K$27*('main page'!$K$24+'main page'!$K$11))/'main page'!$K$31)</f>
        <v>#DIV/0!</v>
      </c>
      <c r="AB147" s="49" t="e">
        <f ca="1">IF(controls!$B$45=1,LOG(AF147,1.01)+LOG(AE147,1.01)-LOG(AD147,1.01),-((M147-('main page'!$K$24+'main page'!$K$11))/(1-'normal case'!$AO$3))+'normal case'!AA147)</f>
        <v>#DIV/0!</v>
      </c>
      <c r="AC147" s="176" t="e">
        <f t="shared" ca="1" si="16"/>
        <v>#DIV/0!</v>
      </c>
      <c r="AD147" s="49">
        <f t="shared" ca="1" si="17"/>
        <v>17.315089220883866</v>
      </c>
      <c r="AE147" s="49">
        <f>AE146*(1+'main page'!$K$32/100)</f>
        <v>1</v>
      </c>
      <c r="AF147" s="49" t="e">
        <f ca="1">IF(ABS(IF(controls!$B$45=1,$AL$13,AD147*AC147/AE147)-AF146)&lt;0.00001,AF146,IF(controls!$B$45=1,$AL$13,AD147*AC147/AE147))</f>
        <v>#DIV/0!</v>
      </c>
      <c r="AG147" s="49">
        <f>IF(controls!$B$46=0,0,IF(controls!$B$33=2,B148-B147*V148-('normal case'!H148-D147*W148-'main page'!$K$27*'normal case'!M147+'main page'!$K$31*'normal case'!AB147)-(('main page'!$K$25*'main page'!$U$13*'main page'!$K$29)/(1+('main page'!$K$25^2)*'main page'!$U$13))*('normal case'!L147-'main page'!$U$8),B148-B147*V148-('normal case'!I148-D147*W148-'main page'!$K$27*'normal case'!M147+'main page'!$K$31*'normal case'!AB147)-(('main page'!$K$25*'main page'!$U$13*'main page'!$K$29)/(1+('main page'!$K$25^2)*'main page'!$U$13))*('normal case'!L147-'main page'!$U$8)))</f>
        <v>0</v>
      </c>
      <c r="AN147" s="40"/>
      <c r="AO147" s="40"/>
    </row>
    <row r="148" spans="1:41">
      <c r="A148" s="48">
        <v>146</v>
      </c>
      <c r="B148" s="75">
        <f ca="1">IF(controls!$B$33=1,B147*(1+V148)+T148,B147*(1+V148))</f>
        <v>100</v>
      </c>
      <c r="C148" s="80">
        <f t="shared" ca="1" si="18"/>
        <v>0</v>
      </c>
      <c r="D148" s="77">
        <f t="shared" ca="1" si="14"/>
        <v>100</v>
      </c>
      <c r="E148" s="77">
        <f ca="1">AG147+IF(controls!$B$33=1,G148,F148)</f>
        <v>100</v>
      </c>
      <c r="F148" s="94">
        <f ca="1">IF(controls!$B$44=0,H148-'main page'!$K$27*M147,H148-'main page'!$K$27*M147+'main page'!$K$31*AB147)</f>
        <v>100</v>
      </c>
      <c r="G148" s="75">
        <f ca="1">IF(controls!$B$44=0,I148-'main page'!$K$27*M147,I148-'main page'!$K$27*M147+'main page'!$K$31*'normal case'!AB147)</f>
        <v>100</v>
      </c>
      <c r="H148" s="75">
        <f t="shared" ca="1" si="12"/>
        <v>108</v>
      </c>
      <c r="I148" s="75">
        <f t="shared" ca="1" si="13"/>
        <v>108</v>
      </c>
      <c r="L148" s="75">
        <f ca="1">IF(ABS('main page'!$K$29*L147+(1-'main page'!$K$29)*(controls!$B$9/100)*100+'main page'!$K$25*(D148-B148)-L147)&lt;0.0000001,L147,'main page'!$K$29*L147+(1-'main page'!$K$29)*(controls!$B$9/100)*100+'main page'!$K$25*(D148-B148))</f>
        <v>2</v>
      </c>
      <c r="M148" s="96">
        <f ca="1">IF(controls!$B$10=1,M147,IF(SUM(controls!$B$44:$B$46)=2,N148-'main page'!$K$29*'normal case'!L148-(1-'main page'!$K$29)*'main page'!$K$32,N148-'main page'!$K$29*'normal case'!L148-(1-'main page'!$K$29)*controls!$B$9))</f>
        <v>4</v>
      </c>
      <c r="N148" s="208">
        <f ca="1">IF(controls!$B$45=1,IF(controls!$B$46=1,'main page'!$K$24+'main page'!$K$11+'main page'!$U$8,'main page'!$K$24+'main page'!$K$11+'main page'!$K$32),IF(controls!$B$44=1,IF(O148&lt;0,0,O148),IF(O148+'main page'!$K$11&lt;0,0,O148+'main page'!$K$11)))</f>
        <v>6</v>
      </c>
      <c r="O148" s="76">
        <f ca="1">IF(controls!$B$10=1,'normal case'!M148+'normal case'!L148,'normal case'!P148)</f>
        <v>6</v>
      </c>
      <c r="P148" s="74">
        <f t="shared" ca="1" si="15"/>
        <v>6</v>
      </c>
      <c r="Q148" s="210">
        <f ca="1">IF(controls!$B$44=0,R148+'main page'!$K$29*L148+(1-'main page'!$K$29)*controls!$B$9+(('main page'!$K$25*'main page'!$U$13*'main page'!$K$29)/('main page'!$K$27*(1+('main page'!$K$25^2)*'main page'!$U$13)))*(L148-controls!$B$9),R148+'main page'!$K$29*L148+(1-'main page'!$K$29)*controls!$B$9+(('main page'!$K$25*'main page'!$U$13*'normal case'!$AO$3)/'normal case'!$AO$4)*('normal case'!L148-controls!$B$9))</f>
        <v>6</v>
      </c>
      <c r="R148" s="98">
        <f ca="1">IF(controls!$B$44=1,'main page'!$K$24+'main page'!$K$11,IF(controls!$B$33=1,((I149-D148*W149-B149+B148*V149)/'main page'!$K$27)-'main page'!$K$11,((H149-D148*W149-B149+B148*V149)/'main page'!$K$27)-'main page'!$K$11))</f>
        <v>4</v>
      </c>
      <c r="T148" s="71">
        <f>IF(controls!$B$6=1,$AL$3*(1+('main page'!$K$35/100))^U148-$AL$3*(1+('main page'!$K$35/100))^U147,$AL$3*(1+('main page'!$G$8/100))*(1+('main page'!$K$35/100))^U148-$AL$3*(1+('main page'!$G$8/100))*(1+('main page'!$K$35/100))^U147)</f>
        <v>0</v>
      </c>
      <c r="U148" s="73">
        <v>141</v>
      </c>
      <c r="V148" s="161">
        <v>0</v>
      </c>
      <c r="W148" s="40">
        <v>0</v>
      </c>
      <c r="X148" s="49">
        <f ca="1">IF(controls!$B$33=1,D148-($I$3-'main page'!$K$27*2)*(1+('main page'!$K$35/100))^A147,D148-$AL$4)</f>
        <v>0</v>
      </c>
      <c r="Y148" s="49">
        <f ca="1">ABS(L148-(controls!$B$9/100)*100)</f>
        <v>0</v>
      </c>
      <c r="AA148" s="49" t="e">
        <f ca="1">IF(controls!$B$33=1,(B149-B148*V149-I149+D148*W149+'main page'!$K$27*('main page'!$K$24+'main page'!$K$11))/'main page'!$K$31,(B149-B148*V149+D148*W149-H149+'main page'!$K$27*('main page'!$K$24+'main page'!$K$11))/'main page'!$K$31)</f>
        <v>#DIV/0!</v>
      </c>
      <c r="AB148" s="49" t="e">
        <f ca="1">IF(controls!$B$45=1,LOG(AF148,1.01)+LOG(AE148,1.01)-LOG(AD148,1.01),-((M148-('main page'!$K$24+'main page'!$K$11))/(1-'normal case'!$AO$3))+'normal case'!AA148)</f>
        <v>#DIV/0!</v>
      </c>
      <c r="AC148" s="176" t="e">
        <f t="shared" ca="1" si="16"/>
        <v>#DIV/0!</v>
      </c>
      <c r="AD148" s="49">
        <f t="shared" ca="1" si="17"/>
        <v>17.661391005301542</v>
      </c>
      <c r="AE148" s="49">
        <f>AE147*(1+'main page'!$K$32/100)</f>
        <v>1</v>
      </c>
      <c r="AF148" s="49" t="e">
        <f ca="1">IF(ABS(IF(controls!$B$45=1,$AL$13,AD148*AC148/AE148)-AF147)&lt;0.00001,AF147,IF(controls!$B$45=1,$AL$13,AD148*AC148/AE148))</f>
        <v>#DIV/0!</v>
      </c>
      <c r="AG148" s="49">
        <f>IF(controls!$B$46=0,0,IF(controls!$B$33=2,B149-B148*V149-('normal case'!H149-D148*W149-'main page'!$K$27*'normal case'!M148+'main page'!$K$31*'normal case'!AB148)-(('main page'!$K$25*'main page'!$U$13*'main page'!$K$29)/(1+('main page'!$K$25^2)*'main page'!$U$13))*('normal case'!L148-'main page'!$U$8),B149-B148*V149-('normal case'!I149-D148*W149-'main page'!$K$27*'normal case'!M148+'main page'!$K$31*'normal case'!AB148)-(('main page'!$K$25*'main page'!$U$13*'main page'!$K$29)/(1+('main page'!$K$25^2)*'main page'!$U$13))*('normal case'!L148-'main page'!$U$8)))</f>
        <v>0</v>
      </c>
      <c r="AN148" s="40"/>
      <c r="AO148" s="40"/>
    </row>
    <row r="149" spans="1:41">
      <c r="A149" s="48">
        <v>147</v>
      </c>
      <c r="B149" s="75">
        <f ca="1">IF(controls!$B$33=1,B148*(1+V149)+T149,B148*(1+V149))</f>
        <v>100</v>
      </c>
      <c r="C149" s="80">
        <f t="shared" ca="1" si="18"/>
        <v>0</v>
      </c>
      <c r="D149" s="77">
        <f t="shared" ca="1" si="14"/>
        <v>100</v>
      </c>
      <c r="E149" s="77">
        <f ca="1">AG148+IF(controls!$B$33=1,G149,F149)</f>
        <v>100</v>
      </c>
      <c r="F149" s="94">
        <f ca="1">IF(controls!$B$44=0,H149-'main page'!$K$27*M148,H149-'main page'!$K$27*M148+'main page'!$K$31*AB148)</f>
        <v>100</v>
      </c>
      <c r="G149" s="75">
        <f ca="1">IF(controls!$B$44=0,I149-'main page'!$K$27*M148,I149-'main page'!$K$27*M148+'main page'!$K$31*'normal case'!AB148)</f>
        <v>100</v>
      </c>
      <c r="H149" s="75">
        <f t="shared" ca="1" si="12"/>
        <v>108</v>
      </c>
      <c r="I149" s="75">
        <f t="shared" ca="1" si="13"/>
        <v>108</v>
      </c>
      <c r="L149" s="75">
        <f ca="1">IF(ABS('main page'!$K$29*L148+(1-'main page'!$K$29)*(controls!$B$9/100)*100+'main page'!$K$25*(D149-B149)-L148)&lt;0.0000001,L148,'main page'!$K$29*L148+(1-'main page'!$K$29)*(controls!$B$9/100)*100+'main page'!$K$25*(D149-B149))</f>
        <v>2</v>
      </c>
      <c r="M149" s="96">
        <f ca="1">IF(controls!$B$10=1,M148,IF(SUM(controls!$B$44:$B$46)=2,N149-'main page'!$K$29*'normal case'!L149-(1-'main page'!$K$29)*'main page'!$K$32,N149-'main page'!$K$29*'normal case'!L149-(1-'main page'!$K$29)*controls!$B$9))</f>
        <v>4</v>
      </c>
      <c r="N149" s="208">
        <f ca="1">IF(controls!$B$45=1,IF(controls!$B$46=1,'main page'!$K$24+'main page'!$K$11+'main page'!$U$8,'main page'!$K$24+'main page'!$K$11+'main page'!$K$32),IF(controls!$B$44=1,IF(O149&lt;0,0,O149),IF(O149+'main page'!$K$11&lt;0,0,O149+'main page'!$K$11)))</f>
        <v>6</v>
      </c>
      <c r="O149" s="76">
        <f ca="1">IF(controls!$B$10=1,'normal case'!M149+'normal case'!L149,'normal case'!P149)</f>
        <v>6</v>
      </c>
      <c r="P149" s="74">
        <f t="shared" ca="1" si="15"/>
        <v>6</v>
      </c>
      <c r="Q149" s="210">
        <f ca="1">IF(controls!$B$44=0,R149+'main page'!$K$29*L149+(1-'main page'!$K$29)*controls!$B$9+(('main page'!$K$25*'main page'!$U$13*'main page'!$K$29)/('main page'!$K$27*(1+('main page'!$K$25^2)*'main page'!$U$13)))*(L149-controls!$B$9),R149+'main page'!$K$29*L149+(1-'main page'!$K$29)*controls!$B$9+(('main page'!$K$25*'main page'!$U$13*'normal case'!$AO$3)/'normal case'!$AO$4)*('normal case'!L149-controls!$B$9))</f>
        <v>6</v>
      </c>
      <c r="R149" s="98">
        <f ca="1">IF(controls!$B$44=1,'main page'!$K$24+'main page'!$K$11,IF(controls!$B$33=1,((I150-D149*W150-B150+B149*V150)/'main page'!$K$27)-'main page'!$K$11,((H150-D149*W150-B150+B149*V150)/'main page'!$K$27)-'main page'!$K$11))</f>
        <v>4</v>
      </c>
      <c r="T149" s="71">
        <f>IF(controls!$B$6=1,$AL$3*(1+('main page'!$K$35/100))^U149-$AL$3*(1+('main page'!$K$35/100))^U148,$AL$3*(1+('main page'!$G$8/100))*(1+('main page'!$K$35/100))^U149-$AL$3*(1+('main page'!$G$8/100))*(1+('main page'!$K$35/100))^U148)</f>
        <v>0</v>
      </c>
      <c r="U149" s="73">
        <v>142</v>
      </c>
      <c r="V149" s="161">
        <f ca="1">IF(controls!$B$4=1,IF(controls!$H148=1,controls!$B$34*V148+RAND()*('main page'!$K$16/100)-RAND()*('main page'!$K$16/100),0),0)</f>
        <v>0</v>
      </c>
      <c r="W149" s="40">
        <f ca="1">IF(controls!$B$4=1,IF(controls!$I148=1,controls!$B$34*W148+RAND()*('main page'!$K$16/100)-RAND()*('main page'!$K$16/100),0),0)</f>
        <v>0</v>
      </c>
      <c r="X149" s="49">
        <f ca="1">IF(controls!$B$33=1,D149-($I$3-'main page'!$K$27*2)*(1+('main page'!$K$35/100))^A148,D149-$AL$4)</f>
        <v>0</v>
      </c>
      <c r="Y149" s="49">
        <f ca="1">ABS(L149-(controls!$B$9/100)*100)</f>
        <v>0</v>
      </c>
      <c r="AA149" s="49" t="e">
        <f ca="1">IF(controls!$B$33=1,(B150-B149*V150-I150+D149*W150+'main page'!$K$27*('main page'!$K$24+'main page'!$K$11))/'main page'!$K$31,(B150-B149*V150+D149*W150-H150+'main page'!$K$27*('main page'!$K$24+'main page'!$K$11))/'main page'!$K$31)</f>
        <v>#DIV/0!</v>
      </c>
      <c r="AB149" s="49" t="e">
        <f ca="1">IF(controls!$B$45=1,LOG(AF149,1.01)+LOG(AE149,1.01)-LOG(AD149,1.01),-((M149-('main page'!$K$24+'main page'!$K$11))/(1-'normal case'!$AO$3))+'normal case'!AA149)</f>
        <v>#DIV/0!</v>
      </c>
      <c r="AC149" s="176" t="e">
        <f t="shared" ca="1" si="16"/>
        <v>#DIV/0!</v>
      </c>
      <c r="AD149" s="49">
        <f t="shared" ca="1" si="17"/>
        <v>18.014618825407574</v>
      </c>
      <c r="AE149" s="49">
        <f>AE148*(1+'main page'!$K$32/100)</f>
        <v>1</v>
      </c>
      <c r="AF149" s="49" t="e">
        <f ca="1">IF(ABS(IF(controls!$B$45=1,$AL$13,AD149*AC149/AE149)-AF148)&lt;0.00001,AF148,IF(controls!$B$45=1,$AL$13,AD149*AC149/AE149))</f>
        <v>#DIV/0!</v>
      </c>
      <c r="AG149" s="49">
        <f>IF(controls!$B$46=0,0,IF(controls!$B$33=2,B150-B149*V150-('normal case'!H150-D149*W150-'main page'!$K$27*'normal case'!M149+'main page'!$K$31*'normal case'!AB149)-(('main page'!$K$25*'main page'!$U$13*'main page'!$K$29)/(1+('main page'!$K$25^2)*'main page'!$U$13))*('normal case'!L149-'main page'!$U$8),B150-B149*V150-('normal case'!I150-D149*W150-'main page'!$K$27*'normal case'!M149+'main page'!$K$31*'normal case'!AB149)-(('main page'!$K$25*'main page'!$U$13*'main page'!$K$29)/(1+('main page'!$K$25^2)*'main page'!$U$13))*('normal case'!L149-'main page'!$U$8)))</f>
        <v>0</v>
      </c>
      <c r="AN149" s="40"/>
      <c r="AO149" s="40"/>
    </row>
    <row r="150" spans="1:41">
      <c r="A150" s="48">
        <v>148</v>
      </c>
      <c r="B150" s="75">
        <f ca="1">IF(controls!$B$33=1,B149*(1+V150)+T150,B149*(1+V150))</f>
        <v>100</v>
      </c>
      <c r="C150" s="80">
        <f t="shared" ca="1" si="18"/>
        <v>0</v>
      </c>
      <c r="D150" s="77">
        <f t="shared" ca="1" si="14"/>
        <v>100</v>
      </c>
      <c r="E150" s="77">
        <f ca="1">AG149+IF(controls!$B$33=1,G150,F150)</f>
        <v>100</v>
      </c>
      <c r="F150" s="94">
        <f ca="1">IF(controls!$B$44=0,H150-'main page'!$K$27*M149,H150-'main page'!$K$27*M149+'main page'!$K$31*AB149)</f>
        <v>100</v>
      </c>
      <c r="G150" s="75">
        <f ca="1">IF(controls!$B$44=0,I150-'main page'!$K$27*M149,I150-'main page'!$K$27*M149+'main page'!$K$31*'normal case'!AB149)</f>
        <v>100</v>
      </c>
      <c r="H150" s="75">
        <f t="shared" ca="1" si="12"/>
        <v>108</v>
      </c>
      <c r="I150" s="75">
        <f t="shared" ca="1" si="13"/>
        <v>108</v>
      </c>
      <c r="L150" s="75">
        <f ca="1">IF(ABS('main page'!$K$29*L149+(1-'main page'!$K$29)*(controls!$B$9/100)*100+'main page'!$K$25*(D150-B150)-L149)&lt;0.0000001,L149,'main page'!$K$29*L149+(1-'main page'!$K$29)*(controls!$B$9/100)*100+'main page'!$K$25*(D150-B150))</f>
        <v>2</v>
      </c>
      <c r="M150" s="96">
        <f ca="1">IF(controls!$B$10=1,M149,IF(SUM(controls!$B$44:$B$46)=2,N150-'main page'!$K$29*'normal case'!L150-(1-'main page'!$K$29)*'main page'!$K$32,N150-'main page'!$K$29*'normal case'!L150-(1-'main page'!$K$29)*controls!$B$9))</f>
        <v>4</v>
      </c>
      <c r="N150" s="208">
        <f ca="1">IF(controls!$B$45=1,IF(controls!$B$46=1,'main page'!$K$24+'main page'!$K$11+'main page'!$U$8,'main page'!$K$24+'main page'!$K$11+'main page'!$K$32),IF(controls!$B$44=1,IF(O150&lt;0,0,O150),IF(O150+'main page'!$K$11&lt;0,0,O150+'main page'!$K$11)))</f>
        <v>6</v>
      </c>
      <c r="O150" s="76">
        <f ca="1">IF(controls!$B$10=1,'normal case'!M150+'normal case'!L150,'normal case'!P150)</f>
        <v>6</v>
      </c>
      <c r="P150" s="74">
        <f t="shared" ca="1" si="15"/>
        <v>6</v>
      </c>
      <c r="Q150" s="210">
        <f ca="1">IF(controls!$B$44=0,R150+'main page'!$K$29*L150+(1-'main page'!$K$29)*controls!$B$9+(('main page'!$K$25*'main page'!$U$13*'main page'!$K$29)/('main page'!$K$27*(1+('main page'!$K$25^2)*'main page'!$U$13)))*(L150-controls!$B$9),R150+'main page'!$K$29*L150+(1-'main page'!$K$29)*controls!$B$9+(('main page'!$K$25*'main page'!$U$13*'normal case'!$AO$3)/'normal case'!$AO$4)*('normal case'!L150-controls!$B$9))</f>
        <v>6</v>
      </c>
      <c r="R150" s="98">
        <f ca="1">IF(controls!$B$44=1,'main page'!$K$24+'main page'!$K$11,IF(controls!$B$33=1,((I151-D150*W151-B151+B150*V151)/'main page'!$K$27)-'main page'!$K$11,((H151-D150*W151-B151+B150*V151)/'main page'!$K$27)-'main page'!$K$11))</f>
        <v>4</v>
      </c>
      <c r="T150" s="71">
        <f>IF(controls!$B$6=1,$AL$3*(1+('main page'!$K$35/100))^U150-$AL$3*(1+('main page'!$K$35/100))^U149,$AL$3*(1+('main page'!$G$8/100))*(1+('main page'!$K$35/100))^U150-$AL$3*(1+('main page'!$G$8/100))*(1+('main page'!$K$35/100))^U149)</f>
        <v>0</v>
      </c>
      <c r="U150" s="73">
        <v>143</v>
      </c>
      <c r="V150" s="161">
        <v>0</v>
      </c>
      <c r="W150" s="40">
        <v>0</v>
      </c>
      <c r="X150" s="49">
        <f ca="1">IF(controls!$B$33=1,D150-($I$3-'main page'!$K$27*2)*(1+('main page'!$K$35/100))^A149,D150-$AL$4)</f>
        <v>0</v>
      </c>
      <c r="Y150" s="49">
        <f ca="1">ABS(L150-(controls!$B$9/100)*100)</f>
        <v>0</v>
      </c>
      <c r="AA150" s="49" t="e">
        <f ca="1">IF(controls!$B$33=1,(B151-B150*V151-I151+D150*W151+'main page'!$K$27*('main page'!$K$24+'main page'!$K$11))/'main page'!$K$31,(B151-B150*V151+D150*W151-H151+'main page'!$K$27*('main page'!$K$24+'main page'!$K$11))/'main page'!$K$31)</f>
        <v>#DIV/0!</v>
      </c>
      <c r="AB150" s="49" t="e">
        <f ca="1">IF(controls!$B$45=1,LOG(AF150,1.01)+LOG(AE150,1.01)-LOG(AD150,1.01),-((M150-('main page'!$K$24+'main page'!$K$11))/(1-'normal case'!$AO$3))+'normal case'!AA150)</f>
        <v>#DIV/0!</v>
      </c>
      <c r="AC150" s="176" t="e">
        <f t="shared" ca="1" si="16"/>
        <v>#DIV/0!</v>
      </c>
      <c r="AD150" s="49">
        <f t="shared" ca="1" si="17"/>
        <v>18.374911201915726</v>
      </c>
      <c r="AE150" s="49">
        <f>AE149*(1+'main page'!$K$32/100)</f>
        <v>1</v>
      </c>
      <c r="AF150" s="49" t="e">
        <f ca="1">IF(ABS(IF(controls!$B$45=1,$AL$13,AD150*AC150/AE150)-AF149)&lt;0.00001,AF149,IF(controls!$B$45=1,$AL$13,AD150*AC150/AE150))</f>
        <v>#DIV/0!</v>
      </c>
      <c r="AG150" s="49">
        <f>IF(controls!$B$46=0,0,IF(controls!$B$33=2,B151-B150*V151-('normal case'!H151-D150*W151-'main page'!$K$27*'normal case'!M150+'main page'!$K$31*'normal case'!AB150)-(('main page'!$K$25*'main page'!$U$13*'main page'!$K$29)/(1+('main page'!$K$25^2)*'main page'!$U$13))*('normal case'!L150-'main page'!$U$8),B151-B150*V151-('normal case'!I151-D150*W151-'main page'!$K$27*'normal case'!M150+'main page'!$K$31*'normal case'!AB150)-(('main page'!$K$25*'main page'!$U$13*'main page'!$K$29)/(1+('main page'!$K$25^2)*'main page'!$U$13))*('normal case'!L150-'main page'!$U$8)))</f>
        <v>0</v>
      </c>
      <c r="AN150" s="40"/>
      <c r="AO150" s="40"/>
    </row>
    <row r="151" spans="1:41">
      <c r="A151" s="48">
        <v>149</v>
      </c>
      <c r="B151" s="75">
        <f ca="1">IF(controls!$B$33=1,B150*(1+V151)+T151,B150*(1+V151))</f>
        <v>100</v>
      </c>
      <c r="C151" s="80">
        <f t="shared" ca="1" si="18"/>
        <v>0</v>
      </c>
      <c r="D151" s="77">
        <f t="shared" ca="1" si="14"/>
        <v>100</v>
      </c>
      <c r="E151" s="77">
        <f ca="1">AG150+IF(controls!$B$33=1,G151,F151)</f>
        <v>100</v>
      </c>
      <c r="F151" s="94">
        <f ca="1">IF(controls!$B$44=0,H151-'main page'!$K$27*M150,H151-'main page'!$K$27*M150+'main page'!$K$31*AB150)</f>
        <v>100</v>
      </c>
      <c r="G151" s="75">
        <f ca="1">IF(controls!$B$44=0,I151-'main page'!$K$27*M150,I151-'main page'!$K$27*M150+'main page'!$K$31*'normal case'!AB150)</f>
        <v>100</v>
      </c>
      <c r="H151" s="75">
        <f t="shared" ca="1" si="12"/>
        <v>108</v>
      </c>
      <c r="I151" s="75">
        <f t="shared" ca="1" si="13"/>
        <v>108</v>
      </c>
      <c r="L151" s="75">
        <f ca="1">IF(ABS('main page'!$K$29*L150+(1-'main page'!$K$29)*(controls!$B$9/100)*100+'main page'!$K$25*(D151-B151)-L150)&lt;0.0000001,L150,'main page'!$K$29*L150+(1-'main page'!$K$29)*(controls!$B$9/100)*100+'main page'!$K$25*(D151-B151))</f>
        <v>2</v>
      </c>
      <c r="M151" s="96">
        <f ca="1">IF(controls!$B$10=1,M150,IF(SUM(controls!$B$44:$B$46)=2,N151-'main page'!$K$29*'normal case'!L151-(1-'main page'!$K$29)*'main page'!$K$32,N151-'main page'!$K$29*'normal case'!L151-(1-'main page'!$K$29)*controls!$B$9))</f>
        <v>4</v>
      </c>
      <c r="N151" s="208">
        <f ca="1">IF(controls!$B$45=1,IF(controls!$B$46=1,'main page'!$K$24+'main page'!$K$11+'main page'!$U$8,'main page'!$K$24+'main page'!$K$11+'main page'!$K$32),IF(controls!$B$44=1,IF(O151&lt;0,0,O151),IF(O151+'main page'!$K$11&lt;0,0,O151+'main page'!$K$11)))</f>
        <v>6</v>
      </c>
      <c r="O151" s="76">
        <f ca="1">IF(controls!$B$10=1,'normal case'!M151+'normal case'!L151,'normal case'!P151)</f>
        <v>6</v>
      </c>
      <c r="P151" s="74">
        <f t="shared" ca="1" si="15"/>
        <v>6</v>
      </c>
      <c r="Q151" s="210">
        <f ca="1">IF(controls!$B$44=0,R151+'main page'!$K$29*L151+(1-'main page'!$K$29)*controls!$B$9+(('main page'!$K$25*'main page'!$U$13*'main page'!$K$29)/('main page'!$K$27*(1+('main page'!$K$25^2)*'main page'!$U$13)))*(L151-controls!$B$9),R151+'main page'!$K$29*L151+(1-'main page'!$K$29)*controls!$B$9+(('main page'!$K$25*'main page'!$U$13*'normal case'!$AO$3)/'normal case'!$AO$4)*('normal case'!L151-controls!$B$9))</f>
        <v>6</v>
      </c>
      <c r="R151" s="98">
        <f ca="1">IF(controls!$B$44=1,'main page'!$K$24+'main page'!$K$11,IF(controls!$B$33=1,((I152-D151*W152-B152+B151*V152)/'main page'!$K$27)-'main page'!$K$11,((H152-D151*W152-B152+B151*V152)/'main page'!$K$27)-'main page'!$K$11))</f>
        <v>4</v>
      </c>
      <c r="T151" s="71">
        <f>IF(controls!$B$6=1,$AL$3*(1+('main page'!$K$35/100))^U151-$AL$3*(1+('main page'!$K$35/100))^U150,$AL$3*(1+('main page'!$G$8/100))*(1+('main page'!$K$35/100))^U151-$AL$3*(1+('main page'!$G$8/100))*(1+('main page'!$K$35/100))^U150)</f>
        <v>0</v>
      </c>
      <c r="U151" s="73">
        <v>144</v>
      </c>
      <c r="V151" s="161">
        <v>0</v>
      </c>
      <c r="W151" s="40">
        <v>0</v>
      </c>
      <c r="X151" s="49">
        <f ca="1">IF(controls!$B$33=1,D151-($I$3-'main page'!$K$27*2)*(1+('main page'!$K$35/100))^A150,D151-$AL$4)</f>
        <v>0</v>
      </c>
      <c r="Y151" s="49">
        <f ca="1">ABS(L151-(controls!$B$9/100)*100)</f>
        <v>0</v>
      </c>
      <c r="AA151" s="49" t="e">
        <f ca="1">IF(controls!$B$33=1,(B152-B151*V152-I152+D151*W152+'main page'!$K$27*('main page'!$K$24+'main page'!$K$11))/'main page'!$K$31,(B152-B151*V152+D151*W152-H152+'main page'!$K$27*('main page'!$K$24+'main page'!$K$11))/'main page'!$K$31)</f>
        <v>#DIV/0!</v>
      </c>
      <c r="AB151" s="49" t="e">
        <f ca="1">IF(controls!$B$45=1,LOG(AF151,1.01)+LOG(AE151,1.01)-LOG(AD151,1.01),-((M151-('main page'!$K$24+'main page'!$K$11))/(1-'normal case'!$AO$3))+'normal case'!AA151)</f>
        <v>#DIV/0!</v>
      </c>
      <c r="AC151" s="176" t="e">
        <f t="shared" ca="1" si="16"/>
        <v>#DIV/0!</v>
      </c>
      <c r="AD151" s="49">
        <f t="shared" ca="1" si="17"/>
        <v>18.74240942595404</v>
      </c>
      <c r="AE151" s="49">
        <f>AE150*(1+'main page'!$K$32/100)</f>
        <v>1</v>
      </c>
      <c r="AF151" s="49" t="e">
        <f ca="1">IF(ABS(IF(controls!$B$45=1,$AL$13,AD151*AC151/AE151)-AF150)&lt;0.00001,AF150,IF(controls!$B$45=1,$AL$13,AD151*AC151/AE151))</f>
        <v>#DIV/0!</v>
      </c>
      <c r="AG151" s="49">
        <f>IF(controls!$B$46=0,0,IF(controls!$B$33=2,B152-B151*V152-('normal case'!H152-D151*W152-'main page'!$K$27*'normal case'!M151+'main page'!$K$31*'normal case'!AB151)-(('main page'!$K$25*'main page'!$U$13*'main page'!$K$29)/(1+('main page'!$K$25^2)*'main page'!$U$13))*('normal case'!L151-'main page'!$U$8),B152-B151*V152-('normal case'!I152-D151*W152-'main page'!$K$27*'normal case'!M151+'main page'!$K$31*'normal case'!AB151)-(('main page'!$K$25*'main page'!$U$13*'main page'!$K$29)/(1+('main page'!$K$25^2)*'main page'!$U$13))*('normal case'!L151-'main page'!$U$8)))</f>
        <v>0</v>
      </c>
      <c r="AN151" s="40"/>
      <c r="AO151" s="40"/>
    </row>
    <row r="152" spans="1:41">
      <c r="A152" s="48">
        <v>150</v>
      </c>
      <c r="B152" s="75">
        <f ca="1">IF(controls!$B$33=1,B151*(1+V152)+T152,B151*(1+V152))</f>
        <v>100</v>
      </c>
      <c r="C152" s="80">
        <f t="shared" ca="1" si="18"/>
        <v>0</v>
      </c>
      <c r="D152" s="77">
        <f t="shared" ca="1" si="14"/>
        <v>100</v>
      </c>
      <c r="E152" s="77">
        <f ca="1">AG151+IF(controls!$B$33=1,G152,F152)</f>
        <v>100</v>
      </c>
      <c r="F152" s="94">
        <f ca="1">IF(controls!$B$44=0,H152-'main page'!$K$27*M151,H152-'main page'!$K$27*M151+'main page'!$K$31*AB151)</f>
        <v>100</v>
      </c>
      <c r="G152" s="75">
        <f ca="1">IF(controls!$B$44=0,I152-'main page'!$K$27*M151,I152-'main page'!$K$27*M151+'main page'!$K$31*'normal case'!AB151)</f>
        <v>100</v>
      </c>
      <c r="H152" s="75">
        <f t="shared" ref="H152:H215" ca="1" si="19">H151+D151*W152</f>
        <v>108</v>
      </c>
      <c r="I152" s="75">
        <f t="shared" ref="I152:I215" ca="1" si="20">I151+D151*W152+T152</f>
        <v>108</v>
      </c>
      <c r="L152" s="75">
        <f ca="1">IF(ABS('main page'!$K$29*L151+(1-'main page'!$K$29)*(controls!$B$9/100)*100+'main page'!$K$25*(D152-B152)-L151)&lt;0.0000001,L151,'main page'!$K$29*L151+(1-'main page'!$K$29)*(controls!$B$9/100)*100+'main page'!$K$25*(D152-B152))</f>
        <v>2</v>
      </c>
      <c r="M152" s="96">
        <f ca="1">IF(controls!$B$10=1,M151,IF(SUM(controls!$B$44:$B$46)=2,N152-'main page'!$K$29*'normal case'!L152-(1-'main page'!$K$29)*'main page'!$K$32,N152-'main page'!$K$29*'normal case'!L152-(1-'main page'!$K$29)*controls!$B$9))</f>
        <v>4</v>
      </c>
      <c r="N152" s="208">
        <f ca="1">IF(controls!$B$45=1,IF(controls!$B$46=1,'main page'!$K$24+'main page'!$K$11+'main page'!$U$8,'main page'!$K$24+'main page'!$K$11+'main page'!$K$32),IF(controls!$B$44=1,IF(O152&lt;0,0,O152),IF(O152+'main page'!$K$11&lt;0,0,O152+'main page'!$K$11)))</f>
        <v>6</v>
      </c>
      <c r="O152" s="76">
        <f ca="1">IF(controls!$B$10=1,'normal case'!M152+'normal case'!L152,'normal case'!P152)</f>
        <v>6</v>
      </c>
      <c r="P152" s="74">
        <f t="shared" ca="1" si="15"/>
        <v>6</v>
      </c>
      <c r="Q152" s="210">
        <f ca="1">IF(controls!$B$44=0,R152+'main page'!$K$29*L152+(1-'main page'!$K$29)*controls!$B$9+(('main page'!$K$25*'main page'!$U$13*'main page'!$K$29)/('main page'!$K$27*(1+('main page'!$K$25^2)*'main page'!$U$13)))*(L152-controls!$B$9),R152+'main page'!$K$29*L152+(1-'main page'!$K$29)*controls!$B$9+(('main page'!$K$25*'main page'!$U$13*'normal case'!$AO$3)/'normal case'!$AO$4)*('normal case'!L152-controls!$B$9))</f>
        <v>6</v>
      </c>
      <c r="R152" s="98">
        <f ca="1">IF(controls!$B$44=1,'main page'!$K$24+'main page'!$K$11,IF(controls!$B$33=1,((I153-D152*W153-B153+B152*V153)/'main page'!$K$27)-'main page'!$K$11,((H153-D152*W153-B153+B152*V153)/'main page'!$K$27)-'main page'!$K$11))</f>
        <v>4</v>
      </c>
      <c r="T152" s="71">
        <f>IF(controls!$B$6=1,$AL$3*(1+('main page'!$K$35/100))^U152-$AL$3*(1+('main page'!$K$35/100))^U151,$AL$3*(1+('main page'!$G$8/100))*(1+('main page'!$K$35/100))^U152-$AL$3*(1+('main page'!$G$8/100))*(1+('main page'!$K$35/100))^U151)</f>
        <v>0</v>
      </c>
      <c r="U152" s="73">
        <v>145</v>
      </c>
      <c r="V152" s="161">
        <f ca="1">IF(controls!$B$4=1,IF(controls!$H151=1,controls!$B$34*V151+RAND()*('main page'!$K$16/100)-RAND()*('main page'!$K$16/100),0),0)</f>
        <v>0</v>
      </c>
      <c r="W152" s="40">
        <f ca="1">IF(controls!$B$4=1,IF(controls!$I151=1,controls!$B$34*W151+RAND()*('main page'!$K$16/100)-RAND()*('main page'!$K$16/100),0),0)</f>
        <v>0</v>
      </c>
      <c r="X152" s="49">
        <f ca="1">IF(controls!$B$33=1,D152-($I$3-'main page'!$K$27*2)*(1+('main page'!$K$35/100))^A151,D152-$AL$4)</f>
        <v>0</v>
      </c>
      <c r="Y152" s="49">
        <f ca="1">ABS(L152-(controls!$B$9/100)*100)</f>
        <v>0</v>
      </c>
      <c r="AA152" s="49" t="e">
        <f ca="1">IF(controls!$B$33=1,(B153-B152*V153-I153+D152*W153+'main page'!$K$27*('main page'!$K$24+'main page'!$K$11))/'main page'!$K$31,(B153-B152*V153+D152*W153-H153+'main page'!$K$27*('main page'!$K$24+'main page'!$K$11))/'main page'!$K$31)</f>
        <v>#DIV/0!</v>
      </c>
      <c r="AB152" s="49" t="e">
        <f ca="1">IF(controls!$B$45=1,LOG(AF152,1.01)+LOG(AE152,1.01)-LOG(AD152,1.01),-((M152-('main page'!$K$24+'main page'!$K$11))/(1-'normal case'!$AO$3))+'normal case'!AA152)</f>
        <v>#DIV/0!</v>
      </c>
      <c r="AC152" s="176" t="e">
        <f t="shared" ca="1" si="16"/>
        <v>#DIV/0!</v>
      </c>
      <c r="AD152" s="49">
        <f t="shared" ca="1" si="17"/>
        <v>19.117257614473122</v>
      </c>
      <c r="AE152" s="49">
        <f>AE151*(1+'main page'!$K$32/100)</f>
        <v>1</v>
      </c>
      <c r="AF152" s="49" t="e">
        <f ca="1">IF(ABS(IF(controls!$B$45=1,$AL$13,AD152*AC152/AE152)-AF151)&lt;0.00001,AF151,IF(controls!$B$45=1,$AL$13,AD152*AC152/AE152))</f>
        <v>#DIV/0!</v>
      </c>
      <c r="AG152" s="49">
        <f>IF(controls!$B$46=0,0,IF(controls!$B$33=2,B153-B152*V153-('normal case'!H153-D152*W153-'main page'!$K$27*'normal case'!M152+'main page'!$K$31*'normal case'!AB152)-(('main page'!$K$25*'main page'!$U$13*'main page'!$K$29)/(1+('main page'!$K$25^2)*'main page'!$U$13))*('normal case'!L152-'main page'!$U$8),B153-B152*V153-('normal case'!I153-D152*W153-'main page'!$K$27*'normal case'!M152+'main page'!$K$31*'normal case'!AB152)-(('main page'!$K$25*'main page'!$U$13*'main page'!$K$29)/(1+('main page'!$K$25^2)*'main page'!$U$13))*('normal case'!L152-'main page'!$U$8)))</f>
        <v>0</v>
      </c>
      <c r="AN152" s="40"/>
      <c r="AO152" s="40"/>
    </row>
    <row r="153" spans="1:41">
      <c r="A153" s="48">
        <v>151</v>
      </c>
      <c r="B153" s="75">
        <f ca="1">IF(controls!$B$33=1,B152*(1+V153)+T153,B152*(1+V153))</f>
        <v>100</v>
      </c>
      <c r="C153" s="80">
        <f t="shared" ca="1" si="18"/>
        <v>0</v>
      </c>
      <c r="D153" s="77">
        <f t="shared" ca="1" si="14"/>
        <v>100</v>
      </c>
      <c r="E153" s="77">
        <f ca="1">AG152+IF(controls!$B$33=1,G153,F153)</f>
        <v>100</v>
      </c>
      <c r="F153" s="94">
        <f ca="1">IF(controls!$B$44=0,H153-'main page'!$K$27*M152,H153-'main page'!$K$27*M152+'main page'!$K$31*AB152)</f>
        <v>100</v>
      </c>
      <c r="G153" s="75">
        <f ca="1">IF(controls!$B$44=0,I153-'main page'!$K$27*M152,I153-'main page'!$K$27*M152+'main page'!$K$31*'normal case'!AB152)</f>
        <v>100</v>
      </c>
      <c r="H153" s="75">
        <f t="shared" ca="1" si="19"/>
        <v>108</v>
      </c>
      <c r="I153" s="75">
        <f t="shared" ca="1" si="20"/>
        <v>108</v>
      </c>
      <c r="L153" s="75">
        <f ca="1">IF(ABS('main page'!$K$29*L152+(1-'main page'!$K$29)*(controls!$B$9/100)*100+'main page'!$K$25*(D153-B153)-L152)&lt;0.0000001,L152,'main page'!$K$29*L152+(1-'main page'!$K$29)*(controls!$B$9/100)*100+'main page'!$K$25*(D153-B153))</f>
        <v>2</v>
      </c>
      <c r="M153" s="96">
        <f ca="1">IF(controls!$B$10=1,M152,IF(SUM(controls!$B$44:$B$46)=2,N153-'main page'!$K$29*'normal case'!L153-(1-'main page'!$K$29)*'main page'!$K$32,N153-'main page'!$K$29*'normal case'!L153-(1-'main page'!$K$29)*controls!$B$9))</f>
        <v>4</v>
      </c>
      <c r="N153" s="208">
        <f ca="1">IF(controls!$B$45=1,IF(controls!$B$46=1,'main page'!$K$24+'main page'!$K$11+'main page'!$U$8,'main page'!$K$24+'main page'!$K$11+'main page'!$K$32),IF(controls!$B$44=1,IF(O153&lt;0,0,O153),IF(O153+'main page'!$K$11&lt;0,0,O153+'main page'!$K$11)))</f>
        <v>6</v>
      </c>
      <c r="O153" s="76">
        <f ca="1">IF(controls!$B$10=1,'normal case'!M153+'normal case'!L153,'normal case'!P153)</f>
        <v>6</v>
      </c>
      <c r="P153" s="74">
        <f t="shared" ca="1" si="15"/>
        <v>6</v>
      </c>
      <c r="Q153" s="210">
        <f ca="1">IF(controls!$B$44=0,R153+'main page'!$K$29*L153+(1-'main page'!$K$29)*controls!$B$9+(('main page'!$K$25*'main page'!$U$13*'main page'!$K$29)/('main page'!$K$27*(1+('main page'!$K$25^2)*'main page'!$U$13)))*(L153-controls!$B$9),R153+'main page'!$K$29*L153+(1-'main page'!$K$29)*controls!$B$9+(('main page'!$K$25*'main page'!$U$13*'normal case'!$AO$3)/'normal case'!$AO$4)*('normal case'!L153-controls!$B$9))</f>
        <v>6</v>
      </c>
      <c r="R153" s="98">
        <f ca="1">IF(controls!$B$44=1,'main page'!$K$24+'main page'!$K$11,IF(controls!$B$33=1,((I154-D153*W154-B154+B153*V154)/'main page'!$K$27)-'main page'!$K$11,((H154-D153*W154-B154+B153*V154)/'main page'!$K$27)-'main page'!$K$11))</f>
        <v>4</v>
      </c>
      <c r="T153" s="71">
        <f>IF(controls!$B$6=1,$AL$3*(1+('main page'!$K$35/100))^U153-$AL$3*(1+('main page'!$K$35/100))^U152,$AL$3*(1+('main page'!$G$8/100))*(1+('main page'!$K$35/100))^U153-$AL$3*(1+('main page'!$G$8/100))*(1+('main page'!$K$35/100))^U152)</f>
        <v>0</v>
      </c>
      <c r="U153" s="73">
        <v>146</v>
      </c>
      <c r="V153" s="161">
        <v>0</v>
      </c>
      <c r="W153" s="40">
        <v>0</v>
      </c>
      <c r="X153" s="49">
        <f ca="1">IF(controls!$B$33=1,D153-($I$3-'main page'!$K$27*2)*(1+('main page'!$K$35/100))^A152,D153-$AL$4)</f>
        <v>0</v>
      </c>
      <c r="Y153" s="49">
        <f ca="1">ABS(L153-(controls!$B$9/100)*100)</f>
        <v>0</v>
      </c>
      <c r="AA153" s="49" t="e">
        <f ca="1">IF(controls!$B$33=1,(B154-B153*V154-I154+D153*W154+'main page'!$K$27*('main page'!$K$24+'main page'!$K$11))/'main page'!$K$31,(B154-B153*V154+D153*W154-H154+'main page'!$K$27*('main page'!$K$24+'main page'!$K$11))/'main page'!$K$31)</f>
        <v>#DIV/0!</v>
      </c>
      <c r="AB153" s="49" t="e">
        <f ca="1">IF(controls!$B$45=1,LOG(AF153,1.01)+LOG(AE153,1.01)-LOG(AD153,1.01),-((M153-('main page'!$K$24+'main page'!$K$11))/(1-'normal case'!$AO$3))+'normal case'!AA153)</f>
        <v>#DIV/0!</v>
      </c>
      <c r="AC153" s="176" t="e">
        <f t="shared" ca="1" si="16"/>
        <v>#DIV/0!</v>
      </c>
      <c r="AD153" s="49">
        <f t="shared" ca="1" si="17"/>
        <v>19.499602766762585</v>
      </c>
      <c r="AE153" s="49">
        <f>AE152*(1+'main page'!$K$32/100)</f>
        <v>1</v>
      </c>
      <c r="AF153" s="49" t="e">
        <f ca="1">IF(ABS(IF(controls!$B$45=1,$AL$13,AD153*AC153/AE153)-AF152)&lt;0.00001,AF152,IF(controls!$B$45=1,$AL$13,AD153*AC153/AE153))</f>
        <v>#DIV/0!</v>
      </c>
      <c r="AG153" s="49">
        <f>IF(controls!$B$46=0,0,IF(controls!$B$33=2,B154-B153*V154-('normal case'!H154-D153*W154-'main page'!$K$27*'normal case'!M153+'main page'!$K$31*'normal case'!AB153)-(('main page'!$K$25*'main page'!$U$13*'main page'!$K$29)/(1+('main page'!$K$25^2)*'main page'!$U$13))*('normal case'!L153-'main page'!$U$8),B154-B153*V154-('normal case'!I154-D153*W154-'main page'!$K$27*'normal case'!M153+'main page'!$K$31*'normal case'!AB153)-(('main page'!$K$25*'main page'!$U$13*'main page'!$K$29)/(1+('main page'!$K$25^2)*'main page'!$U$13))*('normal case'!L153-'main page'!$U$8)))</f>
        <v>0</v>
      </c>
      <c r="AN153" s="40"/>
      <c r="AO153" s="40"/>
    </row>
    <row r="154" spans="1:41">
      <c r="A154" s="48">
        <v>152</v>
      </c>
      <c r="B154" s="75">
        <f ca="1">IF(controls!$B$33=1,B153*(1+V154)+T154,B153*(1+V154))</f>
        <v>100</v>
      </c>
      <c r="C154" s="80">
        <f t="shared" ca="1" si="18"/>
        <v>0</v>
      </c>
      <c r="D154" s="77">
        <f t="shared" ca="1" si="14"/>
        <v>100</v>
      </c>
      <c r="E154" s="77">
        <f ca="1">AG153+IF(controls!$B$33=1,G154,F154)</f>
        <v>100</v>
      </c>
      <c r="F154" s="94">
        <f ca="1">IF(controls!$B$44=0,H154-'main page'!$K$27*M153,H154-'main page'!$K$27*M153+'main page'!$K$31*AB153)</f>
        <v>100</v>
      </c>
      <c r="G154" s="75">
        <f ca="1">IF(controls!$B$44=0,I154-'main page'!$K$27*M153,I154-'main page'!$K$27*M153+'main page'!$K$31*'normal case'!AB153)</f>
        <v>100</v>
      </c>
      <c r="H154" s="75">
        <f t="shared" ca="1" si="19"/>
        <v>108</v>
      </c>
      <c r="I154" s="75">
        <f t="shared" ca="1" si="20"/>
        <v>108</v>
      </c>
      <c r="L154" s="75">
        <f ca="1">IF(ABS('main page'!$K$29*L153+(1-'main page'!$K$29)*(controls!$B$9/100)*100+'main page'!$K$25*(D154-B154)-L153)&lt;0.0000001,L153,'main page'!$K$29*L153+(1-'main page'!$K$29)*(controls!$B$9/100)*100+'main page'!$K$25*(D154-B154))</f>
        <v>2</v>
      </c>
      <c r="M154" s="96">
        <f ca="1">IF(controls!$B$10=1,M153,IF(SUM(controls!$B$44:$B$46)=2,N154-'main page'!$K$29*'normal case'!L154-(1-'main page'!$K$29)*'main page'!$K$32,N154-'main page'!$K$29*'normal case'!L154-(1-'main page'!$K$29)*controls!$B$9))</f>
        <v>4</v>
      </c>
      <c r="N154" s="208">
        <f ca="1">IF(controls!$B$45=1,IF(controls!$B$46=1,'main page'!$K$24+'main page'!$K$11+'main page'!$U$8,'main page'!$K$24+'main page'!$K$11+'main page'!$K$32),IF(controls!$B$44=1,IF(O154&lt;0,0,O154),IF(O154+'main page'!$K$11&lt;0,0,O154+'main page'!$K$11)))</f>
        <v>6</v>
      </c>
      <c r="O154" s="76">
        <f ca="1">IF(controls!$B$10=1,'normal case'!M154+'normal case'!L154,'normal case'!P154)</f>
        <v>6</v>
      </c>
      <c r="P154" s="74">
        <f t="shared" ca="1" si="15"/>
        <v>6</v>
      </c>
      <c r="Q154" s="210">
        <f ca="1">IF(controls!$B$44=0,R154+'main page'!$K$29*L154+(1-'main page'!$K$29)*controls!$B$9+(('main page'!$K$25*'main page'!$U$13*'main page'!$K$29)/('main page'!$K$27*(1+('main page'!$K$25^2)*'main page'!$U$13)))*(L154-controls!$B$9),R154+'main page'!$K$29*L154+(1-'main page'!$K$29)*controls!$B$9+(('main page'!$K$25*'main page'!$U$13*'normal case'!$AO$3)/'normal case'!$AO$4)*('normal case'!L154-controls!$B$9))</f>
        <v>6</v>
      </c>
      <c r="R154" s="98">
        <f ca="1">IF(controls!$B$44=1,'main page'!$K$24+'main page'!$K$11,IF(controls!$B$33=1,((I155-D154*W155-B155+B154*V155)/'main page'!$K$27)-'main page'!$K$11,((H155-D154*W155-B155+B154*V155)/'main page'!$K$27)-'main page'!$K$11))</f>
        <v>4</v>
      </c>
      <c r="T154" s="71">
        <f>IF(controls!$B$6=1,$AL$3*(1+('main page'!$K$35/100))^U154-$AL$3*(1+('main page'!$K$35/100))^U153,$AL$3*(1+('main page'!$G$8/100))*(1+('main page'!$K$35/100))^U154-$AL$3*(1+('main page'!$G$8/100))*(1+('main page'!$K$35/100))^U153)</f>
        <v>0</v>
      </c>
      <c r="U154" s="73">
        <v>147</v>
      </c>
      <c r="V154" s="161">
        <v>0</v>
      </c>
      <c r="W154" s="40">
        <v>0</v>
      </c>
      <c r="X154" s="49">
        <f ca="1">IF(controls!$B$33=1,D154-($I$3-'main page'!$K$27*2)*(1+('main page'!$K$35/100))^A153,D154-$AL$4)</f>
        <v>0</v>
      </c>
      <c r="Y154" s="49">
        <f ca="1">ABS(L154-(controls!$B$9/100)*100)</f>
        <v>0</v>
      </c>
      <c r="AA154" s="49" t="e">
        <f ca="1">IF(controls!$B$33=1,(B155-B154*V155-I155+D154*W155+'main page'!$K$27*('main page'!$K$24+'main page'!$K$11))/'main page'!$K$31,(B155-B154*V155+D154*W155-H155+'main page'!$K$27*('main page'!$K$24+'main page'!$K$11))/'main page'!$K$31)</f>
        <v>#DIV/0!</v>
      </c>
      <c r="AB154" s="49" t="e">
        <f ca="1">IF(controls!$B$45=1,LOG(AF154,1.01)+LOG(AE154,1.01)-LOG(AD154,1.01),-((M154-('main page'!$K$24+'main page'!$K$11))/(1-'normal case'!$AO$3))+'normal case'!AA154)</f>
        <v>#DIV/0!</v>
      </c>
      <c r="AC154" s="176" t="e">
        <f t="shared" ca="1" si="16"/>
        <v>#DIV/0!</v>
      </c>
      <c r="AD154" s="49">
        <f t="shared" ca="1" si="17"/>
        <v>19.889594822097838</v>
      </c>
      <c r="AE154" s="49">
        <f>AE153*(1+'main page'!$K$32/100)</f>
        <v>1</v>
      </c>
      <c r="AF154" s="49" t="e">
        <f ca="1">IF(ABS(IF(controls!$B$45=1,$AL$13,AD154*AC154/AE154)-AF153)&lt;0.00001,AF153,IF(controls!$B$45=1,$AL$13,AD154*AC154/AE154))</f>
        <v>#DIV/0!</v>
      </c>
      <c r="AG154" s="49">
        <f>IF(controls!$B$46=0,0,IF(controls!$B$33=2,B155-B154*V155-('normal case'!H155-D154*W155-'main page'!$K$27*'normal case'!M154+'main page'!$K$31*'normal case'!AB154)-(('main page'!$K$25*'main page'!$U$13*'main page'!$K$29)/(1+('main page'!$K$25^2)*'main page'!$U$13))*('normal case'!L154-'main page'!$U$8),B155-B154*V155-('normal case'!I155-D154*W155-'main page'!$K$27*'normal case'!M154+'main page'!$K$31*'normal case'!AB154)-(('main page'!$K$25*'main page'!$U$13*'main page'!$K$29)/(1+('main page'!$K$25^2)*'main page'!$U$13))*('normal case'!L154-'main page'!$U$8)))</f>
        <v>0</v>
      </c>
      <c r="AN154" s="40"/>
      <c r="AO154" s="40"/>
    </row>
    <row r="155" spans="1:41">
      <c r="A155" s="48">
        <v>153</v>
      </c>
      <c r="B155" s="75">
        <f ca="1">IF(controls!$B$33=1,B154*(1+V155)+T155,B154*(1+V155))</f>
        <v>100</v>
      </c>
      <c r="C155" s="80">
        <f t="shared" ca="1" si="18"/>
        <v>0</v>
      </c>
      <c r="D155" s="77">
        <f t="shared" ca="1" si="14"/>
        <v>100</v>
      </c>
      <c r="E155" s="77">
        <f ca="1">AG154+IF(controls!$B$33=1,G155,F155)</f>
        <v>100</v>
      </c>
      <c r="F155" s="94">
        <f ca="1">IF(controls!$B$44=0,H155-'main page'!$K$27*M154,H155-'main page'!$K$27*M154+'main page'!$K$31*AB154)</f>
        <v>100</v>
      </c>
      <c r="G155" s="75">
        <f ca="1">IF(controls!$B$44=0,I155-'main page'!$K$27*M154,I155-'main page'!$K$27*M154+'main page'!$K$31*'normal case'!AB154)</f>
        <v>100</v>
      </c>
      <c r="H155" s="75">
        <f t="shared" ca="1" si="19"/>
        <v>108</v>
      </c>
      <c r="I155" s="75">
        <f t="shared" ca="1" si="20"/>
        <v>108</v>
      </c>
      <c r="L155" s="75">
        <f ca="1">IF(ABS('main page'!$K$29*L154+(1-'main page'!$K$29)*(controls!$B$9/100)*100+'main page'!$K$25*(D155-B155)-L154)&lt;0.0000001,L154,'main page'!$K$29*L154+(1-'main page'!$K$29)*(controls!$B$9/100)*100+'main page'!$K$25*(D155-B155))</f>
        <v>2</v>
      </c>
      <c r="M155" s="96">
        <f ca="1">IF(controls!$B$10=1,M154,IF(SUM(controls!$B$44:$B$46)=2,N155-'main page'!$K$29*'normal case'!L155-(1-'main page'!$K$29)*'main page'!$K$32,N155-'main page'!$K$29*'normal case'!L155-(1-'main page'!$K$29)*controls!$B$9))</f>
        <v>4</v>
      </c>
      <c r="N155" s="208">
        <f ca="1">IF(controls!$B$45=1,IF(controls!$B$46=1,'main page'!$K$24+'main page'!$K$11+'main page'!$U$8,'main page'!$K$24+'main page'!$K$11+'main page'!$K$32),IF(controls!$B$44=1,IF(O155&lt;0,0,O155),IF(O155+'main page'!$K$11&lt;0,0,O155+'main page'!$K$11)))</f>
        <v>6</v>
      </c>
      <c r="O155" s="76">
        <f ca="1">IF(controls!$B$10=1,'normal case'!M155+'normal case'!L155,'normal case'!P155)</f>
        <v>6</v>
      </c>
      <c r="P155" s="74">
        <f t="shared" ca="1" si="15"/>
        <v>6</v>
      </c>
      <c r="Q155" s="210">
        <f ca="1">IF(controls!$B$44=0,R155+'main page'!$K$29*L155+(1-'main page'!$K$29)*controls!$B$9+(('main page'!$K$25*'main page'!$U$13*'main page'!$K$29)/('main page'!$K$27*(1+('main page'!$K$25^2)*'main page'!$U$13)))*(L155-controls!$B$9),R155+'main page'!$K$29*L155+(1-'main page'!$K$29)*controls!$B$9+(('main page'!$K$25*'main page'!$U$13*'normal case'!$AO$3)/'normal case'!$AO$4)*('normal case'!L155-controls!$B$9))</f>
        <v>6</v>
      </c>
      <c r="R155" s="98">
        <f ca="1">IF(controls!$B$44=1,'main page'!$K$24+'main page'!$K$11,IF(controls!$B$33=1,((I156-D155*W156-B156+B155*V156)/'main page'!$K$27)-'main page'!$K$11,((H156-D155*W156-B156+B155*V156)/'main page'!$K$27)-'main page'!$K$11))</f>
        <v>4</v>
      </c>
      <c r="T155" s="71">
        <f>IF(controls!$B$6=1,$AL$3*(1+('main page'!$K$35/100))^U155-$AL$3*(1+('main page'!$K$35/100))^U154,$AL$3*(1+('main page'!$G$8/100))*(1+('main page'!$K$35/100))^U155-$AL$3*(1+('main page'!$G$8/100))*(1+('main page'!$K$35/100))^U154)</f>
        <v>0</v>
      </c>
      <c r="U155" s="73">
        <v>148</v>
      </c>
      <c r="V155" s="161">
        <f ca="1">IF(controls!$B$4=1,IF(controls!$H154=1,controls!$B$34*V154+RAND()*('main page'!$K$16/100)-RAND()*('main page'!$K$16/100),0),0)</f>
        <v>0</v>
      </c>
      <c r="W155" s="40">
        <f ca="1">IF(controls!$B$4=1,IF(controls!$I154=1,controls!$B$34*W154+RAND()*('main page'!$K$16/100)-RAND()*('main page'!$K$16/100),0),0)</f>
        <v>0</v>
      </c>
      <c r="X155" s="49">
        <f ca="1">IF(controls!$B$33=1,D155-($I$3-'main page'!$K$27*2)*(1+('main page'!$K$35/100))^A154,D155-$AL$4)</f>
        <v>0</v>
      </c>
      <c r="Y155" s="49">
        <f ca="1">ABS(L155-(controls!$B$9/100)*100)</f>
        <v>0</v>
      </c>
      <c r="AA155" s="49" t="e">
        <f ca="1">IF(controls!$B$33=1,(B156-B155*V156-I156+D155*W156+'main page'!$K$27*('main page'!$K$24+'main page'!$K$11))/'main page'!$K$31,(B156-B155*V156+D155*W156-H156+'main page'!$K$27*('main page'!$K$24+'main page'!$K$11))/'main page'!$K$31)</f>
        <v>#DIV/0!</v>
      </c>
      <c r="AB155" s="49" t="e">
        <f ca="1">IF(controls!$B$45=1,LOG(AF155,1.01)+LOG(AE155,1.01)-LOG(AD155,1.01),-((M155-('main page'!$K$24+'main page'!$K$11))/(1-'normal case'!$AO$3))+'normal case'!AA155)</f>
        <v>#DIV/0!</v>
      </c>
      <c r="AC155" s="176" t="e">
        <f t="shared" ca="1" si="16"/>
        <v>#DIV/0!</v>
      </c>
      <c r="AD155" s="49">
        <f t="shared" ca="1" si="17"/>
        <v>20.287386718539796</v>
      </c>
      <c r="AE155" s="49">
        <f>AE154*(1+'main page'!$K$32/100)</f>
        <v>1</v>
      </c>
      <c r="AF155" s="49" t="e">
        <f ca="1">IF(ABS(IF(controls!$B$45=1,$AL$13,AD155*AC155/AE155)-AF154)&lt;0.00001,AF154,IF(controls!$B$45=1,$AL$13,AD155*AC155/AE155))</f>
        <v>#DIV/0!</v>
      </c>
      <c r="AG155" s="49">
        <f>IF(controls!$B$46=0,0,IF(controls!$B$33=2,B156-B155*V156-('normal case'!H156-D155*W156-'main page'!$K$27*'normal case'!M155+'main page'!$K$31*'normal case'!AB155)-(('main page'!$K$25*'main page'!$U$13*'main page'!$K$29)/(1+('main page'!$K$25^2)*'main page'!$U$13))*('normal case'!L155-'main page'!$U$8),B156-B155*V156-('normal case'!I156-D155*W156-'main page'!$K$27*'normal case'!M155+'main page'!$K$31*'normal case'!AB155)-(('main page'!$K$25*'main page'!$U$13*'main page'!$K$29)/(1+('main page'!$K$25^2)*'main page'!$U$13))*('normal case'!L155-'main page'!$U$8)))</f>
        <v>0</v>
      </c>
      <c r="AN155" s="40"/>
      <c r="AO155" s="40"/>
    </row>
    <row r="156" spans="1:41">
      <c r="A156" s="48">
        <v>154</v>
      </c>
      <c r="B156" s="75">
        <f ca="1">IF(controls!$B$33=1,B155*(1+V156)+T156,B155*(1+V156))</f>
        <v>100</v>
      </c>
      <c r="C156" s="80">
        <f t="shared" ca="1" si="18"/>
        <v>0</v>
      </c>
      <c r="D156" s="77">
        <f t="shared" ca="1" si="14"/>
        <v>100</v>
      </c>
      <c r="E156" s="77">
        <f ca="1">AG155+IF(controls!$B$33=1,G156,F156)</f>
        <v>100</v>
      </c>
      <c r="F156" s="94">
        <f ca="1">IF(controls!$B$44=0,H156-'main page'!$K$27*M155,H156-'main page'!$K$27*M155+'main page'!$K$31*AB155)</f>
        <v>100</v>
      </c>
      <c r="G156" s="75">
        <f ca="1">IF(controls!$B$44=0,I156-'main page'!$K$27*M155,I156-'main page'!$K$27*M155+'main page'!$K$31*'normal case'!AB155)</f>
        <v>100</v>
      </c>
      <c r="H156" s="75">
        <f t="shared" ca="1" si="19"/>
        <v>108</v>
      </c>
      <c r="I156" s="75">
        <f t="shared" ca="1" si="20"/>
        <v>108</v>
      </c>
      <c r="L156" s="75">
        <f ca="1">IF(ABS('main page'!$K$29*L155+(1-'main page'!$K$29)*(controls!$B$9/100)*100+'main page'!$K$25*(D156-B156)-L155)&lt;0.0000001,L155,'main page'!$K$29*L155+(1-'main page'!$K$29)*(controls!$B$9/100)*100+'main page'!$K$25*(D156-B156))</f>
        <v>2</v>
      </c>
      <c r="M156" s="96">
        <f ca="1">IF(controls!$B$10=1,M155,IF(SUM(controls!$B$44:$B$46)=2,N156-'main page'!$K$29*'normal case'!L156-(1-'main page'!$K$29)*'main page'!$K$32,N156-'main page'!$K$29*'normal case'!L156-(1-'main page'!$K$29)*controls!$B$9))</f>
        <v>4</v>
      </c>
      <c r="N156" s="208">
        <f ca="1">IF(controls!$B$45=1,IF(controls!$B$46=1,'main page'!$K$24+'main page'!$K$11+'main page'!$U$8,'main page'!$K$24+'main page'!$K$11+'main page'!$K$32),IF(controls!$B$44=1,IF(O156&lt;0,0,O156),IF(O156+'main page'!$K$11&lt;0,0,O156+'main page'!$K$11)))</f>
        <v>6</v>
      </c>
      <c r="O156" s="76">
        <f ca="1">IF(controls!$B$10=1,'normal case'!M156+'normal case'!L156,'normal case'!P156)</f>
        <v>6</v>
      </c>
      <c r="P156" s="74">
        <f t="shared" ca="1" si="15"/>
        <v>6</v>
      </c>
      <c r="Q156" s="210">
        <f ca="1">IF(controls!$B$44=0,R156+'main page'!$K$29*L156+(1-'main page'!$K$29)*controls!$B$9+(('main page'!$K$25*'main page'!$U$13*'main page'!$K$29)/('main page'!$K$27*(1+('main page'!$K$25^2)*'main page'!$U$13)))*(L156-controls!$B$9),R156+'main page'!$K$29*L156+(1-'main page'!$K$29)*controls!$B$9+(('main page'!$K$25*'main page'!$U$13*'normal case'!$AO$3)/'normal case'!$AO$4)*('normal case'!L156-controls!$B$9))</f>
        <v>6</v>
      </c>
      <c r="R156" s="98">
        <f ca="1">IF(controls!$B$44=1,'main page'!$K$24+'main page'!$K$11,IF(controls!$B$33=1,((I157-D156*W157-B157+B156*V157)/'main page'!$K$27)-'main page'!$K$11,((H157-D156*W157-B157+B156*V157)/'main page'!$K$27)-'main page'!$K$11))</f>
        <v>4</v>
      </c>
      <c r="T156" s="71">
        <f>IF(controls!$B$6=1,$AL$3*(1+('main page'!$K$35/100))^U156-$AL$3*(1+('main page'!$K$35/100))^U155,$AL$3*(1+('main page'!$G$8/100))*(1+('main page'!$K$35/100))^U156-$AL$3*(1+('main page'!$G$8/100))*(1+('main page'!$K$35/100))^U155)</f>
        <v>0</v>
      </c>
      <c r="U156" s="73">
        <v>149</v>
      </c>
      <c r="V156" s="161">
        <v>0</v>
      </c>
      <c r="W156" s="40">
        <v>0</v>
      </c>
      <c r="X156" s="49">
        <f ca="1">IF(controls!$B$33=1,D156-($I$3-'main page'!$K$27*2)*(1+('main page'!$K$35/100))^A155,D156-$AL$4)</f>
        <v>0</v>
      </c>
      <c r="Y156" s="49">
        <f ca="1">ABS(L156-(controls!$B$9/100)*100)</f>
        <v>0</v>
      </c>
      <c r="AA156" s="49" t="e">
        <f ca="1">IF(controls!$B$33=1,(B157-B156*V157-I157+D156*W157+'main page'!$K$27*('main page'!$K$24+'main page'!$K$11))/'main page'!$K$31,(B157-B156*V157+D156*W157-H157+'main page'!$K$27*('main page'!$K$24+'main page'!$K$11))/'main page'!$K$31)</f>
        <v>#DIV/0!</v>
      </c>
      <c r="AB156" s="49" t="e">
        <f ca="1">IF(controls!$B$45=1,LOG(AF156,1.01)+LOG(AE156,1.01)-LOG(AD156,1.01),-((M156-('main page'!$K$24+'main page'!$K$11))/(1-'normal case'!$AO$3))+'normal case'!AA156)</f>
        <v>#DIV/0!</v>
      </c>
      <c r="AC156" s="176" t="e">
        <f t="shared" ca="1" si="16"/>
        <v>#DIV/0!</v>
      </c>
      <c r="AD156" s="49">
        <f t="shared" ca="1" si="17"/>
        <v>20.693134452910591</v>
      </c>
      <c r="AE156" s="49">
        <f>AE155*(1+'main page'!$K$32/100)</f>
        <v>1</v>
      </c>
      <c r="AF156" s="49" t="e">
        <f ca="1">IF(ABS(IF(controls!$B$45=1,$AL$13,AD156*AC156/AE156)-AF155)&lt;0.00001,AF155,IF(controls!$B$45=1,$AL$13,AD156*AC156/AE156))</f>
        <v>#DIV/0!</v>
      </c>
      <c r="AG156" s="49">
        <f>IF(controls!$B$46=0,0,IF(controls!$B$33=2,B157-B156*V157-('normal case'!H157-D156*W157-'main page'!$K$27*'normal case'!M156+'main page'!$K$31*'normal case'!AB156)-(('main page'!$K$25*'main page'!$U$13*'main page'!$K$29)/(1+('main page'!$K$25^2)*'main page'!$U$13))*('normal case'!L156-'main page'!$U$8),B157-B156*V157-('normal case'!I157-D156*W157-'main page'!$K$27*'normal case'!M156+'main page'!$K$31*'normal case'!AB156)-(('main page'!$K$25*'main page'!$U$13*'main page'!$K$29)/(1+('main page'!$K$25^2)*'main page'!$U$13))*('normal case'!L156-'main page'!$U$8)))</f>
        <v>0</v>
      </c>
      <c r="AN156" s="40"/>
      <c r="AO156" s="40"/>
    </row>
    <row r="157" spans="1:41">
      <c r="A157" s="48">
        <v>155</v>
      </c>
      <c r="B157" s="75">
        <f ca="1">IF(controls!$B$33=1,B156*(1+V157)+T157,B156*(1+V157))</f>
        <v>100</v>
      </c>
      <c r="C157" s="80">
        <f t="shared" ca="1" si="18"/>
        <v>0</v>
      </c>
      <c r="D157" s="77">
        <f t="shared" ca="1" si="14"/>
        <v>100</v>
      </c>
      <c r="E157" s="77">
        <f ca="1">AG156+IF(controls!$B$33=1,G157,F157)</f>
        <v>100</v>
      </c>
      <c r="F157" s="94">
        <f ca="1">IF(controls!$B$44=0,H157-'main page'!$K$27*M156,H157-'main page'!$K$27*M156+'main page'!$K$31*AB156)</f>
        <v>100</v>
      </c>
      <c r="G157" s="75">
        <f ca="1">IF(controls!$B$44=0,I157-'main page'!$K$27*M156,I157-'main page'!$K$27*M156+'main page'!$K$31*'normal case'!AB156)</f>
        <v>100</v>
      </c>
      <c r="H157" s="75">
        <f t="shared" ca="1" si="19"/>
        <v>108</v>
      </c>
      <c r="I157" s="75">
        <f t="shared" ca="1" si="20"/>
        <v>108</v>
      </c>
      <c r="L157" s="75">
        <f ca="1">IF(ABS('main page'!$K$29*L156+(1-'main page'!$K$29)*(controls!$B$9/100)*100+'main page'!$K$25*(D157-B157)-L156)&lt;0.0000001,L156,'main page'!$K$29*L156+(1-'main page'!$K$29)*(controls!$B$9/100)*100+'main page'!$K$25*(D157-B157))</f>
        <v>2</v>
      </c>
      <c r="M157" s="96">
        <f ca="1">IF(controls!$B$10=1,M156,IF(SUM(controls!$B$44:$B$46)=2,N157-'main page'!$K$29*'normal case'!L157-(1-'main page'!$K$29)*'main page'!$K$32,N157-'main page'!$K$29*'normal case'!L157-(1-'main page'!$K$29)*controls!$B$9))</f>
        <v>4</v>
      </c>
      <c r="N157" s="208">
        <f ca="1">IF(controls!$B$45=1,IF(controls!$B$46=1,'main page'!$K$24+'main page'!$K$11+'main page'!$U$8,'main page'!$K$24+'main page'!$K$11+'main page'!$K$32),IF(controls!$B$44=1,IF(O157&lt;0,0,O157),IF(O157+'main page'!$K$11&lt;0,0,O157+'main page'!$K$11)))</f>
        <v>6</v>
      </c>
      <c r="O157" s="76">
        <f ca="1">IF(controls!$B$10=1,'normal case'!M157+'normal case'!L157,'normal case'!P157)</f>
        <v>6</v>
      </c>
      <c r="P157" s="74">
        <f t="shared" ca="1" si="15"/>
        <v>6</v>
      </c>
      <c r="Q157" s="210">
        <f ca="1">IF(controls!$B$44=0,R157+'main page'!$K$29*L157+(1-'main page'!$K$29)*controls!$B$9+(('main page'!$K$25*'main page'!$U$13*'main page'!$K$29)/('main page'!$K$27*(1+('main page'!$K$25^2)*'main page'!$U$13)))*(L157-controls!$B$9),R157+'main page'!$K$29*L157+(1-'main page'!$K$29)*controls!$B$9+(('main page'!$K$25*'main page'!$U$13*'normal case'!$AO$3)/'normal case'!$AO$4)*('normal case'!L157-controls!$B$9))</f>
        <v>6</v>
      </c>
      <c r="R157" s="98">
        <f ca="1">IF(controls!$B$44=1,'main page'!$K$24+'main page'!$K$11,IF(controls!$B$33=1,((I158-D157*W158-B158+B157*V158)/'main page'!$K$27)-'main page'!$K$11,((H158-D157*W158-B158+B157*V158)/'main page'!$K$27)-'main page'!$K$11))</f>
        <v>4</v>
      </c>
      <c r="T157" s="71">
        <f>IF(controls!$B$6=1,$AL$3*(1+('main page'!$K$35/100))^U157-$AL$3*(1+('main page'!$K$35/100))^U156,$AL$3*(1+('main page'!$G$8/100))*(1+('main page'!$K$35/100))^U157-$AL$3*(1+('main page'!$G$8/100))*(1+('main page'!$K$35/100))^U156)</f>
        <v>0</v>
      </c>
      <c r="U157" s="73">
        <v>150</v>
      </c>
      <c r="V157" s="161">
        <v>0</v>
      </c>
      <c r="W157" s="40">
        <v>0</v>
      </c>
      <c r="X157" s="49">
        <f ca="1">IF(controls!$B$33=1,D157-($I$3-'main page'!$K$27*2)*(1+('main page'!$K$35/100))^A156,D157-$AL$4)</f>
        <v>0</v>
      </c>
      <c r="Y157" s="49">
        <f ca="1">ABS(L157-(controls!$B$9/100)*100)</f>
        <v>0</v>
      </c>
      <c r="AA157" s="49" t="e">
        <f ca="1">IF(controls!$B$33=1,(B158-B157*V158-I158+D157*W158+'main page'!$K$27*('main page'!$K$24+'main page'!$K$11))/'main page'!$K$31,(B158-B157*V158+D157*W158-H158+'main page'!$K$27*('main page'!$K$24+'main page'!$K$11))/'main page'!$K$31)</f>
        <v>#DIV/0!</v>
      </c>
      <c r="AB157" s="49" t="e">
        <f ca="1">IF(controls!$B$45=1,LOG(AF157,1.01)+LOG(AE157,1.01)-LOG(AD157,1.01),-((M157-('main page'!$K$24+'main page'!$K$11))/(1-'normal case'!$AO$3))+'normal case'!AA157)</f>
        <v>#DIV/0!</v>
      </c>
      <c r="AC157" s="176" t="e">
        <f t="shared" ca="1" si="16"/>
        <v>#DIV/0!</v>
      </c>
      <c r="AD157" s="49">
        <f t="shared" ca="1" si="17"/>
        <v>21.106997141968804</v>
      </c>
      <c r="AE157" s="49">
        <f>AE156*(1+'main page'!$K$32/100)</f>
        <v>1</v>
      </c>
      <c r="AF157" s="49" t="e">
        <f ca="1">IF(ABS(IF(controls!$B$45=1,$AL$13,AD157*AC157/AE157)-AF156)&lt;0.00001,AF156,IF(controls!$B$45=1,$AL$13,AD157*AC157/AE157))</f>
        <v>#DIV/0!</v>
      </c>
      <c r="AG157" s="49">
        <f>IF(controls!$B$46=0,0,IF(controls!$B$33=2,B158-B157*V158-('normal case'!H158-D157*W158-'main page'!$K$27*'normal case'!M157+'main page'!$K$31*'normal case'!AB157)-(('main page'!$K$25*'main page'!$U$13*'main page'!$K$29)/(1+('main page'!$K$25^2)*'main page'!$U$13))*('normal case'!L157-'main page'!$U$8),B158-B157*V158-('normal case'!I158-D157*W158-'main page'!$K$27*'normal case'!M157+'main page'!$K$31*'normal case'!AB157)-(('main page'!$K$25*'main page'!$U$13*'main page'!$K$29)/(1+('main page'!$K$25^2)*'main page'!$U$13))*('normal case'!L157-'main page'!$U$8)))</f>
        <v>0</v>
      </c>
      <c r="AN157" s="40"/>
      <c r="AO157" s="40"/>
    </row>
    <row r="158" spans="1:41">
      <c r="A158" s="48">
        <v>156</v>
      </c>
      <c r="B158" s="75">
        <f ca="1">IF(controls!$B$33=1,B157*(1+V158)+T158,B157*(1+V158))</f>
        <v>100</v>
      </c>
      <c r="C158" s="80">
        <f t="shared" ca="1" si="18"/>
        <v>0</v>
      </c>
      <c r="D158" s="77">
        <f t="shared" ca="1" si="14"/>
        <v>100</v>
      </c>
      <c r="E158" s="77">
        <f ca="1">AG157+IF(controls!$B$33=1,G158,F158)</f>
        <v>100</v>
      </c>
      <c r="F158" s="94">
        <f ca="1">IF(controls!$B$44=0,H158-'main page'!$K$27*M157,H158-'main page'!$K$27*M157+'main page'!$K$31*AB157)</f>
        <v>100</v>
      </c>
      <c r="G158" s="75">
        <f ca="1">IF(controls!$B$44=0,I158-'main page'!$K$27*M157,I158-'main page'!$K$27*M157+'main page'!$K$31*'normal case'!AB157)</f>
        <v>100</v>
      </c>
      <c r="H158" s="75">
        <f t="shared" ca="1" si="19"/>
        <v>108</v>
      </c>
      <c r="I158" s="75">
        <f t="shared" ca="1" si="20"/>
        <v>108</v>
      </c>
      <c r="L158" s="75">
        <f ca="1">IF(ABS('main page'!$K$29*L157+(1-'main page'!$K$29)*(controls!$B$9/100)*100+'main page'!$K$25*(D158-B158)-L157)&lt;0.0000001,L157,'main page'!$K$29*L157+(1-'main page'!$K$29)*(controls!$B$9/100)*100+'main page'!$K$25*(D158-B158))</f>
        <v>2</v>
      </c>
      <c r="M158" s="96">
        <f ca="1">IF(controls!$B$10=1,M157,IF(SUM(controls!$B$44:$B$46)=2,N158-'main page'!$K$29*'normal case'!L158-(1-'main page'!$K$29)*'main page'!$K$32,N158-'main page'!$K$29*'normal case'!L158-(1-'main page'!$K$29)*controls!$B$9))</f>
        <v>4</v>
      </c>
      <c r="N158" s="208">
        <f ca="1">IF(controls!$B$45=1,IF(controls!$B$46=1,'main page'!$K$24+'main page'!$K$11+'main page'!$U$8,'main page'!$K$24+'main page'!$K$11+'main page'!$K$32),IF(controls!$B$44=1,IF(O158&lt;0,0,O158),IF(O158+'main page'!$K$11&lt;0,0,O158+'main page'!$K$11)))</f>
        <v>6</v>
      </c>
      <c r="O158" s="76">
        <f ca="1">IF(controls!$B$10=1,'normal case'!M158+'normal case'!L158,'normal case'!P158)</f>
        <v>6</v>
      </c>
      <c r="P158" s="74">
        <f t="shared" ca="1" si="15"/>
        <v>6</v>
      </c>
      <c r="Q158" s="210">
        <f ca="1">IF(controls!$B$44=0,R158+'main page'!$K$29*L158+(1-'main page'!$K$29)*controls!$B$9+(('main page'!$K$25*'main page'!$U$13*'main page'!$K$29)/('main page'!$K$27*(1+('main page'!$K$25^2)*'main page'!$U$13)))*(L158-controls!$B$9),R158+'main page'!$K$29*L158+(1-'main page'!$K$29)*controls!$B$9+(('main page'!$K$25*'main page'!$U$13*'normal case'!$AO$3)/'normal case'!$AO$4)*('normal case'!L158-controls!$B$9))</f>
        <v>6</v>
      </c>
      <c r="R158" s="98">
        <f ca="1">IF(controls!$B$44=1,'main page'!$K$24+'main page'!$K$11,IF(controls!$B$33=1,((I159-D158*W159-B159+B158*V159)/'main page'!$K$27)-'main page'!$K$11,((H159-D158*W159-B159+B158*V159)/'main page'!$K$27)-'main page'!$K$11))</f>
        <v>4</v>
      </c>
      <c r="T158" s="71">
        <f>IF(controls!$B$6=1,$AL$3*(1+('main page'!$K$35/100))^U158-$AL$3*(1+('main page'!$K$35/100))^U157,$AL$3*(1+('main page'!$G$8/100))*(1+('main page'!$K$35/100))^U158-$AL$3*(1+('main page'!$G$8/100))*(1+('main page'!$K$35/100))^U157)</f>
        <v>0</v>
      </c>
      <c r="U158" s="73">
        <v>151</v>
      </c>
      <c r="V158" s="161">
        <f ca="1">IF(controls!$B$4=1,IF(controls!$H157=1,controls!$B$34*V157+RAND()*('main page'!$K$16/100)-RAND()*('main page'!$K$16/100),0),0)</f>
        <v>0</v>
      </c>
      <c r="W158" s="40">
        <f ca="1">IF(controls!$B$4=1,IF(controls!$I157=1,controls!$B$34*W157+RAND()*('main page'!$K$16/100)-RAND()*('main page'!$K$16/100),0),0)</f>
        <v>0</v>
      </c>
      <c r="X158" s="49">
        <f ca="1">IF(controls!$B$33=1,D158-($I$3-'main page'!$K$27*2)*(1+('main page'!$K$35/100))^A157,D158-$AL$4)</f>
        <v>0</v>
      </c>
      <c r="Y158" s="49">
        <f ca="1">ABS(L158-(controls!$B$9/100)*100)</f>
        <v>0</v>
      </c>
      <c r="AA158" s="49" t="e">
        <f ca="1">IF(controls!$B$33=1,(B159-B158*V159-I159+D158*W159+'main page'!$K$27*('main page'!$K$24+'main page'!$K$11))/'main page'!$K$31,(B159-B158*V159+D158*W159-H159+'main page'!$K$27*('main page'!$K$24+'main page'!$K$11))/'main page'!$K$31)</f>
        <v>#DIV/0!</v>
      </c>
      <c r="AB158" s="49" t="e">
        <f ca="1">IF(controls!$B$45=1,LOG(AF158,1.01)+LOG(AE158,1.01)-LOG(AD158,1.01),-((M158-('main page'!$K$24+'main page'!$K$11))/(1-'normal case'!$AO$3))+'normal case'!AA158)</f>
        <v>#DIV/0!</v>
      </c>
      <c r="AC158" s="176" t="e">
        <f t="shared" ca="1" si="16"/>
        <v>#DIV/0!</v>
      </c>
      <c r="AD158" s="49">
        <f t="shared" ca="1" si="17"/>
        <v>21.52913708480818</v>
      </c>
      <c r="AE158" s="49">
        <f>AE157*(1+'main page'!$K$32/100)</f>
        <v>1</v>
      </c>
      <c r="AF158" s="49" t="e">
        <f ca="1">IF(ABS(IF(controls!$B$45=1,$AL$13,AD158*AC158/AE158)-AF157)&lt;0.00001,AF157,IF(controls!$B$45=1,$AL$13,AD158*AC158/AE158))</f>
        <v>#DIV/0!</v>
      </c>
      <c r="AG158" s="49">
        <f>IF(controls!$B$46=0,0,IF(controls!$B$33=2,B159-B158*V159-('normal case'!H159-D158*W159-'main page'!$K$27*'normal case'!M158+'main page'!$K$31*'normal case'!AB158)-(('main page'!$K$25*'main page'!$U$13*'main page'!$K$29)/(1+('main page'!$K$25^2)*'main page'!$U$13))*('normal case'!L158-'main page'!$U$8),B159-B158*V159-('normal case'!I159-D158*W159-'main page'!$K$27*'normal case'!M158+'main page'!$K$31*'normal case'!AB158)-(('main page'!$K$25*'main page'!$U$13*'main page'!$K$29)/(1+('main page'!$K$25^2)*'main page'!$U$13))*('normal case'!L158-'main page'!$U$8)))</f>
        <v>0</v>
      </c>
      <c r="AN158" s="40"/>
      <c r="AO158" s="40"/>
    </row>
    <row r="159" spans="1:41">
      <c r="A159" s="48">
        <v>157</v>
      </c>
      <c r="B159" s="75">
        <f ca="1">IF(controls!$B$33=1,B158*(1+V159)+T159,B158*(1+V159))</f>
        <v>100</v>
      </c>
      <c r="C159" s="80">
        <f t="shared" ca="1" si="18"/>
        <v>0</v>
      </c>
      <c r="D159" s="77">
        <f t="shared" ca="1" si="14"/>
        <v>100</v>
      </c>
      <c r="E159" s="77">
        <f ca="1">AG158+IF(controls!$B$33=1,G159,F159)</f>
        <v>100</v>
      </c>
      <c r="F159" s="94">
        <f ca="1">IF(controls!$B$44=0,H159-'main page'!$K$27*M158,H159-'main page'!$K$27*M158+'main page'!$K$31*AB158)</f>
        <v>100</v>
      </c>
      <c r="G159" s="75">
        <f ca="1">IF(controls!$B$44=0,I159-'main page'!$K$27*M158,I159-'main page'!$K$27*M158+'main page'!$K$31*'normal case'!AB158)</f>
        <v>100</v>
      </c>
      <c r="H159" s="75">
        <f t="shared" ca="1" si="19"/>
        <v>108</v>
      </c>
      <c r="I159" s="75">
        <f t="shared" ca="1" si="20"/>
        <v>108</v>
      </c>
      <c r="L159" s="75">
        <f ca="1">IF(ABS('main page'!$K$29*L158+(1-'main page'!$K$29)*(controls!$B$9/100)*100+'main page'!$K$25*(D159-B159)-L158)&lt;0.0000001,L158,'main page'!$K$29*L158+(1-'main page'!$K$29)*(controls!$B$9/100)*100+'main page'!$K$25*(D159-B159))</f>
        <v>2</v>
      </c>
      <c r="M159" s="96">
        <f ca="1">IF(controls!$B$10=1,M158,IF(SUM(controls!$B$44:$B$46)=2,N159-'main page'!$K$29*'normal case'!L159-(1-'main page'!$K$29)*'main page'!$K$32,N159-'main page'!$K$29*'normal case'!L159-(1-'main page'!$K$29)*controls!$B$9))</f>
        <v>4</v>
      </c>
      <c r="N159" s="208">
        <f ca="1">IF(controls!$B$45=1,IF(controls!$B$46=1,'main page'!$K$24+'main page'!$K$11+'main page'!$U$8,'main page'!$K$24+'main page'!$K$11+'main page'!$K$32),IF(controls!$B$44=1,IF(O159&lt;0,0,O159),IF(O159+'main page'!$K$11&lt;0,0,O159+'main page'!$K$11)))</f>
        <v>6</v>
      </c>
      <c r="O159" s="76">
        <f ca="1">IF(controls!$B$10=1,'normal case'!M159+'normal case'!L159,'normal case'!P159)</f>
        <v>6</v>
      </c>
      <c r="P159" s="74">
        <f t="shared" ca="1" si="15"/>
        <v>6</v>
      </c>
      <c r="Q159" s="210">
        <f ca="1">IF(controls!$B$44=0,R159+'main page'!$K$29*L159+(1-'main page'!$K$29)*controls!$B$9+(('main page'!$K$25*'main page'!$U$13*'main page'!$K$29)/('main page'!$K$27*(1+('main page'!$K$25^2)*'main page'!$U$13)))*(L159-controls!$B$9),R159+'main page'!$K$29*L159+(1-'main page'!$K$29)*controls!$B$9+(('main page'!$K$25*'main page'!$U$13*'normal case'!$AO$3)/'normal case'!$AO$4)*('normal case'!L159-controls!$B$9))</f>
        <v>6</v>
      </c>
      <c r="R159" s="98">
        <f ca="1">IF(controls!$B$44=1,'main page'!$K$24+'main page'!$K$11,IF(controls!$B$33=1,((I160-D159*W160-B160+B159*V160)/'main page'!$K$27)-'main page'!$K$11,((H160-D159*W160-B160+B159*V160)/'main page'!$K$27)-'main page'!$K$11))</f>
        <v>4</v>
      </c>
      <c r="T159" s="71">
        <f>IF(controls!$B$6=1,$AL$3*(1+('main page'!$K$35/100))^U159-$AL$3*(1+('main page'!$K$35/100))^U158,$AL$3*(1+('main page'!$G$8/100))*(1+('main page'!$K$35/100))^U159-$AL$3*(1+('main page'!$G$8/100))*(1+('main page'!$K$35/100))^U158)</f>
        <v>0</v>
      </c>
      <c r="U159" s="73">
        <v>152</v>
      </c>
      <c r="V159" s="161">
        <v>0</v>
      </c>
      <c r="W159" s="40">
        <v>0</v>
      </c>
      <c r="X159" s="49">
        <f ca="1">IF(controls!$B$33=1,D159-($I$3-'main page'!$K$27*2)*(1+('main page'!$K$35/100))^A158,D159-$AL$4)</f>
        <v>0</v>
      </c>
      <c r="Y159" s="49">
        <f ca="1">ABS(L159-(controls!$B$9/100)*100)</f>
        <v>0</v>
      </c>
      <c r="AA159" s="49" t="e">
        <f ca="1">IF(controls!$B$33=1,(B160-B159*V160-I160+D159*W160+'main page'!$K$27*('main page'!$K$24+'main page'!$K$11))/'main page'!$K$31,(B160-B159*V160+D159*W160-H160+'main page'!$K$27*('main page'!$K$24+'main page'!$K$11))/'main page'!$K$31)</f>
        <v>#DIV/0!</v>
      </c>
      <c r="AB159" s="49" t="e">
        <f ca="1">IF(controls!$B$45=1,LOG(AF159,1.01)+LOG(AE159,1.01)-LOG(AD159,1.01),-((M159-('main page'!$K$24+'main page'!$K$11))/(1-'normal case'!$AO$3))+'normal case'!AA159)</f>
        <v>#DIV/0!</v>
      </c>
      <c r="AC159" s="176" t="e">
        <f t="shared" ca="1" si="16"/>
        <v>#DIV/0!</v>
      </c>
      <c r="AD159" s="49">
        <f t="shared" ca="1" si="17"/>
        <v>21.959719826504344</v>
      </c>
      <c r="AE159" s="49">
        <f>AE158*(1+'main page'!$K$32/100)</f>
        <v>1</v>
      </c>
      <c r="AF159" s="49" t="e">
        <f ca="1">IF(ABS(IF(controls!$B$45=1,$AL$13,AD159*AC159/AE159)-AF158)&lt;0.00001,AF158,IF(controls!$B$45=1,$AL$13,AD159*AC159/AE159))</f>
        <v>#DIV/0!</v>
      </c>
      <c r="AG159" s="49">
        <f>IF(controls!$B$46=0,0,IF(controls!$B$33=2,B160-B159*V160-('normal case'!H160-D159*W160-'main page'!$K$27*'normal case'!M159+'main page'!$K$31*'normal case'!AB159)-(('main page'!$K$25*'main page'!$U$13*'main page'!$K$29)/(1+('main page'!$K$25^2)*'main page'!$U$13))*('normal case'!L159-'main page'!$U$8),B160-B159*V160-('normal case'!I160-D159*W160-'main page'!$K$27*'normal case'!M159+'main page'!$K$31*'normal case'!AB159)-(('main page'!$K$25*'main page'!$U$13*'main page'!$K$29)/(1+('main page'!$K$25^2)*'main page'!$U$13))*('normal case'!L159-'main page'!$U$8)))</f>
        <v>0</v>
      </c>
      <c r="AN159" s="40"/>
      <c r="AO159" s="40"/>
    </row>
    <row r="160" spans="1:41">
      <c r="A160" s="48">
        <v>158</v>
      </c>
      <c r="B160" s="75">
        <f ca="1">IF(controls!$B$33=1,B159*(1+V160)+T160,B159*(1+V160))</f>
        <v>100</v>
      </c>
      <c r="C160" s="80">
        <f t="shared" ca="1" si="18"/>
        <v>0</v>
      </c>
      <c r="D160" s="77">
        <f t="shared" ca="1" si="14"/>
        <v>100</v>
      </c>
      <c r="E160" s="77">
        <f ca="1">AG159+IF(controls!$B$33=1,G160,F160)</f>
        <v>100</v>
      </c>
      <c r="F160" s="94">
        <f ca="1">IF(controls!$B$44=0,H160-'main page'!$K$27*M159,H160-'main page'!$K$27*M159+'main page'!$K$31*AB159)</f>
        <v>100</v>
      </c>
      <c r="G160" s="75">
        <f ca="1">IF(controls!$B$44=0,I160-'main page'!$K$27*M159,I160-'main page'!$K$27*M159+'main page'!$K$31*'normal case'!AB159)</f>
        <v>100</v>
      </c>
      <c r="H160" s="75">
        <f t="shared" ca="1" si="19"/>
        <v>108</v>
      </c>
      <c r="I160" s="75">
        <f t="shared" ca="1" si="20"/>
        <v>108</v>
      </c>
      <c r="L160" s="75">
        <f ca="1">IF(ABS('main page'!$K$29*L159+(1-'main page'!$K$29)*(controls!$B$9/100)*100+'main page'!$K$25*(D160-B160)-L159)&lt;0.0000001,L159,'main page'!$K$29*L159+(1-'main page'!$K$29)*(controls!$B$9/100)*100+'main page'!$K$25*(D160-B160))</f>
        <v>2</v>
      </c>
      <c r="M160" s="96">
        <f ca="1">IF(controls!$B$10=1,M159,IF(SUM(controls!$B$44:$B$46)=2,N160-'main page'!$K$29*'normal case'!L160-(1-'main page'!$K$29)*'main page'!$K$32,N160-'main page'!$K$29*'normal case'!L160-(1-'main page'!$K$29)*controls!$B$9))</f>
        <v>4</v>
      </c>
      <c r="N160" s="208">
        <f ca="1">IF(controls!$B$45=1,IF(controls!$B$46=1,'main page'!$K$24+'main page'!$K$11+'main page'!$U$8,'main page'!$K$24+'main page'!$K$11+'main page'!$K$32),IF(controls!$B$44=1,IF(O160&lt;0,0,O160),IF(O160+'main page'!$K$11&lt;0,0,O160+'main page'!$K$11)))</f>
        <v>6</v>
      </c>
      <c r="O160" s="76">
        <f ca="1">IF(controls!$B$10=1,'normal case'!M160+'normal case'!L160,'normal case'!P160)</f>
        <v>6</v>
      </c>
      <c r="P160" s="74">
        <f t="shared" ca="1" si="15"/>
        <v>6</v>
      </c>
      <c r="Q160" s="210">
        <f ca="1">IF(controls!$B$44=0,R160+'main page'!$K$29*L160+(1-'main page'!$K$29)*controls!$B$9+(('main page'!$K$25*'main page'!$U$13*'main page'!$K$29)/('main page'!$K$27*(1+('main page'!$K$25^2)*'main page'!$U$13)))*(L160-controls!$B$9),R160+'main page'!$K$29*L160+(1-'main page'!$K$29)*controls!$B$9+(('main page'!$K$25*'main page'!$U$13*'normal case'!$AO$3)/'normal case'!$AO$4)*('normal case'!L160-controls!$B$9))</f>
        <v>6</v>
      </c>
      <c r="R160" s="98">
        <f ca="1">IF(controls!$B$44=1,'main page'!$K$24+'main page'!$K$11,IF(controls!$B$33=1,((I161-D160*W161-B161+B160*V161)/'main page'!$K$27)-'main page'!$K$11,((H161-D160*W161-B161+B160*V161)/'main page'!$K$27)-'main page'!$K$11))</f>
        <v>4</v>
      </c>
      <c r="T160" s="71">
        <f>IF(controls!$B$6=1,$AL$3*(1+('main page'!$K$35/100))^U160-$AL$3*(1+('main page'!$K$35/100))^U159,$AL$3*(1+('main page'!$G$8/100))*(1+('main page'!$K$35/100))^U160-$AL$3*(1+('main page'!$G$8/100))*(1+('main page'!$K$35/100))^U159)</f>
        <v>0</v>
      </c>
      <c r="U160" s="73">
        <v>153</v>
      </c>
      <c r="V160" s="161">
        <v>0</v>
      </c>
      <c r="W160" s="40">
        <v>0</v>
      </c>
      <c r="X160" s="49">
        <f ca="1">IF(controls!$B$33=1,D160-($I$3-'main page'!$K$27*2)*(1+('main page'!$K$35/100))^A159,D160-$AL$4)</f>
        <v>0</v>
      </c>
      <c r="Y160" s="49">
        <f ca="1">ABS(L160-(controls!$B$9/100)*100)</f>
        <v>0</v>
      </c>
      <c r="AA160" s="49" t="e">
        <f ca="1">IF(controls!$B$33=1,(B161-B160*V161-I161+D160*W161+'main page'!$K$27*('main page'!$K$24+'main page'!$K$11))/'main page'!$K$31,(B161-B160*V161+D160*W161-H161+'main page'!$K$27*('main page'!$K$24+'main page'!$K$11))/'main page'!$K$31)</f>
        <v>#DIV/0!</v>
      </c>
      <c r="AB160" s="49" t="e">
        <f ca="1">IF(controls!$B$45=1,LOG(AF160,1.01)+LOG(AE160,1.01)-LOG(AD160,1.01),-((M160-('main page'!$K$24+'main page'!$K$11))/(1-'normal case'!$AO$3))+'normal case'!AA160)</f>
        <v>#DIV/0!</v>
      </c>
      <c r="AC160" s="176" t="e">
        <f t="shared" ca="1" si="16"/>
        <v>#DIV/0!</v>
      </c>
      <c r="AD160" s="49">
        <f t="shared" ca="1" si="17"/>
        <v>22.398914223034431</v>
      </c>
      <c r="AE160" s="49">
        <f>AE159*(1+'main page'!$K$32/100)</f>
        <v>1</v>
      </c>
      <c r="AF160" s="49" t="e">
        <f ca="1">IF(ABS(IF(controls!$B$45=1,$AL$13,AD160*AC160/AE160)-AF159)&lt;0.00001,AF159,IF(controls!$B$45=1,$AL$13,AD160*AC160/AE160))</f>
        <v>#DIV/0!</v>
      </c>
      <c r="AG160" s="49">
        <f>IF(controls!$B$46=0,0,IF(controls!$B$33=2,B161-B160*V161-('normal case'!H161-D160*W161-'main page'!$K$27*'normal case'!M160+'main page'!$K$31*'normal case'!AB160)-(('main page'!$K$25*'main page'!$U$13*'main page'!$K$29)/(1+('main page'!$K$25^2)*'main page'!$U$13))*('normal case'!L160-'main page'!$U$8),B161-B160*V161-('normal case'!I161-D160*W161-'main page'!$K$27*'normal case'!M160+'main page'!$K$31*'normal case'!AB160)-(('main page'!$K$25*'main page'!$U$13*'main page'!$K$29)/(1+('main page'!$K$25^2)*'main page'!$U$13))*('normal case'!L160-'main page'!$U$8)))</f>
        <v>0</v>
      </c>
      <c r="AN160" s="40"/>
      <c r="AO160" s="40"/>
    </row>
    <row r="161" spans="1:41">
      <c r="A161" s="48">
        <v>159</v>
      </c>
      <c r="B161" s="75">
        <f ca="1">IF(controls!$B$33=1,B160*(1+V161)+T161,B160*(1+V161))</f>
        <v>100</v>
      </c>
      <c r="C161" s="80">
        <f t="shared" ca="1" si="18"/>
        <v>0</v>
      </c>
      <c r="D161" s="77">
        <f t="shared" ca="1" si="14"/>
        <v>100</v>
      </c>
      <c r="E161" s="77">
        <f ca="1">AG160+IF(controls!$B$33=1,G161,F161)</f>
        <v>100</v>
      </c>
      <c r="F161" s="94">
        <f ca="1">IF(controls!$B$44=0,H161-'main page'!$K$27*M160,H161-'main page'!$K$27*M160+'main page'!$K$31*AB160)</f>
        <v>100</v>
      </c>
      <c r="G161" s="75">
        <f ca="1">IF(controls!$B$44=0,I161-'main page'!$K$27*M160,I161-'main page'!$K$27*M160+'main page'!$K$31*'normal case'!AB160)</f>
        <v>100</v>
      </c>
      <c r="H161" s="75">
        <f t="shared" ca="1" si="19"/>
        <v>108</v>
      </c>
      <c r="I161" s="75">
        <f t="shared" ca="1" si="20"/>
        <v>108</v>
      </c>
      <c r="L161" s="75">
        <f ca="1">IF(ABS('main page'!$K$29*L160+(1-'main page'!$K$29)*(controls!$B$9/100)*100+'main page'!$K$25*(D161-B161)-L160)&lt;0.0000001,L160,'main page'!$K$29*L160+(1-'main page'!$K$29)*(controls!$B$9/100)*100+'main page'!$K$25*(D161-B161))</f>
        <v>2</v>
      </c>
      <c r="M161" s="96">
        <f ca="1">IF(controls!$B$10=1,M160,IF(SUM(controls!$B$44:$B$46)=2,N161-'main page'!$K$29*'normal case'!L161-(1-'main page'!$K$29)*'main page'!$K$32,N161-'main page'!$K$29*'normal case'!L161-(1-'main page'!$K$29)*controls!$B$9))</f>
        <v>4</v>
      </c>
      <c r="N161" s="208">
        <f ca="1">IF(controls!$B$45=1,IF(controls!$B$46=1,'main page'!$K$24+'main page'!$K$11+'main page'!$U$8,'main page'!$K$24+'main page'!$K$11+'main page'!$K$32),IF(controls!$B$44=1,IF(O161&lt;0,0,O161),IF(O161+'main page'!$K$11&lt;0,0,O161+'main page'!$K$11)))</f>
        <v>6</v>
      </c>
      <c r="O161" s="76">
        <f ca="1">IF(controls!$B$10=1,'normal case'!M161+'normal case'!L161,'normal case'!P161)</f>
        <v>6</v>
      </c>
      <c r="P161" s="74">
        <f t="shared" ca="1" si="15"/>
        <v>6</v>
      </c>
      <c r="Q161" s="210">
        <f ca="1">IF(controls!$B$44=0,R161+'main page'!$K$29*L161+(1-'main page'!$K$29)*controls!$B$9+(('main page'!$K$25*'main page'!$U$13*'main page'!$K$29)/('main page'!$K$27*(1+('main page'!$K$25^2)*'main page'!$U$13)))*(L161-controls!$B$9),R161+'main page'!$K$29*L161+(1-'main page'!$K$29)*controls!$B$9+(('main page'!$K$25*'main page'!$U$13*'normal case'!$AO$3)/'normal case'!$AO$4)*('normal case'!L161-controls!$B$9))</f>
        <v>6</v>
      </c>
      <c r="R161" s="98">
        <f ca="1">IF(controls!$B$44=1,'main page'!$K$24+'main page'!$K$11,IF(controls!$B$33=1,((I162-D161*W162-B162+B161*V162)/'main page'!$K$27)-'main page'!$K$11,((H162-D161*W162-B162+B161*V162)/'main page'!$K$27)-'main page'!$K$11))</f>
        <v>4</v>
      </c>
      <c r="T161" s="71">
        <f>IF(controls!$B$6=1,$AL$3*(1+('main page'!$K$35/100))^U161-$AL$3*(1+('main page'!$K$35/100))^U160,$AL$3*(1+('main page'!$G$8/100))*(1+('main page'!$K$35/100))^U161-$AL$3*(1+('main page'!$G$8/100))*(1+('main page'!$K$35/100))^U160)</f>
        <v>0</v>
      </c>
      <c r="U161" s="73">
        <v>154</v>
      </c>
      <c r="V161" s="161">
        <f ca="1">IF(controls!$B$4=1,IF(controls!$H160=1,controls!$B$34*V160+RAND()*('main page'!$K$16/100)-RAND()*('main page'!$K$16/100),0),0)</f>
        <v>0</v>
      </c>
      <c r="W161" s="40">
        <f ca="1">IF(controls!$B$4=1,IF(controls!$I160=1,controls!$B$34*W160+RAND()*('main page'!$K$16/100)-RAND()*('main page'!$K$16/100),0),0)</f>
        <v>0</v>
      </c>
      <c r="X161" s="49">
        <f ca="1">IF(controls!$B$33=1,D161-($I$3-'main page'!$K$27*2)*(1+('main page'!$K$35/100))^A160,D161-$AL$4)</f>
        <v>0</v>
      </c>
      <c r="Y161" s="49">
        <f ca="1">ABS(L161-(controls!$B$9/100)*100)</f>
        <v>0</v>
      </c>
      <c r="AA161" s="49" t="e">
        <f ca="1">IF(controls!$B$33=1,(B162-B161*V162-I162+D161*W162+'main page'!$K$27*('main page'!$K$24+'main page'!$K$11))/'main page'!$K$31,(B162-B161*V162+D161*W162-H162+'main page'!$K$27*('main page'!$K$24+'main page'!$K$11))/'main page'!$K$31)</f>
        <v>#DIV/0!</v>
      </c>
      <c r="AB161" s="49" t="e">
        <f ca="1">IF(controls!$B$45=1,LOG(AF161,1.01)+LOG(AE161,1.01)-LOG(AD161,1.01),-((M161-('main page'!$K$24+'main page'!$K$11))/(1-'normal case'!$AO$3))+'normal case'!AA161)</f>
        <v>#DIV/0!</v>
      </c>
      <c r="AC161" s="176" t="e">
        <f t="shared" ca="1" si="16"/>
        <v>#DIV/0!</v>
      </c>
      <c r="AD161" s="49">
        <f t="shared" ca="1" si="17"/>
        <v>22.84689250749512</v>
      </c>
      <c r="AE161" s="49">
        <f>AE160*(1+'main page'!$K$32/100)</f>
        <v>1</v>
      </c>
      <c r="AF161" s="49" t="e">
        <f ca="1">IF(ABS(IF(controls!$B$45=1,$AL$13,AD161*AC161/AE161)-AF160)&lt;0.00001,AF160,IF(controls!$B$45=1,$AL$13,AD161*AC161/AE161))</f>
        <v>#DIV/0!</v>
      </c>
      <c r="AG161" s="49">
        <f>IF(controls!$B$46=0,0,IF(controls!$B$33=2,B162-B161*V162-('normal case'!H162-D161*W162-'main page'!$K$27*'normal case'!M161+'main page'!$K$31*'normal case'!AB161)-(('main page'!$K$25*'main page'!$U$13*'main page'!$K$29)/(1+('main page'!$K$25^2)*'main page'!$U$13))*('normal case'!L161-'main page'!$U$8),B162-B161*V162-('normal case'!I162-D161*W162-'main page'!$K$27*'normal case'!M161+'main page'!$K$31*'normal case'!AB161)-(('main page'!$K$25*'main page'!$U$13*'main page'!$K$29)/(1+('main page'!$K$25^2)*'main page'!$U$13))*('normal case'!L161-'main page'!$U$8)))</f>
        <v>0</v>
      </c>
      <c r="AN161" s="40"/>
      <c r="AO161" s="40"/>
    </row>
    <row r="162" spans="1:41">
      <c r="A162" s="48">
        <v>160</v>
      </c>
      <c r="B162" s="75">
        <f ca="1">IF(controls!$B$33=1,B161*(1+V162)+T162,B161*(1+V162))</f>
        <v>100</v>
      </c>
      <c r="C162" s="80">
        <f t="shared" ca="1" si="18"/>
        <v>0</v>
      </c>
      <c r="D162" s="77">
        <f t="shared" ca="1" si="14"/>
        <v>100</v>
      </c>
      <c r="E162" s="77">
        <f ca="1">AG161+IF(controls!$B$33=1,G162,F162)</f>
        <v>100</v>
      </c>
      <c r="F162" s="94">
        <f ca="1">IF(controls!$B$44=0,H162-'main page'!$K$27*M161,H162-'main page'!$K$27*M161+'main page'!$K$31*AB161)</f>
        <v>100</v>
      </c>
      <c r="G162" s="75">
        <f ca="1">IF(controls!$B$44=0,I162-'main page'!$K$27*M161,I162-'main page'!$K$27*M161+'main page'!$K$31*'normal case'!AB161)</f>
        <v>100</v>
      </c>
      <c r="H162" s="75">
        <f t="shared" ca="1" si="19"/>
        <v>108</v>
      </c>
      <c r="I162" s="75">
        <f t="shared" ca="1" si="20"/>
        <v>108</v>
      </c>
      <c r="L162" s="75">
        <f ca="1">IF(ABS('main page'!$K$29*L161+(1-'main page'!$K$29)*(controls!$B$9/100)*100+'main page'!$K$25*(D162-B162)-L161)&lt;0.0000001,L161,'main page'!$K$29*L161+(1-'main page'!$K$29)*(controls!$B$9/100)*100+'main page'!$K$25*(D162-B162))</f>
        <v>2</v>
      </c>
      <c r="M162" s="96">
        <f ca="1">IF(controls!$B$10=1,M161,IF(SUM(controls!$B$44:$B$46)=2,N162-'main page'!$K$29*'normal case'!L162-(1-'main page'!$K$29)*'main page'!$K$32,N162-'main page'!$K$29*'normal case'!L162-(1-'main page'!$K$29)*controls!$B$9))</f>
        <v>4</v>
      </c>
      <c r="N162" s="208">
        <f ca="1">IF(controls!$B$45=1,IF(controls!$B$46=1,'main page'!$K$24+'main page'!$K$11+'main page'!$U$8,'main page'!$K$24+'main page'!$K$11+'main page'!$K$32),IF(controls!$B$44=1,IF(O162&lt;0,0,O162),IF(O162+'main page'!$K$11&lt;0,0,O162+'main page'!$K$11)))</f>
        <v>6</v>
      </c>
      <c r="O162" s="76">
        <f ca="1">IF(controls!$B$10=1,'normal case'!M162+'normal case'!L162,'normal case'!P162)</f>
        <v>6</v>
      </c>
      <c r="P162" s="74">
        <f t="shared" ca="1" si="15"/>
        <v>6</v>
      </c>
      <c r="Q162" s="210">
        <f ca="1">IF(controls!$B$44=0,R162+'main page'!$K$29*L162+(1-'main page'!$K$29)*controls!$B$9+(('main page'!$K$25*'main page'!$U$13*'main page'!$K$29)/('main page'!$K$27*(1+('main page'!$K$25^2)*'main page'!$U$13)))*(L162-controls!$B$9),R162+'main page'!$K$29*L162+(1-'main page'!$K$29)*controls!$B$9+(('main page'!$K$25*'main page'!$U$13*'normal case'!$AO$3)/'normal case'!$AO$4)*('normal case'!L162-controls!$B$9))</f>
        <v>6</v>
      </c>
      <c r="R162" s="98">
        <f ca="1">IF(controls!$B$44=1,'main page'!$K$24+'main page'!$K$11,IF(controls!$B$33=1,((I163-D162*W163-B163+B162*V163)/'main page'!$K$27)-'main page'!$K$11,((H163-D162*W163-B163+B162*V163)/'main page'!$K$27)-'main page'!$K$11))</f>
        <v>4</v>
      </c>
      <c r="T162" s="71">
        <f>IF(controls!$B$6=1,$AL$3*(1+('main page'!$K$35/100))^U162-$AL$3*(1+('main page'!$K$35/100))^U161,$AL$3*(1+('main page'!$G$8/100))*(1+('main page'!$K$35/100))^U162-$AL$3*(1+('main page'!$G$8/100))*(1+('main page'!$K$35/100))^U161)</f>
        <v>0</v>
      </c>
      <c r="U162" s="73">
        <v>155</v>
      </c>
      <c r="V162" s="161">
        <v>0</v>
      </c>
      <c r="W162" s="40">
        <v>0</v>
      </c>
      <c r="X162" s="49">
        <f ca="1">IF(controls!$B$33=1,D162-($I$3-'main page'!$K$27*2)*(1+('main page'!$K$35/100))^A161,D162-$AL$4)</f>
        <v>0</v>
      </c>
      <c r="Y162" s="49">
        <f ca="1">ABS(L162-(controls!$B$9/100)*100)</f>
        <v>0</v>
      </c>
      <c r="AA162" s="49" t="e">
        <f ca="1">IF(controls!$B$33=1,(B163-B162*V163-I163+D162*W163+'main page'!$K$27*('main page'!$K$24+'main page'!$K$11))/'main page'!$K$31,(B163-B162*V163+D162*W163-H163+'main page'!$K$27*('main page'!$K$24+'main page'!$K$11))/'main page'!$K$31)</f>
        <v>#DIV/0!</v>
      </c>
      <c r="AB162" s="49" t="e">
        <f ca="1">IF(controls!$B$45=1,LOG(AF162,1.01)+LOG(AE162,1.01)-LOG(AD162,1.01),-((M162-('main page'!$K$24+'main page'!$K$11))/(1-'normal case'!$AO$3))+'normal case'!AA162)</f>
        <v>#DIV/0!</v>
      </c>
      <c r="AC162" s="176" t="e">
        <f t="shared" ca="1" si="16"/>
        <v>#DIV/0!</v>
      </c>
      <c r="AD162" s="49">
        <f t="shared" ca="1" si="17"/>
        <v>23.303830357645023</v>
      </c>
      <c r="AE162" s="49">
        <f>AE161*(1+'main page'!$K$32/100)</f>
        <v>1</v>
      </c>
      <c r="AF162" s="49" t="e">
        <f ca="1">IF(ABS(IF(controls!$B$45=1,$AL$13,AD162*AC162/AE162)-AF161)&lt;0.00001,AF161,IF(controls!$B$45=1,$AL$13,AD162*AC162/AE162))</f>
        <v>#DIV/0!</v>
      </c>
      <c r="AG162" s="49">
        <f>IF(controls!$B$46=0,0,IF(controls!$B$33=2,B163-B162*V163-('normal case'!H163-D162*W163-'main page'!$K$27*'normal case'!M162+'main page'!$K$31*'normal case'!AB162)-(('main page'!$K$25*'main page'!$U$13*'main page'!$K$29)/(1+('main page'!$K$25^2)*'main page'!$U$13))*('normal case'!L162-'main page'!$U$8),B163-B162*V163-('normal case'!I163-D162*W163-'main page'!$K$27*'normal case'!M162+'main page'!$K$31*'normal case'!AB162)-(('main page'!$K$25*'main page'!$U$13*'main page'!$K$29)/(1+('main page'!$K$25^2)*'main page'!$U$13))*('normal case'!L162-'main page'!$U$8)))</f>
        <v>0</v>
      </c>
      <c r="AN162" s="40"/>
      <c r="AO162" s="40"/>
    </row>
    <row r="163" spans="1:41">
      <c r="A163" s="48">
        <v>161</v>
      </c>
      <c r="B163" s="75">
        <f ca="1">IF(controls!$B$33=1,B162*(1+V163)+T163,B162*(1+V163))</f>
        <v>100</v>
      </c>
      <c r="C163" s="80">
        <f t="shared" ca="1" si="18"/>
        <v>0</v>
      </c>
      <c r="D163" s="77">
        <f t="shared" ca="1" si="14"/>
        <v>100</v>
      </c>
      <c r="E163" s="77">
        <f ca="1">AG162+IF(controls!$B$33=1,G163,F163)</f>
        <v>100</v>
      </c>
      <c r="F163" s="94">
        <f ca="1">IF(controls!$B$44=0,H163-'main page'!$K$27*M162,H163-'main page'!$K$27*M162+'main page'!$K$31*AB162)</f>
        <v>100</v>
      </c>
      <c r="G163" s="75">
        <f ca="1">IF(controls!$B$44=0,I163-'main page'!$K$27*M162,I163-'main page'!$K$27*M162+'main page'!$K$31*'normal case'!AB162)</f>
        <v>100</v>
      </c>
      <c r="H163" s="75">
        <f t="shared" ca="1" si="19"/>
        <v>108</v>
      </c>
      <c r="I163" s="75">
        <f t="shared" ca="1" si="20"/>
        <v>108</v>
      </c>
      <c r="L163" s="75">
        <f ca="1">IF(ABS('main page'!$K$29*L162+(1-'main page'!$K$29)*(controls!$B$9/100)*100+'main page'!$K$25*(D163-B163)-L162)&lt;0.0000001,L162,'main page'!$K$29*L162+(1-'main page'!$K$29)*(controls!$B$9/100)*100+'main page'!$K$25*(D163-B163))</f>
        <v>2</v>
      </c>
      <c r="M163" s="96">
        <f ca="1">IF(controls!$B$10=1,M162,IF(SUM(controls!$B$44:$B$46)=2,N163-'main page'!$K$29*'normal case'!L163-(1-'main page'!$K$29)*'main page'!$K$32,N163-'main page'!$K$29*'normal case'!L163-(1-'main page'!$K$29)*controls!$B$9))</f>
        <v>4</v>
      </c>
      <c r="N163" s="208">
        <f ca="1">IF(controls!$B$45=1,IF(controls!$B$46=1,'main page'!$K$24+'main page'!$K$11+'main page'!$U$8,'main page'!$K$24+'main page'!$K$11+'main page'!$K$32),IF(controls!$B$44=1,IF(O163&lt;0,0,O163),IF(O163+'main page'!$K$11&lt;0,0,O163+'main page'!$K$11)))</f>
        <v>6</v>
      </c>
      <c r="O163" s="76">
        <f ca="1">IF(controls!$B$10=1,'normal case'!M163+'normal case'!L163,'normal case'!P163)</f>
        <v>6</v>
      </c>
      <c r="P163" s="74">
        <f t="shared" ca="1" si="15"/>
        <v>6</v>
      </c>
      <c r="Q163" s="210">
        <f ca="1">IF(controls!$B$44=0,R163+'main page'!$K$29*L163+(1-'main page'!$K$29)*controls!$B$9+(('main page'!$K$25*'main page'!$U$13*'main page'!$K$29)/('main page'!$K$27*(1+('main page'!$K$25^2)*'main page'!$U$13)))*(L163-controls!$B$9),R163+'main page'!$K$29*L163+(1-'main page'!$K$29)*controls!$B$9+(('main page'!$K$25*'main page'!$U$13*'normal case'!$AO$3)/'normal case'!$AO$4)*('normal case'!L163-controls!$B$9))</f>
        <v>6</v>
      </c>
      <c r="R163" s="98">
        <f ca="1">IF(controls!$B$44=1,'main page'!$K$24+'main page'!$K$11,IF(controls!$B$33=1,((I164-D163*W164-B164+B163*V164)/'main page'!$K$27)-'main page'!$K$11,((H164-D163*W164-B164+B163*V164)/'main page'!$K$27)-'main page'!$K$11))</f>
        <v>4</v>
      </c>
      <c r="T163" s="71">
        <f>IF(controls!$B$6=1,$AL$3*(1+('main page'!$K$35/100))^U163-$AL$3*(1+('main page'!$K$35/100))^U162,$AL$3*(1+('main page'!$G$8/100))*(1+('main page'!$K$35/100))^U163-$AL$3*(1+('main page'!$G$8/100))*(1+('main page'!$K$35/100))^U162)</f>
        <v>0</v>
      </c>
      <c r="U163" s="73">
        <v>156</v>
      </c>
      <c r="V163" s="161">
        <v>0</v>
      </c>
      <c r="W163" s="40">
        <v>0</v>
      </c>
      <c r="X163" s="49">
        <f ca="1">IF(controls!$B$33=1,D163-($I$3-'main page'!$K$27*2)*(1+('main page'!$K$35/100))^A162,D163-$AL$4)</f>
        <v>0</v>
      </c>
      <c r="Y163" s="49">
        <f ca="1">ABS(L163-(controls!$B$9/100)*100)</f>
        <v>0</v>
      </c>
      <c r="AA163" s="49" t="e">
        <f ca="1">IF(controls!$B$33=1,(B164-B163*V164-I164+D163*W164+'main page'!$K$27*('main page'!$K$24+'main page'!$K$11))/'main page'!$K$31,(B164-B163*V164+D163*W164-H164+'main page'!$K$27*('main page'!$K$24+'main page'!$K$11))/'main page'!$K$31)</f>
        <v>#DIV/0!</v>
      </c>
      <c r="AB163" s="49" t="e">
        <f ca="1">IF(controls!$B$45=1,LOG(AF163,1.01)+LOG(AE163,1.01)-LOG(AD163,1.01),-((M163-('main page'!$K$24+'main page'!$K$11))/(1-'normal case'!$AO$3))+'normal case'!AA163)</f>
        <v>#DIV/0!</v>
      </c>
      <c r="AC163" s="176" t="e">
        <f t="shared" ca="1" si="16"/>
        <v>#DIV/0!</v>
      </c>
      <c r="AD163" s="49">
        <f t="shared" ca="1" si="17"/>
        <v>23.769906964797922</v>
      </c>
      <c r="AE163" s="49">
        <f>AE162*(1+'main page'!$K$32/100)</f>
        <v>1</v>
      </c>
      <c r="AF163" s="49" t="e">
        <f ca="1">IF(ABS(IF(controls!$B$45=1,$AL$13,AD163*AC163/AE163)-AF162)&lt;0.00001,AF162,IF(controls!$B$45=1,$AL$13,AD163*AC163/AE163))</f>
        <v>#DIV/0!</v>
      </c>
      <c r="AG163" s="49">
        <f>IF(controls!$B$46=0,0,IF(controls!$B$33=2,B164-B163*V164-('normal case'!H164-D163*W164-'main page'!$K$27*'normal case'!M163+'main page'!$K$31*'normal case'!AB163)-(('main page'!$K$25*'main page'!$U$13*'main page'!$K$29)/(1+('main page'!$K$25^2)*'main page'!$U$13))*('normal case'!L163-'main page'!$U$8),B164-B163*V164-('normal case'!I164-D163*W164-'main page'!$K$27*'normal case'!M163+'main page'!$K$31*'normal case'!AB163)-(('main page'!$K$25*'main page'!$U$13*'main page'!$K$29)/(1+('main page'!$K$25^2)*'main page'!$U$13))*('normal case'!L163-'main page'!$U$8)))</f>
        <v>0</v>
      </c>
      <c r="AN163" s="40"/>
      <c r="AO163" s="40"/>
    </row>
    <row r="164" spans="1:41">
      <c r="A164" s="48">
        <v>162</v>
      </c>
      <c r="B164" s="75">
        <f ca="1">IF(controls!$B$33=1,B163*(1+V164)+T164,B163*(1+V164))</f>
        <v>100</v>
      </c>
      <c r="C164" s="80">
        <f t="shared" ca="1" si="18"/>
        <v>0</v>
      </c>
      <c r="D164" s="77">
        <f t="shared" ca="1" si="14"/>
        <v>100</v>
      </c>
      <c r="E164" s="77">
        <f ca="1">AG163+IF(controls!$B$33=1,G164,F164)</f>
        <v>100</v>
      </c>
      <c r="F164" s="94">
        <f ca="1">IF(controls!$B$44=0,H164-'main page'!$K$27*M163,H164-'main page'!$K$27*M163+'main page'!$K$31*AB163)</f>
        <v>100</v>
      </c>
      <c r="G164" s="75">
        <f ca="1">IF(controls!$B$44=0,I164-'main page'!$K$27*M163,I164-'main page'!$K$27*M163+'main page'!$K$31*'normal case'!AB163)</f>
        <v>100</v>
      </c>
      <c r="H164" s="75">
        <f t="shared" ca="1" si="19"/>
        <v>108</v>
      </c>
      <c r="I164" s="75">
        <f t="shared" ca="1" si="20"/>
        <v>108</v>
      </c>
      <c r="L164" s="75">
        <f ca="1">IF(ABS('main page'!$K$29*L163+(1-'main page'!$K$29)*(controls!$B$9/100)*100+'main page'!$K$25*(D164-B164)-L163)&lt;0.0000001,L163,'main page'!$K$29*L163+(1-'main page'!$K$29)*(controls!$B$9/100)*100+'main page'!$K$25*(D164-B164))</f>
        <v>2</v>
      </c>
      <c r="M164" s="96">
        <f ca="1">IF(controls!$B$10=1,M163,IF(SUM(controls!$B$44:$B$46)=2,N164-'main page'!$K$29*'normal case'!L164-(1-'main page'!$K$29)*'main page'!$K$32,N164-'main page'!$K$29*'normal case'!L164-(1-'main page'!$K$29)*controls!$B$9))</f>
        <v>4</v>
      </c>
      <c r="N164" s="208">
        <f ca="1">IF(controls!$B$45=1,IF(controls!$B$46=1,'main page'!$K$24+'main page'!$K$11+'main page'!$U$8,'main page'!$K$24+'main page'!$K$11+'main page'!$K$32),IF(controls!$B$44=1,IF(O164&lt;0,0,O164),IF(O164+'main page'!$K$11&lt;0,0,O164+'main page'!$K$11)))</f>
        <v>6</v>
      </c>
      <c r="O164" s="76">
        <f ca="1">IF(controls!$B$10=1,'normal case'!M164+'normal case'!L164,'normal case'!P164)</f>
        <v>6</v>
      </c>
      <c r="P164" s="74">
        <f t="shared" ca="1" si="15"/>
        <v>6</v>
      </c>
      <c r="Q164" s="210">
        <f ca="1">IF(controls!$B$44=0,R164+'main page'!$K$29*L164+(1-'main page'!$K$29)*controls!$B$9+(('main page'!$K$25*'main page'!$U$13*'main page'!$K$29)/('main page'!$K$27*(1+('main page'!$K$25^2)*'main page'!$U$13)))*(L164-controls!$B$9),R164+'main page'!$K$29*L164+(1-'main page'!$K$29)*controls!$B$9+(('main page'!$K$25*'main page'!$U$13*'normal case'!$AO$3)/'normal case'!$AO$4)*('normal case'!L164-controls!$B$9))</f>
        <v>6</v>
      </c>
      <c r="R164" s="98">
        <f ca="1">IF(controls!$B$44=1,'main page'!$K$24+'main page'!$K$11,IF(controls!$B$33=1,((I165-D164*W165-B165+B164*V165)/'main page'!$K$27)-'main page'!$K$11,((H165-D164*W165-B165+B164*V165)/'main page'!$K$27)-'main page'!$K$11))</f>
        <v>4</v>
      </c>
      <c r="T164" s="71">
        <f>IF(controls!$B$6=1,$AL$3*(1+('main page'!$K$35/100))^U164-$AL$3*(1+('main page'!$K$35/100))^U163,$AL$3*(1+('main page'!$G$8/100))*(1+('main page'!$K$35/100))^U164-$AL$3*(1+('main page'!$G$8/100))*(1+('main page'!$K$35/100))^U163)</f>
        <v>0</v>
      </c>
      <c r="U164" s="73">
        <v>157</v>
      </c>
      <c r="V164" s="161">
        <f ca="1">IF(controls!$B$4=1,IF(controls!$H163=1,controls!$B$34*V163+RAND()*('main page'!$K$16/100)-RAND()*('main page'!$K$16/100),0),0)</f>
        <v>0</v>
      </c>
      <c r="W164" s="40">
        <f ca="1">IF(controls!$B$4=1,IF(controls!$I163=1,controls!$B$34*W163+RAND()*('main page'!$K$16/100)-RAND()*('main page'!$K$16/100),0),0)</f>
        <v>0</v>
      </c>
      <c r="X164" s="49">
        <f ca="1">IF(controls!$B$33=1,D164-($I$3-'main page'!$K$27*2)*(1+('main page'!$K$35/100))^A163,D164-$AL$4)</f>
        <v>0</v>
      </c>
      <c r="Y164" s="49">
        <f ca="1">ABS(L164-(controls!$B$9/100)*100)</f>
        <v>0</v>
      </c>
      <c r="AA164" s="49" t="e">
        <f ca="1">IF(controls!$B$33=1,(B165-B164*V165-I165+D164*W165+'main page'!$K$27*('main page'!$K$24+'main page'!$K$11))/'main page'!$K$31,(B165-B164*V165+D164*W165-H165+'main page'!$K$27*('main page'!$K$24+'main page'!$K$11))/'main page'!$K$31)</f>
        <v>#DIV/0!</v>
      </c>
      <c r="AB164" s="49" t="e">
        <f ca="1">IF(controls!$B$45=1,LOG(AF164,1.01)+LOG(AE164,1.01)-LOG(AD164,1.01),-((M164-('main page'!$K$24+'main page'!$K$11))/(1-'normal case'!$AO$3))+'normal case'!AA164)</f>
        <v>#DIV/0!</v>
      </c>
      <c r="AC164" s="176" t="e">
        <f t="shared" ca="1" si="16"/>
        <v>#DIV/0!</v>
      </c>
      <c r="AD164" s="49">
        <f t="shared" ca="1" si="17"/>
        <v>24.24530510409388</v>
      </c>
      <c r="AE164" s="49">
        <f>AE163*(1+'main page'!$K$32/100)</f>
        <v>1</v>
      </c>
      <c r="AF164" s="49" t="e">
        <f ca="1">IF(ABS(IF(controls!$B$45=1,$AL$13,AD164*AC164/AE164)-AF163)&lt;0.00001,AF163,IF(controls!$B$45=1,$AL$13,AD164*AC164/AE164))</f>
        <v>#DIV/0!</v>
      </c>
      <c r="AG164" s="49">
        <f>IF(controls!$B$46=0,0,IF(controls!$B$33=2,B165-B164*V165-('normal case'!H165-D164*W165-'main page'!$K$27*'normal case'!M164+'main page'!$K$31*'normal case'!AB164)-(('main page'!$K$25*'main page'!$U$13*'main page'!$K$29)/(1+('main page'!$K$25^2)*'main page'!$U$13))*('normal case'!L164-'main page'!$U$8),B165-B164*V165-('normal case'!I165-D164*W165-'main page'!$K$27*'normal case'!M164+'main page'!$K$31*'normal case'!AB164)-(('main page'!$K$25*'main page'!$U$13*'main page'!$K$29)/(1+('main page'!$K$25^2)*'main page'!$U$13))*('normal case'!L164-'main page'!$U$8)))</f>
        <v>0</v>
      </c>
      <c r="AN164" s="40"/>
      <c r="AO164" s="40"/>
    </row>
    <row r="165" spans="1:41">
      <c r="A165" s="48">
        <v>163</v>
      </c>
      <c r="B165" s="75">
        <f ca="1">IF(controls!$B$33=1,B164*(1+V165)+T165,B164*(1+V165))</f>
        <v>100</v>
      </c>
      <c r="C165" s="80">
        <f t="shared" ca="1" si="18"/>
        <v>0</v>
      </c>
      <c r="D165" s="77">
        <f t="shared" ca="1" si="14"/>
        <v>100</v>
      </c>
      <c r="E165" s="77">
        <f ca="1">AG164+IF(controls!$B$33=1,G165,F165)</f>
        <v>100</v>
      </c>
      <c r="F165" s="94">
        <f ca="1">IF(controls!$B$44=0,H165-'main page'!$K$27*M164,H165-'main page'!$K$27*M164+'main page'!$K$31*AB164)</f>
        <v>100</v>
      </c>
      <c r="G165" s="75">
        <f ca="1">IF(controls!$B$44=0,I165-'main page'!$K$27*M164,I165-'main page'!$K$27*M164+'main page'!$K$31*'normal case'!AB164)</f>
        <v>100</v>
      </c>
      <c r="H165" s="75">
        <f t="shared" ca="1" si="19"/>
        <v>108</v>
      </c>
      <c r="I165" s="75">
        <f t="shared" ca="1" si="20"/>
        <v>108</v>
      </c>
      <c r="L165" s="75">
        <f ca="1">IF(ABS('main page'!$K$29*L164+(1-'main page'!$K$29)*(controls!$B$9/100)*100+'main page'!$K$25*(D165-B165)-L164)&lt;0.0000001,L164,'main page'!$K$29*L164+(1-'main page'!$K$29)*(controls!$B$9/100)*100+'main page'!$K$25*(D165-B165))</f>
        <v>2</v>
      </c>
      <c r="M165" s="96">
        <f ca="1">IF(controls!$B$10=1,M164,IF(SUM(controls!$B$44:$B$46)=2,N165-'main page'!$K$29*'normal case'!L165-(1-'main page'!$K$29)*'main page'!$K$32,N165-'main page'!$K$29*'normal case'!L165-(1-'main page'!$K$29)*controls!$B$9))</f>
        <v>4</v>
      </c>
      <c r="N165" s="208">
        <f ca="1">IF(controls!$B$45=1,IF(controls!$B$46=1,'main page'!$K$24+'main page'!$K$11+'main page'!$U$8,'main page'!$K$24+'main page'!$K$11+'main page'!$K$32),IF(controls!$B$44=1,IF(O165&lt;0,0,O165),IF(O165+'main page'!$K$11&lt;0,0,O165+'main page'!$K$11)))</f>
        <v>6</v>
      </c>
      <c r="O165" s="76">
        <f ca="1">IF(controls!$B$10=1,'normal case'!M165+'normal case'!L165,'normal case'!P165)</f>
        <v>6</v>
      </c>
      <c r="P165" s="74">
        <f t="shared" ca="1" si="15"/>
        <v>6</v>
      </c>
      <c r="Q165" s="210">
        <f ca="1">IF(controls!$B$44=0,R165+'main page'!$K$29*L165+(1-'main page'!$K$29)*controls!$B$9+(('main page'!$K$25*'main page'!$U$13*'main page'!$K$29)/('main page'!$K$27*(1+('main page'!$K$25^2)*'main page'!$U$13)))*(L165-controls!$B$9),R165+'main page'!$K$29*L165+(1-'main page'!$K$29)*controls!$B$9+(('main page'!$K$25*'main page'!$U$13*'normal case'!$AO$3)/'normal case'!$AO$4)*('normal case'!L165-controls!$B$9))</f>
        <v>6</v>
      </c>
      <c r="R165" s="98">
        <f ca="1">IF(controls!$B$44=1,'main page'!$K$24+'main page'!$K$11,IF(controls!$B$33=1,((I166-D165*W166-B166+B165*V166)/'main page'!$K$27)-'main page'!$K$11,((H166-D165*W166-B166+B165*V166)/'main page'!$K$27)-'main page'!$K$11))</f>
        <v>4</v>
      </c>
      <c r="T165" s="71">
        <f>IF(controls!$B$6=1,$AL$3*(1+('main page'!$K$35/100))^U165-$AL$3*(1+('main page'!$K$35/100))^U164,$AL$3*(1+('main page'!$G$8/100))*(1+('main page'!$K$35/100))^U165-$AL$3*(1+('main page'!$G$8/100))*(1+('main page'!$K$35/100))^U164)</f>
        <v>0</v>
      </c>
      <c r="U165" s="73">
        <v>158</v>
      </c>
      <c r="V165" s="161">
        <v>0</v>
      </c>
      <c r="W165" s="40">
        <v>0</v>
      </c>
      <c r="X165" s="49">
        <f ca="1">IF(controls!$B$33=1,D165-($I$3-'main page'!$K$27*2)*(1+('main page'!$K$35/100))^A164,D165-$AL$4)</f>
        <v>0</v>
      </c>
      <c r="Y165" s="49">
        <f ca="1">ABS(L165-(controls!$B$9/100)*100)</f>
        <v>0</v>
      </c>
      <c r="AA165" s="49" t="e">
        <f ca="1">IF(controls!$B$33=1,(B166-B165*V166-I166+D165*W166+'main page'!$K$27*('main page'!$K$24+'main page'!$K$11))/'main page'!$K$31,(B166-B165*V166+D165*W166-H166+'main page'!$K$27*('main page'!$K$24+'main page'!$K$11))/'main page'!$K$31)</f>
        <v>#DIV/0!</v>
      </c>
      <c r="AB165" s="49" t="e">
        <f ca="1">IF(controls!$B$45=1,LOG(AF165,1.01)+LOG(AE165,1.01)-LOG(AD165,1.01),-((M165-('main page'!$K$24+'main page'!$K$11))/(1-'normal case'!$AO$3))+'normal case'!AA165)</f>
        <v>#DIV/0!</v>
      </c>
      <c r="AC165" s="176" t="e">
        <f t="shared" ca="1" si="16"/>
        <v>#DIV/0!</v>
      </c>
      <c r="AD165" s="49">
        <f t="shared" ca="1" si="17"/>
        <v>24.73021120617576</v>
      </c>
      <c r="AE165" s="49">
        <f>AE164*(1+'main page'!$K$32/100)</f>
        <v>1</v>
      </c>
      <c r="AF165" s="49" t="e">
        <f ca="1">IF(ABS(IF(controls!$B$45=1,$AL$13,AD165*AC165/AE165)-AF164)&lt;0.00001,AF164,IF(controls!$B$45=1,$AL$13,AD165*AC165/AE165))</f>
        <v>#DIV/0!</v>
      </c>
      <c r="AG165" s="49">
        <f>IF(controls!$B$46=0,0,IF(controls!$B$33=2,B166-B165*V166-('normal case'!H166-D165*W166-'main page'!$K$27*'normal case'!M165+'main page'!$K$31*'normal case'!AB165)-(('main page'!$K$25*'main page'!$U$13*'main page'!$K$29)/(1+('main page'!$K$25^2)*'main page'!$U$13))*('normal case'!L165-'main page'!$U$8),B166-B165*V166-('normal case'!I166-D165*W166-'main page'!$K$27*'normal case'!M165+'main page'!$K$31*'normal case'!AB165)-(('main page'!$K$25*'main page'!$U$13*'main page'!$K$29)/(1+('main page'!$K$25^2)*'main page'!$U$13))*('normal case'!L165-'main page'!$U$8)))</f>
        <v>0</v>
      </c>
      <c r="AN165" s="40"/>
      <c r="AO165" s="40"/>
    </row>
    <row r="166" spans="1:41">
      <c r="A166" s="48">
        <v>164</v>
      </c>
      <c r="B166" s="75">
        <f ca="1">IF(controls!$B$33=1,B165*(1+V166)+T166,B165*(1+V166))</f>
        <v>100</v>
      </c>
      <c r="C166" s="80">
        <f t="shared" ca="1" si="18"/>
        <v>0</v>
      </c>
      <c r="D166" s="77">
        <f t="shared" ca="1" si="14"/>
        <v>100</v>
      </c>
      <c r="E166" s="77">
        <f ca="1">AG165+IF(controls!$B$33=1,G166,F166)</f>
        <v>100</v>
      </c>
      <c r="F166" s="94">
        <f ca="1">IF(controls!$B$44=0,H166-'main page'!$K$27*M165,H166-'main page'!$K$27*M165+'main page'!$K$31*AB165)</f>
        <v>100</v>
      </c>
      <c r="G166" s="75">
        <f ca="1">IF(controls!$B$44=0,I166-'main page'!$K$27*M165,I166-'main page'!$K$27*M165+'main page'!$K$31*'normal case'!AB165)</f>
        <v>100</v>
      </c>
      <c r="H166" s="75">
        <f t="shared" ca="1" si="19"/>
        <v>108</v>
      </c>
      <c r="I166" s="75">
        <f t="shared" ca="1" si="20"/>
        <v>108</v>
      </c>
      <c r="L166" s="75">
        <f ca="1">IF(ABS('main page'!$K$29*L165+(1-'main page'!$K$29)*(controls!$B$9/100)*100+'main page'!$K$25*(D166-B166)-L165)&lt;0.0000001,L165,'main page'!$K$29*L165+(1-'main page'!$K$29)*(controls!$B$9/100)*100+'main page'!$K$25*(D166-B166))</f>
        <v>2</v>
      </c>
      <c r="M166" s="96">
        <f ca="1">IF(controls!$B$10=1,M165,IF(SUM(controls!$B$44:$B$46)=2,N166-'main page'!$K$29*'normal case'!L166-(1-'main page'!$K$29)*'main page'!$K$32,N166-'main page'!$K$29*'normal case'!L166-(1-'main page'!$K$29)*controls!$B$9))</f>
        <v>4</v>
      </c>
      <c r="N166" s="208">
        <f ca="1">IF(controls!$B$45=1,IF(controls!$B$46=1,'main page'!$K$24+'main page'!$K$11+'main page'!$U$8,'main page'!$K$24+'main page'!$K$11+'main page'!$K$32),IF(controls!$B$44=1,IF(O166&lt;0,0,O166),IF(O166+'main page'!$K$11&lt;0,0,O166+'main page'!$K$11)))</f>
        <v>6</v>
      </c>
      <c r="O166" s="76">
        <f ca="1">IF(controls!$B$10=1,'normal case'!M166+'normal case'!L166,'normal case'!P166)</f>
        <v>6</v>
      </c>
      <c r="P166" s="74">
        <f t="shared" ca="1" si="15"/>
        <v>6</v>
      </c>
      <c r="Q166" s="210">
        <f ca="1">IF(controls!$B$44=0,R166+'main page'!$K$29*L166+(1-'main page'!$K$29)*controls!$B$9+(('main page'!$K$25*'main page'!$U$13*'main page'!$K$29)/('main page'!$K$27*(1+('main page'!$K$25^2)*'main page'!$U$13)))*(L166-controls!$B$9),R166+'main page'!$K$29*L166+(1-'main page'!$K$29)*controls!$B$9+(('main page'!$K$25*'main page'!$U$13*'normal case'!$AO$3)/'normal case'!$AO$4)*('normal case'!L166-controls!$B$9))</f>
        <v>6</v>
      </c>
      <c r="R166" s="98">
        <f ca="1">IF(controls!$B$44=1,'main page'!$K$24+'main page'!$K$11,IF(controls!$B$33=1,((I167-D166*W167-B167+B166*V167)/'main page'!$K$27)-'main page'!$K$11,((H167-D166*W167-B167+B166*V167)/'main page'!$K$27)-'main page'!$K$11))</f>
        <v>4</v>
      </c>
      <c r="T166" s="71">
        <f>IF(controls!$B$6=1,$AL$3*(1+('main page'!$K$35/100))^U166-$AL$3*(1+('main page'!$K$35/100))^U165,$AL$3*(1+('main page'!$G$8/100))*(1+('main page'!$K$35/100))^U166-$AL$3*(1+('main page'!$G$8/100))*(1+('main page'!$K$35/100))^U165)</f>
        <v>0</v>
      </c>
      <c r="U166" s="73">
        <v>159</v>
      </c>
      <c r="V166" s="161">
        <v>0</v>
      </c>
      <c r="W166" s="40">
        <v>0</v>
      </c>
      <c r="X166" s="49">
        <f ca="1">IF(controls!$B$33=1,D166-($I$3-'main page'!$K$27*2)*(1+('main page'!$K$35/100))^A165,D166-$AL$4)</f>
        <v>0</v>
      </c>
      <c r="Y166" s="49">
        <f ca="1">ABS(L166-(controls!$B$9/100)*100)</f>
        <v>0</v>
      </c>
      <c r="AA166" s="49" t="e">
        <f ca="1">IF(controls!$B$33=1,(B167-B166*V167-I167+D166*W167+'main page'!$K$27*('main page'!$K$24+'main page'!$K$11))/'main page'!$K$31,(B167-B166*V167+D166*W167-H167+'main page'!$K$27*('main page'!$K$24+'main page'!$K$11))/'main page'!$K$31)</f>
        <v>#DIV/0!</v>
      </c>
      <c r="AB166" s="49" t="e">
        <f ca="1">IF(controls!$B$45=1,LOG(AF166,1.01)+LOG(AE166,1.01)-LOG(AD166,1.01),-((M166-('main page'!$K$24+'main page'!$K$11))/(1-'normal case'!$AO$3))+'normal case'!AA166)</f>
        <v>#DIV/0!</v>
      </c>
      <c r="AC166" s="176" t="e">
        <f t="shared" ca="1" si="16"/>
        <v>#DIV/0!</v>
      </c>
      <c r="AD166" s="49">
        <f t="shared" ca="1" si="17"/>
        <v>25.224815430299277</v>
      </c>
      <c r="AE166" s="49">
        <f>AE165*(1+'main page'!$K$32/100)</f>
        <v>1</v>
      </c>
      <c r="AF166" s="49" t="e">
        <f ca="1">IF(ABS(IF(controls!$B$45=1,$AL$13,AD166*AC166/AE166)-AF165)&lt;0.00001,AF165,IF(controls!$B$45=1,$AL$13,AD166*AC166/AE166))</f>
        <v>#DIV/0!</v>
      </c>
      <c r="AG166" s="49">
        <f>IF(controls!$B$46=0,0,IF(controls!$B$33=2,B167-B166*V167-('normal case'!H167-D166*W167-'main page'!$K$27*'normal case'!M166+'main page'!$K$31*'normal case'!AB166)-(('main page'!$K$25*'main page'!$U$13*'main page'!$K$29)/(1+('main page'!$K$25^2)*'main page'!$U$13))*('normal case'!L166-'main page'!$U$8),B167-B166*V167-('normal case'!I167-D166*W167-'main page'!$K$27*'normal case'!M166+'main page'!$K$31*'normal case'!AB166)-(('main page'!$K$25*'main page'!$U$13*'main page'!$K$29)/(1+('main page'!$K$25^2)*'main page'!$U$13))*('normal case'!L166-'main page'!$U$8)))</f>
        <v>0</v>
      </c>
      <c r="AN166" s="40"/>
      <c r="AO166" s="40"/>
    </row>
    <row r="167" spans="1:41">
      <c r="A167" s="48">
        <v>165</v>
      </c>
      <c r="B167" s="75">
        <f ca="1">IF(controls!$B$33=1,B166*(1+V167)+T167,B166*(1+V167))</f>
        <v>100</v>
      </c>
      <c r="C167" s="80">
        <f t="shared" ca="1" si="18"/>
        <v>0</v>
      </c>
      <c r="D167" s="77">
        <f t="shared" ca="1" si="14"/>
        <v>100</v>
      </c>
      <c r="E167" s="77">
        <f ca="1">AG166+IF(controls!$B$33=1,G167,F167)</f>
        <v>100</v>
      </c>
      <c r="F167" s="94">
        <f ca="1">IF(controls!$B$44=0,H167-'main page'!$K$27*M166,H167-'main page'!$K$27*M166+'main page'!$K$31*AB166)</f>
        <v>100</v>
      </c>
      <c r="G167" s="75">
        <f ca="1">IF(controls!$B$44=0,I167-'main page'!$K$27*M166,I167-'main page'!$K$27*M166+'main page'!$K$31*'normal case'!AB166)</f>
        <v>100</v>
      </c>
      <c r="H167" s="75">
        <f t="shared" ca="1" si="19"/>
        <v>108</v>
      </c>
      <c r="I167" s="75">
        <f t="shared" ca="1" si="20"/>
        <v>108</v>
      </c>
      <c r="L167" s="75">
        <f ca="1">IF(ABS('main page'!$K$29*L166+(1-'main page'!$K$29)*(controls!$B$9/100)*100+'main page'!$K$25*(D167-B167)-L166)&lt;0.0000001,L166,'main page'!$K$29*L166+(1-'main page'!$K$29)*(controls!$B$9/100)*100+'main page'!$K$25*(D167-B167))</f>
        <v>2</v>
      </c>
      <c r="M167" s="96">
        <f ca="1">IF(controls!$B$10=1,M166,IF(SUM(controls!$B$44:$B$46)=2,N167-'main page'!$K$29*'normal case'!L167-(1-'main page'!$K$29)*'main page'!$K$32,N167-'main page'!$K$29*'normal case'!L167-(1-'main page'!$K$29)*controls!$B$9))</f>
        <v>4</v>
      </c>
      <c r="N167" s="208">
        <f ca="1">IF(controls!$B$45=1,IF(controls!$B$46=1,'main page'!$K$24+'main page'!$K$11+'main page'!$U$8,'main page'!$K$24+'main page'!$K$11+'main page'!$K$32),IF(controls!$B$44=1,IF(O167&lt;0,0,O167),IF(O167+'main page'!$K$11&lt;0,0,O167+'main page'!$K$11)))</f>
        <v>6</v>
      </c>
      <c r="O167" s="76">
        <f ca="1">IF(controls!$B$10=1,'normal case'!M167+'normal case'!L167,'normal case'!P167)</f>
        <v>6</v>
      </c>
      <c r="P167" s="74">
        <f t="shared" ca="1" si="15"/>
        <v>6</v>
      </c>
      <c r="Q167" s="210">
        <f ca="1">IF(controls!$B$44=0,R167+'main page'!$K$29*L167+(1-'main page'!$K$29)*controls!$B$9+(('main page'!$K$25*'main page'!$U$13*'main page'!$K$29)/('main page'!$K$27*(1+('main page'!$K$25^2)*'main page'!$U$13)))*(L167-controls!$B$9),R167+'main page'!$K$29*L167+(1-'main page'!$K$29)*controls!$B$9+(('main page'!$K$25*'main page'!$U$13*'normal case'!$AO$3)/'normal case'!$AO$4)*('normal case'!L167-controls!$B$9))</f>
        <v>6</v>
      </c>
      <c r="R167" s="98">
        <f ca="1">IF(controls!$B$44=1,'main page'!$K$24+'main page'!$K$11,IF(controls!$B$33=1,((I168-D167*W168-B168+B167*V168)/'main page'!$K$27)-'main page'!$K$11,((H168-D167*W168-B168+B167*V168)/'main page'!$K$27)-'main page'!$K$11))</f>
        <v>4</v>
      </c>
      <c r="T167" s="71">
        <f>IF(controls!$B$6=1,$AL$3*(1+('main page'!$K$35/100))^U167-$AL$3*(1+('main page'!$K$35/100))^U166,$AL$3*(1+('main page'!$G$8/100))*(1+('main page'!$K$35/100))^U167-$AL$3*(1+('main page'!$G$8/100))*(1+('main page'!$K$35/100))^U166)</f>
        <v>0</v>
      </c>
      <c r="U167" s="73">
        <v>160</v>
      </c>
      <c r="V167" s="161">
        <f ca="1">IF(controls!$B$4=1,IF(controls!$H166=1,controls!$B$34*V166+RAND()*('main page'!$K$16/100)-RAND()*('main page'!$K$16/100),0),0)</f>
        <v>0</v>
      </c>
      <c r="W167" s="40">
        <f ca="1">IF(controls!$B$4=1,IF(controls!$I166=1,controls!$B$34*W166+RAND()*('main page'!$K$16/100)-RAND()*('main page'!$K$16/100),0),0)</f>
        <v>0</v>
      </c>
      <c r="X167" s="49">
        <f ca="1">IF(controls!$B$33=1,D167-($I$3-'main page'!$K$27*2)*(1+('main page'!$K$35/100))^A166,D167-$AL$4)</f>
        <v>0</v>
      </c>
      <c r="Y167" s="49">
        <f ca="1">ABS(L167-(controls!$B$9/100)*100)</f>
        <v>0</v>
      </c>
      <c r="AA167" s="49" t="e">
        <f ca="1">IF(controls!$B$33=1,(B168-B167*V168-I168+D167*W168+'main page'!$K$27*('main page'!$K$24+'main page'!$K$11))/'main page'!$K$31,(B168-B167*V168+D167*W168-H168+'main page'!$K$27*('main page'!$K$24+'main page'!$K$11))/'main page'!$K$31)</f>
        <v>#DIV/0!</v>
      </c>
      <c r="AB167" s="49" t="e">
        <f ca="1">IF(controls!$B$45=1,LOG(AF167,1.01)+LOG(AE167,1.01)-LOG(AD167,1.01),-((M167-('main page'!$K$24+'main page'!$K$11))/(1-'normal case'!$AO$3))+'normal case'!AA167)</f>
        <v>#DIV/0!</v>
      </c>
      <c r="AC167" s="176" t="e">
        <f t="shared" ca="1" si="16"/>
        <v>#DIV/0!</v>
      </c>
      <c r="AD167" s="49">
        <f t="shared" ca="1" si="17"/>
        <v>25.729311738905263</v>
      </c>
      <c r="AE167" s="49">
        <f>AE166*(1+'main page'!$K$32/100)</f>
        <v>1</v>
      </c>
      <c r="AF167" s="49" t="e">
        <f ca="1">IF(ABS(IF(controls!$B$45=1,$AL$13,AD167*AC167/AE167)-AF166)&lt;0.00001,AF166,IF(controls!$B$45=1,$AL$13,AD167*AC167/AE167))</f>
        <v>#DIV/0!</v>
      </c>
      <c r="AG167" s="49">
        <f>IF(controls!$B$46=0,0,IF(controls!$B$33=2,B168-B167*V168-('normal case'!H168-D167*W168-'main page'!$K$27*'normal case'!M167+'main page'!$K$31*'normal case'!AB167)-(('main page'!$K$25*'main page'!$U$13*'main page'!$K$29)/(1+('main page'!$K$25^2)*'main page'!$U$13))*('normal case'!L167-'main page'!$U$8),B168-B167*V168-('normal case'!I168-D167*W168-'main page'!$K$27*'normal case'!M167+'main page'!$K$31*'normal case'!AB167)-(('main page'!$K$25*'main page'!$U$13*'main page'!$K$29)/(1+('main page'!$K$25^2)*'main page'!$U$13))*('normal case'!L167-'main page'!$U$8)))</f>
        <v>0</v>
      </c>
      <c r="AN167" s="40"/>
      <c r="AO167" s="40"/>
    </row>
    <row r="168" spans="1:41">
      <c r="A168" s="48">
        <v>166</v>
      </c>
      <c r="B168" s="75">
        <f ca="1">IF(controls!$B$33=1,B167*(1+V168)+T168,B167*(1+V168))</f>
        <v>100</v>
      </c>
      <c r="C168" s="80">
        <f t="shared" ca="1" si="18"/>
        <v>0</v>
      </c>
      <c r="D168" s="77">
        <f t="shared" ca="1" si="14"/>
        <v>100</v>
      </c>
      <c r="E168" s="77">
        <f ca="1">AG167+IF(controls!$B$33=1,G168,F168)</f>
        <v>100</v>
      </c>
      <c r="F168" s="94">
        <f ca="1">IF(controls!$B$44=0,H168-'main page'!$K$27*M167,H168-'main page'!$K$27*M167+'main page'!$K$31*AB167)</f>
        <v>100</v>
      </c>
      <c r="G168" s="75">
        <f ca="1">IF(controls!$B$44=0,I168-'main page'!$K$27*M167,I168-'main page'!$K$27*M167+'main page'!$K$31*'normal case'!AB167)</f>
        <v>100</v>
      </c>
      <c r="H168" s="75">
        <f t="shared" ca="1" si="19"/>
        <v>108</v>
      </c>
      <c r="I168" s="75">
        <f t="shared" ca="1" si="20"/>
        <v>108</v>
      </c>
      <c r="L168" s="75">
        <f ca="1">IF(ABS('main page'!$K$29*L167+(1-'main page'!$K$29)*(controls!$B$9/100)*100+'main page'!$K$25*(D168-B168)-L167)&lt;0.0000001,L167,'main page'!$K$29*L167+(1-'main page'!$K$29)*(controls!$B$9/100)*100+'main page'!$K$25*(D168-B168))</f>
        <v>2</v>
      </c>
      <c r="M168" s="96">
        <f ca="1">IF(controls!$B$10=1,M167,IF(SUM(controls!$B$44:$B$46)=2,N168-'main page'!$K$29*'normal case'!L168-(1-'main page'!$K$29)*'main page'!$K$32,N168-'main page'!$K$29*'normal case'!L168-(1-'main page'!$K$29)*controls!$B$9))</f>
        <v>4</v>
      </c>
      <c r="N168" s="208">
        <f ca="1">IF(controls!$B$45=1,IF(controls!$B$46=1,'main page'!$K$24+'main page'!$K$11+'main page'!$U$8,'main page'!$K$24+'main page'!$K$11+'main page'!$K$32),IF(controls!$B$44=1,IF(O168&lt;0,0,O168),IF(O168+'main page'!$K$11&lt;0,0,O168+'main page'!$K$11)))</f>
        <v>6</v>
      </c>
      <c r="O168" s="76">
        <f ca="1">IF(controls!$B$10=1,'normal case'!M168+'normal case'!L168,'normal case'!P168)</f>
        <v>6</v>
      </c>
      <c r="P168" s="74">
        <f t="shared" ca="1" si="15"/>
        <v>6</v>
      </c>
      <c r="Q168" s="210">
        <f ca="1">IF(controls!$B$44=0,R168+'main page'!$K$29*L168+(1-'main page'!$K$29)*controls!$B$9+(('main page'!$K$25*'main page'!$U$13*'main page'!$K$29)/('main page'!$K$27*(1+('main page'!$K$25^2)*'main page'!$U$13)))*(L168-controls!$B$9),R168+'main page'!$K$29*L168+(1-'main page'!$K$29)*controls!$B$9+(('main page'!$K$25*'main page'!$U$13*'normal case'!$AO$3)/'normal case'!$AO$4)*('normal case'!L168-controls!$B$9))</f>
        <v>6</v>
      </c>
      <c r="R168" s="98">
        <f ca="1">IF(controls!$B$44=1,'main page'!$K$24+'main page'!$K$11,IF(controls!$B$33=1,((I169-D168*W169-B169+B168*V169)/'main page'!$K$27)-'main page'!$K$11,((H169-D168*W169-B169+B168*V169)/'main page'!$K$27)-'main page'!$K$11))</f>
        <v>4</v>
      </c>
      <c r="T168" s="71">
        <f>IF(controls!$B$6=1,$AL$3*(1+('main page'!$K$35/100))^U168-$AL$3*(1+('main page'!$K$35/100))^U167,$AL$3*(1+('main page'!$G$8/100))*(1+('main page'!$K$35/100))^U168-$AL$3*(1+('main page'!$G$8/100))*(1+('main page'!$K$35/100))^U167)</f>
        <v>0</v>
      </c>
      <c r="U168" s="73">
        <v>161</v>
      </c>
      <c r="V168" s="161">
        <v>0</v>
      </c>
      <c r="W168" s="40">
        <v>0</v>
      </c>
      <c r="X168" s="49">
        <f ca="1">IF(controls!$B$33=1,D168-($I$3-'main page'!$K$27*2)*(1+('main page'!$K$35/100))^A167,D168-$AL$4)</f>
        <v>0</v>
      </c>
      <c r="Y168" s="49">
        <f ca="1">ABS(L168-(controls!$B$9/100)*100)</f>
        <v>0</v>
      </c>
      <c r="AA168" s="49" t="e">
        <f ca="1">IF(controls!$B$33=1,(B169-B168*V169-I169+D168*W169+'main page'!$K$27*('main page'!$K$24+'main page'!$K$11))/'main page'!$K$31,(B169-B168*V169+D168*W169-H169+'main page'!$K$27*('main page'!$K$24+'main page'!$K$11))/'main page'!$K$31)</f>
        <v>#DIV/0!</v>
      </c>
      <c r="AB168" s="49" t="e">
        <f ca="1">IF(controls!$B$45=1,LOG(AF168,1.01)+LOG(AE168,1.01)-LOG(AD168,1.01),-((M168-('main page'!$K$24+'main page'!$K$11))/(1-'normal case'!$AO$3))+'normal case'!AA168)</f>
        <v>#DIV/0!</v>
      </c>
      <c r="AC168" s="176" t="e">
        <f t="shared" ca="1" si="16"/>
        <v>#DIV/0!</v>
      </c>
      <c r="AD168" s="49">
        <f t="shared" ca="1" si="17"/>
        <v>26.243897973683367</v>
      </c>
      <c r="AE168" s="49">
        <f>AE167*(1+'main page'!$K$32/100)</f>
        <v>1</v>
      </c>
      <c r="AF168" s="49" t="e">
        <f ca="1">IF(ABS(IF(controls!$B$45=1,$AL$13,AD168*AC168/AE168)-AF167)&lt;0.00001,AF167,IF(controls!$B$45=1,$AL$13,AD168*AC168/AE168))</f>
        <v>#DIV/0!</v>
      </c>
      <c r="AG168" s="49">
        <f>IF(controls!$B$46=0,0,IF(controls!$B$33=2,B169-B168*V169-('normal case'!H169-D168*W169-'main page'!$K$27*'normal case'!M168+'main page'!$K$31*'normal case'!AB168)-(('main page'!$K$25*'main page'!$U$13*'main page'!$K$29)/(1+('main page'!$K$25^2)*'main page'!$U$13))*('normal case'!L168-'main page'!$U$8),B169-B168*V169-('normal case'!I169-D168*W169-'main page'!$K$27*'normal case'!M168+'main page'!$K$31*'normal case'!AB168)-(('main page'!$K$25*'main page'!$U$13*'main page'!$K$29)/(1+('main page'!$K$25^2)*'main page'!$U$13))*('normal case'!L168-'main page'!$U$8)))</f>
        <v>0</v>
      </c>
      <c r="AN168" s="40"/>
      <c r="AO168" s="40"/>
    </row>
    <row r="169" spans="1:41">
      <c r="A169" s="48">
        <v>167</v>
      </c>
      <c r="B169" s="75">
        <f ca="1">IF(controls!$B$33=1,B168*(1+V169)+T169,B168*(1+V169))</f>
        <v>100</v>
      </c>
      <c r="C169" s="80">
        <f t="shared" ca="1" si="18"/>
        <v>0</v>
      </c>
      <c r="D169" s="77">
        <f t="shared" ca="1" si="14"/>
        <v>100</v>
      </c>
      <c r="E169" s="77">
        <f ca="1">AG168+IF(controls!$B$33=1,G169,F169)</f>
        <v>100</v>
      </c>
      <c r="F169" s="94">
        <f ca="1">IF(controls!$B$44=0,H169-'main page'!$K$27*M168,H169-'main page'!$K$27*M168+'main page'!$K$31*AB168)</f>
        <v>100</v>
      </c>
      <c r="G169" s="75">
        <f ca="1">IF(controls!$B$44=0,I169-'main page'!$K$27*M168,I169-'main page'!$K$27*M168+'main page'!$K$31*'normal case'!AB168)</f>
        <v>100</v>
      </c>
      <c r="H169" s="75">
        <f t="shared" ca="1" si="19"/>
        <v>108</v>
      </c>
      <c r="I169" s="75">
        <f t="shared" ca="1" si="20"/>
        <v>108</v>
      </c>
      <c r="L169" s="75">
        <f ca="1">IF(ABS('main page'!$K$29*L168+(1-'main page'!$K$29)*(controls!$B$9/100)*100+'main page'!$K$25*(D169-B169)-L168)&lt;0.0000001,L168,'main page'!$K$29*L168+(1-'main page'!$K$29)*(controls!$B$9/100)*100+'main page'!$K$25*(D169-B169))</f>
        <v>2</v>
      </c>
      <c r="M169" s="96">
        <f ca="1">IF(controls!$B$10=1,M168,IF(SUM(controls!$B$44:$B$46)=2,N169-'main page'!$K$29*'normal case'!L169-(1-'main page'!$K$29)*'main page'!$K$32,N169-'main page'!$K$29*'normal case'!L169-(1-'main page'!$K$29)*controls!$B$9))</f>
        <v>4</v>
      </c>
      <c r="N169" s="208">
        <f ca="1">IF(controls!$B$45=1,IF(controls!$B$46=1,'main page'!$K$24+'main page'!$K$11+'main page'!$U$8,'main page'!$K$24+'main page'!$K$11+'main page'!$K$32),IF(controls!$B$44=1,IF(O169&lt;0,0,O169),IF(O169+'main page'!$K$11&lt;0,0,O169+'main page'!$K$11)))</f>
        <v>6</v>
      </c>
      <c r="O169" s="76">
        <f ca="1">IF(controls!$B$10=1,'normal case'!M169+'normal case'!L169,'normal case'!P169)</f>
        <v>6</v>
      </c>
      <c r="P169" s="74">
        <f t="shared" ca="1" si="15"/>
        <v>6</v>
      </c>
      <c r="Q169" s="210">
        <f ca="1">IF(controls!$B$44=0,R169+'main page'!$K$29*L169+(1-'main page'!$K$29)*controls!$B$9+(('main page'!$K$25*'main page'!$U$13*'main page'!$K$29)/('main page'!$K$27*(1+('main page'!$K$25^2)*'main page'!$U$13)))*(L169-controls!$B$9),R169+'main page'!$K$29*L169+(1-'main page'!$K$29)*controls!$B$9+(('main page'!$K$25*'main page'!$U$13*'normal case'!$AO$3)/'normal case'!$AO$4)*('normal case'!L169-controls!$B$9))</f>
        <v>6</v>
      </c>
      <c r="R169" s="98">
        <f ca="1">IF(controls!$B$44=1,'main page'!$K$24+'main page'!$K$11,IF(controls!$B$33=1,((I170-D169*W170-B170+B169*V170)/'main page'!$K$27)-'main page'!$K$11,((H170-D169*W170-B170+B169*V170)/'main page'!$K$27)-'main page'!$K$11))</f>
        <v>4</v>
      </c>
      <c r="T169" s="71">
        <f>IF(controls!$B$6=1,$AL$3*(1+('main page'!$K$35/100))^U169-$AL$3*(1+('main page'!$K$35/100))^U168,$AL$3*(1+('main page'!$G$8/100))*(1+('main page'!$K$35/100))^U169-$AL$3*(1+('main page'!$G$8/100))*(1+('main page'!$K$35/100))^U168)</f>
        <v>0</v>
      </c>
      <c r="U169" s="73">
        <v>162</v>
      </c>
      <c r="V169" s="161">
        <v>0</v>
      </c>
      <c r="W169" s="40">
        <v>0</v>
      </c>
      <c r="X169" s="49">
        <f ca="1">IF(controls!$B$33=1,D169-($I$3-'main page'!$K$27*2)*(1+('main page'!$K$35/100))^A168,D169-$AL$4)</f>
        <v>0</v>
      </c>
      <c r="Y169" s="49">
        <f ca="1">ABS(L169-(controls!$B$9/100)*100)</f>
        <v>0</v>
      </c>
      <c r="AA169" s="49" t="e">
        <f ca="1">IF(controls!$B$33=1,(B170-B169*V170-I170+D169*W170+'main page'!$K$27*('main page'!$K$24+'main page'!$K$11))/'main page'!$K$31,(B170-B169*V170+D169*W170-H170+'main page'!$K$27*('main page'!$K$24+'main page'!$K$11))/'main page'!$K$31)</f>
        <v>#DIV/0!</v>
      </c>
      <c r="AB169" s="49" t="e">
        <f ca="1">IF(controls!$B$45=1,LOG(AF169,1.01)+LOG(AE169,1.01)-LOG(AD169,1.01),-((M169-('main page'!$K$24+'main page'!$K$11))/(1-'normal case'!$AO$3))+'normal case'!AA169)</f>
        <v>#DIV/0!</v>
      </c>
      <c r="AC169" s="176" t="e">
        <f t="shared" ca="1" si="16"/>
        <v>#DIV/0!</v>
      </c>
      <c r="AD169" s="49">
        <f t="shared" ca="1" si="17"/>
        <v>26.768775933157034</v>
      </c>
      <c r="AE169" s="49">
        <f>AE168*(1+'main page'!$K$32/100)</f>
        <v>1</v>
      </c>
      <c r="AF169" s="49" t="e">
        <f ca="1">IF(ABS(IF(controls!$B$45=1,$AL$13,AD169*AC169/AE169)-AF168)&lt;0.00001,AF168,IF(controls!$B$45=1,$AL$13,AD169*AC169/AE169))</f>
        <v>#DIV/0!</v>
      </c>
      <c r="AG169" s="49">
        <f>IF(controls!$B$46=0,0,IF(controls!$B$33=2,B170-B169*V170-('normal case'!H170-D169*W170-'main page'!$K$27*'normal case'!M169+'main page'!$K$31*'normal case'!AB169)-(('main page'!$K$25*'main page'!$U$13*'main page'!$K$29)/(1+('main page'!$K$25^2)*'main page'!$U$13))*('normal case'!L169-'main page'!$U$8),B170-B169*V170-('normal case'!I170-D169*W170-'main page'!$K$27*'normal case'!M169+'main page'!$K$31*'normal case'!AB169)-(('main page'!$K$25*'main page'!$U$13*'main page'!$K$29)/(1+('main page'!$K$25^2)*'main page'!$U$13))*('normal case'!L169-'main page'!$U$8)))</f>
        <v>0</v>
      </c>
      <c r="AN169" s="40"/>
      <c r="AO169" s="40"/>
    </row>
    <row r="170" spans="1:41">
      <c r="A170" s="48">
        <v>168</v>
      </c>
      <c r="B170" s="75">
        <f ca="1">IF(controls!$B$33=1,B169*(1+V170)+T170,B169*(1+V170))</f>
        <v>100</v>
      </c>
      <c r="C170" s="80">
        <f t="shared" ca="1" si="18"/>
        <v>0</v>
      </c>
      <c r="D170" s="77">
        <f t="shared" ca="1" si="14"/>
        <v>100</v>
      </c>
      <c r="E170" s="77">
        <f ca="1">AG169+IF(controls!$B$33=1,G170,F170)</f>
        <v>100</v>
      </c>
      <c r="F170" s="94">
        <f ca="1">IF(controls!$B$44=0,H170-'main page'!$K$27*M169,H170-'main page'!$K$27*M169+'main page'!$K$31*AB169)</f>
        <v>100</v>
      </c>
      <c r="G170" s="75">
        <f ca="1">IF(controls!$B$44=0,I170-'main page'!$K$27*M169,I170-'main page'!$K$27*M169+'main page'!$K$31*'normal case'!AB169)</f>
        <v>100</v>
      </c>
      <c r="H170" s="75">
        <f t="shared" ca="1" si="19"/>
        <v>108</v>
      </c>
      <c r="I170" s="75">
        <f t="shared" ca="1" si="20"/>
        <v>108</v>
      </c>
      <c r="L170" s="75">
        <f ca="1">IF(ABS('main page'!$K$29*L169+(1-'main page'!$K$29)*(controls!$B$9/100)*100+'main page'!$K$25*(D170-B170)-L169)&lt;0.0000001,L169,'main page'!$K$29*L169+(1-'main page'!$K$29)*(controls!$B$9/100)*100+'main page'!$K$25*(D170-B170))</f>
        <v>2</v>
      </c>
      <c r="M170" s="96">
        <f ca="1">IF(controls!$B$10=1,M169,IF(SUM(controls!$B$44:$B$46)=2,N170-'main page'!$K$29*'normal case'!L170-(1-'main page'!$K$29)*'main page'!$K$32,N170-'main page'!$K$29*'normal case'!L170-(1-'main page'!$K$29)*controls!$B$9))</f>
        <v>4</v>
      </c>
      <c r="N170" s="208">
        <f ca="1">IF(controls!$B$45=1,IF(controls!$B$46=1,'main page'!$K$24+'main page'!$K$11+'main page'!$U$8,'main page'!$K$24+'main page'!$K$11+'main page'!$K$32),IF(controls!$B$44=1,IF(O170&lt;0,0,O170),IF(O170+'main page'!$K$11&lt;0,0,O170+'main page'!$K$11)))</f>
        <v>6</v>
      </c>
      <c r="O170" s="76">
        <f ca="1">IF(controls!$B$10=1,'normal case'!M170+'normal case'!L170,'normal case'!P170)</f>
        <v>6</v>
      </c>
      <c r="P170" s="74">
        <f t="shared" ca="1" si="15"/>
        <v>6</v>
      </c>
      <c r="Q170" s="210">
        <f ca="1">IF(controls!$B$44=0,R170+'main page'!$K$29*L170+(1-'main page'!$K$29)*controls!$B$9+(('main page'!$K$25*'main page'!$U$13*'main page'!$K$29)/('main page'!$K$27*(1+('main page'!$K$25^2)*'main page'!$U$13)))*(L170-controls!$B$9),R170+'main page'!$K$29*L170+(1-'main page'!$K$29)*controls!$B$9+(('main page'!$K$25*'main page'!$U$13*'normal case'!$AO$3)/'normal case'!$AO$4)*('normal case'!L170-controls!$B$9))</f>
        <v>6</v>
      </c>
      <c r="R170" s="98">
        <f ca="1">IF(controls!$B$44=1,'main page'!$K$24+'main page'!$K$11,IF(controls!$B$33=1,((I171-D170*W171-B171+B170*V171)/'main page'!$K$27)-'main page'!$K$11,((H171-D170*W171-B171+B170*V171)/'main page'!$K$27)-'main page'!$K$11))</f>
        <v>4</v>
      </c>
      <c r="T170" s="71">
        <f>IF(controls!$B$6=1,$AL$3*(1+('main page'!$K$35/100))^U170-$AL$3*(1+('main page'!$K$35/100))^U169,$AL$3*(1+('main page'!$G$8/100))*(1+('main page'!$K$35/100))^U170-$AL$3*(1+('main page'!$G$8/100))*(1+('main page'!$K$35/100))^U169)</f>
        <v>0</v>
      </c>
      <c r="U170" s="73">
        <v>163</v>
      </c>
      <c r="V170" s="161">
        <f ca="1">IF(controls!$B$4=1,IF(controls!$H169=1,controls!$B$34*V169+RAND()*('main page'!$K$16/100)-RAND()*('main page'!$K$16/100),0),0)</f>
        <v>0</v>
      </c>
      <c r="W170" s="40">
        <f ca="1">IF(controls!$B$4=1,IF(controls!$I169=1,controls!$B$34*W169+RAND()*('main page'!$K$16/100)-RAND()*('main page'!$K$16/100),0),0)</f>
        <v>0</v>
      </c>
      <c r="X170" s="49">
        <f ca="1">IF(controls!$B$33=1,D170-($I$3-'main page'!$K$27*2)*(1+('main page'!$K$35/100))^A169,D170-$AL$4)</f>
        <v>0</v>
      </c>
      <c r="Y170" s="49">
        <f ca="1">ABS(L170-(controls!$B$9/100)*100)</f>
        <v>0</v>
      </c>
      <c r="AA170" s="49" t="e">
        <f ca="1">IF(controls!$B$33=1,(B171-B170*V171-I171+D170*W171+'main page'!$K$27*('main page'!$K$24+'main page'!$K$11))/'main page'!$K$31,(B171-B170*V171+D170*W171-H171+'main page'!$K$27*('main page'!$K$24+'main page'!$K$11))/'main page'!$K$31)</f>
        <v>#DIV/0!</v>
      </c>
      <c r="AB170" s="49" t="e">
        <f ca="1">IF(controls!$B$45=1,LOG(AF170,1.01)+LOG(AE170,1.01)-LOG(AD170,1.01),-((M170-('main page'!$K$24+'main page'!$K$11))/(1-'normal case'!$AO$3))+'normal case'!AA170)</f>
        <v>#DIV/0!</v>
      </c>
      <c r="AC170" s="176" t="e">
        <f t="shared" ca="1" si="16"/>
        <v>#DIV/0!</v>
      </c>
      <c r="AD170" s="49">
        <f t="shared" ca="1" si="17"/>
        <v>27.304151451820175</v>
      </c>
      <c r="AE170" s="49">
        <f>AE169*(1+'main page'!$K$32/100)</f>
        <v>1</v>
      </c>
      <c r="AF170" s="49" t="e">
        <f ca="1">IF(ABS(IF(controls!$B$45=1,$AL$13,AD170*AC170/AE170)-AF169)&lt;0.00001,AF169,IF(controls!$B$45=1,$AL$13,AD170*AC170/AE170))</f>
        <v>#DIV/0!</v>
      </c>
      <c r="AG170" s="49">
        <f>IF(controls!$B$46=0,0,IF(controls!$B$33=2,B171-B170*V171-('normal case'!H171-D170*W171-'main page'!$K$27*'normal case'!M170+'main page'!$K$31*'normal case'!AB170)-(('main page'!$K$25*'main page'!$U$13*'main page'!$K$29)/(1+('main page'!$K$25^2)*'main page'!$U$13))*('normal case'!L170-'main page'!$U$8),B171-B170*V171-('normal case'!I171-D170*W171-'main page'!$K$27*'normal case'!M170+'main page'!$K$31*'normal case'!AB170)-(('main page'!$K$25*'main page'!$U$13*'main page'!$K$29)/(1+('main page'!$K$25^2)*'main page'!$U$13))*('normal case'!L170-'main page'!$U$8)))</f>
        <v>0</v>
      </c>
      <c r="AN170" s="40"/>
      <c r="AO170" s="40"/>
    </row>
    <row r="171" spans="1:41">
      <c r="A171" s="48">
        <v>169</v>
      </c>
      <c r="B171" s="75">
        <f ca="1">IF(controls!$B$33=1,B170*(1+V171)+T171,B170*(1+V171))</f>
        <v>100</v>
      </c>
      <c r="C171" s="80">
        <f t="shared" ca="1" si="18"/>
        <v>0</v>
      </c>
      <c r="D171" s="77">
        <f t="shared" ca="1" si="14"/>
        <v>100</v>
      </c>
      <c r="E171" s="77">
        <f ca="1">AG170+IF(controls!$B$33=1,G171,F171)</f>
        <v>100</v>
      </c>
      <c r="F171" s="94">
        <f ca="1">IF(controls!$B$44=0,H171-'main page'!$K$27*M170,H171-'main page'!$K$27*M170+'main page'!$K$31*AB170)</f>
        <v>100</v>
      </c>
      <c r="G171" s="75">
        <f ca="1">IF(controls!$B$44=0,I171-'main page'!$K$27*M170,I171-'main page'!$K$27*M170+'main page'!$K$31*'normal case'!AB170)</f>
        <v>100</v>
      </c>
      <c r="H171" s="75">
        <f t="shared" ca="1" si="19"/>
        <v>108</v>
      </c>
      <c r="I171" s="75">
        <f t="shared" ca="1" si="20"/>
        <v>108</v>
      </c>
      <c r="L171" s="75">
        <f ca="1">IF(ABS('main page'!$K$29*L170+(1-'main page'!$K$29)*(controls!$B$9/100)*100+'main page'!$K$25*(D171-B171)-L170)&lt;0.0000001,L170,'main page'!$K$29*L170+(1-'main page'!$K$29)*(controls!$B$9/100)*100+'main page'!$K$25*(D171-B171))</f>
        <v>2</v>
      </c>
      <c r="M171" s="96">
        <f ca="1">IF(controls!$B$10=1,M170,IF(SUM(controls!$B$44:$B$46)=2,N171-'main page'!$K$29*'normal case'!L171-(1-'main page'!$K$29)*'main page'!$K$32,N171-'main page'!$K$29*'normal case'!L171-(1-'main page'!$K$29)*controls!$B$9))</f>
        <v>4</v>
      </c>
      <c r="N171" s="208">
        <f ca="1">IF(controls!$B$45=1,IF(controls!$B$46=1,'main page'!$K$24+'main page'!$K$11+'main page'!$U$8,'main page'!$K$24+'main page'!$K$11+'main page'!$K$32),IF(controls!$B$44=1,IF(O171&lt;0,0,O171),IF(O171+'main page'!$K$11&lt;0,0,O171+'main page'!$K$11)))</f>
        <v>6</v>
      </c>
      <c r="O171" s="76">
        <f ca="1">IF(controls!$B$10=1,'normal case'!M171+'normal case'!L171,'normal case'!P171)</f>
        <v>6</v>
      </c>
      <c r="P171" s="74">
        <f t="shared" ca="1" si="15"/>
        <v>6</v>
      </c>
      <c r="Q171" s="210">
        <f ca="1">IF(controls!$B$44=0,R171+'main page'!$K$29*L171+(1-'main page'!$K$29)*controls!$B$9+(('main page'!$K$25*'main page'!$U$13*'main page'!$K$29)/('main page'!$K$27*(1+('main page'!$K$25^2)*'main page'!$U$13)))*(L171-controls!$B$9),R171+'main page'!$K$29*L171+(1-'main page'!$K$29)*controls!$B$9+(('main page'!$K$25*'main page'!$U$13*'normal case'!$AO$3)/'normal case'!$AO$4)*('normal case'!L171-controls!$B$9))</f>
        <v>6</v>
      </c>
      <c r="R171" s="98">
        <f ca="1">IF(controls!$B$44=1,'main page'!$K$24+'main page'!$K$11,IF(controls!$B$33=1,((I172-D171*W172-B172+B171*V172)/'main page'!$K$27)-'main page'!$K$11,((H172-D171*W172-B172+B171*V172)/'main page'!$K$27)-'main page'!$K$11))</f>
        <v>4</v>
      </c>
      <c r="T171" s="71">
        <f>IF(controls!$B$6=1,$AL$3*(1+('main page'!$K$35/100))^U171-$AL$3*(1+('main page'!$K$35/100))^U170,$AL$3*(1+('main page'!$G$8/100))*(1+('main page'!$K$35/100))^U171-$AL$3*(1+('main page'!$G$8/100))*(1+('main page'!$K$35/100))^U170)</f>
        <v>0</v>
      </c>
      <c r="U171" s="73">
        <v>164</v>
      </c>
      <c r="V171" s="161">
        <v>0</v>
      </c>
      <c r="W171" s="40">
        <v>0</v>
      </c>
      <c r="X171" s="49">
        <f ca="1">IF(controls!$B$33=1,D171-($I$3-'main page'!$K$27*2)*(1+('main page'!$K$35/100))^A170,D171-$AL$4)</f>
        <v>0</v>
      </c>
      <c r="Y171" s="49">
        <f ca="1">ABS(L171-(controls!$B$9/100)*100)</f>
        <v>0</v>
      </c>
      <c r="AA171" s="49" t="e">
        <f ca="1">IF(controls!$B$33=1,(B172-B171*V172-I172+D171*W172+'main page'!$K$27*('main page'!$K$24+'main page'!$K$11))/'main page'!$K$31,(B172-B171*V172+D171*W172-H172+'main page'!$K$27*('main page'!$K$24+'main page'!$K$11))/'main page'!$K$31)</f>
        <v>#DIV/0!</v>
      </c>
      <c r="AB171" s="49" t="e">
        <f ca="1">IF(controls!$B$45=1,LOG(AF171,1.01)+LOG(AE171,1.01)-LOG(AD171,1.01),-((M171-('main page'!$K$24+'main page'!$K$11))/(1-'normal case'!$AO$3))+'normal case'!AA171)</f>
        <v>#DIV/0!</v>
      </c>
      <c r="AC171" s="176" t="e">
        <f t="shared" ca="1" si="16"/>
        <v>#DIV/0!</v>
      </c>
      <c r="AD171" s="49">
        <f t="shared" ca="1" si="17"/>
        <v>27.850234480856578</v>
      </c>
      <c r="AE171" s="49">
        <f>AE170*(1+'main page'!$K$32/100)</f>
        <v>1</v>
      </c>
      <c r="AF171" s="49" t="e">
        <f ca="1">IF(ABS(IF(controls!$B$45=1,$AL$13,AD171*AC171/AE171)-AF170)&lt;0.00001,AF170,IF(controls!$B$45=1,$AL$13,AD171*AC171/AE171))</f>
        <v>#DIV/0!</v>
      </c>
      <c r="AG171" s="49">
        <f>IF(controls!$B$46=0,0,IF(controls!$B$33=2,B172-B171*V172-('normal case'!H172-D171*W172-'main page'!$K$27*'normal case'!M171+'main page'!$K$31*'normal case'!AB171)-(('main page'!$K$25*'main page'!$U$13*'main page'!$K$29)/(1+('main page'!$K$25^2)*'main page'!$U$13))*('normal case'!L171-'main page'!$U$8),B172-B171*V172-('normal case'!I172-D171*W172-'main page'!$K$27*'normal case'!M171+'main page'!$K$31*'normal case'!AB171)-(('main page'!$K$25*'main page'!$U$13*'main page'!$K$29)/(1+('main page'!$K$25^2)*'main page'!$U$13))*('normal case'!L171-'main page'!$U$8)))</f>
        <v>0</v>
      </c>
      <c r="AN171" s="40"/>
      <c r="AO171" s="40"/>
    </row>
    <row r="172" spans="1:41">
      <c r="A172" s="48">
        <v>170</v>
      </c>
      <c r="B172" s="75">
        <f ca="1">IF(controls!$B$33=1,B171*(1+V172)+T172,B171*(1+V172))</f>
        <v>100</v>
      </c>
      <c r="C172" s="80">
        <f t="shared" ca="1" si="18"/>
        <v>0</v>
      </c>
      <c r="D172" s="77">
        <f t="shared" ca="1" si="14"/>
        <v>100</v>
      </c>
      <c r="E172" s="77">
        <f ca="1">AG171+IF(controls!$B$33=1,G172,F172)</f>
        <v>100</v>
      </c>
      <c r="F172" s="94">
        <f ca="1">IF(controls!$B$44=0,H172-'main page'!$K$27*M171,H172-'main page'!$K$27*M171+'main page'!$K$31*AB171)</f>
        <v>100</v>
      </c>
      <c r="G172" s="75">
        <f ca="1">IF(controls!$B$44=0,I172-'main page'!$K$27*M171,I172-'main page'!$K$27*M171+'main page'!$K$31*'normal case'!AB171)</f>
        <v>100</v>
      </c>
      <c r="H172" s="75">
        <f t="shared" ca="1" si="19"/>
        <v>108</v>
      </c>
      <c r="I172" s="75">
        <f t="shared" ca="1" si="20"/>
        <v>108</v>
      </c>
      <c r="L172" s="75">
        <f ca="1">IF(ABS('main page'!$K$29*L171+(1-'main page'!$K$29)*(controls!$B$9/100)*100+'main page'!$K$25*(D172-B172)-L171)&lt;0.0000001,L171,'main page'!$K$29*L171+(1-'main page'!$K$29)*(controls!$B$9/100)*100+'main page'!$K$25*(D172-B172))</f>
        <v>2</v>
      </c>
      <c r="M172" s="96">
        <f ca="1">IF(controls!$B$10=1,M171,IF(SUM(controls!$B$44:$B$46)=2,N172-'main page'!$K$29*'normal case'!L172-(1-'main page'!$K$29)*'main page'!$K$32,N172-'main page'!$K$29*'normal case'!L172-(1-'main page'!$K$29)*controls!$B$9))</f>
        <v>4</v>
      </c>
      <c r="N172" s="208">
        <f ca="1">IF(controls!$B$45=1,IF(controls!$B$46=1,'main page'!$K$24+'main page'!$K$11+'main page'!$U$8,'main page'!$K$24+'main page'!$K$11+'main page'!$K$32),IF(controls!$B$44=1,IF(O172&lt;0,0,O172),IF(O172+'main page'!$K$11&lt;0,0,O172+'main page'!$K$11)))</f>
        <v>6</v>
      </c>
      <c r="O172" s="76">
        <f ca="1">IF(controls!$B$10=1,'normal case'!M172+'normal case'!L172,'normal case'!P172)</f>
        <v>6</v>
      </c>
      <c r="P172" s="74">
        <f t="shared" ca="1" si="15"/>
        <v>6</v>
      </c>
      <c r="Q172" s="210">
        <f ca="1">IF(controls!$B$44=0,R172+'main page'!$K$29*L172+(1-'main page'!$K$29)*controls!$B$9+(('main page'!$K$25*'main page'!$U$13*'main page'!$K$29)/('main page'!$K$27*(1+('main page'!$K$25^2)*'main page'!$U$13)))*(L172-controls!$B$9),R172+'main page'!$K$29*L172+(1-'main page'!$K$29)*controls!$B$9+(('main page'!$K$25*'main page'!$U$13*'normal case'!$AO$3)/'normal case'!$AO$4)*('normal case'!L172-controls!$B$9))</f>
        <v>6</v>
      </c>
      <c r="R172" s="98">
        <f ca="1">IF(controls!$B$44=1,'main page'!$K$24+'main page'!$K$11,IF(controls!$B$33=1,((I173-D172*W173-B173+B172*V173)/'main page'!$K$27)-'main page'!$K$11,((H173-D172*W173-B173+B172*V173)/'main page'!$K$27)-'main page'!$K$11))</f>
        <v>4</v>
      </c>
      <c r="T172" s="71">
        <f>IF(controls!$B$6=1,$AL$3*(1+('main page'!$K$35/100))^U172-$AL$3*(1+('main page'!$K$35/100))^U171,$AL$3*(1+('main page'!$G$8/100))*(1+('main page'!$K$35/100))^U172-$AL$3*(1+('main page'!$G$8/100))*(1+('main page'!$K$35/100))^U171)</f>
        <v>0</v>
      </c>
      <c r="U172" s="73">
        <v>165</v>
      </c>
      <c r="V172" s="161">
        <v>0</v>
      </c>
      <c r="W172" s="40">
        <v>0</v>
      </c>
      <c r="X172" s="49">
        <f ca="1">IF(controls!$B$33=1,D172-($I$3-'main page'!$K$27*2)*(1+('main page'!$K$35/100))^A171,D172-$AL$4)</f>
        <v>0</v>
      </c>
      <c r="Y172" s="49">
        <f ca="1">ABS(L172-(controls!$B$9/100)*100)</f>
        <v>0</v>
      </c>
      <c r="AA172" s="49" t="e">
        <f ca="1">IF(controls!$B$33=1,(B173-B172*V173-I173+D172*W173+'main page'!$K$27*('main page'!$K$24+'main page'!$K$11))/'main page'!$K$31,(B173-B172*V173+D172*W173-H173+'main page'!$K$27*('main page'!$K$24+'main page'!$K$11))/'main page'!$K$31)</f>
        <v>#DIV/0!</v>
      </c>
      <c r="AB172" s="49" t="e">
        <f ca="1">IF(controls!$B$45=1,LOG(AF172,1.01)+LOG(AE172,1.01)-LOG(AD172,1.01),-((M172-('main page'!$K$24+'main page'!$K$11))/(1-'normal case'!$AO$3))+'normal case'!AA172)</f>
        <v>#DIV/0!</v>
      </c>
      <c r="AC172" s="176" t="e">
        <f t="shared" ca="1" si="16"/>
        <v>#DIV/0!</v>
      </c>
      <c r="AD172" s="49">
        <f t="shared" ca="1" si="17"/>
        <v>28.407239170473709</v>
      </c>
      <c r="AE172" s="49">
        <f>AE171*(1+'main page'!$K$32/100)</f>
        <v>1</v>
      </c>
      <c r="AF172" s="49" t="e">
        <f ca="1">IF(ABS(IF(controls!$B$45=1,$AL$13,AD172*AC172/AE172)-AF171)&lt;0.00001,AF171,IF(controls!$B$45=1,$AL$13,AD172*AC172/AE172))</f>
        <v>#DIV/0!</v>
      </c>
      <c r="AG172" s="49">
        <f>IF(controls!$B$46=0,0,IF(controls!$B$33=2,B173-B172*V173-('normal case'!H173-D172*W173-'main page'!$K$27*'normal case'!M172+'main page'!$K$31*'normal case'!AB172)-(('main page'!$K$25*'main page'!$U$13*'main page'!$K$29)/(1+('main page'!$K$25^2)*'main page'!$U$13))*('normal case'!L172-'main page'!$U$8),B173-B172*V173-('normal case'!I173-D172*W173-'main page'!$K$27*'normal case'!M172+'main page'!$K$31*'normal case'!AB172)-(('main page'!$K$25*'main page'!$U$13*'main page'!$K$29)/(1+('main page'!$K$25^2)*'main page'!$U$13))*('normal case'!L172-'main page'!$U$8)))</f>
        <v>0</v>
      </c>
      <c r="AN172" s="40"/>
      <c r="AO172" s="40"/>
    </row>
    <row r="173" spans="1:41">
      <c r="A173" s="48">
        <v>171</v>
      </c>
      <c r="B173" s="75">
        <f ca="1">IF(controls!$B$33=1,B172*(1+V173)+T173,B172*(1+V173))</f>
        <v>100</v>
      </c>
      <c r="C173" s="80">
        <f t="shared" ca="1" si="18"/>
        <v>0</v>
      </c>
      <c r="D173" s="77">
        <f t="shared" ca="1" si="14"/>
        <v>100</v>
      </c>
      <c r="E173" s="77">
        <f ca="1">AG172+IF(controls!$B$33=1,G173,F173)</f>
        <v>100</v>
      </c>
      <c r="F173" s="94">
        <f ca="1">IF(controls!$B$44=0,H173-'main page'!$K$27*M172,H173-'main page'!$K$27*M172+'main page'!$K$31*AB172)</f>
        <v>100</v>
      </c>
      <c r="G173" s="75">
        <f ca="1">IF(controls!$B$44=0,I173-'main page'!$K$27*M172,I173-'main page'!$K$27*M172+'main page'!$K$31*'normal case'!AB172)</f>
        <v>100</v>
      </c>
      <c r="H173" s="75">
        <f t="shared" ca="1" si="19"/>
        <v>108</v>
      </c>
      <c r="I173" s="75">
        <f t="shared" ca="1" si="20"/>
        <v>108</v>
      </c>
      <c r="L173" s="75">
        <f ca="1">IF(ABS('main page'!$K$29*L172+(1-'main page'!$K$29)*(controls!$B$9/100)*100+'main page'!$K$25*(D173-B173)-L172)&lt;0.0000001,L172,'main page'!$K$29*L172+(1-'main page'!$K$29)*(controls!$B$9/100)*100+'main page'!$K$25*(D173-B173))</f>
        <v>2</v>
      </c>
      <c r="M173" s="96">
        <f ca="1">IF(controls!$B$10=1,M172,IF(SUM(controls!$B$44:$B$46)=2,N173-'main page'!$K$29*'normal case'!L173-(1-'main page'!$K$29)*'main page'!$K$32,N173-'main page'!$K$29*'normal case'!L173-(1-'main page'!$K$29)*controls!$B$9))</f>
        <v>4</v>
      </c>
      <c r="N173" s="208">
        <f ca="1">IF(controls!$B$45=1,IF(controls!$B$46=1,'main page'!$K$24+'main page'!$K$11+'main page'!$U$8,'main page'!$K$24+'main page'!$K$11+'main page'!$K$32),IF(controls!$B$44=1,IF(O173&lt;0,0,O173),IF(O173+'main page'!$K$11&lt;0,0,O173+'main page'!$K$11)))</f>
        <v>6</v>
      </c>
      <c r="O173" s="76">
        <f ca="1">IF(controls!$B$10=1,'normal case'!M173+'normal case'!L173,'normal case'!P173)</f>
        <v>6</v>
      </c>
      <c r="P173" s="74">
        <f t="shared" ca="1" si="15"/>
        <v>6</v>
      </c>
      <c r="Q173" s="210">
        <f ca="1">IF(controls!$B$44=0,R173+'main page'!$K$29*L173+(1-'main page'!$K$29)*controls!$B$9+(('main page'!$K$25*'main page'!$U$13*'main page'!$K$29)/('main page'!$K$27*(1+('main page'!$K$25^2)*'main page'!$U$13)))*(L173-controls!$B$9),R173+'main page'!$K$29*L173+(1-'main page'!$K$29)*controls!$B$9+(('main page'!$K$25*'main page'!$U$13*'normal case'!$AO$3)/'normal case'!$AO$4)*('normal case'!L173-controls!$B$9))</f>
        <v>6</v>
      </c>
      <c r="R173" s="98">
        <f ca="1">IF(controls!$B$44=1,'main page'!$K$24+'main page'!$K$11,IF(controls!$B$33=1,((I174-D173*W174-B174+B173*V174)/'main page'!$K$27)-'main page'!$K$11,((H174-D173*W174-B174+B173*V174)/'main page'!$K$27)-'main page'!$K$11))</f>
        <v>4</v>
      </c>
      <c r="T173" s="71">
        <f>IF(controls!$B$6=1,$AL$3*(1+('main page'!$K$35/100))^U173-$AL$3*(1+('main page'!$K$35/100))^U172,$AL$3*(1+('main page'!$G$8/100))*(1+('main page'!$K$35/100))^U173-$AL$3*(1+('main page'!$G$8/100))*(1+('main page'!$K$35/100))^U172)</f>
        <v>0</v>
      </c>
      <c r="U173" s="73">
        <v>166</v>
      </c>
      <c r="V173" s="161">
        <f ca="1">IF(controls!$B$4=1,IF(controls!$H172=1,controls!$B$34*V172+RAND()*('main page'!$K$16/100)-RAND()*('main page'!$K$16/100),0),0)</f>
        <v>0</v>
      </c>
      <c r="W173" s="40">
        <f ca="1">IF(controls!$B$4=1,IF(controls!$I172=1,controls!$B$34*W172+RAND()*('main page'!$K$16/100)-RAND()*('main page'!$K$16/100),0),0)</f>
        <v>0</v>
      </c>
      <c r="X173" s="49">
        <f ca="1">IF(controls!$B$33=1,D173-($I$3-'main page'!$K$27*2)*(1+('main page'!$K$35/100))^A172,D173-$AL$4)</f>
        <v>0</v>
      </c>
      <c r="Y173" s="49">
        <f ca="1">ABS(L173-(controls!$B$9/100)*100)</f>
        <v>0</v>
      </c>
      <c r="AA173" s="49" t="e">
        <f ca="1">IF(controls!$B$33=1,(B174-B173*V174-I174+D173*W174+'main page'!$K$27*('main page'!$K$24+'main page'!$K$11))/'main page'!$K$31,(B174-B173*V174+D173*W174-H174+'main page'!$K$27*('main page'!$K$24+'main page'!$K$11))/'main page'!$K$31)</f>
        <v>#DIV/0!</v>
      </c>
      <c r="AB173" s="49" t="e">
        <f ca="1">IF(controls!$B$45=1,LOG(AF173,1.01)+LOG(AE173,1.01)-LOG(AD173,1.01),-((M173-('main page'!$K$24+'main page'!$K$11))/(1-'normal case'!$AO$3))+'normal case'!AA173)</f>
        <v>#DIV/0!</v>
      </c>
      <c r="AC173" s="176" t="e">
        <f t="shared" ca="1" si="16"/>
        <v>#DIV/0!</v>
      </c>
      <c r="AD173" s="49">
        <f t="shared" ca="1" si="17"/>
        <v>28.975383953883185</v>
      </c>
      <c r="AE173" s="49">
        <f>AE172*(1+'main page'!$K$32/100)</f>
        <v>1</v>
      </c>
      <c r="AF173" s="49" t="e">
        <f ca="1">IF(ABS(IF(controls!$B$45=1,$AL$13,AD173*AC173/AE173)-AF172)&lt;0.00001,AF172,IF(controls!$B$45=1,$AL$13,AD173*AC173/AE173))</f>
        <v>#DIV/0!</v>
      </c>
      <c r="AG173" s="49">
        <f>IF(controls!$B$46=0,0,IF(controls!$B$33=2,B174-B173*V174-('normal case'!H174-D173*W174-'main page'!$K$27*'normal case'!M173+'main page'!$K$31*'normal case'!AB173)-(('main page'!$K$25*'main page'!$U$13*'main page'!$K$29)/(1+('main page'!$K$25^2)*'main page'!$U$13))*('normal case'!L173-'main page'!$U$8),B174-B173*V174-('normal case'!I174-D173*W174-'main page'!$K$27*'normal case'!M173+'main page'!$K$31*'normal case'!AB173)-(('main page'!$K$25*'main page'!$U$13*'main page'!$K$29)/(1+('main page'!$K$25^2)*'main page'!$U$13))*('normal case'!L173-'main page'!$U$8)))</f>
        <v>0</v>
      </c>
      <c r="AN173" s="40"/>
      <c r="AO173" s="40"/>
    </row>
    <row r="174" spans="1:41">
      <c r="A174" s="48">
        <v>172</v>
      </c>
      <c r="B174" s="75">
        <f ca="1">IF(controls!$B$33=1,B173*(1+V174)+T174,B173*(1+V174))</f>
        <v>100</v>
      </c>
      <c r="C174" s="80">
        <f t="shared" ca="1" si="18"/>
        <v>0</v>
      </c>
      <c r="D174" s="77">
        <f t="shared" ca="1" si="14"/>
        <v>100</v>
      </c>
      <c r="E174" s="77">
        <f ca="1">AG173+IF(controls!$B$33=1,G174,F174)</f>
        <v>100</v>
      </c>
      <c r="F174" s="94">
        <f ca="1">IF(controls!$B$44=0,H174-'main page'!$K$27*M173,H174-'main page'!$K$27*M173+'main page'!$K$31*AB173)</f>
        <v>100</v>
      </c>
      <c r="G174" s="75">
        <f ca="1">IF(controls!$B$44=0,I174-'main page'!$K$27*M173,I174-'main page'!$K$27*M173+'main page'!$K$31*'normal case'!AB173)</f>
        <v>100</v>
      </c>
      <c r="H174" s="75">
        <f t="shared" ca="1" si="19"/>
        <v>108</v>
      </c>
      <c r="I174" s="75">
        <f t="shared" ca="1" si="20"/>
        <v>108</v>
      </c>
      <c r="L174" s="75">
        <f ca="1">IF(ABS('main page'!$K$29*L173+(1-'main page'!$K$29)*(controls!$B$9/100)*100+'main page'!$K$25*(D174-B174)-L173)&lt;0.0000001,L173,'main page'!$K$29*L173+(1-'main page'!$K$29)*(controls!$B$9/100)*100+'main page'!$K$25*(D174-B174))</f>
        <v>2</v>
      </c>
      <c r="M174" s="96">
        <f ca="1">IF(controls!$B$10=1,M173,IF(SUM(controls!$B$44:$B$46)=2,N174-'main page'!$K$29*'normal case'!L174-(1-'main page'!$K$29)*'main page'!$K$32,N174-'main page'!$K$29*'normal case'!L174-(1-'main page'!$K$29)*controls!$B$9))</f>
        <v>4</v>
      </c>
      <c r="N174" s="208">
        <f ca="1">IF(controls!$B$45=1,IF(controls!$B$46=1,'main page'!$K$24+'main page'!$K$11+'main page'!$U$8,'main page'!$K$24+'main page'!$K$11+'main page'!$K$32),IF(controls!$B$44=1,IF(O174&lt;0,0,O174),IF(O174+'main page'!$K$11&lt;0,0,O174+'main page'!$K$11)))</f>
        <v>6</v>
      </c>
      <c r="O174" s="76">
        <f ca="1">IF(controls!$B$10=1,'normal case'!M174+'normal case'!L174,'normal case'!P174)</f>
        <v>6</v>
      </c>
      <c r="P174" s="74">
        <f t="shared" ca="1" si="15"/>
        <v>6</v>
      </c>
      <c r="Q174" s="210">
        <f ca="1">IF(controls!$B$44=0,R174+'main page'!$K$29*L174+(1-'main page'!$K$29)*controls!$B$9+(('main page'!$K$25*'main page'!$U$13*'main page'!$K$29)/('main page'!$K$27*(1+('main page'!$K$25^2)*'main page'!$U$13)))*(L174-controls!$B$9),R174+'main page'!$K$29*L174+(1-'main page'!$K$29)*controls!$B$9+(('main page'!$K$25*'main page'!$U$13*'normal case'!$AO$3)/'normal case'!$AO$4)*('normal case'!L174-controls!$B$9))</f>
        <v>6</v>
      </c>
      <c r="R174" s="98">
        <f ca="1">IF(controls!$B$44=1,'main page'!$K$24+'main page'!$K$11,IF(controls!$B$33=1,((I175-D174*W175-B175+B174*V175)/'main page'!$K$27)-'main page'!$K$11,((H175-D174*W175-B175+B174*V175)/'main page'!$K$27)-'main page'!$K$11))</f>
        <v>4</v>
      </c>
      <c r="T174" s="71">
        <f>IF(controls!$B$6=1,$AL$3*(1+('main page'!$K$35/100))^U174-$AL$3*(1+('main page'!$K$35/100))^U173,$AL$3*(1+('main page'!$G$8/100))*(1+('main page'!$K$35/100))^U174-$AL$3*(1+('main page'!$G$8/100))*(1+('main page'!$K$35/100))^U173)</f>
        <v>0</v>
      </c>
      <c r="U174" s="73">
        <v>167</v>
      </c>
      <c r="V174" s="161">
        <v>0</v>
      </c>
      <c r="W174" s="40">
        <v>0</v>
      </c>
      <c r="X174" s="49">
        <f ca="1">IF(controls!$B$33=1,D174-($I$3-'main page'!$K$27*2)*(1+('main page'!$K$35/100))^A173,D174-$AL$4)</f>
        <v>0</v>
      </c>
      <c r="Y174" s="49">
        <f ca="1">ABS(L174-(controls!$B$9/100)*100)</f>
        <v>0</v>
      </c>
      <c r="AA174" s="49" t="e">
        <f ca="1">IF(controls!$B$33=1,(B175-B174*V175-I175+D174*W175+'main page'!$K$27*('main page'!$K$24+'main page'!$K$11))/'main page'!$K$31,(B175-B174*V175+D174*W175-H175+'main page'!$K$27*('main page'!$K$24+'main page'!$K$11))/'main page'!$K$31)</f>
        <v>#DIV/0!</v>
      </c>
      <c r="AB174" s="49" t="e">
        <f ca="1">IF(controls!$B$45=1,LOG(AF174,1.01)+LOG(AE174,1.01)-LOG(AD174,1.01),-((M174-('main page'!$K$24+'main page'!$K$11))/(1-'normal case'!$AO$3))+'normal case'!AA174)</f>
        <v>#DIV/0!</v>
      </c>
      <c r="AC174" s="176" t="e">
        <f t="shared" ca="1" si="16"/>
        <v>#DIV/0!</v>
      </c>
      <c r="AD174" s="49">
        <f t="shared" ca="1" si="17"/>
        <v>29.55489163296085</v>
      </c>
      <c r="AE174" s="49">
        <f>AE173*(1+'main page'!$K$32/100)</f>
        <v>1</v>
      </c>
      <c r="AF174" s="49" t="e">
        <f ca="1">IF(ABS(IF(controls!$B$45=1,$AL$13,AD174*AC174/AE174)-AF173)&lt;0.00001,AF173,IF(controls!$B$45=1,$AL$13,AD174*AC174/AE174))</f>
        <v>#DIV/0!</v>
      </c>
      <c r="AG174" s="49">
        <f>IF(controls!$B$46=0,0,IF(controls!$B$33=2,B175-B174*V175-('normal case'!H175-D174*W175-'main page'!$K$27*'normal case'!M174+'main page'!$K$31*'normal case'!AB174)-(('main page'!$K$25*'main page'!$U$13*'main page'!$K$29)/(1+('main page'!$K$25^2)*'main page'!$U$13))*('normal case'!L174-'main page'!$U$8),B175-B174*V175-('normal case'!I175-D174*W175-'main page'!$K$27*'normal case'!M174+'main page'!$K$31*'normal case'!AB174)-(('main page'!$K$25*'main page'!$U$13*'main page'!$K$29)/(1+('main page'!$K$25^2)*'main page'!$U$13))*('normal case'!L174-'main page'!$U$8)))</f>
        <v>0</v>
      </c>
      <c r="AN174" s="40"/>
      <c r="AO174" s="40"/>
    </row>
    <row r="175" spans="1:41">
      <c r="A175" s="48">
        <v>173</v>
      </c>
      <c r="B175" s="75">
        <f ca="1">IF(controls!$B$33=1,B174*(1+V175)+T175,B174*(1+V175))</f>
        <v>100</v>
      </c>
      <c r="C175" s="80">
        <f t="shared" ca="1" si="18"/>
        <v>0</v>
      </c>
      <c r="D175" s="77">
        <f t="shared" ca="1" si="14"/>
        <v>100</v>
      </c>
      <c r="E175" s="77">
        <f ca="1">AG174+IF(controls!$B$33=1,G175,F175)</f>
        <v>100</v>
      </c>
      <c r="F175" s="94">
        <f ca="1">IF(controls!$B$44=0,H175-'main page'!$K$27*M174,H175-'main page'!$K$27*M174+'main page'!$K$31*AB174)</f>
        <v>100</v>
      </c>
      <c r="G175" s="75">
        <f ca="1">IF(controls!$B$44=0,I175-'main page'!$K$27*M174,I175-'main page'!$K$27*M174+'main page'!$K$31*'normal case'!AB174)</f>
        <v>100</v>
      </c>
      <c r="H175" s="75">
        <f t="shared" ca="1" si="19"/>
        <v>108</v>
      </c>
      <c r="I175" s="75">
        <f t="shared" ca="1" si="20"/>
        <v>108</v>
      </c>
      <c r="L175" s="75">
        <f ca="1">IF(ABS('main page'!$K$29*L174+(1-'main page'!$K$29)*(controls!$B$9/100)*100+'main page'!$K$25*(D175-B175)-L174)&lt;0.0000001,L174,'main page'!$K$29*L174+(1-'main page'!$K$29)*(controls!$B$9/100)*100+'main page'!$K$25*(D175-B175))</f>
        <v>2</v>
      </c>
      <c r="M175" s="96">
        <f ca="1">IF(controls!$B$10=1,M174,IF(SUM(controls!$B$44:$B$46)=2,N175-'main page'!$K$29*'normal case'!L175-(1-'main page'!$K$29)*'main page'!$K$32,N175-'main page'!$K$29*'normal case'!L175-(1-'main page'!$K$29)*controls!$B$9))</f>
        <v>4</v>
      </c>
      <c r="N175" s="208">
        <f ca="1">IF(controls!$B$45=1,IF(controls!$B$46=1,'main page'!$K$24+'main page'!$K$11+'main page'!$U$8,'main page'!$K$24+'main page'!$K$11+'main page'!$K$32),IF(controls!$B$44=1,IF(O175&lt;0,0,O175),IF(O175+'main page'!$K$11&lt;0,0,O175+'main page'!$K$11)))</f>
        <v>6</v>
      </c>
      <c r="O175" s="76">
        <f ca="1">IF(controls!$B$10=1,'normal case'!M175+'normal case'!L175,'normal case'!P175)</f>
        <v>6</v>
      </c>
      <c r="P175" s="74">
        <f t="shared" ca="1" si="15"/>
        <v>6</v>
      </c>
      <c r="Q175" s="210">
        <f ca="1">IF(controls!$B$44=0,R175+'main page'!$K$29*L175+(1-'main page'!$K$29)*controls!$B$9+(('main page'!$K$25*'main page'!$U$13*'main page'!$K$29)/('main page'!$K$27*(1+('main page'!$K$25^2)*'main page'!$U$13)))*(L175-controls!$B$9),R175+'main page'!$K$29*L175+(1-'main page'!$K$29)*controls!$B$9+(('main page'!$K$25*'main page'!$U$13*'normal case'!$AO$3)/'normal case'!$AO$4)*('normal case'!L175-controls!$B$9))</f>
        <v>6</v>
      </c>
      <c r="R175" s="98">
        <f ca="1">IF(controls!$B$44=1,'main page'!$K$24+'main page'!$K$11,IF(controls!$B$33=1,((I176-D175*W176-B176+B175*V176)/'main page'!$K$27)-'main page'!$K$11,((H176-D175*W176-B176+B175*V176)/'main page'!$K$27)-'main page'!$K$11))</f>
        <v>4</v>
      </c>
      <c r="T175" s="71">
        <f>IF(controls!$B$6=1,$AL$3*(1+('main page'!$K$35/100))^U175-$AL$3*(1+('main page'!$K$35/100))^U174,$AL$3*(1+('main page'!$G$8/100))*(1+('main page'!$K$35/100))^U175-$AL$3*(1+('main page'!$G$8/100))*(1+('main page'!$K$35/100))^U174)</f>
        <v>0</v>
      </c>
      <c r="U175" s="73">
        <v>168</v>
      </c>
      <c r="V175" s="161">
        <v>0</v>
      </c>
      <c r="W175" s="40">
        <v>0</v>
      </c>
      <c r="X175" s="49">
        <f ca="1">IF(controls!$B$33=1,D175-($I$3-'main page'!$K$27*2)*(1+('main page'!$K$35/100))^A174,D175-$AL$4)</f>
        <v>0</v>
      </c>
      <c r="Y175" s="49">
        <f ca="1">ABS(L175-(controls!$B$9/100)*100)</f>
        <v>0</v>
      </c>
      <c r="AA175" s="49" t="e">
        <f ca="1">IF(controls!$B$33=1,(B176-B175*V176-I176+D175*W176+'main page'!$K$27*('main page'!$K$24+'main page'!$K$11))/'main page'!$K$31,(B176-B175*V176+D175*W176-H176+'main page'!$K$27*('main page'!$K$24+'main page'!$K$11))/'main page'!$K$31)</f>
        <v>#DIV/0!</v>
      </c>
      <c r="AB175" s="49" t="e">
        <f ca="1">IF(controls!$B$45=1,LOG(AF175,1.01)+LOG(AE175,1.01)-LOG(AD175,1.01),-((M175-('main page'!$K$24+'main page'!$K$11))/(1-'normal case'!$AO$3))+'normal case'!AA175)</f>
        <v>#DIV/0!</v>
      </c>
      <c r="AC175" s="176" t="e">
        <f t="shared" ca="1" si="16"/>
        <v>#DIV/0!</v>
      </c>
      <c r="AD175" s="49">
        <f t="shared" ca="1" si="17"/>
        <v>30.145989465620065</v>
      </c>
      <c r="AE175" s="49">
        <f>AE174*(1+'main page'!$K$32/100)</f>
        <v>1</v>
      </c>
      <c r="AF175" s="49" t="e">
        <f ca="1">IF(ABS(IF(controls!$B$45=1,$AL$13,AD175*AC175/AE175)-AF174)&lt;0.00001,AF174,IF(controls!$B$45=1,$AL$13,AD175*AC175/AE175))</f>
        <v>#DIV/0!</v>
      </c>
      <c r="AG175" s="49">
        <f>IF(controls!$B$46=0,0,IF(controls!$B$33=2,B176-B175*V176-('normal case'!H176-D175*W176-'main page'!$K$27*'normal case'!M175+'main page'!$K$31*'normal case'!AB175)-(('main page'!$K$25*'main page'!$U$13*'main page'!$K$29)/(1+('main page'!$K$25^2)*'main page'!$U$13))*('normal case'!L175-'main page'!$U$8),B176-B175*V176-('normal case'!I176-D175*W176-'main page'!$K$27*'normal case'!M175+'main page'!$K$31*'normal case'!AB175)-(('main page'!$K$25*'main page'!$U$13*'main page'!$K$29)/(1+('main page'!$K$25^2)*'main page'!$U$13))*('normal case'!L175-'main page'!$U$8)))</f>
        <v>0</v>
      </c>
      <c r="AN175" s="40"/>
      <c r="AO175" s="40"/>
    </row>
    <row r="176" spans="1:41">
      <c r="A176" s="48">
        <v>174</v>
      </c>
      <c r="B176" s="75">
        <f ca="1">IF(controls!$B$33=1,B175*(1+V176)+T176,B175*(1+V176))</f>
        <v>100</v>
      </c>
      <c r="C176" s="80">
        <f t="shared" ca="1" si="18"/>
        <v>0</v>
      </c>
      <c r="D176" s="77">
        <f t="shared" ca="1" si="14"/>
        <v>100</v>
      </c>
      <c r="E176" s="77">
        <f ca="1">AG175+IF(controls!$B$33=1,G176,F176)</f>
        <v>100</v>
      </c>
      <c r="F176" s="94">
        <f ca="1">IF(controls!$B$44=0,H176-'main page'!$K$27*M175,H176-'main page'!$K$27*M175+'main page'!$K$31*AB175)</f>
        <v>100</v>
      </c>
      <c r="G176" s="75">
        <f ca="1">IF(controls!$B$44=0,I176-'main page'!$K$27*M175,I176-'main page'!$K$27*M175+'main page'!$K$31*'normal case'!AB175)</f>
        <v>100</v>
      </c>
      <c r="H176" s="75">
        <f t="shared" ca="1" si="19"/>
        <v>108</v>
      </c>
      <c r="I176" s="75">
        <f t="shared" ca="1" si="20"/>
        <v>108</v>
      </c>
      <c r="L176" s="75">
        <f ca="1">IF(ABS('main page'!$K$29*L175+(1-'main page'!$K$29)*(controls!$B$9/100)*100+'main page'!$K$25*(D176-B176)-L175)&lt;0.0000001,L175,'main page'!$K$29*L175+(1-'main page'!$K$29)*(controls!$B$9/100)*100+'main page'!$K$25*(D176-B176))</f>
        <v>2</v>
      </c>
      <c r="M176" s="96">
        <f ca="1">IF(controls!$B$10=1,M175,IF(SUM(controls!$B$44:$B$46)=2,N176-'main page'!$K$29*'normal case'!L176-(1-'main page'!$K$29)*'main page'!$K$32,N176-'main page'!$K$29*'normal case'!L176-(1-'main page'!$K$29)*controls!$B$9))</f>
        <v>4</v>
      </c>
      <c r="N176" s="208">
        <f ca="1">IF(controls!$B$45=1,IF(controls!$B$46=1,'main page'!$K$24+'main page'!$K$11+'main page'!$U$8,'main page'!$K$24+'main page'!$K$11+'main page'!$K$32),IF(controls!$B$44=1,IF(O176&lt;0,0,O176),IF(O176+'main page'!$K$11&lt;0,0,O176+'main page'!$K$11)))</f>
        <v>6</v>
      </c>
      <c r="O176" s="76">
        <f ca="1">IF(controls!$B$10=1,'normal case'!M176+'normal case'!L176,'normal case'!P176)</f>
        <v>6</v>
      </c>
      <c r="P176" s="74">
        <f t="shared" ca="1" si="15"/>
        <v>6</v>
      </c>
      <c r="Q176" s="210">
        <f ca="1">IF(controls!$B$44=0,R176+'main page'!$K$29*L176+(1-'main page'!$K$29)*controls!$B$9+(('main page'!$K$25*'main page'!$U$13*'main page'!$K$29)/('main page'!$K$27*(1+('main page'!$K$25^2)*'main page'!$U$13)))*(L176-controls!$B$9),R176+'main page'!$K$29*L176+(1-'main page'!$K$29)*controls!$B$9+(('main page'!$K$25*'main page'!$U$13*'normal case'!$AO$3)/'normal case'!$AO$4)*('normal case'!L176-controls!$B$9))</f>
        <v>6</v>
      </c>
      <c r="R176" s="98">
        <f ca="1">IF(controls!$B$44=1,'main page'!$K$24+'main page'!$K$11,IF(controls!$B$33=1,((I177-D176*W177-B177+B176*V177)/'main page'!$K$27)-'main page'!$K$11,((H177-D176*W177-B177+B176*V177)/'main page'!$K$27)-'main page'!$K$11))</f>
        <v>4</v>
      </c>
      <c r="T176" s="71">
        <f>IF(controls!$B$6=1,$AL$3*(1+('main page'!$K$35/100))^U176-$AL$3*(1+('main page'!$K$35/100))^U175,$AL$3*(1+('main page'!$G$8/100))*(1+('main page'!$K$35/100))^U176-$AL$3*(1+('main page'!$G$8/100))*(1+('main page'!$K$35/100))^U175)</f>
        <v>0</v>
      </c>
      <c r="U176" s="73">
        <v>169</v>
      </c>
      <c r="V176" s="161">
        <f ca="1">IF(controls!$B$4=1,IF(controls!$H175=1,controls!$B$34*V175+RAND()*('main page'!$K$16/100)-RAND()*('main page'!$K$16/100),0),0)</f>
        <v>0</v>
      </c>
      <c r="W176" s="40">
        <f ca="1">IF(controls!$B$4=1,IF(controls!$I175=1,controls!$B$34*W175+RAND()*('main page'!$K$16/100)-RAND()*('main page'!$K$16/100),0),0)</f>
        <v>0</v>
      </c>
      <c r="X176" s="49">
        <f ca="1">IF(controls!$B$33=1,D176-($I$3-'main page'!$K$27*2)*(1+('main page'!$K$35/100))^A175,D176-$AL$4)</f>
        <v>0</v>
      </c>
      <c r="Y176" s="49">
        <f ca="1">ABS(L176-(controls!$B$9/100)*100)</f>
        <v>0</v>
      </c>
      <c r="AA176" s="49" t="e">
        <f ca="1">IF(controls!$B$33=1,(B177-B176*V177-I177+D176*W177+'main page'!$K$27*('main page'!$K$24+'main page'!$K$11))/'main page'!$K$31,(B177-B176*V177+D176*W177-H177+'main page'!$K$27*('main page'!$K$24+'main page'!$K$11))/'main page'!$K$31)</f>
        <v>#DIV/0!</v>
      </c>
      <c r="AB176" s="49" t="e">
        <f ca="1">IF(controls!$B$45=1,LOG(AF176,1.01)+LOG(AE176,1.01)-LOG(AD176,1.01),-((M176-('main page'!$K$24+'main page'!$K$11))/(1-'normal case'!$AO$3))+'normal case'!AA176)</f>
        <v>#DIV/0!</v>
      </c>
      <c r="AC176" s="176" t="e">
        <f t="shared" ca="1" si="16"/>
        <v>#DIV/0!</v>
      </c>
      <c r="AD176" s="49">
        <f t="shared" ca="1" si="17"/>
        <v>30.748909254932467</v>
      </c>
      <c r="AE176" s="49">
        <f>AE175*(1+'main page'!$K$32/100)</f>
        <v>1</v>
      </c>
      <c r="AF176" s="49" t="e">
        <f ca="1">IF(ABS(IF(controls!$B$45=1,$AL$13,AD176*AC176/AE176)-AF175)&lt;0.00001,AF175,IF(controls!$B$45=1,$AL$13,AD176*AC176/AE176))</f>
        <v>#DIV/0!</v>
      </c>
      <c r="AG176" s="49">
        <f>IF(controls!$B$46=0,0,IF(controls!$B$33=2,B177-B176*V177-('normal case'!H177-D176*W177-'main page'!$K$27*'normal case'!M176+'main page'!$K$31*'normal case'!AB176)-(('main page'!$K$25*'main page'!$U$13*'main page'!$K$29)/(1+('main page'!$K$25^2)*'main page'!$U$13))*('normal case'!L176-'main page'!$U$8),B177-B176*V177-('normal case'!I177-D176*W177-'main page'!$K$27*'normal case'!M176+'main page'!$K$31*'normal case'!AB176)-(('main page'!$K$25*'main page'!$U$13*'main page'!$K$29)/(1+('main page'!$K$25^2)*'main page'!$U$13))*('normal case'!L176-'main page'!$U$8)))</f>
        <v>0</v>
      </c>
      <c r="AN176" s="40"/>
      <c r="AO176" s="40"/>
    </row>
    <row r="177" spans="1:41">
      <c r="A177" s="48">
        <v>175</v>
      </c>
      <c r="B177" s="75">
        <f ca="1">IF(controls!$B$33=1,B176*(1+V177)+T177,B176*(1+V177))</f>
        <v>100</v>
      </c>
      <c r="C177" s="80">
        <f t="shared" ca="1" si="18"/>
        <v>0</v>
      </c>
      <c r="D177" s="77">
        <f t="shared" ca="1" si="14"/>
        <v>100</v>
      </c>
      <c r="E177" s="77">
        <f ca="1">AG176+IF(controls!$B$33=1,G177,F177)</f>
        <v>100</v>
      </c>
      <c r="F177" s="94">
        <f ca="1">IF(controls!$B$44=0,H177-'main page'!$K$27*M176,H177-'main page'!$K$27*M176+'main page'!$K$31*AB176)</f>
        <v>100</v>
      </c>
      <c r="G177" s="75">
        <f ca="1">IF(controls!$B$44=0,I177-'main page'!$K$27*M176,I177-'main page'!$K$27*M176+'main page'!$K$31*'normal case'!AB176)</f>
        <v>100</v>
      </c>
      <c r="H177" s="75">
        <f t="shared" ca="1" si="19"/>
        <v>108</v>
      </c>
      <c r="I177" s="75">
        <f t="shared" ca="1" si="20"/>
        <v>108</v>
      </c>
      <c r="L177" s="75">
        <f ca="1">IF(ABS('main page'!$K$29*L176+(1-'main page'!$K$29)*(controls!$B$9/100)*100+'main page'!$K$25*(D177-B177)-L176)&lt;0.0000001,L176,'main page'!$K$29*L176+(1-'main page'!$K$29)*(controls!$B$9/100)*100+'main page'!$K$25*(D177-B177))</f>
        <v>2</v>
      </c>
      <c r="M177" s="96">
        <f ca="1">IF(controls!$B$10=1,M176,IF(SUM(controls!$B$44:$B$46)=2,N177-'main page'!$K$29*'normal case'!L177-(1-'main page'!$K$29)*'main page'!$K$32,N177-'main page'!$K$29*'normal case'!L177-(1-'main page'!$K$29)*controls!$B$9))</f>
        <v>4</v>
      </c>
      <c r="N177" s="208">
        <f ca="1">IF(controls!$B$45=1,IF(controls!$B$46=1,'main page'!$K$24+'main page'!$K$11+'main page'!$U$8,'main page'!$K$24+'main page'!$K$11+'main page'!$K$32),IF(controls!$B$44=1,IF(O177&lt;0,0,O177),IF(O177+'main page'!$K$11&lt;0,0,O177+'main page'!$K$11)))</f>
        <v>6</v>
      </c>
      <c r="O177" s="76">
        <f ca="1">IF(controls!$B$10=1,'normal case'!M177+'normal case'!L177,'normal case'!P177)</f>
        <v>6</v>
      </c>
      <c r="P177" s="74">
        <f t="shared" ca="1" si="15"/>
        <v>6</v>
      </c>
      <c r="Q177" s="210">
        <f ca="1">IF(controls!$B$44=0,R177+'main page'!$K$29*L177+(1-'main page'!$K$29)*controls!$B$9+(('main page'!$K$25*'main page'!$U$13*'main page'!$K$29)/('main page'!$K$27*(1+('main page'!$K$25^2)*'main page'!$U$13)))*(L177-controls!$B$9),R177+'main page'!$K$29*L177+(1-'main page'!$K$29)*controls!$B$9+(('main page'!$K$25*'main page'!$U$13*'normal case'!$AO$3)/'normal case'!$AO$4)*('normal case'!L177-controls!$B$9))</f>
        <v>6</v>
      </c>
      <c r="R177" s="98">
        <f ca="1">IF(controls!$B$44=1,'main page'!$K$24+'main page'!$K$11,IF(controls!$B$33=1,((I178-D177*W178-B178+B177*V178)/'main page'!$K$27)-'main page'!$K$11,((H178-D177*W178-B178+B177*V178)/'main page'!$K$27)-'main page'!$K$11))</f>
        <v>4</v>
      </c>
      <c r="T177" s="71">
        <f>IF(controls!$B$6=1,$AL$3*(1+('main page'!$K$35/100))^U177-$AL$3*(1+('main page'!$K$35/100))^U176,$AL$3*(1+('main page'!$G$8/100))*(1+('main page'!$K$35/100))^U177-$AL$3*(1+('main page'!$G$8/100))*(1+('main page'!$K$35/100))^U176)</f>
        <v>0</v>
      </c>
      <c r="U177" s="73">
        <v>170</v>
      </c>
      <c r="V177" s="161">
        <v>0</v>
      </c>
      <c r="W177" s="40">
        <v>0</v>
      </c>
      <c r="X177" s="49">
        <f ca="1">IF(controls!$B$33=1,D177-($I$3-'main page'!$K$27*2)*(1+('main page'!$K$35/100))^A176,D177-$AL$4)</f>
        <v>0</v>
      </c>
      <c r="Y177" s="49">
        <f ca="1">ABS(L177-(controls!$B$9/100)*100)</f>
        <v>0</v>
      </c>
      <c r="AA177" s="49" t="e">
        <f ca="1">IF(controls!$B$33=1,(B178-B177*V178-I178+D177*W178+'main page'!$K$27*('main page'!$K$24+'main page'!$K$11))/'main page'!$K$31,(B178-B177*V178+D177*W178-H178+'main page'!$K$27*('main page'!$K$24+'main page'!$K$11))/'main page'!$K$31)</f>
        <v>#DIV/0!</v>
      </c>
      <c r="AB177" s="49" t="e">
        <f ca="1">IF(controls!$B$45=1,LOG(AF177,1.01)+LOG(AE177,1.01)-LOG(AD177,1.01),-((M177-('main page'!$K$24+'main page'!$K$11))/(1-'normal case'!$AO$3))+'normal case'!AA177)</f>
        <v>#DIV/0!</v>
      </c>
      <c r="AC177" s="176" t="e">
        <f t="shared" ca="1" si="16"/>
        <v>#DIV/0!</v>
      </c>
      <c r="AD177" s="49">
        <f t="shared" ca="1" si="17"/>
        <v>31.363887440031117</v>
      </c>
      <c r="AE177" s="49">
        <f>AE176*(1+'main page'!$K$32/100)</f>
        <v>1</v>
      </c>
      <c r="AF177" s="49" t="e">
        <f ca="1">IF(ABS(IF(controls!$B$45=1,$AL$13,AD177*AC177/AE177)-AF176)&lt;0.00001,AF176,IF(controls!$B$45=1,$AL$13,AD177*AC177/AE177))</f>
        <v>#DIV/0!</v>
      </c>
      <c r="AG177" s="49">
        <f>IF(controls!$B$46=0,0,IF(controls!$B$33=2,B178-B177*V178-('normal case'!H178-D177*W178-'main page'!$K$27*'normal case'!M177+'main page'!$K$31*'normal case'!AB177)-(('main page'!$K$25*'main page'!$U$13*'main page'!$K$29)/(1+('main page'!$K$25^2)*'main page'!$U$13))*('normal case'!L177-'main page'!$U$8),B178-B177*V178-('normal case'!I178-D177*W178-'main page'!$K$27*'normal case'!M177+'main page'!$K$31*'normal case'!AB177)-(('main page'!$K$25*'main page'!$U$13*'main page'!$K$29)/(1+('main page'!$K$25^2)*'main page'!$U$13))*('normal case'!L177-'main page'!$U$8)))</f>
        <v>0</v>
      </c>
      <c r="AN177" s="40"/>
      <c r="AO177" s="40"/>
    </row>
    <row r="178" spans="1:41">
      <c r="A178" s="48">
        <v>176</v>
      </c>
      <c r="B178" s="75">
        <f ca="1">IF(controls!$B$33=1,B177*(1+V178)+T178,B177*(1+V178))</f>
        <v>100</v>
      </c>
      <c r="C178" s="80">
        <f t="shared" ca="1" si="18"/>
        <v>0</v>
      </c>
      <c r="D178" s="77">
        <f t="shared" ca="1" si="14"/>
        <v>100</v>
      </c>
      <c r="E178" s="77">
        <f ca="1">AG177+IF(controls!$B$33=1,G178,F178)</f>
        <v>100</v>
      </c>
      <c r="F178" s="94">
        <f ca="1">IF(controls!$B$44=0,H178-'main page'!$K$27*M177,H178-'main page'!$K$27*M177+'main page'!$K$31*AB177)</f>
        <v>100</v>
      </c>
      <c r="G178" s="75">
        <f ca="1">IF(controls!$B$44=0,I178-'main page'!$K$27*M177,I178-'main page'!$K$27*M177+'main page'!$K$31*'normal case'!AB177)</f>
        <v>100</v>
      </c>
      <c r="H178" s="75">
        <f t="shared" ca="1" si="19"/>
        <v>108</v>
      </c>
      <c r="I178" s="75">
        <f t="shared" ca="1" si="20"/>
        <v>108</v>
      </c>
      <c r="L178" s="75">
        <f ca="1">IF(ABS('main page'!$K$29*L177+(1-'main page'!$K$29)*(controls!$B$9/100)*100+'main page'!$K$25*(D178-B178)-L177)&lt;0.0000001,L177,'main page'!$K$29*L177+(1-'main page'!$K$29)*(controls!$B$9/100)*100+'main page'!$K$25*(D178-B178))</f>
        <v>2</v>
      </c>
      <c r="M178" s="96">
        <f ca="1">IF(controls!$B$10=1,M177,IF(SUM(controls!$B$44:$B$46)=2,N178-'main page'!$K$29*'normal case'!L178-(1-'main page'!$K$29)*'main page'!$K$32,N178-'main page'!$K$29*'normal case'!L178-(1-'main page'!$K$29)*controls!$B$9))</f>
        <v>4</v>
      </c>
      <c r="N178" s="208">
        <f ca="1">IF(controls!$B$45=1,IF(controls!$B$46=1,'main page'!$K$24+'main page'!$K$11+'main page'!$U$8,'main page'!$K$24+'main page'!$K$11+'main page'!$K$32),IF(controls!$B$44=1,IF(O178&lt;0,0,O178),IF(O178+'main page'!$K$11&lt;0,0,O178+'main page'!$K$11)))</f>
        <v>6</v>
      </c>
      <c r="O178" s="76">
        <f ca="1">IF(controls!$B$10=1,'normal case'!M178+'normal case'!L178,'normal case'!P178)</f>
        <v>6</v>
      </c>
      <c r="P178" s="74">
        <f t="shared" ca="1" si="15"/>
        <v>6</v>
      </c>
      <c r="Q178" s="210">
        <f ca="1">IF(controls!$B$44=0,R178+'main page'!$K$29*L178+(1-'main page'!$K$29)*controls!$B$9+(('main page'!$K$25*'main page'!$U$13*'main page'!$K$29)/('main page'!$K$27*(1+('main page'!$K$25^2)*'main page'!$U$13)))*(L178-controls!$B$9),R178+'main page'!$K$29*L178+(1-'main page'!$K$29)*controls!$B$9+(('main page'!$K$25*'main page'!$U$13*'normal case'!$AO$3)/'normal case'!$AO$4)*('normal case'!L178-controls!$B$9))</f>
        <v>6</v>
      </c>
      <c r="R178" s="98">
        <f ca="1">IF(controls!$B$44=1,'main page'!$K$24+'main page'!$K$11,IF(controls!$B$33=1,((I179-D178*W179-B179+B178*V179)/'main page'!$K$27)-'main page'!$K$11,((H179-D178*W179-B179+B178*V179)/'main page'!$K$27)-'main page'!$K$11))</f>
        <v>4</v>
      </c>
      <c r="T178" s="71">
        <f>IF(controls!$B$6=1,$AL$3*(1+('main page'!$K$35/100))^U178-$AL$3*(1+('main page'!$K$35/100))^U177,$AL$3*(1+('main page'!$G$8/100))*(1+('main page'!$K$35/100))^U178-$AL$3*(1+('main page'!$G$8/100))*(1+('main page'!$K$35/100))^U177)</f>
        <v>0</v>
      </c>
      <c r="U178" s="73">
        <v>171</v>
      </c>
      <c r="V178" s="161">
        <v>0</v>
      </c>
      <c r="W178" s="40">
        <v>0</v>
      </c>
      <c r="X178" s="49">
        <f ca="1">IF(controls!$B$33=1,D178-($I$3-'main page'!$K$27*2)*(1+('main page'!$K$35/100))^A177,D178-$AL$4)</f>
        <v>0</v>
      </c>
      <c r="Y178" s="49">
        <f ca="1">ABS(L178-(controls!$B$9/100)*100)</f>
        <v>0</v>
      </c>
      <c r="AA178" s="49" t="e">
        <f ca="1">IF(controls!$B$33=1,(B179-B178*V179-I179+D178*W179+'main page'!$K$27*('main page'!$K$24+'main page'!$K$11))/'main page'!$K$31,(B179-B178*V179+D178*W179-H179+'main page'!$K$27*('main page'!$K$24+'main page'!$K$11))/'main page'!$K$31)</f>
        <v>#DIV/0!</v>
      </c>
      <c r="AB178" s="49" t="e">
        <f ca="1">IF(controls!$B$45=1,LOG(AF178,1.01)+LOG(AE178,1.01)-LOG(AD178,1.01),-((M178-('main page'!$K$24+'main page'!$K$11))/(1-'normal case'!$AO$3))+'normal case'!AA178)</f>
        <v>#DIV/0!</v>
      </c>
      <c r="AC178" s="176" t="e">
        <f t="shared" ca="1" si="16"/>
        <v>#DIV/0!</v>
      </c>
      <c r="AD178" s="49">
        <f t="shared" ca="1" si="17"/>
        <v>31.99116518883174</v>
      </c>
      <c r="AE178" s="49">
        <f>AE177*(1+'main page'!$K$32/100)</f>
        <v>1</v>
      </c>
      <c r="AF178" s="49" t="e">
        <f ca="1">IF(ABS(IF(controls!$B$45=1,$AL$13,AD178*AC178/AE178)-AF177)&lt;0.00001,AF177,IF(controls!$B$45=1,$AL$13,AD178*AC178/AE178))</f>
        <v>#DIV/0!</v>
      </c>
      <c r="AG178" s="49">
        <f>IF(controls!$B$46=0,0,IF(controls!$B$33=2,B179-B178*V179-('normal case'!H179-D178*W179-'main page'!$K$27*'normal case'!M178+'main page'!$K$31*'normal case'!AB178)-(('main page'!$K$25*'main page'!$U$13*'main page'!$K$29)/(1+('main page'!$K$25^2)*'main page'!$U$13))*('normal case'!L178-'main page'!$U$8),B179-B178*V179-('normal case'!I179-D178*W179-'main page'!$K$27*'normal case'!M178+'main page'!$K$31*'normal case'!AB178)-(('main page'!$K$25*'main page'!$U$13*'main page'!$K$29)/(1+('main page'!$K$25^2)*'main page'!$U$13))*('normal case'!L178-'main page'!$U$8)))</f>
        <v>0</v>
      </c>
      <c r="AN178" s="40"/>
      <c r="AO178" s="40"/>
    </row>
    <row r="179" spans="1:41">
      <c r="A179" s="48">
        <v>177</v>
      </c>
      <c r="B179" s="75">
        <f ca="1">IF(controls!$B$33=1,B178*(1+V179)+T179,B178*(1+V179))</f>
        <v>100</v>
      </c>
      <c r="C179" s="80">
        <f t="shared" ca="1" si="18"/>
        <v>0</v>
      </c>
      <c r="D179" s="77">
        <f t="shared" ca="1" si="14"/>
        <v>100</v>
      </c>
      <c r="E179" s="77">
        <f ca="1">AG178+IF(controls!$B$33=1,G179,F179)</f>
        <v>100</v>
      </c>
      <c r="F179" s="94">
        <f ca="1">IF(controls!$B$44=0,H179-'main page'!$K$27*M178,H179-'main page'!$K$27*M178+'main page'!$K$31*AB178)</f>
        <v>100</v>
      </c>
      <c r="G179" s="75">
        <f ca="1">IF(controls!$B$44=0,I179-'main page'!$K$27*M178,I179-'main page'!$K$27*M178+'main page'!$K$31*'normal case'!AB178)</f>
        <v>100</v>
      </c>
      <c r="H179" s="75">
        <f t="shared" ca="1" si="19"/>
        <v>108</v>
      </c>
      <c r="I179" s="75">
        <f t="shared" ca="1" si="20"/>
        <v>108</v>
      </c>
      <c r="L179" s="75">
        <f ca="1">IF(ABS('main page'!$K$29*L178+(1-'main page'!$K$29)*(controls!$B$9/100)*100+'main page'!$K$25*(D179-B179)-L178)&lt;0.0000001,L178,'main page'!$K$29*L178+(1-'main page'!$K$29)*(controls!$B$9/100)*100+'main page'!$K$25*(D179-B179))</f>
        <v>2</v>
      </c>
      <c r="M179" s="96">
        <f ca="1">IF(controls!$B$10=1,M178,IF(SUM(controls!$B$44:$B$46)=2,N179-'main page'!$K$29*'normal case'!L179-(1-'main page'!$K$29)*'main page'!$K$32,N179-'main page'!$K$29*'normal case'!L179-(1-'main page'!$K$29)*controls!$B$9))</f>
        <v>4</v>
      </c>
      <c r="N179" s="208">
        <f ca="1">IF(controls!$B$45=1,IF(controls!$B$46=1,'main page'!$K$24+'main page'!$K$11+'main page'!$U$8,'main page'!$K$24+'main page'!$K$11+'main page'!$K$32),IF(controls!$B$44=1,IF(O179&lt;0,0,O179),IF(O179+'main page'!$K$11&lt;0,0,O179+'main page'!$K$11)))</f>
        <v>6</v>
      </c>
      <c r="O179" s="76">
        <f ca="1">IF(controls!$B$10=1,'normal case'!M179+'normal case'!L179,'normal case'!P179)</f>
        <v>6</v>
      </c>
      <c r="P179" s="74">
        <f t="shared" ca="1" si="15"/>
        <v>6</v>
      </c>
      <c r="Q179" s="210">
        <f ca="1">IF(controls!$B$44=0,R179+'main page'!$K$29*L179+(1-'main page'!$K$29)*controls!$B$9+(('main page'!$K$25*'main page'!$U$13*'main page'!$K$29)/('main page'!$K$27*(1+('main page'!$K$25^2)*'main page'!$U$13)))*(L179-controls!$B$9),R179+'main page'!$K$29*L179+(1-'main page'!$K$29)*controls!$B$9+(('main page'!$K$25*'main page'!$U$13*'normal case'!$AO$3)/'normal case'!$AO$4)*('normal case'!L179-controls!$B$9))</f>
        <v>6</v>
      </c>
      <c r="R179" s="98">
        <f ca="1">IF(controls!$B$44=1,'main page'!$K$24+'main page'!$K$11,IF(controls!$B$33=1,((I180-D179*W180-B180+B179*V180)/'main page'!$K$27)-'main page'!$K$11,((H180-D179*W180-B180+B179*V180)/'main page'!$K$27)-'main page'!$K$11))</f>
        <v>4</v>
      </c>
      <c r="T179" s="71">
        <f>IF(controls!$B$6=1,$AL$3*(1+('main page'!$K$35/100))^U179-$AL$3*(1+('main page'!$K$35/100))^U178,$AL$3*(1+('main page'!$G$8/100))*(1+('main page'!$K$35/100))^U179-$AL$3*(1+('main page'!$G$8/100))*(1+('main page'!$K$35/100))^U178)</f>
        <v>0</v>
      </c>
      <c r="U179" s="73">
        <v>172</v>
      </c>
      <c r="V179" s="161">
        <f ca="1">IF(controls!$B$4=1,IF(controls!$H178=1,controls!$B$34*V178+RAND()*('main page'!$K$16/100)-RAND()*('main page'!$K$16/100),0),0)</f>
        <v>0</v>
      </c>
      <c r="W179" s="40">
        <f ca="1">IF(controls!$B$4=1,IF(controls!$I178=1,controls!$B$34*W178+RAND()*('main page'!$K$16/100)-RAND()*('main page'!$K$16/100),0),0)</f>
        <v>0</v>
      </c>
      <c r="X179" s="49">
        <f ca="1">IF(controls!$B$33=1,D179-($I$3-'main page'!$K$27*2)*(1+('main page'!$K$35/100))^A178,D179-$AL$4)</f>
        <v>0</v>
      </c>
      <c r="Y179" s="49">
        <f ca="1">ABS(L179-(controls!$B$9/100)*100)</f>
        <v>0</v>
      </c>
      <c r="AA179" s="49" t="e">
        <f ca="1">IF(controls!$B$33=1,(B180-B179*V180-I180+D179*W180+'main page'!$K$27*('main page'!$K$24+'main page'!$K$11))/'main page'!$K$31,(B180-B179*V180+D179*W180-H180+'main page'!$K$27*('main page'!$K$24+'main page'!$K$11))/'main page'!$K$31)</f>
        <v>#DIV/0!</v>
      </c>
      <c r="AB179" s="49" t="e">
        <f ca="1">IF(controls!$B$45=1,LOG(AF179,1.01)+LOG(AE179,1.01)-LOG(AD179,1.01),-((M179-('main page'!$K$24+'main page'!$K$11))/(1-'normal case'!$AO$3))+'normal case'!AA179)</f>
        <v>#DIV/0!</v>
      </c>
      <c r="AC179" s="176" t="e">
        <f t="shared" ca="1" si="16"/>
        <v>#DIV/0!</v>
      </c>
      <c r="AD179" s="49">
        <f t="shared" ca="1" si="17"/>
        <v>32.630988492608374</v>
      </c>
      <c r="AE179" s="49">
        <f>AE178*(1+'main page'!$K$32/100)</f>
        <v>1</v>
      </c>
      <c r="AF179" s="49" t="e">
        <f ca="1">IF(ABS(IF(controls!$B$45=1,$AL$13,AD179*AC179/AE179)-AF178)&lt;0.00001,AF178,IF(controls!$B$45=1,$AL$13,AD179*AC179/AE179))</f>
        <v>#DIV/0!</v>
      </c>
      <c r="AG179" s="49">
        <f>IF(controls!$B$46=0,0,IF(controls!$B$33=2,B180-B179*V180-('normal case'!H180-D179*W180-'main page'!$K$27*'normal case'!M179+'main page'!$K$31*'normal case'!AB179)-(('main page'!$K$25*'main page'!$U$13*'main page'!$K$29)/(1+('main page'!$K$25^2)*'main page'!$U$13))*('normal case'!L179-'main page'!$U$8),B180-B179*V180-('normal case'!I180-D179*W180-'main page'!$K$27*'normal case'!M179+'main page'!$K$31*'normal case'!AB179)-(('main page'!$K$25*'main page'!$U$13*'main page'!$K$29)/(1+('main page'!$K$25^2)*'main page'!$U$13))*('normal case'!L179-'main page'!$U$8)))</f>
        <v>0</v>
      </c>
      <c r="AN179" s="40"/>
      <c r="AO179" s="40"/>
    </row>
    <row r="180" spans="1:41">
      <c r="A180" s="48">
        <v>178</v>
      </c>
      <c r="B180" s="75">
        <f ca="1">IF(controls!$B$33=1,B179*(1+V180)+T180,B179*(1+V180))</f>
        <v>100</v>
      </c>
      <c r="C180" s="80">
        <f t="shared" ca="1" si="18"/>
        <v>0</v>
      </c>
      <c r="D180" s="77">
        <f t="shared" ca="1" si="14"/>
        <v>100</v>
      </c>
      <c r="E180" s="77">
        <f ca="1">AG179+IF(controls!$B$33=1,G180,F180)</f>
        <v>100</v>
      </c>
      <c r="F180" s="94">
        <f ca="1">IF(controls!$B$44=0,H180-'main page'!$K$27*M179,H180-'main page'!$K$27*M179+'main page'!$K$31*AB179)</f>
        <v>100</v>
      </c>
      <c r="G180" s="75">
        <f ca="1">IF(controls!$B$44=0,I180-'main page'!$K$27*M179,I180-'main page'!$K$27*M179+'main page'!$K$31*'normal case'!AB179)</f>
        <v>100</v>
      </c>
      <c r="H180" s="75">
        <f t="shared" ca="1" si="19"/>
        <v>108</v>
      </c>
      <c r="I180" s="75">
        <f t="shared" ca="1" si="20"/>
        <v>108</v>
      </c>
      <c r="L180" s="75">
        <f ca="1">IF(ABS('main page'!$K$29*L179+(1-'main page'!$K$29)*(controls!$B$9/100)*100+'main page'!$K$25*(D180-B180)-L179)&lt;0.0000001,L179,'main page'!$K$29*L179+(1-'main page'!$K$29)*(controls!$B$9/100)*100+'main page'!$K$25*(D180-B180))</f>
        <v>2</v>
      </c>
      <c r="M180" s="96">
        <f ca="1">IF(controls!$B$10=1,M179,IF(SUM(controls!$B$44:$B$46)=2,N180-'main page'!$K$29*'normal case'!L180-(1-'main page'!$K$29)*'main page'!$K$32,N180-'main page'!$K$29*'normal case'!L180-(1-'main page'!$K$29)*controls!$B$9))</f>
        <v>4</v>
      </c>
      <c r="N180" s="208">
        <f ca="1">IF(controls!$B$45=1,IF(controls!$B$46=1,'main page'!$K$24+'main page'!$K$11+'main page'!$U$8,'main page'!$K$24+'main page'!$K$11+'main page'!$K$32),IF(controls!$B$44=1,IF(O180&lt;0,0,O180),IF(O180+'main page'!$K$11&lt;0,0,O180+'main page'!$K$11)))</f>
        <v>6</v>
      </c>
      <c r="O180" s="76">
        <f ca="1">IF(controls!$B$10=1,'normal case'!M180+'normal case'!L180,'normal case'!P180)</f>
        <v>6</v>
      </c>
      <c r="P180" s="74">
        <f t="shared" ca="1" si="15"/>
        <v>6</v>
      </c>
      <c r="Q180" s="210">
        <f ca="1">IF(controls!$B$44=0,R180+'main page'!$K$29*L180+(1-'main page'!$K$29)*controls!$B$9+(('main page'!$K$25*'main page'!$U$13*'main page'!$K$29)/('main page'!$K$27*(1+('main page'!$K$25^2)*'main page'!$U$13)))*(L180-controls!$B$9),R180+'main page'!$K$29*L180+(1-'main page'!$K$29)*controls!$B$9+(('main page'!$K$25*'main page'!$U$13*'normal case'!$AO$3)/'normal case'!$AO$4)*('normal case'!L180-controls!$B$9))</f>
        <v>6</v>
      </c>
      <c r="R180" s="98">
        <f ca="1">IF(controls!$B$44=1,'main page'!$K$24+'main page'!$K$11,IF(controls!$B$33=1,((I181-D180*W181-B181+B180*V181)/'main page'!$K$27)-'main page'!$K$11,((H181-D180*W181-B181+B180*V181)/'main page'!$K$27)-'main page'!$K$11))</f>
        <v>4</v>
      </c>
      <c r="T180" s="71">
        <f>IF(controls!$B$6=1,$AL$3*(1+('main page'!$K$35/100))^U180-$AL$3*(1+('main page'!$K$35/100))^U179,$AL$3*(1+('main page'!$G$8/100))*(1+('main page'!$K$35/100))^U180-$AL$3*(1+('main page'!$G$8/100))*(1+('main page'!$K$35/100))^U179)</f>
        <v>0</v>
      </c>
      <c r="U180" s="73">
        <v>173</v>
      </c>
      <c r="V180" s="161">
        <v>0</v>
      </c>
      <c r="W180" s="40">
        <v>0</v>
      </c>
      <c r="X180" s="49">
        <f ca="1">IF(controls!$B$33=1,D180-($I$3-'main page'!$K$27*2)*(1+('main page'!$K$35/100))^A179,D180-$AL$4)</f>
        <v>0</v>
      </c>
      <c r="Y180" s="49">
        <f ca="1">ABS(L180-(controls!$B$9/100)*100)</f>
        <v>0</v>
      </c>
      <c r="AA180" s="49" t="e">
        <f ca="1">IF(controls!$B$33=1,(B181-B180*V181-I181+D180*W181+'main page'!$K$27*('main page'!$K$24+'main page'!$K$11))/'main page'!$K$31,(B181-B180*V181+D180*W181-H181+'main page'!$K$27*('main page'!$K$24+'main page'!$K$11))/'main page'!$K$31)</f>
        <v>#DIV/0!</v>
      </c>
      <c r="AB180" s="49" t="e">
        <f ca="1">IF(controls!$B$45=1,LOG(AF180,1.01)+LOG(AE180,1.01)-LOG(AD180,1.01),-((M180-('main page'!$K$24+'main page'!$K$11))/(1-'normal case'!$AO$3))+'normal case'!AA180)</f>
        <v>#DIV/0!</v>
      </c>
      <c r="AC180" s="176" t="e">
        <f t="shared" ca="1" si="16"/>
        <v>#DIV/0!</v>
      </c>
      <c r="AD180" s="49">
        <f t="shared" ca="1" si="17"/>
        <v>33.28360826246054</v>
      </c>
      <c r="AE180" s="49">
        <f>AE179*(1+'main page'!$K$32/100)</f>
        <v>1</v>
      </c>
      <c r="AF180" s="49" t="e">
        <f ca="1">IF(ABS(IF(controls!$B$45=1,$AL$13,AD180*AC180/AE180)-AF179)&lt;0.00001,AF179,IF(controls!$B$45=1,$AL$13,AD180*AC180/AE180))</f>
        <v>#DIV/0!</v>
      </c>
      <c r="AG180" s="49">
        <f>IF(controls!$B$46=0,0,IF(controls!$B$33=2,B181-B180*V181-('normal case'!H181-D180*W181-'main page'!$K$27*'normal case'!M180+'main page'!$K$31*'normal case'!AB180)-(('main page'!$K$25*'main page'!$U$13*'main page'!$K$29)/(1+('main page'!$K$25^2)*'main page'!$U$13))*('normal case'!L180-'main page'!$U$8),B181-B180*V181-('normal case'!I181-D180*W181-'main page'!$K$27*'normal case'!M180+'main page'!$K$31*'normal case'!AB180)-(('main page'!$K$25*'main page'!$U$13*'main page'!$K$29)/(1+('main page'!$K$25^2)*'main page'!$U$13))*('normal case'!L180-'main page'!$U$8)))</f>
        <v>0</v>
      </c>
      <c r="AN180" s="40"/>
      <c r="AO180" s="40"/>
    </row>
    <row r="181" spans="1:41">
      <c r="A181" s="48">
        <v>179</v>
      </c>
      <c r="B181" s="75">
        <f ca="1">IF(controls!$B$33=1,B180*(1+V181)+T181,B180*(1+V181))</f>
        <v>100</v>
      </c>
      <c r="C181" s="80">
        <f t="shared" ca="1" si="18"/>
        <v>0</v>
      </c>
      <c r="D181" s="77">
        <f t="shared" ca="1" si="14"/>
        <v>100</v>
      </c>
      <c r="E181" s="77">
        <f ca="1">AG180+IF(controls!$B$33=1,G181,F181)</f>
        <v>100</v>
      </c>
      <c r="F181" s="94">
        <f ca="1">IF(controls!$B$44=0,H181-'main page'!$K$27*M180,H181-'main page'!$K$27*M180+'main page'!$K$31*AB180)</f>
        <v>100</v>
      </c>
      <c r="G181" s="75">
        <f ca="1">IF(controls!$B$44=0,I181-'main page'!$K$27*M180,I181-'main page'!$K$27*M180+'main page'!$K$31*'normal case'!AB180)</f>
        <v>100</v>
      </c>
      <c r="H181" s="75">
        <f t="shared" ca="1" si="19"/>
        <v>108</v>
      </c>
      <c r="I181" s="75">
        <f t="shared" ca="1" si="20"/>
        <v>108</v>
      </c>
      <c r="L181" s="75">
        <f ca="1">IF(ABS('main page'!$K$29*L180+(1-'main page'!$K$29)*(controls!$B$9/100)*100+'main page'!$K$25*(D181-B181)-L180)&lt;0.0000001,L180,'main page'!$K$29*L180+(1-'main page'!$K$29)*(controls!$B$9/100)*100+'main page'!$K$25*(D181-B181))</f>
        <v>2</v>
      </c>
      <c r="M181" s="96">
        <f ca="1">IF(controls!$B$10=1,M180,IF(SUM(controls!$B$44:$B$46)=2,N181-'main page'!$K$29*'normal case'!L181-(1-'main page'!$K$29)*'main page'!$K$32,N181-'main page'!$K$29*'normal case'!L181-(1-'main page'!$K$29)*controls!$B$9))</f>
        <v>4</v>
      </c>
      <c r="N181" s="208">
        <f ca="1">IF(controls!$B$45=1,IF(controls!$B$46=1,'main page'!$K$24+'main page'!$K$11+'main page'!$U$8,'main page'!$K$24+'main page'!$K$11+'main page'!$K$32),IF(controls!$B$44=1,IF(O181&lt;0,0,O181),IF(O181+'main page'!$K$11&lt;0,0,O181+'main page'!$K$11)))</f>
        <v>6</v>
      </c>
      <c r="O181" s="76">
        <f ca="1">IF(controls!$B$10=1,'normal case'!M181+'normal case'!L181,'normal case'!P181)</f>
        <v>6</v>
      </c>
      <c r="P181" s="74">
        <f t="shared" ca="1" si="15"/>
        <v>6</v>
      </c>
      <c r="Q181" s="210">
        <f ca="1">IF(controls!$B$44=0,R181+'main page'!$K$29*L181+(1-'main page'!$K$29)*controls!$B$9+(('main page'!$K$25*'main page'!$U$13*'main page'!$K$29)/('main page'!$K$27*(1+('main page'!$K$25^2)*'main page'!$U$13)))*(L181-controls!$B$9),R181+'main page'!$K$29*L181+(1-'main page'!$K$29)*controls!$B$9+(('main page'!$K$25*'main page'!$U$13*'normal case'!$AO$3)/'normal case'!$AO$4)*('normal case'!L181-controls!$B$9))</f>
        <v>6</v>
      </c>
      <c r="R181" s="98">
        <f ca="1">IF(controls!$B$44=1,'main page'!$K$24+'main page'!$K$11,IF(controls!$B$33=1,((I182-D181*W182-B182+B181*V182)/'main page'!$K$27)-'main page'!$K$11,((H182-D181*W182-B182+B181*V182)/'main page'!$K$27)-'main page'!$K$11))</f>
        <v>4</v>
      </c>
      <c r="T181" s="71">
        <f>IF(controls!$B$6=1,$AL$3*(1+('main page'!$K$35/100))^U181-$AL$3*(1+('main page'!$K$35/100))^U180,$AL$3*(1+('main page'!$G$8/100))*(1+('main page'!$K$35/100))^U181-$AL$3*(1+('main page'!$G$8/100))*(1+('main page'!$K$35/100))^U180)</f>
        <v>0</v>
      </c>
      <c r="U181" s="73">
        <v>174</v>
      </c>
      <c r="V181" s="161">
        <v>0</v>
      </c>
      <c r="W181" s="40">
        <v>0</v>
      </c>
      <c r="X181" s="49">
        <f ca="1">IF(controls!$B$33=1,D181-($I$3-'main page'!$K$27*2)*(1+('main page'!$K$35/100))^A180,D181-$AL$4)</f>
        <v>0</v>
      </c>
      <c r="Y181" s="49">
        <f ca="1">ABS(L181-(controls!$B$9/100)*100)</f>
        <v>0</v>
      </c>
      <c r="AA181" s="49" t="e">
        <f ca="1">IF(controls!$B$33=1,(B182-B181*V182-I182+D181*W182+'main page'!$K$27*('main page'!$K$24+'main page'!$K$11))/'main page'!$K$31,(B182-B181*V182+D181*W182-H182+'main page'!$K$27*('main page'!$K$24+'main page'!$K$11))/'main page'!$K$31)</f>
        <v>#DIV/0!</v>
      </c>
      <c r="AB181" s="49" t="e">
        <f ca="1">IF(controls!$B$45=1,LOG(AF181,1.01)+LOG(AE181,1.01)-LOG(AD181,1.01),-((M181-('main page'!$K$24+'main page'!$K$11))/(1-'normal case'!$AO$3))+'normal case'!AA181)</f>
        <v>#DIV/0!</v>
      </c>
      <c r="AC181" s="176" t="e">
        <f t="shared" ca="1" si="16"/>
        <v>#DIV/0!</v>
      </c>
      <c r="AD181" s="49">
        <f t="shared" ca="1" si="17"/>
        <v>33.949280427709752</v>
      </c>
      <c r="AE181" s="49">
        <f>AE180*(1+'main page'!$K$32/100)</f>
        <v>1</v>
      </c>
      <c r="AF181" s="49" t="e">
        <f ca="1">IF(ABS(IF(controls!$B$45=1,$AL$13,AD181*AC181/AE181)-AF180)&lt;0.00001,AF180,IF(controls!$B$45=1,$AL$13,AD181*AC181/AE181))</f>
        <v>#DIV/0!</v>
      </c>
      <c r="AG181" s="49">
        <f>IF(controls!$B$46=0,0,IF(controls!$B$33=2,B182-B181*V182-('normal case'!H182-D181*W182-'main page'!$K$27*'normal case'!M181+'main page'!$K$31*'normal case'!AB181)-(('main page'!$K$25*'main page'!$U$13*'main page'!$K$29)/(1+('main page'!$K$25^2)*'main page'!$U$13))*('normal case'!L181-'main page'!$U$8),B182-B181*V182-('normal case'!I182-D181*W182-'main page'!$K$27*'normal case'!M181+'main page'!$K$31*'normal case'!AB181)-(('main page'!$K$25*'main page'!$U$13*'main page'!$K$29)/(1+('main page'!$K$25^2)*'main page'!$U$13))*('normal case'!L181-'main page'!$U$8)))</f>
        <v>0</v>
      </c>
      <c r="AN181" s="40"/>
      <c r="AO181" s="40"/>
    </row>
    <row r="182" spans="1:41">
      <c r="A182" s="48">
        <v>180</v>
      </c>
      <c r="B182" s="75">
        <f ca="1">IF(controls!$B$33=1,B181*(1+V182)+T182,B181*(1+V182))</f>
        <v>100</v>
      </c>
      <c r="C182" s="80">
        <f t="shared" ca="1" si="18"/>
        <v>0</v>
      </c>
      <c r="D182" s="77">
        <f t="shared" ca="1" si="14"/>
        <v>100</v>
      </c>
      <c r="E182" s="77">
        <f ca="1">AG181+IF(controls!$B$33=1,G182,F182)</f>
        <v>100</v>
      </c>
      <c r="F182" s="94">
        <f ca="1">IF(controls!$B$44=0,H182-'main page'!$K$27*M181,H182-'main page'!$K$27*M181+'main page'!$K$31*AB181)</f>
        <v>100</v>
      </c>
      <c r="G182" s="75">
        <f ca="1">IF(controls!$B$44=0,I182-'main page'!$K$27*M181,I182-'main page'!$K$27*M181+'main page'!$K$31*'normal case'!AB181)</f>
        <v>100</v>
      </c>
      <c r="H182" s="75">
        <f t="shared" ca="1" si="19"/>
        <v>108</v>
      </c>
      <c r="I182" s="75">
        <f t="shared" ca="1" si="20"/>
        <v>108</v>
      </c>
      <c r="L182" s="75">
        <f ca="1">IF(ABS('main page'!$K$29*L181+(1-'main page'!$K$29)*(controls!$B$9/100)*100+'main page'!$K$25*(D182-B182)-L181)&lt;0.0000001,L181,'main page'!$K$29*L181+(1-'main page'!$K$29)*(controls!$B$9/100)*100+'main page'!$K$25*(D182-B182))</f>
        <v>2</v>
      </c>
      <c r="M182" s="96">
        <f ca="1">IF(controls!$B$10=1,M181,IF(SUM(controls!$B$44:$B$46)=2,N182-'main page'!$K$29*'normal case'!L182-(1-'main page'!$K$29)*'main page'!$K$32,N182-'main page'!$K$29*'normal case'!L182-(1-'main page'!$K$29)*controls!$B$9))</f>
        <v>4</v>
      </c>
      <c r="N182" s="208">
        <f ca="1">IF(controls!$B$45=1,IF(controls!$B$46=1,'main page'!$K$24+'main page'!$K$11+'main page'!$U$8,'main page'!$K$24+'main page'!$K$11+'main page'!$K$32),IF(controls!$B$44=1,IF(O182&lt;0,0,O182),IF(O182+'main page'!$K$11&lt;0,0,O182+'main page'!$K$11)))</f>
        <v>6</v>
      </c>
      <c r="O182" s="76">
        <f ca="1">IF(controls!$B$10=1,'normal case'!M182+'normal case'!L182,'normal case'!P182)</f>
        <v>6</v>
      </c>
      <c r="P182" s="74">
        <f t="shared" ca="1" si="15"/>
        <v>6</v>
      </c>
      <c r="Q182" s="210">
        <f ca="1">IF(controls!$B$44=0,R182+'main page'!$K$29*L182+(1-'main page'!$K$29)*controls!$B$9+(('main page'!$K$25*'main page'!$U$13*'main page'!$K$29)/('main page'!$K$27*(1+('main page'!$K$25^2)*'main page'!$U$13)))*(L182-controls!$B$9),R182+'main page'!$K$29*L182+(1-'main page'!$K$29)*controls!$B$9+(('main page'!$K$25*'main page'!$U$13*'normal case'!$AO$3)/'normal case'!$AO$4)*('normal case'!L182-controls!$B$9))</f>
        <v>6</v>
      </c>
      <c r="R182" s="98">
        <f ca="1">IF(controls!$B$44=1,'main page'!$K$24+'main page'!$K$11,IF(controls!$B$33=1,((I183-D182*W183-B183+B182*V183)/'main page'!$K$27)-'main page'!$K$11,((H183-D182*W183-B183+B182*V183)/'main page'!$K$27)-'main page'!$K$11))</f>
        <v>4</v>
      </c>
      <c r="T182" s="71">
        <f>IF(controls!$B$6=1,$AL$3*(1+('main page'!$K$35/100))^U182-$AL$3*(1+('main page'!$K$35/100))^U181,$AL$3*(1+('main page'!$G$8/100))*(1+('main page'!$K$35/100))^U182-$AL$3*(1+('main page'!$G$8/100))*(1+('main page'!$K$35/100))^U181)</f>
        <v>0</v>
      </c>
      <c r="U182" s="73">
        <v>175</v>
      </c>
      <c r="V182" s="161">
        <f ca="1">IF(controls!$B$4=1,IF(controls!$H181=1,controls!$B$34*V181+RAND()*('main page'!$K$16/100)-RAND()*('main page'!$K$16/100),0),0)</f>
        <v>0</v>
      </c>
      <c r="W182" s="40">
        <f ca="1">IF(controls!$B$4=1,IF(controls!$I181=1,controls!$B$34*W181+RAND()*('main page'!$K$16/100)-RAND()*('main page'!$K$16/100),0),0)</f>
        <v>0</v>
      </c>
      <c r="X182" s="49">
        <f ca="1">IF(controls!$B$33=1,D182-($I$3-'main page'!$K$27*2)*(1+('main page'!$K$35/100))^A181,D182-$AL$4)</f>
        <v>0</v>
      </c>
      <c r="Y182" s="49">
        <f ca="1">ABS(L182-(controls!$B$9/100)*100)</f>
        <v>0</v>
      </c>
      <c r="AA182" s="49" t="e">
        <f ca="1">IF(controls!$B$33=1,(B183-B182*V183-I183+D182*W183+'main page'!$K$27*('main page'!$K$24+'main page'!$K$11))/'main page'!$K$31,(B183-B182*V183+D182*W183-H183+'main page'!$K$27*('main page'!$K$24+'main page'!$K$11))/'main page'!$K$31)</f>
        <v>#DIV/0!</v>
      </c>
      <c r="AB182" s="49" t="e">
        <f ca="1">IF(controls!$B$45=1,LOG(AF182,1.01)+LOG(AE182,1.01)-LOG(AD182,1.01),-((M182-('main page'!$K$24+'main page'!$K$11))/(1-'normal case'!$AO$3))+'normal case'!AA182)</f>
        <v>#DIV/0!</v>
      </c>
      <c r="AC182" s="176" t="e">
        <f t="shared" ca="1" si="16"/>
        <v>#DIV/0!</v>
      </c>
      <c r="AD182" s="49">
        <f t="shared" ca="1" si="17"/>
        <v>34.628266036263945</v>
      </c>
      <c r="AE182" s="49">
        <f>AE181*(1+'main page'!$K$32/100)</f>
        <v>1</v>
      </c>
      <c r="AF182" s="49" t="e">
        <f ca="1">IF(ABS(IF(controls!$B$45=1,$AL$13,AD182*AC182/AE182)-AF181)&lt;0.00001,AF181,IF(controls!$B$45=1,$AL$13,AD182*AC182/AE182))</f>
        <v>#DIV/0!</v>
      </c>
      <c r="AG182" s="49">
        <f>IF(controls!$B$46=0,0,IF(controls!$B$33=2,B183-B182*V183-('normal case'!H183-D182*W183-'main page'!$K$27*'normal case'!M182+'main page'!$K$31*'normal case'!AB182)-(('main page'!$K$25*'main page'!$U$13*'main page'!$K$29)/(1+('main page'!$K$25^2)*'main page'!$U$13))*('normal case'!L182-'main page'!$U$8),B183-B182*V183-('normal case'!I183-D182*W183-'main page'!$K$27*'normal case'!M182+'main page'!$K$31*'normal case'!AB182)-(('main page'!$K$25*'main page'!$U$13*'main page'!$K$29)/(1+('main page'!$K$25^2)*'main page'!$U$13))*('normal case'!L182-'main page'!$U$8)))</f>
        <v>0</v>
      </c>
      <c r="AN182" s="40"/>
      <c r="AO182" s="40"/>
    </row>
    <row r="183" spans="1:41">
      <c r="A183" s="48">
        <v>181</v>
      </c>
      <c r="B183" s="75">
        <f ca="1">IF(controls!$B$33=1,B182*(1+V183)+T183,B182*(1+V183))</f>
        <v>100</v>
      </c>
      <c r="C183" s="80">
        <f t="shared" ca="1" si="18"/>
        <v>0</v>
      </c>
      <c r="D183" s="77">
        <f t="shared" ca="1" si="14"/>
        <v>100</v>
      </c>
      <c r="E183" s="77">
        <f ca="1">AG182+IF(controls!$B$33=1,G183,F183)</f>
        <v>100</v>
      </c>
      <c r="F183" s="94">
        <f ca="1">IF(controls!$B$44=0,H183-'main page'!$K$27*M182,H183-'main page'!$K$27*M182+'main page'!$K$31*AB182)</f>
        <v>100</v>
      </c>
      <c r="G183" s="75">
        <f ca="1">IF(controls!$B$44=0,I183-'main page'!$K$27*M182,I183-'main page'!$K$27*M182+'main page'!$K$31*'normal case'!AB182)</f>
        <v>100</v>
      </c>
      <c r="H183" s="75">
        <f t="shared" ca="1" si="19"/>
        <v>108</v>
      </c>
      <c r="I183" s="75">
        <f t="shared" ca="1" si="20"/>
        <v>108</v>
      </c>
      <c r="L183" s="75">
        <f ca="1">IF(ABS('main page'!$K$29*L182+(1-'main page'!$K$29)*(controls!$B$9/100)*100+'main page'!$K$25*(D183-B183)-L182)&lt;0.0000001,L182,'main page'!$K$29*L182+(1-'main page'!$K$29)*(controls!$B$9/100)*100+'main page'!$K$25*(D183-B183))</f>
        <v>2</v>
      </c>
      <c r="M183" s="96">
        <f ca="1">IF(controls!$B$10=1,M182,IF(SUM(controls!$B$44:$B$46)=2,N183-'main page'!$K$29*'normal case'!L183-(1-'main page'!$K$29)*'main page'!$K$32,N183-'main page'!$K$29*'normal case'!L183-(1-'main page'!$K$29)*controls!$B$9))</f>
        <v>4</v>
      </c>
      <c r="N183" s="208">
        <f ca="1">IF(controls!$B$45=1,IF(controls!$B$46=1,'main page'!$K$24+'main page'!$K$11+'main page'!$U$8,'main page'!$K$24+'main page'!$K$11+'main page'!$K$32),IF(controls!$B$44=1,IF(O183&lt;0,0,O183),IF(O183+'main page'!$K$11&lt;0,0,O183+'main page'!$K$11)))</f>
        <v>6</v>
      </c>
      <c r="O183" s="76">
        <f ca="1">IF(controls!$B$10=1,'normal case'!M183+'normal case'!L183,'normal case'!P183)</f>
        <v>6</v>
      </c>
      <c r="P183" s="74">
        <f t="shared" ca="1" si="15"/>
        <v>6</v>
      </c>
      <c r="Q183" s="210">
        <f ca="1">IF(controls!$B$44=0,R183+'main page'!$K$29*L183+(1-'main page'!$K$29)*controls!$B$9+(('main page'!$K$25*'main page'!$U$13*'main page'!$K$29)/('main page'!$K$27*(1+('main page'!$K$25^2)*'main page'!$U$13)))*(L183-controls!$B$9),R183+'main page'!$K$29*L183+(1-'main page'!$K$29)*controls!$B$9+(('main page'!$K$25*'main page'!$U$13*'normal case'!$AO$3)/'normal case'!$AO$4)*('normal case'!L183-controls!$B$9))</f>
        <v>6</v>
      </c>
      <c r="R183" s="98">
        <f ca="1">IF(controls!$B$44=1,'main page'!$K$24+'main page'!$K$11,IF(controls!$B$33=1,((I184-D183*W184-B184+B183*V184)/'main page'!$K$27)-'main page'!$K$11,((H184-D183*W184-B184+B183*V184)/'main page'!$K$27)-'main page'!$K$11))</f>
        <v>4</v>
      </c>
      <c r="T183" s="71">
        <f>IF(controls!$B$6=1,$AL$3*(1+('main page'!$K$35/100))^U183-$AL$3*(1+('main page'!$K$35/100))^U182,$AL$3*(1+('main page'!$G$8/100))*(1+('main page'!$K$35/100))^U183-$AL$3*(1+('main page'!$G$8/100))*(1+('main page'!$K$35/100))^U182)</f>
        <v>0</v>
      </c>
      <c r="U183" s="73">
        <v>176</v>
      </c>
      <c r="V183" s="161">
        <v>0</v>
      </c>
      <c r="W183" s="40">
        <v>0</v>
      </c>
      <c r="X183" s="49">
        <f ca="1">IF(controls!$B$33=1,D183-($I$3-'main page'!$K$27*2)*(1+('main page'!$K$35/100))^A182,D183-$AL$4)</f>
        <v>0</v>
      </c>
      <c r="Y183" s="49">
        <f ca="1">ABS(L183-(controls!$B$9/100)*100)</f>
        <v>0</v>
      </c>
      <c r="AA183" s="49" t="e">
        <f ca="1">IF(controls!$B$33=1,(B184-B183*V184-I184+D183*W184+'main page'!$K$27*('main page'!$K$24+'main page'!$K$11))/'main page'!$K$31,(B184-B183*V184+D183*W184-H184+'main page'!$K$27*('main page'!$K$24+'main page'!$K$11))/'main page'!$K$31)</f>
        <v>#DIV/0!</v>
      </c>
      <c r="AB183" s="49" t="e">
        <f ca="1">IF(controls!$B$45=1,LOG(AF183,1.01)+LOG(AE183,1.01)-LOG(AD183,1.01),-((M183-('main page'!$K$24+'main page'!$K$11))/(1-'normal case'!$AO$3))+'normal case'!AA183)</f>
        <v>#DIV/0!</v>
      </c>
      <c r="AC183" s="176" t="e">
        <f t="shared" ca="1" si="16"/>
        <v>#DIV/0!</v>
      </c>
      <c r="AD183" s="49">
        <f t="shared" ca="1" si="17"/>
        <v>35.320831356989224</v>
      </c>
      <c r="AE183" s="49">
        <f>AE182*(1+'main page'!$K$32/100)</f>
        <v>1</v>
      </c>
      <c r="AF183" s="49" t="e">
        <f ca="1">IF(ABS(IF(controls!$B$45=1,$AL$13,AD183*AC183/AE183)-AF182)&lt;0.00001,AF182,IF(controls!$B$45=1,$AL$13,AD183*AC183/AE183))</f>
        <v>#DIV/0!</v>
      </c>
      <c r="AG183" s="49">
        <f>IF(controls!$B$46=0,0,IF(controls!$B$33=2,B184-B183*V184-('normal case'!H184-D183*W184-'main page'!$K$27*'normal case'!M183+'main page'!$K$31*'normal case'!AB183)-(('main page'!$K$25*'main page'!$U$13*'main page'!$K$29)/(1+('main page'!$K$25^2)*'main page'!$U$13))*('normal case'!L183-'main page'!$U$8),B184-B183*V184-('normal case'!I184-D183*W184-'main page'!$K$27*'normal case'!M183+'main page'!$K$31*'normal case'!AB183)-(('main page'!$K$25*'main page'!$U$13*'main page'!$K$29)/(1+('main page'!$K$25^2)*'main page'!$U$13))*('normal case'!L183-'main page'!$U$8)))</f>
        <v>0</v>
      </c>
      <c r="AN183" s="40"/>
      <c r="AO183" s="40"/>
    </row>
    <row r="184" spans="1:41">
      <c r="A184" s="48">
        <v>182</v>
      </c>
      <c r="B184" s="75">
        <f ca="1">IF(controls!$B$33=1,B183*(1+V184)+T184,B183*(1+V184))</f>
        <v>100</v>
      </c>
      <c r="C184" s="80">
        <f t="shared" ca="1" si="18"/>
        <v>0</v>
      </c>
      <c r="D184" s="77">
        <f t="shared" ca="1" si="14"/>
        <v>100</v>
      </c>
      <c r="E184" s="77">
        <f ca="1">AG183+IF(controls!$B$33=1,G184,F184)</f>
        <v>100</v>
      </c>
      <c r="F184" s="94">
        <f ca="1">IF(controls!$B$44=0,H184-'main page'!$K$27*M183,H184-'main page'!$K$27*M183+'main page'!$K$31*AB183)</f>
        <v>100</v>
      </c>
      <c r="G184" s="75">
        <f ca="1">IF(controls!$B$44=0,I184-'main page'!$K$27*M183,I184-'main page'!$K$27*M183+'main page'!$K$31*'normal case'!AB183)</f>
        <v>100</v>
      </c>
      <c r="H184" s="75">
        <f t="shared" ca="1" si="19"/>
        <v>108</v>
      </c>
      <c r="I184" s="75">
        <f t="shared" ca="1" si="20"/>
        <v>108</v>
      </c>
      <c r="L184" s="75">
        <f ca="1">IF(ABS('main page'!$K$29*L183+(1-'main page'!$K$29)*(controls!$B$9/100)*100+'main page'!$K$25*(D184-B184)-L183)&lt;0.0000001,L183,'main page'!$K$29*L183+(1-'main page'!$K$29)*(controls!$B$9/100)*100+'main page'!$K$25*(D184-B184))</f>
        <v>2</v>
      </c>
      <c r="M184" s="96">
        <f ca="1">IF(controls!$B$10=1,M183,IF(SUM(controls!$B$44:$B$46)=2,N184-'main page'!$K$29*'normal case'!L184-(1-'main page'!$K$29)*'main page'!$K$32,N184-'main page'!$K$29*'normal case'!L184-(1-'main page'!$K$29)*controls!$B$9))</f>
        <v>4</v>
      </c>
      <c r="N184" s="208">
        <f ca="1">IF(controls!$B$45=1,IF(controls!$B$46=1,'main page'!$K$24+'main page'!$K$11+'main page'!$U$8,'main page'!$K$24+'main page'!$K$11+'main page'!$K$32),IF(controls!$B$44=1,IF(O184&lt;0,0,O184),IF(O184+'main page'!$K$11&lt;0,0,O184+'main page'!$K$11)))</f>
        <v>6</v>
      </c>
      <c r="O184" s="76">
        <f ca="1">IF(controls!$B$10=1,'normal case'!M184+'normal case'!L184,'normal case'!P184)</f>
        <v>6</v>
      </c>
      <c r="P184" s="74">
        <f t="shared" ca="1" si="15"/>
        <v>6</v>
      </c>
      <c r="Q184" s="210">
        <f ca="1">IF(controls!$B$44=0,R184+'main page'!$K$29*L184+(1-'main page'!$K$29)*controls!$B$9+(('main page'!$K$25*'main page'!$U$13*'main page'!$K$29)/('main page'!$K$27*(1+('main page'!$K$25^2)*'main page'!$U$13)))*(L184-controls!$B$9),R184+'main page'!$K$29*L184+(1-'main page'!$K$29)*controls!$B$9+(('main page'!$K$25*'main page'!$U$13*'normal case'!$AO$3)/'normal case'!$AO$4)*('normal case'!L184-controls!$B$9))</f>
        <v>6</v>
      </c>
      <c r="R184" s="98">
        <f ca="1">IF(controls!$B$44=1,'main page'!$K$24+'main page'!$K$11,IF(controls!$B$33=1,((I185-D184*W185-B185+B184*V185)/'main page'!$K$27)-'main page'!$K$11,((H185-D184*W185-B185+B184*V185)/'main page'!$K$27)-'main page'!$K$11))</f>
        <v>4</v>
      </c>
      <c r="T184" s="71">
        <f>IF(controls!$B$6=1,$AL$3*(1+('main page'!$K$35/100))^U184-$AL$3*(1+('main page'!$K$35/100))^U183,$AL$3*(1+('main page'!$G$8/100))*(1+('main page'!$K$35/100))^U184-$AL$3*(1+('main page'!$G$8/100))*(1+('main page'!$K$35/100))^U183)</f>
        <v>0</v>
      </c>
      <c r="U184" s="73">
        <v>177</v>
      </c>
      <c r="V184" s="161">
        <v>0</v>
      </c>
      <c r="W184" s="40">
        <v>0</v>
      </c>
      <c r="X184" s="49">
        <f ca="1">IF(controls!$B$33=1,D184-($I$3-'main page'!$K$27*2)*(1+('main page'!$K$35/100))^A183,D184-$AL$4)</f>
        <v>0</v>
      </c>
      <c r="Y184" s="49">
        <f ca="1">ABS(L184-(controls!$B$9/100)*100)</f>
        <v>0</v>
      </c>
      <c r="AA184" s="49" t="e">
        <f ca="1">IF(controls!$B$33=1,(B185-B184*V185-I185+D184*W185+'main page'!$K$27*('main page'!$K$24+'main page'!$K$11))/'main page'!$K$31,(B185-B184*V185+D184*W185-H185+'main page'!$K$27*('main page'!$K$24+'main page'!$K$11))/'main page'!$K$31)</f>
        <v>#DIV/0!</v>
      </c>
      <c r="AB184" s="49" t="e">
        <f ca="1">IF(controls!$B$45=1,LOG(AF184,1.01)+LOG(AE184,1.01)-LOG(AD184,1.01),-((M184-('main page'!$K$24+'main page'!$K$11))/(1-'normal case'!$AO$3))+'normal case'!AA184)</f>
        <v>#DIV/0!</v>
      </c>
      <c r="AC184" s="176" t="e">
        <f t="shared" ca="1" si="16"/>
        <v>#DIV/0!</v>
      </c>
      <c r="AD184" s="49">
        <f t="shared" ca="1" si="17"/>
        <v>36.027247984129012</v>
      </c>
      <c r="AE184" s="49">
        <f>AE183*(1+'main page'!$K$32/100)</f>
        <v>1</v>
      </c>
      <c r="AF184" s="49" t="e">
        <f ca="1">IF(ABS(IF(controls!$B$45=1,$AL$13,AD184*AC184/AE184)-AF183)&lt;0.00001,AF183,IF(controls!$B$45=1,$AL$13,AD184*AC184/AE184))</f>
        <v>#DIV/0!</v>
      </c>
      <c r="AG184" s="49">
        <f>IF(controls!$B$46=0,0,IF(controls!$B$33=2,B185-B184*V185-('normal case'!H185-D184*W185-'main page'!$K$27*'normal case'!M184+'main page'!$K$31*'normal case'!AB184)-(('main page'!$K$25*'main page'!$U$13*'main page'!$K$29)/(1+('main page'!$K$25^2)*'main page'!$U$13))*('normal case'!L184-'main page'!$U$8),B185-B184*V185-('normal case'!I185-D184*W185-'main page'!$K$27*'normal case'!M184+'main page'!$K$31*'normal case'!AB184)-(('main page'!$K$25*'main page'!$U$13*'main page'!$K$29)/(1+('main page'!$K$25^2)*'main page'!$U$13))*('normal case'!L184-'main page'!$U$8)))</f>
        <v>0</v>
      </c>
      <c r="AN184" s="40"/>
      <c r="AO184" s="40"/>
    </row>
    <row r="185" spans="1:41">
      <c r="A185" s="48">
        <v>183</v>
      </c>
      <c r="B185" s="75">
        <f ca="1">IF(controls!$B$33=1,B184*(1+V185)+T185,B184*(1+V185))</f>
        <v>100</v>
      </c>
      <c r="C185" s="80">
        <f t="shared" ca="1" si="18"/>
        <v>0</v>
      </c>
      <c r="D185" s="77">
        <f t="shared" ca="1" si="14"/>
        <v>100</v>
      </c>
      <c r="E185" s="77">
        <f ca="1">AG184+IF(controls!$B$33=1,G185,F185)</f>
        <v>100</v>
      </c>
      <c r="F185" s="94">
        <f ca="1">IF(controls!$B$44=0,H185-'main page'!$K$27*M184,H185-'main page'!$K$27*M184+'main page'!$K$31*AB184)</f>
        <v>100</v>
      </c>
      <c r="G185" s="75">
        <f ca="1">IF(controls!$B$44=0,I185-'main page'!$K$27*M184,I185-'main page'!$K$27*M184+'main page'!$K$31*'normal case'!AB184)</f>
        <v>100</v>
      </c>
      <c r="H185" s="75">
        <f t="shared" ca="1" si="19"/>
        <v>108</v>
      </c>
      <c r="I185" s="75">
        <f t="shared" ca="1" si="20"/>
        <v>108</v>
      </c>
      <c r="L185" s="75">
        <f ca="1">IF(ABS('main page'!$K$29*L184+(1-'main page'!$K$29)*(controls!$B$9/100)*100+'main page'!$K$25*(D185-B185)-L184)&lt;0.0000001,L184,'main page'!$K$29*L184+(1-'main page'!$K$29)*(controls!$B$9/100)*100+'main page'!$K$25*(D185-B185))</f>
        <v>2</v>
      </c>
      <c r="M185" s="96">
        <f ca="1">IF(controls!$B$10=1,M184,IF(SUM(controls!$B$44:$B$46)=2,N185-'main page'!$K$29*'normal case'!L185-(1-'main page'!$K$29)*'main page'!$K$32,N185-'main page'!$K$29*'normal case'!L185-(1-'main page'!$K$29)*controls!$B$9))</f>
        <v>4</v>
      </c>
      <c r="N185" s="208">
        <f ca="1">IF(controls!$B$45=1,IF(controls!$B$46=1,'main page'!$K$24+'main page'!$K$11+'main page'!$U$8,'main page'!$K$24+'main page'!$K$11+'main page'!$K$32),IF(controls!$B$44=1,IF(O185&lt;0,0,O185),IF(O185+'main page'!$K$11&lt;0,0,O185+'main page'!$K$11)))</f>
        <v>6</v>
      </c>
      <c r="O185" s="76">
        <f ca="1">IF(controls!$B$10=1,'normal case'!M185+'normal case'!L185,'normal case'!P185)</f>
        <v>6</v>
      </c>
      <c r="P185" s="74">
        <f t="shared" ca="1" si="15"/>
        <v>6</v>
      </c>
      <c r="Q185" s="210">
        <f ca="1">IF(controls!$B$44=0,R185+'main page'!$K$29*L185+(1-'main page'!$K$29)*controls!$B$9+(('main page'!$K$25*'main page'!$U$13*'main page'!$K$29)/('main page'!$K$27*(1+('main page'!$K$25^2)*'main page'!$U$13)))*(L185-controls!$B$9),R185+'main page'!$K$29*L185+(1-'main page'!$K$29)*controls!$B$9+(('main page'!$K$25*'main page'!$U$13*'normal case'!$AO$3)/'normal case'!$AO$4)*('normal case'!L185-controls!$B$9))</f>
        <v>6</v>
      </c>
      <c r="R185" s="98">
        <f ca="1">IF(controls!$B$44=1,'main page'!$K$24+'main page'!$K$11,IF(controls!$B$33=1,((I186-D185*W186-B186+B185*V186)/'main page'!$K$27)-'main page'!$K$11,((H186-D185*W186-B186+B185*V186)/'main page'!$K$27)-'main page'!$K$11))</f>
        <v>4</v>
      </c>
      <c r="T185" s="71">
        <f>IF(controls!$B$6=1,$AL$3*(1+('main page'!$K$35/100))^U185-$AL$3*(1+('main page'!$K$35/100))^U184,$AL$3*(1+('main page'!$G$8/100))*(1+('main page'!$K$35/100))^U185-$AL$3*(1+('main page'!$G$8/100))*(1+('main page'!$K$35/100))^U184)</f>
        <v>0</v>
      </c>
      <c r="U185" s="73">
        <v>178</v>
      </c>
      <c r="V185" s="161">
        <f ca="1">IF(controls!$B$4=1,IF(controls!$H184=1,controls!$B$34*V184+RAND()*('main page'!$K$16/100)-RAND()*('main page'!$K$16/100),0),0)</f>
        <v>0</v>
      </c>
      <c r="W185" s="40">
        <f ca="1">IF(controls!$B$4=1,IF(controls!$I184=1,controls!$B$34*W184+RAND()*('main page'!$K$16/100)-RAND()*('main page'!$K$16/100),0),0)</f>
        <v>0</v>
      </c>
      <c r="X185" s="49">
        <f ca="1">IF(controls!$B$33=1,D185-($I$3-'main page'!$K$27*2)*(1+('main page'!$K$35/100))^A184,D185-$AL$4)</f>
        <v>0</v>
      </c>
      <c r="Y185" s="49">
        <f ca="1">ABS(L185-(controls!$B$9/100)*100)</f>
        <v>0</v>
      </c>
      <c r="AA185" s="49" t="e">
        <f ca="1">IF(controls!$B$33=1,(B186-B185*V186-I186+D185*W186+'main page'!$K$27*('main page'!$K$24+'main page'!$K$11))/'main page'!$K$31,(B186-B185*V186+D185*W186-H186+'main page'!$K$27*('main page'!$K$24+'main page'!$K$11))/'main page'!$K$31)</f>
        <v>#DIV/0!</v>
      </c>
      <c r="AB185" s="49" t="e">
        <f ca="1">IF(controls!$B$45=1,LOG(AF185,1.01)+LOG(AE185,1.01)-LOG(AD185,1.01),-((M185-('main page'!$K$24+'main page'!$K$11))/(1-'normal case'!$AO$3))+'normal case'!AA185)</f>
        <v>#DIV/0!</v>
      </c>
      <c r="AC185" s="176" t="e">
        <f t="shared" ca="1" si="16"/>
        <v>#DIV/0!</v>
      </c>
      <c r="AD185" s="49">
        <f t="shared" ca="1" si="17"/>
        <v>36.747792943811596</v>
      </c>
      <c r="AE185" s="49">
        <f>AE184*(1+'main page'!$K$32/100)</f>
        <v>1</v>
      </c>
      <c r="AF185" s="49" t="e">
        <f ca="1">IF(ABS(IF(controls!$B$45=1,$AL$13,AD185*AC185/AE185)-AF184)&lt;0.00001,AF184,IF(controls!$B$45=1,$AL$13,AD185*AC185/AE185))</f>
        <v>#DIV/0!</v>
      </c>
      <c r="AG185" s="49">
        <f>IF(controls!$B$46=0,0,IF(controls!$B$33=2,B186-B185*V186-('normal case'!H186-D185*W186-'main page'!$K$27*'normal case'!M185+'main page'!$K$31*'normal case'!AB185)-(('main page'!$K$25*'main page'!$U$13*'main page'!$K$29)/(1+('main page'!$K$25^2)*'main page'!$U$13))*('normal case'!L185-'main page'!$U$8),B186-B185*V186-('normal case'!I186-D185*W186-'main page'!$K$27*'normal case'!M185+'main page'!$K$31*'normal case'!AB185)-(('main page'!$K$25*'main page'!$U$13*'main page'!$K$29)/(1+('main page'!$K$25^2)*'main page'!$U$13))*('normal case'!L185-'main page'!$U$8)))</f>
        <v>0</v>
      </c>
      <c r="AN185" s="40"/>
      <c r="AO185" s="40"/>
    </row>
    <row r="186" spans="1:41">
      <c r="A186" s="48">
        <v>184</v>
      </c>
      <c r="B186" s="75">
        <f ca="1">IF(controls!$B$33=1,B185*(1+V186)+T186,B185*(1+V186))</f>
        <v>100</v>
      </c>
      <c r="C186" s="80">
        <f t="shared" ca="1" si="18"/>
        <v>0</v>
      </c>
      <c r="D186" s="77">
        <f t="shared" ca="1" si="14"/>
        <v>100</v>
      </c>
      <c r="E186" s="77">
        <f ca="1">AG185+IF(controls!$B$33=1,G186,F186)</f>
        <v>100</v>
      </c>
      <c r="F186" s="94">
        <f ca="1">IF(controls!$B$44=0,H186-'main page'!$K$27*M185,H186-'main page'!$K$27*M185+'main page'!$K$31*AB185)</f>
        <v>100</v>
      </c>
      <c r="G186" s="75">
        <f ca="1">IF(controls!$B$44=0,I186-'main page'!$K$27*M185,I186-'main page'!$K$27*M185+'main page'!$K$31*'normal case'!AB185)</f>
        <v>100</v>
      </c>
      <c r="H186" s="75">
        <f t="shared" ca="1" si="19"/>
        <v>108</v>
      </c>
      <c r="I186" s="75">
        <f t="shared" ca="1" si="20"/>
        <v>108</v>
      </c>
      <c r="L186" s="75">
        <f ca="1">IF(ABS('main page'!$K$29*L185+(1-'main page'!$K$29)*(controls!$B$9/100)*100+'main page'!$K$25*(D186-B186)-L185)&lt;0.0000001,L185,'main page'!$K$29*L185+(1-'main page'!$K$29)*(controls!$B$9/100)*100+'main page'!$K$25*(D186-B186))</f>
        <v>2</v>
      </c>
      <c r="M186" s="96">
        <f ca="1">IF(controls!$B$10=1,M185,IF(SUM(controls!$B$44:$B$46)=2,N186-'main page'!$K$29*'normal case'!L186-(1-'main page'!$K$29)*'main page'!$K$32,N186-'main page'!$K$29*'normal case'!L186-(1-'main page'!$K$29)*controls!$B$9))</f>
        <v>4</v>
      </c>
      <c r="N186" s="208">
        <f ca="1">IF(controls!$B$45=1,IF(controls!$B$46=1,'main page'!$K$24+'main page'!$K$11+'main page'!$U$8,'main page'!$K$24+'main page'!$K$11+'main page'!$K$32),IF(controls!$B$44=1,IF(O186&lt;0,0,O186),IF(O186+'main page'!$K$11&lt;0,0,O186+'main page'!$K$11)))</f>
        <v>6</v>
      </c>
      <c r="O186" s="76">
        <f ca="1">IF(controls!$B$10=1,'normal case'!M186+'normal case'!L186,'normal case'!P186)</f>
        <v>6</v>
      </c>
      <c r="P186" s="74">
        <f t="shared" ca="1" si="15"/>
        <v>6</v>
      </c>
      <c r="Q186" s="210">
        <f ca="1">IF(controls!$B$44=0,R186+'main page'!$K$29*L186+(1-'main page'!$K$29)*controls!$B$9+(('main page'!$K$25*'main page'!$U$13*'main page'!$K$29)/('main page'!$K$27*(1+('main page'!$K$25^2)*'main page'!$U$13)))*(L186-controls!$B$9),R186+'main page'!$K$29*L186+(1-'main page'!$K$29)*controls!$B$9+(('main page'!$K$25*'main page'!$U$13*'normal case'!$AO$3)/'normal case'!$AO$4)*('normal case'!L186-controls!$B$9))</f>
        <v>6</v>
      </c>
      <c r="R186" s="98">
        <f ca="1">IF(controls!$B$44=1,'main page'!$K$24+'main page'!$K$11,IF(controls!$B$33=1,((I187-D186*W187-B187+B186*V187)/'main page'!$K$27)-'main page'!$K$11,((H187-D186*W187-B187+B186*V187)/'main page'!$K$27)-'main page'!$K$11))</f>
        <v>4</v>
      </c>
      <c r="T186" s="71">
        <f>IF(controls!$B$6=1,$AL$3*(1+('main page'!$K$35/100))^U186-$AL$3*(1+('main page'!$K$35/100))^U185,$AL$3*(1+('main page'!$G$8/100))*(1+('main page'!$K$35/100))^U186-$AL$3*(1+('main page'!$G$8/100))*(1+('main page'!$K$35/100))^U185)</f>
        <v>0</v>
      </c>
      <c r="U186" s="73">
        <v>179</v>
      </c>
      <c r="V186" s="161">
        <v>0</v>
      </c>
      <c r="W186" s="40">
        <v>0</v>
      </c>
      <c r="X186" s="49">
        <f ca="1">IF(controls!$B$33=1,D186-($I$3-'main page'!$K$27*2)*(1+('main page'!$K$35/100))^A185,D186-$AL$4)</f>
        <v>0</v>
      </c>
      <c r="Y186" s="49">
        <f ca="1">ABS(L186-(controls!$B$9/100)*100)</f>
        <v>0</v>
      </c>
      <c r="AA186" s="49" t="e">
        <f ca="1">IF(controls!$B$33=1,(B187-B186*V187-I187+D186*W187+'main page'!$K$27*('main page'!$K$24+'main page'!$K$11))/'main page'!$K$31,(B187-B186*V187+D186*W187-H187+'main page'!$K$27*('main page'!$K$24+'main page'!$K$11))/'main page'!$K$31)</f>
        <v>#DIV/0!</v>
      </c>
      <c r="AB186" s="49" t="e">
        <f ca="1">IF(controls!$B$45=1,LOG(AF186,1.01)+LOG(AE186,1.01)-LOG(AD186,1.01),-((M186-('main page'!$K$24+'main page'!$K$11))/(1-'normal case'!$AO$3))+'normal case'!AA186)</f>
        <v>#DIV/0!</v>
      </c>
      <c r="AC186" s="176" t="e">
        <f t="shared" ca="1" si="16"/>
        <v>#DIV/0!</v>
      </c>
      <c r="AD186" s="49">
        <f t="shared" ca="1" si="17"/>
        <v>37.48274880268783</v>
      </c>
      <c r="AE186" s="49">
        <f>AE185*(1+'main page'!$K$32/100)</f>
        <v>1</v>
      </c>
      <c r="AF186" s="49" t="e">
        <f ca="1">IF(ABS(IF(controls!$B$45=1,$AL$13,AD186*AC186/AE186)-AF185)&lt;0.00001,AF185,IF(controls!$B$45=1,$AL$13,AD186*AC186/AE186))</f>
        <v>#DIV/0!</v>
      </c>
      <c r="AG186" s="49">
        <f>IF(controls!$B$46=0,0,IF(controls!$B$33=2,B187-B186*V187-('normal case'!H187-D186*W187-'main page'!$K$27*'normal case'!M186+'main page'!$K$31*'normal case'!AB186)-(('main page'!$K$25*'main page'!$U$13*'main page'!$K$29)/(1+('main page'!$K$25^2)*'main page'!$U$13))*('normal case'!L186-'main page'!$U$8),B187-B186*V187-('normal case'!I187-D186*W187-'main page'!$K$27*'normal case'!M186+'main page'!$K$31*'normal case'!AB186)-(('main page'!$K$25*'main page'!$U$13*'main page'!$K$29)/(1+('main page'!$K$25^2)*'main page'!$U$13))*('normal case'!L186-'main page'!$U$8)))</f>
        <v>0</v>
      </c>
      <c r="AN186" s="40"/>
      <c r="AO186" s="40"/>
    </row>
    <row r="187" spans="1:41">
      <c r="A187" s="48">
        <v>185</v>
      </c>
      <c r="B187" s="75">
        <f ca="1">IF(controls!$B$33=1,B186*(1+V187)+T187,B186*(1+V187))</f>
        <v>100</v>
      </c>
      <c r="C187" s="80">
        <f t="shared" ca="1" si="18"/>
        <v>0</v>
      </c>
      <c r="D187" s="77">
        <f t="shared" ca="1" si="14"/>
        <v>100</v>
      </c>
      <c r="E187" s="77">
        <f ca="1">AG186+IF(controls!$B$33=1,G187,F187)</f>
        <v>100</v>
      </c>
      <c r="F187" s="94">
        <f ca="1">IF(controls!$B$44=0,H187-'main page'!$K$27*M186,H187-'main page'!$K$27*M186+'main page'!$K$31*AB186)</f>
        <v>100</v>
      </c>
      <c r="G187" s="75">
        <f ca="1">IF(controls!$B$44=0,I187-'main page'!$K$27*M186,I187-'main page'!$K$27*M186+'main page'!$K$31*'normal case'!AB186)</f>
        <v>100</v>
      </c>
      <c r="H187" s="75">
        <f t="shared" ca="1" si="19"/>
        <v>108</v>
      </c>
      <c r="I187" s="75">
        <f t="shared" ca="1" si="20"/>
        <v>108</v>
      </c>
      <c r="L187" s="75">
        <f ca="1">IF(ABS('main page'!$K$29*L186+(1-'main page'!$K$29)*(controls!$B$9/100)*100+'main page'!$K$25*(D187-B187)-L186)&lt;0.0000001,L186,'main page'!$K$29*L186+(1-'main page'!$K$29)*(controls!$B$9/100)*100+'main page'!$K$25*(D187-B187))</f>
        <v>2</v>
      </c>
      <c r="M187" s="96">
        <f ca="1">IF(controls!$B$10=1,M186,IF(SUM(controls!$B$44:$B$46)=2,N187-'main page'!$K$29*'normal case'!L187-(1-'main page'!$K$29)*'main page'!$K$32,N187-'main page'!$K$29*'normal case'!L187-(1-'main page'!$K$29)*controls!$B$9))</f>
        <v>4</v>
      </c>
      <c r="N187" s="208">
        <f ca="1">IF(controls!$B$45=1,IF(controls!$B$46=1,'main page'!$K$24+'main page'!$K$11+'main page'!$U$8,'main page'!$K$24+'main page'!$K$11+'main page'!$K$32),IF(controls!$B$44=1,IF(O187&lt;0,0,O187),IF(O187+'main page'!$K$11&lt;0,0,O187+'main page'!$K$11)))</f>
        <v>6</v>
      </c>
      <c r="O187" s="76">
        <f ca="1">IF(controls!$B$10=1,'normal case'!M187+'normal case'!L187,'normal case'!P187)</f>
        <v>6</v>
      </c>
      <c r="P187" s="74">
        <f t="shared" ca="1" si="15"/>
        <v>6</v>
      </c>
      <c r="Q187" s="210">
        <f ca="1">IF(controls!$B$44=0,R187+'main page'!$K$29*L187+(1-'main page'!$K$29)*controls!$B$9+(('main page'!$K$25*'main page'!$U$13*'main page'!$K$29)/('main page'!$K$27*(1+('main page'!$K$25^2)*'main page'!$U$13)))*(L187-controls!$B$9),R187+'main page'!$K$29*L187+(1-'main page'!$K$29)*controls!$B$9+(('main page'!$K$25*'main page'!$U$13*'normal case'!$AO$3)/'normal case'!$AO$4)*('normal case'!L187-controls!$B$9))</f>
        <v>6</v>
      </c>
      <c r="R187" s="98">
        <f ca="1">IF(controls!$B$44=1,'main page'!$K$24+'main page'!$K$11,IF(controls!$B$33=1,((I188-D187*W188-B188+B187*V188)/'main page'!$K$27)-'main page'!$K$11,((H188-D187*W188-B188+B187*V188)/'main page'!$K$27)-'main page'!$K$11))</f>
        <v>4</v>
      </c>
      <c r="T187" s="71">
        <f>IF(controls!$B$6=1,$AL$3*(1+('main page'!$K$35/100))^U187-$AL$3*(1+('main page'!$K$35/100))^U186,$AL$3*(1+('main page'!$G$8/100))*(1+('main page'!$K$35/100))^U187-$AL$3*(1+('main page'!$G$8/100))*(1+('main page'!$K$35/100))^U186)</f>
        <v>0</v>
      </c>
      <c r="U187" s="73">
        <v>180</v>
      </c>
      <c r="V187" s="161">
        <v>0</v>
      </c>
      <c r="W187" s="40">
        <v>0</v>
      </c>
      <c r="X187" s="49">
        <f ca="1">IF(controls!$B$33=1,D187-($I$3-'main page'!$K$27*2)*(1+('main page'!$K$35/100))^A186,D187-$AL$4)</f>
        <v>0</v>
      </c>
      <c r="Y187" s="49">
        <f ca="1">ABS(L187-(controls!$B$9/100)*100)</f>
        <v>0</v>
      </c>
      <c r="AA187" s="49" t="e">
        <f ca="1">IF(controls!$B$33=1,(B188-B187*V188-I188+D187*W188+'main page'!$K$27*('main page'!$K$24+'main page'!$K$11))/'main page'!$K$31,(B188-B187*V188+D187*W188-H188+'main page'!$K$27*('main page'!$K$24+'main page'!$K$11))/'main page'!$K$31)</f>
        <v>#DIV/0!</v>
      </c>
      <c r="AB187" s="49" t="e">
        <f ca="1">IF(controls!$B$45=1,LOG(AF187,1.01)+LOG(AE187,1.01)-LOG(AD187,1.01),-((M187-('main page'!$K$24+'main page'!$K$11))/(1-'normal case'!$AO$3))+'normal case'!AA187)</f>
        <v>#DIV/0!</v>
      </c>
      <c r="AC187" s="176" t="e">
        <f t="shared" ca="1" si="16"/>
        <v>#DIV/0!</v>
      </c>
      <c r="AD187" s="49">
        <f t="shared" ca="1" si="17"/>
        <v>38.232403778741585</v>
      </c>
      <c r="AE187" s="49">
        <f>AE186*(1+'main page'!$K$32/100)</f>
        <v>1</v>
      </c>
      <c r="AF187" s="49" t="e">
        <f ca="1">IF(ABS(IF(controls!$B$45=1,$AL$13,AD187*AC187/AE187)-AF186)&lt;0.00001,AF186,IF(controls!$B$45=1,$AL$13,AD187*AC187/AE187))</f>
        <v>#DIV/0!</v>
      </c>
      <c r="AG187" s="49">
        <f>IF(controls!$B$46=0,0,IF(controls!$B$33=2,B188-B187*V188-('normal case'!H188-D187*W188-'main page'!$K$27*'normal case'!M187+'main page'!$K$31*'normal case'!AB187)-(('main page'!$K$25*'main page'!$U$13*'main page'!$K$29)/(1+('main page'!$K$25^2)*'main page'!$U$13))*('normal case'!L187-'main page'!$U$8),B188-B187*V188-('normal case'!I188-D187*W188-'main page'!$K$27*'normal case'!M187+'main page'!$K$31*'normal case'!AB187)-(('main page'!$K$25*'main page'!$U$13*'main page'!$K$29)/(1+('main page'!$K$25^2)*'main page'!$U$13))*('normal case'!L187-'main page'!$U$8)))</f>
        <v>0</v>
      </c>
      <c r="AN187" s="40"/>
      <c r="AO187" s="40"/>
    </row>
    <row r="188" spans="1:41">
      <c r="A188" s="48">
        <v>186</v>
      </c>
      <c r="B188" s="75">
        <f ca="1">IF(controls!$B$33=1,B187*(1+V188)+T188,B187*(1+V188))</f>
        <v>100</v>
      </c>
      <c r="C188" s="80">
        <f t="shared" ca="1" si="18"/>
        <v>0</v>
      </c>
      <c r="D188" s="77">
        <f t="shared" ca="1" si="14"/>
        <v>100</v>
      </c>
      <c r="E188" s="77">
        <f ca="1">AG187+IF(controls!$B$33=1,G188,F188)</f>
        <v>100</v>
      </c>
      <c r="F188" s="94">
        <f ca="1">IF(controls!$B$44=0,H188-'main page'!$K$27*M187,H188-'main page'!$K$27*M187+'main page'!$K$31*AB187)</f>
        <v>100</v>
      </c>
      <c r="G188" s="75">
        <f ca="1">IF(controls!$B$44=0,I188-'main page'!$K$27*M187,I188-'main page'!$K$27*M187+'main page'!$K$31*'normal case'!AB187)</f>
        <v>100</v>
      </c>
      <c r="H188" s="75">
        <f t="shared" ca="1" si="19"/>
        <v>108</v>
      </c>
      <c r="I188" s="75">
        <f t="shared" ca="1" si="20"/>
        <v>108</v>
      </c>
      <c r="L188" s="75">
        <f ca="1">IF(ABS('main page'!$K$29*L187+(1-'main page'!$K$29)*(controls!$B$9/100)*100+'main page'!$K$25*(D188-B188)-L187)&lt;0.0000001,L187,'main page'!$K$29*L187+(1-'main page'!$K$29)*(controls!$B$9/100)*100+'main page'!$K$25*(D188-B188))</f>
        <v>2</v>
      </c>
      <c r="M188" s="96">
        <f ca="1">IF(controls!$B$10=1,M187,IF(SUM(controls!$B$44:$B$46)=2,N188-'main page'!$K$29*'normal case'!L188-(1-'main page'!$K$29)*'main page'!$K$32,N188-'main page'!$K$29*'normal case'!L188-(1-'main page'!$K$29)*controls!$B$9))</f>
        <v>4</v>
      </c>
      <c r="N188" s="208">
        <f ca="1">IF(controls!$B$45=1,IF(controls!$B$46=1,'main page'!$K$24+'main page'!$K$11+'main page'!$U$8,'main page'!$K$24+'main page'!$K$11+'main page'!$K$32),IF(controls!$B$44=1,IF(O188&lt;0,0,O188),IF(O188+'main page'!$K$11&lt;0,0,O188+'main page'!$K$11)))</f>
        <v>6</v>
      </c>
      <c r="O188" s="76">
        <f ca="1">IF(controls!$B$10=1,'normal case'!M188+'normal case'!L188,'normal case'!P188)</f>
        <v>6</v>
      </c>
      <c r="P188" s="74">
        <f t="shared" ca="1" si="15"/>
        <v>6</v>
      </c>
      <c r="Q188" s="210">
        <f ca="1">IF(controls!$B$44=0,R188+'main page'!$K$29*L188+(1-'main page'!$K$29)*controls!$B$9+(('main page'!$K$25*'main page'!$U$13*'main page'!$K$29)/('main page'!$K$27*(1+('main page'!$K$25^2)*'main page'!$U$13)))*(L188-controls!$B$9),R188+'main page'!$K$29*L188+(1-'main page'!$K$29)*controls!$B$9+(('main page'!$K$25*'main page'!$U$13*'normal case'!$AO$3)/'normal case'!$AO$4)*('normal case'!L188-controls!$B$9))</f>
        <v>6</v>
      </c>
      <c r="R188" s="98">
        <f ca="1">IF(controls!$B$44=1,'main page'!$K$24+'main page'!$K$11,IF(controls!$B$33=1,((I189-D188*W189-B189+B188*V189)/'main page'!$K$27)-'main page'!$K$11,((H189-D188*W189-B189+B188*V189)/'main page'!$K$27)-'main page'!$K$11))</f>
        <v>4</v>
      </c>
      <c r="T188" s="71">
        <f>IF(controls!$B$6=1,$AL$3*(1+('main page'!$K$35/100))^U188-$AL$3*(1+('main page'!$K$35/100))^U187,$AL$3*(1+('main page'!$G$8/100))*(1+('main page'!$K$35/100))^U188-$AL$3*(1+('main page'!$G$8/100))*(1+('main page'!$K$35/100))^U187)</f>
        <v>0</v>
      </c>
      <c r="U188" s="73">
        <v>181</v>
      </c>
      <c r="V188" s="161">
        <f ca="1">IF(controls!$B$4=1,IF(controls!$H187=1,controls!$B$34*V187+RAND()*('main page'!$K$16/100)-RAND()*('main page'!$K$16/100),0),0)</f>
        <v>0</v>
      </c>
      <c r="W188" s="40">
        <f ca="1">IF(controls!$B$4=1,IF(controls!$I187=1,controls!$B$34*W187+RAND()*('main page'!$K$16/100)-RAND()*('main page'!$K$16/100),0),0)</f>
        <v>0</v>
      </c>
      <c r="X188" s="49">
        <f ca="1">IF(controls!$B$33=1,D188-($I$3-'main page'!$K$27*2)*(1+('main page'!$K$35/100))^A187,D188-$AL$4)</f>
        <v>0</v>
      </c>
      <c r="Y188" s="49">
        <f ca="1">ABS(L188-(controls!$B$9/100)*100)</f>
        <v>0</v>
      </c>
      <c r="AA188" s="49" t="e">
        <f ca="1">IF(controls!$B$33=1,(B189-B188*V189-I189+D188*W189+'main page'!$K$27*('main page'!$K$24+'main page'!$K$11))/'main page'!$K$31,(B189-B188*V189+D188*W189-H189+'main page'!$K$27*('main page'!$K$24+'main page'!$K$11))/'main page'!$K$31)</f>
        <v>#DIV/0!</v>
      </c>
      <c r="AB188" s="49" t="e">
        <f ca="1">IF(controls!$B$45=1,LOG(AF188,1.01)+LOG(AE188,1.01)-LOG(AD188,1.01),-((M188-('main page'!$K$24+'main page'!$K$11))/(1-'normal case'!$AO$3))+'normal case'!AA188)</f>
        <v>#DIV/0!</v>
      </c>
      <c r="AC188" s="176" t="e">
        <f t="shared" ca="1" si="16"/>
        <v>#DIV/0!</v>
      </c>
      <c r="AD188" s="49">
        <f t="shared" ca="1" si="17"/>
        <v>38.997051854316418</v>
      </c>
      <c r="AE188" s="49">
        <f>AE187*(1+'main page'!$K$32/100)</f>
        <v>1</v>
      </c>
      <c r="AF188" s="49" t="e">
        <f ca="1">IF(ABS(IF(controls!$B$45=1,$AL$13,AD188*AC188/AE188)-AF187)&lt;0.00001,AF187,IF(controls!$B$45=1,$AL$13,AD188*AC188/AE188))</f>
        <v>#DIV/0!</v>
      </c>
      <c r="AG188" s="49">
        <f>IF(controls!$B$46=0,0,IF(controls!$B$33=2,B189-B188*V189-('normal case'!H189-D188*W189-'main page'!$K$27*'normal case'!M188+'main page'!$K$31*'normal case'!AB188)-(('main page'!$K$25*'main page'!$U$13*'main page'!$K$29)/(1+('main page'!$K$25^2)*'main page'!$U$13))*('normal case'!L188-'main page'!$U$8),B189-B188*V189-('normal case'!I189-D188*W189-'main page'!$K$27*'normal case'!M188+'main page'!$K$31*'normal case'!AB188)-(('main page'!$K$25*'main page'!$U$13*'main page'!$K$29)/(1+('main page'!$K$25^2)*'main page'!$U$13))*('normal case'!L188-'main page'!$U$8)))</f>
        <v>0</v>
      </c>
      <c r="AN188" s="40"/>
      <c r="AO188" s="40"/>
    </row>
    <row r="189" spans="1:41">
      <c r="A189" s="48">
        <v>187</v>
      </c>
      <c r="B189" s="75">
        <f ca="1">IF(controls!$B$33=1,B188*(1+V189)+T189,B188*(1+V189))</f>
        <v>100</v>
      </c>
      <c r="C189" s="80">
        <f t="shared" ca="1" si="18"/>
        <v>0</v>
      </c>
      <c r="D189" s="77">
        <f t="shared" ca="1" si="14"/>
        <v>100</v>
      </c>
      <c r="E189" s="77">
        <f ca="1">AG188+IF(controls!$B$33=1,G189,F189)</f>
        <v>100</v>
      </c>
      <c r="F189" s="94">
        <f ca="1">IF(controls!$B$44=0,H189-'main page'!$K$27*M188,H189-'main page'!$K$27*M188+'main page'!$K$31*AB188)</f>
        <v>100</v>
      </c>
      <c r="G189" s="75">
        <f ca="1">IF(controls!$B$44=0,I189-'main page'!$K$27*M188,I189-'main page'!$K$27*M188+'main page'!$K$31*'normal case'!AB188)</f>
        <v>100</v>
      </c>
      <c r="H189" s="75">
        <f t="shared" ca="1" si="19"/>
        <v>108</v>
      </c>
      <c r="I189" s="75">
        <f t="shared" ca="1" si="20"/>
        <v>108</v>
      </c>
      <c r="L189" s="75">
        <f ca="1">IF(ABS('main page'!$K$29*L188+(1-'main page'!$K$29)*(controls!$B$9/100)*100+'main page'!$K$25*(D189-B189)-L188)&lt;0.0000001,L188,'main page'!$K$29*L188+(1-'main page'!$K$29)*(controls!$B$9/100)*100+'main page'!$K$25*(D189-B189))</f>
        <v>2</v>
      </c>
      <c r="M189" s="96">
        <f ca="1">IF(controls!$B$10=1,M188,IF(SUM(controls!$B$44:$B$46)=2,N189-'main page'!$K$29*'normal case'!L189-(1-'main page'!$K$29)*'main page'!$K$32,N189-'main page'!$K$29*'normal case'!L189-(1-'main page'!$K$29)*controls!$B$9))</f>
        <v>4</v>
      </c>
      <c r="N189" s="208">
        <f ca="1">IF(controls!$B$45=1,IF(controls!$B$46=1,'main page'!$K$24+'main page'!$K$11+'main page'!$U$8,'main page'!$K$24+'main page'!$K$11+'main page'!$K$32),IF(controls!$B$44=1,IF(O189&lt;0,0,O189),IF(O189+'main page'!$K$11&lt;0,0,O189+'main page'!$K$11)))</f>
        <v>6</v>
      </c>
      <c r="O189" s="76">
        <f ca="1">IF(controls!$B$10=1,'normal case'!M189+'normal case'!L189,'normal case'!P189)</f>
        <v>6</v>
      </c>
      <c r="P189" s="74">
        <f t="shared" ca="1" si="15"/>
        <v>6</v>
      </c>
      <c r="Q189" s="210">
        <f ca="1">IF(controls!$B$44=0,R189+'main page'!$K$29*L189+(1-'main page'!$K$29)*controls!$B$9+(('main page'!$K$25*'main page'!$U$13*'main page'!$K$29)/('main page'!$K$27*(1+('main page'!$K$25^2)*'main page'!$U$13)))*(L189-controls!$B$9),R189+'main page'!$K$29*L189+(1-'main page'!$K$29)*controls!$B$9+(('main page'!$K$25*'main page'!$U$13*'normal case'!$AO$3)/'normal case'!$AO$4)*('normal case'!L189-controls!$B$9))</f>
        <v>6</v>
      </c>
      <c r="R189" s="98">
        <f ca="1">IF(controls!$B$44=1,'main page'!$K$24+'main page'!$K$11,IF(controls!$B$33=1,((I190-D189*W190-B190+B189*V190)/'main page'!$K$27)-'main page'!$K$11,((H190-D189*W190-B190+B189*V190)/'main page'!$K$27)-'main page'!$K$11))</f>
        <v>4</v>
      </c>
      <c r="T189" s="71">
        <f>IF(controls!$B$6=1,$AL$3*(1+('main page'!$K$35/100))^U189-$AL$3*(1+('main page'!$K$35/100))^U188,$AL$3*(1+('main page'!$G$8/100))*(1+('main page'!$K$35/100))^U189-$AL$3*(1+('main page'!$G$8/100))*(1+('main page'!$K$35/100))^U188)</f>
        <v>0</v>
      </c>
      <c r="U189" s="73">
        <v>182</v>
      </c>
      <c r="V189" s="161">
        <v>0</v>
      </c>
      <c r="W189" s="40">
        <v>0</v>
      </c>
      <c r="X189" s="49">
        <f ca="1">IF(controls!$B$33=1,D189-($I$3-'main page'!$K$27*2)*(1+('main page'!$K$35/100))^A188,D189-$AL$4)</f>
        <v>0</v>
      </c>
      <c r="Y189" s="49">
        <f ca="1">ABS(L189-(controls!$B$9/100)*100)</f>
        <v>0</v>
      </c>
      <c r="AA189" s="49" t="e">
        <f ca="1">IF(controls!$B$33=1,(B190-B189*V190-I190+D189*W190+'main page'!$K$27*('main page'!$K$24+'main page'!$K$11))/'main page'!$K$31,(B190-B189*V190+D189*W190-H190+'main page'!$K$27*('main page'!$K$24+'main page'!$K$11))/'main page'!$K$31)</f>
        <v>#DIV/0!</v>
      </c>
      <c r="AB189" s="49" t="e">
        <f ca="1">IF(controls!$B$45=1,LOG(AF189,1.01)+LOG(AE189,1.01)-LOG(AD189,1.01),-((M189-('main page'!$K$24+'main page'!$K$11))/(1-'normal case'!$AO$3))+'normal case'!AA189)</f>
        <v>#DIV/0!</v>
      </c>
      <c r="AC189" s="176" t="e">
        <f t="shared" ca="1" si="16"/>
        <v>#DIV/0!</v>
      </c>
      <c r="AD189" s="49">
        <f t="shared" ca="1" si="17"/>
        <v>39.776992891402749</v>
      </c>
      <c r="AE189" s="49">
        <f>AE188*(1+'main page'!$K$32/100)</f>
        <v>1</v>
      </c>
      <c r="AF189" s="49" t="e">
        <f ca="1">IF(ABS(IF(controls!$B$45=1,$AL$13,AD189*AC189/AE189)-AF188)&lt;0.00001,AF188,IF(controls!$B$45=1,$AL$13,AD189*AC189/AE189))</f>
        <v>#DIV/0!</v>
      </c>
      <c r="AG189" s="49">
        <f>IF(controls!$B$46=0,0,IF(controls!$B$33=2,B190-B189*V190-('normal case'!H190-D189*W190-'main page'!$K$27*'normal case'!M189+'main page'!$K$31*'normal case'!AB189)-(('main page'!$K$25*'main page'!$U$13*'main page'!$K$29)/(1+('main page'!$K$25^2)*'main page'!$U$13))*('normal case'!L189-'main page'!$U$8),B190-B189*V190-('normal case'!I190-D189*W190-'main page'!$K$27*'normal case'!M189+'main page'!$K$31*'normal case'!AB189)-(('main page'!$K$25*'main page'!$U$13*'main page'!$K$29)/(1+('main page'!$K$25^2)*'main page'!$U$13))*('normal case'!L189-'main page'!$U$8)))</f>
        <v>0</v>
      </c>
      <c r="AN189" s="40"/>
      <c r="AO189" s="40"/>
    </row>
    <row r="190" spans="1:41">
      <c r="A190" s="48">
        <v>188</v>
      </c>
      <c r="B190" s="75">
        <f ca="1">IF(controls!$B$33=1,B189*(1+V190)+T190,B189*(1+V190))</f>
        <v>100</v>
      </c>
      <c r="C190" s="80">
        <f t="shared" ca="1" si="18"/>
        <v>0</v>
      </c>
      <c r="D190" s="77">
        <f t="shared" ca="1" si="14"/>
        <v>100</v>
      </c>
      <c r="E190" s="77">
        <f ca="1">AG189+IF(controls!$B$33=1,G190,F190)</f>
        <v>100</v>
      </c>
      <c r="F190" s="94">
        <f ca="1">IF(controls!$B$44=0,H190-'main page'!$K$27*M189,H190-'main page'!$K$27*M189+'main page'!$K$31*AB189)</f>
        <v>100</v>
      </c>
      <c r="G190" s="75">
        <f ca="1">IF(controls!$B$44=0,I190-'main page'!$K$27*M189,I190-'main page'!$K$27*M189+'main page'!$K$31*'normal case'!AB189)</f>
        <v>100</v>
      </c>
      <c r="H190" s="75">
        <f t="shared" ca="1" si="19"/>
        <v>108</v>
      </c>
      <c r="I190" s="75">
        <f t="shared" ca="1" si="20"/>
        <v>108</v>
      </c>
      <c r="L190" s="75">
        <f ca="1">IF(ABS('main page'!$K$29*L189+(1-'main page'!$K$29)*(controls!$B$9/100)*100+'main page'!$K$25*(D190-B190)-L189)&lt;0.0000001,L189,'main page'!$K$29*L189+(1-'main page'!$K$29)*(controls!$B$9/100)*100+'main page'!$K$25*(D190-B190))</f>
        <v>2</v>
      </c>
      <c r="M190" s="96">
        <f ca="1">IF(controls!$B$10=1,M189,IF(SUM(controls!$B$44:$B$46)=2,N190-'main page'!$K$29*'normal case'!L190-(1-'main page'!$K$29)*'main page'!$K$32,N190-'main page'!$K$29*'normal case'!L190-(1-'main page'!$K$29)*controls!$B$9))</f>
        <v>4</v>
      </c>
      <c r="N190" s="208">
        <f ca="1">IF(controls!$B$45=1,IF(controls!$B$46=1,'main page'!$K$24+'main page'!$K$11+'main page'!$U$8,'main page'!$K$24+'main page'!$K$11+'main page'!$K$32),IF(controls!$B$44=1,IF(O190&lt;0,0,O190),IF(O190+'main page'!$K$11&lt;0,0,O190+'main page'!$K$11)))</f>
        <v>6</v>
      </c>
      <c r="O190" s="76">
        <f ca="1">IF(controls!$B$10=1,'normal case'!M190+'normal case'!L190,'normal case'!P190)</f>
        <v>6</v>
      </c>
      <c r="P190" s="74">
        <f t="shared" ca="1" si="15"/>
        <v>6</v>
      </c>
      <c r="Q190" s="210">
        <f ca="1">IF(controls!$B$44=0,R190+'main page'!$K$29*L190+(1-'main page'!$K$29)*controls!$B$9+(('main page'!$K$25*'main page'!$U$13*'main page'!$K$29)/('main page'!$K$27*(1+('main page'!$K$25^2)*'main page'!$U$13)))*(L190-controls!$B$9),R190+'main page'!$K$29*L190+(1-'main page'!$K$29)*controls!$B$9+(('main page'!$K$25*'main page'!$U$13*'normal case'!$AO$3)/'normal case'!$AO$4)*('normal case'!L190-controls!$B$9))</f>
        <v>6</v>
      </c>
      <c r="R190" s="98">
        <f ca="1">IF(controls!$B$44=1,'main page'!$K$24+'main page'!$K$11,IF(controls!$B$33=1,((I191-D190*W191-B191+B190*V191)/'main page'!$K$27)-'main page'!$K$11,((H191-D190*W191-B191+B190*V191)/'main page'!$K$27)-'main page'!$K$11))</f>
        <v>4</v>
      </c>
      <c r="T190" s="71">
        <f>IF(controls!$B$6=1,$AL$3*(1+('main page'!$K$35/100))^U190-$AL$3*(1+('main page'!$K$35/100))^U189,$AL$3*(1+('main page'!$G$8/100))*(1+('main page'!$K$35/100))^U190-$AL$3*(1+('main page'!$G$8/100))*(1+('main page'!$K$35/100))^U189)</f>
        <v>0</v>
      </c>
      <c r="U190" s="73">
        <v>183</v>
      </c>
      <c r="V190" s="161">
        <v>0</v>
      </c>
      <c r="W190" s="40">
        <v>0</v>
      </c>
      <c r="X190" s="49">
        <f ca="1">IF(controls!$B$33=1,D190-($I$3-'main page'!$K$27*2)*(1+('main page'!$K$35/100))^A189,D190-$AL$4)</f>
        <v>0</v>
      </c>
      <c r="Y190" s="49">
        <f ca="1">ABS(L190-(controls!$B$9/100)*100)</f>
        <v>0</v>
      </c>
      <c r="AA190" s="49" t="e">
        <f ca="1">IF(controls!$B$33=1,(B191-B190*V191-I191+D190*W191+'main page'!$K$27*('main page'!$K$24+'main page'!$K$11))/'main page'!$K$31,(B191-B190*V191+D190*W191-H191+'main page'!$K$27*('main page'!$K$24+'main page'!$K$11))/'main page'!$K$31)</f>
        <v>#DIV/0!</v>
      </c>
      <c r="AB190" s="49" t="e">
        <f ca="1">IF(controls!$B$45=1,LOG(AF190,1.01)+LOG(AE190,1.01)-LOG(AD190,1.01),-((M190-('main page'!$K$24+'main page'!$K$11))/(1-'normal case'!$AO$3))+'normal case'!AA190)</f>
        <v>#DIV/0!</v>
      </c>
      <c r="AC190" s="176" t="e">
        <f t="shared" ca="1" si="16"/>
        <v>#DIV/0!</v>
      </c>
      <c r="AD190" s="49">
        <f t="shared" ca="1" si="17"/>
        <v>40.572532749230803</v>
      </c>
      <c r="AE190" s="49">
        <f>AE189*(1+'main page'!$K$32/100)</f>
        <v>1</v>
      </c>
      <c r="AF190" s="49" t="e">
        <f ca="1">IF(ABS(IF(controls!$B$45=1,$AL$13,AD190*AC190/AE190)-AF189)&lt;0.00001,AF189,IF(controls!$B$45=1,$AL$13,AD190*AC190/AE190))</f>
        <v>#DIV/0!</v>
      </c>
      <c r="AG190" s="49">
        <f>IF(controls!$B$46=0,0,IF(controls!$B$33=2,B191-B190*V191-('normal case'!H191-D190*W191-'main page'!$K$27*'normal case'!M190+'main page'!$K$31*'normal case'!AB190)-(('main page'!$K$25*'main page'!$U$13*'main page'!$K$29)/(1+('main page'!$K$25^2)*'main page'!$U$13))*('normal case'!L190-'main page'!$U$8),B191-B190*V191-('normal case'!I191-D190*W191-'main page'!$K$27*'normal case'!M190+'main page'!$K$31*'normal case'!AB190)-(('main page'!$K$25*'main page'!$U$13*'main page'!$K$29)/(1+('main page'!$K$25^2)*'main page'!$U$13))*('normal case'!L190-'main page'!$U$8)))</f>
        <v>0</v>
      </c>
      <c r="AN190" s="40"/>
      <c r="AO190" s="40"/>
    </row>
    <row r="191" spans="1:41">
      <c r="A191" s="48">
        <v>189</v>
      </c>
      <c r="B191" s="75">
        <f ca="1">IF(controls!$B$33=1,B190*(1+V191)+T191,B190*(1+V191))</f>
        <v>100</v>
      </c>
      <c r="C191" s="80">
        <f t="shared" ca="1" si="18"/>
        <v>0</v>
      </c>
      <c r="D191" s="77">
        <f t="shared" ca="1" si="14"/>
        <v>100</v>
      </c>
      <c r="E191" s="77">
        <f ca="1">AG190+IF(controls!$B$33=1,G191,F191)</f>
        <v>100</v>
      </c>
      <c r="F191" s="94">
        <f ca="1">IF(controls!$B$44=0,H191-'main page'!$K$27*M190,H191-'main page'!$K$27*M190+'main page'!$K$31*AB190)</f>
        <v>100</v>
      </c>
      <c r="G191" s="75">
        <f ca="1">IF(controls!$B$44=0,I191-'main page'!$K$27*M190,I191-'main page'!$K$27*M190+'main page'!$K$31*'normal case'!AB190)</f>
        <v>100</v>
      </c>
      <c r="H191" s="75">
        <f t="shared" ca="1" si="19"/>
        <v>108</v>
      </c>
      <c r="I191" s="75">
        <f t="shared" ca="1" si="20"/>
        <v>108</v>
      </c>
      <c r="L191" s="75">
        <f ca="1">IF(ABS('main page'!$K$29*L190+(1-'main page'!$K$29)*(controls!$B$9/100)*100+'main page'!$K$25*(D191-B191)-L190)&lt;0.0000001,L190,'main page'!$K$29*L190+(1-'main page'!$K$29)*(controls!$B$9/100)*100+'main page'!$K$25*(D191-B191))</f>
        <v>2</v>
      </c>
      <c r="M191" s="96">
        <f ca="1">IF(controls!$B$10=1,M190,IF(SUM(controls!$B$44:$B$46)=2,N191-'main page'!$K$29*'normal case'!L191-(1-'main page'!$K$29)*'main page'!$K$32,N191-'main page'!$K$29*'normal case'!L191-(1-'main page'!$K$29)*controls!$B$9))</f>
        <v>4</v>
      </c>
      <c r="N191" s="208">
        <f ca="1">IF(controls!$B$45=1,IF(controls!$B$46=1,'main page'!$K$24+'main page'!$K$11+'main page'!$U$8,'main page'!$K$24+'main page'!$K$11+'main page'!$K$32),IF(controls!$B$44=1,IF(O191&lt;0,0,O191),IF(O191+'main page'!$K$11&lt;0,0,O191+'main page'!$K$11)))</f>
        <v>6</v>
      </c>
      <c r="O191" s="76">
        <f ca="1">IF(controls!$B$10=1,'normal case'!M191+'normal case'!L191,'normal case'!P191)</f>
        <v>6</v>
      </c>
      <c r="P191" s="74">
        <f t="shared" ca="1" si="15"/>
        <v>6</v>
      </c>
      <c r="Q191" s="210">
        <f ca="1">IF(controls!$B$44=0,R191+'main page'!$K$29*L191+(1-'main page'!$K$29)*controls!$B$9+(('main page'!$K$25*'main page'!$U$13*'main page'!$K$29)/('main page'!$K$27*(1+('main page'!$K$25^2)*'main page'!$U$13)))*(L191-controls!$B$9),R191+'main page'!$K$29*L191+(1-'main page'!$K$29)*controls!$B$9+(('main page'!$K$25*'main page'!$U$13*'normal case'!$AO$3)/'normal case'!$AO$4)*('normal case'!L191-controls!$B$9))</f>
        <v>6</v>
      </c>
      <c r="R191" s="98">
        <f ca="1">IF(controls!$B$44=1,'main page'!$K$24+'main page'!$K$11,IF(controls!$B$33=1,((I192-D191*W192-B192+B191*V192)/'main page'!$K$27)-'main page'!$K$11,((H192-D191*W192-B192+B191*V192)/'main page'!$K$27)-'main page'!$K$11))</f>
        <v>4</v>
      </c>
      <c r="T191" s="71">
        <f>IF(controls!$B$6=1,$AL$3*(1+('main page'!$K$35/100))^U191-$AL$3*(1+('main page'!$K$35/100))^U190,$AL$3*(1+('main page'!$G$8/100))*(1+('main page'!$K$35/100))^U191-$AL$3*(1+('main page'!$G$8/100))*(1+('main page'!$K$35/100))^U190)</f>
        <v>0</v>
      </c>
      <c r="U191" s="73">
        <v>184</v>
      </c>
      <c r="V191" s="161">
        <f ca="1">IF(controls!$B$4=1,IF(controls!$H190=1,controls!$B$34*V190+RAND()*('main page'!$K$16/100)-RAND()*('main page'!$K$16/100),0),0)</f>
        <v>0</v>
      </c>
      <c r="W191" s="40">
        <f ca="1">IF(controls!$B$4=1,IF(controls!$I190=1,controls!$B$34*W190+RAND()*('main page'!$K$16/100)-RAND()*('main page'!$K$16/100),0),0)</f>
        <v>0</v>
      </c>
      <c r="X191" s="49">
        <f ca="1">IF(controls!$B$33=1,D191-($I$3-'main page'!$K$27*2)*(1+('main page'!$K$35/100))^A190,D191-$AL$4)</f>
        <v>0</v>
      </c>
      <c r="Y191" s="49">
        <f ca="1">ABS(L191-(controls!$B$9/100)*100)</f>
        <v>0</v>
      </c>
      <c r="AA191" s="49" t="e">
        <f ca="1">IF(controls!$B$33=1,(B192-B191*V192-I192+D191*W192+'main page'!$K$27*('main page'!$K$24+'main page'!$K$11))/'main page'!$K$31,(B192-B191*V192+D191*W192-H192+'main page'!$K$27*('main page'!$K$24+'main page'!$K$11))/'main page'!$K$31)</f>
        <v>#DIV/0!</v>
      </c>
      <c r="AB191" s="49" t="e">
        <f ca="1">IF(controls!$B$45=1,LOG(AF191,1.01)+LOG(AE191,1.01)-LOG(AD191,1.01),-((M191-('main page'!$K$24+'main page'!$K$11))/(1-'normal case'!$AO$3))+'normal case'!AA191)</f>
        <v>#DIV/0!</v>
      </c>
      <c r="AC191" s="176" t="e">
        <f t="shared" ca="1" si="16"/>
        <v>#DIV/0!</v>
      </c>
      <c r="AD191" s="49">
        <f t="shared" ca="1" si="17"/>
        <v>41.383983404215421</v>
      </c>
      <c r="AE191" s="49">
        <f>AE190*(1+'main page'!$K$32/100)</f>
        <v>1</v>
      </c>
      <c r="AF191" s="49" t="e">
        <f ca="1">IF(ABS(IF(controls!$B$45=1,$AL$13,AD191*AC191/AE191)-AF190)&lt;0.00001,AF190,IF(controls!$B$45=1,$AL$13,AD191*AC191/AE191))</f>
        <v>#DIV/0!</v>
      </c>
      <c r="AG191" s="49">
        <f>IF(controls!$B$46=0,0,IF(controls!$B$33=2,B192-B191*V192-('normal case'!H192-D191*W192-'main page'!$K$27*'normal case'!M191+'main page'!$K$31*'normal case'!AB191)-(('main page'!$K$25*'main page'!$U$13*'main page'!$K$29)/(1+('main page'!$K$25^2)*'main page'!$U$13))*('normal case'!L191-'main page'!$U$8),B192-B191*V192-('normal case'!I192-D191*W192-'main page'!$K$27*'normal case'!M191+'main page'!$K$31*'normal case'!AB191)-(('main page'!$K$25*'main page'!$U$13*'main page'!$K$29)/(1+('main page'!$K$25^2)*'main page'!$U$13))*('normal case'!L191-'main page'!$U$8)))</f>
        <v>0</v>
      </c>
      <c r="AN191" s="40"/>
      <c r="AO191" s="40"/>
    </row>
    <row r="192" spans="1:41">
      <c r="A192" s="48">
        <v>190</v>
      </c>
      <c r="B192" s="75">
        <f ca="1">IF(controls!$B$33=1,B191*(1+V192)+T192,B191*(1+V192))</f>
        <v>100</v>
      </c>
      <c r="C192" s="80">
        <f t="shared" ca="1" si="18"/>
        <v>0</v>
      </c>
      <c r="D192" s="77">
        <f t="shared" ca="1" si="14"/>
        <v>100</v>
      </c>
      <c r="E192" s="77">
        <f ca="1">AG191+IF(controls!$B$33=1,G192,F192)</f>
        <v>100</v>
      </c>
      <c r="F192" s="94">
        <f ca="1">IF(controls!$B$44=0,H192-'main page'!$K$27*M191,H192-'main page'!$K$27*M191+'main page'!$K$31*AB191)</f>
        <v>100</v>
      </c>
      <c r="G192" s="75">
        <f ca="1">IF(controls!$B$44=0,I192-'main page'!$K$27*M191,I192-'main page'!$K$27*M191+'main page'!$K$31*'normal case'!AB191)</f>
        <v>100</v>
      </c>
      <c r="H192" s="75">
        <f t="shared" ca="1" si="19"/>
        <v>108</v>
      </c>
      <c r="I192" s="75">
        <f t="shared" ca="1" si="20"/>
        <v>108</v>
      </c>
      <c r="L192" s="75">
        <f ca="1">IF(ABS('main page'!$K$29*L191+(1-'main page'!$K$29)*(controls!$B$9/100)*100+'main page'!$K$25*(D192-B192)-L191)&lt;0.0000001,L191,'main page'!$K$29*L191+(1-'main page'!$K$29)*(controls!$B$9/100)*100+'main page'!$K$25*(D192-B192))</f>
        <v>2</v>
      </c>
      <c r="M192" s="96">
        <f ca="1">IF(controls!$B$10=1,M191,IF(SUM(controls!$B$44:$B$46)=2,N192-'main page'!$K$29*'normal case'!L192-(1-'main page'!$K$29)*'main page'!$K$32,N192-'main page'!$K$29*'normal case'!L192-(1-'main page'!$K$29)*controls!$B$9))</f>
        <v>4</v>
      </c>
      <c r="N192" s="208">
        <f ca="1">IF(controls!$B$45=1,IF(controls!$B$46=1,'main page'!$K$24+'main page'!$K$11+'main page'!$U$8,'main page'!$K$24+'main page'!$K$11+'main page'!$K$32),IF(controls!$B$44=1,IF(O192&lt;0,0,O192),IF(O192+'main page'!$K$11&lt;0,0,O192+'main page'!$K$11)))</f>
        <v>6</v>
      </c>
      <c r="O192" s="76">
        <f ca="1">IF(controls!$B$10=1,'normal case'!M192+'normal case'!L192,'normal case'!P192)</f>
        <v>6</v>
      </c>
      <c r="P192" s="74">
        <f t="shared" ca="1" si="15"/>
        <v>6</v>
      </c>
      <c r="Q192" s="210">
        <f ca="1">IF(controls!$B$44=0,R192+'main page'!$K$29*L192+(1-'main page'!$K$29)*controls!$B$9+(('main page'!$K$25*'main page'!$U$13*'main page'!$K$29)/('main page'!$K$27*(1+('main page'!$K$25^2)*'main page'!$U$13)))*(L192-controls!$B$9),R192+'main page'!$K$29*L192+(1-'main page'!$K$29)*controls!$B$9+(('main page'!$K$25*'main page'!$U$13*'normal case'!$AO$3)/'normal case'!$AO$4)*('normal case'!L192-controls!$B$9))</f>
        <v>6</v>
      </c>
      <c r="R192" s="98">
        <f ca="1">IF(controls!$B$44=1,'main page'!$K$24+'main page'!$K$11,IF(controls!$B$33=1,((I193-D192*W193-B193+B192*V193)/'main page'!$K$27)-'main page'!$K$11,((H193-D192*W193-B193+B192*V193)/'main page'!$K$27)-'main page'!$K$11))</f>
        <v>4</v>
      </c>
      <c r="T192" s="71">
        <f>IF(controls!$B$6=1,$AL$3*(1+('main page'!$K$35/100))^U192-$AL$3*(1+('main page'!$K$35/100))^U191,$AL$3*(1+('main page'!$G$8/100))*(1+('main page'!$K$35/100))^U192-$AL$3*(1+('main page'!$G$8/100))*(1+('main page'!$K$35/100))^U191)</f>
        <v>0</v>
      </c>
      <c r="U192" s="73">
        <v>185</v>
      </c>
      <c r="V192" s="161">
        <v>0</v>
      </c>
      <c r="W192" s="40">
        <v>0</v>
      </c>
      <c r="X192" s="49">
        <f ca="1">IF(controls!$B$33=1,D192-($I$3-'main page'!$K$27*2)*(1+('main page'!$K$35/100))^A191,D192-$AL$4)</f>
        <v>0</v>
      </c>
      <c r="Y192" s="49">
        <f ca="1">ABS(L192-(controls!$B$9/100)*100)</f>
        <v>0</v>
      </c>
      <c r="AA192" s="49" t="e">
        <f ca="1">IF(controls!$B$33=1,(B193-B192*V193-I193+D192*W193+'main page'!$K$27*('main page'!$K$24+'main page'!$K$11))/'main page'!$K$31,(B193-B192*V193+D192*W193-H193+'main page'!$K$27*('main page'!$K$24+'main page'!$K$11))/'main page'!$K$31)</f>
        <v>#DIV/0!</v>
      </c>
      <c r="AB192" s="49" t="e">
        <f ca="1">IF(controls!$B$45=1,LOG(AF192,1.01)+LOG(AE192,1.01)-LOG(AD192,1.01),-((M192-('main page'!$K$24+'main page'!$K$11))/(1-'normal case'!$AO$3))+'normal case'!AA192)</f>
        <v>#DIV/0!</v>
      </c>
      <c r="AC192" s="176" t="e">
        <f t="shared" ca="1" si="16"/>
        <v>#DIV/0!</v>
      </c>
      <c r="AD192" s="49">
        <f t="shared" ca="1" si="17"/>
        <v>42.211663072299729</v>
      </c>
      <c r="AE192" s="49">
        <f>AE191*(1+'main page'!$K$32/100)</f>
        <v>1</v>
      </c>
      <c r="AF192" s="49" t="e">
        <f ca="1">IF(ABS(IF(controls!$B$45=1,$AL$13,AD192*AC192/AE192)-AF191)&lt;0.00001,AF191,IF(controls!$B$45=1,$AL$13,AD192*AC192/AE192))</f>
        <v>#DIV/0!</v>
      </c>
      <c r="AG192" s="49">
        <f>IF(controls!$B$46=0,0,IF(controls!$B$33=2,B193-B192*V193-('normal case'!H193-D192*W193-'main page'!$K$27*'normal case'!M192+'main page'!$K$31*'normal case'!AB192)-(('main page'!$K$25*'main page'!$U$13*'main page'!$K$29)/(1+('main page'!$K$25^2)*'main page'!$U$13))*('normal case'!L192-'main page'!$U$8),B193-B192*V193-('normal case'!I193-D192*W193-'main page'!$K$27*'normal case'!M192+'main page'!$K$31*'normal case'!AB192)-(('main page'!$K$25*'main page'!$U$13*'main page'!$K$29)/(1+('main page'!$K$25^2)*'main page'!$U$13))*('normal case'!L192-'main page'!$U$8)))</f>
        <v>0</v>
      </c>
      <c r="AN192" s="40"/>
      <c r="AO192" s="40"/>
    </row>
    <row r="193" spans="1:41">
      <c r="A193" s="48">
        <v>191</v>
      </c>
      <c r="B193" s="75">
        <f ca="1">IF(controls!$B$33=1,B192*(1+V193)+T193,B192*(1+V193))</f>
        <v>100</v>
      </c>
      <c r="C193" s="80">
        <f t="shared" ca="1" si="18"/>
        <v>0</v>
      </c>
      <c r="D193" s="77">
        <f t="shared" ca="1" si="14"/>
        <v>100</v>
      </c>
      <c r="E193" s="77">
        <f ca="1">AG192+IF(controls!$B$33=1,G193,F193)</f>
        <v>100</v>
      </c>
      <c r="F193" s="94">
        <f ca="1">IF(controls!$B$44=0,H193-'main page'!$K$27*M192,H193-'main page'!$K$27*M192+'main page'!$K$31*AB192)</f>
        <v>100</v>
      </c>
      <c r="G193" s="75">
        <f ca="1">IF(controls!$B$44=0,I193-'main page'!$K$27*M192,I193-'main page'!$K$27*M192+'main page'!$K$31*'normal case'!AB192)</f>
        <v>100</v>
      </c>
      <c r="H193" s="75">
        <f t="shared" ca="1" si="19"/>
        <v>108</v>
      </c>
      <c r="I193" s="75">
        <f t="shared" ca="1" si="20"/>
        <v>108</v>
      </c>
      <c r="L193" s="75">
        <f ca="1">IF(ABS('main page'!$K$29*L192+(1-'main page'!$K$29)*(controls!$B$9/100)*100+'main page'!$K$25*(D193-B193)-L192)&lt;0.0000001,L192,'main page'!$K$29*L192+(1-'main page'!$K$29)*(controls!$B$9/100)*100+'main page'!$K$25*(D193-B193))</f>
        <v>2</v>
      </c>
      <c r="M193" s="96">
        <f ca="1">IF(controls!$B$10=1,M192,IF(SUM(controls!$B$44:$B$46)=2,N193-'main page'!$K$29*'normal case'!L193-(1-'main page'!$K$29)*'main page'!$K$32,N193-'main page'!$K$29*'normal case'!L193-(1-'main page'!$K$29)*controls!$B$9))</f>
        <v>4</v>
      </c>
      <c r="N193" s="208">
        <f ca="1">IF(controls!$B$45=1,IF(controls!$B$46=1,'main page'!$K$24+'main page'!$K$11+'main page'!$U$8,'main page'!$K$24+'main page'!$K$11+'main page'!$K$32),IF(controls!$B$44=1,IF(O193&lt;0,0,O193),IF(O193+'main page'!$K$11&lt;0,0,O193+'main page'!$K$11)))</f>
        <v>6</v>
      </c>
      <c r="O193" s="76">
        <f ca="1">IF(controls!$B$10=1,'normal case'!M193+'normal case'!L193,'normal case'!P193)</f>
        <v>6</v>
      </c>
      <c r="P193" s="74">
        <f t="shared" ca="1" si="15"/>
        <v>6</v>
      </c>
      <c r="Q193" s="210">
        <f ca="1">IF(controls!$B$44=0,R193+'main page'!$K$29*L193+(1-'main page'!$K$29)*controls!$B$9+(('main page'!$K$25*'main page'!$U$13*'main page'!$K$29)/('main page'!$K$27*(1+('main page'!$K$25^2)*'main page'!$U$13)))*(L193-controls!$B$9),R193+'main page'!$K$29*L193+(1-'main page'!$K$29)*controls!$B$9+(('main page'!$K$25*'main page'!$U$13*'normal case'!$AO$3)/'normal case'!$AO$4)*('normal case'!L193-controls!$B$9))</f>
        <v>6</v>
      </c>
      <c r="R193" s="98">
        <f ca="1">IF(controls!$B$44=1,'main page'!$K$24+'main page'!$K$11,IF(controls!$B$33=1,((I194-D193*W194-B194+B193*V194)/'main page'!$K$27)-'main page'!$K$11,((H194-D193*W194-B194+B193*V194)/'main page'!$K$27)-'main page'!$K$11))</f>
        <v>4</v>
      </c>
      <c r="T193" s="71">
        <f>IF(controls!$B$6=1,$AL$3*(1+('main page'!$K$35/100))^U193-$AL$3*(1+('main page'!$K$35/100))^U192,$AL$3*(1+('main page'!$G$8/100))*(1+('main page'!$K$35/100))^U193-$AL$3*(1+('main page'!$G$8/100))*(1+('main page'!$K$35/100))^U192)</f>
        <v>0</v>
      </c>
      <c r="U193" s="73">
        <v>186</v>
      </c>
      <c r="V193" s="161">
        <v>0</v>
      </c>
      <c r="W193" s="40">
        <v>0</v>
      </c>
      <c r="X193" s="49">
        <f ca="1">IF(controls!$B$33=1,D193-($I$3-'main page'!$K$27*2)*(1+('main page'!$K$35/100))^A192,D193-$AL$4)</f>
        <v>0</v>
      </c>
      <c r="Y193" s="49">
        <f ca="1">ABS(L193-(controls!$B$9/100)*100)</f>
        <v>0</v>
      </c>
      <c r="AA193" s="49" t="e">
        <f ca="1">IF(controls!$B$33=1,(B194-B193*V194-I194+D193*W194+'main page'!$K$27*('main page'!$K$24+'main page'!$K$11))/'main page'!$K$31,(B194-B193*V194+D193*W194-H194+'main page'!$K$27*('main page'!$K$24+'main page'!$K$11))/'main page'!$K$31)</f>
        <v>#DIV/0!</v>
      </c>
      <c r="AB193" s="49" t="e">
        <f ca="1">IF(controls!$B$45=1,LOG(AF193,1.01)+LOG(AE193,1.01)-LOG(AD193,1.01),-((M193-('main page'!$K$24+'main page'!$K$11))/(1-'normal case'!$AO$3))+'normal case'!AA193)</f>
        <v>#DIV/0!</v>
      </c>
      <c r="AC193" s="176" t="e">
        <f t="shared" ca="1" si="16"/>
        <v>#DIV/0!</v>
      </c>
      <c r="AD193" s="49">
        <f t="shared" ca="1" si="17"/>
        <v>43.055896333745721</v>
      </c>
      <c r="AE193" s="49">
        <f>AE192*(1+'main page'!$K$32/100)</f>
        <v>1</v>
      </c>
      <c r="AF193" s="49" t="e">
        <f ca="1">IF(ABS(IF(controls!$B$45=1,$AL$13,AD193*AC193/AE193)-AF192)&lt;0.00001,AF192,IF(controls!$B$45=1,$AL$13,AD193*AC193/AE193))</f>
        <v>#DIV/0!</v>
      </c>
      <c r="AG193" s="49">
        <f>IF(controls!$B$46=0,0,IF(controls!$B$33=2,B194-B193*V194-('normal case'!H194-D193*W194-'main page'!$K$27*'normal case'!M193+'main page'!$K$31*'normal case'!AB193)-(('main page'!$K$25*'main page'!$U$13*'main page'!$K$29)/(1+('main page'!$K$25^2)*'main page'!$U$13))*('normal case'!L193-'main page'!$U$8),B194-B193*V194-('normal case'!I194-D193*W194-'main page'!$K$27*'normal case'!M193+'main page'!$K$31*'normal case'!AB193)-(('main page'!$K$25*'main page'!$U$13*'main page'!$K$29)/(1+('main page'!$K$25^2)*'main page'!$U$13))*('normal case'!L193-'main page'!$U$8)))</f>
        <v>0</v>
      </c>
      <c r="AN193" s="40"/>
      <c r="AO193" s="40"/>
    </row>
    <row r="194" spans="1:41">
      <c r="A194" s="48">
        <v>192</v>
      </c>
      <c r="B194" s="75">
        <f ca="1">IF(controls!$B$33=1,B193*(1+V194)+T194,B193*(1+V194))</f>
        <v>100</v>
      </c>
      <c r="C194" s="80">
        <f t="shared" ca="1" si="18"/>
        <v>0</v>
      </c>
      <c r="D194" s="77">
        <f t="shared" ca="1" si="14"/>
        <v>100</v>
      </c>
      <c r="E194" s="77">
        <f ca="1">AG193+IF(controls!$B$33=1,G194,F194)</f>
        <v>100</v>
      </c>
      <c r="F194" s="94">
        <f ca="1">IF(controls!$B$44=0,H194-'main page'!$K$27*M193,H194-'main page'!$K$27*M193+'main page'!$K$31*AB193)</f>
        <v>100</v>
      </c>
      <c r="G194" s="75">
        <f ca="1">IF(controls!$B$44=0,I194-'main page'!$K$27*M193,I194-'main page'!$K$27*M193+'main page'!$K$31*'normal case'!AB193)</f>
        <v>100</v>
      </c>
      <c r="H194" s="75">
        <f t="shared" ca="1" si="19"/>
        <v>108</v>
      </c>
      <c r="I194" s="75">
        <f t="shared" ca="1" si="20"/>
        <v>108</v>
      </c>
      <c r="L194" s="75">
        <f ca="1">IF(ABS('main page'!$K$29*L193+(1-'main page'!$K$29)*(controls!$B$9/100)*100+'main page'!$K$25*(D194-B194)-L193)&lt;0.0000001,L193,'main page'!$K$29*L193+(1-'main page'!$K$29)*(controls!$B$9/100)*100+'main page'!$K$25*(D194-B194))</f>
        <v>2</v>
      </c>
      <c r="M194" s="96">
        <f ca="1">IF(controls!$B$10=1,M193,IF(SUM(controls!$B$44:$B$46)=2,N194-'main page'!$K$29*'normal case'!L194-(1-'main page'!$K$29)*'main page'!$K$32,N194-'main page'!$K$29*'normal case'!L194-(1-'main page'!$K$29)*controls!$B$9))</f>
        <v>4</v>
      </c>
      <c r="N194" s="208">
        <f ca="1">IF(controls!$B$45=1,IF(controls!$B$46=1,'main page'!$K$24+'main page'!$K$11+'main page'!$U$8,'main page'!$K$24+'main page'!$K$11+'main page'!$K$32),IF(controls!$B$44=1,IF(O194&lt;0,0,O194),IF(O194+'main page'!$K$11&lt;0,0,O194+'main page'!$K$11)))</f>
        <v>6</v>
      </c>
      <c r="O194" s="76">
        <f ca="1">IF(controls!$B$10=1,'normal case'!M194+'normal case'!L194,'normal case'!P194)</f>
        <v>6</v>
      </c>
      <c r="P194" s="74">
        <f t="shared" ca="1" si="15"/>
        <v>6</v>
      </c>
      <c r="Q194" s="210">
        <f ca="1">IF(controls!$B$44=0,R194+'main page'!$K$29*L194+(1-'main page'!$K$29)*controls!$B$9+(('main page'!$K$25*'main page'!$U$13*'main page'!$K$29)/('main page'!$K$27*(1+('main page'!$K$25^2)*'main page'!$U$13)))*(L194-controls!$B$9),R194+'main page'!$K$29*L194+(1-'main page'!$K$29)*controls!$B$9+(('main page'!$K$25*'main page'!$U$13*'normal case'!$AO$3)/'normal case'!$AO$4)*('normal case'!L194-controls!$B$9))</f>
        <v>6</v>
      </c>
      <c r="R194" s="98">
        <f ca="1">IF(controls!$B$44=1,'main page'!$K$24+'main page'!$K$11,IF(controls!$B$33=1,((I195-D194*W195-B195+B194*V195)/'main page'!$K$27)-'main page'!$K$11,((H195-D194*W195-B195+B194*V195)/'main page'!$K$27)-'main page'!$K$11))</f>
        <v>4</v>
      </c>
      <c r="T194" s="71">
        <f>IF(controls!$B$6=1,$AL$3*(1+('main page'!$K$35/100))^U194-$AL$3*(1+('main page'!$K$35/100))^U193,$AL$3*(1+('main page'!$G$8/100))*(1+('main page'!$K$35/100))^U194-$AL$3*(1+('main page'!$G$8/100))*(1+('main page'!$K$35/100))^U193)</f>
        <v>0</v>
      </c>
      <c r="U194" s="73">
        <v>187</v>
      </c>
      <c r="V194" s="161">
        <f ca="1">IF(controls!$B$4=1,IF(controls!$H193=1,controls!$B$34*V193+RAND()*('main page'!$K$16/100)-RAND()*('main page'!$K$16/100),0),0)</f>
        <v>0</v>
      </c>
      <c r="W194" s="40">
        <f ca="1">IF(controls!$B$4=1,IF(controls!$I193=1,controls!$B$34*W193+RAND()*('main page'!$K$16/100)-RAND()*('main page'!$K$16/100),0),0)</f>
        <v>0</v>
      </c>
      <c r="X194" s="49">
        <f ca="1">IF(controls!$B$33=1,D194-($I$3-'main page'!$K$27*2)*(1+('main page'!$K$35/100))^A193,D194-$AL$4)</f>
        <v>0</v>
      </c>
      <c r="Y194" s="49">
        <f ca="1">ABS(L194-(controls!$B$9/100)*100)</f>
        <v>0</v>
      </c>
      <c r="AA194" s="49" t="e">
        <f ca="1">IF(controls!$B$33=1,(B195-B194*V195-I195+D194*W195+'main page'!$K$27*('main page'!$K$24+'main page'!$K$11))/'main page'!$K$31,(B195-B194*V195+D194*W195-H195+'main page'!$K$27*('main page'!$K$24+'main page'!$K$11))/'main page'!$K$31)</f>
        <v>#DIV/0!</v>
      </c>
      <c r="AB194" s="49" t="e">
        <f ca="1">IF(controls!$B$45=1,LOG(AF194,1.01)+LOG(AE194,1.01)-LOG(AD194,1.01),-((M194-('main page'!$K$24+'main page'!$K$11))/(1-'normal case'!$AO$3))+'normal case'!AA194)</f>
        <v>#DIV/0!</v>
      </c>
      <c r="AC194" s="176" t="e">
        <f t="shared" ca="1" si="16"/>
        <v>#DIV/0!</v>
      </c>
      <c r="AD194" s="49">
        <f t="shared" ca="1" si="17"/>
        <v>43.917014260420636</v>
      </c>
      <c r="AE194" s="49">
        <f>AE193*(1+'main page'!$K$32/100)</f>
        <v>1</v>
      </c>
      <c r="AF194" s="49" t="e">
        <f ca="1">IF(ABS(IF(controls!$B$45=1,$AL$13,AD194*AC194/AE194)-AF193)&lt;0.00001,AF193,IF(controls!$B$45=1,$AL$13,AD194*AC194/AE194))</f>
        <v>#DIV/0!</v>
      </c>
      <c r="AG194" s="49">
        <f>IF(controls!$B$46=0,0,IF(controls!$B$33=2,B195-B194*V195-('normal case'!H195-D194*W195-'main page'!$K$27*'normal case'!M194+'main page'!$K$31*'normal case'!AB194)-(('main page'!$K$25*'main page'!$U$13*'main page'!$K$29)/(1+('main page'!$K$25^2)*'main page'!$U$13))*('normal case'!L194-'main page'!$U$8),B195-B194*V195-('normal case'!I195-D194*W195-'main page'!$K$27*'normal case'!M194+'main page'!$K$31*'normal case'!AB194)-(('main page'!$K$25*'main page'!$U$13*'main page'!$K$29)/(1+('main page'!$K$25^2)*'main page'!$U$13))*('normal case'!L194-'main page'!$U$8)))</f>
        <v>0</v>
      </c>
      <c r="AN194" s="40"/>
      <c r="AO194" s="40"/>
    </row>
    <row r="195" spans="1:41">
      <c r="A195" s="48">
        <v>193</v>
      </c>
      <c r="B195" s="75">
        <f ca="1">IF(controls!$B$33=1,B194*(1+V195)+T195,B194*(1+V195))</f>
        <v>100</v>
      </c>
      <c r="C195" s="80">
        <f t="shared" ca="1" si="18"/>
        <v>0</v>
      </c>
      <c r="D195" s="77">
        <f t="shared" ca="1" si="14"/>
        <v>100</v>
      </c>
      <c r="E195" s="77">
        <f ca="1">AG194+IF(controls!$B$33=1,G195,F195)</f>
        <v>100</v>
      </c>
      <c r="F195" s="94">
        <f ca="1">IF(controls!$B$44=0,H195-'main page'!$K$27*M194,H195-'main page'!$K$27*M194+'main page'!$K$31*AB194)</f>
        <v>100</v>
      </c>
      <c r="G195" s="75">
        <f ca="1">IF(controls!$B$44=0,I195-'main page'!$K$27*M194,I195-'main page'!$K$27*M194+'main page'!$K$31*'normal case'!AB194)</f>
        <v>100</v>
      </c>
      <c r="H195" s="75">
        <f t="shared" ca="1" si="19"/>
        <v>108</v>
      </c>
      <c r="I195" s="75">
        <f t="shared" ca="1" si="20"/>
        <v>108</v>
      </c>
      <c r="L195" s="75">
        <f ca="1">IF(ABS('main page'!$K$29*L194+(1-'main page'!$K$29)*(controls!$B$9/100)*100+'main page'!$K$25*(D195-B195)-L194)&lt;0.0000001,L194,'main page'!$K$29*L194+(1-'main page'!$K$29)*(controls!$B$9/100)*100+'main page'!$K$25*(D195-B195))</f>
        <v>2</v>
      </c>
      <c r="M195" s="96">
        <f ca="1">IF(controls!$B$10=1,M194,IF(SUM(controls!$B$44:$B$46)=2,N195-'main page'!$K$29*'normal case'!L195-(1-'main page'!$K$29)*'main page'!$K$32,N195-'main page'!$K$29*'normal case'!L195-(1-'main page'!$K$29)*controls!$B$9))</f>
        <v>4</v>
      </c>
      <c r="N195" s="208">
        <f ca="1">IF(controls!$B$45=1,IF(controls!$B$46=1,'main page'!$K$24+'main page'!$K$11+'main page'!$U$8,'main page'!$K$24+'main page'!$K$11+'main page'!$K$32),IF(controls!$B$44=1,IF(O195&lt;0,0,O195),IF(O195+'main page'!$K$11&lt;0,0,O195+'main page'!$K$11)))</f>
        <v>6</v>
      </c>
      <c r="O195" s="76">
        <f ca="1">IF(controls!$B$10=1,'normal case'!M195+'normal case'!L195,'normal case'!P195)</f>
        <v>6</v>
      </c>
      <c r="P195" s="74">
        <f t="shared" ca="1" si="15"/>
        <v>6</v>
      </c>
      <c r="Q195" s="210">
        <f ca="1">IF(controls!$B$44=0,R195+'main page'!$K$29*L195+(1-'main page'!$K$29)*controls!$B$9+(('main page'!$K$25*'main page'!$U$13*'main page'!$K$29)/('main page'!$K$27*(1+('main page'!$K$25^2)*'main page'!$U$13)))*(L195-controls!$B$9),R195+'main page'!$K$29*L195+(1-'main page'!$K$29)*controls!$B$9+(('main page'!$K$25*'main page'!$U$13*'normal case'!$AO$3)/'normal case'!$AO$4)*('normal case'!L195-controls!$B$9))</f>
        <v>6</v>
      </c>
      <c r="R195" s="98">
        <f ca="1">IF(controls!$B$44=1,'main page'!$K$24+'main page'!$K$11,IF(controls!$B$33=1,((I196-D195*W196-B196+B195*V196)/'main page'!$K$27)-'main page'!$K$11,((H196-D195*W196-B196+B195*V196)/'main page'!$K$27)-'main page'!$K$11))</f>
        <v>4</v>
      </c>
      <c r="T195" s="71">
        <f>IF(controls!$B$6=1,$AL$3*(1+('main page'!$K$35/100))^U195-$AL$3*(1+('main page'!$K$35/100))^U194,$AL$3*(1+('main page'!$G$8/100))*(1+('main page'!$K$35/100))^U195-$AL$3*(1+('main page'!$G$8/100))*(1+('main page'!$K$35/100))^U194)</f>
        <v>0</v>
      </c>
      <c r="U195" s="73">
        <v>188</v>
      </c>
      <c r="V195" s="161">
        <v>0</v>
      </c>
      <c r="W195" s="40">
        <v>0</v>
      </c>
      <c r="X195" s="49">
        <f ca="1">IF(controls!$B$33=1,D195-($I$3-'main page'!$K$27*2)*(1+('main page'!$K$35/100))^A194,D195-$AL$4)</f>
        <v>0</v>
      </c>
      <c r="Y195" s="49">
        <f ca="1">ABS(L195-(controls!$B$9/100)*100)</f>
        <v>0</v>
      </c>
      <c r="AA195" s="49" t="e">
        <f ca="1">IF(controls!$B$33=1,(B196-B195*V196-I196+D195*W196+'main page'!$K$27*('main page'!$K$24+'main page'!$K$11))/'main page'!$K$31,(B196-B195*V196+D195*W196-H196+'main page'!$K$27*('main page'!$K$24+'main page'!$K$11))/'main page'!$K$31)</f>
        <v>#DIV/0!</v>
      </c>
      <c r="AB195" s="49" t="e">
        <f ca="1">IF(controls!$B$45=1,LOG(AF195,1.01)+LOG(AE195,1.01)-LOG(AD195,1.01),-((M195-('main page'!$K$24+'main page'!$K$11))/(1-'normal case'!$AO$3))+'normal case'!AA195)</f>
        <v>#DIV/0!</v>
      </c>
      <c r="AC195" s="176" t="e">
        <f t="shared" ca="1" si="16"/>
        <v>#DIV/0!</v>
      </c>
      <c r="AD195" s="49">
        <f t="shared" ca="1" si="17"/>
        <v>44.795354545629053</v>
      </c>
      <c r="AE195" s="49">
        <f>AE194*(1+'main page'!$K$32/100)</f>
        <v>1</v>
      </c>
      <c r="AF195" s="49" t="e">
        <f ca="1">IF(ABS(IF(controls!$B$45=1,$AL$13,AD195*AC195/AE195)-AF194)&lt;0.00001,AF194,IF(controls!$B$45=1,$AL$13,AD195*AC195/AE195))</f>
        <v>#DIV/0!</v>
      </c>
      <c r="AG195" s="49">
        <f>IF(controls!$B$46=0,0,IF(controls!$B$33=2,B196-B195*V196-('normal case'!H196-D195*W196-'main page'!$K$27*'normal case'!M195+'main page'!$K$31*'normal case'!AB195)-(('main page'!$K$25*'main page'!$U$13*'main page'!$K$29)/(1+('main page'!$K$25^2)*'main page'!$U$13))*('normal case'!L195-'main page'!$U$8),B196-B195*V196-('normal case'!I196-D195*W196-'main page'!$K$27*'normal case'!M195+'main page'!$K$31*'normal case'!AB195)-(('main page'!$K$25*'main page'!$U$13*'main page'!$K$29)/(1+('main page'!$K$25^2)*'main page'!$U$13))*('normal case'!L195-'main page'!$U$8)))</f>
        <v>0</v>
      </c>
      <c r="AN195" s="40"/>
      <c r="AO195" s="40"/>
    </row>
    <row r="196" spans="1:41">
      <c r="A196" s="48">
        <v>194</v>
      </c>
      <c r="B196" s="75">
        <f ca="1">IF(controls!$B$33=1,B195*(1+V196)+T196,B195*(1+V196))</f>
        <v>100</v>
      </c>
      <c r="C196" s="80">
        <f t="shared" ca="1" si="18"/>
        <v>0</v>
      </c>
      <c r="D196" s="77">
        <f t="shared" ref="D196:D259" ca="1" si="21">IF(E196&gt;0,E196,0.1)</f>
        <v>100</v>
      </c>
      <c r="E196" s="77">
        <f ca="1">AG195+IF(controls!$B$33=1,G196,F196)</f>
        <v>100</v>
      </c>
      <c r="F196" s="94">
        <f ca="1">IF(controls!$B$44=0,H196-'main page'!$K$27*M195,H196-'main page'!$K$27*M195+'main page'!$K$31*AB195)</f>
        <v>100</v>
      </c>
      <c r="G196" s="75">
        <f ca="1">IF(controls!$B$44=0,I196-'main page'!$K$27*M195,I196-'main page'!$K$27*M195+'main page'!$K$31*'normal case'!AB195)</f>
        <v>100</v>
      </c>
      <c r="H196" s="75">
        <f t="shared" ca="1" si="19"/>
        <v>108</v>
      </c>
      <c r="I196" s="75">
        <f t="shared" ca="1" si="20"/>
        <v>108</v>
      </c>
      <c r="L196" s="75">
        <f ca="1">IF(ABS('main page'!$K$29*L195+(1-'main page'!$K$29)*(controls!$B$9/100)*100+'main page'!$K$25*(D196-B196)-L195)&lt;0.0000001,L195,'main page'!$K$29*L195+(1-'main page'!$K$29)*(controls!$B$9/100)*100+'main page'!$K$25*(D196-B196))</f>
        <v>2</v>
      </c>
      <c r="M196" s="96">
        <f ca="1">IF(controls!$B$10=1,M195,IF(SUM(controls!$B$44:$B$46)=2,N196-'main page'!$K$29*'normal case'!L196-(1-'main page'!$K$29)*'main page'!$K$32,N196-'main page'!$K$29*'normal case'!L196-(1-'main page'!$K$29)*controls!$B$9))</f>
        <v>4</v>
      </c>
      <c r="N196" s="208">
        <f ca="1">IF(controls!$B$45=1,IF(controls!$B$46=1,'main page'!$K$24+'main page'!$K$11+'main page'!$U$8,'main page'!$K$24+'main page'!$K$11+'main page'!$K$32),IF(controls!$B$44=1,IF(O196&lt;0,0,O196),IF(O196+'main page'!$K$11&lt;0,0,O196+'main page'!$K$11)))</f>
        <v>6</v>
      </c>
      <c r="O196" s="76">
        <f ca="1">IF(controls!$B$10=1,'normal case'!M196+'normal case'!L196,'normal case'!P196)</f>
        <v>6</v>
      </c>
      <c r="P196" s="74">
        <f t="shared" ref="P196:P259" ca="1" si="22">IF(Q196&lt;0,0,Q196)</f>
        <v>6</v>
      </c>
      <c r="Q196" s="210">
        <f ca="1">IF(controls!$B$44=0,R196+'main page'!$K$29*L196+(1-'main page'!$K$29)*controls!$B$9+(('main page'!$K$25*'main page'!$U$13*'main page'!$K$29)/('main page'!$K$27*(1+('main page'!$K$25^2)*'main page'!$U$13)))*(L196-controls!$B$9),R196+'main page'!$K$29*L196+(1-'main page'!$K$29)*controls!$B$9+(('main page'!$K$25*'main page'!$U$13*'normal case'!$AO$3)/'normal case'!$AO$4)*('normal case'!L196-controls!$B$9))</f>
        <v>6</v>
      </c>
      <c r="R196" s="98">
        <f ca="1">IF(controls!$B$44=1,'main page'!$K$24+'main page'!$K$11,IF(controls!$B$33=1,((I197-D196*W197-B197+B196*V197)/'main page'!$K$27)-'main page'!$K$11,((H197-D196*W197-B197+B196*V197)/'main page'!$K$27)-'main page'!$K$11))</f>
        <v>4</v>
      </c>
      <c r="T196" s="71">
        <f>IF(controls!$B$6=1,$AL$3*(1+('main page'!$K$35/100))^U196-$AL$3*(1+('main page'!$K$35/100))^U195,$AL$3*(1+('main page'!$G$8/100))*(1+('main page'!$K$35/100))^U196-$AL$3*(1+('main page'!$G$8/100))*(1+('main page'!$K$35/100))^U195)</f>
        <v>0</v>
      </c>
      <c r="U196" s="73">
        <v>189</v>
      </c>
      <c r="V196" s="161">
        <v>0</v>
      </c>
      <c r="W196" s="40">
        <v>0</v>
      </c>
      <c r="X196" s="49">
        <f ca="1">IF(controls!$B$33=1,D196-($I$3-'main page'!$K$27*2)*(1+('main page'!$K$35/100))^A195,D196-$AL$4)</f>
        <v>0</v>
      </c>
      <c r="Y196" s="49">
        <f ca="1">ABS(L196-(controls!$B$9/100)*100)</f>
        <v>0</v>
      </c>
      <c r="AA196" s="49" t="e">
        <f ca="1">IF(controls!$B$33=1,(B197-B196*V197-I197+D196*W197+'main page'!$K$27*('main page'!$K$24+'main page'!$K$11))/'main page'!$K$31,(B197-B196*V197+D196*W197-H197+'main page'!$K$27*('main page'!$K$24+'main page'!$K$11))/'main page'!$K$31)</f>
        <v>#DIV/0!</v>
      </c>
      <c r="AB196" s="49" t="e">
        <f ca="1">IF(controls!$B$45=1,LOG(AF196,1.01)+LOG(AE196,1.01)-LOG(AD196,1.01),-((M196-('main page'!$K$24+'main page'!$K$11))/(1-'normal case'!$AO$3))+'normal case'!AA196)</f>
        <v>#DIV/0!</v>
      </c>
      <c r="AC196" s="176" t="e">
        <f t="shared" ref="AC196:AC259" ca="1" si="23">IF(ABS(1.025^AB196-1)&lt;0.000000000001,1,1.025^AB196)</f>
        <v>#DIV/0!</v>
      </c>
      <c r="AD196" s="49">
        <f t="shared" ref="AD196:AD259" ca="1" si="24">AD195*(1+L196/100)</f>
        <v>45.691261636541633</v>
      </c>
      <c r="AE196" s="49">
        <f>AE195*(1+'main page'!$K$32/100)</f>
        <v>1</v>
      </c>
      <c r="AF196" s="49" t="e">
        <f ca="1">IF(ABS(IF(controls!$B$45=1,$AL$13,AD196*AC196/AE196)-AF195)&lt;0.00001,AF195,IF(controls!$B$45=1,$AL$13,AD196*AC196/AE196))</f>
        <v>#DIV/0!</v>
      </c>
      <c r="AG196" s="49">
        <f>IF(controls!$B$46=0,0,IF(controls!$B$33=2,B197-B196*V197-('normal case'!H197-D196*W197-'main page'!$K$27*'normal case'!M196+'main page'!$K$31*'normal case'!AB196)-(('main page'!$K$25*'main page'!$U$13*'main page'!$K$29)/(1+('main page'!$K$25^2)*'main page'!$U$13))*('normal case'!L196-'main page'!$U$8),B197-B196*V197-('normal case'!I197-D196*W197-'main page'!$K$27*'normal case'!M196+'main page'!$K$31*'normal case'!AB196)-(('main page'!$K$25*'main page'!$U$13*'main page'!$K$29)/(1+('main page'!$K$25^2)*'main page'!$U$13))*('normal case'!L196-'main page'!$U$8)))</f>
        <v>0</v>
      </c>
      <c r="AN196" s="40"/>
      <c r="AO196" s="40"/>
    </row>
    <row r="197" spans="1:41">
      <c r="A197" s="48">
        <v>195</v>
      </c>
      <c r="B197" s="75">
        <f ca="1">IF(controls!$B$33=1,B196*(1+V197)+T197,B196*(1+V197))</f>
        <v>100</v>
      </c>
      <c r="C197" s="80">
        <f t="shared" ca="1" si="18"/>
        <v>0</v>
      </c>
      <c r="D197" s="77">
        <f t="shared" ca="1" si="21"/>
        <v>100</v>
      </c>
      <c r="E197" s="77">
        <f ca="1">AG196+IF(controls!$B$33=1,G197,F197)</f>
        <v>100</v>
      </c>
      <c r="F197" s="94">
        <f ca="1">IF(controls!$B$44=0,H197-'main page'!$K$27*M196,H197-'main page'!$K$27*M196+'main page'!$K$31*AB196)</f>
        <v>100</v>
      </c>
      <c r="G197" s="75">
        <f ca="1">IF(controls!$B$44=0,I197-'main page'!$K$27*M196,I197-'main page'!$K$27*M196+'main page'!$K$31*'normal case'!AB196)</f>
        <v>100</v>
      </c>
      <c r="H197" s="75">
        <f t="shared" ca="1" si="19"/>
        <v>108</v>
      </c>
      <c r="I197" s="75">
        <f t="shared" ca="1" si="20"/>
        <v>108</v>
      </c>
      <c r="L197" s="75">
        <f ca="1">IF(ABS('main page'!$K$29*L196+(1-'main page'!$K$29)*(controls!$B$9/100)*100+'main page'!$K$25*(D197-B197)-L196)&lt;0.0000001,L196,'main page'!$K$29*L196+(1-'main page'!$K$29)*(controls!$B$9/100)*100+'main page'!$K$25*(D197-B197))</f>
        <v>2</v>
      </c>
      <c r="M197" s="96">
        <f ca="1">IF(controls!$B$10=1,M196,IF(SUM(controls!$B$44:$B$46)=2,N197-'main page'!$K$29*'normal case'!L197-(1-'main page'!$K$29)*'main page'!$K$32,N197-'main page'!$K$29*'normal case'!L197-(1-'main page'!$K$29)*controls!$B$9))</f>
        <v>4</v>
      </c>
      <c r="N197" s="208">
        <f ca="1">IF(controls!$B$45=1,IF(controls!$B$46=1,'main page'!$K$24+'main page'!$K$11+'main page'!$U$8,'main page'!$K$24+'main page'!$K$11+'main page'!$K$32),IF(controls!$B$44=1,IF(O197&lt;0,0,O197),IF(O197+'main page'!$K$11&lt;0,0,O197+'main page'!$K$11)))</f>
        <v>6</v>
      </c>
      <c r="O197" s="76">
        <f ca="1">IF(controls!$B$10=1,'normal case'!M197+'normal case'!L197,'normal case'!P197)</f>
        <v>6</v>
      </c>
      <c r="P197" s="74">
        <f t="shared" ca="1" si="22"/>
        <v>6</v>
      </c>
      <c r="Q197" s="210">
        <f ca="1">IF(controls!$B$44=0,R197+'main page'!$K$29*L197+(1-'main page'!$K$29)*controls!$B$9+(('main page'!$K$25*'main page'!$U$13*'main page'!$K$29)/('main page'!$K$27*(1+('main page'!$K$25^2)*'main page'!$U$13)))*(L197-controls!$B$9),R197+'main page'!$K$29*L197+(1-'main page'!$K$29)*controls!$B$9+(('main page'!$K$25*'main page'!$U$13*'normal case'!$AO$3)/'normal case'!$AO$4)*('normal case'!L197-controls!$B$9))</f>
        <v>6</v>
      </c>
      <c r="R197" s="98">
        <f ca="1">IF(controls!$B$44=1,'main page'!$K$24+'main page'!$K$11,IF(controls!$B$33=1,((I198-D197*W198-B198+B197*V198)/'main page'!$K$27)-'main page'!$K$11,((H198-D197*W198-B198+B197*V198)/'main page'!$K$27)-'main page'!$K$11))</f>
        <v>4</v>
      </c>
      <c r="T197" s="71">
        <f>IF(controls!$B$6=1,$AL$3*(1+('main page'!$K$35/100))^U197-$AL$3*(1+('main page'!$K$35/100))^U196,$AL$3*(1+('main page'!$G$8/100))*(1+('main page'!$K$35/100))^U197-$AL$3*(1+('main page'!$G$8/100))*(1+('main page'!$K$35/100))^U196)</f>
        <v>0</v>
      </c>
      <c r="U197" s="73">
        <v>190</v>
      </c>
      <c r="V197" s="161">
        <f ca="1">IF(controls!$B$4=1,IF(controls!$H196=1,controls!$B$34*V196+RAND()*('main page'!$K$16/100)-RAND()*('main page'!$K$16/100),0),0)</f>
        <v>0</v>
      </c>
      <c r="W197" s="40">
        <f ca="1">IF(controls!$B$4=1,IF(controls!$I196=1,controls!$B$34*W196+RAND()*('main page'!$K$16/100)-RAND()*('main page'!$K$16/100),0),0)</f>
        <v>0</v>
      </c>
      <c r="X197" s="49">
        <f ca="1">IF(controls!$B$33=1,D197-($I$3-'main page'!$K$27*2)*(1+('main page'!$K$35/100))^A196,D197-$AL$4)</f>
        <v>0</v>
      </c>
      <c r="Y197" s="49">
        <f ca="1">ABS(L197-(controls!$B$9/100)*100)</f>
        <v>0</v>
      </c>
      <c r="AA197" s="49" t="e">
        <f ca="1">IF(controls!$B$33=1,(B198-B197*V198-I198+D197*W198+'main page'!$K$27*('main page'!$K$24+'main page'!$K$11))/'main page'!$K$31,(B198-B197*V198+D197*W198-H198+'main page'!$K$27*('main page'!$K$24+'main page'!$K$11))/'main page'!$K$31)</f>
        <v>#DIV/0!</v>
      </c>
      <c r="AB197" s="49" t="e">
        <f ca="1">IF(controls!$B$45=1,LOG(AF197,1.01)+LOG(AE197,1.01)-LOG(AD197,1.01),-((M197-('main page'!$K$24+'main page'!$K$11))/(1-'normal case'!$AO$3))+'normal case'!AA197)</f>
        <v>#DIV/0!</v>
      </c>
      <c r="AC197" s="176" t="e">
        <f t="shared" ca="1" si="23"/>
        <v>#DIV/0!</v>
      </c>
      <c r="AD197" s="49">
        <f t="shared" ca="1" si="24"/>
        <v>46.605086869272469</v>
      </c>
      <c r="AE197" s="49">
        <f>AE196*(1+'main page'!$K$32/100)</f>
        <v>1</v>
      </c>
      <c r="AF197" s="49" t="e">
        <f ca="1">IF(ABS(IF(controls!$B$45=1,$AL$13,AD197*AC197/AE197)-AF196)&lt;0.00001,AF196,IF(controls!$B$45=1,$AL$13,AD197*AC197/AE197))</f>
        <v>#DIV/0!</v>
      </c>
      <c r="AG197" s="49">
        <f>IF(controls!$B$46=0,0,IF(controls!$B$33=2,B198-B197*V198-('normal case'!H198-D197*W198-'main page'!$K$27*'normal case'!M197+'main page'!$K$31*'normal case'!AB197)-(('main page'!$K$25*'main page'!$U$13*'main page'!$K$29)/(1+('main page'!$K$25^2)*'main page'!$U$13))*('normal case'!L197-'main page'!$U$8),B198-B197*V198-('normal case'!I198-D197*W198-'main page'!$K$27*'normal case'!M197+'main page'!$K$31*'normal case'!AB197)-(('main page'!$K$25*'main page'!$U$13*'main page'!$K$29)/(1+('main page'!$K$25^2)*'main page'!$U$13))*('normal case'!L197-'main page'!$U$8)))</f>
        <v>0</v>
      </c>
      <c r="AN197" s="40"/>
      <c r="AO197" s="40"/>
    </row>
    <row r="198" spans="1:41">
      <c r="A198" s="48">
        <v>196</v>
      </c>
      <c r="B198" s="75">
        <f ca="1">IF(controls!$B$33=1,B197*(1+V198)+T198,B197*(1+V198))</f>
        <v>100</v>
      </c>
      <c r="C198" s="80">
        <f t="shared" ref="C198:C261" ca="1" si="25">IF(ABS((D198/D197-1)-C197)&lt;0.000001,C197,D198/D197-1)</f>
        <v>0</v>
      </c>
      <c r="D198" s="77">
        <f t="shared" ca="1" si="21"/>
        <v>100</v>
      </c>
      <c r="E198" s="77">
        <f ca="1">AG197+IF(controls!$B$33=1,G198,F198)</f>
        <v>100</v>
      </c>
      <c r="F198" s="94">
        <f ca="1">IF(controls!$B$44=0,H198-'main page'!$K$27*M197,H198-'main page'!$K$27*M197+'main page'!$K$31*AB197)</f>
        <v>100</v>
      </c>
      <c r="G198" s="75">
        <f ca="1">IF(controls!$B$44=0,I198-'main page'!$K$27*M197,I198-'main page'!$K$27*M197+'main page'!$K$31*'normal case'!AB197)</f>
        <v>100</v>
      </c>
      <c r="H198" s="75">
        <f t="shared" ca="1" si="19"/>
        <v>108</v>
      </c>
      <c r="I198" s="75">
        <f t="shared" ca="1" si="20"/>
        <v>108</v>
      </c>
      <c r="L198" s="75">
        <f ca="1">IF(ABS('main page'!$K$29*L197+(1-'main page'!$K$29)*(controls!$B$9/100)*100+'main page'!$K$25*(D198-B198)-L197)&lt;0.0000001,L197,'main page'!$K$29*L197+(1-'main page'!$K$29)*(controls!$B$9/100)*100+'main page'!$K$25*(D198-B198))</f>
        <v>2</v>
      </c>
      <c r="M198" s="96">
        <f ca="1">IF(controls!$B$10=1,M197,IF(SUM(controls!$B$44:$B$46)=2,N198-'main page'!$K$29*'normal case'!L198-(1-'main page'!$K$29)*'main page'!$K$32,N198-'main page'!$K$29*'normal case'!L198-(1-'main page'!$K$29)*controls!$B$9))</f>
        <v>4</v>
      </c>
      <c r="N198" s="208">
        <f ca="1">IF(controls!$B$45=1,IF(controls!$B$46=1,'main page'!$K$24+'main page'!$K$11+'main page'!$U$8,'main page'!$K$24+'main page'!$K$11+'main page'!$K$32),IF(controls!$B$44=1,IF(O198&lt;0,0,O198),IF(O198+'main page'!$K$11&lt;0,0,O198+'main page'!$K$11)))</f>
        <v>6</v>
      </c>
      <c r="O198" s="76">
        <f ca="1">IF(controls!$B$10=1,'normal case'!M198+'normal case'!L198,'normal case'!P198)</f>
        <v>6</v>
      </c>
      <c r="P198" s="74">
        <f t="shared" ca="1" si="22"/>
        <v>6</v>
      </c>
      <c r="Q198" s="210">
        <f ca="1">IF(controls!$B$44=0,R198+'main page'!$K$29*L198+(1-'main page'!$K$29)*controls!$B$9+(('main page'!$K$25*'main page'!$U$13*'main page'!$K$29)/('main page'!$K$27*(1+('main page'!$K$25^2)*'main page'!$U$13)))*(L198-controls!$B$9),R198+'main page'!$K$29*L198+(1-'main page'!$K$29)*controls!$B$9+(('main page'!$K$25*'main page'!$U$13*'normal case'!$AO$3)/'normal case'!$AO$4)*('normal case'!L198-controls!$B$9))</f>
        <v>6</v>
      </c>
      <c r="R198" s="98">
        <f ca="1">IF(controls!$B$44=1,'main page'!$K$24+'main page'!$K$11,IF(controls!$B$33=1,((I199-D198*W199-B199+B198*V199)/'main page'!$K$27)-'main page'!$K$11,((H199-D198*W199-B199+B198*V199)/'main page'!$K$27)-'main page'!$K$11))</f>
        <v>4</v>
      </c>
      <c r="T198" s="71">
        <f>IF(controls!$B$6=1,$AL$3*(1+('main page'!$K$35/100))^U198-$AL$3*(1+('main page'!$K$35/100))^U197,$AL$3*(1+('main page'!$G$8/100))*(1+('main page'!$K$35/100))^U198-$AL$3*(1+('main page'!$G$8/100))*(1+('main page'!$K$35/100))^U197)</f>
        <v>0</v>
      </c>
      <c r="U198" s="73">
        <v>191</v>
      </c>
      <c r="V198" s="161">
        <v>0</v>
      </c>
      <c r="W198" s="40">
        <v>0</v>
      </c>
      <c r="X198" s="49">
        <f ca="1">IF(controls!$B$33=1,D198-($I$3-'main page'!$K$27*2)*(1+('main page'!$K$35/100))^A197,D198-$AL$4)</f>
        <v>0</v>
      </c>
      <c r="Y198" s="49">
        <f ca="1">ABS(L198-(controls!$B$9/100)*100)</f>
        <v>0</v>
      </c>
      <c r="AA198" s="49" t="e">
        <f ca="1">IF(controls!$B$33=1,(B199-B198*V199-I199+D198*W199+'main page'!$K$27*('main page'!$K$24+'main page'!$K$11))/'main page'!$K$31,(B199-B198*V199+D198*W199-H199+'main page'!$K$27*('main page'!$K$24+'main page'!$K$11))/'main page'!$K$31)</f>
        <v>#DIV/0!</v>
      </c>
      <c r="AB198" s="49" t="e">
        <f ca="1">IF(controls!$B$45=1,LOG(AF198,1.01)+LOG(AE198,1.01)-LOG(AD198,1.01),-((M198-('main page'!$K$24+'main page'!$K$11))/(1-'normal case'!$AO$3))+'normal case'!AA198)</f>
        <v>#DIV/0!</v>
      </c>
      <c r="AC198" s="176" t="e">
        <f t="shared" ca="1" si="23"/>
        <v>#DIV/0!</v>
      </c>
      <c r="AD198" s="49">
        <f t="shared" ca="1" si="24"/>
        <v>47.537188606657921</v>
      </c>
      <c r="AE198" s="49">
        <f>AE197*(1+'main page'!$K$32/100)</f>
        <v>1</v>
      </c>
      <c r="AF198" s="49" t="e">
        <f ca="1">IF(ABS(IF(controls!$B$45=1,$AL$13,AD198*AC198/AE198)-AF197)&lt;0.00001,AF197,IF(controls!$B$45=1,$AL$13,AD198*AC198/AE198))</f>
        <v>#DIV/0!</v>
      </c>
      <c r="AG198" s="49">
        <f>IF(controls!$B$46=0,0,IF(controls!$B$33=2,B199-B198*V199-('normal case'!H199-D198*W199-'main page'!$K$27*'normal case'!M198+'main page'!$K$31*'normal case'!AB198)-(('main page'!$K$25*'main page'!$U$13*'main page'!$K$29)/(1+('main page'!$K$25^2)*'main page'!$U$13))*('normal case'!L198-'main page'!$U$8),B199-B198*V199-('normal case'!I199-D198*W199-'main page'!$K$27*'normal case'!M198+'main page'!$K$31*'normal case'!AB198)-(('main page'!$K$25*'main page'!$U$13*'main page'!$K$29)/(1+('main page'!$K$25^2)*'main page'!$U$13))*('normal case'!L198-'main page'!$U$8)))</f>
        <v>0</v>
      </c>
      <c r="AN198" s="40"/>
      <c r="AO198" s="40"/>
    </row>
    <row r="199" spans="1:41">
      <c r="A199" s="48">
        <v>197</v>
      </c>
      <c r="B199" s="75">
        <f ca="1">IF(controls!$B$33=1,B198*(1+V199)+T199,B198*(1+V199))</f>
        <v>100</v>
      </c>
      <c r="C199" s="80">
        <f t="shared" ca="1" si="25"/>
        <v>0</v>
      </c>
      <c r="D199" s="77">
        <f t="shared" ca="1" si="21"/>
        <v>100</v>
      </c>
      <c r="E199" s="77">
        <f ca="1">AG198+IF(controls!$B$33=1,G199,F199)</f>
        <v>100</v>
      </c>
      <c r="F199" s="94">
        <f ca="1">IF(controls!$B$44=0,H199-'main page'!$K$27*M198,H199-'main page'!$K$27*M198+'main page'!$K$31*AB198)</f>
        <v>100</v>
      </c>
      <c r="G199" s="75">
        <f ca="1">IF(controls!$B$44=0,I199-'main page'!$K$27*M198,I199-'main page'!$K$27*M198+'main page'!$K$31*'normal case'!AB198)</f>
        <v>100</v>
      </c>
      <c r="H199" s="75">
        <f t="shared" ca="1" si="19"/>
        <v>108</v>
      </c>
      <c r="I199" s="75">
        <f t="shared" ca="1" si="20"/>
        <v>108</v>
      </c>
      <c r="L199" s="75">
        <f ca="1">IF(ABS('main page'!$K$29*L198+(1-'main page'!$K$29)*(controls!$B$9/100)*100+'main page'!$K$25*(D199-B199)-L198)&lt;0.0000001,L198,'main page'!$K$29*L198+(1-'main page'!$K$29)*(controls!$B$9/100)*100+'main page'!$K$25*(D199-B199))</f>
        <v>2</v>
      </c>
      <c r="M199" s="96">
        <f ca="1">IF(controls!$B$10=1,M198,IF(SUM(controls!$B$44:$B$46)=2,N199-'main page'!$K$29*'normal case'!L199-(1-'main page'!$K$29)*'main page'!$K$32,N199-'main page'!$K$29*'normal case'!L199-(1-'main page'!$K$29)*controls!$B$9))</f>
        <v>4</v>
      </c>
      <c r="N199" s="208">
        <f ca="1">IF(controls!$B$45=1,IF(controls!$B$46=1,'main page'!$K$24+'main page'!$K$11+'main page'!$U$8,'main page'!$K$24+'main page'!$K$11+'main page'!$K$32),IF(controls!$B$44=1,IF(O199&lt;0,0,O199),IF(O199+'main page'!$K$11&lt;0,0,O199+'main page'!$K$11)))</f>
        <v>6</v>
      </c>
      <c r="O199" s="76">
        <f ca="1">IF(controls!$B$10=1,'normal case'!M199+'normal case'!L199,'normal case'!P199)</f>
        <v>6</v>
      </c>
      <c r="P199" s="74">
        <f t="shared" ca="1" si="22"/>
        <v>6</v>
      </c>
      <c r="Q199" s="210">
        <f ca="1">IF(controls!$B$44=0,R199+'main page'!$K$29*L199+(1-'main page'!$K$29)*controls!$B$9+(('main page'!$K$25*'main page'!$U$13*'main page'!$K$29)/('main page'!$K$27*(1+('main page'!$K$25^2)*'main page'!$U$13)))*(L199-controls!$B$9),R199+'main page'!$K$29*L199+(1-'main page'!$K$29)*controls!$B$9+(('main page'!$K$25*'main page'!$U$13*'normal case'!$AO$3)/'normal case'!$AO$4)*('normal case'!L199-controls!$B$9))</f>
        <v>6</v>
      </c>
      <c r="R199" s="98">
        <f ca="1">IF(controls!$B$44=1,'main page'!$K$24+'main page'!$K$11,IF(controls!$B$33=1,((I200-D199*W200-B200+B199*V200)/'main page'!$K$27)-'main page'!$K$11,((H200-D199*W200-B200+B199*V200)/'main page'!$K$27)-'main page'!$K$11))</f>
        <v>4</v>
      </c>
      <c r="T199" s="71">
        <f>IF(controls!$B$6=1,$AL$3*(1+('main page'!$K$35/100))^U199-$AL$3*(1+('main page'!$K$35/100))^U198,$AL$3*(1+('main page'!$G$8/100))*(1+('main page'!$K$35/100))^U199-$AL$3*(1+('main page'!$G$8/100))*(1+('main page'!$K$35/100))^U198)</f>
        <v>0</v>
      </c>
      <c r="U199" s="73">
        <v>192</v>
      </c>
      <c r="V199" s="161">
        <v>0</v>
      </c>
      <c r="W199" s="40">
        <v>0</v>
      </c>
      <c r="X199" s="49">
        <f ca="1">IF(controls!$B$33=1,D199-($I$3-'main page'!$K$27*2)*(1+('main page'!$K$35/100))^A198,D199-$AL$4)</f>
        <v>0</v>
      </c>
      <c r="Y199" s="49">
        <f ca="1">ABS(L199-(controls!$B$9/100)*100)</f>
        <v>0</v>
      </c>
      <c r="AA199" s="49" t="e">
        <f ca="1">IF(controls!$B$33=1,(B200-B199*V200-I200+D199*W200+'main page'!$K$27*('main page'!$K$24+'main page'!$K$11))/'main page'!$K$31,(B200-B199*V200+D199*W200-H200+'main page'!$K$27*('main page'!$K$24+'main page'!$K$11))/'main page'!$K$31)</f>
        <v>#DIV/0!</v>
      </c>
      <c r="AB199" s="49" t="e">
        <f ca="1">IF(controls!$B$45=1,LOG(AF199,1.01)+LOG(AE199,1.01)-LOG(AD199,1.01),-((M199-('main page'!$K$24+'main page'!$K$11))/(1-'normal case'!$AO$3))+'normal case'!AA199)</f>
        <v>#DIV/0!</v>
      </c>
      <c r="AC199" s="176" t="e">
        <f t="shared" ca="1" si="23"/>
        <v>#DIV/0!</v>
      </c>
      <c r="AD199" s="49">
        <f t="shared" ca="1" si="24"/>
        <v>48.487932378791079</v>
      </c>
      <c r="AE199" s="49">
        <f>AE198*(1+'main page'!$K$32/100)</f>
        <v>1</v>
      </c>
      <c r="AF199" s="49" t="e">
        <f ca="1">IF(ABS(IF(controls!$B$45=1,$AL$13,AD199*AC199/AE199)-AF198)&lt;0.00001,AF198,IF(controls!$B$45=1,$AL$13,AD199*AC199/AE199))</f>
        <v>#DIV/0!</v>
      </c>
      <c r="AG199" s="49">
        <f>IF(controls!$B$46=0,0,IF(controls!$B$33=2,B200-B199*V200-('normal case'!H200-D199*W200-'main page'!$K$27*'normal case'!M199+'main page'!$K$31*'normal case'!AB199)-(('main page'!$K$25*'main page'!$U$13*'main page'!$K$29)/(1+('main page'!$K$25^2)*'main page'!$U$13))*('normal case'!L199-'main page'!$U$8),B200-B199*V200-('normal case'!I200-D199*W200-'main page'!$K$27*'normal case'!M199+'main page'!$K$31*'normal case'!AB199)-(('main page'!$K$25*'main page'!$U$13*'main page'!$K$29)/(1+('main page'!$K$25^2)*'main page'!$U$13))*('normal case'!L199-'main page'!$U$8)))</f>
        <v>0</v>
      </c>
      <c r="AN199" s="40"/>
      <c r="AO199" s="40"/>
    </row>
    <row r="200" spans="1:41">
      <c r="A200" s="48">
        <v>198</v>
      </c>
      <c r="B200" s="75">
        <f ca="1">IF(controls!$B$33=1,B199*(1+V200)+T200,B199*(1+V200))</f>
        <v>100</v>
      </c>
      <c r="C200" s="80">
        <f t="shared" ca="1" si="25"/>
        <v>0</v>
      </c>
      <c r="D200" s="77">
        <f t="shared" ca="1" si="21"/>
        <v>100</v>
      </c>
      <c r="E200" s="77">
        <f ca="1">AG199+IF(controls!$B$33=1,G200,F200)</f>
        <v>100</v>
      </c>
      <c r="F200" s="94">
        <f ca="1">IF(controls!$B$44=0,H200-'main page'!$K$27*M199,H200-'main page'!$K$27*M199+'main page'!$K$31*AB199)</f>
        <v>100</v>
      </c>
      <c r="G200" s="75">
        <f ca="1">IF(controls!$B$44=0,I200-'main page'!$K$27*M199,I200-'main page'!$K$27*M199+'main page'!$K$31*'normal case'!AB199)</f>
        <v>100</v>
      </c>
      <c r="H200" s="75">
        <f t="shared" ca="1" si="19"/>
        <v>108</v>
      </c>
      <c r="I200" s="75">
        <f t="shared" ca="1" si="20"/>
        <v>108</v>
      </c>
      <c r="L200" s="75">
        <f ca="1">IF(ABS('main page'!$K$29*L199+(1-'main page'!$K$29)*(controls!$B$9/100)*100+'main page'!$K$25*(D200-B200)-L199)&lt;0.0000001,L199,'main page'!$K$29*L199+(1-'main page'!$K$29)*(controls!$B$9/100)*100+'main page'!$K$25*(D200-B200))</f>
        <v>2</v>
      </c>
      <c r="M200" s="96">
        <f ca="1">IF(controls!$B$10=1,M199,IF(SUM(controls!$B$44:$B$46)=2,N200-'main page'!$K$29*'normal case'!L200-(1-'main page'!$K$29)*'main page'!$K$32,N200-'main page'!$K$29*'normal case'!L200-(1-'main page'!$K$29)*controls!$B$9))</f>
        <v>4</v>
      </c>
      <c r="N200" s="208">
        <f ca="1">IF(controls!$B$45=1,IF(controls!$B$46=1,'main page'!$K$24+'main page'!$K$11+'main page'!$U$8,'main page'!$K$24+'main page'!$K$11+'main page'!$K$32),IF(controls!$B$44=1,IF(O200&lt;0,0,O200),IF(O200+'main page'!$K$11&lt;0,0,O200+'main page'!$K$11)))</f>
        <v>6</v>
      </c>
      <c r="O200" s="76">
        <f ca="1">IF(controls!$B$10=1,'normal case'!M200+'normal case'!L200,'normal case'!P200)</f>
        <v>6</v>
      </c>
      <c r="P200" s="74">
        <f t="shared" ca="1" si="22"/>
        <v>6</v>
      </c>
      <c r="Q200" s="210">
        <f ca="1">IF(controls!$B$44=0,R200+'main page'!$K$29*L200+(1-'main page'!$K$29)*controls!$B$9+(('main page'!$K$25*'main page'!$U$13*'main page'!$K$29)/('main page'!$K$27*(1+('main page'!$K$25^2)*'main page'!$U$13)))*(L200-controls!$B$9),R200+'main page'!$K$29*L200+(1-'main page'!$K$29)*controls!$B$9+(('main page'!$K$25*'main page'!$U$13*'normal case'!$AO$3)/'normal case'!$AO$4)*('normal case'!L200-controls!$B$9))</f>
        <v>6</v>
      </c>
      <c r="R200" s="98">
        <f ca="1">IF(controls!$B$44=1,'main page'!$K$24+'main page'!$K$11,IF(controls!$B$33=1,((I201-D200*W201-B201+B200*V201)/'main page'!$K$27)-'main page'!$K$11,((H201-D200*W201-B201+B200*V201)/'main page'!$K$27)-'main page'!$K$11))</f>
        <v>4</v>
      </c>
      <c r="T200" s="71">
        <f>IF(controls!$B$6=1,$AL$3*(1+('main page'!$K$35/100))^U200-$AL$3*(1+('main page'!$K$35/100))^U199,$AL$3*(1+('main page'!$G$8/100))*(1+('main page'!$K$35/100))^U200-$AL$3*(1+('main page'!$G$8/100))*(1+('main page'!$K$35/100))^U199)</f>
        <v>0</v>
      </c>
      <c r="U200" s="73">
        <v>193</v>
      </c>
      <c r="V200" s="161">
        <f ca="1">IF(controls!$B$4=1,IF(controls!$H199=1,controls!$B$34*V199+RAND()*('main page'!$K$16/100)-RAND()*('main page'!$K$16/100),0),0)</f>
        <v>0</v>
      </c>
      <c r="W200" s="40">
        <f ca="1">IF(controls!$B$4=1,IF(controls!$I199=1,controls!$B$34*W199+RAND()*('main page'!$K$16/100)-RAND()*('main page'!$K$16/100),0),0)</f>
        <v>0</v>
      </c>
      <c r="X200" s="49">
        <f ca="1">IF(controls!$B$33=1,D200-($I$3-'main page'!$K$27*2)*(1+('main page'!$K$35/100))^A199,D200-$AL$4)</f>
        <v>0</v>
      </c>
      <c r="Y200" s="49">
        <f ca="1">ABS(L200-(controls!$B$9/100)*100)</f>
        <v>0</v>
      </c>
      <c r="AA200" s="49" t="e">
        <f ca="1">IF(controls!$B$33=1,(B201-B200*V201-I201+D200*W201+'main page'!$K$27*('main page'!$K$24+'main page'!$K$11))/'main page'!$K$31,(B201-B200*V201+D200*W201-H201+'main page'!$K$27*('main page'!$K$24+'main page'!$K$11))/'main page'!$K$31)</f>
        <v>#DIV/0!</v>
      </c>
      <c r="AB200" s="49" t="e">
        <f ca="1">IF(controls!$B$45=1,LOG(AF200,1.01)+LOG(AE200,1.01)-LOG(AD200,1.01),-((M200-('main page'!$K$24+'main page'!$K$11))/(1-'normal case'!$AO$3))+'normal case'!AA200)</f>
        <v>#DIV/0!</v>
      </c>
      <c r="AC200" s="176" t="e">
        <f t="shared" ca="1" si="23"/>
        <v>#DIV/0!</v>
      </c>
      <c r="AD200" s="49">
        <f t="shared" ca="1" si="24"/>
        <v>49.457691026366902</v>
      </c>
      <c r="AE200" s="49">
        <f>AE199*(1+'main page'!$K$32/100)</f>
        <v>1</v>
      </c>
      <c r="AF200" s="49" t="e">
        <f ca="1">IF(ABS(IF(controls!$B$45=1,$AL$13,AD200*AC200/AE200)-AF199)&lt;0.00001,AF199,IF(controls!$B$45=1,$AL$13,AD200*AC200/AE200))</f>
        <v>#DIV/0!</v>
      </c>
      <c r="AG200" s="49">
        <f>IF(controls!$B$46=0,0,IF(controls!$B$33=2,B201-B200*V201-('normal case'!H201-D200*W201-'main page'!$K$27*'normal case'!M200+'main page'!$K$31*'normal case'!AB200)-(('main page'!$K$25*'main page'!$U$13*'main page'!$K$29)/(1+('main page'!$K$25^2)*'main page'!$U$13))*('normal case'!L200-'main page'!$U$8),B201-B200*V201-('normal case'!I201-D200*W201-'main page'!$K$27*'normal case'!M200+'main page'!$K$31*'normal case'!AB200)-(('main page'!$K$25*'main page'!$U$13*'main page'!$K$29)/(1+('main page'!$K$25^2)*'main page'!$U$13))*('normal case'!L200-'main page'!$U$8)))</f>
        <v>0</v>
      </c>
      <c r="AN200" s="40"/>
      <c r="AO200" s="40"/>
    </row>
    <row r="201" spans="1:41">
      <c r="A201" s="48">
        <v>199</v>
      </c>
      <c r="B201" s="75">
        <f ca="1">IF(controls!$B$33=1,B200*(1+V201)+T201,B200*(1+V201))</f>
        <v>100</v>
      </c>
      <c r="C201" s="80">
        <f t="shared" ca="1" si="25"/>
        <v>0</v>
      </c>
      <c r="D201" s="77">
        <f t="shared" ca="1" si="21"/>
        <v>100</v>
      </c>
      <c r="E201" s="77">
        <f ca="1">AG200+IF(controls!$B$33=1,G201,F201)</f>
        <v>100</v>
      </c>
      <c r="F201" s="94">
        <f ca="1">IF(controls!$B$44=0,H201-'main page'!$K$27*M200,H201-'main page'!$K$27*M200+'main page'!$K$31*AB200)</f>
        <v>100</v>
      </c>
      <c r="G201" s="75">
        <f ca="1">IF(controls!$B$44=0,I201-'main page'!$K$27*M200,I201-'main page'!$K$27*M200+'main page'!$K$31*'normal case'!AB200)</f>
        <v>100</v>
      </c>
      <c r="H201" s="75">
        <f t="shared" ca="1" si="19"/>
        <v>108</v>
      </c>
      <c r="I201" s="75">
        <f t="shared" ca="1" si="20"/>
        <v>108</v>
      </c>
      <c r="L201" s="75">
        <f ca="1">IF(ABS('main page'!$K$29*L200+(1-'main page'!$K$29)*(controls!$B$9/100)*100+'main page'!$K$25*(D201-B201)-L200)&lt;0.0000001,L200,'main page'!$K$29*L200+(1-'main page'!$K$29)*(controls!$B$9/100)*100+'main page'!$K$25*(D201-B201))</f>
        <v>2</v>
      </c>
      <c r="M201" s="96">
        <f ca="1">IF(controls!$B$10=1,M200,IF(SUM(controls!$B$44:$B$46)=2,N201-'main page'!$K$29*'normal case'!L201-(1-'main page'!$K$29)*'main page'!$K$32,N201-'main page'!$K$29*'normal case'!L201-(1-'main page'!$K$29)*controls!$B$9))</f>
        <v>4</v>
      </c>
      <c r="N201" s="208">
        <f ca="1">IF(controls!$B$45=1,IF(controls!$B$46=1,'main page'!$K$24+'main page'!$K$11+'main page'!$U$8,'main page'!$K$24+'main page'!$K$11+'main page'!$K$32),IF(controls!$B$44=1,IF(O201&lt;0,0,O201),IF(O201+'main page'!$K$11&lt;0,0,O201+'main page'!$K$11)))</f>
        <v>6</v>
      </c>
      <c r="O201" s="76">
        <f ca="1">IF(controls!$B$10=1,'normal case'!M201+'normal case'!L201,'normal case'!P201)</f>
        <v>6</v>
      </c>
      <c r="P201" s="74">
        <f t="shared" ca="1" si="22"/>
        <v>6</v>
      </c>
      <c r="Q201" s="210">
        <f ca="1">IF(controls!$B$44=0,R201+'main page'!$K$29*L201+(1-'main page'!$K$29)*controls!$B$9+(('main page'!$K$25*'main page'!$U$13*'main page'!$K$29)/('main page'!$K$27*(1+('main page'!$K$25^2)*'main page'!$U$13)))*(L201-controls!$B$9),R201+'main page'!$K$29*L201+(1-'main page'!$K$29)*controls!$B$9+(('main page'!$K$25*'main page'!$U$13*'normal case'!$AO$3)/'normal case'!$AO$4)*('normal case'!L201-controls!$B$9))</f>
        <v>6</v>
      </c>
      <c r="R201" s="98">
        <f ca="1">IF(controls!$B$44=1,'main page'!$K$24+'main page'!$K$11,IF(controls!$B$33=1,((I202-D201*W202-B202+B201*V202)/'main page'!$K$27)-'main page'!$K$11,((H202-D201*W202-B202+B201*V202)/'main page'!$K$27)-'main page'!$K$11))</f>
        <v>4</v>
      </c>
      <c r="T201" s="71">
        <f>IF(controls!$B$6=1,$AL$3*(1+('main page'!$K$35/100))^U201-$AL$3*(1+('main page'!$K$35/100))^U200,$AL$3*(1+('main page'!$G$8/100))*(1+('main page'!$K$35/100))^U201-$AL$3*(1+('main page'!$G$8/100))*(1+('main page'!$K$35/100))^U200)</f>
        <v>0</v>
      </c>
      <c r="U201" s="73">
        <v>194</v>
      </c>
      <c r="V201" s="161">
        <v>0</v>
      </c>
      <c r="W201" s="40">
        <v>0</v>
      </c>
      <c r="X201" s="49">
        <f ca="1">IF(controls!$B$33=1,D201-($I$3-'main page'!$K$27*2)*(1+('main page'!$K$35/100))^A200,D201-$AL$4)</f>
        <v>0</v>
      </c>
      <c r="Y201" s="49">
        <f ca="1">ABS(L201-(controls!$B$9/100)*100)</f>
        <v>0</v>
      </c>
      <c r="AA201" s="49" t="e">
        <f ca="1">IF(controls!$B$33=1,(B202-B201*V202-I202+D201*W202+'main page'!$K$27*('main page'!$K$24+'main page'!$K$11))/'main page'!$K$31,(B202-B201*V202+D201*W202-H202+'main page'!$K$27*('main page'!$K$24+'main page'!$K$11))/'main page'!$K$31)</f>
        <v>#DIV/0!</v>
      </c>
      <c r="AB201" s="49" t="e">
        <f ca="1">IF(controls!$B$45=1,LOG(AF201,1.01)+LOG(AE201,1.01)-LOG(AD201,1.01),-((M201-('main page'!$K$24+'main page'!$K$11))/(1-'normal case'!$AO$3))+'normal case'!AA201)</f>
        <v>#DIV/0!</v>
      </c>
      <c r="AC201" s="176" t="e">
        <f t="shared" ca="1" si="23"/>
        <v>#DIV/0!</v>
      </c>
      <c r="AD201" s="49">
        <f t="shared" ca="1" si="24"/>
        <v>50.446844846894244</v>
      </c>
      <c r="AE201" s="49">
        <f>AE200*(1+'main page'!$K$32/100)</f>
        <v>1</v>
      </c>
      <c r="AF201" s="49" t="e">
        <f ca="1">IF(ABS(IF(controls!$B$45=1,$AL$13,AD201*AC201/AE201)-AF200)&lt;0.00001,AF200,IF(controls!$B$45=1,$AL$13,AD201*AC201/AE201))</f>
        <v>#DIV/0!</v>
      </c>
      <c r="AG201" s="49">
        <f>IF(controls!$B$46=0,0,IF(controls!$B$33=2,B202-B201*V202-('normal case'!H202-D201*W202-'main page'!$K$27*'normal case'!M201+'main page'!$K$31*'normal case'!AB201)-(('main page'!$K$25*'main page'!$U$13*'main page'!$K$29)/(1+('main page'!$K$25^2)*'main page'!$U$13))*('normal case'!L201-'main page'!$U$8),B202-B201*V202-('normal case'!I202-D201*W202-'main page'!$K$27*'normal case'!M201+'main page'!$K$31*'normal case'!AB201)-(('main page'!$K$25*'main page'!$U$13*'main page'!$K$29)/(1+('main page'!$K$25^2)*'main page'!$U$13))*('normal case'!L201-'main page'!$U$8)))</f>
        <v>0</v>
      </c>
      <c r="AN201" s="40"/>
      <c r="AO201" s="40"/>
    </row>
    <row r="202" spans="1:41">
      <c r="A202" s="48">
        <v>200</v>
      </c>
      <c r="B202" s="75">
        <f ca="1">IF(controls!$B$33=1,B201*(1+V202)+T202,B201*(1+V202))</f>
        <v>100</v>
      </c>
      <c r="C202" s="80">
        <f t="shared" ca="1" si="25"/>
        <v>0</v>
      </c>
      <c r="D202" s="77">
        <f t="shared" ca="1" si="21"/>
        <v>100</v>
      </c>
      <c r="E202" s="77">
        <f ca="1">AG201+IF(controls!$B$33=1,G202,F202)</f>
        <v>100</v>
      </c>
      <c r="F202" s="94">
        <f ca="1">IF(controls!$B$44=0,H202-'main page'!$K$27*M201,H202-'main page'!$K$27*M201+'main page'!$K$31*AB201)</f>
        <v>100</v>
      </c>
      <c r="G202" s="75">
        <f ca="1">IF(controls!$B$44=0,I202-'main page'!$K$27*M201,I202-'main page'!$K$27*M201+'main page'!$K$31*'normal case'!AB201)</f>
        <v>100</v>
      </c>
      <c r="H202" s="75">
        <f t="shared" ca="1" si="19"/>
        <v>108</v>
      </c>
      <c r="I202" s="75">
        <f t="shared" ca="1" si="20"/>
        <v>108</v>
      </c>
      <c r="L202" s="75">
        <f ca="1">IF(ABS('main page'!$K$29*L201+(1-'main page'!$K$29)*(controls!$B$9/100)*100+'main page'!$K$25*(D202-B202)-L201)&lt;0.0000001,L201,'main page'!$K$29*L201+(1-'main page'!$K$29)*(controls!$B$9/100)*100+'main page'!$K$25*(D202-B202))</f>
        <v>2</v>
      </c>
      <c r="M202" s="96">
        <f ca="1">IF(controls!$B$10=1,M201,IF(SUM(controls!$B$44:$B$46)=2,N202-'main page'!$K$29*'normal case'!L202-(1-'main page'!$K$29)*'main page'!$K$32,N202-'main page'!$K$29*'normal case'!L202-(1-'main page'!$K$29)*controls!$B$9))</f>
        <v>4</v>
      </c>
      <c r="N202" s="208">
        <f ca="1">IF(controls!$B$45=1,IF(controls!$B$46=1,'main page'!$K$24+'main page'!$K$11+'main page'!$U$8,'main page'!$K$24+'main page'!$K$11+'main page'!$K$32),IF(controls!$B$44=1,IF(O202&lt;0,0,O202),IF(O202+'main page'!$K$11&lt;0,0,O202+'main page'!$K$11)))</f>
        <v>6</v>
      </c>
      <c r="O202" s="76">
        <f ca="1">IF(controls!$B$10=1,'normal case'!M202+'normal case'!L202,'normal case'!P202)</f>
        <v>6</v>
      </c>
      <c r="P202" s="74">
        <f t="shared" ca="1" si="22"/>
        <v>6</v>
      </c>
      <c r="Q202" s="210">
        <f ca="1">IF(controls!$B$44=0,R202+'main page'!$K$29*L202+(1-'main page'!$K$29)*controls!$B$9+(('main page'!$K$25*'main page'!$U$13*'main page'!$K$29)/('main page'!$K$27*(1+('main page'!$K$25^2)*'main page'!$U$13)))*(L202-controls!$B$9),R202+'main page'!$K$29*L202+(1-'main page'!$K$29)*controls!$B$9+(('main page'!$K$25*'main page'!$U$13*'normal case'!$AO$3)/'normal case'!$AO$4)*('normal case'!L202-controls!$B$9))</f>
        <v>6</v>
      </c>
      <c r="R202" s="98">
        <f ca="1">IF(controls!$B$44=1,'main page'!$K$24+'main page'!$K$11,IF(controls!$B$33=1,((I203-D202*W203-B203+B202*V203)/'main page'!$K$27)-'main page'!$K$11,((H203-D202*W203-B203+B202*V203)/'main page'!$K$27)-'main page'!$K$11))</f>
        <v>4</v>
      </c>
      <c r="T202" s="71">
        <f>IF(controls!$B$6=1,$AL$3*(1+('main page'!$K$35/100))^U202-$AL$3*(1+('main page'!$K$35/100))^U201,$AL$3*(1+('main page'!$G$8/100))*(1+('main page'!$K$35/100))^U202-$AL$3*(1+('main page'!$G$8/100))*(1+('main page'!$K$35/100))^U201)</f>
        <v>0</v>
      </c>
      <c r="U202" s="73">
        <v>195</v>
      </c>
      <c r="V202" s="161">
        <v>0</v>
      </c>
      <c r="W202" s="40">
        <v>0</v>
      </c>
      <c r="X202" s="49">
        <f ca="1">IF(controls!$B$33=1,D202-($I$3-'main page'!$K$27*2)*(1+('main page'!$K$35/100))^A201,D202-$AL$4)</f>
        <v>0</v>
      </c>
      <c r="Y202" s="49">
        <f ca="1">ABS(L202-(controls!$B$9/100)*100)</f>
        <v>0</v>
      </c>
      <c r="AA202" s="49" t="e">
        <f ca="1">IF(controls!$B$33=1,(B203-B202*V203-I203+D202*W203+'main page'!$K$27*('main page'!$K$24+'main page'!$K$11))/'main page'!$K$31,(B203-B202*V203+D202*W203-H203+'main page'!$K$27*('main page'!$K$24+'main page'!$K$11))/'main page'!$K$31)</f>
        <v>#DIV/0!</v>
      </c>
      <c r="AB202" s="49" t="e">
        <f ca="1">IF(controls!$B$45=1,LOG(AF202,1.01)+LOG(AE202,1.01)-LOG(AD202,1.01),-((M202-('main page'!$K$24+'main page'!$K$11))/(1-'normal case'!$AO$3))+'normal case'!AA202)</f>
        <v>#DIV/0!</v>
      </c>
      <c r="AC202" s="176" t="e">
        <f t="shared" ca="1" si="23"/>
        <v>#DIV/0!</v>
      </c>
      <c r="AD202" s="49">
        <f t="shared" ca="1" si="24"/>
        <v>51.455781743832127</v>
      </c>
      <c r="AE202" s="49">
        <f>AE201*(1+'main page'!$K$32/100)</f>
        <v>1</v>
      </c>
      <c r="AF202" s="49" t="e">
        <f ca="1">IF(ABS(IF(controls!$B$45=1,$AL$13,AD202*AC202/AE202)-AF201)&lt;0.00001,AF201,IF(controls!$B$45=1,$AL$13,AD202*AC202/AE202))</f>
        <v>#DIV/0!</v>
      </c>
      <c r="AG202" s="49">
        <f>IF(controls!$B$46=0,0,IF(controls!$B$33=2,B203-B202*V203-('normal case'!H203-D202*W203-'main page'!$K$27*'normal case'!M202+'main page'!$K$31*'normal case'!AB202)-(('main page'!$K$25*'main page'!$U$13*'main page'!$K$29)/(1+('main page'!$K$25^2)*'main page'!$U$13))*('normal case'!L202-'main page'!$U$8),B203-B202*V203-('normal case'!I203-D202*W203-'main page'!$K$27*'normal case'!M202+'main page'!$K$31*'normal case'!AB202)-(('main page'!$K$25*'main page'!$U$13*'main page'!$K$29)/(1+('main page'!$K$25^2)*'main page'!$U$13))*('normal case'!L202-'main page'!$U$8)))</f>
        <v>0</v>
      </c>
      <c r="AN202" s="40"/>
      <c r="AO202" s="40"/>
    </row>
    <row r="203" spans="1:41">
      <c r="A203" s="48">
        <v>201</v>
      </c>
      <c r="B203" s="75">
        <f ca="1">IF(controls!$B$33=1,B202*(1+V203)+T203,B202*(1+V203))</f>
        <v>100</v>
      </c>
      <c r="C203" s="80">
        <f t="shared" ca="1" si="25"/>
        <v>0</v>
      </c>
      <c r="D203" s="77">
        <f t="shared" ca="1" si="21"/>
        <v>100</v>
      </c>
      <c r="E203" s="77">
        <f ca="1">AG202+IF(controls!$B$33=1,G203,F203)</f>
        <v>100</v>
      </c>
      <c r="F203" s="94">
        <f ca="1">IF(controls!$B$44=0,H203-'main page'!$K$27*M202,H203-'main page'!$K$27*M202+'main page'!$K$31*AB202)</f>
        <v>100</v>
      </c>
      <c r="G203" s="75">
        <f ca="1">IF(controls!$B$44=0,I203-'main page'!$K$27*M202,I203-'main page'!$K$27*M202+'main page'!$K$31*'normal case'!AB202)</f>
        <v>100</v>
      </c>
      <c r="H203" s="75">
        <f t="shared" ca="1" si="19"/>
        <v>108</v>
      </c>
      <c r="I203" s="75">
        <f t="shared" ca="1" si="20"/>
        <v>108</v>
      </c>
      <c r="L203" s="75">
        <f ca="1">IF(ABS('main page'!$K$29*L202+(1-'main page'!$K$29)*(controls!$B$9/100)*100+'main page'!$K$25*(D203-B203)-L202)&lt;0.0000001,L202,'main page'!$K$29*L202+(1-'main page'!$K$29)*(controls!$B$9/100)*100+'main page'!$K$25*(D203-B203))</f>
        <v>2</v>
      </c>
      <c r="M203" s="96">
        <f ca="1">IF(controls!$B$10=1,M202,IF(SUM(controls!$B$44:$B$46)=2,N203-'main page'!$K$29*'normal case'!L203-(1-'main page'!$K$29)*'main page'!$K$32,N203-'main page'!$K$29*'normal case'!L203-(1-'main page'!$K$29)*controls!$B$9))</f>
        <v>4</v>
      </c>
      <c r="N203" s="208">
        <f ca="1">IF(controls!$B$45=1,IF(controls!$B$46=1,'main page'!$K$24+'main page'!$K$11+'main page'!$U$8,'main page'!$K$24+'main page'!$K$11+'main page'!$K$32),IF(controls!$B$44=1,IF(O203&lt;0,0,O203),IF(O203+'main page'!$K$11&lt;0,0,O203+'main page'!$K$11)))</f>
        <v>6</v>
      </c>
      <c r="O203" s="76">
        <f ca="1">IF(controls!$B$10=1,'normal case'!M203+'normal case'!L203,'normal case'!P203)</f>
        <v>6</v>
      </c>
      <c r="P203" s="74">
        <f t="shared" ca="1" si="22"/>
        <v>6</v>
      </c>
      <c r="Q203" s="210">
        <f ca="1">IF(controls!$B$44=0,R203+'main page'!$K$29*L203+(1-'main page'!$K$29)*controls!$B$9+(('main page'!$K$25*'main page'!$U$13*'main page'!$K$29)/('main page'!$K$27*(1+('main page'!$K$25^2)*'main page'!$U$13)))*(L203-controls!$B$9),R203+'main page'!$K$29*L203+(1-'main page'!$K$29)*controls!$B$9+(('main page'!$K$25*'main page'!$U$13*'normal case'!$AO$3)/'normal case'!$AO$4)*('normal case'!L203-controls!$B$9))</f>
        <v>6</v>
      </c>
      <c r="R203" s="98">
        <f ca="1">IF(controls!$B$44=1,'main page'!$K$24+'main page'!$K$11,IF(controls!$B$33=1,((I204-D203*W204-B204+B203*V204)/'main page'!$K$27)-'main page'!$K$11,((H204-D203*W204-B204+B203*V204)/'main page'!$K$27)-'main page'!$K$11))</f>
        <v>4</v>
      </c>
      <c r="T203" s="71">
        <f>IF(controls!$B$6=1,$AL$3*(1+('main page'!$K$35/100))^U203-$AL$3*(1+('main page'!$K$35/100))^U202,$AL$3*(1+('main page'!$G$8/100))*(1+('main page'!$K$35/100))^U203-$AL$3*(1+('main page'!$G$8/100))*(1+('main page'!$K$35/100))^U202)</f>
        <v>0</v>
      </c>
      <c r="U203" s="73">
        <v>196</v>
      </c>
      <c r="V203" s="161">
        <f ca="1">IF(controls!$B$4=1,IF(controls!$H202=1,controls!$B$34*V202+RAND()*('main page'!$K$16/100)-RAND()*('main page'!$K$16/100),0),0)</f>
        <v>0</v>
      </c>
      <c r="W203" s="40">
        <f ca="1">IF(controls!$B$4=1,IF(controls!$I202=1,controls!$B$34*W202+RAND()*('main page'!$K$16/100)-RAND()*('main page'!$K$16/100),0),0)</f>
        <v>0</v>
      </c>
      <c r="X203" s="49">
        <f ca="1">IF(controls!$B$33=1,D203-($I$3-'main page'!$K$27*2)*(1+('main page'!$K$35/100))^A202,D203-$AL$4)</f>
        <v>0</v>
      </c>
      <c r="Y203" s="49">
        <f ca="1">ABS(L203-(controls!$B$9/100)*100)</f>
        <v>0</v>
      </c>
      <c r="AA203" s="49" t="e">
        <f ca="1">IF(controls!$B$33=1,(B204-B203*V204-I204+D203*W204+'main page'!$K$27*('main page'!$K$24+'main page'!$K$11))/'main page'!$K$31,(B204-B203*V204+D203*W204-H204+'main page'!$K$27*('main page'!$K$24+'main page'!$K$11))/'main page'!$K$31)</f>
        <v>#DIV/0!</v>
      </c>
      <c r="AB203" s="49" t="e">
        <f ca="1">IF(controls!$B$45=1,LOG(AF203,1.01)+LOG(AE203,1.01)-LOG(AD203,1.01),-((M203-('main page'!$K$24+'main page'!$K$11))/(1-'normal case'!$AO$3))+'normal case'!AA203)</f>
        <v>#DIV/0!</v>
      </c>
      <c r="AC203" s="176" t="e">
        <f t="shared" ca="1" si="23"/>
        <v>#DIV/0!</v>
      </c>
      <c r="AD203" s="49">
        <f t="shared" ca="1" si="24"/>
        <v>52.484897378708773</v>
      </c>
      <c r="AE203" s="49">
        <f>AE202*(1+'main page'!$K$32/100)</f>
        <v>1</v>
      </c>
      <c r="AF203" s="49" t="e">
        <f ca="1">IF(ABS(IF(controls!$B$45=1,$AL$13,AD203*AC203/AE203)-AF202)&lt;0.00001,AF202,IF(controls!$B$45=1,$AL$13,AD203*AC203/AE203))</f>
        <v>#DIV/0!</v>
      </c>
      <c r="AG203" s="49">
        <f>IF(controls!$B$46=0,0,IF(controls!$B$33=2,B204-B203*V204-('normal case'!H204-D203*W204-'main page'!$K$27*'normal case'!M203+'main page'!$K$31*'normal case'!AB203)-(('main page'!$K$25*'main page'!$U$13*'main page'!$K$29)/(1+('main page'!$K$25^2)*'main page'!$U$13))*('normal case'!L203-'main page'!$U$8),B204-B203*V204-('normal case'!I204-D203*W204-'main page'!$K$27*'normal case'!M203+'main page'!$K$31*'normal case'!AB203)-(('main page'!$K$25*'main page'!$U$13*'main page'!$K$29)/(1+('main page'!$K$25^2)*'main page'!$U$13))*('normal case'!L203-'main page'!$U$8)))</f>
        <v>0</v>
      </c>
      <c r="AN203" s="40"/>
      <c r="AO203" s="40"/>
    </row>
    <row r="204" spans="1:41">
      <c r="A204" s="48">
        <v>202</v>
      </c>
      <c r="B204" s="75">
        <f ca="1">IF(controls!$B$33=1,B203*(1+V204)+T204,B203*(1+V204))</f>
        <v>100</v>
      </c>
      <c r="C204" s="80">
        <f t="shared" ca="1" si="25"/>
        <v>0</v>
      </c>
      <c r="D204" s="77">
        <f t="shared" ca="1" si="21"/>
        <v>100</v>
      </c>
      <c r="E204" s="77">
        <f ca="1">AG203+IF(controls!$B$33=1,G204,F204)</f>
        <v>100</v>
      </c>
      <c r="F204" s="94">
        <f ca="1">IF(controls!$B$44=0,H204-'main page'!$K$27*M203,H204-'main page'!$K$27*M203+'main page'!$K$31*AB203)</f>
        <v>100</v>
      </c>
      <c r="G204" s="75">
        <f ca="1">IF(controls!$B$44=0,I204-'main page'!$K$27*M203,I204-'main page'!$K$27*M203+'main page'!$K$31*'normal case'!AB203)</f>
        <v>100</v>
      </c>
      <c r="H204" s="75">
        <f t="shared" ca="1" si="19"/>
        <v>108</v>
      </c>
      <c r="I204" s="75">
        <f t="shared" ca="1" si="20"/>
        <v>108</v>
      </c>
      <c r="L204" s="75">
        <f ca="1">IF(ABS('main page'!$K$29*L203+(1-'main page'!$K$29)*(controls!$B$9/100)*100+'main page'!$K$25*(D204-B204)-L203)&lt;0.0000001,L203,'main page'!$K$29*L203+(1-'main page'!$K$29)*(controls!$B$9/100)*100+'main page'!$K$25*(D204-B204))</f>
        <v>2</v>
      </c>
      <c r="M204" s="96">
        <f ca="1">IF(controls!$B$10=1,M203,IF(SUM(controls!$B$44:$B$46)=2,N204-'main page'!$K$29*'normal case'!L204-(1-'main page'!$K$29)*'main page'!$K$32,N204-'main page'!$K$29*'normal case'!L204-(1-'main page'!$K$29)*controls!$B$9))</f>
        <v>4</v>
      </c>
      <c r="N204" s="208">
        <f ca="1">IF(controls!$B$45=1,IF(controls!$B$46=1,'main page'!$K$24+'main page'!$K$11+'main page'!$U$8,'main page'!$K$24+'main page'!$K$11+'main page'!$K$32),IF(controls!$B$44=1,IF(O204&lt;0,0,O204),IF(O204+'main page'!$K$11&lt;0,0,O204+'main page'!$K$11)))</f>
        <v>6</v>
      </c>
      <c r="O204" s="76">
        <f ca="1">IF(controls!$B$10=1,'normal case'!M204+'normal case'!L204,'normal case'!P204)</f>
        <v>6</v>
      </c>
      <c r="P204" s="74">
        <f t="shared" ca="1" si="22"/>
        <v>6</v>
      </c>
      <c r="Q204" s="210">
        <f ca="1">IF(controls!$B$44=0,R204+'main page'!$K$29*L204+(1-'main page'!$K$29)*controls!$B$9+(('main page'!$K$25*'main page'!$U$13*'main page'!$K$29)/('main page'!$K$27*(1+('main page'!$K$25^2)*'main page'!$U$13)))*(L204-controls!$B$9),R204+'main page'!$K$29*L204+(1-'main page'!$K$29)*controls!$B$9+(('main page'!$K$25*'main page'!$U$13*'normal case'!$AO$3)/'normal case'!$AO$4)*('normal case'!L204-controls!$B$9))</f>
        <v>6</v>
      </c>
      <c r="R204" s="98">
        <f ca="1">IF(controls!$B$44=1,'main page'!$K$24+'main page'!$K$11,IF(controls!$B$33=1,((I205-D204*W205-B205+B204*V205)/'main page'!$K$27)-'main page'!$K$11,((H205-D204*W205-B205+B204*V205)/'main page'!$K$27)-'main page'!$K$11))</f>
        <v>4</v>
      </c>
      <c r="T204" s="71">
        <f>IF(controls!$B$6=1,$AL$3*(1+('main page'!$K$35/100))^U204-$AL$3*(1+('main page'!$K$35/100))^U203,$AL$3*(1+('main page'!$G$8/100))*(1+('main page'!$K$35/100))^U204-$AL$3*(1+('main page'!$G$8/100))*(1+('main page'!$K$35/100))^U203)</f>
        <v>0</v>
      </c>
      <c r="U204" s="73">
        <v>197</v>
      </c>
      <c r="V204" s="161">
        <v>0</v>
      </c>
      <c r="W204" s="40">
        <v>0</v>
      </c>
      <c r="X204" s="49">
        <f ca="1">IF(controls!$B$33=1,D204-($I$3-'main page'!$K$27*2)*(1+('main page'!$K$35/100))^A203,D204-$AL$4)</f>
        <v>0</v>
      </c>
      <c r="Y204" s="49">
        <f ca="1">ABS(L204-(controls!$B$9/100)*100)</f>
        <v>0</v>
      </c>
      <c r="AA204" s="49" t="e">
        <f ca="1">IF(controls!$B$33=1,(B205-B204*V205-I205+D204*W205+'main page'!$K$27*('main page'!$K$24+'main page'!$K$11))/'main page'!$K$31,(B205-B204*V205+D204*W205-H205+'main page'!$K$27*('main page'!$K$24+'main page'!$K$11))/'main page'!$K$31)</f>
        <v>#DIV/0!</v>
      </c>
      <c r="AB204" s="49" t="e">
        <f ca="1">IF(controls!$B$45=1,LOG(AF204,1.01)+LOG(AE204,1.01)-LOG(AD204,1.01),-((M204-('main page'!$K$24+'main page'!$K$11))/(1-'normal case'!$AO$3))+'normal case'!AA204)</f>
        <v>#DIV/0!</v>
      </c>
      <c r="AC204" s="176" t="e">
        <f t="shared" ca="1" si="23"/>
        <v>#DIV/0!</v>
      </c>
      <c r="AD204" s="49">
        <f t="shared" ca="1" si="24"/>
        <v>53.534595326282947</v>
      </c>
      <c r="AE204" s="49">
        <f>AE203*(1+'main page'!$K$32/100)</f>
        <v>1</v>
      </c>
      <c r="AF204" s="49" t="e">
        <f ca="1">IF(ABS(IF(controls!$B$45=1,$AL$13,AD204*AC204/AE204)-AF203)&lt;0.00001,AF203,IF(controls!$B$45=1,$AL$13,AD204*AC204/AE204))</f>
        <v>#DIV/0!</v>
      </c>
      <c r="AG204" s="49">
        <f>IF(controls!$B$46=0,0,IF(controls!$B$33=2,B205-B204*V205-('normal case'!H205-D204*W205-'main page'!$K$27*'normal case'!M204+'main page'!$K$31*'normal case'!AB204)-(('main page'!$K$25*'main page'!$U$13*'main page'!$K$29)/(1+('main page'!$K$25^2)*'main page'!$U$13))*('normal case'!L204-'main page'!$U$8),B205-B204*V205-('normal case'!I205-D204*W205-'main page'!$K$27*'normal case'!M204+'main page'!$K$31*'normal case'!AB204)-(('main page'!$K$25*'main page'!$U$13*'main page'!$K$29)/(1+('main page'!$K$25^2)*'main page'!$U$13))*('normal case'!L204-'main page'!$U$8)))</f>
        <v>0</v>
      </c>
      <c r="AN204" s="40"/>
      <c r="AO204" s="40"/>
    </row>
    <row r="205" spans="1:41">
      <c r="A205" s="48">
        <v>203</v>
      </c>
      <c r="B205" s="75">
        <f ca="1">IF(controls!$B$33=1,B204*(1+V205)+T205,B204*(1+V205))</f>
        <v>100</v>
      </c>
      <c r="C205" s="80">
        <f t="shared" ca="1" si="25"/>
        <v>0</v>
      </c>
      <c r="D205" s="77">
        <f t="shared" ca="1" si="21"/>
        <v>100</v>
      </c>
      <c r="E205" s="77">
        <f ca="1">AG204+IF(controls!$B$33=1,G205,F205)</f>
        <v>100</v>
      </c>
      <c r="F205" s="94">
        <f ca="1">IF(controls!$B$44=0,H205-'main page'!$K$27*M204,H205-'main page'!$K$27*M204+'main page'!$K$31*AB204)</f>
        <v>100</v>
      </c>
      <c r="G205" s="75">
        <f ca="1">IF(controls!$B$44=0,I205-'main page'!$K$27*M204,I205-'main page'!$K$27*M204+'main page'!$K$31*'normal case'!AB204)</f>
        <v>100</v>
      </c>
      <c r="H205" s="75">
        <f t="shared" ca="1" si="19"/>
        <v>108</v>
      </c>
      <c r="I205" s="75">
        <f t="shared" ca="1" si="20"/>
        <v>108</v>
      </c>
      <c r="L205" s="75">
        <f ca="1">IF(ABS('main page'!$K$29*L204+(1-'main page'!$K$29)*(controls!$B$9/100)*100+'main page'!$K$25*(D205-B205)-L204)&lt;0.0000001,L204,'main page'!$K$29*L204+(1-'main page'!$K$29)*(controls!$B$9/100)*100+'main page'!$K$25*(D205-B205))</f>
        <v>2</v>
      </c>
      <c r="M205" s="96">
        <f ca="1">IF(controls!$B$10=1,M204,IF(SUM(controls!$B$44:$B$46)=2,N205-'main page'!$K$29*'normal case'!L205-(1-'main page'!$K$29)*'main page'!$K$32,N205-'main page'!$K$29*'normal case'!L205-(1-'main page'!$K$29)*controls!$B$9))</f>
        <v>4</v>
      </c>
      <c r="N205" s="208">
        <f ca="1">IF(controls!$B$45=1,IF(controls!$B$46=1,'main page'!$K$24+'main page'!$K$11+'main page'!$U$8,'main page'!$K$24+'main page'!$K$11+'main page'!$K$32),IF(controls!$B$44=1,IF(O205&lt;0,0,O205),IF(O205+'main page'!$K$11&lt;0,0,O205+'main page'!$K$11)))</f>
        <v>6</v>
      </c>
      <c r="O205" s="76">
        <f ca="1">IF(controls!$B$10=1,'normal case'!M205+'normal case'!L205,'normal case'!P205)</f>
        <v>6</v>
      </c>
      <c r="P205" s="74">
        <f t="shared" ca="1" si="22"/>
        <v>6</v>
      </c>
      <c r="Q205" s="210">
        <f ca="1">IF(controls!$B$44=0,R205+'main page'!$K$29*L205+(1-'main page'!$K$29)*controls!$B$9+(('main page'!$K$25*'main page'!$U$13*'main page'!$K$29)/('main page'!$K$27*(1+('main page'!$K$25^2)*'main page'!$U$13)))*(L205-controls!$B$9),R205+'main page'!$K$29*L205+(1-'main page'!$K$29)*controls!$B$9+(('main page'!$K$25*'main page'!$U$13*'normal case'!$AO$3)/'normal case'!$AO$4)*('normal case'!L205-controls!$B$9))</f>
        <v>6</v>
      </c>
      <c r="R205" s="98">
        <f ca="1">IF(controls!$B$44=1,'main page'!$K$24+'main page'!$K$11,IF(controls!$B$33=1,((I206-D205*W206-B206+B205*V206)/'main page'!$K$27)-'main page'!$K$11,((H206-D205*W206-B206+B205*V206)/'main page'!$K$27)-'main page'!$K$11))</f>
        <v>4</v>
      </c>
      <c r="T205" s="71">
        <f>IF(controls!$B$6=1,$AL$3*(1+('main page'!$K$35/100))^U205-$AL$3*(1+('main page'!$K$35/100))^U204,$AL$3*(1+('main page'!$G$8/100))*(1+('main page'!$K$35/100))^U205-$AL$3*(1+('main page'!$G$8/100))*(1+('main page'!$K$35/100))^U204)</f>
        <v>0</v>
      </c>
      <c r="U205" s="73">
        <v>198</v>
      </c>
      <c r="V205" s="161">
        <v>0</v>
      </c>
      <c r="W205" s="40">
        <v>0</v>
      </c>
      <c r="X205" s="49">
        <f ca="1">IF(controls!$B$33=1,D205-($I$3-'main page'!$K$27*2)*(1+('main page'!$K$35/100))^A204,D205-$AL$4)</f>
        <v>0</v>
      </c>
      <c r="Y205" s="49">
        <f ca="1">ABS(L205-(controls!$B$9/100)*100)</f>
        <v>0</v>
      </c>
      <c r="AA205" s="49" t="e">
        <f ca="1">IF(controls!$B$33=1,(B206-B205*V206-I206+D205*W206+'main page'!$K$27*('main page'!$K$24+'main page'!$K$11))/'main page'!$K$31,(B206-B205*V206+D205*W206-H206+'main page'!$K$27*('main page'!$K$24+'main page'!$K$11))/'main page'!$K$31)</f>
        <v>#DIV/0!</v>
      </c>
      <c r="AB205" s="49" t="e">
        <f ca="1">IF(controls!$B$45=1,LOG(AF205,1.01)+LOG(AE205,1.01)-LOG(AD205,1.01),-((M205-('main page'!$K$24+'main page'!$K$11))/(1-'normal case'!$AO$3))+'normal case'!AA205)</f>
        <v>#DIV/0!</v>
      </c>
      <c r="AC205" s="176" t="e">
        <f t="shared" ca="1" si="23"/>
        <v>#DIV/0!</v>
      </c>
      <c r="AD205" s="49">
        <f t="shared" ca="1" si="24"/>
        <v>54.605287232808607</v>
      </c>
      <c r="AE205" s="49">
        <f>AE204*(1+'main page'!$K$32/100)</f>
        <v>1</v>
      </c>
      <c r="AF205" s="49" t="e">
        <f ca="1">IF(ABS(IF(controls!$B$45=1,$AL$13,AD205*AC205/AE205)-AF204)&lt;0.00001,AF204,IF(controls!$B$45=1,$AL$13,AD205*AC205/AE205))</f>
        <v>#DIV/0!</v>
      </c>
      <c r="AG205" s="49">
        <f>IF(controls!$B$46=0,0,IF(controls!$B$33=2,B206-B205*V206-('normal case'!H206-D205*W206-'main page'!$K$27*'normal case'!M205+'main page'!$K$31*'normal case'!AB205)-(('main page'!$K$25*'main page'!$U$13*'main page'!$K$29)/(1+('main page'!$K$25^2)*'main page'!$U$13))*('normal case'!L205-'main page'!$U$8),B206-B205*V206-('normal case'!I206-D205*W206-'main page'!$K$27*'normal case'!M205+'main page'!$K$31*'normal case'!AB205)-(('main page'!$K$25*'main page'!$U$13*'main page'!$K$29)/(1+('main page'!$K$25^2)*'main page'!$U$13))*('normal case'!L205-'main page'!$U$8)))</f>
        <v>0</v>
      </c>
      <c r="AN205" s="40"/>
      <c r="AO205" s="40"/>
    </row>
    <row r="206" spans="1:41">
      <c r="A206" s="48">
        <v>204</v>
      </c>
      <c r="B206" s="75">
        <f ca="1">IF(controls!$B$33=1,B205*(1+V206)+T206,B205*(1+V206))</f>
        <v>100</v>
      </c>
      <c r="C206" s="80">
        <f t="shared" ca="1" si="25"/>
        <v>0</v>
      </c>
      <c r="D206" s="77">
        <f t="shared" ca="1" si="21"/>
        <v>100</v>
      </c>
      <c r="E206" s="77">
        <f ca="1">AG205+IF(controls!$B$33=1,G206,F206)</f>
        <v>100</v>
      </c>
      <c r="F206" s="94">
        <f ca="1">IF(controls!$B$44=0,H206-'main page'!$K$27*M205,H206-'main page'!$K$27*M205+'main page'!$K$31*AB205)</f>
        <v>100</v>
      </c>
      <c r="G206" s="75">
        <f ca="1">IF(controls!$B$44=0,I206-'main page'!$K$27*M205,I206-'main page'!$K$27*M205+'main page'!$K$31*'normal case'!AB205)</f>
        <v>100</v>
      </c>
      <c r="H206" s="75">
        <f t="shared" ca="1" si="19"/>
        <v>108</v>
      </c>
      <c r="I206" s="75">
        <f t="shared" ca="1" si="20"/>
        <v>108</v>
      </c>
      <c r="L206" s="75">
        <f ca="1">IF(ABS('main page'!$K$29*L205+(1-'main page'!$K$29)*(controls!$B$9/100)*100+'main page'!$K$25*(D206-B206)-L205)&lt;0.0000001,L205,'main page'!$K$29*L205+(1-'main page'!$K$29)*(controls!$B$9/100)*100+'main page'!$K$25*(D206-B206))</f>
        <v>2</v>
      </c>
      <c r="M206" s="96">
        <f ca="1">IF(controls!$B$10=1,M205,IF(SUM(controls!$B$44:$B$46)=2,N206-'main page'!$K$29*'normal case'!L206-(1-'main page'!$K$29)*'main page'!$K$32,N206-'main page'!$K$29*'normal case'!L206-(1-'main page'!$K$29)*controls!$B$9))</f>
        <v>4</v>
      </c>
      <c r="N206" s="208">
        <f ca="1">IF(controls!$B$45=1,IF(controls!$B$46=1,'main page'!$K$24+'main page'!$K$11+'main page'!$U$8,'main page'!$K$24+'main page'!$K$11+'main page'!$K$32),IF(controls!$B$44=1,IF(O206&lt;0,0,O206),IF(O206+'main page'!$K$11&lt;0,0,O206+'main page'!$K$11)))</f>
        <v>6</v>
      </c>
      <c r="O206" s="76">
        <f ca="1">IF(controls!$B$10=1,'normal case'!M206+'normal case'!L206,'normal case'!P206)</f>
        <v>6</v>
      </c>
      <c r="P206" s="74">
        <f t="shared" ca="1" si="22"/>
        <v>6</v>
      </c>
      <c r="Q206" s="210">
        <f ca="1">IF(controls!$B$44=0,R206+'main page'!$K$29*L206+(1-'main page'!$K$29)*controls!$B$9+(('main page'!$K$25*'main page'!$U$13*'main page'!$K$29)/('main page'!$K$27*(1+('main page'!$K$25^2)*'main page'!$U$13)))*(L206-controls!$B$9),R206+'main page'!$K$29*L206+(1-'main page'!$K$29)*controls!$B$9+(('main page'!$K$25*'main page'!$U$13*'normal case'!$AO$3)/'normal case'!$AO$4)*('normal case'!L206-controls!$B$9))</f>
        <v>6</v>
      </c>
      <c r="R206" s="98">
        <f ca="1">IF(controls!$B$44=1,'main page'!$K$24+'main page'!$K$11,IF(controls!$B$33=1,((I207-D206*W207-B207+B206*V207)/'main page'!$K$27)-'main page'!$K$11,((H207-D206*W207-B207+B206*V207)/'main page'!$K$27)-'main page'!$K$11))</f>
        <v>4</v>
      </c>
      <c r="T206" s="71">
        <f>IF(controls!$B$6=1,$AL$3*(1+('main page'!$K$35/100))^U206-$AL$3*(1+('main page'!$K$35/100))^U205,$AL$3*(1+('main page'!$G$8/100))*(1+('main page'!$K$35/100))^U206-$AL$3*(1+('main page'!$G$8/100))*(1+('main page'!$K$35/100))^U205)</f>
        <v>0</v>
      </c>
      <c r="U206" s="73">
        <v>199</v>
      </c>
      <c r="V206" s="161">
        <f ca="1">IF(controls!$B$4=1,IF(controls!$H205=1,controls!$B$34*V205+RAND()*('main page'!$K$16/100)-RAND()*('main page'!$K$16/100),0),0)</f>
        <v>0</v>
      </c>
      <c r="W206" s="40">
        <f ca="1">IF(controls!$B$4=1,IF(controls!$I205=1,controls!$B$34*W205+RAND()*('main page'!$K$16/100)-RAND()*('main page'!$K$16/100),0),0)</f>
        <v>0</v>
      </c>
      <c r="X206" s="49">
        <f ca="1">IF(controls!$B$33=1,D206-($I$3-'main page'!$K$27*2)*(1+('main page'!$K$35/100))^A205,D206-$AL$4)</f>
        <v>0</v>
      </c>
      <c r="Y206" s="49">
        <f ca="1">ABS(L206-(controls!$B$9/100)*100)</f>
        <v>0</v>
      </c>
      <c r="AA206" s="49" t="e">
        <f ca="1">IF(controls!$B$33=1,(B207-B206*V207-I207+D206*W207+'main page'!$K$27*('main page'!$K$24+'main page'!$K$11))/'main page'!$K$31,(B207-B206*V207+D206*W207-H207+'main page'!$K$27*('main page'!$K$24+'main page'!$K$11))/'main page'!$K$31)</f>
        <v>#DIV/0!</v>
      </c>
      <c r="AB206" s="49" t="e">
        <f ca="1">IF(controls!$B$45=1,LOG(AF206,1.01)+LOG(AE206,1.01)-LOG(AD206,1.01),-((M206-('main page'!$K$24+'main page'!$K$11))/(1-'normal case'!$AO$3))+'normal case'!AA206)</f>
        <v>#DIV/0!</v>
      </c>
      <c r="AC206" s="176" t="e">
        <f t="shared" ca="1" si="23"/>
        <v>#DIV/0!</v>
      </c>
      <c r="AD206" s="49">
        <f t="shared" ca="1" si="24"/>
        <v>55.69739297746478</v>
      </c>
      <c r="AE206" s="49">
        <f>AE205*(1+'main page'!$K$32/100)</f>
        <v>1</v>
      </c>
      <c r="AF206" s="49" t="e">
        <f ca="1">IF(ABS(IF(controls!$B$45=1,$AL$13,AD206*AC206/AE206)-AF205)&lt;0.00001,AF205,IF(controls!$B$45=1,$AL$13,AD206*AC206/AE206))</f>
        <v>#DIV/0!</v>
      </c>
      <c r="AG206" s="49">
        <f>IF(controls!$B$46=0,0,IF(controls!$B$33=2,B207-B206*V207-('normal case'!H207-D206*W207-'main page'!$K$27*'normal case'!M206+'main page'!$K$31*'normal case'!AB206)-(('main page'!$K$25*'main page'!$U$13*'main page'!$K$29)/(1+('main page'!$K$25^2)*'main page'!$U$13))*('normal case'!L206-'main page'!$U$8),B207-B206*V207-('normal case'!I207-D206*W207-'main page'!$K$27*'normal case'!M206+'main page'!$K$31*'normal case'!AB206)-(('main page'!$K$25*'main page'!$U$13*'main page'!$K$29)/(1+('main page'!$K$25^2)*'main page'!$U$13))*('normal case'!L206-'main page'!$U$8)))</f>
        <v>0</v>
      </c>
      <c r="AN206" s="40"/>
      <c r="AO206" s="40"/>
    </row>
    <row r="207" spans="1:41">
      <c r="A207" s="48">
        <v>205</v>
      </c>
      <c r="B207" s="75">
        <f ca="1">IF(controls!$B$33=1,B206*(1+V207)+T207,B206*(1+V207))</f>
        <v>100</v>
      </c>
      <c r="C207" s="80">
        <f t="shared" ca="1" si="25"/>
        <v>0</v>
      </c>
      <c r="D207" s="77">
        <f t="shared" ca="1" si="21"/>
        <v>100</v>
      </c>
      <c r="E207" s="77">
        <f ca="1">AG206+IF(controls!$B$33=1,G207,F207)</f>
        <v>100</v>
      </c>
      <c r="F207" s="94">
        <f ca="1">IF(controls!$B$44=0,H207-'main page'!$K$27*M206,H207-'main page'!$K$27*M206+'main page'!$K$31*AB206)</f>
        <v>100</v>
      </c>
      <c r="G207" s="75">
        <f ca="1">IF(controls!$B$44=0,I207-'main page'!$K$27*M206,I207-'main page'!$K$27*M206+'main page'!$K$31*'normal case'!AB206)</f>
        <v>100</v>
      </c>
      <c r="H207" s="75">
        <f t="shared" ca="1" si="19"/>
        <v>108</v>
      </c>
      <c r="I207" s="75">
        <f t="shared" ca="1" si="20"/>
        <v>108</v>
      </c>
      <c r="L207" s="75">
        <f ca="1">IF(ABS('main page'!$K$29*L206+(1-'main page'!$K$29)*(controls!$B$9/100)*100+'main page'!$K$25*(D207-B207)-L206)&lt;0.0000001,L206,'main page'!$K$29*L206+(1-'main page'!$K$29)*(controls!$B$9/100)*100+'main page'!$K$25*(D207-B207))</f>
        <v>2</v>
      </c>
      <c r="M207" s="96">
        <f ca="1">IF(controls!$B$10=1,M206,IF(SUM(controls!$B$44:$B$46)=2,N207-'main page'!$K$29*'normal case'!L207-(1-'main page'!$K$29)*'main page'!$K$32,N207-'main page'!$K$29*'normal case'!L207-(1-'main page'!$K$29)*controls!$B$9))</f>
        <v>4</v>
      </c>
      <c r="N207" s="208">
        <f ca="1">IF(controls!$B$45=1,IF(controls!$B$46=1,'main page'!$K$24+'main page'!$K$11+'main page'!$U$8,'main page'!$K$24+'main page'!$K$11+'main page'!$K$32),IF(controls!$B$44=1,IF(O207&lt;0,0,O207),IF(O207+'main page'!$K$11&lt;0,0,O207+'main page'!$K$11)))</f>
        <v>6</v>
      </c>
      <c r="O207" s="76">
        <f ca="1">IF(controls!$B$10=1,'normal case'!M207+'normal case'!L207,'normal case'!P207)</f>
        <v>6</v>
      </c>
      <c r="P207" s="74">
        <f t="shared" ca="1" si="22"/>
        <v>6</v>
      </c>
      <c r="Q207" s="210">
        <f ca="1">IF(controls!$B$44=0,R207+'main page'!$K$29*L207+(1-'main page'!$K$29)*controls!$B$9+(('main page'!$K$25*'main page'!$U$13*'main page'!$K$29)/('main page'!$K$27*(1+('main page'!$K$25^2)*'main page'!$U$13)))*(L207-controls!$B$9),R207+'main page'!$K$29*L207+(1-'main page'!$K$29)*controls!$B$9+(('main page'!$K$25*'main page'!$U$13*'normal case'!$AO$3)/'normal case'!$AO$4)*('normal case'!L207-controls!$B$9))</f>
        <v>6</v>
      </c>
      <c r="R207" s="98">
        <f ca="1">IF(controls!$B$44=1,'main page'!$K$24+'main page'!$K$11,IF(controls!$B$33=1,((I208-D207*W208-B208+B207*V208)/'main page'!$K$27)-'main page'!$K$11,((H208-D207*W208-B208+B207*V208)/'main page'!$K$27)-'main page'!$K$11))</f>
        <v>4</v>
      </c>
      <c r="T207" s="71">
        <f>IF(controls!$B$6=1,$AL$3*(1+('main page'!$K$35/100))^U207-$AL$3*(1+('main page'!$K$35/100))^U206,$AL$3*(1+('main page'!$G$8/100))*(1+('main page'!$K$35/100))^U207-$AL$3*(1+('main page'!$G$8/100))*(1+('main page'!$K$35/100))^U206)</f>
        <v>0</v>
      </c>
      <c r="U207" s="73">
        <v>200</v>
      </c>
      <c r="V207" s="161">
        <v>0</v>
      </c>
      <c r="W207" s="40">
        <v>0</v>
      </c>
      <c r="X207" s="49">
        <f ca="1">IF(controls!$B$33=1,D207-($I$3-'main page'!$K$27*2)*(1+('main page'!$K$35/100))^A206,D207-$AL$4)</f>
        <v>0</v>
      </c>
      <c r="Y207" s="49">
        <f ca="1">ABS(L207-(controls!$B$9/100)*100)</f>
        <v>0</v>
      </c>
      <c r="AA207" s="49" t="e">
        <f ca="1">IF(controls!$B$33=1,(B208-B207*V208-I208+D207*W208+'main page'!$K$27*('main page'!$K$24+'main page'!$K$11))/'main page'!$K$31,(B208-B207*V208+D207*W208-H208+'main page'!$K$27*('main page'!$K$24+'main page'!$K$11))/'main page'!$K$31)</f>
        <v>#DIV/0!</v>
      </c>
      <c r="AB207" s="49" t="e">
        <f ca="1">IF(controls!$B$45=1,LOG(AF207,1.01)+LOG(AE207,1.01)-LOG(AD207,1.01),-((M207-('main page'!$K$24+'main page'!$K$11))/(1-'normal case'!$AO$3))+'normal case'!AA207)</f>
        <v>#DIV/0!</v>
      </c>
      <c r="AC207" s="176" t="e">
        <f t="shared" ca="1" si="23"/>
        <v>#DIV/0!</v>
      </c>
      <c r="AD207" s="49">
        <f t="shared" ca="1" si="24"/>
        <v>56.811340837014079</v>
      </c>
      <c r="AE207" s="49">
        <f>AE206*(1+'main page'!$K$32/100)</f>
        <v>1</v>
      </c>
      <c r="AF207" s="49" t="e">
        <f ca="1">IF(ABS(IF(controls!$B$45=1,$AL$13,AD207*AC207/AE207)-AF206)&lt;0.00001,AF206,IF(controls!$B$45=1,$AL$13,AD207*AC207/AE207))</f>
        <v>#DIV/0!</v>
      </c>
      <c r="AG207" s="49">
        <f>IF(controls!$B$46=0,0,IF(controls!$B$33=2,B208-B207*V208-('normal case'!H208-D207*W208-'main page'!$K$27*'normal case'!M207+'main page'!$K$31*'normal case'!AB207)-(('main page'!$K$25*'main page'!$U$13*'main page'!$K$29)/(1+('main page'!$K$25^2)*'main page'!$U$13))*('normal case'!L207-'main page'!$U$8),B208-B207*V208-('normal case'!I208-D207*W208-'main page'!$K$27*'normal case'!M207+'main page'!$K$31*'normal case'!AB207)-(('main page'!$K$25*'main page'!$U$13*'main page'!$K$29)/(1+('main page'!$K$25^2)*'main page'!$U$13))*('normal case'!L207-'main page'!$U$8)))</f>
        <v>0</v>
      </c>
      <c r="AN207" s="40"/>
      <c r="AO207" s="40"/>
    </row>
    <row r="208" spans="1:41">
      <c r="A208" s="48">
        <v>206</v>
      </c>
      <c r="B208" s="75">
        <f ca="1">IF(controls!$B$33=1,B207*(1+V208)+T208,B207*(1+V208))</f>
        <v>100</v>
      </c>
      <c r="C208" s="80">
        <f t="shared" ca="1" si="25"/>
        <v>0</v>
      </c>
      <c r="D208" s="77">
        <f t="shared" ca="1" si="21"/>
        <v>100</v>
      </c>
      <c r="E208" s="77">
        <f ca="1">AG207+IF(controls!$B$33=1,G208,F208)</f>
        <v>100</v>
      </c>
      <c r="F208" s="94">
        <f ca="1">IF(controls!$B$44=0,H208-'main page'!$K$27*M207,H208-'main page'!$K$27*M207+'main page'!$K$31*AB207)</f>
        <v>100</v>
      </c>
      <c r="G208" s="75">
        <f ca="1">IF(controls!$B$44=0,I208-'main page'!$K$27*M207,I208-'main page'!$K$27*M207+'main page'!$K$31*'normal case'!AB207)</f>
        <v>100</v>
      </c>
      <c r="H208" s="75">
        <f t="shared" ca="1" si="19"/>
        <v>108</v>
      </c>
      <c r="I208" s="75">
        <f t="shared" ca="1" si="20"/>
        <v>108</v>
      </c>
      <c r="L208" s="75">
        <f ca="1">IF(ABS('main page'!$K$29*L207+(1-'main page'!$K$29)*(controls!$B$9/100)*100+'main page'!$K$25*(D208-B208)-L207)&lt;0.0000001,L207,'main page'!$K$29*L207+(1-'main page'!$K$29)*(controls!$B$9/100)*100+'main page'!$K$25*(D208-B208))</f>
        <v>2</v>
      </c>
      <c r="M208" s="96">
        <f ca="1">IF(controls!$B$10=1,M207,IF(SUM(controls!$B$44:$B$46)=2,N208-'main page'!$K$29*'normal case'!L208-(1-'main page'!$K$29)*'main page'!$K$32,N208-'main page'!$K$29*'normal case'!L208-(1-'main page'!$K$29)*controls!$B$9))</f>
        <v>4</v>
      </c>
      <c r="N208" s="208">
        <f ca="1">IF(controls!$B$45=1,IF(controls!$B$46=1,'main page'!$K$24+'main page'!$K$11+'main page'!$U$8,'main page'!$K$24+'main page'!$K$11+'main page'!$K$32),IF(controls!$B$44=1,IF(O208&lt;0,0,O208),IF(O208+'main page'!$K$11&lt;0,0,O208+'main page'!$K$11)))</f>
        <v>6</v>
      </c>
      <c r="O208" s="76">
        <f ca="1">IF(controls!$B$10=1,'normal case'!M208+'normal case'!L208,'normal case'!P208)</f>
        <v>6</v>
      </c>
      <c r="P208" s="74">
        <f t="shared" ca="1" si="22"/>
        <v>6</v>
      </c>
      <c r="Q208" s="210">
        <f ca="1">IF(controls!$B$44=0,R208+'main page'!$K$29*L208+(1-'main page'!$K$29)*controls!$B$9+(('main page'!$K$25*'main page'!$U$13*'main page'!$K$29)/('main page'!$K$27*(1+('main page'!$K$25^2)*'main page'!$U$13)))*(L208-controls!$B$9),R208+'main page'!$K$29*L208+(1-'main page'!$K$29)*controls!$B$9+(('main page'!$K$25*'main page'!$U$13*'normal case'!$AO$3)/'normal case'!$AO$4)*('normal case'!L208-controls!$B$9))</f>
        <v>6</v>
      </c>
      <c r="R208" s="98">
        <f ca="1">IF(controls!$B$44=1,'main page'!$K$24+'main page'!$K$11,IF(controls!$B$33=1,((I209-D208*W209-B209+B208*V209)/'main page'!$K$27)-'main page'!$K$11,((H209-D208*W209-B209+B208*V209)/'main page'!$K$27)-'main page'!$K$11))</f>
        <v>4</v>
      </c>
      <c r="T208" s="71">
        <f>IF(controls!$B$6=1,$AL$3*(1+('main page'!$K$35/100))^U208-$AL$3*(1+('main page'!$K$35/100))^U207,$AL$3*(1+('main page'!$G$8/100))*(1+('main page'!$K$35/100))^U208-$AL$3*(1+('main page'!$G$8/100))*(1+('main page'!$K$35/100))^U207)</f>
        <v>0</v>
      </c>
      <c r="U208" s="73">
        <v>201</v>
      </c>
      <c r="V208" s="161">
        <v>0</v>
      </c>
      <c r="W208" s="40">
        <v>0</v>
      </c>
      <c r="X208" s="49">
        <f ca="1">IF(controls!$B$33=1,D208-($I$3-'main page'!$K$27*2)*(1+('main page'!$K$35/100))^A207,D208-$AL$4)</f>
        <v>0</v>
      </c>
      <c r="Y208" s="49">
        <f ca="1">ABS(L208-(controls!$B$9/100)*100)</f>
        <v>0</v>
      </c>
      <c r="AA208" s="49" t="e">
        <f ca="1">IF(controls!$B$33=1,(B209-B208*V209-I209+D208*W209+'main page'!$K$27*('main page'!$K$24+'main page'!$K$11))/'main page'!$K$31,(B209-B208*V209+D208*W209-H209+'main page'!$K$27*('main page'!$K$24+'main page'!$K$11))/'main page'!$K$31)</f>
        <v>#DIV/0!</v>
      </c>
      <c r="AB208" s="49" t="e">
        <f ca="1">IF(controls!$B$45=1,LOG(AF208,1.01)+LOG(AE208,1.01)-LOG(AD208,1.01),-((M208-('main page'!$K$24+'main page'!$K$11))/(1-'normal case'!$AO$3))+'normal case'!AA208)</f>
        <v>#DIV/0!</v>
      </c>
      <c r="AC208" s="176" t="e">
        <f t="shared" ca="1" si="23"/>
        <v>#DIV/0!</v>
      </c>
      <c r="AD208" s="49">
        <f t="shared" ca="1" si="24"/>
        <v>57.947567653754362</v>
      </c>
      <c r="AE208" s="49">
        <f>AE207*(1+'main page'!$K$32/100)</f>
        <v>1</v>
      </c>
      <c r="AF208" s="49" t="e">
        <f ca="1">IF(ABS(IF(controls!$B$45=1,$AL$13,AD208*AC208/AE208)-AF207)&lt;0.00001,AF207,IF(controls!$B$45=1,$AL$13,AD208*AC208/AE208))</f>
        <v>#DIV/0!</v>
      </c>
      <c r="AG208" s="49">
        <f>IF(controls!$B$46=0,0,IF(controls!$B$33=2,B209-B208*V209-('normal case'!H209-D208*W209-'main page'!$K$27*'normal case'!M208+'main page'!$K$31*'normal case'!AB208)-(('main page'!$K$25*'main page'!$U$13*'main page'!$K$29)/(1+('main page'!$K$25^2)*'main page'!$U$13))*('normal case'!L208-'main page'!$U$8),B209-B208*V209-('normal case'!I209-D208*W209-'main page'!$K$27*'normal case'!M208+'main page'!$K$31*'normal case'!AB208)-(('main page'!$K$25*'main page'!$U$13*'main page'!$K$29)/(1+('main page'!$K$25^2)*'main page'!$U$13))*('normal case'!L208-'main page'!$U$8)))</f>
        <v>0</v>
      </c>
      <c r="AN208" s="40"/>
      <c r="AO208" s="40"/>
    </row>
    <row r="209" spans="1:41">
      <c r="A209" s="48">
        <v>207</v>
      </c>
      <c r="B209" s="75">
        <f ca="1">IF(controls!$B$33=1,B208*(1+V209)+T209,B208*(1+V209))</f>
        <v>100</v>
      </c>
      <c r="C209" s="80">
        <f t="shared" ca="1" si="25"/>
        <v>0</v>
      </c>
      <c r="D209" s="77">
        <f t="shared" ca="1" si="21"/>
        <v>100</v>
      </c>
      <c r="E209" s="77">
        <f ca="1">AG208+IF(controls!$B$33=1,G209,F209)</f>
        <v>100</v>
      </c>
      <c r="F209" s="94">
        <f ca="1">IF(controls!$B$44=0,H209-'main page'!$K$27*M208,H209-'main page'!$K$27*M208+'main page'!$K$31*AB208)</f>
        <v>100</v>
      </c>
      <c r="G209" s="75">
        <f ca="1">IF(controls!$B$44=0,I209-'main page'!$K$27*M208,I209-'main page'!$K$27*M208+'main page'!$K$31*'normal case'!AB208)</f>
        <v>100</v>
      </c>
      <c r="H209" s="75">
        <f t="shared" ca="1" si="19"/>
        <v>108</v>
      </c>
      <c r="I209" s="75">
        <f t="shared" ca="1" si="20"/>
        <v>108</v>
      </c>
      <c r="L209" s="75">
        <f ca="1">IF(ABS('main page'!$K$29*L208+(1-'main page'!$K$29)*(controls!$B$9/100)*100+'main page'!$K$25*(D209-B209)-L208)&lt;0.0000001,L208,'main page'!$K$29*L208+(1-'main page'!$K$29)*(controls!$B$9/100)*100+'main page'!$K$25*(D209-B209))</f>
        <v>2</v>
      </c>
      <c r="M209" s="96">
        <f ca="1">IF(controls!$B$10=1,M208,IF(SUM(controls!$B$44:$B$46)=2,N209-'main page'!$K$29*'normal case'!L209-(1-'main page'!$K$29)*'main page'!$K$32,N209-'main page'!$K$29*'normal case'!L209-(1-'main page'!$K$29)*controls!$B$9))</f>
        <v>4</v>
      </c>
      <c r="N209" s="208">
        <f ca="1">IF(controls!$B$45=1,IF(controls!$B$46=1,'main page'!$K$24+'main page'!$K$11+'main page'!$U$8,'main page'!$K$24+'main page'!$K$11+'main page'!$K$32),IF(controls!$B$44=1,IF(O209&lt;0,0,O209),IF(O209+'main page'!$K$11&lt;0,0,O209+'main page'!$K$11)))</f>
        <v>6</v>
      </c>
      <c r="O209" s="76">
        <f ca="1">IF(controls!$B$10=1,'normal case'!M209+'normal case'!L209,'normal case'!P209)</f>
        <v>6</v>
      </c>
      <c r="P209" s="74">
        <f t="shared" ca="1" si="22"/>
        <v>6</v>
      </c>
      <c r="Q209" s="210">
        <f ca="1">IF(controls!$B$44=0,R209+'main page'!$K$29*L209+(1-'main page'!$K$29)*controls!$B$9+(('main page'!$K$25*'main page'!$U$13*'main page'!$K$29)/('main page'!$K$27*(1+('main page'!$K$25^2)*'main page'!$U$13)))*(L209-controls!$B$9),R209+'main page'!$K$29*L209+(1-'main page'!$K$29)*controls!$B$9+(('main page'!$K$25*'main page'!$U$13*'normal case'!$AO$3)/'normal case'!$AO$4)*('normal case'!L209-controls!$B$9))</f>
        <v>6</v>
      </c>
      <c r="R209" s="98">
        <f ca="1">IF(controls!$B$44=1,'main page'!$K$24+'main page'!$K$11,IF(controls!$B$33=1,((I210-D209*W210-B210+B209*V210)/'main page'!$K$27)-'main page'!$K$11,((H210-D209*W210-B210+B209*V210)/'main page'!$K$27)-'main page'!$K$11))</f>
        <v>4</v>
      </c>
      <c r="T209" s="71">
        <f>IF(controls!$B$6=1,$AL$3*(1+('main page'!$K$35/100))^U209-$AL$3*(1+('main page'!$K$35/100))^U208,$AL$3*(1+('main page'!$G$8/100))*(1+('main page'!$K$35/100))^U209-$AL$3*(1+('main page'!$G$8/100))*(1+('main page'!$K$35/100))^U208)</f>
        <v>0</v>
      </c>
      <c r="U209" s="73">
        <v>202</v>
      </c>
      <c r="V209" s="161">
        <f ca="1">IF(controls!$B$4=1,IF(controls!$H208=1,controls!$B$34*V208+RAND()*('main page'!$K$16/100)-RAND()*('main page'!$K$16/100),0),0)</f>
        <v>0</v>
      </c>
      <c r="W209" s="40">
        <f ca="1">IF(controls!$B$4=1,IF(controls!$I208=1,controls!$B$34*W208+RAND()*('main page'!$K$16/100)-RAND()*('main page'!$K$16/100),0),0)</f>
        <v>0</v>
      </c>
      <c r="X209" s="49">
        <f ca="1">IF(controls!$B$33=1,D209-($I$3-'main page'!$K$27*2)*(1+('main page'!$K$35/100))^A208,D209-$AL$4)</f>
        <v>0</v>
      </c>
      <c r="Y209" s="49">
        <f ca="1">ABS(L209-(controls!$B$9/100)*100)</f>
        <v>0</v>
      </c>
      <c r="AA209" s="49" t="e">
        <f ca="1">IF(controls!$B$33=1,(B210-B209*V210-I210+D209*W210+'main page'!$K$27*('main page'!$K$24+'main page'!$K$11))/'main page'!$K$31,(B210-B209*V210+D209*W210-H210+'main page'!$K$27*('main page'!$K$24+'main page'!$K$11))/'main page'!$K$31)</f>
        <v>#DIV/0!</v>
      </c>
      <c r="AB209" s="49" t="e">
        <f ca="1">IF(controls!$B$45=1,LOG(AF209,1.01)+LOG(AE209,1.01)-LOG(AD209,1.01),-((M209-('main page'!$K$24+'main page'!$K$11))/(1-'normal case'!$AO$3))+'normal case'!AA209)</f>
        <v>#DIV/0!</v>
      </c>
      <c r="AC209" s="176" t="e">
        <f t="shared" ca="1" si="23"/>
        <v>#DIV/0!</v>
      </c>
      <c r="AD209" s="49">
        <f t="shared" ca="1" si="24"/>
        <v>59.106519006829451</v>
      </c>
      <c r="AE209" s="49">
        <f>AE208*(1+'main page'!$K$32/100)</f>
        <v>1</v>
      </c>
      <c r="AF209" s="49" t="e">
        <f ca="1">IF(ABS(IF(controls!$B$45=1,$AL$13,AD209*AC209/AE209)-AF208)&lt;0.00001,AF208,IF(controls!$B$45=1,$AL$13,AD209*AC209/AE209))</f>
        <v>#DIV/0!</v>
      </c>
      <c r="AG209" s="49">
        <f>IF(controls!$B$46=0,0,IF(controls!$B$33=2,B210-B209*V210-('normal case'!H210-D209*W210-'main page'!$K$27*'normal case'!M209+'main page'!$K$31*'normal case'!AB209)-(('main page'!$K$25*'main page'!$U$13*'main page'!$K$29)/(1+('main page'!$K$25^2)*'main page'!$U$13))*('normal case'!L209-'main page'!$U$8),B210-B209*V210-('normal case'!I210-D209*W210-'main page'!$K$27*'normal case'!M209+'main page'!$K$31*'normal case'!AB209)-(('main page'!$K$25*'main page'!$U$13*'main page'!$K$29)/(1+('main page'!$K$25^2)*'main page'!$U$13))*('normal case'!L209-'main page'!$U$8)))</f>
        <v>0</v>
      </c>
      <c r="AN209" s="40"/>
      <c r="AO209" s="40"/>
    </row>
    <row r="210" spans="1:41">
      <c r="A210" s="48">
        <v>208</v>
      </c>
      <c r="B210" s="75">
        <f ca="1">IF(controls!$B$33=1,B209*(1+V210)+T210,B209*(1+V210))</f>
        <v>100</v>
      </c>
      <c r="C210" s="80">
        <f t="shared" ca="1" si="25"/>
        <v>0</v>
      </c>
      <c r="D210" s="77">
        <f t="shared" ca="1" si="21"/>
        <v>100</v>
      </c>
      <c r="E210" s="77">
        <f ca="1">AG209+IF(controls!$B$33=1,G210,F210)</f>
        <v>100</v>
      </c>
      <c r="F210" s="94">
        <f ca="1">IF(controls!$B$44=0,H210-'main page'!$K$27*M209,H210-'main page'!$K$27*M209+'main page'!$K$31*AB209)</f>
        <v>100</v>
      </c>
      <c r="G210" s="75">
        <f ca="1">IF(controls!$B$44=0,I210-'main page'!$K$27*M209,I210-'main page'!$K$27*M209+'main page'!$K$31*'normal case'!AB209)</f>
        <v>100</v>
      </c>
      <c r="H210" s="75">
        <f t="shared" ca="1" si="19"/>
        <v>108</v>
      </c>
      <c r="I210" s="75">
        <f t="shared" ca="1" si="20"/>
        <v>108</v>
      </c>
      <c r="L210" s="75">
        <f ca="1">IF(ABS('main page'!$K$29*L209+(1-'main page'!$K$29)*(controls!$B$9/100)*100+'main page'!$K$25*(D210-B210)-L209)&lt;0.0000001,L209,'main page'!$K$29*L209+(1-'main page'!$K$29)*(controls!$B$9/100)*100+'main page'!$K$25*(D210-B210))</f>
        <v>2</v>
      </c>
      <c r="M210" s="96">
        <f ca="1">IF(controls!$B$10=1,M209,IF(SUM(controls!$B$44:$B$46)=2,N210-'main page'!$K$29*'normal case'!L210-(1-'main page'!$K$29)*'main page'!$K$32,N210-'main page'!$K$29*'normal case'!L210-(1-'main page'!$K$29)*controls!$B$9))</f>
        <v>4</v>
      </c>
      <c r="N210" s="208">
        <f ca="1">IF(controls!$B$45=1,IF(controls!$B$46=1,'main page'!$K$24+'main page'!$K$11+'main page'!$U$8,'main page'!$K$24+'main page'!$K$11+'main page'!$K$32),IF(controls!$B$44=1,IF(O210&lt;0,0,O210),IF(O210+'main page'!$K$11&lt;0,0,O210+'main page'!$K$11)))</f>
        <v>6</v>
      </c>
      <c r="O210" s="76">
        <f ca="1">IF(controls!$B$10=1,'normal case'!M210+'normal case'!L210,'normal case'!P210)</f>
        <v>6</v>
      </c>
      <c r="P210" s="74">
        <f t="shared" ca="1" si="22"/>
        <v>6</v>
      </c>
      <c r="Q210" s="210">
        <f ca="1">IF(controls!$B$44=0,R210+'main page'!$K$29*L210+(1-'main page'!$K$29)*controls!$B$9+(('main page'!$K$25*'main page'!$U$13*'main page'!$K$29)/('main page'!$K$27*(1+('main page'!$K$25^2)*'main page'!$U$13)))*(L210-controls!$B$9),R210+'main page'!$K$29*L210+(1-'main page'!$K$29)*controls!$B$9+(('main page'!$K$25*'main page'!$U$13*'normal case'!$AO$3)/'normal case'!$AO$4)*('normal case'!L210-controls!$B$9))</f>
        <v>6</v>
      </c>
      <c r="R210" s="98">
        <f ca="1">IF(controls!$B$44=1,'main page'!$K$24+'main page'!$K$11,IF(controls!$B$33=1,((I211-D210*W211-B211+B210*V211)/'main page'!$K$27)-'main page'!$K$11,((H211-D210*W211-B211+B210*V211)/'main page'!$K$27)-'main page'!$K$11))</f>
        <v>4</v>
      </c>
      <c r="T210" s="71">
        <f>IF(controls!$B$6=1,$AL$3*(1+('main page'!$K$35/100))^U210-$AL$3*(1+('main page'!$K$35/100))^U209,$AL$3*(1+('main page'!$G$8/100))*(1+('main page'!$K$35/100))^U210-$AL$3*(1+('main page'!$G$8/100))*(1+('main page'!$K$35/100))^U209)</f>
        <v>0</v>
      </c>
      <c r="U210" s="73">
        <v>203</v>
      </c>
      <c r="V210" s="161">
        <v>0</v>
      </c>
      <c r="W210" s="40">
        <v>0</v>
      </c>
      <c r="X210" s="49">
        <f ca="1">IF(controls!$B$33=1,D210-($I$3-'main page'!$K$27*2)*(1+('main page'!$K$35/100))^A209,D210-$AL$4)</f>
        <v>0</v>
      </c>
      <c r="Y210" s="49">
        <f ca="1">ABS(L210-(controls!$B$9/100)*100)</f>
        <v>0</v>
      </c>
      <c r="AA210" s="49" t="e">
        <f ca="1">IF(controls!$B$33=1,(B211-B210*V211-I211+D210*W211+'main page'!$K$27*('main page'!$K$24+'main page'!$K$11))/'main page'!$K$31,(B211-B210*V211+D210*W211-H211+'main page'!$K$27*('main page'!$K$24+'main page'!$K$11))/'main page'!$K$31)</f>
        <v>#DIV/0!</v>
      </c>
      <c r="AB210" s="49" t="e">
        <f ca="1">IF(controls!$B$45=1,LOG(AF210,1.01)+LOG(AE210,1.01)-LOG(AD210,1.01),-((M210-('main page'!$K$24+'main page'!$K$11))/(1-'normal case'!$AO$3))+'normal case'!AA210)</f>
        <v>#DIV/0!</v>
      </c>
      <c r="AC210" s="176" t="e">
        <f t="shared" ca="1" si="23"/>
        <v>#DIV/0!</v>
      </c>
      <c r="AD210" s="49">
        <f t="shared" ca="1" si="24"/>
        <v>60.288649386966043</v>
      </c>
      <c r="AE210" s="49">
        <f>AE209*(1+'main page'!$K$32/100)</f>
        <v>1</v>
      </c>
      <c r="AF210" s="49" t="e">
        <f ca="1">IF(ABS(IF(controls!$B$45=1,$AL$13,AD210*AC210/AE210)-AF209)&lt;0.00001,AF209,IF(controls!$B$45=1,$AL$13,AD210*AC210/AE210))</f>
        <v>#DIV/0!</v>
      </c>
      <c r="AG210" s="49">
        <f>IF(controls!$B$46=0,0,IF(controls!$B$33=2,B211-B210*V211-('normal case'!H211-D210*W211-'main page'!$K$27*'normal case'!M210+'main page'!$K$31*'normal case'!AB210)-(('main page'!$K$25*'main page'!$U$13*'main page'!$K$29)/(1+('main page'!$K$25^2)*'main page'!$U$13))*('normal case'!L210-'main page'!$U$8),B211-B210*V211-('normal case'!I211-D210*W211-'main page'!$K$27*'normal case'!M210+'main page'!$K$31*'normal case'!AB210)-(('main page'!$K$25*'main page'!$U$13*'main page'!$K$29)/(1+('main page'!$K$25^2)*'main page'!$U$13))*('normal case'!L210-'main page'!$U$8)))</f>
        <v>0</v>
      </c>
      <c r="AN210" s="40"/>
      <c r="AO210" s="40"/>
    </row>
    <row r="211" spans="1:41">
      <c r="A211" s="48">
        <v>209</v>
      </c>
      <c r="B211" s="75">
        <f ca="1">IF(controls!$B$33=1,B210*(1+V211)+T211,B210*(1+V211))</f>
        <v>100</v>
      </c>
      <c r="C211" s="80">
        <f t="shared" ca="1" si="25"/>
        <v>0</v>
      </c>
      <c r="D211" s="77">
        <f t="shared" ca="1" si="21"/>
        <v>100</v>
      </c>
      <c r="E211" s="77">
        <f ca="1">AG210+IF(controls!$B$33=1,G211,F211)</f>
        <v>100</v>
      </c>
      <c r="F211" s="94">
        <f ca="1">IF(controls!$B$44=0,H211-'main page'!$K$27*M210,H211-'main page'!$K$27*M210+'main page'!$K$31*AB210)</f>
        <v>100</v>
      </c>
      <c r="G211" s="75">
        <f ca="1">IF(controls!$B$44=0,I211-'main page'!$K$27*M210,I211-'main page'!$K$27*M210+'main page'!$K$31*'normal case'!AB210)</f>
        <v>100</v>
      </c>
      <c r="H211" s="75">
        <f t="shared" ca="1" si="19"/>
        <v>108</v>
      </c>
      <c r="I211" s="75">
        <f t="shared" ca="1" si="20"/>
        <v>108</v>
      </c>
      <c r="L211" s="75">
        <f ca="1">IF(ABS('main page'!$K$29*L210+(1-'main page'!$K$29)*(controls!$B$9/100)*100+'main page'!$K$25*(D211-B211)-L210)&lt;0.0000001,L210,'main page'!$K$29*L210+(1-'main page'!$K$29)*(controls!$B$9/100)*100+'main page'!$K$25*(D211-B211))</f>
        <v>2</v>
      </c>
      <c r="M211" s="96">
        <f ca="1">IF(controls!$B$10=1,M210,IF(SUM(controls!$B$44:$B$46)=2,N211-'main page'!$K$29*'normal case'!L211-(1-'main page'!$K$29)*'main page'!$K$32,N211-'main page'!$K$29*'normal case'!L211-(1-'main page'!$K$29)*controls!$B$9))</f>
        <v>4</v>
      </c>
      <c r="N211" s="208">
        <f ca="1">IF(controls!$B$45=1,IF(controls!$B$46=1,'main page'!$K$24+'main page'!$K$11+'main page'!$U$8,'main page'!$K$24+'main page'!$K$11+'main page'!$K$32),IF(controls!$B$44=1,IF(O211&lt;0,0,O211),IF(O211+'main page'!$K$11&lt;0,0,O211+'main page'!$K$11)))</f>
        <v>6</v>
      </c>
      <c r="O211" s="76">
        <f ca="1">IF(controls!$B$10=1,'normal case'!M211+'normal case'!L211,'normal case'!P211)</f>
        <v>6</v>
      </c>
      <c r="P211" s="74">
        <f t="shared" ca="1" si="22"/>
        <v>6</v>
      </c>
      <c r="Q211" s="210">
        <f ca="1">IF(controls!$B$44=0,R211+'main page'!$K$29*L211+(1-'main page'!$K$29)*controls!$B$9+(('main page'!$K$25*'main page'!$U$13*'main page'!$K$29)/('main page'!$K$27*(1+('main page'!$K$25^2)*'main page'!$U$13)))*(L211-controls!$B$9),R211+'main page'!$K$29*L211+(1-'main page'!$K$29)*controls!$B$9+(('main page'!$K$25*'main page'!$U$13*'normal case'!$AO$3)/'normal case'!$AO$4)*('normal case'!L211-controls!$B$9))</f>
        <v>6</v>
      </c>
      <c r="R211" s="98">
        <f ca="1">IF(controls!$B$44=1,'main page'!$K$24+'main page'!$K$11,IF(controls!$B$33=1,((I212-D211*W212-B212+B211*V212)/'main page'!$K$27)-'main page'!$K$11,((H212-D211*W212-B212+B211*V212)/'main page'!$K$27)-'main page'!$K$11))</f>
        <v>4</v>
      </c>
      <c r="T211" s="71">
        <f>IF(controls!$B$6=1,$AL$3*(1+('main page'!$K$35/100))^U211-$AL$3*(1+('main page'!$K$35/100))^U210,$AL$3*(1+('main page'!$G$8/100))*(1+('main page'!$K$35/100))^U211-$AL$3*(1+('main page'!$G$8/100))*(1+('main page'!$K$35/100))^U210)</f>
        <v>0</v>
      </c>
      <c r="U211" s="73">
        <v>204</v>
      </c>
      <c r="V211" s="161">
        <v>0</v>
      </c>
      <c r="W211" s="40">
        <v>0</v>
      </c>
      <c r="X211" s="49">
        <f ca="1">IF(controls!$B$33=1,D211-($I$3-'main page'!$K$27*2)*(1+('main page'!$K$35/100))^A210,D211-$AL$4)</f>
        <v>0</v>
      </c>
      <c r="Y211" s="49">
        <f ca="1">ABS(L211-(controls!$B$9/100)*100)</f>
        <v>0</v>
      </c>
      <c r="AA211" s="49" t="e">
        <f ca="1">IF(controls!$B$33=1,(B212-B211*V212-I212+D211*W212+'main page'!$K$27*('main page'!$K$24+'main page'!$K$11))/'main page'!$K$31,(B212-B211*V212+D211*W212-H212+'main page'!$K$27*('main page'!$K$24+'main page'!$K$11))/'main page'!$K$31)</f>
        <v>#DIV/0!</v>
      </c>
      <c r="AB211" s="49" t="e">
        <f ca="1">IF(controls!$B$45=1,LOG(AF211,1.01)+LOG(AE211,1.01)-LOG(AD211,1.01),-((M211-('main page'!$K$24+'main page'!$K$11))/(1-'normal case'!$AO$3))+'normal case'!AA211)</f>
        <v>#DIV/0!</v>
      </c>
      <c r="AC211" s="176" t="e">
        <f t="shared" ca="1" si="23"/>
        <v>#DIV/0!</v>
      </c>
      <c r="AD211" s="49">
        <f t="shared" ca="1" si="24"/>
        <v>61.494422374705366</v>
      </c>
      <c r="AE211" s="49">
        <f>AE210*(1+'main page'!$K$32/100)</f>
        <v>1</v>
      </c>
      <c r="AF211" s="49" t="e">
        <f ca="1">IF(ABS(IF(controls!$B$45=1,$AL$13,AD211*AC211/AE211)-AF210)&lt;0.00001,AF210,IF(controls!$B$45=1,$AL$13,AD211*AC211/AE211))</f>
        <v>#DIV/0!</v>
      </c>
      <c r="AG211" s="49">
        <f>IF(controls!$B$46=0,0,IF(controls!$B$33=2,B212-B211*V212-('normal case'!H212-D211*W212-'main page'!$K$27*'normal case'!M211+'main page'!$K$31*'normal case'!AB211)-(('main page'!$K$25*'main page'!$U$13*'main page'!$K$29)/(1+('main page'!$K$25^2)*'main page'!$U$13))*('normal case'!L211-'main page'!$U$8),B212-B211*V212-('normal case'!I212-D211*W212-'main page'!$K$27*'normal case'!M211+'main page'!$K$31*'normal case'!AB211)-(('main page'!$K$25*'main page'!$U$13*'main page'!$K$29)/(1+('main page'!$K$25^2)*'main page'!$U$13))*('normal case'!L211-'main page'!$U$8)))</f>
        <v>0</v>
      </c>
      <c r="AN211" s="40"/>
      <c r="AO211" s="40"/>
    </row>
    <row r="212" spans="1:41">
      <c r="A212" s="48">
        <v>210</v>
      </c>
      <c r="B212" s="75">
        <f ca="1">IF(controls!$B$33=1,B211*(1+V212)+T212,B211*(1+V212))</f>
        <v>100</v>
      </c>
      <c r="C212" s="80">
        <f t="shared" ca="1" si="25"/>
        <v>0</v>
      </c>
      <c r="D212" s="77">
        <f t="shared" ca="1" si="21"/>
        <v>100</v>
      </c>
      <c r="E212" s="77">
        <f ca="1">AG211+IF(controls!$B$33=1,G212,F212)</f>
        <v>100</v>
      </c>
      <c r="F212" s="94">
        <f ca="1">IF(controls!$B$44=0,H212-'main page'!$K$27*M211,H212-'main page'!$K$27*M211+'main page'!$K$31*AB211)</f>
        <v>100</v>
      </c>
      <c r="G212" s="75">
        <f ca="1">IF(controls!$B$44=0,I212-'main page'!$K$27*M211,I212-'main page'!$K$27*M211+'main page'!$K$31*'normal case'!AB211)</f>
        <v>100</v>
      </c>
      <c r="H212" s="75">
        <f t="shared" ca="1" si="19"/>
        <v>108</v>
      </c>
      <c r="I212" s="75">
        <f t="shared" ca="1" si="20"/>
        <v>108</v>
      </c>
      <c r="L212" s="75">
        <f ca="1">IF(ABS('main page'!$K$29*L211+(1-'main page'!$K$29)*(controls!$B$9/100)*100+'main page'!$K$25*(D212-B212)-L211)&lt;0.0000001,L211,'main page'!$K$29*L211+(1-'main page'!$K$29)*(controls!$B$9/100)*100+'main page'!$K$25*(D212-B212))</f>
        <v>2</v>
      </c>
      <c r="M212" s="96">
        <f ca="1">IF(controls!$B$10=1,M211,IF(SUM(controls!$B$44:$B$46)=2,N212-'main page'!$K$29*'normal case'!L212-(1-'main page'!$K$29)*'main page'!$K$32,N212-'main page'!$K$29*'normal case'!L212-(1-'main page'!$K$29)*controls!$B$9))</f>
        <v>4</v>
      </c>
      <c r="N212" s="208">
        <f ca="1">IF(controls!$B$45=1,IF(controls!$B$46=1,'main page'!$K$24+'main page'!$K$11+'main page'!$U$8,'main page'!$K$24+'main page'!$K$11+'main page'!$K$32),IF(controls!$B$44=1,IF(O212&lt;0,0,O212),IF(O212+'main page'!$K$11&lt;0,0,O212+'main page'!$K$11)))</f>
        <v>6</v>
      </c>
      <c r="O212" s="76">
        <f ca="1">IF(controls!$B$10=1,'normal case'!M212+'normal case'!L212,'normal case'!P212)</f>
        <v>6</v>
      </c>
      <c r="P212" s="74">
        <f t="shared" ca="1" si="22"/>
        <v>6</v>
      </c>
      <c r="Q212" s="210">
        <f ca="1">IF(controls!$B$44=0,R212+'main page'!$K$29*L212+(1-'main page'!$K$29)*controls!$B$9+(('main page'!$K$25*'main page'!$U$13*'main page'!$K$29)/('main page'!$K$27*(1+('main page'!$K$25^2)*'main page'!$U$13)))*(L212-controls!$B$9),R212+'main page'!$K$29*L212+(1-'main page'!$K$29)*controls!$B$9+(('main page'!$K$25*'main page'!$U$13*'normal case'!$AO$3)/'normal case'!$AO$4)*('normal case'!L212-controls!$B$9))</f>
        <v>6</v>
      </c>
      <c r="R212" s="98">
        <f ca="1">IF(controls!$B$44=1,'main page'!$K$24+'main page'!$K$11,IF(controls!$B$33=1,((I213-D212*W213-B213+B212*V213)/'main page'!$K$27)-'main page'!$K$11,((H213-D212*W213-B213+B212*V213)/'main page'!$K$27)-'main page'!$K$11))</f>
        <v>4</v>
      </c>
      <c r="T212" s="71">
        <f>IF(controls!$B$6=1,$AL$3*(1+('main page'!$K$35/100))^U212-$AL$3*(1+('main page'!$K$35/100))^U211,$AL$3*(1+('main page'!$G$8/100))*(1+('main page'!$K$35/100))^U212-$AL$3*(1+('main page'!$G$8/100))*(1+('main page'!$K$35/100))^U211)</f>
        <v>0</v>
      </c>
      <c r="U212" s="73">
        <v>205</v>
      </c>
      <c r="V212" s="161">
        <f ca="1">IF(controls!$B$4=1,IF(controls!$H211=1,controls!$B$34*V211+RAND()*('main page'!$K$16/100)-RAND()*('main page'!$K$16/100),0),0)</f>
        <v>0</v>
      </c>
      <c r="W212" s="40">
        <f ca="1">IF(controls!$B$4=1,IF(controls!$I211=1,controls!$B$34*W211+RAND()*('main page'!$K$16/100)-RAND()*('main page'!$K$16/100),0),0)</f>
        <v>0</v>
      </c>
      <c r="X212" s="49">
        <f ca="1">IF(controls!$B$33=1,D212-($I$3-'main page'!$K$27*2)*(1+('main page'!$K$35/100))^A211,D212-$AL$4)</f>
        <v>0</v>
      </c>
      <c r="Y212" s="49">
        <f ca="1">ABS(L212-(controls!$B$9/100)*100)</f>
        <v>0</v>
      </c>
      <c r="AA212" s="49" t="e">
        <f ca="1">IF(controls!$B$33=1,(B213-B212*V213-I213+D212*W213+'main page'!$K$27*('main page'!$K$24+'main page'!$K$11))/'main page'!$K$31,(B213-B212*V213+D212*W213-H213+'main page'!$K$27*('main page'!$K$24+'main page'!$K$11))/'main page'!$K$31)</f>
        <v>#DIV/0!</v>
      </c>
      <c r="AB212" s="49" t="e">
        <f ca="1">IF(controls!$B$45=1,LOG(AF212,1.01)+LOG(AE212,1.01)-LOG(AD212,1.01),-((M212-('main page'!$K$24+'main page'!$K$11))/(1-'normal case'!$AO$3))+'normal case'!AA212)</f>
        <v>#DIV/0!</v>
      </c>
      <c r="AC212" s="176" t="e">
        <f t="shared" ca="1" si="23"/>
        <v>#DIV/0!</v>
      </c>
      <c r="AD212" s="49">
        <f t="shared" ca="1" si="24"/>
        <v>62.724310822199477</v>
      </c>
      <c r="AE212" s="49">
        <f>AE211*(1+'main page'!$K$32/100)</f>
        <v>1</v>
      </c>
      <c r="AF212" s="49" t="e">
        <f ca="1">IF(ABS(IF(controls!$B$45=1,$AL$13,AD212*AC212/AE212)-AF211)&lt;0.00001,AF211,IF(controls!$B$45=1,$AL$13,AD212*AC212/AE212))</f>
        <v>#DIV/0!</v>
      </c>
      <c r="AG212" s="49">
        <f>IF(controls!$B$46=0,0,IF(controls!$B$33=2,B213-B212*V213-('normal case'!H213-D212*W213-'main page'!$K$27*'normal case'!M212+'main page'!$K$31*'normal case'!AB212)-(('main page'!$K$25*'main page'!$U$13*'main page'!$K$29)/(1+('main page'!$K$25^2)*'main page'!$U$13))*('normal case'!L212-'main page'!$U$8),B213-B212*V213-('normal case'!I213-D212*W213-'main page'!$K$27*'normal case'!M212+'main page'!$K$31*'normal case'!AB212)-(('main page'!$K$25*'main page'!$U$13*'main page'!$K$29)/(1+('main page'!$K$25^2)*'main page'!$U$13))*('normal case'!L212-'main page'!$U$8)))</f>
        <v>0</v>
      </c>
      <c r="AN212" s="40"/>
      <c r="AO212" s="40"/>
    </row>
    <row r="213" spans="1:41">
      <c r="A213" s="48">
        <v>211</v>
      </c>
      <c r="B213" s="75">
        <f ca="1">IF(controls!$B$33=1,B212*(1+V213)+T213,B212*(1+V213))</f>
        <v>100</v>
      </c>
      <c r="C213" s="80">
        <f t="shared" ca="1" si="25"/>
        <v>0</v>
      </c>
      <c r="D213" s="77">
        <f t="shared" ca="1" si="21"/>
        <v>100</v>
      </c>
      <c r="E213" s="77">
        <f ca="1">AG212+IF(controls!$B$33=1,G213,F213)</f>
        <v>100</v>
      </c>
      <c r="F213" s="94">
        <f ca="1">IF(controls!$B$44=0,H213-'main page'!$K$27*M212,H213-'main page'!$K$27*M212+'main page'!$K$31*AB212)</f>
        <v>100</v>
      </c>
      <c r="G213" s="75">
        <f ca="1">IF(controls!$B$44=0,I213-'main page'!$K$27*M212,I213-'main page'!$K$27*M212+'main page'!$K$31*'normal case'!AB212)</f>
        <v>100</v>
      </c>
      <c r="H213" s="75">
        <f t="shared" ca="1" si="19"/>
        <v>108</v>
      </c>
      <c r="I213" s="75">
        <f t="shared" ca="1" si="20"/>
        <v>108</v>
      </c>
      <c r="L213" s="75">
        <f ca="1">IF(ABS('main page'!$K$29*L212+(1-'main page'!$K$29)*(controls!$B$9/100)*100+'main page'!$K$25*(D213-B213)-L212)&lt;0.0000001,L212,'main page'!$K$29*L212+(1-'main page'!$K$29)*(controls!$B$9/100)*100+'main page'!$K$25*(D213-B213))</f>
        <v>2</v>
      </c>
      <c r="M213" s="96">
        <f ca="1">IF(controls!$B$10=1,M212,IF(SUM(controls!$B$44:$B$46)=2,N213-'main page'!$K$29*'normal case'!L213-(1-'main page'!$K$29)*'main page'!$K$32,N213-'main page'!$K$29*'normal case'!L213-(1-'main page'!$K$29)*controls!$B$9))</f>
        <v>4</v>
      </c>
      <c r="N213" s="208">
        <f ca="1">IF(controls!$B$45=1,IF(controls!$B$46=1,'main page'!$K$24+'main page'!$K$11+'main page'!$U$8,'main page'!$K$24+'main page'!$K$11+'main page'!$K$32),IF(controls!$B$44=1,IF(O213&lt;0,0,O213),IF(O213+'main page'!$K$11&lt;0,0,O213+'main page'!$K$11)))</f>
        <v>6</v>
      </c>
      <c r="O213" s="76">
        <f ca="1">IF(controls!$B$10=1,'normal case'!M213+'normal case'!L213,'normal case'!P213)</f>
        <v>6</v>
      </c>
      <c r="P213" s="74">
        <f t="shared" ca="1" si="22"/>
        <v>6</v>
      </c>
      <c r="Q213" s="210">
        <f ca="1">IF(controls!$B$44=0,R213+'main page'!$K$29*L213+(1-'main page'!$K$29)*controls!$B$9+(('main page'!$K$25*'main page'!$U$13*'main page'!$K$29)/('main page'!$K$27*(1+('main page'!$K$25^2)*'main page'!$U$13)))*(L213-controls!$B$9),R213+'main page'!$K$29*L213+(1-'main page'!$K$29)*controls!$B$9+(('main page'!$K$25*'main page'!$U$13*'normal case'!$AO$3)/'normal case'!$AO$4)*('normal case'!L213-controls!$B$9))</f>
        <v>6</v>
      </c>
      <c r="R213" s="98">
        <f ca="1">IF(controls!$B$44=1,'main page'!$K$24+'main page'!$K$11,IF(controls!$B$33=1,((I214-D213*W214-B214+B213*V214)/'main page'!$K$27)-'main page'!$K$11,((H214-D213*W214-B214+B213*V214)/'main page'!$K$27)-'main page'!$K$11))</f>
        <v>4</v>
      </c>
      <c r="T213" s="71">
        <f>IF(controls!$B$6=1,$AL$3*(1+('main page'!$K$35/100))^U213-$AL$3*(1+('main page'!$K$35/100))^U212,$AL$3*(1+('main page'!$G$8/100))*(1+('main page'!$K$35/100))^U213-$AL$3*(1+('main page'!$G$8/100))*(1+('main page'!$K$35/100))^U212)</f>
        <v>0</v>
      </c>
      <c r="U213" s="73">
        <v>206</v>
      </c>
      <c r="V213" s="161">
        <v>0</v>
      </c>
      <c r="W213" s="40">
        <v>0</v>
      </c>
      <c r="X213" s="49">
        <f ca="1">IF(controls!$B$33=1,D213-($I$3-'main page'!$K$27*2)*(1+('main page'!$K$35/100))^A212,D213-$AL$4)</f>
        <v>0</v>
      </c>
      <c r="Y213" s="49">
        <f ca="1">ABS(L213-(controls!$B$9/100)*100)</f>
        <v>0</v>
      </c>
      <c r="AA213" s="49" t="e">
        <f ca="1">IF(controls!$B$33=1,(B214-B213*V214-I214+D213*W214+'main page'!$K$27*('main page'!$K$24+'main page'!$K$11))/'main page'!$K$31,(B214-B213*V214+D213*W214-H214+'main page'!$K$27*('main page'!$K$24+'main page'!$K$11))/'main page'!$K$31)</f>
        <v>#DIV/0!</v>
      </c>
      <c r="AB213" s="49" t="e">
        <f ca="1">IF(controls!$B$45=1,LOG(AF213,1.01)+LOG(AE213,1.01)-LOG(AD213,1.01),-((M213-('main page'!$K$24+'main page'!$K$11))/(1-'normal case'!$AO$3))+'normal case'!AA213)</f>
        <v>#DIV/0!</v>
      </c>
      <c r="AC213" s="176" t="e">
        <f t="shared" ca="1" si="23"/>
        <v>#DIV/0!</v>
      </c>
      <c r="AD213" s="49">
        <f t="shared" ca="1" si="24"/>
        <v>63.978797038643471</v>
      </c>
      <c r="AE213" s="49">
        <f>AE212*(1+'main page'!$K$32/100)</f>
        <v>1</v>
      </c>
      <c r="AF213" s="49" t="e">
        <f ca="1">IF(ABS(IF(controls!$B$45=1,$AL$13,AD213*AC213/AE213)-AF212)&lt;0.00001,AF212,IF(controls!$B$45=1,$AL$13,AD213*AC213/AE213))</f>
        <v>#DIV/0!</v>
      </c>
      <c r="AG213" s="49">
        <f>IF(controls!$B$46=0,0,IF(controls!$B$33=2,B214-B213*V214-('normal case'!H214-D213*W214-'main page'!$K$27*'normal case'!M213+'main page'!$K$31*'normal case'!AB213)-(('main page'!$K$25*'main page'!$U$13*'main page'!$K$29)/(1+('main page'!$K$25^2)*'main page'!$U$13))*('normal case'!L213-'main page'!$U$8),B214-B213*V214-('normal case'!I214-D213*W214-'main page'!$K$27*'normal case'!M213+'main page'!$K$31*'normal case'!AB213)-(('main page'!$K$25*'main page'!$U$13*'main page'!$K$29)/(1+('main page'!$K$25^2)*'main page'!$U$13))*('normal case'!L213-'main page'!$U$8)))</f>
        <v>0</v>
      </c>
      <c r="AN213" s="40"/>
      <c r="AO213" s="40"/>
    </row>
    <row r="214" spans="1:41">
      <c r="A214" s="48">
        <v>212</v>
      </c>
      <c r="B214" s="75">
        <f ca="1">IF(controls!$B$33=1,B213*(1+V214)+T214,B213*(1+V214))</f>
        <v>100</v>
      </c>
      <c r="C214" s="80">
        <f t="shared" ca="1" si="25"/>
        <v>0</v>
      </c>
      <c r="D214" s="77">
        <f t="shared" ca="1" si="21"/>
        <v>100</v>
      </c>
      <c r="E214" s="77">
        <f ca="1">AG213+IF(controls!$B$33=1,G214,F214)</f>
        <v>100</v>
      </c>
      <c r="F214" s="94">
        <f ca="1">IF(controls!$B$44=0,H214-'main page'!$K$27*M213,H214-'main page'!$K$27*M213+'main page'!$K$31*AB213)</f>
        <v>100</v>
      </c>
      <c r="G214" s="75">
        <f ca="1">IF(controls!$B$44=0,I214-'main page'!$K$27*M213,I214-'main page'!$K$27*M213+'main page'!$K$31*'normal case'!AB213)</f>
        <v>100</v>
      </c>
      <c r="H214" s="75">
        <f t="shared" ca="1" si="19"/>
        <v>108</v>
      </c>
      <c r="I214" s="75">
        <f t="shared" ca="1" si="20"/>
        <v>108</v>
      </c>
      <c r="L214" s="75">
        <f ca="1">IF(ABS('main page'!$K$29*L213+(1-'main page'!$K$29)*(controls!$B$9/100)*100+'main page'!$K$25*(D214-B214)-L213)&lt;0.0000001,L213,'main page'!$K$29*L213+(1-'main page'!$K$29)*(controls!$B$9/100)*100+'main page'!$K$25*(D214-B214))</f>
        <v>2</v>
      </c>
      <c r="M214" s="96">
        <f ca="1">IF(controls!$B$10=1,M213,IF(SUM(controls!$B$44:$B$46)=2,N214-'main page'!$K$29*'normal case'!L214-(1-'main page'!$K$29)*'main page'!$K$32,N214-'main page'!$K$29*'normal case'!L214-(1-'main page'!$K$29)*controls!$B$9))</f>
        <v>4</v>
      </c>
      <c r="N214" s="208">
        <f ca="1">IF(controls!$B$45=1,IF(controls!$B$46=1,'main page'!$K$24+'main page'!$K$11+'main page'!$U$8,'main page'!$K$24+'main page'!$K$11+'main page'!$K$32),IF(controls!$B$44=1,IF(O214&lt;0,0,O214),IF(O214+'main page'!$K$11&lt;0,0,O214+'main page'!$K$11)))</f>
        <v>6</v>
      </c>
      <c r="O214" s="76">
        <f ca="1">IF(controls!$B$10=1,'normal case'!M214+'normal case'!L214,'normal case'!P214)</f>
        <v>6</v>
      </c>
      <c r="P214" s="74">
        <f t="shared" ca="1" si="22"/>
        <v>6</v>
      </c>
      <c r="Q214" s="210">
        <f ca="1">IF(controls!$B$44=0,R214+'main page'!$K$29*L214+(1-'main page'!$K$29)*controls!$B$9+(('main page'!$K$25*'main page'!$U$13*'main page'!$K$29)/('main page'!$K$27*(1+('main page'!$K$25^2)*'main page'!$U$13)))*(L214-controls!$B$9),R214+'main page'!$K$29*L214+(1-'main page'!$K$29)*controls!$B$9+(('main page'!$K$25*'main page'!$U$13*'normal case'!$AO$3)/'normal case'!$AO$4)*('normal case'!L214-controls!$B$9))</f>
        <v>6</v>
      </c>
      <c r="R214" s="98">
        <f ca="1">IF(controls!$B$44=1,'main page'!$K$24+'main page'!$K$11,IF(controls!$B$33=1,((I215-D214*W215-B215+B214*V215)/'main page'!$K$27)-'main page'!$K$11,((H215-D214*W215-B215+B214*V215)/'main page'!$K$27)-'main page'!$K$11))</f>
        <v>4</v>
      </c>
      <c r="T214" s="71">
        <f>IF(controls!$B$6=1,$AL$3*(1+('main page'!$K$35/100))^U214-$AL$3*(1+('main page'!$K$35/100))^U213,$AL$3*(1+('main page'!$G$8/100))*(1+('main page'!$K$35/100))^U214-$AL$3*(1+('main page'!$G$8/100))*(1+('main page'!$K$35/100))^U213)</f>
        <v>0</v>
      </c>
      <c r="U214" s="73">
        <v>207</v>
      </c>
      <c r="V214" s="161">
        <v>0</v>
      </c>
      <c r="W214" s="40">
        <v>0</v>
      </c>
      <c r="X214" s="49">
        <f ca="1">IF(controls!$B$33=1,D214-($I$3-'main page'!$K$27*2)*(1+('main page'!$K$35/100))^A213,D214-$AL$4)</f>
        <v>0</v>
      </c>
      <c r="Y214" s="49">
        <f ca="1">ABS(L214-(controls!$B$9/100)*100)</f>
        <v>0</v>
      </c>
      <c r="AA214" s="49" t="e">
        <f ca="1">IF(controls!$B$33=1,(B215-B214*V215-I215+D214*W215+'main page'!$K$27*('main page'!$K$24+'main page'!$K$11))/'main page'!$K$31,(B215-B214*V215+D214*W215-H215+'main page'!$K$27*('main page'!$K$24+'main page'!$K$11))/'main page'!$K$31)</f>
        <v>#DIV/0!</v>
      </c>
      <c r="AB214" s="49" t="e">
        <f ca="1">IF(controls!$B$45=1,LOG(AF214,1.01)+LOG(AE214,1.01)-LOG(AD214,1.01),-((M214-('main page'!$K$24+'main page'!$K$11))/(1-'normal case'!$AO$3))+'normal case'!AA214)</f>
        <v>#DIV/0!</v>
      </c>
      <c r="AC214" s="176" t="e">
        <f t="shared" ca="1" si="23"/>
        <v>#DIV/0!</v>
      </c>
      <c r="AD214" s="49">
        <f t="shared" ca="1" si="24"/>
        <v>65.258372979416336</v>
      </c>
      <c r="AE214" s="49">
        <f>AE213*(1+'main page'!$K$32/100)</f>
        <v>1</v>
      </c>
      <c r="AF214" s="49" t="e">
        <f ca="1">IF(ABS(IF(controls!$B$45=1,$AL$13,AD214*AC214/AE214)-AF213)&lt;0.00001,AF213,IF(controls!$B$45=1,$AL$13,AD214*AC214/AE214))</f>
        <v>#DIV/0!</v>
      </c>
      <c r="AG214" s="49">
        <f>IF(controls!$B$46=0,0,IF(controls!$B$33=2,B215-B214*V215-('normal case'!H215-D214*W215-'main page'!$K$27*'normal case'!M214+'main page'!$K$31*'normal case'!AB214)-(('main page'!$K$25*'main page'!$U$13*'main page'!$K$29)/(1+('main page'!$K$25^2)*'main page'!$U$13))*('normal case'!L214-'main page'!$U$8),B215-B214*V215-('normal case'!I215-D214*W215-'main page'!$K$27*'normal case'!M214+'main page'!$K$31*'normal case'!AB214)-(('main page'!$K$25*'main page'!$U$13*'main page'!$K$29)/(1+('main page'!$K$25^2)*'main page'!$U$13))*('normal case'!L214-'main page'!$U$8)))</f>
        <v>0</v>
      </c>
      <c r="AN214" s="40"/>
      <c r="AO214" s="40"/>
    </row>
    <row r="215" spans="1:41">
      <c r="A215" s="48">
        <v>213</v>
      </c>
      <c r="B215" s="75">
        <f ca="1">IF(controls!$B$33=1,B214*(1+V215)+T215,B214*(1+V215))</f>
        <v>100</v>
      </c>
      <c r="C215" s="80">
        <f t="shared" ca="1" si="25"/>
        <v>0</v>
      </c>
      <c r="D215" s="77">
        <f t="shared" ca="1" si="21"/>
        <v>100</v>
      </c>
      <c r="E215" s="77">
        <f ca="1">AG214+IF(controls!$B$33=1,G215,F215)</f>
        <v>100</v>
      </c>
      <c r="F215" s="94">
        <f ca="1">IF(controls!$B$44=0,H215-'main page'!$K$27*M214,H215-'main page'!$K$27*M214+'main page'!$K$31*AB214)</f>
        <v>100</v>
      </c>
      <c r="G215" s="75">
        <f ca="1">IF(controls!$B$44=0,I215-'main page'!$K$27*M214,I215-'main page'!$K$27*M214+'main page'!$K$31*'normal case'!AB214)</f>
        <v>100</v>
      </c>
      <c r="H215" s="75">
        <f t="shared" ca="1" si="19"/>
        <v>108</v>
      </c>
      <c r="I215" s="75">
        <f t="shared" ca="1" si="20"/>
        <v>108</v>
      </c>
      <c r="L215" s="75">
        <f ca="1">IF(ABS('main page'!$K$29*L214+(1-'main page'!$K$29)*(controls!$B$9/100)*100+'main page'!$K$25*(D215-B215)-L214)&lt;0.0000001,L214,'main page'!$K$29*L214+(1-'main page'!$K$29)*(controls!$B$9/100)*100+'main page'!$K$25*(D215-B215))</f>
        <v>2</v>
      </c>
      <c r="M215" s="96">
        <f ca="1">IF(controls!$B$10=1,M214,IF(SUM(controls!$B$44:$B$46)=2,N215-'main page'!$K$29*'normal case'!L215-(1-'main page'!$K$29)*'main page'!$K$32,N215-'main page'!$K$29*'normal case'!L215-(1-'main page'!$K$29)*controls!$B$9))</f>
        <v>4</v>
      </c>
      <c r="N215" s="208">
        <f ca="1">IF(controls!$B$45=1,IF(controls!$B$46=1,'main page'!$K$24+'main page'!$K$11+'main page'!$U$8,'main page'!$K$24+'main page'!$K$11+'main page'!$K$32),IF(controls!$B$44=1,IF(O215&lt;0,0,O215),IF(O215+'main page'!$K$11&lt;0,0,O215+'main page'!$K$11)))</f>
        <v>6</v>
      </c>
      <c r="O215" s="76">
        <f ca="1">IF(controls!$B$10=1,'normal case'!M215+'normal case'!L215,'normal case'!P215)</f>
        <v>6</v>
      </c>
      <c r="P215" s="74">
        <f t="shared" ca="1" si="22"/>
        <v>6</v>
      </c>
      <c r="Q215" s="210">
        <f ca="1">IF(controls!$B$44=0,R215+'main page'!$K$29*L215+(1-'main page'!$K$29)*controls!$B$9+(('main page'!$K$25*'main page'!$U$13*'main page'!$K$29)/('main page'!$K$27*(1+('main page'!$K$25^2)*'main page'!$U$13)))*(L215-controls!$B$9),R215+'main page'!$K$29*L215+(1-'main page'!$K$29)*controls!$B$9+(('main page'!$K$25*'main page'!$U$13*'normal case'!$AO$3)/'normal case'!$AO$4)*('normal case'!L215-controls!$B$9))</f>
        <v>6</v>
      </c>
      <c r="R215" s="98">
        <f ca="1">IF(controls!$B$44=1,'main page'!$K$24+'main page'!$K$11,IF(controls!$B$33=1,((I216-D215*W216-B216+B215*V216)/'main page'!$K$27)-'main page'!$K$11,((H216-D215*W216-B216+B215*V216)/'main page'!$K$27)-'main page'!$K$11))</f>
        <v>4</v>
      </c>
      <c r="T215" s="71">
        <f>IF(controls!$B$6=1,$AL$3*(1+('main page'!$K$35/100))^U215-$AL$3*(1+('main page'!$K$35/100))^U214,$AL$3*(1+('main page'!$G$8/100))*(1+('main page'!$K$35/100))^U215-$AL$3*(1+('main page'!$G$8/100))*(1+('main page'!$K$35/100))^U214)</f>
        <v>0</v>
      </c>
      <c r="U215" s="73">
        <v>208</v>
      </c>
      <c r="V215" s="161">
        <f ca="1">IF(controls!$B$4=1,IF(controls!$H214=1,controls!$B$34*V214+RAND()*('main page'!$K$16/100)-RAND()*('main page'!$K$16/100),0),0)</f>
        <v>0</v>
      </c>
      <c r="W215" s="40">
        <f ca="1">IF(controls!$B$4=1,IF(controls!$I214=1,controls!$B$34*W214+RAND()*('main page'!$K$16/100)-RAND()*('main page'!$K$16/100),0),0)</f>
        <v>0</v>
      </c>
      <c r="X215" s="49">
        <f ca="1">IF(controls!$B$33=1,D215-($I$3-'main page'!$K$27*2)*(1+('main page'!$K$35/100))^A214,D215-$AL$4)</f>
        <v>0</v>
      </c>
      <c r="Y215" s="49">
        <f ca="1">ABS(L215-(controls!$B$9/100)*100)</f>
        <v>0</v>
      </c>
      <c r="AA215" s="49" t="e">
        <f ca="1">IF(controls!$B$33=1,(B216-B215*V216-I216+D215*W216+'main page'!$K$27*('main page'!$K$24+'main page'!$K$11))/'main page'!$K$31,(B216-B215*V216+D215*W216-H216+'main page'!$K$27*('main page'!$K$24+'main page'!$K$11))/'main page'!$K$31)</f>
        <v>#DIV/0!</v>
      </c>
      <c r="AB215" s="49" t="e">
        <f ca="1">IF(controls!$B$45=1,LOG(AF215,1.01)+LOG(AE215,1.01)-LOG(AD215,1.01),-((M215-('main page'!$K$24+'main page'!$K$11))/(1-'normal case'!$AO$3))+'normal case'!AA215)</f>
        <v>#DIV/0!</v>
      </c>
      <c r="AC215" s="176" t="e">
        <f t="shared" ca="1" si="23"/>
        <v>#DIV/0!</v>
      </c>
      <c r="AD215" s="49">
        <f t="shared" ca="1" si="24"/>
        <v>66.563540439004669</v>
      </c>
      <c r="AE215" s="49">
        <f>AE214*(1+'main page'!$K$32/100)</f>
        <v>1</v>
      </c>
      <c r="AF215" s="49" t="e">
        <f ca="1">IF(ABS(IF(controls!$B$45=1,$AL$13,AD215*AC215/AE215)-AF214)&lt;0.00001,AF214,IF(controls!$B$45=1,$AL$13,AD215*AC215/AE215))</f>
        <v>#DIV/0!</v>
      </c>
      <c r="AG215" s="49">
        <f>IF(controls!$B$46=0,0,IF(controls!$B$33=2,B216-B215*V216-('normal case'!H216-D215*W216-'main page'!$K$27*'normal case'!M215+'main page'!$K$31*'normal case'!AB215)-(('main page'!$K$25*'main page'!$U$13*'main page'!$K$29)/(1+('main page'!$K$25^2)*'main page'!$U$13))*('normal case'!L215-'main page'!$U$8),B216-B215*V216-('normal case'!I216-D215*W216-'main page'!$K$27*'normal case'!M215+'main page'!$K$31*'normal case'!AB215)-(('main page'!$K$25*'main page'!$U$13*'main page'!$K$29)/(1+('main page'!$K$25^2)*'main page'!$U$13))*('normal case'!L215-'main page'!$U$8)))</f>
        <v>0</v>
      </c>
      <c r="AN215" s="40"/>
      <c r="AO215" s="40"/>
    </row>
    <row r="216" spans="1:41">
      <c r="A216" s="48">
        <v>214</v>
      </c>
      <c r="B216" s="75">
        <f ca="1">IF(controls!$B$33=1,B215*(1+V216)+T216,B215*(1+V216))</f>
        <v>100</v>
      </c>
      <c r="C216" s="80">
        <f t="shared" ca="1" si="25"/>
        <v>0</v>
      </c>
      <c r="D216" s="77">
        <f t="shared" ca="1" si="21"/>
        <v>100</v>
      </c>
      <c r="E216" s="77">
        <f ca="1">AG215+IF(controls!$B$33=1,G216,F216)</f>
        <v>100</v>
      </c>
      <c r="F216" s="94">
        <f ca="1">IF(controls!$B$44=0,H216-'main page'!$K$27*M215,H216-'main page'!$K$27*M215+'main page'!$K$31*AB215)</f>
        <v>100</v>
      </c>
      <c r="G216" s="75">
        <f ca="1">IF(controls!$B$44=0,I216-'main page'!$K$27*M215,I216-'main page'!$K$27*M215+'main page'!$K$31*'normal case'!AB215)</f>
        <v>100</v>
      </c>
      <c r="H216" s="75">
        <f t="shared" ref="H216:H279" ca="1" si="26">H215+D215*W216</f>
        <v>108</v>
      </c>
      <c r="I216" s="75">
        <f t="shared" ref="I216:I279" ca="1" si="27">I215+D215*W216+T216</f>
        <v>108</v>
      </c>
      <c r="L216" s="75">
        <f ca="1">IF(ABS('main page'!$K$29*L215+(1-'main page'!$K$29)*(controls!$B$9/100)*100+'main page'!$K$25*(D216-B216)-L215)&lt;0.0000001,L215,'main page'!$K$29*L215+(1-'main page'!$K$29)*(controls!$B$9/100)*100+'main page'!$K$25*(D216-B216))</f>
        <v>2</v>
      </c>
      <c r="M216" s="96">
        <f ca="1">IF(controls!$B$10=1,M215,IF(SUM(controls!$B$44:$B$46)=2,N216-'main page'!$K$29*'normal case'!L216-(1-'main page'!$K$29)*'main page'!$K$32,N216-'main page'!$K$29*'normal case'!L216-(1-'main page'!$K$29)*controls!$B$9))</f>
        <v>4</v>
      </c>
      <c r="N216" s="208">
        <f ca="1">IF(controls!$B$45=1,IF(controls!$B$46=1,'main page'!$K$24+'main page'!$K$11+'main page'!$U$8,'main page'!$K$24+'main page'!$K$11+'main page'!$K$32),IF(controls!$B$44=1,IF(O216&lt;0,0,O216),IF(O216+'main page'!$K$11&lt;0,0,O216+'main page'!$K$11)))</f>
        <v>6</v>
      </c>
      <c r="O216" s="76">
        <f ca="1">IF(controls!$B$10=1,'normal case'!M216+'normal case'!L216,'normal case'!P216)</f>
        <v>6</v>
      </c>
      <c r="P216" s="74">
        <f t="shared" ca="1" si="22"/>
        <v>6</v>
      </c>
      <c r="Q216" s="210">
        <f ca="1">IF(controls!$B$44=0,R216+'main page'!$K$29*L216+(1-'main page'!$K$29)*controls!$B$9+(('main page'!$K$25*'main page'!$U$13*'main page'!$K$29)/('main page'!$K$27*(1+('main page'!$K$25^2)*'main page'!$U$13)))*(L216-controls!$B$9),R216+'main page'!$K$29*L216+(1-'main page'!$K$29)*controls!$B$9+(('main page'!$K$25*'main page'!$U$13*'normal case'!$AO$3)/'normal case'!$AO$4)*('normal case'!L216-controls!$B$9))</f>
        <v>6</v>
      </c>
      <c r="R216" s="98">
        <f ca="1">IF(controls!$B$44=1,'main page'!$K$24+'main page'!$K$11,IF(controls!$B$33=1,((I217-D216*W217-B217+B216*V217)/'main page'!$K$27)-'main page'!$K$11,((H217-D216*W217-B217+B216*V217)/'main page'!$K$27)-'main page'!$K$11))</f>
        <v>4</v>
      </c>
      <c r="T216" s="71">
        <f>IF(controls!$B$6=1,$AL$3*(1+('main page'!$K$35/100))^U216-$AL$3*(1+('main page'!$K$35/100))^U215,$AL$3*(1+('main page'!$G$8/100))*(1+('main page'!$K$35/100))^U216-$AL$3*(1+('main page'!$G$8/100))*(1+('main page'!$K$35/100))^U215)</f>
        <v>0</v>
      </c>
      <c r="U216" s="73">
        <v>209</v>
      </c>
      <c r="V216" s="161">
        <v>0</v>
      </c>
      <c r="W216" s="40">
        <v>0</v>
      </c>
      <c r="X216" s="49">
        <f ca="1">IF(controls!$B$33=1,D216-($I$3-'main page'!$K$27*2)*(1+('main page'!$K$35/100))^A215,D216-$AL$4)</f>
        <v>0</v>
      </c>
      <c r="Y216" s="49">
        <f ca="1">ABS(L216-(controls!$B$9/100)*100)</f>
        <v>0</v>
      </c>
      <c r="AA216" s="49" t="e">
        <f ca="1">IF(controls!$B$33=1,(B217-B216*V217-I217+D216*W217+'main page'!$K$27*('main page'!$K$24+'main page'!$K$11))/'main page'!$K$31,(B217-B216*V217+D216*W217-H217+'main page'!$K$27*('main page'!$K$24+'main page'!$K$11))/'main page'!$K$31)</f>
        <v>#DIV/0!</v>
      </c>
      <c r="AB216" s="49" t="e">
        <f ca="1">IF(controls!$B$45=1,LOG(AF216,1.01)+LOG(AE216,1.01)-LOG(AD216,1.01),-((M216-('main page'!$K$24+'main page'!$K$11))/(1-'normal case'!$AO$3))+'normal case'!AA216)</f>
        <v>#DIV/0!</v>
      </c>
      <c r="AC216" s="176" t="e">
        <f t="shared" ca="1" si="23"/>
        <v>#DIV/0!</v>
      </c>
      <c r="AD216" s="49">
        <f t="shared" ca="1" si="24"/>
        <v>67.894811247784759</v>
      </c>
      <c r="AE216" s="49">
        <f>AE215*(1+'main page'!$K$32/100)</f>
        <v>1</v>
      </c>
      <c r="AF216" s="49" t="e">
        <f ca="1">IF(ABS(IF(controls!$B$45=1,$AL$13,AD216*AC216/AE216)-AF215)&lt;0.00001,AF215,IF(controls!$B$45=1,$AL$13,AD216*AC216/AE216))</f>
        <v>#DIV/0!</v>
      </c>
      <c r="AG216" s="49">
        <f>IF(controls!$B$46=0,0,IF(controls!$B$33=2,B217-B216*V217-('normal case'!H217-D216*W217-'main page'!$K$27*'normal case'!M216+'main page'!$K$31*'normal case'!AB216)-(('main page'!$K$25*'main page'!$U$13*'main page'!$K$29)/(1+('main page'!$K$25^2)*'main page'!$U$13))*('normal case'!L216-'main page'!$U$8),B217-B216*V217-('normal case'!I217-D216*W217-'main page'!$K$27*'normal case'!M216+'main page'!$K$31*'normal case'!AB216)-(('main page'!$K$25*'main page'!$U$13*'main page'!$K$29)/(1+('main page'!$K$25^2)*'main page'!$U$13))*('normal case'!L216-'main page'!$U$8)))</f>
        <v>0</v>
      </c>
      <c r="AN216" s="40"/>
      <c r="AO216" s="40"/>
    </row>
    <row r="217" spans="1:41">
      <c r="A217" s="48">
        <v>215</v>
      </c>
      <c r="B217" s="75">
        <f ca="1">IF(controls!$B$33=1,B216*(1+V217)+T217,B216*(1+V217))</f>
        <v>100</v>
      </c>
      <c r="C217" s="80">
        <f t="shared" ca="1" si="25"/>
        <v>0</v>
      </c>
      <c r="D217" s="77">
        <f t="shared" ca="1" si="21"/>
        <v>100</v>
      </c>
      <c r="E217" s="77">
        <f ca="1">AG216+IF(controls!$B$33=1,G217,F217)</f>
        <v>100</v>
      </c>
      <c r="F217" s="94">
        <f ca="1">IF(controls!$B$44=0,H217-'main page'!$K$27*M216,H217-'main page'!$K$27*M216+'main page'!$K$31*AB216)</f>
        <v>100</v>
      </c>
      <c r="G217" s="75">
        <f ca="1">IF(controls!$B$44=0,I217-'main page'!$K$27*M216,I217-'main page'!$K$27*M216+'main page'!$K$31*'normal case'!AB216)</f>
        <v>100</v>
      </c>
      <c r="H217" s="75">
        <f t="shared" ca="1" si="26"/>
        <v>108</v>
      </c>
      <c r="I217" s="75">
        <f t="shared" ca="1" si="27"/>
        <v>108</v>
      </c>
      <c r="L217" s="75">
        <f ca="1">IF(ABS('main page'!$K$29*L216+(1-'main page'!$K$29)*(controls!$B$9/100)*100+'main page'!$K$25*(D217-B217)-L216)&lt;0.0000001,L216,'main page'!$K$29*L216+(1-'main page'!$K$29)*(controls!$B$9/100)*100+'main page'!$K$25*(D217-B217))</f>
        <v>2</v>
      </c>
      <c r="M217" s="96">
        <f ca="1">IF(controls!$B$10=1,M216,IF(SUM(controls!$B$44:$B$46)=2,N217-'main page'!$K$29*'normal case'!L217-(1-'main page'!$K$29)*'main page'!$K$32,N217-'main page'!$K$29*'normal case'!L217-(1-'main page'!$K$29)*controls!$B$9))</f>
        <v>4</v>
      </c>
      <c r="N217" s="208">
        <f ca="1">IF(controls!$B$45=1,IF(controls!$B$46=1,'main page'!$K$24+'main page'!$K$11+'main page'!$U$8,'main page'!$K$24+'main page'!$K$11+'main page'!$K$32),IF(controls!$B$44=1,IF(O217&lt;0,0,O217),IF(O217+'main page'!$K$11&lt;0,0,O217+'main page'!$K$11)))</f>
        <v>6</v>
      </c>
      <c r="O217" s="76">
        <f ca="1">IF(controls!$B$10=1,'normal case'!M217+'normal case'!L217,'normal case'!P217)</f>
        <v>6</v>
      </c>
      <c r="P217" s="74">
        <f t="shared" ca="1" si="22"/>
        <v>6</v>
      </c>
      <c r="Q217" s="210">
        <f ca="1">IF(controls!$B$44=0,R217+'main page'!$K$29*L217+(1-'main page'!$K$29)*controls!$B$9+(('main page'!$K$25*'main page'!$U$13*'main page'!$K$29)/('main page'!$K$27*(1+('main page'!$K$25^2)*'main page'!$U$13)))*(L217-controls!$B$9),R217+'main page'!$K$29*L217+(1-'main page'!$K$29)*controls!$B$9+(('main page'!$K$25*'main page'!$U$13*'normal case'!$AO$3)/'normal case'!$AO$4)*('normal case'!L217-controls!$B$9))</f>
        <v>6</v>
      </c>
      <c r="R217" s="98">
        <f ca="1">IF(controls!$B$44=1,'main page'!$K$24+'main page'!$K$11,IF(controls!$B$33=1,((I218-D217*W218-B218+B217*V218)/'main page'!$K$27)-'main page'!$K$11,((H218-D217*W218-B218+B217*V218)/'main page'!$K$27)-'main page'!$K$11))</f>
        <v>4</v>
      </c>
      <c r="T217" s="71">
        <f>IF(controls!$B$6=1,$AL$3*(1+('main page'!$K$35/100))^U217-$AL$3*(1+('main page'!$K$35/100))^U216,$AL$3*(1+('main page'!$G$8/100))*(1+('main page'!$K$35/100))^U217-$AL$3*(1+('main page'!$G$8/100))*(1+('main page'!$K$35/100))^U216)</f>
        <v>0</v>
      </c>
      <c r="U217" s="73">
        <v>210</v>
      </c>
      <c r="V217" s="161">
        <v>0</v>
      </c>
      <c r="W217" s="40">
        <v>0</v>
      </c>
      <c r="X217" s="49">
        <f ca="1">IF(controls!$B$33=1,D217-($I$3-'main page'!$K$27*2)*(1+('main page'!$K$35/100))^A216,D217-$AL$4)</f>
        <v>0</v>
      </c>
      <c r="Y217" s="49">
        <f ca="1">ABS(L217-(controls!$B$9/100)*100)</f>
        <v>0</v>
      </c>
      <c r="AA217" s="49" t="e">
        <f ca="1">IF(controls!$B$33=1,(B218-B217*V218-I218+D217*W218+'main page'!$K$27*('main page'!$K$24+'main page'!$K$11))/'main page'!$K$31,(B218-B217*V218+D217*W218-H218+'main page'!$K$27*('main page'!$K$24+'main page'!$K$11))/'main page'!$K$31)</f>
        <v>#DIV/0!</v>
      </c>
      <c r="AB217" s="49" t="e">
        <f ca="1">IF(controls!$B$45=1,LOG(AF217,1.01)+LOG(AE217,1.01)-LOG(AD217,1.01),-((M217-('main page'!$K$24+'main page'!$K$11))/(1-'normal case'!$AO$3))+'normal case'!AA217)</f>
        <v>#DIV/0!</v>
      </c>
      <c r="AC217" s="176" t="e">
        <f t="shared" ca="1" si="23"/>
        <v>#DIV/0!</v>
      </c>
      <c r="AD217" s="49">
        <f t="shared" ca="1" si="24"/>
        <v>69.252707472740454</v>
      </c>
      <c r="AE217" s="49">
        <f>AE216*(1+'main page'!$K$32/100)</f>
        <v>1</v>
      </c>
      <c r="AF217" s="49" t="e">
        <f ca="1">IF(ABS(IF(controls!$B$45=1,$AL$13,AD217*AC217/AE217)-AF216)&lt;0.00001,AF216,IF(controls!$B$45=1,$AL$13,AD217*AC217/AE217))</f>
        <v>#DIV/0!</v>
      </c>
      <c r="AG217" s="49">
        <f>IF(controls!$B$46=0,0,IF(controls!$B$33=2,B218-B217*V218-('normal case'!H218-D217*W218-'main page'!$K$27*'normal case'!M217+'main page'!$K$31*'normal case'!AB217)-(('main page'!$K$25*'main page'!$U$13*'main page'!$K$29)/(1+('main page'!$K$25^2)*'main page'!$U$13))*('normal case'!L217-'main page'!$U$8),B218-B217*V218-('normal case'!I218-D217*W218-'main page'!$K$27*'normal case'!M217+'main page'!$K$31*'normal case'!AB217)-(('main page'!$K$25*'main page'!$U$13*'main page'!$K$29)/(1+('main page'!$K$25^2)*'main page'!$U$13))*('normal case'!L217-'main page'!$U$8)))</f>
        <v>0</v>
      </c>
      <c r="AN217" s="40"/>
      <c r="AO217" s="40"/>
    </row>
    <row r="218" spans="1:41">
      <c r="A218" s="48">
        <v>216</v>
      </c>
      <c r="B218" s="75">
        <f ca="1">IF(controls!$B$33=1,B217*(1+V218)+T218,B217*(1+V218))</f>
        <v>100</v>
      </c>
      <c r="C218" s="80">
        <f t="shared" ca="1" si="25"/>
        <v>0</v>
      </c>
      <c r="D218" s="77">
        <f t="shared" ca="1" si="21"/>
        <v>100</v>
      </c>
      <c r="E218" s="77">
        <f ca="1">AG217+IF(controls!$B$33=1,G218,F218)</f>
        <v>100</v>
      </c>
      <c r="F218" s="94">
        <f ca="1">IF(controls!$B$44=0,H218-'main page'!$K$27*M217,H218-'main page'!$K$27*M217+'main page'!$K$31*AB217)</f>
        <v>100</v>
      </c>
      <c r="G218" s="75">
        <f ca="1">IF(controls!$B$44=0,I218-'main page'!$K$27*M217,I218-'main page'!$K$27*M217+'main page'!$K$31*'normal case'!AB217)</f>
        <v>100</v>
      </c>
      <c r="H218" s="75">
        <f t="shared" ca="1" si="26"/>
        <v>108</v>
      </c>
      <c r="I218" s="75">
        <f t="shared" ca="1" si="27"/>
        <v>108</v>
      </c>
      <c r="L218" s="75">
        <f ca="1">IF(ABS('main page'!$K$29*L217+(1-'main page'!$K$29)*(controls!$B$9/100)*100+'main page'!$K$25*(D218-B218)-L217)&lt;0.0000001,L217,'main page'!$K$29*L217+(1-'main page'!$K$29)*(controls!$B$9/100)*100+'main page'!$K$25*(D218-B218))</f>
        <v>2</v>
      </c>
      <c r="M218" s="96">
        <f ca="1">IF(controls!$B$10=1,M217,IF(SUM(controls!$B$44:$B$46)=2,N218-'main page'!$K$29*'normal case'!L218-(1-'main page'!$K$29)*'main page'!$K$32,N218-'main page'!$K$29*'normal case'!L218-(1-'main page'!$K$29)*controls!$B$9))</f>
        <v>4</v>
      </c>
      <c r="N218" s="208">
        <f ca="1">IF(controls!$B$45=1,IF(controls!$B$46=1,'main page'!$K$24+'main page'!$K$11+'main page'!$U$8,'main page'!$K$24+'main page'!$K$11+'main page'!$K$32),IF(controls!$B$44=1,IF(O218&lt;0,0,O218),IF(O218+'main page'!$K$11&lt;0,0,O218+'main page'!$K$11)))</f>
        <v>6</v>
      </c>
      <c r="O218" s="76">
        <f ca="1">IF(controls!$B$10=1,'normal case'!M218+'normal case'!L218,'normal case'!P218)</f>
        <v>6</v>
      </c>
      <c r="P218" s="74">
        <f t="shared" ca="1" si="22"/>
        <v>6</v>
      </c>
      <c r="Q218" s="210">
        <f ca="1">IF(controls!$B$44=0,R218+'main page'!$K$29*L218+(1-'main page'!$K$29)*controls!$B$9+(('main page'!$K$25*'main page'!$U$13*'main page'!$K$29)/('main page'!$K$27*(1+('main page'!$K$25^2)*'main page'!$U$13)))*(L218-controls!$B$9),R218+'main page'!$K$29*L218+(1-'main page'!$K$29)*controls!$B$9+(('main page'!$K$25*'main page'!$U$13*'normal case'!$AO$3)/'normal case'!$AO$4)*('normal case'!L218-controls!$B$9))</f>
        <v>6</v>
      </c>
      <c r="R218" s="98">
        <f ca="1">IF(controls!$B$44=1,'main page'!$K$24+'main page'!$K$11,IF(controls!$B$33=1,((I219-D218*W219-B219+B218*V219)/'main page'!$K$27)-'main page'!$K$11,((H219-D218*W219-B219+B218*V219)/'main page'!$K$27)-'main page'!$K$11))</f>
        <v>4</v>
      </c>
      <c r="T218" s="71">
        <f>IF(controls!$B$6=1,$AL$3*(1+('main page'!$K$35/100))^U218-$AL$3*(1+('main page'!$K$35/100))^U217,$AL$3*(1+('main page'!$G$8/100))*(1+('main page'!$K$35/100))^U218-$AL$3*(1+('main page'!$G$8/100))*(1+('main page'!$K$35/100))^U217)</f>
        <v>0</v>
      </c>
      <c r="U218" s="73">
        <v>211</v>
      </c>
      <c r="V218" s="161">
        <f ca="1">IF(controls!$B$4=1,IF(controls!$H217=1,controls!$B$34*V217+RAND()*('main page'!$K$16/100)-RAND()*('main page'!$K$16/100),0),0)</f>
        <v>0</v>
      </c>
      <c r="W218" s="40">
        <f ca="1">IF(controls!$B$4=1,IF(controls!$I217=1,controls!$B$34*W217+RAND()*('main page'!$K$16/100)-RAND()*('main page'!$K$16/100),0),0)</f>
        <v>0</v>
      </c>
      <c r="X218" s="49">
        <f ca="1">IF(controls!$B$33=1,D218-($I$3-'main page'!$K$27*2)*(1+('main page'!$K$35/100))^A217,D218-$AL$4)</f>
        <v>0</v>
      </c>
      <c r="Y218" s="49">
        <f ca="1">ABS(L218-(controls!$B$9/100)*100)</f>
        <v>0</v>
      </c>
      <c r="AA218" s="49" t="e">
        <f ca="1">IF(controls!$B$33=1,(B219-B218*V219-I219+D218*W219+'main page'!$K$27*('main page'!$K$24+'main page'!$K$11))/'main page'!$K$31,(B219-B218*V219+D218*W219-H219+'main page'!$K$27*('main page'!$K$24+'main page'!$K$11))/'main page'!$K$31)</f>
        <v>#DIV/0!</v>
      </c>
      <c r="AB218" s="49" t="e">
        <f ca="1">IF(controls!$B$45=1,LOG(AF218,1.01)+LOG(AE218,1.01)-LOG(AD218,1.01),-((M218-('main page'!$K$24+'main page'!$K$11))/(1-'normal case'!$AO$3))+'normal case'!AA218)</f>
        <v>#DIV/0!</v>
      </c>
      <c r="AC218" s="176" t="e">
        <f t="shared" ca="1" si="23"/>
        <v>#DIV/0!</v>
      </c>
      <c r="AD218" s="49">
        <f t="shared" ca="1" si="24"/>
        <v>70.637761622195271</v>
      </c>
      <c r="AE218" s="49">
        <f>AE217*(1+'main page'!$K$32/100)</f>
        <v>1</v>
      </c>
      <c r="AF218" s="49" t="e">
        <f ca="1">IF(ABS(IF(controls!$B$45=1,$AL$13,AD218*AC218/AE218)-AF217)&lt;0.00001,AF217,IF(controls!$B$45=1,$AL$13,AD218*AC218/AE218))</f>
        <v>#DIV/0!</v>
      </c>
      <c r="AG218" s="49">
        <f>IF(controls!$B$46=0,0,IF(controls!$B$33=2,B219-B218*V219-('normal case'!H219-D218*W219-'main page'!$K$27*'normal case'!M218+'main page'!$K$31*'normal case'!AB218)-(('main page'!$K$25*'main page'!$U$13*'main page'!$K$29)/(1+('main page'!$K$25^2)*'main page'!$U$13))*('normal case'!L218-'main page'!$U$8),B219-B218*V219-('normal case'!I219-D218*W219-'main page'!$K$27*'normal case'!M218+'main page'!$K$31*'normal case'!AB218)-(('main page'!$K$25*'main page'!$U$13*'main page'!$K$29)/(1+('main page'!$K$25^2)*'main page'!$U$13))*('normal case'!L218-'main page'!$U$8)))</f>
        <v>0</v>
      </c>
      <c r="AN218" s="40"/>
      <c r="AO218" s="40"/>
    </row>
    <row r="219" spans="1:41">
      <c r="A219" s="48">
        <v>217</v>
      </c>
      <c r="B219" s="75">
        <f ca="1">IF(controls!$B$33=1,B218*(1+V219)+T219,B218*(1+V219))</f>
        <v>100</v>
      </c>
      <c r="C219" s="80">
        <f t="shared" ca="1" si="25"/>
        <v>0</v>
      </c>
      <c r="D219" s="77">
        <f t="shared" ca="1" si="21"/>
        <v>100</v>
      </c>
      <c r="E219" s="77">
        <f ca="1">AG218+IF(controls!$B$33=1,G219,F219)</f>
        <v>100</v>
      </c>
      <c r="F219" s="94">
        <f ca="1">IF(controls!$B$44=0,H219-'main page'!$K$27*M218,H219-'main page'!$K$27*M218+'main page'!$K$31*AB218)</f>
        <v>100</v>
      </c>
      <c r="G219" s="75">
        <f ca="1">IF(controls!$B$44=0,I219-'main page'!$K$27*M218,I219-'main page'!$K$27*M218+'main page'!$K$31*'normal case'!AB218)</f>
        <v>100</v>
      </c>
      <c r="H219" s="75">
        <f t="shared" ca="1" si="26"/>
        <v>108</v>
      </c>
      <c r="I219" s="75">
        <f t="shared" ca="1" si="27"/>
        <v>108</v>
      </c>
      <c r="L219" s="75">
        <f ca="1">IF(ABS('main page'!$K$29*L218+(1-'main page'!$K$29)*(controls!$B$9/100)*100+'main page'!$K$25*(D219-B219)-L218)&lt;0.0000001,L218,'main page'!$K$29*L218+(1-'main page'!$K$29)*(controls!$B$9/100)*100+'main page'!$K$25*(D219-B219))</f>
        <v>2</v>
      </c>
      <c r="M219" s="96">
        <f ca="1">IF(controls!$B$10=1,M218,IF(SUM(controls!$B$44:$B$46)=2,N219-'main page'!$K$29*'normal case'!L219-(1-'main page'!$K$29)*'main page'!$K$32,N219-'main page'!$K$29*'normal case'!L219-(1-'main page'!$K$29)*controls!$B$9))</f>
        <v>4</v>
      </c>
      <c r="N219" s="208">
        <f ca="1">IF(controls!$B$45=1,IF(controls!$B$46=1,'main page'!$K$24+'main page'!$K$11+'main page'!$U$8,'main page'!$K$24+'main page'!$K$11+'main page'!$K$32),IF(controls!$B$44=1,IF(O219&lt;0,0,O219),IF(O219+'main page'!$K$11&lt;0,0,O219+'main page'!$K$11)))</f>
        <v>6</v>
      </c>
      <c r="O219" s="76">
        <f ca="1">IF(controls!$B$10=1,'normal case'!M219+'normal case'!L219,'normal case'!P219)</f>
        <v>6</v>
      </c>
      <c r="P219" s="74">
        <f t="shared" ca="1" si="22"/>
        <v>6</v>
      </c>
      <c r="Q219" s="210">
        <f ca="1">IF(controls!$B$44=0,R219+'main page'!$K$29*L219+(1-'main page'!$K$29)*controls!$B$9+(('main page'!$K$25*'main page'!$U$13*'main page'!$K$29)/('main page'!$K$27*(1+('main page'!$K$25^2)*'main page'!$U$13)))*(L219-controls!$B$9),R219+'main page'!$K$29*L219+(1-'main page'!$K$29)*controls!$B$9+(('main page'!$K$25*'main page'!$U$13*'normal case'!$AO$3)/'normal case'!$AO$4)*('normal case'!L219-controls!$B$9))</f>
        <v>6</v>
      </c>
      <c r="R219" s="98">
        <f ca="1">IF(controls!$B$44=1,'main page'!$K$24+'main page'!$K$11,IF(controls!$B$33=1,((I220-D219*W220-B220+B219*V220)/'main page'!$K$27)-'main page'!$K$11,((H220-D219*W220-B220+B219*V220)/'main page'!$K$27)-'main page'!$K$11))</f>
        <v>4</v>
      </c>
      <c r="T219" s="71">
        <f>IF(controls!$B$6=1,$AL$3*(1+('main page'!$K$35/100))^U219-$AL$3*(1+('main page'!$K$35/100))^U218,$AL$3*(1+('main page'!$G$8/100))*(1+('main page'!$K$35/100))^U219-$AL$3*(1+('main page'!$G$8/100))*(1+('main page'!$K$35/100))^U218)</f>
        <v>0</v>
      </c>
      <c r="U219" s="73">
        <v>212</v>
      </c>
      <c r="V219" s="161">
        <v>0</v>
      </c>
      <c r="W219" s="40">
        <v>0</v>
      </c>
      <c r="X219" s="49">
        <f ca="1">IF(controls!$B$33=1,D219-($I$3-'main page'!$K$27*2)*(1+('main page'!$K$35/100))^A218,D219-$AL$4)</f>
        <v>0</v>
      </c>
      <c r="Y219" s="49">
        <f ca="1">ABS(L219-(controls!$B$9/100)*100)</f>
        <v>0</v>
      </c>
      <c r="AA219" s="49" t="e">
        <f ca="1">IF(controls!$B$33=1,(B220-B219*V220-I220+D219*W220+'main page'!$K$27*('main page'!$K$24+'main page'!$K$11))/'main page'!$K$31,(B220-B219*V220+D219*W220-H220+'main page'!$K$27*('main page'!$K$24+'main page'!$K$11))/'main page'!$K$31)</f>
        <v>#DIV/0!</v>
      </c>
      <c r="AB219" s="49" t="e">
        <f ca="1">IF(controls!$B$45=1,LOG(AF219,1.01)+LOG(AE219,1.01)-LOG(AD219,1.01),-((M219-('main page'!$K$24+'main page'!$K$11))/(1-'normal case'!$AO$3))+'normal case'!AA219)</f>
        <v>#DIV/0!</v>
      </c>
      <c r="AC219" s="176" t="e">
        <f t="shared" ca="1" si="23"/>
        <v>#DIV/0!</v>
      </c>
      <c r="AD219" s="49">
        <f t="shared" ca="1" si="24"/>
        <v>72.050516854639184</v>
      </c>
      <c r="AE219" s="49">
        <f>AE218*(1+'main page'!$K$32/100)</f>
        <v>1</v>
      </c>
      <c r="AF219" s="49" t="e">
        <f ca="1">IF(ABS(IF(controls!$B$45=1,$AL$13,AD219*AC219/AE219)-AF218)&lt;0.00001,AF218,IF(controls!$B$45=1,$AL$13,AD219*AC219/AE219))</f>
        <v>#DIV/0!</v>
      </c>
      <c r="AG219" s="49">
        <f>IF(controls!$B$46=0,0,IF(controls!$B$33=2,B220-B219*V220-('normal case'!H220-D219*W220-'main page'!$K$27*'normal case'!M219+'main page'!$K$31*'normal case'!AB219)-(('main page'!$K$25*'main page'!$U$13*'main page'!$K$29)/(1+('main page'!$K$25^2)*'main page'!$U$13))*('normal case'!L219-'main page'!$U$8),B220-B219*V220-('normal case'!I220-D219*W220-'main page'!$K$27*'normal case'!M219+'main page'!$K$31*'normal case'!AB219)-(('main page'!$K$25*'main page'!$U$13*'main page'!$K$29)/(1+('main page'!$K$25^2)*'main page'!$U$13))*('normal case'!L219-'main page'!$U$8)))</f>
        <v>0</v>
      </c>
      <c r="AN219" s="40"/>
      <c r="AO219" s="40"/>
    </row>
    <row r="220" spans="1:41">
      <c r="A220" s="48">
        <v>218</v>
      </c>
      <c r="B220" s="75">
        <f ca="1">IF(controls!$B$33=1,B219*(1+V220)+T220,B219*(1+V220))</f>
        <v>100</v>
      </c>
      <c r="C220" s="80">
        <f t="shared" ca="1" si="25"/>
        <v>0</v>
      </c>
      <c r="D220" s="77">
        <f t="shared" ca="1" si="21"/>
        <v>100</v>
      </c>
      <c r="E220" s="77">
        <f ca="1">AG219+IF(controls!$B$33=1,G220,F220)</f>
        <v>100</v>
      </c>
      <c r="F220" s="94">
        <f ca="1">IF(controls!$B$44=0,H220-'main page'!$K$27*M219,H220-'main page'!$K$27*M219+'main page'!$K$31*AB219)</f>
        <v>100</v>
      </c>
      <c r="G220" s="75">
        <f ca="1">IF(controls!$B$44=0,I220-'main page'!$K$27*M219,I220-'main page'!$K$27*M219+'main page'!$K$31*'normal case'!AB219)</f>
        <v>100</v>
      </c>
      <c r="H220" s="75">
        <f t="shared" ca="1" si="26"/>
        <v>108</v>
      </c>
      <c r="I220" s="75">
        <f t="shared" ca="1" si="27"/>
        <v>108</v>
      </c>
      <c r="L220" s="75">
        <f ca="1">IF(ABS('main page'!$K$29*L219+(1-'main page'!$K$29)*(controls!$B$9/100)*100+'main page'!$K$25*(D220-B220)-L219)&lt;0.0000001,L219,'main page'!$K$29*L219+(1-'main page'!$K$29)*(controls!$B$9/100)*100+'main page'!$K$25*(D220-B220))</f>
        <v>2</v>
      </c>
      <c r="M220" s="96">
        <f ca="1">IF(controls!$B$10=1,M219,IF(SUM(controls!$B$44:$B$46)=2,N220-'main page'!$K$29*'normal case'!L220-(1-'main page'!$K$29)*'main page'!$K$32,N220-'main page'!$K$29*'normal case'!L220-(1-'main page'!$K$29)*controls!$B$9))</f>
        <v>4</v>
      </c>
      <c r="N220" s="208">
        <f ca="1">IF(controls!$B$45=1,IF(controls!$B$46=1,'main page'!$K$24+'main page'!$K$11+'main page'!$U$8,'main page'!$K$24+'main page'!$K$11+'main page'!$K$32),IF(controls!$B$44=1,IF(O220&lt;0,0,O220),IF(O220+'main page'!$K$11&lt;0,0,O220+'main page'!$K$11)))</f>
        <v>6</v>
      </c>
      <c r="O220" s="76">
        <f ca="1">IF(controls!$B$10=1,'normal case'!M220+'normal case'!L220,'normal case'!P220)</f>
        <v>6</v>
      </c>
      <c r="P220" s="74">
        <f t="shared" ca="1" si="22"/>
        <v>6</v>
      </c>
      <c r="Q220" s="210">
        <f ca="1">IF(controls!$B$44=0,R220+'main page'!$K$29*L220+(1-'main page'!$K$29)*controls!$B$9+(('main page'!$K$25*'main page'!$U$13*'main page'!$K$29)/('main page'!$K$27*(1+('main page'!$K$25^2)*'main page'!$U$13)))*(L220-controls!$B$9),R220+'main page'!$K$29*L220+(1-'main page'!$K$29)*controls!$B$9+(('main page'!$K$25*'main page'!$U$13*'normal case'!$AO$3)/'normal case'!$AO$4)*('normal case'!L220-controls!$B$9))</f>
        <v>6</v>
      </c>
      <c r="R220" s="98">
        <f ca="1">IF(controls!$B$44=1,'main page'!$K$24+'main page'!$K$11,IF(controls!$B$33=1,((I221-D220*W221-B221+B220*V221)/'main page'!$K$27)-'main page'!$K$11,((H221-D220*W221-B221+B220*V221)/'main page'!$K$27)-'main page'!$K$11))</f>
        <v>4</v>
      </c>
      <c r="T220" s="71">
        <f>IF(controls!$B$6=1,$AL$3*(1+('main page'!$K$35/100))^U220-$AL$3*(1+('main page'!$K$35/100))^U219,$AL$3*(1+('main page'!$G$8/100))*(1+('main page'!$K$35/100))^U220-$AL$3*(1+('main page'!$G$8/100))*(1+('main page'!$K$35/100))^U219)</f>
        <v>0</v>
      </c>
      <c r="U220" s="73">
        <v>213</v>
      </c>
      <c r="V220" s="161">
        <v>0</v>
      </c>
      <c r="W220" s="40">
        <v>0</v>
      </c>
      <c r="X220" s="49">
        <f ca="1">IF(controls!$B$33=1,D220-($I$3-'main page'!$K$27*2)*(1+('main page'!$K$35/100))^A219,D220-$AL$4)</f>
        <v>0</v>
      </c>
      <c r="Y220" s="49">
        <f ca="1">ABS(L220-(controls!$B$9/100)*100)</f>
        <v>0</v>
      </c>
      <c r="AA220" s="49" t="e">
        <f ca="1">IF(controls!$B$33=1,(B221-B220*V221-I221+D220*W221+'main page'!$K$27*('main page'!$K$24+'main page'!$K$11))/'main page'!$K$31,(B221-B220*V221+D220*W221-H221+'main page'!$K$27*('main page'!$K$24+'main page'!$K$11))/'main page'!$K$31)</f>
        <v>#DIV/0!</v>
      </c>
      <c r="AB220" s="49" t="e">
        <f ca="1">IF(controls!$B$45=1,LOG(AF220,1.01)+LOG(AE220,1.01)-LOG(AD220,1.01),-((M220-('main page'!$K$24+'main page'!$K$11))/(1-'normal case'!$AO$3))+'normal case'!AA220)</f>
        <v>#DIV/0!</v>
      </c>
      <c r="AC220" s="176" t="e">
        <f t="shared" ca="1" si="23"/>
        <v>#DIV/0!</v>
      </c>
      <c r="AD220" s="49">
        <f t="shared" ca="1" si="24"/>
        <v>73.491527191731976</v>
      </c>
      <c r="AE220" s="49">
        <f>AE219*(1+'main page'!$K$32/100)</f>
        <v>1</v>
      </c>
      <c r="AF220" s="49" t="e">
        <f ca="1">IF(ABS(IF(controls!$B$45=1,$AL$13,AD220*AC220/AE220)-AF219)&lt;0.00001,AF219,IF(controls!$B$45=1,$AL$13,AD220*AC220/AE220))</f>
        <v>#DIV/0!</v>
      </c>
      <c r="AG220" s="49">
        <f>IF(controls!$B$46=0,0,IF(controls!$B$33=2,B221-B220*V221-('normal case'!H221-D220*W221-'main page'!$K$27*'normal case'!M220+'main page'!$K$31*'normal case'!AB220)-(('main page'!$K$25*'main page'!$U$13*'main page'!$K$29)/(1+('main page'!$K$25^2)*'main page'!$U$13))*('normal case'!L220-'main page'!$U$8),B221-B220*V221-('normal case'!I221-D220*W221-'main page'!$K$27*'normal case'!M220+'main page'!$K$31*'normal case'!AB220)-(('main page'!$K$25*'main page'!$U$13*'main page'!$K$29)/(1+('main page'!$K$25^2)*'main page'!$U$13))*('normal case'!L220-'main page'!$U$8)))</f>
        <v>0</v>
      </c>
      <c r="AN220" s="40"/>
      <c r="AO220" s="40"/>
    </row>
    <row r="221" spans="1:41">
      <c r="A221" s="48">
        <v>219</v>
      </c>
      <c r="B221" s="75">
        <f ca="1">IF(controls!$B$33=1,B220*(1+V221)+T221,B220*(1+V221))</f>
        <v>100</v>
      </c>
      <c r="C221" s="80">
        <f t="shared" ca="1" si="25"/>
        <v>0</v>
      </c>
      <c r="D221" s="77">
        <f t="shared" ca="1" si="21"/>
        <v>100</v>
      </c>
      <c r="E221" s="77">
        <f ca="1">AG220+IF(controls!$B$33=1,G221,F221)</f>
        <v>100</v>
      </c>
      <c r="F221" s="94">
        <f ca="1">IF(controls!$B$44=0,H221-'main page'!$K$27*M220,H221-'main page'!$K$27*M220+'main page'!$K$31*AB220)</f>
        <v>100</v>
      </c>
      <c r="G221" s="75">
        <f ca="1">IF(controls!$B$44=0,I221-'main page'!$K$27*M220,I221-'main page'!$K$27*M220+'main page'!$K$31*'normal case'!AB220)</f>
        <v>100</v>
      </c>
      <c r="H221" s="75">
        <f t="shared" ca="1" si="26"/>
        <v>108</v>
      </c>
      <c r="I221" s="75">
        <f t="shared" ca="1" si="27"/>
        <v>108</v>
      </c>
      <c r="L221" s="75">
        <f ca="1">IF(ABS('main page'!$K$29*L220+(1-'main page'!$K$29)*(controls!$B$9/100)*100+'main page'!$K$25*(D221-B221)-L220)&lt;0.0000001,L220,'main page'!$K$29*L220+(1-'main page'!$K$29)*(controls!$B$9/100)*100+'main page'!$K$25*(D221-B221))</f>
        <v>2</v>
      </c>
      <c r="M221" s="96">
        <f ca="1">IF(controls!$B$10=1,M220,IF(SUM(controls!$B$44:$B$46)=2,N221-'main page'!$K$29*'normal case'!L221-(1-'main page'!$K$29)*'main page'!$K$32,N221-'main page'!$K$29*'normal case'!L221-(1-'main page'!$K$29)*controls!$B$9))</f>
        <v>4</v>
      </c>
      <c r="N221" s="208">
        <f ca="1">IF(controls!$B$45=1,IF(controls!$B$46=1,'main page'!$K$24+'main page'!$K$11+'main page'!$U$8,'main page'!$K$24+'main page'!$K$11+'main page'!$K$32),IF(controls!$B$44=1,IF(O221&lt;0,0,O221),IF(O221+'main page'!$K$11&lt;0,0,O221+'main page'!$K$11)))</f>
        <v>6</v>
      </c>
      <c r="O221" s="76">
        <f ca="1">IF(controls!$B$10=1,'normal case'!M221+'normal case'!L221,'normal case'!P221)</f>
        <v>6</v>
      </c>
      <c r="P221" s="74">
        <f t="shared" ca="1" si="22"/>
        <v>6</v>
      </c>
      <c r="Q221" s="210">
        <f ca="1">IF(controls!$B$44=0,R221+'main page'!$K$29*L221+(1-'main page'!$K$29)*controls!$B$9+(('main page'!$K$25*'main page'!$U$13*'main page'!$K$29)/('main page'!$K$27*(1+('main page'!$K$25^2)*'main page'!$U$13)))*(L221-controls!$B$9),R221+'main page'!$K$29*L221+(1-'main page'!$K$29)*controls!$B$9+(('main page'!$K$25*'main page'!$U$13*'normal case'!$AO$3)/'normal case'!$AO$4)*('normal case'!L221-controls!$B$9))</f>
        <v>6</v>
      </c>
      <c r="R221" s="98">
        <f ca="1">IF(controls!$B$44=1,'main page'!$K$24+'main page'!$K$11,IF(controls!$B$33=1,((I222-D221*W222-B222+B221*V222)/'main page'!$K$27)-'main page'!$K$11,((H222-D221*W222-B222+B221*V222)/'main page'!$K$27)-'main page'!$K$11))</f>
        <v>4</v>
      </c>
      <c r="T221" s="71">
        <f>IF(controls!$B$6=1,$AL$3*(1+('main page'!$K$35/100))^U221-$AL$3*(1+('main page'!$K$35/100))^U220,$AL$3*(1+('main page'!$G$8/100))*(1+('main page'!$K$35/100))^U221-$AL$3*(1+('main page'!$G$8/100))*(1+('main page'!$K$35/100))^U220)</f>
        <v>0</v>
      </c>
      <c r="U221" s="73">
        <v>214</v>
      </c>
      <c r="V221" s="161">
        <f ca="1">IF(controls!$B$4=1,IF(controls!$H220=1,controls!$B$34*V220+RAND()*('main page'!$K$16/100)-RAND()*('main page'!$K$16/100),0),0)</f>
        <v>0</v>
      </c>
      <c r="W221" s="40">
        <f ca="1">IF(controls!$B$4=1,IF(controls!$I220=1,controls!$B$34*W220+RAND()*('main page'!$K$16/100)-RAND()*('main page'!$K$16/100),0),0)</f>
        <v>0</v>
      </c>
      <c r="X221" s="49">
        <f ca="1">IF(controls!$B$33=1,D221-($I$3-'main page'!$K$27*2)*(1+('main page'!$K$35/100))^A220,D221-$AL$4)</f>
        <v>0</v>
      </c>
      <c r="Y221" s="49">
        <f ca="1">ABS(L221-(controls!$B$9/100)*100)</f>
        <v>0</v>
      </c>
      <c r="AA221" s="49" t="e">
        <f ca="1">IF(controls!$B$33=1,(B222-B221*V222-I222+D221*W222+'main page'!$K$27*('main page'!$K$24+'main page'!$K$11))/'main page'!$K$31,(B222-B221*V222+D221*W222-H222+'main page'!$K$27*('main page'!$K$24+'main page'!$K$11))/'main page'!$K$31)</f>
        <v>#DIV/0!</v>
      </c>
      <c r="AB221" s="49" t="e">
        <f ca="1">IF(controls!$B$45=1,LOG(AF221,1.01)+LOG(AE221,1.01)-LOG(AD221,1.01),-((M221-('main page'!$K$24+'main page'!$K$11))/(1-'normal case'!$AO$3))+'normal case'!AA221)</f>
        <v>#DIV/0!</v>
      </c>
      <c r="AC221" s="176" t="e">
        <f t="shared" ca="1" si="23"/>
        <v>#DIV/0!</v>
      </c>
      <c r="AD221" s="49">
        <f t="shared" ca="1" si="24"/>
        <v>74.961357735566622</v>
      </c>
      <c r="AE221" s="49">
        <f>AE220*(1+'main page'!$K$32/100)</f>
        <v>1</v>
      </c>
      <c r="AF221" s="49" t="e">
        <f ca="1">IF(ABS(IF(controls!$B$45=1,$AL$13,AD221*AC221/AE221)-AF220)&lt;0.00001,AF220,IF(controls!$B$45=1,$AL$13,AD221*AC221/AE221))</f>
        <v>#DIV/0!</v>
      </c>
      <c r="AG221" s="49">
        <f>IF(controls!$B$46=0,0,IF(controls!$B$33=2,B222-B221*V222-('normal case'!H222-D221*W222-'main page'!$K$27*'normal case'!M221+'main page'!$K$31*'normal case'!AB221)-(('main page'!$K$25*'main page'!$U$13*'main page'!$K$29)/(1+('main page'!$K$25^2)*'main page'!$U$13))*('normal case'!L221-'main page'!$U$8),B222-B221*V222-('normal case'!I222-D221*W222-'main page'!$K$27*'normal case'!M221+'main page'!$K$31*'normal case'!AB221)-(('main page'!$K$25*'main page'!$U$13*'main page'!$K$29)/(1+('main page'!$K$25^2)*'main page'!$U$13))*('normal case'!L221-'main page'!$U$8)))</f>
        <v>0</v>
      </c>
      <c r="AN221" s="40"/>
      <c r="AO221" s="40"/>
    </row>
    <row r="222" spans="1:41">
      <c r="A222" s="48">
        <v>220</v>
      </c>
      <c r="B222" s="75">
        <f ca="1">IF(controls!$B$33=1,B221*(1+V222)+T222,B221*(1+V222))</f>
        <v>100</v>
      </c>
      <c r="C222" s="80">
        <f t="shared" ca="1" si="25"/>
        <v>0</v>
      </c>
      <c r="D222" s="77">
        <f t="shared" ca="1" si="21"/>
        <v>100</v>
      </c>
      <c r="E222" s="77">
        <f ca="1">AG221+IF(controls!$B$33=1,G222,F222)</f>
        <v>100</v>
      </c>
      <c r="F222" s="94">
        <f ca="1">IF(controls!$B$44=0,H222-'main page'!$K$27*M221,H222-'main page'!$K$27*M221+'main page'!$K$31*AB221)</f>
        <v>100</v>
      </c>
      <c r="G222" s="75">
        <f ca="1">IF(controls!$B$44=0,I222-'main page'!$K$27*M221,I222-'main page'!$K$27*M221+'main page'!$K$31*'normal case'!AB221)</f>
        <v>100</v>
      </c>
      <c r="H222" s="75">
        <f t="shared" ca="1" si="26"/>
        <v>108</v>
      </c>
      <c r="I222" s="75">
        <f t="shared" ca="1" si="27"/>
        <v>108</v>
      </c>
      <c r="L222" s="75">
        <f ca="1">IF(ABS('main page'!$K$29*L221+(1-'main page'!$K$29)*(controls!$B$9/100)*100+'main page'!$K$25*(D222-B222)-L221)&lt;0.0000001,L221,'main page'!$K$29*L221+(1-'main page'!$K$29)*(controls!$B$9/100)*100+'main page'!$K$25*(D222-B222))</f>
        <v>2</v>
      </c>
      <c r="M222" s="96">
        <f ca="1">IF(controls!$B$10=1,M221,IF(SUM(controls!$B$44:$B$46)=2,N222-'main page'!$K$29*'normal case'!L222-(1-'main page'!$K$29)*'main page'!$K$32,N222-'main page'!$K$29*'normal case'!L222-(1-'main page'!$K$29)*controls!$B$9))</f>
        <v>4</v>
      </c>
      <c r="N222" s="208">
        <f ca="1">IF(controls!$B$45=1,IF(controls!$B$46=1,'main page'!$K$24+'main page'!$K$11+'main page'!$U$8,'main page'!$K$24+'main page'!$K$11+'main page'!$K$32),IF(controls!$B$44=1,IF(O222&lt;0,0,O222),IF(O222+'main page'!$K$11&lt;0,0,O222+'main page'!$K$11)))</f>
        <v>6</v>
      </c>
      <c r="O222" s="76">
        <f ca="1">IF(controls!$B$10=1,'normal case'!M222+'normal case'!L222,'normal case'!P222)</f>
        <v>6</v>
      </c>
      <c r="P222" s="74">
        <f t="shared" ca="1" si="22"/>
        <v>6</v>
      </c>
      <c r="Q222" s="210">
        <f ca="1">IF(controls!$B$44=0,R222+'main page'!$K$29*L222+(1-'main page'!$K$29)*controls!$B$9+(('main page'!$K$25*'main page'!$U$13*'main page'!$K$29)/('main page'!$K$27*(1+('main page'!$K$25^2)*'main page'!$U$13)))*(L222-controls!$B$9),R222+'main page'!$K$29*L222+(1-'main page'!$K$29)*controls!$B$9+(('main page'!$K$25*'main page'!$U$13*'normal case'!$AO$3)/'normal case'!$AO$4)*('normal case'!L222-controls!$B$9))</f>
        <v>6</v>
      </c>
      <c r="R222" s="98">
        <f ca="1">IF(controls!$B$44=1,'main page'!$K$24+'main page'!$K$11,IF(controls!$B$33=1,((I223-D222*W223-B223+B222*V223)/'main page'!$K$27)-'main page'!$K$11,((H223-D222*W223-B223+B222*V223)/'main page'!$K$27)-'main page'!$K$11))</f>
        <v>4</v>
      </c>
      <c r="T222" s="71">
        <f>IF(controls!$B$6=1,$AL$3*(1+('main page'!$K$35/100))^U222-$AL$3*(1+('main page'!$K$35/100))^U221,$AL$3*(1+('main page'!$G$8/100))*(1+('main page'!$K$35/100))^U222-$AL$3*(1+('main page'!$G$8/100))*(1+('main page'!$K$35/100))^U221)</f>
        <v>0</v>
      </c>
      <c r="U222" s="73">
        <v>215</v>
      </c>
      <c r="V222" s="161">
        <v>0</v>
      </c>
      <c r="W222" s="40">
        <v>0</v>
      </c>
      <c r="X222" s="49">
        <f ca="1">IF(controls!$B$33=1,D222-($I$3-'main page'!$K$27*2)*(1+('main page'!$K$35/100))^A221,D222-$AL$4)</f>
        <v>0</v>
      </c>
      <c r="Y222" s="49">
        <f ca="1">ABS(L222-(controls!$B$9/100)*100)</f>
        <v>0</v>
      </c>
      <c r="AA222" s="49" t="e">
        <f ca="1">IF(controls!$B$33=1,(B223-B222*V223-I223+D222*W223+'main page'!$K$27*('main page'!$K$24+'main page'!$K$11))/'main page'!$K$31,(B223-B222*V223+D222*W223-H223+'main page'!$K$27*('main page'!$K$24+'main page'!$K$11))/'main page'!$K$31)</f>
        <v>#DIV/0!</v>
      </c>
      <c r="AB222" s="49" t="e">
        <f ca="1">IF(controls!$B$45=1,LOG(AF222,1.01)+LOG(AE222,1.01)-LOG(AD222,1.01),-((M222-('main page'!$K$24+'main page'!$K$11))/(1-'normal case'!$AO$3))+'normal case'!AA222)</f>
        <v>#DIV/0!</v>
      </c>
      <c r="AC222" s="176" t="e">
        <f t="shared" ca="1" si="23"/>
        <v>#DIV/0!</v>
      </c>
      <c r="AD222" s="49">
        <f t="shared" ca="1" si="24"/>
        <v>76.460584890277957</v>
      </c>
      <c r="AE222" s="49">
        <f>AE221*(1+'main page'!$K$32/100)</f>
        <v>1</v>
      </c>
      <c r="AF222" s="49" t="e">
        <f ca="1">IF(ABS(IF(controls!$B$45=1,$AL$13,AD222*AC222/AE222)-AF221)&lt;0.00001,AF221,IF(controls!$B$45=1,$AL$13,AD222*AC222/AE222))</f>
        <v>#DIV/0!</v>
      </c>
      <c r="AG222" s="49">
        <f>IF(controls!$B$46=0,0,IF(controls!$B$33=2,B223-B222*V223-('normal case'!H223-D222*W223-'main page'!$K$27*'normal case'!M222+'main page'!$K$31*'normal case'!AB222)-(('main page'!$K$25*'main page'!$U$13*'main page'!$K$29)/(1+('main page'!$K$25^2)*'main page'!$U$13))*('normal case'!L222-'main page'!$U$8),B223-B222*V223-('normal case'!I223-D222*W223-'main page'!$K$27*'normal case'!M222+'main page'!$K$31*'normal case'!AB222)-(('main page'!$K$25*'main page'!$U$13*'main page'!$K$29)/(1+('main page'!$K$25^2)*'main page'!$U$13))*('normal case'!L222-'main page'!$U$8)))</f>
        <v>0</v>
      </c>
      <c r="AN222" s="40"/>
      <c r="AO222" s="40"/>
    </row>
    <row r="223" spans="1:41">
      <c r="A223" s="48">
        <v>221</v>
      </c>
      <c r="B223" s="75">
        <f ca="1">IF(controls!$B$33=1,B222*(1+V223)+T223,B222*(1+V223))</f>
        <v>100</v>
      </c>
      <c r="C223" s="80">
        <f t="shared" ca="1" si="25"/>
        <v>0</v>
      </c>
      <c r="D223" s="77">
        <f t="shared" ca="1" si="21"/>
        <v>100</v>
      </c>
      <c r="E223" s="77">
        <f ca="1">AG222+IF(controls!$B$33=1,G223,F223)</f>
        <v>100</v>
      </c>
      <c r="F223" s="94">
        <f ca="1">IF(controls!$B$44=0,H223-'main page'!$K$27*M222,H223-'main page'!$K$27*M222+'main page'!$K$31*AB222)</f>
        <v>100</v>
      </c>
      <c r="G223" s="75">
        <f ca="1">IF(controls!$B$44=0,I223-'main page'!$K$27*M222,I223-'main page'!$K$27*M222+'main page'!$K$31*'normal case'!AB222)</f>
        <v>100</v>
      </c>
      <c r="H223" s="75">
        <f t="shared" ca="1" si="26"/>
        <v>108</v>
      </c>
      <c r="I223" s="75">
        <f t="shared" ca="1" si="27"/>
        <v>108</v>
      </c>
      <c r="L223" s="75">
        <f ca="1">IF(ABS('main page'!$K$29*L222+(1-'main page'!$K$29)*(controls!$B$9/100)*100+'main page'!$K$25*(D223-B223)-L222)&lt;0.0000001,L222,'main page'!$K$29*L222+(1-'main page'!$K$29)*(controls!$B$9/100)*100+'main page'!$K$25*(D223-B223))</f>
        <v>2</v>
      </c>
      <c r="M223" s="96">
        <f ca="1">IF(controls!$B$10=1,M222,IF(SUM(controls!$B$44:$B$46)=2,N223-'main page'!$K$29*'normal case'!L223-(1-'main page'!$K$29)*'main page'!$K$32,N223-'main page'!$K$29*'normal case'!L223-(1-'main page'!$K$29)*controls!$B$9))</f>
        <v>4</v>
      </c>
      <c r="N223" s="208">
        <f ca="1">IF(controls!$B$45=1,IF(controls!$B$46=1,'main page'!$K$24+'main page'!$K$11+'main page'!$U$8,'main page'!$K$24+'main page'!$K$11+'main page'!$K$32),IF(controls!$B$44=1,IF(O223&lt;0,0,O223),IF(O223+'main page'!$K$11&lt;0,0,O223+'main page'!$K$11)))</f>
        <v>6</v>
      </c>
      <c r="O223" s="76">
        <f ca="1">IF(controls!$B$10=1,'normal case'!M223+'normal case'!L223,'normal case'!P223)</f>
        <v>6</v>
      </c>
      <c r="P223" s="74">
        <f t="shared" ca="1" si="22"/>
        <v>6</v>
      </c>
      <c r="Q223" s="210">
        <f ca="1">IF(controls!$B$44=0,R223+'main page'!$K$29*L223+(1-'main page'!$K$29)*controls!$B$9+(('main page'!$K$25*'main page'!$U$13*'main page'!$K$29)/('main page'!$K$27*(1+('main page'!$K$25^2)*'main page'!$U$13)))*(L223-controls!$B$9),R223+'main page'!$K$29*L223+(1-'main page'!$K$29)*controls!$B$9+(('main page'!$K$25*'main page'!$U$13*'normal case'!$AO$3)/'normal case'!$AO$4)*('normal case'!L223-controls!$B$9))</f>
        <v>6</v>
      </c>
      <c r="R223" s="98">
        <f ca="1">IF(controls!$B$44=1,'main page'!$K$24+'main page'!$K$11,IF(controls!$B$33=1,((I224-D223*W224-B224+B223*V224)/'main page'!$K$27)-'main page'!$K$11,((H224-D223*W224-B224+B223*V224)/'main page'!$K$27)-'main page'!$K$11))</f>
        <v>4</v>
      </c>
      <c r="T223" s="71">
        <f>IF(controls!$B$6=1,$AL$3*(1+('main page'!$K$35/100))^U223-$AL$3*(1+('main page'!$K$35/100))^U222,$AL$3*(1+('main page'!$G$8/100))*(1+('main page'!$K$35/100))^U223-$AL$3*(1+('main page'!$G$8/100))*(1+('main page'!$K$35/100))^U222)</f>
        <v>0</v>
      </c>
      <c r="U223" s="73">
        <v>216</v>
      </c>
      <c r="V223" s="161">
        <v>0</v>
      </c>
      <c r="W223" s="40">
        <v>0</v>
      </c>
      <c r="X223" s="49">
        <f ca="1">IF(controls!$B$33=1,D223-($I$3-'main page'!$K$27*2)*(1+('main page'!$K$35/100))^A222,D223-$AL$4)</f>
        <v>0</v>
      </c>
      <c r="Y223" s="49">
        <f ca="1">ABS(L223-(controls!$B$9/100)*100)</f>
        <v>0</v>
      </c>
      <c r="AA223" s="49" t="e">
        <f ca="1">IF(controls!$B$33=1,(B224-B223*V224-I224+D223*W224+'main page'!$K$27*('main page'!$K$24+'main page'!$K$11))/'main page'!$K$31,(B224-B223*V224+D223*W224-H224+'main page'!$K$27*('main page'!$K$24+'main page'!$K$11))/'main page'!$K$31)</f>
        <v>#DIV/0!</v>
      </c>
      <c r="AB223" s="49" t="e">
        <f ca="1">IF(controls!$B$45=1,LOG(AF223,1.01)+LOG(AE223,1.01)-LOG(AD223,1.01),-((M223-('main page'!$K$24+'main page'!$K$11))/(1-'normal case'!$AO$3))+'normal case'!AA223)</f>
        <v>#DIV/0!</v>
      </c>
      <c r="AC223" s="176" t="e">
        <f t="shared" ca="1" si="23"/>
        <v>#DIV/0!</v>
      </c>
      <c r="AD223" s="49">
        <f t="shared" ca="1" si="24"/>
        <v>77.989796588083522</v>
      </c>
      <c r="AE223" s="49">
        <f>AE222*(1+'main page'!$K$32/100)</f>
        <v>1</v>
      </c>
      <c r="AF223" s="49" t="e">
        <f ca="1">IF(ABS(IF(controls!$B$45=1,$AL$13,AD223*AC223/AE223)-AF222)&lt;0.00001,AF222,IF(controls!$B$45=1,$AL$13,AD223*AC223/AE223))</f>
        <v>#DIV/0!</v>
      </c>
      <c r="AG223" s="49">
        <f>IF(controls!$B$46=0,0,IF(controls!$B$33=2,B224-B223*V224-('normal case'!H224-D223*W224-'main page'!$K$27*'normal case'!M223+'main page'!$K$31*'normal case'!AB223)-(('main page'!$K$25*'main page'!$U$13*'main page'!$K$29)/(1+('main page'!$K$25^2)*'main page'!$U$13))*('normal case'!L223-'main page'!$U$8),B224-B223*V224-('normal case'!I224-D223*W224-'main page'!$K$27*'normal case'!M223+'main page'!$K$31*'normal case'!AB223)-(('main page'!$K$25*'main page'!$U$13*'main page'!$K$29)/(1+('main page'!$K$25^2)*'main page'!$U$13))*('normal case'!L223-'main page'!$U$8)))</f>
        <v>0</v>
      </c>
      <c r="AN223" s="40"/>
      <c r="AO223" s="40"/>
    </row>
    <row r="224" spans="1:41">
      <c r="A224" s="48">
        <v>222</v>
      </c>
      <c r="B224" s="75">
        <f ca="1">IF(controls!$B$33=1,B223*(1+V224)+T224,B223*(1+V224))</f>
        <v>100</v>
      </c>
      <c r="C224" s="80">
        <f t="shared" ca="1" si="25"/>
        <v>0</v>
      </c>
      <c r="D224" s="77">
        <f t="shared" ca="1" si="21"/>
        <v>100</v>
      </c>
      <c r="E224" s="77">
        <f ca="1">AG223+IF(controls!$B$33=1,G224,F224)</f>
        <v>100</v>
      </c>
      <c r="F224" s="94">
        <f ca="1">IF(controls!$B$44=0,H224-'main page'!$K$27*M223,H224-'main page'!$K$27*M223+'main page'!$K$31*AB223)</f>
        <v>100</v>
      </c>
      <c r="G224" s="75">
        <f ca="1">IF(controls!$B$44=0,I224-'main page'!$K$27*M223,I224-'main page'!$K$27*M223+'main page'!$K$31*'normal case'!AB223)</f>
        <v>100</v>
      </c>
      <c r="H224" s="75">
        <f t="shared" ca="1" si="26"/>
        <v>108</v>
      </c>
      <c r="I224" s="75">
        <f t="shared" ca="1" si="27"/>
        <v>108</v>
      </c>
      <c r="L224" s="75">
        <f ca="1">IF(ABS('main page'!$K$29*L223+(1-'main page'!$K$29)*(controls!$B$9/100)*100+'main page'!$K$25*(D224-B224)-L223)&lt;0.0000001,L223,'main page'!$K$29*L223+(1-'main page'!$K$29)*(controls!$B$9/100)*100+'main page'!$K$25*(D224-B224))</f>
        <v>2</v>
      </c>
      <c r="M224" s="96">
        <f ca="1">IF(controls!$B$10=1,M223,IF(SUM(controls!$B$44:$B$46)=2,N224-'main page'!$K$29*'normal case'!L224-(1-'main page'!$K$29)*'main page'!$K$32,N224-'main page'!$K$29*'normal case'!L224-(1-'main page'!$K$29)*controls!$B$9))</f>
        <v>4</v>
      </c>
      <c r="N224" s="208">
        <f ca="1">IF(controls!$B$45=1,IF(controls!$B$46=1,'main page'!$K$24+'main page'!$K$11+'main page'!$U$8,'main page'!$K$24+'main page'!$K$11+'main page'!$K$32),IF(controls!$B$44=1,IF(O224&lt;0,0,O224),IF(O224+'main page'!$K$11&lt;0,0,O224+'main page'!$K$11)))</f>
        <v>6</v>
      </c>
      <c r="O224" s="76">
        <f ca="1">IF(controls!$B$10=1,'normal case'!M224+'normal case'!L224,'normal case'!P224)</f>
        <v>6</v>
      </c>
      <c r="P224" s="74">
        <f t="shared" ca="1" si="22"/>
        <v>6</v>
      </c>
      <c r="Q224" s="210">
        <f ca="1">IF(controls!$B$44=0,R224+'main page'!$K$29*L224+(1-'main page'!$K$29)*controls!$B$9+(('main page'!$K$25*'main page'!$U$13*'main page'!$K$29)/('main page'!$K$27*(1+('main page'!$K$25^2)*'main page'!$U$13)))*(L224-controls!$B$9),R224+'main page'!$K$29*L224+(1-'main page'!$K$29)*controls!$B$9+(('main page'!$K$25*'main page'!$U$13*'normal case'!$AO$3)/'normal case'!$AO$4)*('normal case'!L224-controls!$B$9))</f>
        <v>6</v>
      </c>
      <c r="R224" s="98">
        <f ca="1">IF(controls!$B$44=1,'main page'!$K$24+'main page'!$K$11,IF(controls!$B$33=1,((I225-D224*W225-B225+B224*V225)/'main page'!$K$27)-'main page'!$K$11,((H225-D224*W225-B225+B224*V225)/'main page'!$K$27)-'main page'!$K$11))</f>
        <v>4</v>
      </c>
      <c r="T224" s="71">
        <f>IF(controls!$B$6=1,$AL$3*(1+('main page'!$K$35/100))^U224-$AL$3*(1+('main page'!$K$35/100))^U223,$AL$3*(1+('main page'!$G$8/100))*(1+('main page'!$K$35/100))^U224-$AL$3*(1+('main page'!$G$8/100))*(1+('main page'!$K$35/100))^U223)</f>
        <v>0</v>
      </c>
      <c r="U224" s="73">
        <v>217</v>
      </c>
      <c r="V224" s="161">
        <f ca="1">IF(controls!$B$4=1,IF(controls!$H223=1,controls!$B$34*V223+RAND()*('main page'!$K$16/100)-RAND()*('main page'!$K$16/100),0),0)</f>
        <v>0</v>
      </c>
      <c r="W224" s="40">
        <f ca="1">IF(controls!$B$4=1,IF(controls!$I223=1,controls!$B$34*W223+RAND()*('main page'!$K$16/100)-RAND()*('main page'!$K$16/100),0),0)</f>
        <v>0</v>
      </c>
      <c r="X224" s="49">
        <f ca="1">IF(controls!$B$33=1,D224-($I$3-'main page'!$K$27*2)*(1+('main page'!$K$35/100))^A223,D224-$AL$4)</f>
        <v>0</v>
      </c>
      <c r="Y224" s="49">
        <f ca="1">ABS(L224-(controls!$B$9/100)*100)</f>
        <v>0</v>
      </c>
      <c r="AA224" s="49" t="e">
        <f ca="1">IF(controls!$B$33=1,(B225-B224*V225-I225+D224*W225+'main page'!$K$27*('main page'!$K$24+'main page'!$K$11))/'main page'!$K$31,(B225-B224*V225+D224*W225-H225+'main page'!$K$27*('main page'!$K$24+'main page'!$K$11))/'main page'!$K$31)</f>
        <v>#DIV/0!</v>
      </c>
      <c r="AB224" s="49" t="e">
        <f ca="1">IF(controls!$B$45=1,LOG(AF224,1.01)+LOG(AE224,1.01)-LOG(AD224,1.01),-((M224-('main page'!$K$24+'main page'!$K$11))/(1-'normal case'!$AO$3))+'normal case'!AA224)</f>
        <v>#DIV/0!</v>
      </c>
      <c r="AC224" s="176" t="e">
        <f t="shared" ca="1" si="23"/>
        <v>#DIV/0!</v>
      </c>
      <c r="AD224" s="49">
        <f t="shared" ca="1" si="24"/>
        <v>79.549592519845191</v>
      </c>
      <c r="AE224" s="49">
        <f>AE223*(1+'main page'!$K$32/100)</f>
        <v>1</v>
      </c>
      <c r="AF224" s="49" t="e">
        <f ca="1">IF(ABS(IF(controls!$B$45=1,$AL$13,AD224*AC224/AE224)-AF223)&lt;0.00001,AF223,IF(controls!$B$45=1,$AL$13,AD224*AC224/AE224))</f>
        <v>#DIV/0!</v>
      </c>
      <c r="AG224" s="49">
        <f>IF(controls!$B$46=0,0,IF(controls!$B$33=2,B225-B224*V225-('normal case'!H225-D224*W225-'main page'!$K$27*'normal case'!M224+'main page'!$K$31*'normal case'!AB224)-(('main page'!$K$25*'main page'!$U$13*'main page'!$K$29)/(1+('main page'!$K$25^2)*'main page'!$U$13))*('normal case'!L224-'main page'!$U$8),B225-B224*V225-('normal case'!I225-D224*W225-'main page'!$K$27*'normal case'!M224+'main page'!$K$31*'normal case'!AB224)-(('main page'!$K$25*'main page'!$U$13*'main page'!$K$29)/(1+('main page'!$K$25^2)*'main page'!$U$13))*('normal case'!L224-'main page'!$U$8)))</f>
        <v>0</v>
      </c>
      <c r="AN224" s="40"/>
      <c r="AO224" s="40"/>
    </row>
    <row r="225" spans="1:41">
      <c r="A225" s="48">
        <v>223</v>
      </c>
      <c r="B225" s="75">
        <f ca="1">IF(controls!$B$33=1,B224*(1+V225)+T225,B224*(1+V225))</f>
        <v>100</v>
      </c>
      <c r="C225" s="80">
        <f t="shared" ca="1" si="25"/>
        <v>0</v>
      </c>
      <c r="D225" s="77">
        <f t="shared" ca="1" si="21"/>
        <v>100</v>
      </c>
      <c r="E225" s="77">
        <f ca="1">AG224+IF(controls!$B$33=1,G225,F225)</f>
        <v>100</v>
      </c>
      <c r="F225" s="94">
        <f ca="1">IF(controls!$B$44=0,H225-'main page'!$K$27*M224,H225-'main page'!$K$27*M224+'main page'!$K$31*AB224)</f>
        <v>100</v>
      </c>
      <c r="G225" s="75">
        <f ca="1">IF(controls!$B$44=0,I225-'main page'!$K$27*M224,I225-'main page'!$K$27*M224+'main page'!$K$31*'normal case'!AB224)</f>
        <v>100</v>
      </c>
      <c r="H225" s="75">
        <f t="shared" ca="1" si="26"/>
        <v>108</v>
      </c>
      <c r="I225" s="75">
        <f t="shared" ca="1" si="27"/>
        <v>108</v>
      </c>
      <c r="L225" s="75">
        <f ca="1">IF(ABS('main page'!$K$29*L224+(1-'main page'!$K$29)*(controls!$B$9/100)*100+'main page'!$K$25*(D225-B225)-L224)&lt;0.0000001,L224,'main page'!$K$29*L224+(1-'main page'!$K$29)*(controls!$B$9/100)*100+'main page'!$K$25*(D225-B225))</f>
        <v>2</v>
      </c>
      <c r="M225" s="96">
        <f ca="1">IF(controls!$B$10=1,M224,IF(SUM(controls!$B$44:$B$46)=2,N225-'main page'!$K$29*'normal case'!L225-(1-'main page'!$K$29)*'main page'!$K$32,N225-'main page'!$K$29*'normal case'!L225-(1-'main page'!$K$29)*controls!$B$9))</f>
        <v>4</v>
      </c>
      <c r="N225" s="208">
        <f ca="1">IF(controls!$B$45=1,IF(controls!$B$46=1,'main page'!$K$24+'main page'!$K$11+'main page'!$U$8,'main page'!$K$24+'main page'!$K$11+'main page'!$K$32),IF(controls!$B$44=1,IF(O225&lt;0,0,O225),IF(O225+'main page'!$K$11&lt;0,0,O225+'main page'!$K$11)))</f>
        <v>6</v>
      </c>
      <c r="O225" s="76">
        <f ca="1">IF(controls!$B$10=1,'normal case'!M225+'normal case'!L225,'normal case'!P225)</f>
        <v>6</v>
      </c>
      <c r="P225" s="74">
        <f t="shared" ca="1" si="22"/>
        <v>6</v>
      </c>
      <c r="Q225" s="210">
        <f ca="1">IF(controls!$B$44=0,R225+'main page'!$K$29*L225+(1-'main page'!$K$29)*controls!$B$9+(('main page'!$K$25*'main page'!$U$13*'main page'!$K$29)/('main page'!$K$27*(1+('main page'!$K$25^2)*'main page'!$U$13)))*(L225-controls!$B$9),R225+'main page'!$K$29*L225+(1-'main page'!$K$29)*controls!$B$9+(('main page'!$K$25*'main page'!$U$13*'normal case'!$AO$3)/'normal case'!$AO$4)*('normal case'!L225-controls!$B$9))</f>
        <v>6</v>
      </c>
      <c r="R225" s="98">
        <f ca="1">IF(controls!$B$44=1,'main page'!$K$24+'main page'!$K$11,IF(controls!$B$33=1,((I226-D225*W226-B226+B225*V226)/'main page'!$K$27)-'main page'!$K$11,((H226-D225*W226-B226+B225*V226)/'main page'!$K$27)-'main page'!$K$11))</f>
        <v>4</v>
      </c>
      <c r="T225" s="71">
        <f>IF(controls!$B$6=1,$AL$3*(1+('main page'!$K$35/100))^U225-$AL$3*(1+('main page'!$K$35/100))^U224,$AL$3*(1+('main page'!$G$8/100))*(1+('main page'!$K$35/100))^U225-$AL$3*(1+('main page'!$G$8/100))*(1+('main page'!$K$35/100))^U224)</f>
        <v>0</v>
      </c>
      <c r="U225" s="73">
        <v>218</v>
      </c>
      <c r="V225" s="161">
        <v>0</v>
      </c>
      <c r="W225" s="40">
        <v>0</v>
      </c>
      <c r="X225" s="49">
        <f ca="1">IF(controls!$B$33=1,D225-($I$3-'main page'!$K$27*2)*(1+('main page'!$K$35/100))^A224,D225-$AL$4)</f>
        <v>0</v>
      </c>
      <c r="Y225" s="49">
        <f ca="1">ABS(L225-(controls!$B$9/100)*100)</f>
        <v>0</v>
      </c>
      <c r="AA225" s="49" t="e">
        <f ca="1">IF(controls!$B$33=1,(B226-B225*V226-I226+D225*W226+'main page'!$K$27*('main page'!$K$24+'main page'!$K$11))/'main page'!$K$31,(B226-B225*V226+D225*W226-H226+'main page'!$K$27*('main page'!$K$24+'main page'!$K$11))/'main page'!$K$31)</f>
        <v>#DIV/0!</v>
      </c>
      <c r="AB225" s="49" t="e">
        <f ca="1">IF(controls!$B$45=1,LOG(AF225,1.01)+LOG(AE225,1.01)-LOG(AD225,1.01),-((M225-('main page'!$K$24+'main page'!$K$11))/(1-'normal case'!$AO$3))+'normal case'!AA225)</f>
        <v>#DIV/0!</v>
      </c>
      <c r="AC225" s="176" t="e">
        <f t="shared" ca="1" si="23"/>
        <v>#DIV/0!</v>
      </c>
      <c r="AD225" s="49">
        <f t="shared" ca="1" si="24"/>
        <v>81.140584370242095</v>
      </c>
      <c r="AE225" s="49">
        <f>AE224*(1+'main page'!$K$32/100)</f>
        <v>1</v>
      </c>
      <c r="AF225" s="49" t="e">
        <f ca="1">IF(ABS(IF(controls!$B$45=1,$AL$13,AD225*AC225/AE225)-AF224)&lt;0.00001,AF224,IF(controls!$B$45=1,$AL$13,AD225*AC225/AE225))</f>
        <v>#DIV/0!</v>
      </c>
      <c r="AG225" s="49">
        <f>IF(controls!$B$46=0,0,IF(controls!$B$33=2,B226-B225*V226-('normal case'!H226-D225*W226-'main page'!$K$27*'normal case'!M225+'main page'!$K$31*'normal case'!AB225)-(('main page'!$K$25*'main page'!$U$13*'main page'!$K$29)/(1+('main page'!$K$25^2)*'main page'!$U$13))*('normal case'!L225-'main page'!$U$8),B226-B225*V226-('normal case'!I226-D225*W226-'main page'!$K$27*'normal case'!M225+'main page'!$K$31*'normal case'!AB225)-(('main page'!$K$25*'main page'!$U$13*'main page'!$K$29)/(1+('main page'!$K$25^2)*'main page'!$U$13))*('normal case'!L225-'main page'!$U$8)))</f>
        <v>0</v>
      </c>
      <c r="AN225" s="40"/>
      <c r="AO225" s="40"/>
    </row>
    <row r="226" spans="1:41">
      <c r="A226" s="48">
        <v>224</v>
      </c>
      <c r="B226" s="75">
        <f ca="1">IF(controls!$B$33=1,B225*(1+V226)+T226,B225*(1+V226))</f>
        <v>100</v>
      </c>
      <c r="C226" s="80">
        <f t="shared" ca="1" si="25"/>
        <v>0</v>
      </c>
      <c r="D226" s="77">
        <f t="shared" ca="1" si="21"/>
        <v>100</v>
      </c>
      <c r="E226" s="77">
        <f ca="1">AG225+IF(controls!$B$33=1,G226,F226)</f>
        <v>100</v>
      </c>
      <c r="F226" s="94">
        <f ca="1">IF(controls!$B$44=0,H226-'main page'!$K$27*M225,H226-'main page'!$K$27*M225+'main page'!$K$31*AB225)</f>
        <v>100</v>
      </c>
      <c r="G226" s="75">
        <f ca="1">IF(controls!$B$44=0,I226-'main page'!$K$27*M225,I226-'main page'!$K$27*M225+'main page'!$K$31*'normal case'!AB225)</f>
        <v>100</v>
      </c>
      <c r="H226" s="75">
        <f t="shared" ca="1" si="26"/>
        <v>108</v>
      </c>
      <c r="I226" s="75">
        <f t="shared" ca="1" si="27"/>
        <v>108</v>
      </c>
      <c r="L226" s="75">
        <f ca="1">IF(ABS('main page'!$K$29*L225+(1-'main page'!$K$29)*(controls!$B$9/100)*100+'main page'!$K$25*(D226-B226)-L225)&lt;0.0000001,L225,'main page'!$K$29*L225+(1-'main page'!$K$29)*(controls!$B$9/100)*100+'main page'!$K$25*(D226-B226))</f>
        <v>2</v>
      </c>
      <c r="M226" s="96">
        <f ca="1">IF(controls!$B$10=1,M225,IF(SUM(controls!$B$44:$B$46)=2,N226-'main page'!$K$29*'normal case'!L226-(1-'main page'!$K$29)*'main page'!$K$32,N226-'main page'!$K$29*'normal case'!L226-(1-'main page'!$K$29)*controls!$B$9))</f>
        <v>4</v>
      </c>
      <c r="N226" s="208">
        <f ca="1">IF(controls!$B$45=1,IF(controls!$B$46=1,'main page'!$K$24+'main page'!$K$11+'main page'!$U$8,'main page'!$K$24+'main page'!$K$11+'main page'!$K$32),IF(controls!$B$44=1,IF(O226&lt;0,0,O226),IF(O226+'main page'!$K$11&lt;0,0,O226+'main page'!$K$11)))</f>
        <v>6</v>
      </c>
      <c r="O226" s="76">
        <f ca="1">IF(controls!$B$10=1,'normal case'!M226+'normal case'!L226,'normal case'!P226)</f>
        <v>6</v>
      </c>
      <c r="P226" s="74">
        <f t="shared" ca="1" si="22"/>
        <v>6</v>
      </c>
      <c r="Q226" s="210">
        <f ca="1">IF(controls!$B$44=0,R226+'main page'!$K$29*L226+(1-'main page'!$K$29)*controls!$B$9+(('main page'!$K$25*'main page'!$U$13*'main page'!$K$29)/('main page'!$K$27*(1+('main page'!$K$25^2)*'main page'!$U$13)))*(L226-controls!$B$9),R226+'main page'!$K$29*L226+(1-'main page'!$K$29)*controls!$B$9+(('main page'!$K$25*'main page'!$U$13*'normal case'!$AO$3)/'normal case'!$AO$4)*('normal case'!L226-controls!$B$9))</f>
        <v>6</v>
      </c>
      <c r="R226" s="98">
        <f ca="1">IF(controls!$B$44=1,'main page'!$K$24+'main page'!$K$11,IF(controls!$B$33=1,((I227-D226*W227-B227+B226*V227)/'main page'!$K$27)-'main page'!$K$11,((H227-D226*W227-B227+B226*V227)/'main page'!$K$27)-'main page'!$K$11))</f>
        <v>4</v>
      </c>
      <c r="T226" s="71">
        <f>IF(controls!$B$6=1,$AL$3*(1+('main page'!$K$35/100))^U226-$AL$3*(1+('main page'!$K$35/100))^U225,$AL$3*(1+('main page'!$G$8/100))*(1+('main page'!$K$35/100))^U226-$AL$3*(1+('main page'!$G$8/100))*(1+('main page'!$K$35/100))^U225)</f>
        <v>0</v>
      </c>
      <c r="U226" s="73">
        <v>219</v>
      </c>
      <c r="V226" s="161">
        <v>0</v>
      </c>
      <c r="W226" s="40">
        <v>0</v>
      </c>
      <c r="X226" s="49">
        <f ca="1">IF(controls!$B$33=1,D226-($I$3-'main page'!$K$27*2)*(1+('main page'!$K$35/100))^A225,D226-$AL$4)</f>
        <v>0</v>
      </c>
      <c r="Y226" s="49">
        <f ca="1">ABS(L226-(controls!$B$9/100)*100)</f>
        <v>0</v>
      </c>
      <c r="AA226" s="49" t="e">
        <f ca="1">IF(controls!$B$33=1,(B227-B226*V227-I227+D226*W227+'main page'!$K$27*('main page'!$K$24+'main page'!$K$11))/'main page'!$K$31,(B227-B226*V227+D226*W227-H227+'main page'!$K$27*('main page'!$K$24+'main page'!$K$11))/'main page'!$K$31)</f>
        <v>#DIV/0!</v>
      </c>
      <c r="AB226" s="49" t="e">
        <f ca="1">IF(controls!$B$45=1,LOG(AF226,1.01)+LOG(AE226,1.01)-LOG(AD226,1.01),-((M226-('main page'!$K$24+'main page'!$K$11))/(1-'normal case'!$AO$3))+'normal case'!AA226)</f>
        <v>#DIV/0!</v>
      </c>
      <c r="AC226" s="176" t="e">
        <f t="shared" ca="1" si="23"/>
        <v>#DIV/0!</v>
      </c>
      <c r="AD226" s="49">
        <f t="shared" ca="1" si="24"/>
        <v>82.763396057646943</v>
      </c>
      <c r="AE226" s="49">
        <f>AE225*(1+'main page'!$K$32/100)</f>
        <v>1</v>
      </c>
      <c r="AF226" s="49" t="e">
        <f ca="1">IF(ABS(IF(controls!$B$45=1,$AL$13,AD226*AC226/AE226)-AF225)&lt;0.00001,AF225,IF(controls!$B$45=1,$AL$13,AD226*AC226/AE226))</f>
        <v>#DIV/0!</v>
      </c>
      <c r="AG226" s="49">
        <f>IF(controls!$B$46=0,0,IF(controls!$B$33=2,B227-B226*V227-('normal case'!H227-D226*W227-'main page'!$K$27*'normal case'!M226+'main page'!$K$31*'normal case'!AB226)-(('main page'!$K$25*'main page'!$U$13*'main page'!$K$29)/(1+('main page'!$K$25^2)*'main page'!$U$13))*('normal case'!L226-'main page'!$U$8),B227-B226*V227-('normal case'!I227-D226*W227-'main page'!$K$27*'normal case'!M226+'main page'!$K$31*'normal case'!AB226)-(('main page'!$K$25*'main page'!$U$13*'main page'!$K$29)/(1+('main page'!$K$25^2)*'main page'!$U$13))*('normal case'!L226-'main page'!$U$8)))</f>
        <v>0</v>
      </c>
      <c r="AN226" s="40"/>
      <c r="AO226" s="40"/>
    </row>
    <row r="227" spans="1:41">
      <c r="A227" s="48">
        <v>225</v>
      </c>
      <c r="B227" s="75">
        <f ca="1">IF(controls!$B$33=1,B226*(1+V227)+T227,B226*(1+V227))</f>
        <v>100</v>
      </c>
      <c r="C227" s="80">
        <f t="shared" ca="1" si="25"/>
        <v>0</v>
      </c>
      <c r="D227" s="77">
        <f t="shared" ca="1" si="21"/>
        <v>100</v>
      </c>
      <c r="E227" s="77">
        <f ca="1">AG226+IF(controls!$B$33=1,G227,F227)</f>
        <v>100</v>
      </c>
      <c r="F227" s="94">
        <f ca="1">IF(controls!$B$44=0,H227-'main page'!$K$27*M226,H227-'main page'!$K$27*M226+'main page'!$K$31*AB226)</f>
        <v>100</v>
      </c>
      <c r="G227" s="75">
        <f ca="1">IF(controls!$B$44=0,I227-'main page'!$K$27*M226,I227-'main page'!$K$27*M226+'main page'!$K$31*'normal case'!AB226)</f>
        <v>100</v>
      </c>
      <c r="H227" s="75">
        <f t="shared" ca="1" si="26"/>
        <v>108</v>
      </c>
      <c r="I227" s="75">
        <f t="shared" ca="1" si="27"/>
        <v>108</v>
      </c>
      <c r="L227" s="75">
        <f ca="1">IF(ABS('main page'!$K$29*L226+(1-'main page'!$K$29)*(controls!$B$9/100)*100+'main page'!$K$25*(D227-B227)-L226)&lt;0.0000001,L226,'main page'!$K$29*L226+(1-'main page'!$K$29)*(controls!$B$9/100)*100+'main page'!$K$25*(D227-B227))</f>
        <v>2</v>
      </c>
      <c r="M227" s="96">
        <f ca="1">IF(controls!$B$10=1,M226,IF(SUM(controls!$B$44:$B$46)=2,N227-'main page'!$K$29*'normal case'!L227-(1-'main page'!$K$29)*'main page'!$K$32,N227-'main page'!$K$29*'normal case'!L227-(1-'main page'!$K$29)*controls!$B$9))</f>
        <v>4</v>
      </c>
      <c r="N227" s="208">
        <f ca="1">IF(controls!$B$45=1,IF(controls!$B$46=1,'main page'!$K$24+'main page'!$K$11+'main page'!$U$8,'main page'!$K$24+'main page'!$K$11+'main page'!$K$32),IF(controls!$B$44=1,IF(O227&lt;0,0,O227),IF(O227+'main page'!$K$11&lt;0,0,O227+'main page'!$K$11)))</f>
        <v>6</v>
      </c>
      <c r="O227" s="76">
        <f ca="1">IF(controls!$B$10=1,'normal case'!M227+'normal case'!L227,'normal case'!P227)</f>
        <v>6</v>
      </c>
      <c r="P227" s="74">
        <f t="shared" ca="1" si="22"/>
        <v>6</v>
      </c>
      <c r="Q227" s="210">
        <f ca="1">IF(controls!$B$44=0,R227+'main page'!$K$29*L227+(1-'main page'!$K$29)*controls!$B$9+(('main page'!$K$25*'main page'!$U$13*'main page'!$K$29)/('main page'!$K$27*(1+('main page'!$K$25^2)*'main page'!$U$13)))*(L227-controls!$B$9),R227+'main page'!$K$29*L227+(1-'main page'!$K$29)*controls!$B$9+(('main page'!$K$25*'main page'!$U$13*'normal case'!$AO$3)/'normal case'!$AO$4)*('normal case'!L227-controls!$B$9))</f>
        <v>6</v>
      </c>
      <c r="R227" s="98">
        <f ca="1">IF(controls!$B$44=1,'main page'!$K$24+'main page'!$K$11,IF(controls!$B$33=1,((I228-D227*W228-B228+B227*V228)/'main page'!$K$27)-'main page'!$K$11,((H228-D227*W228-B228+B227*V228)/'main page'!$K$27)-'main page'!$K$11))</f>
        <v>4</v>
      </c>
      <c r="T227" s="71">
        <f>IF(controls!$B$6=1,$AL$3*(1+('main page'!$K$35/100))^U227-$AL$3*(1+('main page'!$K$35/100))^U226,$AL$3*(1+('main page'!$G$8/100))*(1+('main page'!$K$35/100))^U227-$AL$3*(1+('main page'!$G$8/100))*(1+('main page'!$K$35/100))^U226)</f>
        <v>0</v>
      </c>
      <c r="U227" s="73">
        <v>220</v>
      </c>
      <c r="V227" s="161">
        <f ca="1">IF(controls!$B$4=1,IF(controls!$H226=1,controls!$B$34*V226+RAND()*('main page'!$K$16/100)-RAND()*('main page'!$K$16/100),0),0)</f>
        <v>0</v>
      </c>
      <c r="W227" s="40">
        <f ca="1">IF(controls!$B$4=1,IF(controls!$I226=1,controls!$B$34*W226+RAND()*('main page'!$K$16/100)-RAND()*('main page'!$K$16/100),0),0)</f>
        <v>0</v>
      </c>
      <c r="X227" s="49">
        <f ca="1">IF(controls!$B$33=1,D227-($I$3-'main page'!$K$27*2)*(1+('main page'!$K$35/100))^A226,D227-$AL$4)</f>
        <v>0</v>
      </c>
      <c r="Y227" s="49">
        <f ca="1">ABS(L227-(controls!$B$9/100)*100)</f>
        <v>0</v>
      </c>
      <c r="AA227" s="49" t="e">
        <f ca="1">IF(controls!$B$33=1,(B228-B227*V228-I228+D227*W228+'main page'!$K$27*('main page'!$K$24+'main page'!$K$11))/'main page'!$K$31,(B228-B227*V228+D227*W228-H228+'main page'!$K$27*('main page'!$K$24+'main page'!$K$11))/'main page'!$K$31)</f>
        <v>#DIV/0!</v>
      </c>
      <c r="AB227" s="49" t="e">
        <f ca="1">IF(controls!$B$45=1,LOG(AF227,1.01)+LOG(AE227,1.01)-LOG(AD227,1.01),-((M227-('main page'!$K$24+'main page'!$K$11))/(1-'normal case'!$AO$3))+'normal case'!AA227)</f>
        <v>#DIV/0!</v>
      </c>
      <c r="AC227" s="176" t="e">
        <f t="shared" ca="1" si="23"/>
        <v>#DIV/0!</v>
      </c>
      <c r="AD227" s="49">
        <f t="shared" ca="1" si="24"/>
        <v>84.418663978799884</v>
      </c>
      <c r="AE227" s="49">
        <f>AE226*(1+'main page'!$K$32/100)</f>
        <v>1</v>
      </c>
      <c r="AF227" s="49" t="e">
        <f ca="1">IF(ABS(IF(controls!$B$45=1,$AL$13,AD227*AC227/AE227)-AF226)&lt;0.00001,AF226,IF(controls!$B$45=1,$AL$13,AD227*AC227/AE227))</f>
        <v>#DIV/0!</v>
      </c>
      <c r="AG227" s="49">
        <f>IF(controls!$B$46=0,0,IF(controls!$B$33=2,B228-B227*V228-('normal case'!H228-D227*W228-'main page'!$K$27*'normal case'!M227+'main page'!$K$31*'normal case'!AB227)-(('main page'!$K$25*'main page'!$U$13*'main page'!$K$29)/(1+('main page'!$K$25^2)*'main page'!$U$13))*('normal case'!L227-'main page'!$U$8),B228-B227*V228-('normal case'!I228-D227*W228-'main page'!$K$27*'normal case'!M227+'main page'!$K$31*'normal case'!AB227)-(('main page'!$K$25*'main page'!$U$13*'main page'!$K$29)/(1+('main page'!$K$25^2)*'main page'!$U$13))*('normal case'!L227-'main page'!$U$8)))</f>
        <v>0</v>
      </c>
      <c r="AN227" s="40"/>
      <c r="AO227" s="40"/>
    </row>
    <row r="228" spans="1:41">
      <c r="A228" s="48">
        <v>226</v>
      </c>
      <c r="B228" s="75">
        <f ca="1">IF(controls!$B$33=1,B227*(1+V228)+T228,B227*(1+V228))</f>
        <v>100</v>
      </c>
      <c r="C228" s="80">
        <f t="shared" ca="1" si="25"/>
        <v>0</v>
      </c>
      <c r="D228" s="77">
        <f t="shared" ca="1" si="21"/>
        <v>100</v>
      </c>
      <c r="E228" s="77">
        <f ca="1">AG227+IF(controls!$B$33=1,G228,F228)</f>
        <v>100</v>
      </c>
      <c r="F228" s="94">
        <f ca="1">IF(controls!$B$44=0,H228-'main page'!$K$27*M227,H228-'main page'!$K$27*M227+'main page'!$K$31*AB227)</f>
        <v>100</v>
      </c>
      <c r="G228" s="75">
        <f ca="1">IF(controls!$B$44=0,I228-'main page'!$K$27*M227,I228-'main page'!$K$27*M227+'main page'!$K$31*'normal case'!AB227)</f>
        <v>100</v>
      </c>
      <c r="H228" s="75">
        <f t="shared" ca="1" si="26"/>
        <v>108</v>
      </c>
      <c r="I228" s="75">
        <f t="shared" ca="1" si="27"/>
        <v>108</v>
      </c>
      <c r="L228" s="75">
        <f ca="1">IF(ABS('main page'!$K$29*L227+(1-'main page'!$K$29)*(controls!$B$9/100)*100+'main page'!$K$25*(D228-B228)-L227)&lt;0.0000001,L227,'main page'!$K$29*L227+(1-'main page'!$K$29)*(controls!$B$9/100)*100+'main page'!$K$25*(D228-B228))</f>
        <v>2</v>
      </c>
      <c r="M228" s="96">
        <f ca="1">IF(controls!$B$10=1,M227,IF(SUM(controls!$B$44:$B$46)=2,N228-'main page'!$K$29*'normal case'!L228-(1-'main page'!$K$29)*'main page'!$K$32,N228-'main page'!$K$29*'normal case'!L228-(1-'main page'!$K$29)*controls!$B$9))</f>
        <v>4</v>
      </c>
      <c r="N228" s="208">
        <f ca="1">IF(controls!$B$45=1,IF(controls!$B$46=1,'main page'!$K$24+'main page'!$K$11+'main page'!$U$8,'main page'!$K$24+'main page'!$K$11+'main page'!$K$32),IF(controls!$B$44=1,IF(O228&lt;0,0,O228),IF(O228+'main page'!$K$11&lt;0,0,O228+'main page'!$K$11)))</f>
        <v>6</v>
      </c>
      <c r="O228" s="76">
        <f ca="1">IF(controls!$B$10=1,'normal case'!M228+'normal case'!L228,'normal case'!P228)</f>
        <v>6</v>
      </c>
      <c r="P228" s="74">
        <f t="shared" ca="1" si="22"/>
        <v>6</v>
      </c>
      <c r="Q228" s="210">
        <f ca="1">IF(controls!$B$44=0,R228+'main page'!$K$29*L228+(1-'main page'!$K$29)*controls!$B$9+(('main page'!$K$25*'main page'!$U$13*'main page'!$K$29)/('main page'!$K$27*(1+('main page'!$K$25^2)*'main page'!$U$13)))*(L228-controls!$B$9),R228+'main page'!$K$29*L228+(1-'main page'!$K$29)*controls!$B$9+(('main page'!$K$25*'main page'!$U$13*'normal case'!$AO$3)/'normal case'!$AO$4)*('normal case'!L228-controls!$B$9))</f>
        <v>6</v>
      </c>
      <c r="R228" s="98">
        <f ca="1">IF(controls!$B$44=1,'main page'!$K$24+'main page'!$K$11,IF(controls!$B$33=1,((I229-D228*W229-B229+B228*V229)/'main page'!$K$27)-'main page'!$K$11,((H229-D228*W229-B229+B228*V229)/'main page'!$K$27)-'main page'!$K$11))</f>
        <v>4</v>
      </c>
      <c r="T228" s="71">
        <f>IF(controls!$B$6=1,$AL$3*(1+('main page'!$K$35/100))^U228-$AL$3*(1+('main page'!$K$35/100))^U227,$AL$3*(1+('main page'!$G$8/100))*(1+('main page'!$K$35/100))^U228-$AL$3*(1+('main page'!$G$8/100))*(1+('main page'!$K$35/100))^U227)</f>
        <v>0</v>
      </c>
      <c r="U228" s="73">
        <v>221</v>
      </c>
      <c r="V228" s="161">
        <v>0</v>
      </c>
      <c r="W228" s="40">
        <v>0</v>
      </c>
      <c r="X228" s="49">
        <f ca="1">IF(controls!$B$33=1,D228-($I$3-'main page'!$K$27*2)*(1+('main page'!$K$35/100))^A227,D228-$AL$4)</f>
        <v>0</v>
      </c>
      <c r="Y228" s="49">
        <f ca="1">ABS(L228-(controls!$B$9/100)*100)</f>
        <v>0</v>
      </c>
      <c r="AA228" s="49" t="e">
        <f ca="1">IF(controls!$B$33=1,(B229-B228*V229-I229+D228*W229+'main page'!$K$27*('main page'!$K$24+'main page'!$K$11))/'main page'!$K$31,(B229-B228*V229+D228*W229-H229+'main page'!$K$27*('main page'!$K$24+'main page'!$K$11))/'main page'!$K$31)</f>
        <v>#DIV/0!</v>
      </c>
      <c r="AB228" s="49" t="e">
        <f ca="1">IF(controls!$B$45=1,LOG(AF228,1.01)+LOG(AE228,1.01)-LOG(AD228,1.01),-((M228-('main page'!$K$24+'main page'!$K$11))/(1-'normal case'!$AO$3))+'normal case'!AA228)</f>
        <v>#DIV/0!</v>
      </c>
      <c r="AC228" s="176" t="e">
        <f t="shared" ca="1" si="23"/>
        <v>#DIV/0!</v>
      </c>
      <c r="AD228" s="49">
        <f t="shared" ca="1" si="24"/>
        <v>86.107037258375883</v>
      </c>
      <c r="AE228" s="49">
        <f>AE227*(1+'main page'!$K$32/100)</f>
        <v>1</v>
      </c>
      <c r="AF228" s="49" t="e">
        <f ca="1">IF(ABS(IF(controls!$B$45=1,$AL$13,AD228*AC228/AE228)-AF227)&lt;0.00001,AF227,IF(controls!$B$45=1,$AL$13,AD228*AC228/AE228))</f>
        <v>#DIV/0!</v>
      </c>
      <c r="AG228" s="49">
        <f>IF(controls!$B$46=0,0,IF(controls!$B$33=2,B229-B228*V229-('normal case'!H229-D228*W229-'main page'!$K$27*'normal case'!M228+'main page'!$K$31*'normal case'!AB228)-(('main page'!$K$25*'main page'!$U$13*'main page'!$K$29)/(1+('main page'!$K$25^2)*'main page'!$U$13))*('normal case'!L228-'main page'!$U$8),B229-B228*V229-('normal case'!I229-D228*W229-'main page'!$K$27*'normal case'!M228+'main page'!$K$31*'normal case'!AB228)-(('main page'!$K$25*'main page'!$U$13*'main page'!$K$29)/(1+('main page'!$K$25^2)*'main page'!$U$13))*('normal case'!L228-'main page'!$U$8)))</f>
        <v>0</v>
      </c>
      <c r="AN228" s="40"/>
      <c r="AO228" s="40"/>
    </row>
    <row r="229" spans="1:41">
      <c r="A229" s="48">
        <v>227</v>
      </c>
      <c r="B229" s="75">
        <f ca="1">IF(controls!$B$33=1,B228*(1+V229)+T229,B228*(1+V229))</f>
        <v>100</v>
      </c>
      <c r="C229" s="80">
        <f t="shared" ca="1" si="25"/>
        <v>0</v>
      </c>
      <c r="D229" s="77">
        <f t="shared" ca="1" si="21"/>
        <v>100</v>
      </c>
      <c r="E229" s="77">
        <f ca="1">AG228+IF(controls!$B$33=1,G229,F229)</f>
        <v>100</v>
      </c>
      <c r="F229" s="94">
        <f ca="1">IF(controls!$B$44=0,H229-'main page'!$K$27*M228,H229-'main page'!$K$27*M228+'main page'!$K$31*AB228)</f>
        <v>100</v>
      </c>
      <c r="G229" s="75">
        <f ca="1">IF(controls!$B$44=0,I229-'main page'!$K$27*M228,I229-'main page'!$K$27*M228+'main page'!$K$31*'normal case'!AB228)</f>
        <v>100</v>
      </c>
      <c r="H229" s="75">
        <f t="shared" ca="1" si="26"/>
        <v>108</v>
      </c>
      <c r="I229" s="75">
        <f t="shared" ca="1" si="27"/>
        <v>108</v>
      </c>
      <c r="L229" s="75">
        <f ca="1">IF(ABS('main page'!$K$29*L228+(1-'main page'!$K$29)*(controls!$B$9/100)*100+'main page'!$K$25*(D229-B229)-L228)&lt;0.0000001,L228,'main page'!$K$29*L228+(1-'main page'!$K$29)*(controls!$B$9/100)*100+'main page'!$K$25*(D229-B229))</f>
        <v>2</v>
      </c>
      <c r="M229" s="96">
        <f ca="1">IF(controls!$B$10=1,M228,IF(SUM(controls!$B$44:$B$46)=2,N229-'main page'!$K$29*'normal case'!L229-(1-'main page'!$K$29)*'main page'!$K$32,N229-'main page'!$K$29*'normal case'!L229-(1-'main page'!$K$29)*controls!$B$9))</f>
        <v>4</v>
      </c>
      <c r="N229" s="208">
        <f ca="1">IF(controls!$B$45=1,IF(controls!$B$46=1,'main page'!$K$24+'main page'!$K$11+'main page'!$U$8,'main page'!$K$24+'main page'!$K$11+'main page'!$K$32),IF(controls!$B$44=1,IF(O229&lt;0,0,O229),IF(O229+'main page'!$K$11&lt;0,0,O229+'main page'!$K$11)))</f>
        <v>6</v>
      </c>
      <c r="O229" s="76">
        <f ca="1">IF(controls!$B$10=1,'normal case'!M229+'normal case'!L229,'normal case'!P229)</f>
        <v>6</v>
      </c>
      <c r="P229" s="74">
        <f t="shared" ca="1" si="22"/>
        <v>6</v>
      </c>
      <c r="Q229" s="210">
        <f ca="1">IF(controls!$B$44=0,R229+'main page'!$K$29*L229+(1-'main page'!$K$29)*controls!$B$9+(('main page'!$K$25*'main page'!$U$13*'main page'!$K$29)/('main page'!$K$27*(1+('main page'!$K$25^2)*'main page'!$U$13)))*(L229-controls!$B$9),R229+'main page'!$K$29*L229+(1-'main page'!$K$29)*controls!$B$9+(('main page'!$K$25*'main page'!$U$13*'normal case'!$AO$3)/'normal case'!$AO$4)*('normal case'!L229-controls!$B$9))</f>
        <v>6</v>
      </c>
      <c r="R229" s="98">
        <f ca="1">IF(controls!$B$44=1,'main page'!$K$24+'main page'!$K$11,IF(controls!$B$33=1,((I230-D229*W230-B230+B229*V230)/'main page'!$K$27)-'main page'!$K$11,((H230-D229*W230-B230+B229*V230)/'main page'!$K$27)-'main page'!$K$11))</f>
        <v>4</v>
      </c>
      <c r="T229" s="71">
        <f>IF(controls!$B$6=1,$AL$3*(1+('main page'!$K$35/100))^U229-$AL$3*(1+('main page'!$K$35/100))^U228,$AL$3*(1+('main page'!$G$8/100))*(1+('main page'!$K$35/100))^U229-$AL$3*(1+('main page'!$G$8/100))*(1+('main page'!$K$35/100))^U228)</f>
        <v>0</v>
      </c>
      <c r="U229" s="73">
        <v>222</v>
      </c>
      <c r="V229" s="161">
        <v>0</v>
      </c>
      <c r="W229" s="40">
        <v>0</v>
      </c>
      <c r="X229" s="49">
        <f ca="1">IF(controls!$B$33=1,D229-($I$3-'main page'!$K$27*2)*(1+('main page'!$K$35/100))^A228,D229-$AL$4)</f>
        <v>0</v>
      </c>
      <c r="Y229" s="49">
        <f ca="1">ABS(L229-(controls!$B$9/100)*100)</f>
        <v>0</v>
      </c>
      <c r="AA229" s="49" t="e">
        <f ca="1">IF(controls!$B$33=1,(B230-B229*V230-I230+D229*W230+'main page'!$K$27*('main page'!$K$24+'main page'!$K$11))/'main page'!$K$31,(B230-B229*V230+D229*W230-H230+'main page'!$K$27*('main page'!$K$24+'main page'!$K$11))/'main page'!$K$31)</f>
        <v>#DIV/0!</v>
      </c>
      <c r="AB229" s="49" t="e">
        <f ca="1">IF(controls!$B$45=1,LOG(AF229,1.01)+LOG(AE229,1.01)-LOG(AD229,1.01),-((M229-('main page'!$K$24+'main page'!$K$11))/(1-'normal case'!$AO$3))+'normal case'!AA229)</f>
        <v>#DIV/0!</v>
      </c>
      <c r="AC229" s="176" t="e">
        <f t="shared" ca="1" si="23"/>
        <v>#DIV/0!</v>
      </c>
      <c r="AD229" s="49">
        <f t="shared" ca="1" si="24"/>
        <v>87.829178003543404</v>
      </c>
      <c r="AE229" s="49">
        <f>AE228*(1+'main page'!$K$32/100)</f>
        <v>1</v>
      </c>
      <c r="AF229" s="49" t="e">
        <f ca="1">IF(ABS(IF(controls!$B$45=1,$AL$13,AD229*AC229/AE229)-AF228)&lt;0.00001,AF228,IF(controls!$B$45=1,$AL$13,AD229*AC229/AE229))</f>
        <v>#DIV/0!</v>
      </c>
      <c r="AG229" s="49">
        <f>IF(controls!$B$46=0,0,IF(controls!$B$33=2,B230-B229*V230-('normal case'!H230-D229*W230-'main page'!$K$27*'normal case'!M229+'main page'!$K$31*'normal case'!AB229)-(('main page'!$K$25*'main page'!$U$13*'main page'!$K$29)/(1+('main page'!$K$25^2)*'main page'!$U$13))*('normal case'!L229-'main page'!$U$8),B230-B229*V230-('normal case'!I230-D229*W230-'main page'!$K$27*'normal case'!M229+'main page'!$K$31*'normal case'!AB229)-(('main page'!$K$25*'main page'!$U$13*'main page'!$K$29)/(1+('main page'!$K$25^2)*'main page'!$U$13))*('normal case'!L229-'main page'!$U$8)))</f>
        <v>0</v>
      </c>
      <c r="AN229" s="40"/>
      <c r="AO229" s="40"/>
    </row>
    <row r="230" spans="1:41">
      <c r="A230" s="48">
        <v>228</v>
      </c>
      <c r="B230" s="75">
        <f ca="1">IF(controls!$B$33=1,B229*(1+V230)+T230,B229*(1+V230))</f>
        <v>100</v>
      </c>
      <c r="C230" s="80">
        <f t="shared" ca="1" si="25"/>
        <v>0</v>
      </c>
      <c r="D230" s="77">
        <f t="shared" ca="1" si="21"/>
        <v>100</v>
      </c>
      <c r="E230" s="77">
        <f ca="1">AG229+IF(controls!$B$33=1,G230,F230)</f>
        <v>100</v>
      </c>
      <c r="F230" s="94">
        <f ca="1">IF(controls!$B$44=0,H230-'main page'!$K$27*M229,H230-'main page'!$K$27*M229+'main page'!$K$31*AB229)</f>
        <v>100</v>
      </c>
      <c r="G230" s="75">
        <f ca="1">IF(controls!$B$44=0,I230-'main page'!$K$27*M229,I230-'main page'!$K$27*M229+'main page'!$K$31*'normal case'!AB229)</f>
        <v>100</v>
      </c>
      <c r="H230" s="75">
        <f t="shared" ca="1" si="26"/>
        <v>108</v>
      </c>
      <c r="I230" s="75">
        <f t="shared" ca="1" si="27"/>
        <v>108</v>
      </c>
      <c r="L230" s="75">
        <f ca="1">IF(ABS('main page'!$K$29*L229+(1-'main page'!$K$29)*(controls!$B$9/100)*100+'main page'!$K$25*(D230-B230)-L229)&lt;0.0000001,L229,'main page'!$K$29*L229+(1-'main page'!$K$29)*(controls!$B$9/100)*100+'main page'!$K$25*(D230-B230))</f>
        <v>2</v>
      </c>
      <c r="M230" s="96">
        <f ca="1">IF(controls!$B$10=1,M229,IF(SUM(controls!$B$44:$B$46)=2,N230-'main page'!$K$29*'normal case'!L230-(1-'main page'!$K$29)*'main page'!$K$32,N230-'main page'!$K$29*'normal case'!L230-(1-'main page'!$K$29)*controls!$B$9))</f>
        <v>4</v>
      </c>
      <c r="N230" s="208">
        <f ca="1">IF(controls!$B$45=1,IF(controls!$B$46=1,'main page'!$K$24+'main page'!$K$11+'main page'!$U$8,'main page'!$K$24+'main page'!$K$11+'main page'!$K$32),IF(controls!$B$44=1,IF(O230&lt;0,0,O230),IF(O230+'main page'!$K$11&lt;0,0,O230+'main page'!$K$11)))</f>
        <v>6</v>
      </c>
      <c r="O230" s="76">
        <f ca="1">IF(controls!$B$10=1,'normal case'!M230+'normal case'!L230,'normal case'!P230)</f>
        <v>6</v>
      </c>
      <c r="P230" s="74">
        <f t="shared" ca="1" si="22"/>
        <v>6</v>
      </c>
      <c r="Q230" s="210">
        <f ca="1">IF(controls!$B$44=0,R230+'main page'!$K$29*L230+(1-'main page'!$K$29)*controls!$B$9+(('main page'!$K$25*'main page'!$U$13*'main page'!$K$29)/('main page'!$K$27*(1+('main page'!$K$25^2)*'main page'!$U$13)))*(L230-controls!$B$9),R230+'main page'!$K$29*L230+(1-'main page'!$K$29)*controls!$B$9+(('main page'!$K$25*'main page'!$U$13*'normal case'!$AO$3)/'normal case'!$AO$4)*('normal case'!L230-controls!$B$9))</f>
        <v>6</v>
      </c>
      <c r="R230" s="98">
        <f ca="1">IF(controls!$B$44=1,'main page'!$K$24+'main page'!$K$11,IF(controls!$B$33=1,((I231-D230*W231-B231+B230*V231)/'main page'!$K$27)-'main page'!$K$11,((H231-D230*W231-B231+B230*V231)/'main page'!$K$27)-'main page'!$K$11))</f>
        <v>4</v>
      </c>
      <c r="T230" s="71">
        <f>IF(controls!$B$6=1,$AL$3*(1+('main page'!$K$35/100))^U230-$AL$3*(1+('main page'!$K$35/100))^U229,$AL$3*(1+('main page'!$G$8/100))*(1+('main page'!$K$35/100))^U230-$AL$3*(1+('main page'!$G$8/100))*(1+('main page'!$K$35/100))^U229)</f>
        <v>0</v>
      </c>
      <c r="U230" s="73">
        <v>223</v>
      </c>
      <c r="V230" s="161">
        <f ca="1">IF(controls!$B$4=1,IF(controls!$H229=1,controls!$B$34*V229+RAND()*('main page'!$K$16/100)-RAND()*('main page'!$K$16/100),0),0)</f>
        <v>0</v>
      </c>
      <c r="W230" s="40">
        <f ca="1">IF(controls!$B$4=1,IF(controls!$I229=1,controls!$B$34*W229+RAND()*('main page'!$K$16/100)-RAND()*('main page'!$K$16/100),0),0)</f>
        <v>0</v>
      </c>
      <c r="X230" s="49">
        <f ca="1">IF(controls!$B$33=1,D230-($I$3-'main page'!$K$27*2)*(1+('main page'!$K$35/100))^A229,D230-$AL$4)</f>
        <v>0</v>
      </c>
      <c r="Y230" s="49">
        <f ca="1">ABS(L230-(controls!$B$9/100)*100)</f>
        <v>0</v>
      </c>
      <c r="AA230" s="49" t="e">
        <f ca="1">IF(controls!$B$33=1,(B231-B230*V231-I231+D230*W231+'main page'!$K$27*('main page'!$K$24+'main page'!$K$11))/'main page'!$K$31,(B231-B230*V231+D230*W231-H231+'main page'!$K$27*('main page'!$K$24+'main page'!$K$11))/'main page'!$K$31)</f>
        <v>#DIV/0!</v>
      </c>
      <c r="AB230" s="49" t="e">
        <f ca="1">IF(controls!$B$45=1,LOG(AF230,1.01)+LOG(AE230,1.01)-LOG(AD230,1.01),-((M230-('main page'!$K$24+'main page'!$K$11))/(1-'normal case'!$AO$3))+'normal case'!AA230)</f>
        <v>#DIV/0!</v>
      </c>
      <c r="AC230" s="176" t="e">
        <f t="shared" ca="1" si="23"/>
        <v>#DIV/0!</v>
      </c>
      <c r="AD230" s="49">
        <f t="shared" ca="1" si="24"/>
        <v>89.58576156361427</v>
      </c>
      <c r="AE230" s="49">
        <f>AE229*(1+'main page'!$K$32/100)</f>
        <v>1</v>
      </c>
      <c r="AF230" s="49" t="e">
        <f ca="1">IF(ABS(IF(controls!$B$45=1,$AL$13,AD230*AC230/AE230)-AF229)&lt;0.00001,AF229,IF(controls!$B$45=1,$AL$13,AD230*AC230/AE230))</f>
        <v>#DIV/0!</v>
      </c>
      <c r="AG230" s="49">
        <f>IF(controls!$B$46=0,0,IF(controls!$B$33=2,B231-B230*V231-('normal case'!H231-D230*W231-'main page'!$K$27*'normal case'!M230+'main page'!$K$31*'normal case'!AB230)-(('main page'!$K$25*'main page'!$U$13*'main page'!$K$29)/(1+('main page'!$K$25^2)*'main page'!$U$13))*('normal case'!L230-'main page'!$U$8),B231-B230*V231-('normal case'!I231-D230*W231-'main page'!$K$27*'normal case'!M230+'main page'!$K$31*'normal case'!AB230)-(('main page'!$K$25*'main page'!$U$13*'main page'!$K$29)/(1+('main page'!$K$25^2)*'main page'!$U$13))*('normal case'!L230-'main page'!$U$8)))</f>
        <v>0</v>
      </c>
      <c r="AN230" s="40"/>
      <c r="AO230" s="40"/>
    </row>
    <row r="231" spans="1:41">
      <c r="A231" s="48">
        <v>229</v>
      </c>
      <c r="B231" s="75">
        <f ca="1">IF(controls!$B$33=1,B230*(1+V231)+T231,B230*(1+V231))</f>
        <v>100</v>
      </c>
      <c r="C231" s="80">
        <f t="shared" ca="1" si="25"/>
        <v>0</v>
      </c>
      <c r="D231" s="77">
        <f t="shared" ca="1" si="21"/>
        <v>100</v>
      </c>
      <c r="E231" s="77">
        <f ca="1">AG230+IF(controls!$B$33=1,G231,F231)</f>
        <v>100</v>
      </c>
      <c r="F231" s="94">
        <f ca="1">IF(controls!$B$44=0,H231-'main page'!$K$27*M230,H231-'main page'!$K$27*M230+'main page'!$K$31*AB230)</f>
        <v>100</v>
      </c>
      <c r="G231" s="75">
        <f ca="1">IF(controls!$B$44=0,I231-'main page'!$K$27*M230,I231-'main page'!$K$27*M230+'main page'!$K$31*'normal case'!AB230)</f>
        <v>100</v>
      </c>
      <c r="H231" s="75">
        <f t="shared" ca="1" si="26"/>
        <v>108</v>
      </c>
      <c r="I231" s="75">
        <f t="shared" ca="1" si="27"/>
        <v>108</v>
      </c>
      <c r="L231" s="75">
        <f ca="1">IF(ABS('main page'!$K$29*L230+(1-'main page'!$K$29)*(controls!$B$9/100)*100+'main page'!$K$25*(D231-B231)-L230)&lt;0.0000001,L230,'main page'!$K$29*L230+(1-'main page'!$K$29)*(controls!$B$9/100)*100+'main page'!$K$25*(D231-B231))</f>
        <v>2</v>
      </c>
      <c r="M231" s="96">
        <f ca="1">IF(controls!$B$10=1,M230,IF(SUM(controls!$B$44:$B$46)=2,N231-'main page'!$K$29*'normal case'!L231-(1-'main page'!$K$29)*'main page'!$K$32,N231-'main page'!$K$29*'normal case'!L231-(1-'main page'!$K$29)*controls!$B$9))</f>
        <v>4</v>
      </c>
      <c r="N231" s="208">
        <f ca="1">IF(controls!$B$45=1,IF(controls!$B$46=1,'main page'!$K$24+'main page'!$K$11+'main page'!$U$8,'main page'!$K$24+'main page'!$K$11+'main page'!$K$32),IF(controls!$B$44=1,IF(O231&lt;0,0,O231),IF(O231+'main page'!$K$11&lt;0,0,O231+'main page'!$K$11)))</f>
        <v>6</v>
      </c>
      <c r="O231" s="76">
        <f ca="1">IF(controls!$B$10=1,'normal case'!M231+'normal case'!L231,'normal case'!P231)</f>
        <v>6</v>
      </c>
      <c r="P231" s="74">
        <f t="shared" ca="1" si="22"/>
        <v>6</v>
      </c>
      <c r="Q231" s="210">
        <f ca="1">IF(controls!$B$44=0,R231+'main page'!$K$29*L231+(1-'main page'!$K$29)*controls!$B$9+(('main page'!$K$25*'main page'!$U$13*'main page'!$K$29)/('main page'!$K$27*(1+('main page'!$K$25^2)*'main page'!$U$13)))*(L231-controls!$B$9),R231+'main page'!$K$29*L231+(1-'main page'!$K$29)*controls!$B$9+(('main page'!$K$25*'main page'!$U$13*'normal case'!$AO$3)/'normal case'!$AO$4)*('normal case'!L231-controls!$B$9))</f>
        <v>6</v>
      </c>
      <c r="R231" s="98">
        <f ca="1">IF(controls!$B$44=1,'main page'!$K$24+'main page'!$K$11,IF(controls!$B$33=1,((I232-D231*W232-B232+B231*V232)/'main page'!$K$27)-'main page'!$K$11,((H232-D231*W232-B232+B231*V232)/'main page'!$K$27)-'main page'!$K$11))</f>
        <v>4</v>
      </c>
      <c r="T231" s="71">
        <f>IF(controls!$B$6=1,$AL$3*(1+('main page'!$K$35/100))^U231-$AL$3*(1+('main page'!$K$35/100))^U230,$AL$3*(1+('main page'!$G$8/100))*(1+('main page'!$K$35/100))^U231-$AL$3*(1+('main page'!$G$8/100))*(1+('main page'!$K$35/100))^U230)</f>
        <v>0</v>
      </c>
      <c r="U231" s="73">
        <v>224</v>
      </c>
      <c r="V231" s="161">
        <v>0</v>
      </c>
      <c r="W231" s="40">
        <v>0</v>
      </c>
      <c r="X231" s="49">
        <f ca="1">IF(controls!$B$33=1,D231-($I$3-'main page'!$K$27*2)*(1+('main page'!$K$35/100))^A230,D231-$AL$4)</f>
        <v>0</v>
      </c>
      <c r="Y231" s="49">
        <f ca="1">ABS(L231-(controls!$B$9/100)*100)</f>
        <v>0</v>
      </c>
      <c r="AA231" s="49" t="e">
        <f ca="1">IF(controls!$B$33=1,(B232-B231*V232-I232+D231*W232+'main page'!$K$27*('main page'!$K$24+'main page'!$K$11))/'main page'!$K$31,(B232-B231*V232+D231*W232-H232+'main page'!$K$27*('main page'!$K$24+'main page'!$K$11))/'main page'!$K$31)</f>
        <v>#DIV/0!</v>
      </c>
      <c r="AB231" s="49" t="e">
        <f ca="1">IF(controls!$B$45=1,LOG(AF231,1.01)+LOG(AE231,1.01)-LOG(AD231,1.01),-((M231-('main page'!$K$24+'main page'!$K$11))/(1-'normal case'!$AO$3))+'normal case'!AA231)</f>
        <v>#DIV/0!</v>
      </c>
      <c r="AC231" s="176" t="e">
        <f t="shared" ca="1" si="23"/>
        <v>#DIV/0!</v>
      </c>
      <c r="AD231" s="49">
        <f t="shared" ca="1" si="24"/>
        <v>91.377476794886562</v>
      </c>
      <c r="AE231" s="49">
        <f>AE230*(1+'main page'!$K$32/100)</f>
        <v>1</v>
      </c>
      <c r="AF231" s="49" t="e">
        <f ca="1">IF(ABS(IF(controls!$B$45=1,$AL$13,AD231*AC231/AE231)-AF230)&lt;0.00001,AF230,IF(controls!$B$45=1,$AL$13,AD231*AC231/AE231))</f>
        <v>#DIV/0!</v>
      </c>
      <c r="AG231" s="49">
        <f>IF(controls!$B$46=0,0,IF(controls!$B$33=2,B232-B231*V232-('normal case'!H232-D231*W232-'main page'!$K$27*'normal case'!M231+'main page'!$K$31*'normal case'!AB231)-(('main page'!$K$25*'main page'!$U$13*'main page'!$K$29)/(1+('main page'!$K$25^2)*'main page'!$U$13))*('normal case'!L231-'main page'!$U$8),B232-B231*V232-('normal case'!I232-D231*W232-'main page'!$K$27*'normal case'!M231+'main page'!$K$31*'normal case'!AB231)-(('main page'!$K$25*'main page'!$U$13*'main page'!$K$29)/(1+('main page'!$K$25^2)*'main page'!$U$13))*('normal case'!L231-'main page'!$U$8)))</f>
        <v>0</v>
      </c>
      <c r="AN231" s="40"/>
      <c r="AO231" s="40"/>
    </row>
    <row r="232" spans="1:41">
      <c r="A232" s="48">
        <v>230</v>
      </c>
      <c r="B232" s="75">
        <f ca="1">IF(controls!$B$33=1,B231*(1+V232)+T232,B231*(1+V232))</f>
        <v>100</v>
      </c>
      <c r="C232" s="80">
        <f t="shared" ca="1" si="25"/>
        <v>0</v>
      </c>
      <c r="D232" s="77">
        <f t="shared" ca="1" si="21"/>
        <v>100</v>
      </c>
      <c r="E232" s="77">
        <f ca="1">AG231+IF(controls!$B$33=1,G232,F232)</f>
        <v>100</v>
      </c>
      <c r="F232" s="94">
        <f ca="1">IF(controls!$B$44=0,H232-'main page'!$K$27*M231,H232-'main page'!$K$27*M231+'main page'!$K$31*AB231)</f>
        <v>100</v>
      </c>
      <c r="G232" s="75">
        <f ca="1">IF(controls!$B$44=0,I232-'main page'!$K$27*M231,I232-'main page'!$K$27*M231+'main page'!$K$31*'normal case'!AB231)</f>
        <v>100</v>
      </c>
      <c r="H232" s="75">
        <f t="shared" ca="1" si="26"/>
        <v>108</v>
      </c>
      <c r="I232" s="75">
        <f t="shared" ca="1" si="27"/>
        <v>108</v>
      </c>
      <c r="L232" s="75">
        <f ca="1">IF(ABS('main page'!$K$29*L231+(1-'main page'!$K$29)*(controls!$B$9/100)*100+'main page'!$K$25*(D232-B232)-L231)&lt;0.0000001,L231,'main page'!$K$29*L231+(1-'main page'!$K$29)*(controls!$B$9/100)*100+'main page'!$K$25*(D232-B232))</f>
        <v>2</v>
      </c>
      <c r="M232" s="96">
        <f ca="1">IF(controls!$B$10=1,M231,IF(SUM(controls!$B$44:$B$46)=2,N232-'main page'!$K$29*'normal case'!L232-(1-'main page'!$K$29)*'main page'!$K$32,N232-'main page'!$K$29*'normal case'!L232-(1-'main page'!$K$29)*controls!$B$9))</f>
        <v>4</v>
      </c>
      <c r="N232" s="208">
        <f ca="1">IF(controls!$B$45=1,IF(controls!$B$46=1,'main page'!$K$24+'main page'!$K$11+'main page'!$U$8,'main page'!$K$24+'main page'!$K$11+'main page'!$K$32),IF(controls!$B$44=1,IF(O232&lt;0,0,O232),IF(O232+'main page'!$K$11&lt;0,0,O232+'main page'!$K$11)))</f>
        <v>6</v>
      </c>
      <c r="O232" s="76">
        <f ca="1">IF(controls!$B$10=1,'normal case'!M232+'normal case'!L232,'normal case'!P232)</f>
        <v>6</v>
      </c>
      <c r="P232" s="74">
        <f t="shared" ca="1" si="22"/>
        <v>6</v>
      </c>
      <c r="Q232" s="210">
        <f ca="1">IF(controls!$B$44=0,R232+'main page'!$K$29*L232+(1-'main page'!$K$29)*controls!$B$9+(('main page'!$K$25*'main page'!$U$13*'main page'!$K$29)/('main page'!$K$27*(1+('main page'!$K$25^2)*'main page'!$U$13)))*(L232-controls!$B$9),R232+'main page'!$K$29*L232+(1-'main page'!$K$29)*controls!$B$9+(('main page'!$K$25*'main page'!$U$13*'normal case'!$AO$3)/'normal case'!$AO$4)*('normal case'!L232-controls!$B$9))</f>
        <v>6</v>
      </c>
      <c r="R232" s="98">
        <f ca="1">IF(controls!$B$44=1,'main page'!$K$24+'main page'!$K$11,IF(controls!$B$33=1,((I233-D232*W233-B233+B232*V233)/'main page'!$K$27)-'main page'!$K$11,((H233-D232*W233-B233+B232*V233)/'main page'!$K$27)-'main page'!$K$11))</f>
        <v>4</v>
      </c>
      <c r="T232" s="71">
        <f>IF(controls!$B$6=1,$AL$3*(1+('main page'!$K$35/100))^U232-$AL$3*(1+('main page'!$K$35/100))^U231,$AL$3*(1+('main page'!$G$8/100))*(1+('main page'!$K$35/100))^U232-$AL$3*(1+('main page'!$G$8/100))*(1+('main page'!$K$35/100))^U231)</f>
        <v>0</v>
      </c>
      <c r="U232" s="73">
        <v>225</v>
      </c>
      <c r="V232" s="161">
        <v>0</v>
      </c>
      <c r="W232" s="40">
        <v>0</v>
      </c>
      <c r="X232" s="49">
        <f ca="1">IF(controls!$B$33=1,D232-($I$3-'main page'!$K$27*2)*(1+('main page'!$K$35/100))^A231,D232-$AL$4)</f>
        <v>0</v>
      </c>
      <c r="Y232" s="49">
        <f ca="1">ABS(L232-(controls!$B$9/100)*100)</f>
        <v>0</v>
      </c>
      <c r="AA232" s="49" t="e">
        <f ca="1">IF(controls!$B$33=1,(B233-B232*V233-I233+D232*W233+'main page'!$K$27*('main page'!$K$24+'main page'!$K$11))/'main page'!$K$31,(B233-B232*V233+D232*W233-H233+'main page'!$K$27*('main page'!$K$24+'main page'!$K$11))/'main page'!$K$31)</f>
        <v>#DIV/0!</v>
      </c>
      <c r="AB232" s="49" t="e">
        <f ca="1">IF(controls!$B$45=1,LOG(AF232,1.01)+LOG(AE232,1.01)-LOG(AD232,1.01),-((M232-('main page'!$K$24+'main page'!$K$11))/(1-'normal case'!$AO$3))+'normal case'!AA232)</f>
        <v>#DIV/0!</v>
      </c>
      <c r="AC232" s="176" t="e">
        <f t="shared" ca="1" si="23"/>
        <v>#DIV/0!</v>
      </c>
      <c r="AD232" s="49">
        <f t="shared" ca="1" si="24"/>
        <v>93.205026330784293</v>
      </c>
      <c r="AE232" s="49">
        <f>AE231*(1+'main page'!$K$32/100)</f>
        <v>1</v>
      </c>
      <c r="AF232" s="49" t="e">
        <f ca="1">IF(ABS(IF(controls!$B$45=1,$AL$13,AD232*AC232/AE232)-AF231)&lt;0.00001,AF231,IF(controls!$B$45=1,$AL$13,AD232*AC232/AE232))</f>
        <v>#DIV/0!</v>
      </c>
      <c r="AG232" s="49">
        <f>IF(controls!$B$46=0,0,IF(controls!$B$33=2,B233-B232*V233-('normal case'!H233-D232*W233-'main page'!$K$27*'normal case'!M232+'main page'!$K$31*'normal case'!AB232)-(('main page'!$K$25*'main page'!$U$13*'main page'!$K$29)/(1+('main page'!$K$25^2)*'main page'!$U$13))*('normal case'!L232-'main page'!$U$8),B233-B232*V233-('normal case'!I233-D232*W233-'main page'!$K$27*'normal case'!M232+'main page'!$K$31*'normal case'!AB232)-(('main page'!$K$25*'main page'!$U$13*'main page'!$K$29)/(1+('main page'!$K$25^2)*'main page'!$U$13))*('normal case'!L232-'main page'!$U$8)))</f>
        <v>0</v>
      </c>
      <c r="AN232" s="40"/>
      <c r="AO232" s="40"/>
    </row>
    <row r="233" spans="1:41">
      <c r="A233" s="48">
        <v>231</v>
      </c>
      <c r="B233" s="75">
        <f ca="1">IF(controls!$B$33=1,B232*(1+V233)+T233,B232*(1+V233))</f>
        <v>100</v>
      </c>
      <c r="C233" s="80">
        <f t="shared" ca="1" si="25"/>
        <v>0</v>
      </c>
      <c r="D233" s="77">
        <f t="shared" ca="1" si="21"/>
        <v>100</v>
      </c>
      <c r="E233" s="77">
        <f ca="1">AG232+IF(controls!$B$33=1,G233,F233)</f>
        <v>100</v>
      </c>
      <c r="F233" s="94">
        <f ca="1">IF(controls!$B$44=0,H233-'main page'!$K$27*M232,H233-'main page'!$K$27*M232+'main page'!$K$31*AB232)</f>
        <v>100</v>
      </c>
      <c r="G233" s="75">
        <f ca="1">IF(controls!$B$44=0,I233-'main page'!$K$27*M232,I233-'main page'!$K$27*M232+'main page'!$K$31*'normal case'!AB232)</f>
        <v>100</v>
      </c>
      <c r="H233" s="75">
        <f t="shared" ca="1" si="26"/>
        <v>108</v>
      </c>
      <c r="I233" s="75">
        <f t="shared" ca="1" si="27"/>
        <v>108</v>
      </c>
      <c r="L233" s="75">
        <f ca="1">IF(ABS('main page'!$K$29*L232+(1-'main page'!$K$29)*(controls!$B$9/100)*100+'main page'!$K$25*(D233-B233)-L232)&lt;0.0000001,L232,'main page'!$K$29*L232+(1-'main page'!$K$29)*(controls!$B$9/100)*100+'main page'!$K$25*(D233-B233))</f>
        <v>2</v>
      </c>
      <c r="M233" s="96">
        <f ca="1">IF(controls!$B$10=1,M232,IF(SUM(controls!$B$44:$B$46)=2,N233-'main page'!$K$29*'normal case'!L233-(1-'main page'!$K$29)*'main page'!$K$32,N233-'main page'!$K$29*'normal case'!L233-(1-'main page'!$K$29)*controls!$B$9))</f>
        <v>4</v>
      </c>
      <c r="N233" s="208">
        <f ca="1">IF(controls!$B$45=1,IF(controls!$B$46=1,'main page'!$K$24+'main page'!$K$11+'main page'!$U$8,'main page'!$K$24+'main page'!$K$11+'main page'!$K$32),IF(controls!$B$44=1,IF(O233&lt;0,0,O233),IF(O233+'main page'!$K$11&lt;0,0,O233+'main page'!$K$11)))</f>
        <v>6</v>
      </c>
      <c r="O233" s="76">
        <f ca="1">IF(controls!$B$10=1,'normal case'!M233+'normal case'!L233,'normal case'!P233)</f>
        <v>6</v>
      </c>
      <c r="P233" s="74">
        <f t="shared" ca="1" si="22"/>
        <v>6</v>
      </c>
      <c r="Q233" s="210">
        <f ca="1">IF(controls!$B$44=0,R233+'main page'!$K$29*L233+(1-'main page'!$K$29)*controls!$B$9+(('main page'!$K$25*'main page'!$U$13*'main page'!$K$29)/('main page'!$K$27*(1+('main page'!$K$25^2)*'main page'!$U$13)))*(L233-controls!$B$9),R233+'main page'!$K$29*L233+(1-'main page'!$K$29)*controls!$B$9+(('main page'!$K$25*'main page'!$U$13*'normal case'!$AO$3)/'normal case'!$AO$4)*('normal case'!L233-controls!$B$9))</f>
        <v>6</v>
      </c>
      <c r="R233" s="98">
        <f ca="1">IF(controls!$B$44=1,'main page'!$K$24+'main page'!$K$11,IF(controls!$B$33=1,((I234-D233*W234-B234+B233*V234)/'main page'!$K$27)-'main page'!$K$11,((H234-D233*W234-B234+B233*V234)/'main page'!$K$27)-'main page'!$K$11))</f>
        <v>4</v>
      </c>
      <c r="T233" s="71">
        <f>IF(controls!$B$6=1,$AL$3*(1+('main page'!$K$35/100))^U233-$AL$3*(1+('main page'!$K$35/100))^U232,$AL$3*(1+('main page'!$G$8/100))*(1+('main page'!$K$35/100))^U233-$AL$3*(1+('main page'!$G$8/100))*(1+('main page'!$K$35/100))^U232)</f>
        <v>0</v>
      </c>
      <c r="U233" s="73">
        <v>226</v>
      </c>
      <c r="V233" s="161">
        <f ca="1">IF(controls!$B$4=1,IF(controls!$H232=1,controls!$B$34*V232+RAND()*('main page'!$K$16/100)-RAND()*('main page'!$K$16/100),0),0)</f>
        <v>0</v>
      </c>
      <c r="W233" s="40">
        <f ca="1">IF(controls!$B$4=1,IF(controls!$I232=1,controls!$B$34*W232+RAND()*('main page'!$K$16/100)-RAND()*('main page'!$K$16/100),0),0)</f>
        <v>0</v>
      </c>
      <c r="X233" s="49">
        <f ca="1">IF(controls!$B$33=1,D233-($I$3-'main page'!$K$27*2)*(1+('main page'!$K$35/100))^A232,D233-$AL$4)</f>
        <v>0</v>
      </c>
      <c r="Y233" s="49">
        <f ca="1">ABS(L233-(controls!$B$9/100)*100)</f>
        <v>0</v>
      </c>
      <c r="AA233" s="49" t="e">
        <f ca="1">IF(controls!$B$33=1,(B234-B233*V234-I234+D233*W234+'main page'!$K$27*('main page'!$K$24+'main page'!$K$11))/'main page'!$K$31,(B234-B233*V234+D233*W234-H234+'main page'!$K$27*('main page'!$K$24+'main page'!$K$11))/'main page'!$K$31)</f>
        <v>#DIV/0!</v>
      </c>
      <c r="AB233" s="49" t="e">
        <f ca="1">IF(controls!$B$45=1,LOG(AF233,1.01)+LOG(AE233,1.01)-LOG(AD233,1.01),-((M233-('main page'!$K$24+'main page'!$K$11))/(1-'normal case'!$AO$3))+'normal case'!AA233)</f>
        <v>#DIV/0!</v>
      </c>
      <c r="AC233" s="176" t="e">
        <f t="shared" ca="1" si="23"/>
        <v>#DIV/0!</v>
      </c>
      <c r="AD233" s="49">
        <f t="shared" ca="1" si="24"/>
        <v>95.069126857399979</v>
      </c>
      <c r="AE233" s="49">
        <f>AE232*(1+'main page'!$K$32/100)</f>
        <v>1</v>
      </c>
      <c r="AF233" s="49" t="e">
        <f ca="1">IF(ABS(IF(controls!$B$45=1,$AL$13,AD233*AC233/AE233)-AF232)&lt;0.00001,AF232,IF(controls!$B$45=1,$AL$13,AD233*AC233/AE233))</f>
        <v>#DIV/0!</v>
      </c>
      <c r="AG233" s="49">
        <f>IF(controls!$B$46=0,0,IF(controls!$B$33=2,B234-B233*V234-('normal case'!H234-D233*W234-'main page'!$K$27*'normal case'!M233+'main page'!$K$31*'normal case'!AB233)-(('main page'!$K$25*'main page'!$U$13*'main page'!$K$29)/(1+('main page'!$K$25^2)*'main page'!$U$13))*('normal case'!L233-'main page'!$U$8),B234-B233*V234-('normal case'!I234-D233*W234-'main page'!$K$27*'normal case'!M233+'main page'!$K$31*'normal case'!AB233)-(('main page'!$K$25*'main page'!$U$13*'main page'!$K$29)/(1+('main page'!$K$25^2)*'main page'!$U$13))*('normal case'!L233-'main page'!$U$8)))</f>
        <v>0</v>
      </c>
      <c r="AN233" s="40"/>
      <c r="AO233" s="40"/>
    </row>
    <row r="234" spans="1:41">
      <c r="A234" s="48">
        <v>232</v>
      </c>
      <c r="B234" s="75">
        <f ca="1">IF(controls!$B$33=1,B233*(1+V234)+T234,B233*(1+V234))</f>
        <v>100</v>
      </c>
      <c r="C234" s="80">
        <f t="shared" ca="1" si="25"/>
        <v>0</v>
      </c>
      <c r="D234" s="77">
        <f t="shared" ca="1" si="21"/>
        <v>100</v>
      </c>
      <c r="E234" s="77">
        <f ca="1">AG233+IF(controls!$B$33=1,G234,F234)</f>
        <v>100</v>
      </c>
      <c r="F234" s="94">
        <f ca="1">IF(controls!$B$44=0,H234-'main page'!$K$27*M233,H234-'main page'!$K$27*M233+'main page'!$K$31*AB233)</f>
        <v>100</v>
      </c>
      <c r="G234" s="75">
        <f ca="1">IF(controls!$B$44=0,I234-'main page'!$K$27*M233,I234-'main page'!$K$27*M233+'main page'!$K$31*'normal case'!AB233)</f>
        <v>100</v>
      </c>
      <c r="H234" s="75">
        <f t="shared" ca="1" si="26"/>
        <v>108</v>
      </c>
      <c r="I234" s="75">
        <f t="shared" ca="1" si="27"/>
        <v>108</v>
      </c>
      <c r="L234" s="75">
        <f ca="1">IF(ABS('main page'!$K$29*L233+(1-'main page'!$K$29)*(controls!$B$9/100)*100+'main page'!$K$25*(D234-B234)-L233)&lt;0.0000001,L233,'main page'!$K$29*L233+(1-'main page'!$K$29)*(controls!$B$9/100)*100+'main page'!$K$25*(D234-B234))</f>
        <v>2</v>
      </c>
      <c r="M234" s="96">
        <f ca="1">IF(controls!$B$10=1,M233,IF(SUM(controls!$B$44:$B$46)=2,N234-'main page'!$K$29*'normal case'!L234-(1-'main page'!$K$29)*'main page'!$K$32,N234-'main page'!$K$29*'normal case'!L234-(1-'main page'!$K$29)*controls!$B$9))</f>
        <v>4</v>
      </c>
      <c r="N234" s="208">
        <f ca="1">IF(controls!$B$45=1,IF(controls!$B$46=1,'main page'!$K$24+'main page'!$K$11+'main page'!$U$8,'main page'!$K$24+'main page'!$K$11+'main page'!$K$32),IF(controls!$B$44=1,IF(O234&lt;0,0,O234),IF(O234+'main page'!$K$11&lt;0,0,O234+'main page'!$K$11)))</f>
        <v>6</v>
      </c>
      <c r="O234" s="76">
        <f ca="1">IF(controls!$B$10=1,'normal case'!M234+'normal case'!L234,'normal case'!P234)</f>
        <v>6</v>
      </c>
      <c r="P234" s="74">
        <f t="shared" ca="1" si="22"/>
        <v>6</v>
      </c>
      <c r="Q234" s="210">
        <f ca="1">IF(controls!$B$44=0,R234+'main page'!$K$29*L234+(1-'main page'!$K$29)*controls!$B$9+(('main page'!$K$25*'main page'!$U$13*'main page'!$K$29)/('main page'!$K$27*(1+('main page'!$K$25^2)*'main page'!$U$13)))*(L234-controls!$B$9),R234+'main page'!$K$29*L234+(1-'main page'!$K$29)*controls!$B$9+(('main page'!$K$25*'main page'!$U$13*'normal case'!$AO$3)/'normal case'!$AO$4)*('normal case'!L234-controls!$B$9))</f>
        <v>6</v>
      </c>
      <c r="R234" s="98">
        <f ca="1">IF(controls!$B$44=1,'main page'!$K$24+'main page'!$K$11,IF(controls!$B$33=1,((I235-D234*W235-B235+B234*V235)/'main page'!$K$27)-'main page'!$K$11,((H235-D234*W235-B235+B234*V235)/'main page'!$K$27)-'main page'!$K$11))</f>
        <v>4</v>
      </c>
      <c r="T234" s="71">
        <f>IF(controls!$B$6=1,$AL$3*(1+('main page'!$K$35/100))^U234-$AL$3*(1+('main page'!$K$35/100))^U233,$AL$3*(1+('main page'!$G$8/100))*(1+('main page'!$K$35/100))^U234-$AL$3*(1+('main page'!$G$8/100))*(1+('main page'!$K$35/100))^U233)</f>
        <v>0</v>
      </c>
      <c r="U234" s="73">
        <v>227</v>
      </c>
      <c r="V234" s="161">
        <v>0</v>
      </c>
      <c r="W234" s="40">
        <v>0</v>
      </c>
      <c r="X234" s="49">
        <f ca="1">IF(controls!$B$33=1,D234-($I$3-'main page'!$K$27*2)*(1+('main page'!$K$35/100))^A233,D234-$AL$4)</f>
        <v>0</v>
      </c>
      <c r="Y234" s="49">
        <f ca="1">ABS(L234-(controls!$B$9/100)*100)</f>
        <v>0</v>
      </c>
      <c r="AA234" s="49" t="e">
        <f ca="1">IF(controls!$B$33=1,(B235-B234*V235-I235+D234*W235+'main page'!$K$27*('main page'!$K$24+'main page'!$K$11))/'main page'!$K$31,(B235-B234*V235+D234*W235-H235+'main page'!$K$27*('main page'!$K$24+'main page'!$K$11))/'main page'!$K$31)</f>
        <v>#DIV/0!</v>
      </c>
      <c r="AB234" s="49" t="e">
        <f ca="1">IF(controls!$B$45=1,LOG(AF234,1.01)+LOG(AE234,1.01)-LOG(AD234,1.01),-((M234-('main page'!$K$24+'main page'!$K$11))/(1-'normal case'!$AO$3))+'normal case'!AA234)</f>
        <v>#DIV/0!</v>
      </c>
      <c r="AC234" s="176" t="e">
        <f t="shared" ca="1" si="23"/>
        <v>#DIV/0!</v>
      </c>
      <c r="AD234" s="49">
        <f t="shared" ca="1" si="24"/>
        <v>96.970509394547975</v>
      </c>
      <c r="AE234" s="49">
        <f>AE233*(1+'main page'!$K$32/100)</f>
        <v>1</v>
      </c>
      <c r="AF234" s="49" t="e">
        <f ca="1">IF(ABS(IF(controls!$B$45=1,$AL$13,AD234*AC234/AE234)-AF233)&lt;0.00001,AF233,IF(controls!$B$45=1,$AL$13,AD234*AC234/AE234))</f>
        <v>#DIV/0!</v>
      </c>
      <c r="AG234" s="49">
        <f>IF(controls!$B$46=0,0,IF(controls!$B$33=2,B235-B234*V235-('normal case'!H235-D234*W235-'main page'!$K$27*'normal case'!M234+'main page'!$K$31*'normal case'!AB234)-(('main page'!$K$25*'main page'!$U$13*'main page'!$K$29)/(1+('main page'!$K$25^2)*'main page'!$U$13))*('normal case'!L234-'main page'!$U$8),B235-B234*V235-('normal case'!I235-D234*W235-'main page'!$K$27*'normal case'!M234+'main page'!$K$31*'normal case'!AB234)-(('main page'!$K$25*'main page'!$U$13*'main page'!$K$29)/(1+('main page'!$K$25^2)*'main page'!$U$13))*('normal case'!L234-'main page'!$U$8)))</f>
        <v>0</v>
      </c>
      <c r="AN234" s="40"/>
      <c r="AO234" s="40"/>
    </row>
    <row r="235" spans="1:41">
      <c r="A235" s="48">
        <v>233</v>
      </c>
      <c r="B235" s="75">
        <f ca="1">IF(controls!$B$33=1,B234*(1+V235)+T235,B234*(1+V235))</f>
        <v>100</v>
      </c>
      <c r="C235" s="80">
        <f t="shared" ca="1" si="25"/>
        <v>0</v>
      </c>
      <c r="D235" s="77">
        <f t="shared" ca="1" si="21"/>
        <v>100</v>
      </c>
      <c r="E235" s="77">
        <f ca="1">AG234+IF(controls!$B$33=1,G235,F235)</f>
        <v>100</v>
      </c>
      <c r="F235" s="94">
        <f ca="1">IF(controls!$B$44=0,H235-'main page'!$K$27*M234,H235-'main page'!$K$27*M234+'main page'!$K$31*AB234)</f>
        <v>100</v>
      </c>
      <c r="G235" s="75">
        <f ca="1">IF(controls!$B$44=0,I235-'main page'!$K$27*M234,I235-'main page'!$K$27*M234+'main page'!$K$31*'normal case'!AB234)</f>
        <v>100</v>
      </c>
      <c r="H235" s="75">
        <f t="shared" ca="1" si="26"/>
        <v>108</v>
      </c>
      <c r="I235" s="75">
        <f t="shared" ca="1" si="27"/>
        <v>108</v>
      </c>
      <c r="L235" s="75">
        <f ca="1">IF(ABS('main page'!$K$29*L234+(1-'main page'!$K$29)*(controls!$B$9/100)*100+'main page'!$K$25*(D235-B235)-L234)&lt;0.0000001,L234,'main page'!$K$29*L234+(1-'main page'!$K$29)*(controls!$B$9/100)*100+'main page'!$K$25*(D235-B235))</f>
        <v>2</v>
      </c>
      <c r="M235" s="96">
        <f ca="1">IF(controls!$B$10=1,M234,IF(SUM(controls!$B$44:$B$46)=2,N235-'main page'!$K$29*'normal case'!L235-(1-'main page'!$K$29)*'main page'!$K$32,N235-'main page'!$K$29*'normal case'!L235-(1-'main page'!$K$29)*controls!$B$9))</f>
        <v>4</v>
      </c>
      <c r="N235" s="208">
        <f ca="1">IF(controls!$B$45=1,IF(controls!$B$46=1,'main page'!$K$24+'main page'!$K$11+'main page'!$U$8,'main page'!$K$24+'main page'!$K$11+'main page'!$K$32),IF(controls!$B$44=1,IF(O235&lt;0,0,O235),IF(O235+'main page'!$K$11&lt;0,0,O235+'main page'!$K$11)))</f>
        <v>6</v>
      </c>
      <c r="O235" s="76">
        <f ca="1">IF(controls!$B$10=1,'normal case'!M235+'normal case'!L235,'normal case'!P235)</f>
        <v>6</v>
      </c>
      <c r="P235" s="74">
        <f t="shared" ca="1" si="22"/>
        <v>6</v>
      </c>
      <c r="Q235" s="210">
        <f ca="1">IF(controls!$B$44=0,R235+'main page'!$K$29*L235+(1-'main page'!$K$29)*controls!$B$9+(('main page'!$K$25*'main page'!$U$13*'main page'!$K$29)/('main page'!$K$27*(1+('main page'!$K$25^2)*'main page'!$U$13)))*(L235-controls!$B$9),R235+'main page'!$K$29*L235+(1-'main page'!$K$29)*controls!$B$9+(('main page'!$K$25*'main page'!$U$13*'normal case'!$AO$3)/'normal case'!$AO$4)*('normal case'!L235-controls!$B$9))</f>
        <v>6</v>
      </c>
      <c r="R235" s="98">
        <f ca="1">IF(controls!$B$44=1,'main page'!$K$24+'main page'!$K$11,IF(controls!$B$33=1,((I236-D235*W236-B236+B235*V236)/'main page'!$K$27)-'main page'!$K$11,((H236-D235*W236-B236+B235*V236)/'main page'!$K$27)-'main page'!$K$11))</f>
        <v>4</v>
      </c>
      <c r="T235" s="71">
        <f>IF(controls!$B$6=1,$AL$3*(1+('main page'!$K$35/100))^U235-$AL$3*(1+('main page'!$K$35/100))^U234,$AL$3*(1+('main page'!$G$8/100))*(1+('main page'!$K$35/100))^U235-$AL$3*(1+('main page'!$G$8/100))*(1+('main page'!$K$35/100))^U234)</f>
        <v>0</v>
      </c>
      <c r="U235" s="73">
        <v>228</v>
      </c>
      <c r="V235" s="161">
        <v>0</v>
      </c>
      <c r="W235" s="40">
        <v>0</v>
      </c>
      <c r="X235" s="49">
        <f ca="1">IF(controls!$B$33=1,D235-($I$3-'main page'!$K$27*2)*(1+('main page'!$K$35/100))^A234,D235-$AL$4)</f>
        <v>0</v>
      </c>
      <c r="Y235" s="49">
        <f ca="1">ABS(L235-(controls!$B$9/100)*100)</f>
        <v>0</v>
      </c>
      <c r="AA235" s="49" t="e">
        <f ca="1">IF(controls!$B$33=1,(B236-B235*V236-I236+D235*W236+'main page'!$K$27*('main page'!$K$24+'main page'!$K$11))/'main page'!$K$31,(B236-B235*V236+D235*W236-H236+'main page'!$K$27*('main page'!$K$24+'main page'!$K$11))/'main page'!$K$31)</f>
        <v>#DIV/0!</v>
      </c>
      <c r="AB235" s="49" t="e">
        <f ca="1">IF(controls!$B$45=1,LOG(AF235,1.01)+LOG(AE235,1.01)-LOG(AD235,1.01),-((M235-('main page'!$K$24+'main page'!$K$11))/(1-'normal case'!$AO$3))+'normal case'!AA235)</f>
        <v>#DIV/0!</v>
      </c>
      <c r="AC235" s="176" t="e">
        <f t="shared" ca="1" si="23"/>
        <v>#DIV/0!</v>
      </c>
      <c r="AD235" s="49">
        <f t="shared" ca="1" si="24"/>
        <v>98.909919582438931</v>
      </c>
      <c r="AE235" s="49">
        <f>AE234*(1+'main page'!$K$32/100)</f>
        <v>1</v>
      </c>
      <c r="AF235" s="49" t="e">
        <f ca="1">IF(ABS(IF(controls!$B$45=1,$AL$13,AD235*AC235/AE235)-AF234)&lt;0.00001,AF234,IF(controls!$B$45=1,$AL$13,AD235*AC235/AE235))</f>
        <v>#DIV/0!</v>
      </c>
      <c r="AG235" s="49">
        <f>IF(controls!$B$46=0,0,IF(controls!$B$33=2,B236-B235*V236-('normal case'!H236-D235*W236-'main page'!$K$27*'normal case'!M235+'main page'!$K$31*'normal case'!AB235)-(('main page'!$K$25*'main page'!$U$13*'main page'!$K$29)/(1+('main page'!$K$25^2)*'main page'!$U$13))*('normal case'!L235-'main page'!$U$8),B236-B235*V236-('normal case'!I236-D235*W236-'main page'!$K$27*'normal case'!M235+'main page'!$K$31*'normal case'!AB235)-(('main page'!$K$25*'main page'!$U$13*'main page'!$K$29)/(1+('main page'!$K$25^2)*'main page'!$U$13))*('normal case'!L235-'main page'!$U$8)))</f>
        <v>0</v>
      </c>
      <c r="AN235" s="40"/>
      <c r="AO235" s="40"/>
    </row>
    <row r="236" spans="1:41">
      <c r="A236" s="48">
        <v>234</v>
      </c>
      <c r="B236" s="75">
        <f ca="1">IF(controls!$B$33=1,B235*(1+V236)+T236,B235*(1+V236))</f>
        <v>100</v>
      </c>
      <c r="C236" s="80">
        <f t="shared" ca="1" si="25"/>
        <v>0</v>
      </c>
      <c r="D236" s="77">
        <f t="shared" ca="1" si="21"/>
        <v>100</v>
      </c>
      <c r="E236" s="77">
        <f ca="1">AG235+IF(controls!$B$33=1,G236,F236)</f>
        <v>100</v>
      </c>
      <c r="F236" s="94">
        <f ca="1">IF(controls!$B$44=0,H236-'main page'!$K$27*M235,H236-'main page'!$K$27*M235+'main page'!$K$31*AB235)</f>
        <v>100</v>
      </c>
      <c r="G236" s="75">
        <f ca="1">IF(controls!$B$44=0,I236-'main page'!$K$27*M235,I236-'main page'!$K$27*M235+'main page'!$K$31*'normal case'!AB235)</f>
        <v>100</v>
      </c>
      <c r="H236" s="75">
        <f t="shared" ca="1" si="26"/>
        <v>108</v>
      </c>
      <c r="I236" s="75">
        <f t="shared" ca="1" si="27"/>
        <v>108</v>
      </c>
      <c r="L236" s="75">
        <f ca="1">IF(ABS('main page'!$K$29*L235+(1-'main page'!$K$29)*(controls!$B$9/100)*100+'main page'!$K$25*(D236-B236)-L235)&lt;0.0000001,L235,'main page'!$K$29*L235+(1-'main page'!$K$29)*(controls!$B$9/100)*100+'main page'!$K$25*(D236-B236))</f>
        <v>2</v>
      </c>
      <c r="M236" s="96">
        <f ca="1">IF(controls!$B$10=1,M235,IF(SUM(controls!$B$44:$B$46)=2,N236-'main page'!$K$29*'normal case'!L236-(1-'main page'!$K$29)*'main page'!$K$32,N236-'main page'!$K$29*'normal case'!L236-(1-'main page'!$K$29)*controls!$B$9))</f>
        <v>4</v>
      </c>
      <c r="N236" s="208">
        <f ca="1">IF(controls!$B$45=1,IF(controls!$B$46=1,'main page'!$K$24+'main page'!$K$11+'main page'!$U$8,'main page'!$K$24+'main page'!$K$11+'main page'!$K$32),IF(controls!$B$44=1,IF(O236&lt;0,0,O236),IF(O236+'main page'!$K$11&lt;0,0,O236+'main page'!$K$11)))</f>
        <v>6</v>
      </c>
      <c r="O236" s="76">
        <f ca="1">IF(controls!$B$10=1,'normal case'!M236+'normal case'!L236,'normal case'!P236)</f>
        <v>6</v>
      </c>
      <c r="P236" s="74">
        <f t="shared" ca="1" si="22"/>
        <v>6</v>
      </c>
      <c r="Q236" s="210">
        <f ca="1">IF(controls!$B$44=0,R236+'main page'!$K$29*L236+(1-'main page'!$K$29)*controls!$B$9+(('main page'!$K$25*'main page'!$U$13*'main page'!$K$29)/('main page'!$K$27*(1+('main page'!$K$25^2)*'main page'!$U$13)))*(L236-controls!$B$9),R236+'main page'!$K$29*L236+(1-'main page'!$K$29)*controls!$B$9+(('main page'!$K$25*'main page'!$U$13*'normal case'!$AO$3)/'normal case'!$AO$4)*('normal case'!L236-controls!$B$9))</f>
        <v>6</v>
      </c>
      <c r="R236" s="98">
        <f ca="1">IF(controls!$B$44=1,'main page'!$K$24+'main page'!$K$11,IF(controls!$B$33=1,((I237-D236*W237-B237+B236*V237)/'main page'!$K$27)-'main page'!$K$11,((H237-D236*W237-B237+B236*V237)/'main page'!$K$27)-'main page'!$K$11))</f>
        <v>4</v>
      </c>
      <c r="T236" s="71">
        <f>IF(controls!$B$6=1,$AL$3*(1+('main page'!$K$35/100))^U236-$AL$3*(1+('main page'!$K$35/100))^U235,$AL$3*(1+('main page'!$G$8/100))*(1+('main page'!$K$35/100))^U236-$AL$3*(1+('main page'!$G$8/100))*(1+('main page'!$K$35/100))^U235)</f>
        <v>0</v>
      </c>
      <c r="U236" s="73">
        <v>229</v>
      </c>
      <c r="V236" s="161">
        <f ca="1">IF(controls!$B$4=1,IF(controls!$H235=1,controls!$B$34*V235+RAND()*('main page'!$K$16/100)-RAND()*('main page'!$K$16/100),0),0)</f>
        <v>0</v>
      </c>
      <c r="W236" s="40">
        <f ca="1">IF(controls!$B$4=1,IF(controls!$I235=1,controls!$B$34*W235+RAND()*('main page'!$K$16/100)-RAND()*('main page'!$K$16/100),0),0)</f>
        <v>0</v>
      </c>
      <c r="X236" s="49">
        <f ca="1">IF(controls!$B$33=1,D236-($I$3-'main page'!$K$27*2)*(1+('main page'!$K$35/100))^A235,D236-$AL$4)</f>
        <v>0</v>
      </c>
      <c r="Y236" s="49">
        <f ca="1">ABS(L236-(controls!$B$9/100)*100)</f>
        <v>0</v>
      </c>
      <c r="AA236" s="49" t="e">
        <f ca="1">IF(controls!$B$33=1,(B237-B236*V237-I237+D236*W237+'main page'!$K$27*('main page'!$K$24+'main page'!$K$11))/'main page'!$K$31,(B237-B236*V237+D236*W237-H237+'main page'!$K$27*('main page'!$K$24+'main page'!$K$11))/'main page'!$K$31)</f>
        <v>#DIV/0!</v>
      </c>
      <c r="AB236" s="49" t="e">
        <f ca="1">IF(controls!$B$45=1,LOG(AF236,1.01)+LOG(AE236,1.01)-LOG(AD236,1.01),-((M236-('main page'!$K$24+'main page'!$K$11))/(1-'normal case'!$AO$3))+'normal case'!AA236)</f>
        <v>#DIV/0!</v>
      </c>
      <c r="AC236" s="176" t="e">
        <f t="shared" ca="1" si="23"/>
        <v>#DIV/0!</v>
      </c>
      <c r="AD236" s="49">
        <f t="shared" ca="1" si="24"/>
        <v>100.88811797408771</v>
      </c>
      <c r="AE236" s="49">
        <f>AE235*(1+'main page'!$K$32/100)</f>
        <v>1</v>
      </c>
      <c r="AF236" s="49" t="e">
        <f ca="1">IF(ABS(IF(controls!$B$45=1,$AL$13,AD236*AC236/AE236)-AF235)&lt;0.00001,AF235,IF(controls!$B$45=1,$AL$13,AD236*AC236/AE236))</f>
        <v>#DIV/0!</v>
      </c>
      <c r="AG236" s="49">
        <f>IF(controls!$B$46=0,0,IF(controls!$B$33=2,B237-B236*V237-('normal case'!H237-D236*W237-'main page'!$K$27*'normal case'!M236+'main page'!$K$31*'normal case'!AB236)-(('main page'!$K$25*'main page'!$U$13*'main page'!$K$29)/(1+('main page'!$K$25^2)*'main page'!$U$13))*('normal case'!L236-'main page'!$U$8),B237-B236*V237-('normal case'!I237-D236*W237-'main page'!$K$27*'normal case'!M236+'main page'!$K$31*'normal case'!AB236)-(('main page'!$K$25*'main page'!$U$13*'main page'!$K$29)/(1+('main page'!$K$25^2)*'main page'!$U$13))*('normal case'!L236-'main page'!$U$8)))</f>
        <v>0</v>
      </c>
      <c r="AN236" s="40"/>
      <c r="AO236" s="40"/>
    </row>
    <row r="237" spans="1:41">
      <c r="A237" s="48">
        <v>235</v>
      </c>
      <c r="B237" s="75">
        <f ca="1">IF(controls!$B$33=1,B236*(1+V237)+T237,B236*(1+V237))</f>
        <v>100</v>
      </c>
      <c r="C237" s="80">
        <f t="shared" ca="1" si="25"/>
        <v>0</v>
      </c>
      <c r="D237" s="77">
        <f t="shared" ca="1" si="21"/>
        <v>100</v>
      </c>
      <c r="E237" s="77">
        <f ca="1">AG236+IF(controls!$B$33=1,G237,F237)</f>
        <v>100</v>
      </c>
      <c r="F237" s="94">
        <f ca="1">IF(controls!$B$44=0,H237-'main page'!$K$27*M236,H237-'main page'!$K$27*M236+'main page'!$K$31*AB236)</f>
        <v>100</v>
      </c>
      <c r="G237" s="75">
        <f ca="1">IF(controls!$B$44=0,I237-'main page'!$K$27*M236,I237-'main page'!$K$27*M236+'main page'!$K$31*'normal case'!AB236)</f>
        <v>100</v>
      </c>
      <c r="H237" s="75">
        <f t="shared" ca="1" si="26"/>
        <v>108</v>
      </c>
      <c r="I237" s="75">
        <f t="shared" ca="1" si="27"/>
        <v>108</v>
      </c>
      <c r="L237" s="75">
        <f ca="1">IF(ABS('main page'!$K$29*L236+(1-'main page'!$K$29)*(controls!$B$9/100)*100+'main page'!$K$25*(D237-B237)-L236)&lt;0.0000001,L236,'main page'!$K$29*L236+(1-'main page'!$K$29)*(controls!$B$9/100)*100+'main page'!$K$25*(D237-B237))</f>
        <v>2</v>
      </c>
      <c r="M237" s="96">
        <f ca="1">IF(controls!$B$10=1,M236,IF(SUM(controls!$B$44:$B$46)=2,N237-'main page'!$K$29*'normal case'!L237-(1-'main page'!$K$29)*'main page'!$K$32,N237-'main page'!$K$29*'normal case'!L237-(1-'main page'!$K$29)*controls!$B$9))</f>
        <v>4</v>
      </c>
      <c r="N237" s="208">
        <f ca="1">IF(controls!$B$45=1,IF(controls!$B$46=1,'main page'!$K$24+'main page'!$K$11+'main page'!$U$8,'main page'!$K$24+'main page'!$K$11+'main page'!$K$32),IF(controls!$B$44=1,IF(O237&lt;0,0,O237),IF(O237+'main page'!$K$11&lt;0,0,O237+'main page'!$K$11)))</f>
        <v>6</v>
      </c>
      <c r="O237" s="76">
        <f ca="1">IF(controls!$B$10=1,'normal case'!M237+'normal case'!L237,'normal case'!P237)</f>
        <v>6</v>
      </c>
      <c r="P237" s="74">
        <f t="shared" ca="1" si="22"/>
        <v>6</v>
      </c>
      <c r="Q237" s="210">
        <f ca="1">IF(controls!$B$44=0,R237+'main page'!$K$29*L237+(1-'main page'!$K$29)*controls!$B$9+(('main page'!$K$25*'main page'!$U$13*'main page'!$K$29)/('main page'!$K$27*(1+('main page'!$K$25^2)*'main page'!$U$13)))*(L237-controls!$B$9),R237+'main page'!$K$29*L237+(1-'main page'!$K$29)*controls!$B$9+(('main page'!$K$25*'main page'!$U$13*'normal case'!$AO$3)/'normal case'!$AO$4)*('normal case'!L237-controls!$B$9))</f>
        <v>6</v>
      </c>
      <c r="R237" s="98">
        <f ca="1">IF(controls!$B$44=1,'main page'!$K$24+'main page'!$K$11,IF(controls!$B$33=1,((I238-D237*W238-B238+B237*V238)/'main page'!$K$27)-'main page'!$K$11,((H238-D237*W238-B238+B237*V238)/'main page'!$K$27)-'main page'!$K$11))</f>
        <v>4</v>
      </c>
      <c r="T237" s="71">
        <f>IF(controls!$B$6=1,$AL$3*(1+('main page'!$K$35/100))^U237-$AL$3*(1+('main page'!$K$35/100))^U236,$AL$3*(1+('main page'!$G$8/100))*(1+('main page'!$K$35/100))^U237-$AL$3*(1+('main page'!$G$8/100))*(1+('main page'!$K$35/100))^U236)</f>
        <v>0</v>
      </c>
      <c r="U237" s="73">
        <v>230</v>
      </c>
      <c r="V237" s="161">
        <v>0</v>
      </c>
      <c r="W237" s="40">
        <v>0</v>
      </c>
      <c r="X237" s="49">
        <f ca="1">IF(controls!$B$33=1,D237-($I$3-'main page'!$K$27*2)*(1+('main page'!$K$35/100))^A236,D237-$AL$4)</f>
        <v>0</v>
      </c>
      <c r="Y237" s="49">
        <f ca="1">ABS(L237-(controls!$B$9/100)*100)</f>
        <v>0</v>
      </c>
      <c r="AA237" s="49" t="e">
        <f ca="1">IF(controls!$B$33=1,(B238-B237*V238-I238+D237*W238+'main page'!$K$27*('main page'!$K$24+'main page'!$K$11))/'main page'!$K$31,(B238-B237*V238+D237*W238-H238+'main page'!$K$27*('main page'!$K$24+'main page'!$K$11))/'main page'!$K$31)</f>
        <v>#DIV/0!</v>
      </c>
      <c r="AB237" s="49" t="e">
        <f ca="1">IF(controls!$B$45=1,LOG(AF237,1.01)+LOG(AE237,1.01)-LOG(AD237,1.01),-((M237-('main page'!$K$24+'main page'!$K$11))/(1-'normal case'!$AO$3))+'normal case'!AA237)</f>
        <v>#DIV/0!</v>
      </c>
      <c r="AC237" s="176" t="e">
        <f t="shared" ca="1" si="23"/>
        <v>#DIV/0!</v>
      </c>
      <c r="AD237" s="49">
        <f t="shared" ca="1" si="24"/>
        <v>102.90588033356946</v>
      </c>
      <c r="AE237" s="49">
        <f>AE236*(1+'main page'!$K$32/100)</f>
        <v>1</v>
      </c>
      <c r="AF237" s="49" t="e">
        <f ca="1">IF(ABS(IF(controls!$B$45=1,$AL$13,AD237*AC237/AE237)-AF236)&lt;0.00001,AF236,IF(controls!$B$45=1,$AL$13,AD237*AC237/AE237))</f>
        <v>#DIV/0!</v>
      </c>
      <c r="AG237" s="49">
        <f>IF(controls!$B$46=0,0,IF(controls!$B$33=2,B238-B237*V238-('normal case'!H238-D237*W238-'main page'!$K$27*'normal case'!M237+'main page'!$K$31*'normal case'!AB237)-(('main page'!$K$25*'main page'!$U$13*'main page'!$K$29)/(1+('main page'!$K$25^2)*'main page'!$U$13))*('normal case'!L237-'main page'!$U$8),B238-B237*V238-('normal case'!I238-D237*W238-'main page'!$K$27*'normal case'!M237+'main page'!$K$31*'normal case'!AB237)-(('main page'!$K$25*'main page'!$U$13*'main page'!$K$29)/(1+('main page'!$K$25^2)*'main page'!$U$13))*('normal case'!L237-'main page'!$U$8)))</f>
        <v>0</v>
      </c>
      <c r="AN237" s="40"/>
      <c r="AO237" s="40"/>
    </row>
    <row r="238" spans="1:41">
      <c r="A238" s="48">
        <v>236</v>
      </c>
      <c r="B238" s="75">
        <f ca="1">IF(controls!$B$33=1,B237*(1+V238)+T238,B237*(1+V238))</f>
        <v>100</v>
      </c>
      <c r="C238" s="80">
        <f t="shared" ca="1" si="25"/>
        <v>0</v>
      </c>
      <c r="D238" s="77">
        <f t="shared" ca="1" si="21"/>
        <v>100</v>
      </c>
      <c r="E238" s="77">
        <f ca="1">AG237+IF(controls!$B$33=1,G238,F238)</f>
        <v>100</v>
      </c>
      <c r="F238" s="94">
        <f ca="1">IF(controls!$B$44=0,H238-'main page'!$K$27*M237,H238-'main page'!$K$27*M237+'main page'!$K$31*AB237)</f>
        <v>100</v>
      </c>
      <c r="G238" s="75">
        <f ca="1">IF(controls!$B$44=0,I238-'main page'!$K$27*M237,I238-'main page'!$K$27*M237+'main page'!$K$31*'normal case'!AB237)</f>
        <v>100</v>
      </c>
      <c r="H238" s="75">
        <f t="shared" ca="1" si="26"/>
        <v>108</v>
      </c>
      <c r="I238" s="75">
        <f t="shared" ca="1" si="27"/>
        <v>108</v>
      </c>
      <c r="L238" s="75">
        <f ca="1">IF(ABS('main page'!$K$29*L237+(1-'main page'!$K$29)*(controls!$B$9/100)*100+'main page'!$K$25*(D238-B238)-L237)&lt;0.0000001,L237,'main page'!$K$29*L237+(1-'main page'!$K$29)*(controls!$B$9/100)*100+'main page'!$K$25*(D238-B238))</f>
        <v>2</v>
      </c>
      <c r="M238" s="96">
        <f ca="1">IF(controls!$B$10=1,M237,IF(SUM(controls!$B$44:$B$46)=2,N238-'main page'!$K$29*'normal case'!L238-(1-'main page'!$K$29)*'main page'!$K$32,N238-'main page'!$K$29*'normal case'!L238-(1-'main page'!$K$29)*controls!$B$9))</f>
        <v>4</v>
      </c>
      <c r="N238" s="208">
        <f ca="1">IF(controls!$B$45=1,IF(controls!$B$46=1,'main page'!$K$24+'main page'!$K$11+'main page'!$U$8,'main page'!$K$24+'main page'!$K$11+'main page'!$K$32),IF(controls!$B$44=1,IF(O238&lt;0,0,O238),IF(O238+'main page'!$K$11&lt;0,0,O238+'main page'!$K$11)))</f>
        <v>6</v>
      </c>
      <c r="O238" s="76">
        <f ca="1">IF(controls!$B$10=1,'normal case'!M238+'normal case'!L238,'normal case'!P238)</f>
        <v>6</v>
      </c>
      <c r="P238" s="74">
        <f t="shared" ca="1" si="22"/>
        <v>6</v>
      </c>
      <c r="Q238" s="210">
        <f ca="1">IF(controls!$B$44=0,R238+'main page'!$K$29*L238+(1-'main page'!$K$29)*controls!$B$9+(('main page'!$K$25*'main page'!$U$13*'main page'!$K$29)/('main page'!$K$27*(1+('main page'!$K$25^2)*'main page'!$U$13)))*(L238-controls!$B$9),R238+'main page'!$K$29*L238+(1-'main page'!$K$29)*controls!$B$9+(('main page'!$K$25*'main page'!$U$13*'normal case'!$AO$3)/'normal case'!$AO$4)*('normal case'!L238-controls!$B$9))</f>
        <v>6</v>
      </c>
      <c r="R238" s="98">
        <f ca="1">IF(controls!$B$44=1,'main page'!$K$24+'main page'!$K$11,IF(controls!$B$33=1,((I239-D238*W239-B239+B238*V239)/'main page'!$K$27)-'main page'!$K$11,((H239-D238*W239-B239+B238*V239)/'main page'!$K$27)-'main page'!$K$11))</f>
        <v>4</v>
      </c>
      <c r="T238" s="71">
        <f>IF(controls!$B$6=1,$AL$3*(1+('main page'!$K$35/100))^U238-$AL$3*(1+('main page'!$K$35/100))^U237,$AL$3*(1+('main page'!$G$8/100))*(1+('main page'!$K$35/100))^U238-$AL$3*(1+('main page'!$G$8/100))*(1+('main page'!$K$35/100))^U237)</f>
        <v>0</v>
      </c>
      <c r="U238" s="73">
        <v>231</v>
      </c>
      <c r="V238" s="161">
        <v>0</v>
      </c>
      <c r="W238" s="40">
        <v>0</v>
      </c>
      <c r="X238" s="49">
        <f ca="1">IF(controls!$B$33=1,D238-($I$3-'main page'!$K$27*2)*(1+('main page'!$K$35/100))^A237,D238-$AL$4)</f>
        <v>0</v>
      </c>
      <c r="Y238" s="49">
        <f ca="1">ABS(L238-(controls!$B$9/100)*100)</f>
        <v>0</v>
      </c>
      <c r="AA238" s="49" t="e">
        <f ca="1">IF(controls!$B$33=1,(B239-B238*V239-I239+D238*W239+'main page'!$K$27*('main page'!$K$24+'main page'!$K$11))/'main page'!$K$31,(B239-B238*V239+D238*W239-H239+'main page'!$K$27*('main page'!$K$24+'main page'!$K$11))/'main page'!$K$31)</f>
        <v>#DIV/0!</v>
      </c>
      <c r="AB238" s="49" t="e">
        <f ca="1">IF(controls!$B$45=1,LOG(AF238,1.01)+LOG(AE238,1.01)-LOG(AD238,1.01),-((M238-('main page'!$K$24+'main page'!$K$11))/(1-'normal case'!$AO$3))+'normal case'!AA238)</f>
        <v>#DIV/0!</v>
      </c>
      <c r="AC238" s="176" t="e">
        <f t="shared" ca="1" si="23"/>
        <v>#DIV/0!</v>
      </c>
      <c r="AD238" s="49">
        <f t="shared" ca="1" si="24"/>
        <v>104.96399794024084</v>
      </c>
      <c r="AE238" s="49">
        <f>AE237*(1+'main page'!$K$32/100)</f>
        <v>1</v>
      </c>
      <c r="AF238" s="49" t="e">
        <f ca="1">IF(ABS(IF(controls!$B$45=1,$AL$13,AD238*AC238/AE238)-AF237)&lt;0.00001,AF237,IF(controls!$B$45=1,$AL$13,AD238*AC238/AE238))</f>
        <v>#DIV/0!</v>
      </c>
      <c r="AG238" s="49">
        <f>IF(controls!$B$46=0,0,IF(controls!$B$33=2,B239-B238*V239-('normal case'!H239-D238*W239-'main page'!$K$27*'normal case'!M238+'main page'!$K$31*'normal case'!AB238)-(('main page'!$K$25*'main page'!$U$13*'main page'!$K$29)/(1+('main page'!$K$25^2)*'main page'!$U$13))*('normal case'!L238-'main page'!$U$8),B239-B238*V239-('normal case'!I239-D238*W239-'main page'!$K$27*'normal case'!M238+'main page'!$K$31*'normal case'!AB238)-(('main page'!$K$25*'main page'!$U$13*'main page'!$K$29)/(1+('main page'!$K$25^2)*'main page'!$U$13))*('normal case'!L238-'main page'!$U$8)))</f>
        <v>0</v>
      </c>
      <c r="AN238" s="40"/>
      <c r="AO238" s="40"/>
    </row>
    <row r="239" spans="1:41">
      <c r="A239" s="48">
        <v>237</v>
      </c>
      <c r="B239" s="75">
        <f ca="1">IF(controls!$B$33=1,B238*(1+V239)+T239,B238*(1+V239))</f>
        <v>100</v>
      </c>
      <c r="C239" s="80">
        <f t="shared" ca="1" si="25"/>
        <v>0</v>
      </c>
      <c r="D239" s="77">
        <f t="shared" ca="1" si="21"/>
        <v>100</v>
      </c>
      <c r="E239" s="77">
        <f ca="1">AG238+IF(controls!$B$33=1,G239,F239)</f>
        <v>100</v>
      </c>
      <c r="F239" s="94">
        <f ca="1">IF(controls!$B$44=0,H239-'main page'!$K$27*M238,H239-'main page'!$K$27*M238+'main page'!$K$31*AB238)</f>
        <v>100</v>
      </c>
      <c r="G239" s="75">
        <f ca="1">IF(controls!$B$44=0,I239-'main page'!$K$27*M238,I239-'main page'!$K$27*M238+'main page'!$K$31*'normal case'!AB238)</f>
        <v>100</v>
      </c>
      <c r="H239" s="75">
        <f t="shared" ca="1" si="26"/>
        <v>108</v>
      </c>
      <c r="I239" s="75">
        <f t="shared" ca="1" si="27"/>
        <v>108</v>
      </c>
      <c r="L239" s="75">
        <f ca="1">IF(ABS('main page'!$K$29*L238+(1-'main page'!$K$29)*(controls!$B$9/100)*100+'main page'!$K$25*(D239-B239)-L238)&lt;0.0000001,L238,'main page'!$K$29*L238+(1-'main page'!$K$29)*(controls!$B$9/100)*100+'main page'!$K$25*(D239-B239))</f>
        <v>2</v>
      </c>
      <c r="M239" s="96">
        <f ca="1">IF(controls!$B$10=1,M238,IF(SUM(controls!$B$44:$B$46)=2,N239-'main page'!$K$29*'normal case'!L239-(1-'main page'!$K$29)*'main page'!$K$32,N239-'main page'!$K$29*'normal case'!L239-(1-'main page'!$K$29)*controls!$B$9))</f>
        <v>4</v>
      </c>
      <c r="N239" s="208">
        <f ca="1">IF(controls!$B$45=1,IF(controls!$B$46=1,'main page'!$K$24+'main page'!$K$11+'main page'!$U$8,'main page'!$K$24+'main page'!$K$11+'main page'!$K$32),IF(controls!$B$44=1,IF(O239&lt;0,0,O239),IF(O239+'main page'!$K$11&lt;0,0,O239+'main page'!$K$11)))</f>
        <v>6</v>
      </c>
      <c r="O239" s="76">
        <f ca="1">IF(controls!$B$10=1,'normal case'!M239+'normal case'!L239,'normal case'!P239)</f>
        <v>6</v>
      </c>
      <c r="P239" s="74">
        <f t="shared" ca="1" si="22"/>
        <v>6</v>
      </c>
      <c r="Q239" s="210">
        <f ca="1">IF(controls!$B$44=0,R239+'main page'!$K$29*L239+(1-'main page'!$K$29)*controls!$B$9+(('main page'!$K$25*'main page'!$U$13*'main page'!$K$29)/('main page'!$K$27*(1+('main page'!$K$25^2)*'main page'!$U$13)))*(L239-controls!$B$9),R239+'main page'!$K$29*L239+(1-'main page'!$K$29)*controls!$B$9+(('main page'!$K$25*'main page'!$U$13*'normal case'!$AO$3)/'normal case'!$AO$4)*('normal case'!L239-controls!$B$9))</f>
        <v>6</v>
      </c>
      <c r="R239" s="98">
        <f ca="1">IF(controls!$B$44=1,'main page'!$K$24+'main page'!$K$11,IF(controls!$B$33=1,((I240-D239*W240-B240+B239*V240)/'main page'!$K$27)-'main page'!$K$11,((H240-D239*W240-B240+B239*V240)/'main page'!$K$27)-'main page'!$K$11))</f>
        <v>4</v>
      </c>
      <c r="T239" s="71">
        <f>IF(controls!$B$6=1,$AL$3*(1+('main page'!$K$35/100))^U239-$AL$3*(1+('main page'!$K$35/100))^U238,$AL$3*(1+('main page'!$G$8/100))*(1+('main page'!$K$35/100))^U239-$AL$3*(1+('main page'!$G$8/100))*(1+('main page'!$K$35/100))^U238)</f>
        <v>0</v>
      </c>
      <c r="U239" s="73">
        <v>232</v>
      </c>
      <c r="V239" s="161">
        <f ca="1">IF(controls!$B$4=1,IF(controls!$H238=1,controls!$B$34*V238+RAND()*('main page'!$K$16/100)-RAND()*('main page'!$K$16/100),0),0)</f>
        <v>0</v>
      </c>
      <c r="W239" s="40">
        <f ca="1">IF(controls!$B$4=1,IF(controls!$I238=1,controls!$B$34*W238+RAND()*('main page'!$K$16/100)-RAND()*('main page'!$K$16/100),0),0)</f>
        <v>0</v>
      </c>
      <c r="X239" s="49">
        <f ca="1">IF(controls!$B$33=1,D239-($I$3-'main page'!$K$27*2)*(1+('main page'!$K$35/100))^A238,D239-$AL$4)</f>
        <v>0</v>
      </c>
      <c r="Y239" s="49">
        <f ca="1">ABS(L239-(controls!$B$9/100)*100)</f>
        <v>0</v>
      </c>
      <c r="AA239" s="49" t="e">
        <f ca="1">IF(controls!$B$33=1,(B240-B239*V240-I240+D239*W240+'main page'!$K$27*('main page'!$K$24+'main page'!$K$11))/'main page'!$K$31,(B240-B239*V240+D239*W240-H240+'main page'!$K$27*('main page'!$K$24+'main page'!$K$11))/'main page'!$K$31)</f>
        <v>#DIV/0!</v>
      </c>
      <c r="AB239" s="49" t="e">
        <f ca="1">IF(controls!$B$45=1,LOG(AF239,1.01)+LOG(AE239,1.01)-LOG(AD239,1.01),-((M239-('main page'!$K$24+'main page'!$K$11))/(1-'normal case'!$AO$3))+'normal case'!AA239)</f>
        <v>#DIV/0!</v>
      </c>
      <c r="AC239" s="176" t="e">
        <f t="shared" ca="1" si="23"/>
        <v>#DIV/0!</v>
      </c>
      <c r="AD239" s="49">
        <f t="shared" ca="1" si="24"/>
        <v>107.06327789904566</v>
      </c>
      <c r="AE239" s="49">
        <f>AE238*(1+'main page'!$K$32/100)</f>
        <v>1</v>
      </c>
      <c r="AF239" s="49" t="e">
        <f ca="1">IF(ABS(IF(controls!$B$45=1,$AL$13,AD239*AC239/AE239)-AF238)&lt;0.00001,AF238,IF(controls!$B$45=1,$AL$13,AD239*AC239/AE239))</f>
        <v>#DIV/0!</v>
      </c>
      <c r="AG239" s="49">
        <f>IF(controls!$B$46=0,0,IF(controls!$B$33=2,B240-B239*V240-('normal case'!H240-D239*W240-'main page'!$K$27*'normal case'!M239+'main page'!$K$31*'normal case'!AB239)-(('main page'!$K$25*'main page'!$U$13*'main page'!$K$29)/(1+('main page'!$K$25^2)*'main page'!$U$13))*('normal case'!L239-'main page'!$U$8),B240-B239*V240-('normal case'!I240-D239*W240-'main page'!$K$27*'normal case'!M239+'main page'!$K$31*'normal case'!AB239)-(('main page'!$K$25*'main page'!$U$13*'main page'!$K$29)/(1+('main page'!$K$25^2)*'main page'!$U$13))*('normal case'!L239-'main page'!$U$8)))</f>
        <v>0</v>
      </c>
      <c r="AN239" s="40"/>
      <c r="AO239" s="40"/>
    </row>
    <row r="240" spans="1:41">
      <c r="A240" s="48">
        <v>238</v>
      </c>
      <c r="B240" s="75">
        <f ca="1">IF(controls!$B$33=1,B239*(1+V240)+T240,B239*(1+V240))</f>
        <v>100</v>
      </c>
      <c r="C240" s="80">
        <f t="shared" ca="1" si="25"/>
        <v>0</v>
      </c>
      <c r="D240" s="77">
        <f t="shared" ca="1" si="21"/>
        <v>100</v>
      </c>
      <c r="E240" s="77">
        <f ca="1">AG239+IF(controls!$B$33=1,G240,F240)</f>
        <v>100</v>
      </c>
      <c r="F240" s="94">
        <f ca="1">IF(controls!$B$44=0,H240-'main page'!$K$27*M239,H240-'main page'!$K$27*M239+'main page'!$K$31*AB239)</f>
        <v>100</v>
      </c>
      <c r="G240" s="75">
        <f ca="1">IF(controls!$B$44=0,I240-'main page'!$K$27*M239,I240-'main page'!$K$27*M239+'main page'!$K$31*'normal case'!AB239)</f>
        <v>100</v>
      </c>
      <c r="H240" s="75">
        <f t="shared" ca="1" si="26"/>
        <v>108</v>
      </c>
      <c r="I240" s="75">
        <f t="shared" ca="1" si="27"/>
        <v>108</v>
      </c>
      <c r="L240" s="75">
        <f ca="1">IF(ABS('main page'!$K$29*L239+(1-'main page'!$K$29)*(controls!$B$9/100)*100+'main page'!$K$25*(D240-B240)-L239)&lt;0.0000001,L239,'main page'!$K$29*L239+(1-'main page'!$K$29)*(controls!$B$9/100)*100+'main page'!$K$25*(D240-B240))</f>
        <v>2</v>
      </c>
      <c r="M240" s="96">
        <f ca="1">IF(controls!$B$10=1,M239,IF(SUM(controls!$B$44:$B$46)=2,N240-'main page'!$K$29*'normal case'!L240-(1-'main page'!$K$29)*'main page'!$K$32,N240-'main page'!$K$29*'normal case'!L240-(1-'main page'!$K$29)*controls!$B$9))</f>
        <v>4</v>
      </c>
      <c r="N240" s="208">
        <f ca="1">IF(controls!$B$45=1,IF(controls!$B$46=1,'main page'!$K$24+'main page'!$K$11+'main page'!$U$8,'main page'!$K$24+'main page'!$K$11+'main page'!$K$32),IF(controls!$B$44=1,IF(O240&lt;0,0,O240),IF(O240+'main page'!$K$11&lt;0,0,O240+'main page'!$K$11)))</f>
        <v>6</v>
      </c>
      <c r="O240" s="76">
        <f ca="1">IF(controls!$B$10=1,'normal case'!M240+'normal case'!L240,'normal case'!P240)</f>
        <v>6</v>
      </c>
      <c r="P240" s="74">
        <f t="shared" ca="1" si="22"/>
        <v>6</v>
      </c>
      <c r="Q240" s="210">
        <f ca="1">IF(controls!$B$44=0,R240+'main page'!$K$29*L240+(1-'main page'!$K$29)*controls!$B$9+(('main page'!$K$25*'main page'!$U$13*'main page'!$K$29)/('main page'!$K$27*(1+('main page'!$K$25^2)*'main page'!$U$13)))*(L240-controls!$B$9),R240+'main page'!$K$29*L240+(1-'main page'!$K$29)*controls!$B$9+(('main page'!$K$25*'main page'!$U$13*'normal case'!$AO$3)/'normal case'!$AO$4)*('normal case'!L240-controls!$B$9))</f>
        <v>6</v>
      </c>
      <c r="R240" s="98">
        <f ca="1">IF(controls!$B$44=1,'main page'!$K$24+'main page'!$K$11,IF(controls!$B$33=1,((I241-D240*W241-B241+B240*V241)/'main page'!$K$27)-'main page'!$K$11,((H241-D240*W241-B241+B240*V241)/'main page'!$K$27)-'main page'!$K$11))</f>
        <v>4</v>
      </c>
      <c r="T240" s="71">
        <f>IF(controls!$B$6=1,$AL$3*(1+('main page'!$K$35/100))^U240-$AL$3*(1+('main page'!$K$35/100))^U239,$AL$3*(1+('main page'!$G$8/100))*(1+('main page'!$K$35/100))^U240-$AL$3*(1+('main page'!$G$8/100))*(1+('main page'!$K$35/100))^U239)</f>
        <v>0</v>
      </c>
      <c r="U240" s="73">
        <v>233</v>
      </c>
      <c r="V240" s="161">
        <v>0</v>
      </c>
      <c r="W240" s="40">
        <v>0</v>
      </c>
      <c r="X240" s="49">
        <f ca="1">IF(controls!$B$33=1,D240-($I$3-'main page'!$K$27*2)*(1+('main page'!$K$35/100))^A239,D240-$AL$4)</f>
        <v>0</v>
      </c>
      <c r="Y240" s="49">
        <f ca="1">ABS(L240-(controls!$B$9/100)*100)</f>
        <v>0</v>
      </c>
      <c r="AA240" s="49" t="e">
        <f ca="1">IF(controls!$B$33=1,(B241-B240*V241-I241+D240*W241+'main page'!$K$27*('main page'!$K$24+'main page'!$K$11))/'main page'!$K$31,(B241-B240*V241+D240*W241-H241+'main page'!$K$27*('main page'!$K$24+'main page'!$K$11))/'main page'!$K$31)</f>
        <v>#DIV/0!</v>
      </c>
      <c r="AB240" s="49" t="e">
        <f ca="1">IF(controls!$B$45=1,LOG(AF240,1.01)+LOG(AE240,1.01)-LOG(AD240,1.01),-((M240-('main page'!$K$24+'main page'!$K$11))/(1-'normal case'!$AO$3))+'normal case'!AA240)</f>
        <v>#DIV/0!</v>
      </c>
      <c r="AC240" s="176" t="e">
        <f t="shared" ca="1" si="23"/>
        <v>#DIV/0!</v>
      </c>
      <c r="AD240" s="49">
        <f t="shared" ca="1" si="24"/>
        <v>109.20454345702657</v>
      </c>
      <c r="AE240" s="49">
        <f>AE239*(1+'main page'!$K$32/100)</f>
        <v>1</v>
      </c>
      <c r="AF240" s="49" t="e">
        <f ca="1">IF(ABS(IF(controls!$B$45=1,$AL$13,AD240*AC240/AE240)-AF239)&lt;0.00001,AF239,IF(controls!$B$45=1,$AL$13,AD240*AC240/AE240))</f>
        <v>#DIV/0!</v>
      </c>
      <c r="AG240" s="49">
        <f>IF(controls!$B$46=0,0,IF(controls!$B$33=2,B241-B240*V241-('normal case'!H241-D240*W241-'main page'!$K$27*'normal case'!M240+'main page'!$K$31*'normal case'!AB240)-(('main page'!$K$25*'main page'!$U$13*'main page'!$K$29)/(1+('main page'!$K$25^2)*'main page'!$U$13))*('normal case'!L240-'main page'!$U$8),B241-B240*V241-('normal case'!I241-D240*W241-'main page'!$K$27*'normal case'!M240+'main page'!$K$31*'normal case'!AB240)-(('main page'!$K$25*'main page'!$U$13*'main page'!$K$29)/(1+('main page'!$K$25^2)*'main page'!$U$13))*('normal case'!L240-'main page'!$U$8)))</f>
        <v>0</v>
      </c>
      <c r="AN240" s="40"/>
      <c r="AO240" s="40"/>
    </row>
    <row r="241" spans="1:41">
      <c r="A241" s="48">
        <v>239</v>
      </c>
      <c r="B241" s="75">
        <f ca="1">IF(controls!$B$33=1,B240*(1+V241)+T241,B240*(1+V241))</f>
        <v>100</v>
      </c>
      <c r="C241" s="80">
        <f t="shared" ca="1" si="25"/>
        <v>0</v>
      </c>
      <c r="D241" s="77">
        <f t="shared" ca="1" si="21"/>
        <v>100</v>
      </c>
      <c r="E241" s="77">
        <f ca="1">AG240+IF(controls!$B$33=1,G241,F241)</f>
        <v>100</v>
      </c>
      <c r="F241" s="94">
        <f ca="1">IF(controls!$B$44=0,H241-'main page'!$K$27*M240,H241-'main page'!$K$27*M240+'main page'!$K$31*AB240)</f>
        <v>100</v>
      </c>
      <c r="G241" s="75">
        <f ca="1">IF(controls!$B$44=0,I241-'main page'!$K$27*M240,I241-'main page'!$K$27*M240+'main page'!$K$31*'normal case'!AB240)</f>
        <v>100</v>
      </c>
      <c r="H241" s="75">
        <f t="shared" ca="1" si="26"/>
        <v>108</v>
      </c>
      <c r="I241" s="75">
        <f t="shared" ca="1" si="27"/>
        <v>108</v>
      </c>
      <c r="L241" s="75">
        <f ca="1">IF(ABS('main page'!$K$29*L240+(1-'main page'!$K$29)*(controls!$B$9/100)*100+'main page'!$K$25*(D241-B241)-L240)&lt;0.0000001,L240,'main page'!$K$29*L240+(1-'main page'!$K$29)*(controls!$B$9/100)*100+'main page'!$K$25*(D241-B241))</f>
        <v>2</v>
      </c>
      <c r="M241" s="96">
        <f ca="1">IF(controls!$B$10=1,M240,IF(SUM(controls!$B$44:$B$46)=2,N241-'main page'!$K$29*'normal case'!L241-(1-'main page'!$K$29)*'main page'!$K$32,N241-'main page'!$K$29*'normal case'!L241-(1-'main page'!$K$29)*controls!$B$9))</f>
        <v>4</v>
      </c>
      <c r="N241" s="208">
        <f ca="1">IF(controls!$B$45=1,IF(controls!$B$46=1,'main page'!$K$24+'main page'!$K$11+'main page'!$U$8,'main page'!$K$24+'main page'!$K$11+'main page'!$K$32),IF(controls!$B$44=1,IF(O241&lt;0,0,O241),IF(O241+'main page'!$K$11&lt;0,0,O241+'main page'!$K$11)))</f>
        <v>6</v>
      </c>
      <c r="O241" s="76">
        <f ca="1">IF(controls!$B$10=1,'normal case'!M241+'normal case'!L241,'normal case'!P241)</f>
        <v>6</v>
      </c>
      <c r="P241" s="74">
        <f t="shared" ca="1" si="22"/>
        <v>6</v>
      </c>
      <c r="Q241" s="210">
        <f ca="1">IF(controls!$B$44=0,R241+'main page'!$K$29*L241+(1-'main page'!$K$29)*controls!$B$9+(('main page'!$K$25*'main page'!$U$13*'main page'!$K$29)/('main page'!$K$27*(1+('main page'!$K$25^2)*'main page'!$U$13)))*(L241-controls!$B$9),R241+'main page'!$K$29*L241+(1-'main page'!$K$29)*controls!$B$9+(('main page'!$K$25*'main page'!$U$13*'normal case'!$AO$3)/'normal case'!$AO$4)*('normal case'!L241-controls!$B$9))</f>
        <v>6</v>
      </c>
      <c r="R241" s="98">
        <f ca="1">IF(controls!$B$44=1,'main page'!$K$24+'main page'!$K$11,IF(controls!$B$33=1,((I242-D241*W242-B242+B241*V242)/'main page'!$K$27)-'main page'!$K$11,((H242-D241*W242-B242+B241*V242)/'main page'!$K$27)-'main page'!$K$11))</f>
        <v>4</v>
      </c>
      <c r="T241" s="71">
        <f>IF(controls!$B$6=1,$AL$3*(1+('main page'!$K$35/100))^U241-$AL$3*(1+('main page'!$K$35/100))^U240,$AL$3*(1+('main page'!$G$8/100))*(1+('main page'!$K$35/100))^U241-$AL$3*(1+('main page'!$G$8/100))*(1+('main page'!$K$35/100))^U240)</f>
        <v>0</v>
      </c>
      <c r="U241" s="73">
        <v>234</v>
      </c>
      <c r="V241" s="161">
        <v>0</v>
      </c>
      <c r="W241" s="40">
        <v>0</v>
      </c>
      <c r="X241" s="49">
        <f ca="1">IF(controls!$B$33=1,D241-($I$3-'main page'!$K$27*2)*(1+('main page'!$K$35/100))^A240,D241-$AL$4)</f>
        <v>0</v>
      </c>
      <c r="Y241" s="49">
        <f ca="1">ABS(L241-(controls!$B$9/100)*100)</f>
        <v>0</v>
      </c>
      <c r="AA241" s="49" t="e">
        <f ca="1">IF(controls!$B$33=1,(B242-B241*V242-I242+D241*W242+'main page'!$K$27*('main page'!$K$24+'main page'!$K$11))/'main page'!$K$31,(B242-B241*V242+D241*W242-H242+'main page'!$K$27*('main page'!$K$24+'main page'!$K$11))/'main page'!$K$31)</f>
        <v>#DIV/0!</v>
      </c>
      <c r="AB241" s="49" t="e">
        <f ca="1">IF(controls!$B$45=1,LOG(AF241,1.01)+LOG(AE241,1.01)-LOG(AD241,1.01),-((M241-('main page'!$K$24+'main page'!$K$11))/(1-'normal case'!$AO$3))+'normal case'!AA241)</f>
        <v>#DIV/0!</v>
      </c>
      <c r="AC241" s="176" t="e">
        <f t="shared" ca="1" si="23"/>
        <v>#DIV/0!</v>
      </c>
      <c r="AD241" s="49">
        <f t="shared" ca="1" si="24"/>
        <v>111.38863432616711</v>
      </c>
      <c r="AE241" s="49">
        <f>AE240*(1+'main page'!$K$32/100)</f>
        <v>1</v>
      </c>
      <c r="AF241" s="49" t="e">
        <f ca="1">IF(ABS(IF(controls!$B$45=1,$AL$13,AD241*AC241/AE241)-AF240)&lt;0.00001,AF240,IF(controls!$B$45=1,$AL$13,AD241*AC241/AE241))</f>
        <v>#DIV/0!</v>
      </c>
      <c r="AG241" s="49">
        <f>IF(controls!$B$46=0,0,IF(controls!$B$33=2,B242-B241*V242-('normal case'!H242-D241*W242-'main page'!$K$27*'normal case'!M241+'main page'!$K$31*'normal case'!AB241)-(('main page'!$K$25*'main page'!$U$13*'main page'!$K$29)/(1+('main page'!$K$25^2)*'main page'!$U$13))*('normal case'!L241-'main page'!$U$8),B242-B241*V242-('normal case'!I242-D241*W242-'main page'!$K$27*'normal case'!M241+'main page'!$K$31*'normal case'!AB241)-(('main page'!$K$25*'main page'!$U$13*'main page'!$K$29)/(1+('main page'!$K$25^2)*'main page'!$U$13))*('normal case'!L241-'main page'!$U$8)))</f>
        <v>0</v>
      </c>
      <c r="AN241" s="40"/>
      <c r="AO241" s="40"/>
    </row>
    <row r="242" spans="1:41">
      <c r="A242" s="48">
        <v>240</v>
      </c>
      <c r="B242" s="75">
        <f ca="1">IF(controls!$B$33=1,B241*(1+V242)+T242,B241*(1+V242))</f>
        <v>100</v>
      </c>
      <c r="C242" s="80">
        <f t="shared" ca="1" si="25"/>
        <v>0</v>
      </c>
      <c r="D242" s="77">
        <f t="shared" ca="1" si="21"/>
        <v>100</v>
      </c>
      <c r="E242" s="77">
        <f ca="1">AG241+IF(controls!$B$33=1,G242,F242)</f>
        <v>100</v>
      </c>
      <c r="F242" s="94">
        <f ca="1">IF(controls!$B$44=0,H242-'main page'!$K$27*M241,H242-'main page'!$K$27*M241+'main page'!$K$31*AB241)</f>
        <v>100</v>
      </c>
      <c r="G242" s="75">
        <f ca="1">IF(controls!$B$44=0,I242-'main page'!$K$27*M241,I242-'main page'!$K$27*M241+'main page'!$K$31*'normal case'!AB241)</f>
        <v>100</v>
      </c>
      <c r="H242" s="75">
        <f t="shared" ca="1" si="26"/>
        <v>108</v>
      </c>
      <c r="I242" s="75">
        <f t="shared" ca="1" si="27"/>
        <v>108</v>
      </c>
      <c r="L242" s="75">
        <f ca="1">IF(ABS('main page'!$K$29*L241+(1-'main page'!$K$29)*(controls!$B$9/100)*100+'main page'!$K$25*(D242-B242)-L241)&lt;0.0000001,L241,'main page'!$K$29*L241+(1-'main page'!$K$29)*(controls!$B$9/100)*100+'main page'!$K$25*(D242-B242))</f>
        <v>2</v>
      </c>
      <c r="M242" s="96">
        <f ca="1">IF(controls!$B$10=1,M241,IF(SUM(controls!$B$44:$B$46)=2,N242-'main page'!$K$29*'normal case'!L242-(1-'main page'!$K$29)*'main page'!$K$32,N242-'main page'!$K$29*'normal case'!L242-(1-'main page'!$K$29)*controls!$B$9))</f>
        <v>4</v>
      </c>
      <c r="N242" s="208">
        <f ca="1">IF(controls!$B$45=1,IF(controls!$B$46=1,'main page'!$K$24+'main page'!$K$11+'main page'!$U$8,'main page'!$K$24+'main page'!$K$11+'main page'!$K$32),IF(controls!$B$44=1,IF(O242&lt;0,0,O242),IF(O242+'main page'!$K$11&lt;0,0,O242+'main page'!$K$11)))</f>
        <v>6</v>
      </c>
      <c r="O242" s="76">
        <f ca="1">IF(controls!$B$10=1,'normal case'!M242+'normal case'!L242,'normal case'!P242)</f>
        <v>6</v>
      </c>
      <c r="P242" s="74">
        <f t="shared" ca="1" si="22"/>
        <v>6</v>
      </c>
      <c r="Q242" s="210">
        <f ca="1">IF(controls!$B$44=0,R242+'main page'!$K$29*L242+(1-'main page'!$K$29)*controls!$B$9+(('main page'!$K$25*'main page'!$U$13*'main page'!$K$29)/('main page'!$K$27*(1+('main page'!$K$25^2)*'main page'!$U$13)))*(L242-controls!$B$9),R242+'main page'!$K$29*L242+(1-'main page'!$K$29)*controls!$B$9+(('main page'!$K$25*'main page'!$U$13*'normal case'!$AO$3)/'normal case'!$AO$4)*('normal case'!L242-controls!$B$9))</f>
        <v>6</v>
      </c>
      <c r="R242" s="98">
        <f ca="1">IF(controls!$B$44=1,'main page'!$K$24+'main page'!$K$11,IF(controls!$B$33=1,((I243-D242*W243-B243+B242*V243)/'main page'!$K$27)-'main page'!$K$11,((H243-D242*W243-B243+B242*V243)/'main page'!$K$27)-'main page'!$K$11))</f>
        <v>4</v>
      </c>
      <c r="T242" s="71">
        <f>IF(controls!$B$6=1,$AL$3*(1+('main page'!$K$35/100))^U242-$AL$3*(1+('main page'!$K$35/100))^U241,$AL$3*(1+('main page'!$G$8/100))*(1+('main page'!$K$35/100))^U242-$AL$3*(1+('main page'!$G$8/100))*(1+('main page'!$K$35/100))^U241)</f>
        <v>0</v>
      </c>
      <c r="U242" s="73">
        <v>235</v>
      </c>
      <c r="V242" s="161">
        <f ca="1">IF(controls!$B$4=1,IF(controls!$H241=1,controls!$B$34*V241+RAND()*('main page'!$K$16/100)-RAND()*('main page'!$K$16/100),0),0)</f>
        <v>0</v>
      </c>
      <c r="W242" s="40">
        <f ca="1">IF(controls!$B$4=1,IF(controls!$I241=1,controls!$B$34*W241+RAND()*('main page'!$K$16/100)-RAND()*('main page'!$K$16/100),0),0)</f>
        <v>0</v>
      </c>
      <c r="X242" s="49">
        <f ca="1">IF(controls!$B$33=1,D242-($I$3-'main page'!$K$27*2)*(1+('main page'!$K$35/100))^A241,D242-$AL$4)</f>
        <v>0</v>
      </c>
      <c r="Y242" s="49">
        <f ca="1">ABS(L242-(controls!$B$9/100)*100)</f>
        <v>0</v>
      </c>
      <c r="AA242" s="49" t="e">
        <f ca="1">IF(controls!$B$33=1,(B243-B242*V243-I243+D242*W243+'main page'!$K$27*('main page'!$K$24+'main page'!$K$11))/'main page'!$K$31,(B243-B242*V243+D242*W243-H243+'main page'!$K$27*('main page'!$K$24+'main page'!$K$11))/'main page'!$K$31)</f>
        <v>#DIV/0!</v>
      </c>
      <c r="AB242" s="49" t="e">
        <f ca="1">IF(controls!$B$45=1,LOG(AF242,1.01)+LOG(AE242,1.01)-LOG(AD242,1.01),-((M242-('main page'!$K$24+'main page'!$K$11))/(1-'normal case'!$AO$3))+'normal case'!AA242)</f>
        <v>#DIV/0!</v>
      </c>
      <c r="AC242" s="176" t="e">
        <f t="shared" ca="1" si="23"/>
        <v>#DIV/0!</v>
      </c>
      <c r="AD242" s="49">
        <f t="shared" ca="1" si="24"/>
        <v>113.61640701269044</v>
      </c>
      <c r="AE242" s="49">
        <f>AE241*(1+'main page'!$K$32/100)</f>
        <v>1</v>
      </c>
      <c r="AF242" s="49" t="e">
        <f ca="1">IF(ABS(IF(controls!$B$45=1,$AL$13,AD242*AC242/AE242)-AF241)&lt;0.00001,AF241,IF(controls!$B$45=1,$AL$13,AD242*AC242/AE242))</f>
        <v>#DIV/0!</v>
      </c>
      <c r="AG242" s="49">
        <f>IF(controls!$B$46=0,0,IF(controls!$B$33=2,B243-B242*V243-('normal case'!H243-D242*W243-'main page'!$K$27*'normal case'!M242+'main page'!$K$31*'normal case'!AB242)-(('main page'!$K$25*'main page'!$U$13*'main page'!$K$29)/(1+('main page'!$K$25^2)*'main page'!$U$13))*('normal case'!L242-'main page'!$U$8),B243-B242*V243-('normal case'!I243-D242*W243-'main page'!$K$27*'normal case'!M242+'main page'!$K$31*'normal case'!AB242)-(('main page'!$K$25*'main page'!$U$13*'main page'!$K$29)/(1+('main page'!$K$25^2)*'main page'!$U$13))*('normal case'!L242-'main page'!$U$8)))</f>
        <v>0</v>
      </c>
      <c r="AN242" s="40"/>
      <c r="AO242" s="40"/>
    </row>
    <row r="243" spans="1:41">
      <c r="A243" s="48">
        <v>241</v>
      </c>
      <c r="B243" s="75">
        <f ca="1">IF(controls!$B$33=1,B242*(1+V243)+T243,B242*(1+V243))</f>
        <v>100</v>
      </c>
      <c r="C243" s="80">
        <f t="shared" ca="1" si="25"/>
        <v>0</v>
      </c>
      <c r="D243" s="77">
        <f t="shared" ca="1" si="21"/>
        <v>100</v>
      </c>
      <c r="E243" s="77">
        <f ca="1">AG242+IF(controls!$B$33=1,G243,F243)</f>
        <v>100</v>
      </c>
      <c r="F243" s="94">
        <f ca="1">IF(controls!$B$44=0,H243-'main page'!$K$27*M242,H243-'main page'!$K$27*M242+'main page'!$K$31*AB242)</f>
        <v>100</v>
      </c>
      <c r="G243" s="75">
        <f ca="1">IF(controls!$B$44=0,I243-'main page'!$K$27*M242,I243-'main page'!$K$27*M242+'main page'!$K$31*'normal case'!AB242)</f>
        <v>100</v>
      </c>
      <c r="H243" s="75">
        <f t="shared" ca="1" si="26"/>
        <v>108</v>
      </c>
      <c r="I243" s="75">
        <f t="shared" ca="1" si="27"/>
        <v>108</v>
      </c>
      <c r="L243" s="75">
        <f ca="1">IF(ABS('main page'!$K$29*L242+(1-'main page'!$K$29)*(controls!$B$9/100)*100+'main page'!$K$25*(D243-B243)-L242)&lt;0.0000001,L242,'main page'!$K$29*L242+(1-'main page'!$K$29)*(controls!$B$9/100)*100+'main page'!$K$25*(D243-B243))</f>
        <v>2</v>
      </c>
      <c r="M243" s="96">
        <f ca="1">IF(controls!$B$10=1,M242,IF(SUM(controls!$B$44:$B$46)=2,N243-'main page'!$K$29*'normal case'!L243-(1-'main page'!$K$29)*'main page'!$K$32,N243-'main page'!$K$29*'normal case'!L243-(1-'main page'!$K$29)*controls!$B$9))</f>
        <v>4</v>
      </c>
      <c r="N243" s="208">
        <f ca="1">IF(controls!$B$45=1,IF(controls!$B$46=1,'main page'!$K$24+'main page'!$K$11+'main page'!$U$8,'main page'!$K$24+'main page'!$K$11+'main page'!$K$32),IF(controls!$B$44=1,IF(O243&lt;0,0,O243),IF(O243+'main page'!$K$11&lt;0,0,O243+'main page'!$K$11)))</f>
        <v>6</v>
      </c>
      <c r="O243" s="76">
        <f ca="1">IF(controls!$B$10=1,'normal case'!M243+'normal case'!L243,'normal case'!P243)</f>
        <v>6</v>
      </c>
      <c r="P243" s="74">
        <f t="shared" ca="1" si="22"/>
        <v>6</v>
      </c>
      <c r="Q243" s="210">
        <f ca="1">IF(controls!$B$44=0,R243+'main page'!$K$29*L243+(1-'main page'!$K$29)*controls!$B$9+(('main page'!$K$25*'main page'!$U$13*'main page'!$K$29)/('main page'!$K$27*(1+('main page'!$K$25^2)*'main page'!$U$13)))*(L243-controls!$B$9),R243+'main page'!$K$29*L243+(1-'main page'!$K$29)*controls!$B$9+(('main page'!$K$25*'main page'!$U$13*'normal case'!$AO$3)/'normal case'!$AO$4)*('normal case'!L243-controls!$B$9))</f>
        <v>6</v>
      </c>
      <c r="R243" s="98">
        <f ca="1">IF(controls!$B$44=1,'main page'!$K$24+'main page'!$K$11,IF(controls!$B$33=1,((I244-D243*W244-B244+B243*V244)/'main page'!$K$27)-'main page'!$K$11,((H244-D243*W244-B244+B243*V244)/'main page'!$K$27)-'main page'!$K$11))</f>
        <v>4</v>
      </c>
      <c r="T243" s="71">
        <f>IF(controls!$B$6=1,$AL$3*(1+('main page'!$K$35/100))^U243-$AL$3*(1+('main page'!$K$35/100))^U242,$AL$3*(1+('main page'!$G$8/100))*(1+('main page'!$K$35/100))^U243-$AL$3*(1+('main page'!$G$8/100))*(1+('main page'!$K$35/100))^U242)</f>
        <v>0</v>
      </c>
      <c r="U243" s="73">
        <v>236</v>
      </c>
      <c r="V243" s="161">
        <v>0</v>
      </c>
      <c r="W243" s="40">
        <v>0</v>
      </c>
      <c r="X243" s="49">
        <f ca="1">IF(controls!$B$33=1,D243-($I$3-'main page'!$K$27*2)*(1+('main page'!$K$35/100))^A242,D243-$AL$4)</f>
        <v>0</v>
      </c>
      <c r="Y243" s="49">
        <f ca="1">ABS(L243-(controls!$B$9/100)*100)</f>
        <v>0</v>
      </c>
      <c r="AA243" s="49" t="e">
        <f ca="1">IF(controls!$B$33=1,(B244-B243*V244-I244+D243*W244+'main page'!$K$27*('main page'!$K$24+'main page'!$K$11))/'main page'!$K$31,(B244-B243*V244+D243*W244-H244+'main page'!$K$27*('main page'!$K$24+'main page'!$K$11))/'main page'!$K$31)</f>
        <v>#DIV/0!</v>
      </c>
      <c r="AB243" s="49" t="e">
        <f ca="1">IF(controls!$B$45=1,LOG(AF243,1.01)+LOG(AE243,1.01)-LOG(AD243,1.01),-((M243-('main page'!$K$24+'main page'!$K$11))/(1-'normal case'!$AO$3))+'normal case'!AA243)</f>
        <v>#DIV/0!</v>
      </c>
      <c r="AC243" s="176" t="e">
        <f t="shared" ca="1" si="23"/>
        <v>#DIV/0!</v>
      </c>
      <c r="AD243" s="49">
        <f t="shared" ca="1" si="24"/>
        <v>115.88873515294425</v>
      </c>
      <c r="AE243" s="49">
        <f>AE242*(1+'main page'!$K$32/100)</f>
        <v>1</v>
      </c>
      <c r="AF243" s="49" t="e">
        <f ca="1">IF(ABS(IF(controls!$B$45=1,$AL$13,AD243*AC243/AE243)-AF242)&lt;0.00001,AF242,IF(controls!$B$45=1,$AL$13,AD243*AC243/AE243))</f>
        <v>#DIV/0!</v>
      </c>
      <c r="AG243" s="49">
        <f>IF(controls!$B$46=0,0,IF(controls!$B$33=2,B244-B243*V244-('normal case'!H244-D243*W244-'main page'!$K$27*'normal case'!M243+'main page'!$K$31*'normal case'!AB243)-(('main page'!$K$25*'main page'!$U$13*'main page'!$K$29)/(1+('main page'!$K$25^2)*'main page'!$U$13))*('normal case'!L243-'main page'!$U$8),B244-B243*V244-('normal case'!I244-D243*W244-'main page'!$K$27*'normal case'!M243+'main page'!$K$31*'normal case'!AB243)-(('main page'!$K$25*'main page'!$U$13*'main page'!$K$29)/(1+('main page'!$K$25^2)*'main page'!$U$13))*('normal case'!L243-'main page'!$U$8)))</f>
        <v>0</v>
      </c>
      <c r="AN243" s="40"/>
      <c r="AO243" s="40"/>
    </row>
    <row r="244" spans="1:41">
      <c r="A244" s="48">
        <v>242</v>
      </c>
      <c r="B244" s="75">
        <f ca="1">IF(controls!$B$33=1,B243*(1+V244)+T244,B243*(1+V244))</f>
        <v>100</v>
      </c>
      <c r="C244" s="80">
        <f t="shared" ca="1" si="25"/>
        <v>0</v>
      </c>
      <c r="D244" s="77">
        <f t="shared" ca="1" si="21"/>
        <v>100</v>
      </c>
      <c r="E244" s="77">
        <f ca="1">AG243+IF(controls!$B$33=1,G244,F244)</f>
        <v>100</v>
      </c>
      <c r="F244" s="94">
        <f ca="1">IF(controls!$B$44=0,H244-'main page'!$K$27*M243,H244-'main page'!$K$27*M243+'main page'!$K$31*AB243)</f>
        <v>100</v>
      </c>
      <c r="G244" s="75">
        <f ca="1">IF(controls!$B$44=0,I244-'main page'!$K$27*M243,I244-'main page'!$K$27*M243+'main page'!$K$31*'normal case'!AB243)</f>
        <v>100</v>
      </c>
      <c r="H244" s="75">
        <f t="shared" ca="1" si="26"/>
        <v>108</v>
      </c>
      <c r="I244" s="75">
        <f t="shared" ca="1" si="27"/>
        <v>108</v>
      </c>
      <c r="L244" s="75">
        <f ca="1">IF(ABS('main page'!$K$29*L243+(1-'main page'!$K$29)*(controls!$B$9/100)*100+'main page'!$K$25*(D244-B244)-L243)&lt;0.0000001,L243,'main page'!$K$29*L243+(1-'main page'!$K$29)*(controls!$B$9/100)*100+'main page'!$K$25*(D244-B244))</f>
        <v>2</v>
      </c>
      <c r="M244" s="96">
        <f ca="1">IF(controls!$B$10=1,M243,IF(SUM(controls!$B$44:$B$46)=2,N244-'main page'!$K$29*'normal case'!L244-(1-'main page'!$K$29)*'main page'!$K$32,N244-'main page'!$K$29*'normal case'!L244-(1-'main page'!$K$29)*controls!$B$9))</f>
        <v>4</v>
      </c>
      <c r="N244" s="208">
        <f ca="1">IF(controls!$B$45=1,IF(controls!$B$46=1,'main page'!$K$24+'main page'!$K$11+'main page'!$U$8,'main page'!$K$24+'main page'!$K$11+'main page'!$K$32),IF(controls!$B$44=1,IF(O244&lt;0,0,O244),IF(O244+'main page'!$K$11&lt;0,0,O244+'main page'!$K$11)))</f>
        <v>6</v>
      </c>
      <c r="O244" s="76">
        <f ca="1">IF(controls!$B$10=1,'normal case'!M244+'normal case'!L244,'normal case'!P244)</f>
        <v>6</v>
      </c>
      <c r="P244" s="74">
        <f t="shared" ca="1" si="22"/>
        <v>6</v>
      </c>
      <c r="Q244" s="210">
        <f ca="1">IF(controls!$B$44=0,R244+'main page'!$K$29*L244+(1-'main page'!$K$29)*controls!$B$9+(('main page'!$K$25*'main page'!$U$13*'main page'!$K$29)/('main page'!$K$27*(1+('main page'!$K$25^2)*'main page'!$U$13)))*(L244-controls!$B$9),R244+'main page'!$K$29*L244+(1-'main page'!$K$29)*controls!$B$9+(('main page'!$K$25*'main page'!$U$13*'normal case'!$AO$3)/'normal case'!$AO$4)*('normal case'!L244-controls!$B$9))</f>
        <v>6</v>
      </c>
      <c r="R244" s="98">
        <f ca="1">IF(controls!$B$44=1,'main page'!$K$24+'main page'!$K$11,IF(controls!$B$33=1,((I245-D244*W245-B245+B244*V245)/'main page'!$K$27)-'main page'!$K$11,((H245-D244*W245-B245+B244*V245)/'main page'!$K$27)-'main page'!$K$11))</f>
        <v>4</v>
      </c>
      <c r="T244" s="71">
        <f>IF(controls!$B$6=1,$AL$3*(1+('main page'!$K$35/100))^U244-$AL$3*(1+('main page'!$K$35/100))^U243,$AL$3*(1+('main page'!$G$8/100))*(1+('main page'!$K$35/100))^U244-$AL$3*(1+('main page'!$G$8/100))*(1+('main page'!$K$35/100))^U243)</f>
        <v>0</v>
      </c>
      <c r="U244" s="73">
        <v>237</v>
      </c>
      <c r="V244" s="161">
        <v>0</v>
      </c>
      <c r="W244" s="40">
        <v>0</v>
      </c>
      <c r="X244" s="49">
        <f ca="1">IF(controls!$B$33=1,D244-($I$3-'main page'!$K$27*2)*(1+('main page'!$K$35/100))^A243,D244-$AL$4)</f>
        <v>0</v>
      </c>
      <c r="Y244" s="49">
        <f ca="1">ABS(L244-(controls!$B$9/100)*100)</f>
        <v>0</v>
      </c>
      <c r="AA244" s="49" t="e">
        <f ca="1">IF(controls!$B$33=1,(B245-B244*V245-I245+D244*W245+'main page'!$K$27*('main page'!$K$24+'main page'!$K$11))/'main page'!$K$31,(B245-B244*V245+D244*W245-H245+'main page'!$K$27*('main page'!$K$24+'main page'!$K$11))/'main page'!$K$31)</f>
        <v>#DIV/0!</v>
      </c>
      <c r="AB244" s="49" t="e">
        <f ca="1">IF(controls!$B$45=1,LOG(AF244,1.01)+LOG(AE244,1.01)-LOG(AD244,1.01),-((M244-('main page'!$K$24+'main page'!$K$11))/(1-'normal case'!$AO$3))+'normal case'!AA244)</f>
        <v>#DIV/0!</v>
      </c>
      <c r="AC244" s="176" t="e">
        <f t="shared" ca="1" si="23"/>
        <v>#DIV/0!</v>
      </c>
      <c r="AD244" s="49">
        <f t="shared" ca="1" si="24"/>
        <v>118.20650985600314</v>
      </c>
      <c r="AE244" s="49">
        <f>AE243*(1+'main page'!$K$32/100)</f>
        <v>1</v>
      </c>
      <c r="AF244" s="49" t="e">
        <f ca="1">IF(ABS(IF(controls!$B$45=1,$AL$13,AD244*AC244/AE244)-AF243)&lt;0.00001,AF243,IF(controls!$B$45=1,$AL$13,AD244*AC244/AE244))</f>
        <v>#DIV/0!</v>
      </c>
      <c r="AG244" s="49">
        <f>IF(controls!$B$46=0,0,IF(controls!$B$33=2,B245-B244*V245-('normal case'!H245-D244*W245-'main page'!$K$27*'normal case'!M244+'main page'!$K$31*'normal case'!AB244)-(('main page'!$K$25*'main page'!$U$13*'main page'!$K$29)/(1+('main page'!$K$25^2)*'main page'!$U$13))*('normal case'!L244-'main page'!$U$8),B245-B244*V245-('normal case'!I245-D244*W245-'main page'!$K$27*'normal case'!M244+'main page'!$K$31*'normal case'!AB244)-(('main page'!$K$25*'main page'!$U$13*'main page'!$K$29)/(1+('main page'!$K$25^2)*'main page'!$U$13))*('normal case'!L244-'main page'!$U$8)))</f>
        <v>0</v>
      </c>
      <c r="AN244" s="40"/>
      <c r="AO244" s="40"/>
    </row>
    <row r="245" spans="1:41">
      <c r="A245" s="48">
        <v>243</v>
      </c>
      <c r="B245" s="75">
        <f ca="1">IF(controls!$B$33=1,B244*(1+V245)+T245,B244*(1+V245))</f>
        <v>100</v>
      </c>
      <c r="C245" s="80">
        <f t="shared" ca="1" si="25"/>
        <v>0</v>
      </c>
      <c r="D245" s="77">
        <f t="shared" ca="1" si="21"/>
        <v>100</v>
      </c>
      <c r="E245" s="77">
        <f ca="1">AG244+IF(controls!$B$33=1,G245,F245)</f>
        <v>100</v>
      </c>
      <c r="F245" s="94">
        <f ca="1">IF(controls!$B$44=0,H245-'main page'!$K$27*M244,H245-'main page'!$K$27*M244+'main page'!$K$31*AB244)</f>
        <v>100</v>
      </c>
      <c r="G245" s="75">
        <f ca="1">IF(controls!$B$44=0,I245-'main page'!$K$27*M244,I245-'main page'!$K$27*M244+'main page'!$K$31*'normal case'!AB244)</f>
        <v>100</v>
      </c>
      <c r="H245" s="75">
        <f t="shared" ca="1" si="26"/>
        <v>108</v>
      </c>
      <c r="I245" s="75">
        <f t="shared" ca="1" si="27"/>
        <v>108</v>
      </c>
      <c r="L245" s="75">
        <f ca="1">IF(ABS('main page'!$K$29*L244+(1-'main page'!$K$29)*(controls!$B$9/100)*100+'main page'!$K$25*(D245-B245)-L244)&lt;0.0000001,L244,'main page'!$K$29*L244+(1-'main page'!$K$29)*(controls!$B$9/100)*100+'main page'!$K$25*(D245-B245))</f>
        <v>2</v>
      </c>
      <c r="M245" s="96">
        <f ca="1">IF(controls!$B$10=1,M244,IF(SUM(controls!$B$44:$B$46)=2,N245-'main page'!$K$29*'normal case'!L245-(1-'main page'!$K$29)*'main page'!$K$32,N245-'main page'!$K$29*'normal case'!L245-(1-'main page'!$K$29)*controls!$B$9))</f>
        <v>4</v>
      </c>
      <c r="N245" s="208">
        <f ca="1">IF(controls!$B$45=1,IF(controls!$B$46=1,'main page'!$K$24+'main page'!$K$11+'main page'!$U$8,'main page'!$K$24+'main page'!$K$11+'main page'!$K$32),IF(controls!$B$44=1,IF(O245&lt;0,0,O245),IF(O245+'main page'!$K$11&lt;0,0,O245+'main page'!$K$11)))</f>
        <v>6</v>
      </c>
      <c r="O245" s="76">
        <f ca="1">IF(controls!$B$10=1,'normal case'!M245+'normal case'!L245,'normal case'!P245)</f>
        <v>6</v>
      </c>
      <c r="P245" s="74">
        <f t="shared" ca="1" si="22"/>
        <v>6</v>
      </c>
      <c r="Q245" s="210">
        <f ca="1">IF(controls!$B$44=0,R245+'main page'!$K$29*L245+(1-'main page'!$K$29)*controls!$B$9+(('main page'!$K$25*'main page'!$U$13*'main page'!$K$29)/('main page'!$K$27*(1+('main page'!$K$25^2)*'main page'!$U$13)))*(L245-controls!$B$9),R245+'main page'!$K$29*L245+(1-'main page'!$K$29)*controls!$B$9+(('main page'!$K$25*'main page'!$U$13*'normal case'!$AO$3)/'normal case'!$AO$4)*('normal case'!L245-controls!$B$9))</f>
        <v>6</v>
      </c>
      <c r="R245" s="98">
        <f ca="1">IF(controls!$B$44=1,'main page'!$K$24+'main page'!$K$11,IF(controls!$B$33=1,((I246-D245*W246-B246+B245*V246)/'main page'!$K$27)-'main page'!$K$11,((H246-D245*W246-B246+B245*V246)/'main page'!$K$27)-'main page'!$K$11))</f>
        <v>4</v>
      </c>
      <c r="T245" s="71">
        <f>IF(controls!$B$6=1,$AL$3*(1+('main page'!$K$35/100))^U245-$AL$3*(1+('main page'!$K$35/100))^U244,$AL$3*(1+('main page'!$G$8/100))*(1+('main page'!$K$35/100))^U245-$AL$3*(1+('main page'!$G$8/100))*(1+('main page'!$K$35/100))^U244)</f>
        <v>0</v>
      </c>
      <c r="U245" s="73">
        <v>238</v>
      </c>
      <c r="V245" s="161">
        <f ca="1">IF(controls!$B$4=1,IF(controls!$H244=1,controls!$B$34*V244+RAND()*('main page'!$K$16/100)-RAND()*('main page'!$K$16/100),0),0)</f>
        <v>0</v>
      </c>
      <c r="W245" s="40">
        <f ca="1">IF(controls!$B$4=1,IF(controls!$I244=1,controls!$B$34*W244+RAND()*('main page'!$K$16/100)-RAND()*('main page'!$K$16/100),0),0)</f>
        <v>0</v>
      </c>
      <c r="X245" s="49">
        <f ca="1">IF(controls!$B$33=1,D245-($I$3-'main page'!$K$27*2)*(1+('main page'!$K$35/100))^A244,D245-$AL$4)</f>
        <v>0</v>
      </c>
      <c r="Y245" s="49">
        <f ca="1">ABS(L245-(controls!$B$9/100)*100)</f>
        <v>0</v>
      </c>
      <c r="AA245" s="49" t="e">
        <f ca="1">IF(controls!$B$33=1,(B246-B245*V246-I246+D245*W246+'main page'!$K$27*('main page'!$K$24+'main page'!$K$11))/'main page'!$K$31,(B246-B245*V246+D245*W246-H246+'main page'!$K$27*('main page'!$K$24+'main page'!$K$11))/'main page'!$K$31)</f>
        <v>#DIV/0!</v>
      </c>
      <c r="AB245" s="49" t="e">
        <f ca="1">IF(controls!$B$45=1,LOG(AF245,1.01)+LOG(AE245,1.01)-LOG(AD245,1.01),-((M245-('main page'!$K$24+'main page'!$K$11))/(1-'normal case'!$AO$3))+'normal case'!AA245)</f>
        <v>#DIV/0!</v>
      </c>
      <c r="AC245" s="176" t="e">
        <f t="shared" ca="1" si="23"/>
        <v>#DIV/0!</v>
      </c>
      <c r="AD245" s="49">
        <f t="shared" ca="1" si="24"/>
        <v>120.5706400531232</v>
      </c>
      <c r="AE245" s="49">
        <f>AE244*(1+'main page'!$K$32/100)</f>
        <v>1</v>
      </c>
      <c r="AF245" s="49" t="e">
        <f ca="1">IF(ABS(IF(controls!$B$45=1,$AL$13,AD245*AC245/AE245)-AF244)&lt;0.00001,AF244,IF(controls!$B$45=1,$AL$13,AD245*AC245/AE245))</f>
        <v>#DIV/0!</v>
      </c>
      <c r="AG245" s="49">
        <f>IF(controls!$B$46=0,0,IF(controls!$B$33=2,B246-B245*V246-('normal case'!H246-D245*W246-'main page'!$K$27*'normal case'!M245+'main page'!$K$31*'normal case'!AB245)-(('main page'!$K$25*'main page'!$U$13*'main page'!$K$29)/(1+('main page'!$K$25^2)*'main page'!$U$13))*('normal case'!L245-'main page'!$U$8),B246-B245*V246-('normal case'!I246-D245*W246-'main page'!$K$27*'normal case'!M245+'main page'!$K$31*'normal case'!AB245)-(('main page'!$K$25*'main page'!$U$13*'main page'!$K$29)/(1+('main page'!$K$25^2)*'main page'!$U$13))*('normal case'!L245-'main page'!$U$8)))</f>
        <v>0</v>
      </c>
      <c r="AN245" s="40"/>
      <c r="AO245" s="40"/>
    </row>
    <row r="246" spans="1:41">
      <c r="A246" s="48">
        <v>244</v>
      </c>
      <c r="B246" s="75">
        <f ca="1">IF(controls!$B$33=1,B245*(1+V246)+T246,B245*(1+V246))</f>
        <v>100</v>
      </c>
      <c r="C246" s="80">
        <f t="shared" ca="1" si="25"/>
        <v>0</v>
      </c>
      <c r="D246" s="77">
        <f t="shared" ca="1" si="21"/>
        <v>100</v>
      </c>
      <c r="E246" s="77">
        <f ca="1">AG245+IF(controls!$B$33=1,G246,F246)</f>
        <v>100</v>
      </c>
      <c r="F246" s="94">
        <f ca="1">IF(controls!$B$44=0,H246-'main page'!$K$27*M245,H246-'main page'!$K$27*M245+'main page'!$K$31*AB245)</f>
        <v>100</v>
      </c>
      <c r="G246" s="75">
        <f ca="1">IF(controls!$B$44=0,I246-'main page'!$K$27*M245,I246-'main page'!$K$27*M245+'main page'!$K$31*'normal case'!AB245)</f>
        <v>100</v>
      </c>
      <c r="H246" s="75">
        <f t="shared" ca="1" si="26"/>
        <v>108</v>
      </c>
      <c r="I246" s="75">
        <f t="shared" ca="1" si="27"/>
        <v>108</v>
      </c>
      <c r="L246" s="75">
        <f ca="1">IF(ABS('main page'!$K$29*L245+(1-'main page'!$K$29)*(controls!$B$9/100)*100+'main page'!$K$25*(D246-B246)-L245)&lt;0.0000001,L245,'main page'!$K$29*L245+(1-'main page'!$K$29)*(controls!$B$9/100)*100+'main page'!$K$25*(D246-B246))</f>
        <v>2</v>
      </c>
      <c r="M246" s="96">
        <f ca="1">IF(controls!$B$10=1,M245,IF(SUM(controls!$B$44:$B$46)=2,N246-'main page'!$K$29*'normal case'!L246-(1-'main page'!$K$29)*'main page'!$K$32,N246-'main page'!$K$29*'normal case'!L246-(1-'main page'!$K$29)*controls!$B$9))</f>
        <v>4</v>
      </c>
      <c r="N246" s="208">
        <f ca="1">IF(controls!$B$45=1,IF(controls!$B$46=1,'main page'!$K$24+'main page'!$K$11+'main page'!$U$8,'main page'!$K$24+'main page'!$K$11+'main page'!$K$32),IF(controls!$B$44=1,IF(O246&lt;0,0,O246),IF(O246+'main page'!$K$11&lt;0,0,O246+'main page'!$K$11)))</f>
        <v>6</v>
      </c>
      <c r="O246" s="76">
        <f ca="1">IF(controls!$B$10=1,'normal case'!M246+'normal case'!L246,'normal case'!P246)</f>
        <v>6</v>
      </c>
      <c r="P246" s="74">
        <f t="shared" ca="1" si="22"/>
        <v>6</v>
      </c>
      <c r="Q246" s="210">
        <f ca="1">IF(controls!$B$44=0,R246+'main page'!$K$29*L246+(1-'main page'!$K$29)*controls!$B$9+(('main page'!$K$25*'main page'!$U$13*'main page'!$K$29)/('main page'!$K$27*(1+('main page'!$K$25^2)*'main page'!$U$13)))*(L246-controls!$B$9),R246+'main page'!$K$29*L246+(1-'main page'!$K$29)*controls!$B$9+(('main page'!$K$25*'main page'!$U$13*'normal case'!$AO$3)/'normal case'!$AO$4)*('normal case'!L246-controls!$B$9))</f>
        <v>6</v>
      </c>
      <c r="R246" s="98">
        <f ca="1">IF(controls!$B$44=1,'main page'!$K$24+'main page'!$K$11,IF(controls!$B$33=1,((I247-D246*W247-B247+B246*V247)/'main page'!$K$27)-'main page'!$K$11,((H247-D246*W247-B247+B246*V247)/'main page'!$K$27)-'main page'!$K$11))</f>
        <v>4</v>
      </c>
      <c r="T246" s="71">
        <f>IF(controls!$B$6=1,$AL$3*(1+('main page'!$K$35/100))^U246-$AL$3*(1+('main page'!$K$35/100))^U245,$AL$3*(1+('main page'!$G$8/100))*(1+('main page'!$K$35/100))^U246-$AL$3*(1+('main page'!$G$8/100))*(1+('main page'!$K$35/100))^U245)</f>
        <v>0</v>
      </c>
      <c r="U246" s="73">
        <v>239</v>
      </c>
      <c r="V246" s="161">
        <v>0</v>
      </c>
      <c r="W246" s="40">
        <v>0</v>
      </c>
      <c r="X246" s="49">
        <f ca="1">IF(controls!$B$33=1,D246-($I$3-'main page'!$K$27*2)*(1+('main page'!$K$35/100))^A245,D246-$AL$4)</f>
        <v>0</v>
      </c>
      <c r="Y246" s="49">
        <f ca="1">ABS(L246-(controls!$B$9/100)*100)</f>
        <v>0</v>
      </c>
      <c r="AA246" s="49" t="e">
        <f ca="1">IF(controls!$B$33=1,(B247-B246*V247-I247+D246*W247+'main page'!$K$27*('main page'!$K$24+'main page'!$K$11))/'main page'!$K$31,(B247-B246*V247+D246*W247-H247+'main page'!$K$27*('main page'!$K$24+'main page'!$K$11))/'main page'!$K$31)</f>
        <v>#DIV/0!</v>
      </c>
      <c r="AB246" s="49" t="e">
        <f ca="1">IF(controls!$B$45=1,LOG(AF246,1.01)+LOG(AE246,1.01)-LOG(AD246,1.01),-((M246-('main page'!$K$24+'main page'!$K$11))/(1-'normal case'!$AO$3))+'normal case'!AA246)</f>
        <v>#DIV/0!</v>
      </c>
      <c r="AC246" s="176" t="e">
        <f t="shared" ca="1" si="23"/>
        <v>#DIV/0!</v>
      </c>
      <c r="AD246" s="49">
        <f t="shared" ca="1" si="24"/>
        <v>122.98205285418567</v>
      </c>
      <c r="AE246" s="49">
        <f>AE245*(1+'main page'!$K$32/100)</f>
        <v>1</v>
      </c>
      <c r="AF246" s="49" t="e">
        <f ca="1">IF(ABS(IF(controls!$B$45=1,$AL$13,AD246*AC246/AE246)-AF245)&lt;0.00001,AF245,IF(controls!$B$45=1,$AL$13,AD246*AC246/AE246))</f>
        <v>#DIV/0!</v>
      </c>
      <c r="AG246" s="49">
        <f>IF(controls!$B$46=0,0,IF(controls!$B$33=2,B247-B246*V247-('normal case'!H247-D246*W247-'main page'!$K$27*'normal case'!M246+'main page'!$K$31*'normal case'!AB246)-(('main page'!$K$25*'main page'!$U$13*'main page'!$K$29)/(1+('main page'!$K$25^2)*'main page'!$U$13))*('normal case'!L246-'main page'!$U$8),B247-B246*V247-('normal case'!I247-D246*W247-'main page'!$K$27*'normal case'!M246+'main page'!$K$31*'normal case'!AB246)-(('main page'!$K$25*'main page'!$U$13*'main page'!$K$29)/(1+('main page'!$K$25^2)*'main page'!$U$13))*('normal case'!L246-'main page'!$U$8)))</f>
        <v>0</v>
      </c>
      <c r="AN246" s="40"/>
      <c r="AO246" s="40"/>
    </row>
    <row r="247" spans="1:41">
      <c r="A247" s="48">
        <v>245</v>
      </c>
      <c r="B247" s="75">
        <f ca="1">IF(controls!$B$33=1,B246*(1+V247)+T247,B246*(1+V247))</f>
        <v>100</v>
      </c>
      <c r="C247" s="80">
        <f t="shared" ca="1" si="25"/>
        <v>0</v>
      </c>
      <c r="D247" s="77">
        <f t="shared" ca="1" si="21"/>
        <v>100</v>
      </c>
      <c r="E247" s="77">
        <f ca="1">AG246+IF(controls!$B$33=1,G247,F247)</f>
        <v>100</v>
      </c>
      <c r="F247" s="94">
        <f ca="1">IF(controls!$B$44=0,H247-'main page'!$K$27*M246,H247-'main page'!$K$27*M246+'main page'!$K$31*AB246)</f>
        <v>100</v>
      </c>
      <c r="G247" s="75">
        <f ca="1">IF(controls!$B$44=0,I247-'main page'!$K$27*M246,I247-'main page'!$K$27*M246+'main page'!$K$31*'normal case'!AB246)</f>
        <v>100</v>
      </c>
      <c r="H247" s="75">
        <f t="shared" ca="1" si="26"/>
        <v>108</v>
      </c>
      <c r="I247" s="75">
        <f t="shared" ca="1" si="27"/>
        <v>108</v>
      </c>
      <c r="L247" s="75">
        <f ca="1">IF(ABS('main page'!$K$29*L246+(1-'main page'!$K$29)*(controls!$B$9/100)*100+'main page'!$K$25*(D247-B247)-L246)&lt;0.0000001,L246,'main page'!$K$29*L246+(1-'main page'!$K$29)*(controls!$B$9/100)*100+'main page'!$K$25*(D247-B247))</f>
        <v>2</v>
      </c>
      <c r="M247" s="96">
        <f ca="1">IF(controls!$B$10=1,M246,IF(SUM(controls!$B$44:$B$46)=2,N247-'main page'!$K$29*'normal case'!L247-(1-'main page'!$K$29)*'main page'!$K$32,N247-'main page'!$K$29*'normal case'!L247-(1-'main page'!$K$29)*controls!$B$9))</f>
        <v>4</v>
      </c>
      <c r="N247" s="208">
        <f ca="1">IF(controls!$B$45=1,IF(controls!$B$46=1,'main page'!$K$24+'main page'!$K$11+'main page'!$U$8,'main page'!$K$24+'main page'!$K$11+'main page'!$K$32),IF(controls!$B$44=1,IF(O247&lt;0,0,O247),IF(O247+'main page'!$K$11&lt;0,0,O247+'main page'!$K$11)))</f>
        <v>6</v>
      </c>
      <c r="O247" s="76">
        <f ca="1">IF(controls!$B$10=1,'normal case'!M247+'normal case'!L247,'normal case'!P247)</f>
        <v>6</v>
      </c>
      <c r="P247" s="74">
        <f t="shared" ca="1" si="22"/>
        <v>6</v>
      </c>
      <c r="Q247" s="210">
        <f ca="1">IF(controls!$B$44=0,R247+'main page'!$K$29*L247+(1-'main page'!$K$29)*controls!$B$9+(('main page'!$K$25*'main page'!$U$13*'main page'!$K$29)/('main page'!$K$27*(1+('main page'!$K$25^2)*'main page'!$U$13)))*(L247-controls!$B$9),R247+'main page'!$K$29*L247+(1-'main page'!$K$29)*controls!$B$9+(('main page'!$K$25*'main page'!$U$13*'normal case'!$AO$3)/'normal case'!$AO$4)*('normal case'!L247-controls!$B$9))</f>
        <v>6</v>
      </c>
      <c r="R247" s="98">
        <f ca="1">IF(controls!$B$44=1,'main page'!$K$24+'main page'!$K$11,IF(controls!$B$33=1,((I248-D247*W248-B248+B247*V248)/'main page'!$K$27)-'main page'!$K$11,((H248-D247*W248-B248+B247*V248)/'main page'!$K$27)-'main page'!$K$11))</f>
        <v>4</v>
      </c>
      <c r="T247" s="71">
        <f>IF(controls!$B$6=1,$AL$3*(1+('main page'!$K$35/100))^U247-$AL$3*(1+('main page'!$K$35/100))^U246,$AL$3*(1+('main page'!$G$8/100))*(1+('main page'!$K$35/100))^U247-$AL$3*(1+('main page'!$G$8/100))*(1+('main page'!$K$35/100))^U246)</f>
        <v>0</v>
      </c>
      <c r="U247" s="73">
        <v>240</v>
      </c>
      <c r="V247" s="161">
        <v>0</v>
      </c>
      <c r="W247" s="40">
        <v>0</v>
      </c>
      <c r="X247" s="49">
        <f ca="1">IF(controls!$B$33=1,D247-($I$3-'main page'!$K$27*2)*(1+('main page'!$K$35/100))^A246,D247-$AL$4)</f>
        <v>0</v>
      </c>
      <c r="Y247" s="49">
        <f ca="1">ABS(L247-(controls!$B$9/100)*100)</f>
        <v>0</v>
      </c>
      <c r="AA247" s="49" t="e">
        <f ca="1">IF(controls!$B$33=1,(B248-B247*V248-I248+D247*W248+'main page'!$K$27*('main page'!$K$24+'main page'!$K$11))/'main page'!$K$31,(B248-B247*V248+D247*W248-H248+'main page'!$K$27*('main page'!$K$24+'main page'!$K$11))/'main page'!$K$31)</f>
        <v>#DIV/0!</v>
      </c>
      <c r="AB247" s="49" t="e">
        <f ca="1">IF(controls!$B$45=1,LOG(AF247,1.01)+LOG(AE247,1.01)-LOG(AD247,1.01),-((M247-('main page'!$K$24+'main page'!$K$11))/(1-'normal case'!$AO$3))+'normal case'!AA247)</f>
        <v>#DIV/0!</v>
      </c>
      <c r="AC247" s="176" t="e">
        <f t="shared" ca="1" si="23"/>
        <v>#DIV/0!</v>
      </c>
      <c r="AD247" s="49">
        <f t="shared" ca="1" si="24"/>
        <v>125.44169391126938</v>
      </c>
      <c r="AE247" s="49">
        <f>AE246*(1+'main page'!$K$32/100)</f>
        <v>1</v>
      </c>
      <c r="AF247" s="49" t="e">
        <f ca="1">IF(ABS(IF(controls!$B$45=1,$AL$13,AD247*AC247/AE247)-AF246)&lt;0.00001,AF246,IF(controls!$B$45=1,$AL$13,AD247*AC247/AE247))</f>
        <v>#DIV/0!</v>
      </c>
      <c r="AG247" s="49">
        <f>IF(controls!$B$46=0,0,IF(controls!$B$33=2,B248-B247*V248-('normal case'!H248-D247*W248-'main page'!$K$27*'normal case'!M247+'main page'!$K$31*'normal case'!AB247)-(('main page'!$K$25*'main page'!$U$13*'main page'!$K$29)/(1+('main page'!$K$25^2)*'main page'!$U$13))*('normal case'!L247-'main page'!$U$8),B248-B247*V248-('normal case'!I248-D247*W248-'main page'!$K$27*'normal case'!M247+'main page'!$K$31*'normal case'!AB247)-(('main page'!$K$25*'main page'!$U$13*'main page'!$K$29)/(1+('main page'!$K$25^2)*'main page'!$U$13))*('normal case'!L247-'main page'!$U$8)))</f>
        <v>0</v>
      </c>
      <c r="AN247" s="40"/>
      <c r="AO247" s="40"/>
    </row>
    <row r="248" spans="1:41">
      <c r="A248" s="48">
        <v>246</v>
      </c>
      <c r="B248" s="75">
        <f ca="1">IF(controls!$B$33=1,B247*(1+V248)+T248,B247*(1+V248))</f>
        <v>100</v>
      </c>
      <c r="C248" s="80">
        <f t="shared" ca="1" si="25"/>
        <v>0</v>
      </c>
      <c r="D248" s="77">
        <f t="shared" ca="1" si="21"/>
        <v>100</v>
      </c>
      <c r="E248" s="77">
        <f ca="1">AG247+IF(controls!$B$33=1,G248,F248)</f>
        <v>100</v>
      </c>
      <c r="F248" s="94">
        <f ca="1">IF(controls!$B$44=0,H248-'main page'!$K$27*M247,H248-'main page'!$K$27*M247+'main page'!$K$31*AB247)</f>
        <v>100</v>
      </c>
      <c r="G248" s="75">
        <f ca="1">IF(controls!$B$44=0,I248-'main page'!$K$27*M247,I248-'main page'!$K$27*M247+'main page'!$K$31*'normal case'!AB247)</f>
        <v>100</v>
      </c>
      <c r="H248" s="75">
        <f t="shared" ca="1" si="26"/>
        <v>108</v>
      </c>
      <c r="I248" s="75">
        <f t="shared" ca="1" si="27"/>
        <v>108</v>
      </c>
      <c r="L248" s="75">
        <f ca="1">IF(ABS('main page'!$K$29*L247+(1-'main page'!$K$29)*(controls!$B$9/100)*100+'main page'!$K$25*(D248-B248)-L247)&lt;0.0000001,L247,'main page'!$K$29*L247+(1-'main page'!$K$29)*(controls!$B$9/100)*100+'main page'!$K$25*(D248-B248))</f>
        <v>2</v>
      </c>
      <c r="M248" s="96">
        <f ca="1">IF(controls!$B$10=1,M247,IF(SUM(controls!$B$44:$B$46)=2,N248-'main page'!$K$29*'normal case'!L248-(1-'main page'!$K$29)*'main page'!$K$32,N248-'main page'!$K$29*'normal case'!L248-(1-'main page'!$K$29)*controls!$B$9))</f>
        <v>4</v>
      </c>
      <c r="N248" s="208">
        <f ca="1">IF(controls!$B$45=1,IF(controls!$B$46=1,'main page'!$K$24+'main page'!$K$11+'main page'!$U$8,'main page'!$K$24+'main page'!$K$11+'main page'!$K$32),IF(controls!$B$44=1,IF(O248&lt;0,0,O248),IF(O248+'main page'!$K$11&lt;0,0,O248+'main page'!$K$11)))</f>
        <v>6</v>
      </c>
      <c r="O248" s="76">
        <f ca="1">IF(controls!$B$10=1,'normal case'!M248+'normal case'!L248,'normal case'!P248)</f>
        <v>6</v>
      </c>
      <c r="P248" s="74">
        <f t="shared" ca="1" si="22"/>
        <v>6</v>
      </c>
      <c r="Q248" s="210">
        <f ca="1">IF(controls!$B$44=0,R248+'main page'!$K$29*L248+(1-'main page'!$K$29)*controls!$B$9+(('main page'!$K$25*'main page'!$U$13*'main page'!$K$29)/('main page'!$K$27*(1+('main page'!$K$25^2)*'main page'!$U$13)))*(L248-controls!$B$9),R248+'main page'!$K$29*L248+(1-'main page'!$K$29)*controls!$B$9+(('main page'!$K$25*'main page'!$U$13*'normal case'!$AO$3)/'normal case'!$AO$4)*('normal case'!L248-controls!$B$9))</f>
        <v>6</v>
      </c>
      <c r="R248" s="98">
        <f ca="1">IF(controls!$B$44=1,'main page'!$K$24+'main page'!$K$11,IF(controls!$B$33=1,((I249-D248*W249-B249+B248*V249)/'main page'!$K$27)-'main page'!$K$11,((H249-D248*W249-B249+B248*V249)/'main page'!$K$27)-'main page'!$K$11))</f>
        <v>4</v>
      </c>
      <c r="T248" s="71">
        <f>IF(controls!$B$6=1,$AL$3*(1+('main page'!$K$35/100))^U248-$AL$3*(1+('main page'!$K$35/100))^U247,$AL$3*(1+('main page'!$G$8/100))*(1+('main page'!$K$35/100))^U248-$AL$3*(1+('main page'!$G$8/100))*(1+('main page'!$K$35/100))^U247)</f>
        <v>0</v>
      </c>
      <c r="U248" s="73">
        <v>241</v>
      </c>
      <c r="V248" s="161">
        <f ca="1">IF(controls!$B$4=1,IF(controls!$H247=1,controls!$B$34*V247+RAND()*('main page'!$K$16/100)-RAND()*('main page'!$K$16/100),0),0)</f>
        <v>0</v>
      </c>
      <c r="W248" s="40">
        <f ca="1">IF(controls!$B$4=1,IF(controls!$I247=1,controls!$B$34*W247+RAND()*('main page'!$K$16/100)-RAND()*('main page'!$K$16/100),0),0)</f>
        <v>0</v>
      </c>
      <c r="X248" s="49">
        <f ca="1">IF(controls!$B$33=1,D248-($I$3-'main page'!$K$27*2)*(1+('main page'!$K$35/100))^A247,D248-$AL$4)</f>
        <v>0</v>
      </c>
      <c r="Y248" s="49">
        <f ca="1">ABS(L248-(controls!$B$9/100)*100)</f>
        <v>0</v>
      </c>
      <c r="AA248" s="49" t="e">
        <f ca="1">IF(controls!$B$33=1,(B249-B248*V249-I249+D248*W249+'main page'!$K$27*('main page'!$K$24+'main page'!$K$11))/'main page'!$K$31,(B249-B248*V249+D248*W249-H249+'main page'!$K$27*('main page'!$K$24+'main page'!$K$11))/'main page'!$K$31)</f>
        <v>#DIV/0!</v>
      </c>
      <c r="AB248" s="49" t="e">
        <f ca="1">IF(controls!$B$45=1,LOG(AF248,1.01)+LOG(AE248,1.01)-LOG(AD248,1.01),-((M248-('main page'!$K$24+'main page'!$K$11))/(1-'normal case'!$AO$3))+'normal case'!AA248)</f>
        <v>#DIV/0!</v>
      </c>
      <c r="AC248" s="176" t="e">
        <f t="shared" ca="1" si="23"/>
        <v>#DIV/0!</v>
      </c>
      <c r="AD248" s="49">
        <f t="shared" ca="1" si="24"/>
        <v>127.95052778949477</v>
      </c>
      <c r="AE248" s="49">
        <f>AE247*(1+'main page'!$K$32/100)</f>
        <v>1</v>
      </c>
      <c r="AF248" s="49" t="e">
        <f ca="1">IF(ABS(IF(controls!$B$45=1,$AL$13,AD248*AC248/AE248)-AF247)&lt;0.00001,AF247,IF(controls!$B$45=1,$AL$13,AD248*AC248/AE248))</f>
        <v>#DIV/0!</v>
      </c>
      <c r="AG248" s="49">
        <f>IF(controls!$B$46=0,0,IF(controls!$B$33=2,B249-B248*V249-('normal case'!H249-D248*W249-'main page'!$K$27*'normal case'!M248+'main page'!$K$31*'normal case'!AB248)-(('main page'!$K$25*'main page'!$U$13*'main page'!$K$29)/(1+('main page'!$K$25^2)*'main page'!$U$13))*('normal case'!L248-'main page'!$U$8),B249-B248*V249-('normal case'!I249-D248*W249-'main page'!$K$27*'normal case'!M248+'main page'!$K$31*'normal case'!AB248)-(('main page'!$K$25*'main page'!$U$13*'main page'!$K$29)/(1+('main page'!$K$25^2)*'main page'!$U$13))*('normal case'!L248-'main page'!$U$8)))</f>
        <v>0</v>
      </c>
      <c r="AN248" s="40"/>
      <c r="AO248" s="40"/>
    </row>
    <row r="249" spans="1:41">
      <c r="A249" s="48">
        <v>247</v>
      </c>
      <c r="B249" s="75">
        <f ca="1">IF(controls!$B$33=1,B248*(1+V249)+T249,B248*(1+V249))</f>
        <v>100</v>
      </c>
      <c r="C249" s="80">
        <f t="shared" ca="1" si="25"/>
        <v>0</v>
      </c>
      <c r="D249" s="77">
        <f t="shared" ca="1" si="21"/>
        <v>100</v>
      </c>
      <c r="E249" s="77">
        <f ca="1">AG248+IF(controls!$B$33=1,G249,F249)</f>
        <v>100</v>
      </c>
      <c r="F249" s="94">
        <f ca="1">IF(controls!$B$44=0,H249-'main page'!$K$27*M248,H249-'main page'!$K$27*M248+'main page'!$K$31*AB248)</f>
        <v>100</v>
      </c>
      <c r="G249" s="75">
        <f ca="1">IF(controls!$B$44=0,I249-'main page'!$K$27*M248,I249-'main page'!$K$27*M248+'main page'!$K$31*'normal case'!AB248)</f>
        <v>100</v>
      </c>
      <c r="H249" s="75">
        <f t="shared" ca="1" si="26"/>
        <v>108</v>
      </c>
      <c r="I249" s="75">
        <f t="shared" ca="1" si="27"/>
        <v>108</v>
      </c>
      <c r="L249" s="75">
        <f ca="1">IF(ABS('main page'!$K$29*L248+(1-'main page'!$K$29)*(controls!$B$9/100)*100+'main page'!$K$25*(D249-B249)-L248)&lt;0.0000001,L248,'main page'!$K$29*L248+(1-'main page'!$K$29)*(controls!$B$9/100)*100+'main page'!$K$25*(D249-B249))</f>
        <v>2</v>
      </c>
      <c r="M249" s="96">
        <f ca="1">IF(controls!$B$10=1,M248,IF(SUM(controls!$B$44:$B$46)=2,N249-'main page'!$K$29*'normal case'!L249-(1-'main page'!$K$29)*'main page'!$K$32,N249-'main page'!$K$29*'normal case'!L249-(1-'main page'!$K$29)*controls!$B$9))</f>
        <v>4</v>
      </c>
      <c r="N249" s="208">
        <f ca="1">IF(controls!$B$45=1,IF(controls!$B$46=1,'main page'!$K$24+'main page'!$K$11+'main page'!$U$8,'main page'!$K$24+'main page'!$K$11+'main page'!$K$32),IF(controls!$B$44=1,IF(O249&lt;0,0,O249),IF(O249+'main page'!$K$11&lt;0,0,O249+'main page'!$K$11)))</f>
        <v>6</v>
      </c>
      <c r="O249" s="76">
        <f ca="1">IF(controls!$B$10=1,'normal case'!M249+'normal case'!L249,'normal case'!P249)</f>
        <v>6</v>
      </c>
      <c r="P249" s="74">
        <f t="shared" ca="1" si="22"/>
        <v>6</v>
      </c>
      <c r="Q249" s="210">
        <f ca="1">IF(controls!$B$44=0,R249+'main page'!$K$29*L249+(1-'main page'!$K$29)*controls!$B$9+(('main page'!$K$25*'main page'!$U$13*'main page'!$K$29)/('main page'!$K$27*(1+('main page'!$K$25^2)*'main page'!$U$13)))*(L249-controls!$B$9),R249+'main page'!$K$29*L249+(1-'main page'!$K$29)*controls!$B$9+(('main page'!$K$25*'main page'!$U$13*'normal case'!$AO$3)/'normal case'!$AO$4)*('normal case'!L249-controls!$B$9))</f>
        <v>6</v>
      </c>
      <c r="R249" s="98">
        <f ca="1">IF(controls!$B$44=1,'main page'!$K$24+'main page'!$K$11,IF(controls!$B$33=1,((I250-D249*W250-B250+B249*V250)/'main page'!$K$27)-'main page'!$K$11,((H250-D249*W250-B250+B249*V250)/'main page'!$K$27)-'main page'!$K$11))</f>
        <v>4</v>
      </c>
      <c r="T249" s="71">
        <f>IF(controls!$B$6=1,$AL$3*(1+('main page'!$K$35/100))^U249-$AL$3*(1+('main page'!$K$35/100))^U248,$AL$3*(1+('main page'!$G$8/100))*(1+('main page'!$K$35/100))^U249-$AL$3*(1+('main page'!$G$8/100))*(1+('main page'!$K$35/100))^U248)</f>
        <v>0</v>
      </c>
      <c r="U249" s="73">
        <v>242</v>
      </c>
      <c r="V249" s="161">
        <v>0</v>
      </c>
      <c r="W249" s="40">
        <v>0</v>
      </c>
      <c r="X249" s="49">
        <f ca="1">IF(controls!$B$33=1,D249-($I$3-'main page'!$K$27*2)*(1+('main page'!$K$35/100))^A248,D249-$AL$4)</f>
        <v>0</v>
      </c>
      <c r="Y249" s="49">
        <f ca="1">ABS(L249-(controls!$B$9/100)*100)</f>
        <v>0</v>
      </c>
      <c r="AA249" s="49" t="e">
        <f ca="1">IF(controls!$B$33=1,(B250-B249*V250-I250+D249*W250+'main page'!$K$27*('main page'!$K$24+'main page'!$K$11))/'main page'!$K$31,(B250-B249*V250+D249*W250-H250+'main page'!$K$27*('main page'!$K$24+'main page'!$K$11))/'main page'!$K$31)</f>
        <v>#DIV/0!</v>
      </c>
      <c r="AB249" s="49" t="e">
        <f ca="1">IF(controls!$B$45=1,LOG(AF249,1.01)+LOG(AE249,1.01)-LOG(AD249,1.01),-((M249-('main page'!$K$24+'main page'!$K$11))/(1-'normal case'!$AO$3))+'normal case'!AA249)</f>
        <v>#DIV/0!</v>
      </c>
      <c r="AC249" s="176" t="e">
        <f t="shared" ca="1" si="23"/>
        <v>#DIV/0!</v>
      </c>
      <c r="AD249" s="49">
        <f t="shared" ca="1" si="24"/>
        <v>130.50953834528468</v>
      </c>
      <c r="AE249" s="49">
        <f>AE248*(1+'main page'!$K$32/100)</f>
        <v>1</v>
      </c>
      <c r="AF249" s="49" t="e">
        <f ca="1">IF(ABS(IF(controls!$B$45=1,$AL$13,AD249*AC249/AE249)-AF248)&lt;0.00001,AF248,IF(controls!$B$45=1,$AL$13,AD249*AC249/AE249))</f>
        <v>#DIV/0!</v>
      </c>
      <c r="AG249" s="49">
        <f>IF(controls!$B$46=0,0,IF(controls!$B$33=2,B250-B249*V250-('normal case'!H250-D249*W250-'main page'!$K$27*'normal case'!M249+'main page'!$K$31*'normal case'!AB249)-(('main page'!$K$25*'main page'!$U$13*'main page'!$K$29)/(1+('main page'!$K$25^2)*'main page'!$U$13))*('normal case'!L249-'main page'!$U$8),B250-B249*V250-('normal case'!I250-D249*W250-'main page'!$K$27*'normal case'!M249+'main page'!$K$31*'normal case'!AB249)-(('main page'!$K$25*'main page'!$U$13*'main page'!$K$29)/(1+('main page'!$K$25^2)*'main page'!$U$13))*('normal case'!L249-'main page'!$U$8)))</f>
        <v>0</v>
      </c>
      <c r="AN249" s="40"/>
      <c r="AO249" s="40"/>
    </row>
    <row r="250" spans="1:41">
      <c r="A250" s="48">
        <v>248</v>
      </c>
      <c r="B250" s="75">
        <f ca="1">IF(controls!$B$33=1,B249*(1+V250)+T250,B249*(1+V250))</f>
        <v>100</v>
      </c>
      <c r="C250" s="80">
        <f t="shared" ca="1" si="25"/>
        <v>0</v>
      </c>
      <c r="D250" s="77">
        <f t="shared" ca="1" si="21"/>
        <v>100</v>
      </c>
      <c r="E250" s="77">
        <f ca="1">AG249+IF(controls!$B$33=1,G250,F250)</f>
        <v>100</v>
      </c>
      <c r="F250" s="94">
        <f ca="1">IF(controls!$B$44=0,H250-'main page'!$K$27*M249,H250-'main page'!$K$27*M249+'main page'!$K$31*AB249)</f>
        <v>100</v>
      </c>
      <c r="G250" s="75">
        <f ca="1">IF(controls!$B$44=0,I250-'main page'!$K$27*M249,I250-'main page'!$K$27*M249+'main page'!$K$31*'normal case'!AB249)</f>
        <v>100</v>
      </c>
      <c r="H250" s="75">
        <f t="shared" ca="1" si="26"/>
        <v>108</v>
      </c>
      <c r="I250" s="75">
        <f t="shared" ca="1" si="27"/>
        <v>108</v>
      </c>
      <c r="L250" s="75">
        <f ca="1">IF(ABS('main page'!$K$29*L249+(1-'main page'!$K$29)*(controls!$B$9/100)*100+'main page'!$K$25*(D250-B250)-L249)&lt;0.0000001,L249,'main page'!$K$29*L249+(1-'main page'!$K$29)*(controls!$B$9/100)*100+'main page'!$K$25*(D250-B250))</f>
        <v>2</v>
      </c>
      <c r="M250" s="96">
        <f ca="1">IF(controls!$B$10=1,M249,IF(SUM(controls!$B$44:$B$46)=2,N250-'main page'!$K$29*'normal case'!L250-(1-'main page'!$K$29)*'main page'!$K$32,N250-'main page'!$K$29*'normal case'!L250-(1-'main page'!$K$29)*controls!$B$9))</f>
        <v>4</v>
      </c>
      <c r="N250" s="208">
        <f ca="1">IF(controls!$B$45=1,IF(controls!$B$46=1,'main page'!$K$24+'main page'!$K$11+'main page'!$U$8,'main page'!$K$24+'main page'!$K$11+'main page'!$K$32),IF(controls!$B$44=1,IF(O250&lt;0,0,O250),IF(O250+'main page'!$K$11&lt;0,0,O250+'main page'!$K$11)))</f>
        <v>6</v>
      </c>
      <c r="O250" s="76">
        <f ca="1">IF(controls!$B$10=1,'normal case'!M250+'normal case'!L250,'normal case'!P250)</f>
        <v>6</v>
      </c>
      <c r="P250" s="74">
        <f t="shared" ca="1" si="22"/>
        <v>6</v>
      </c>
      <c r="Q250" s="210">
        <f ca="1">IF(controls!$B$44=0,R250+'main page'!$K$29*L250+(1-'main page'!$K$29)*controls!$B$9+(('main page'!$K$25*'main page'!$U$13*'main page'!$K$29)/('main page'!$K$27*(1+('main page'!$K$25^2)*'main page'!$U$13)))*(L250-controls!$B$9),R250+'main page'!$K$29*L250+(1-'main page'!$K$29)*controls!$B$9+(('main page'!$K$25*'main page'!$U$13*'normal case'!$AO$3)/'normal case'!$AO$4)*('normal case'!L250-controls!$B$9))</f>
        <v>6</v>
      </c>
      <c r="R250" s="98">
        <f ca="1">IF(controls!$B$44=1,'main page'!$K$24+'main page'!$K$11,IF(controls!$B$33=1,((I251-D250*W251-B251+B250*V251)/'main page'!$K$27)-'main page'!$K$11,((H251-D250*W251-B251+B250*V251)/'main page'!$K$27)-'main page'!$K$11))</f>
        <v>4</v>
      </c>
      <c r="T250" s="71">
        <f>IF(controls!$B$6=1,$AL$3*(1+('main page'!$K$35/100))^U250-$AL$3*(1+('main page'!$K$35/100))^U249,$AL$3*(1+('main page'!$G$8/100))*(1+('main page'!$K$35/100))^U250-$AL$3*(1+('main page'!$G$8/100))*(1+('main page'!$K$35/100))^U249)</f>
        <v>0</v>
      </c>
      <c r="U250" s="73">
        <v>243</v>
      </c>
      <c r="V250" s="161">
        <v>0</v>
      </c>
      <c r="W250" s="40">
        <v>0</v>
      </c>
      <c r="X250" s="49">
        <f ca="1">IF(controls!$B$33=1,D250-($I$3-'main page'!$K$27*2)*(1+('main page'!$K$35/100))^A249,D250-$AL$4)</f>
        <v>0</v>
      </c>
      <c r="Y250" s="49">
        <f ca="1">ABS(L250-(controls!$B$9/100)*100)</f>
        <v>0</v>
      </c>
      <c r="AA250" s="49" t="e">
        <f ca="1">IF(controls!$B$33=1,(B251-B250*V251-I251+D250*W251+'main page'!$K$27*('main page'!$K$24+'main page'!$K$11))/'main page'!$K$31,(B251-B250*V251+D250*W251-H251+'main page'!$K$27*('main page'!$K$24+'main page'!$K$11))/'main page'!$K$31)</f>
        <v>#DIV/0!</v>
      </c>
      <c r="AB250" s="49" t="e">
        <f ca="1">IF(controls!$B$45=1,LOG(AF250,1.01)+LOG(AE250,1.01)-LOG(AD250,1.01),-((M250-('main page'!$K$24+'main page'!$K$11))/(1-'normal case'!$AO$3))+'normal case'!AA250)</f>
        <v>#DIV/0!</v>
      </c>
      <c r="AC250" s="176" t="e">
        <f t="shared" ca="1" si="23"/>
        <v>#DIV/0!</v>
      </c>
      <c r="AD250" s="49">
        <f t="shared" ca="1" si="24"/>
        <v>133.11972911219038</v>
      </c>
      <c r="AE250" s="49">
        <f>AE249*(1+'main page'!$K$32/100)</f>
        <v>1</v>
      </c>
      <c r="AF250" s="49" t="e">
        <f ca="1">IF(ABS(IF(controls!$B$45=1,$AL$13,AD250*AC250/AE250)-AF249)&lt;0.00001,AF249,IF(controls!$B$45=1,$AL$13,AD250*AC250/AE250))</f>
        <v>#DIV/0!</v>
      </c>
      <c r="AG250" s="49">
        <f>IF(controls!$B$46=0,0,IF(controls!$B$33=2,B251-B250*V251-('normal case'!H251-D250*W251-'main page'!$K$27*'normal case'!M250+'main page'!$K$31*'normal case'!AB250)-(('main page'!$K$25*'main page'!$U$13*'main page'!$K$29)/(1+('main page'!$K$25^2)*'main page'!$U$13))*('normal case'!L250-'main page'!$U$8),B251-B250*V251-('normal case'!I251-D250*W251-'main page'!$K$27*'normal case'!M250+'main page'!$K$31*'normal case'!AB250)-(('main page'!$K$25*'main page'!$U$13*'main page'!$K$29)/(1+('main page'!$K$25^2)*'main page'!$U$13))*('normal case'!L250-'main page'!$U$8)))</f>
        <v>0</v>
      </c>
      <c r="AN250" s="40"/>
      <c r="AO250" s="40"/>
    </row>
    <row r="251" spans="1:41">
      <c r="A251" s="48">
        <v>249</v>
      </c>
      <c r="B251" s="75">
        <f ca="1">IF(controls!$B$33=1,B250*(1+V251)+T251,B250*(1+V251))</f>
        <v>100</v>
      </c>
      <c r="C251" s="80">
        <f t="shared" ca="1" si="25"/>
        <v>0</v>
      </c>
      <c r="D251" s="77">
        <f t="shared" ca="1" si="21"/>
        <v>100</v>
      </c>
      <c r="E251" s="77">
        <f ca="1">AG250+IF(controls!$B$33=1,G251,F251)</f>
        <v>100</v>
      </c>
      <c r="F251" s="94">
        <f ca="1">IF(controls!$B$44=0,H251-'main page'!$K$27*M250,H251-'main page'!$K$27*M250+'main page'!$K$31*AB250)</f>
        <v>100</v>
      </c>
      <c r="G251" s="75">
        <f ca="1">IF(controls!$B$44=0,I251-'main page'!$K$27*M250,I251-'main page'!$K$27*M250+'main page'!$K$31*'normal case'!AB250)</f>
        <v>100</v>
      </c>
      <c r="H251" s="75">
        <f t="shared" ca="1" si="26"/>
        <v>108</v>
      </c>
      <c r="I251" s="75">
        <f t="shared" ca="1" si="27"/>
        <v>108</v>
      </c>
      <c r="L251" s="75">
        <f ca="1">IF(ABS('main page'!$K$29*L250+(1-'main page'!$K$29)*(controls!$B$9/100)*100+'main page'!$K$25*(D251-B251)-L250)&lt;0.0000001,L250,'main page'!$K$29*L250+(1-'main page'!$K$29)*(controls!$B$9/100)*100+'main page'!$K$25*(D251-B251))</f>
        <v>2</v>
      </c>
      <c r="M251" s="96">
        <f ca="1">IF(controls!$B$10=1,M250,IF(SUM(controls!$B$44:$B$46)=2,N251-'main page'!$K$29*'normal case'!L251-(1-'main page'!$K$29)*'main page'!$K$32,N251-'main page'!$K$29*'normal case'!L251-(1-'main page'!$K$29)*controls!$B$9))</f>
        <v>4</v>
      </c>
      <c r="N251" s="208">
        <f ca="1">IF(controls!$B$45=1,IF(controls!$B$46=1,'main page'!$K$24+'main page'!$K$11+'main page'!$U$8,'main page'!$K$24+'main page'!$K$11+'main page'!$K$32),IF(controls!$B$44=1,IF(O251&lt;0,0,O251),IF(O251+'main page'!$K$11&lt;0,0,O251+'main page'!$K$11)))</f>
        <v>6</v>
      </c>
      <c r="O251" s="76">
        <f ca="1">IF(controls!$B$10=1,'normal case'!M251+'normal case'!L251,'normal case'!P251)</f>
        <v>6</v>
      </c>
      <c r="P251" s="74">
        <f t="shared" ca="1" si="22"/>
        <v>6</v>
      </c>
      <c r="Q251" s="210">
        <f ca="1">IF(controls!$B$44=0,R251+'main page'!$K$29*L251+(1-'main page'!$K$29)*controls!$B$9+(('main page'!$K$25*'main page'!$U$13*'main page'!$K$29)/('main page'!$K$27*(1+('main page'!$K$25^2)*'main page'!$U$13)))*(L251-controls!$B$9),R251+'main page'!$K$29*L251+(1-'main page'!$K$29)*controls!$B$9+(('main page'!$K$25*'main page'!$U$13*'normal case'!$AO$3)/'normal case'!$AO$4)*('normal case'!L251-controls!$B$9))</f>
        <v>6</v>
      </c>
      <c r="R251" s="98">
        <f ca="1">IF(controls!$B$44=1,'main page'!$K$24+'main page'!$K$11,IF(controls!$B$33=1,((I252-D251*W252-B252+B251*V252)/'main page'!$K$27)-'main page'!$K$11,((H252-D251*W252-B252+B251*V252)/'main page'!$K$27)-'main page'!$K$11))</f>
        <v>4</v>
      </c>
      <c r="T251" s="71">
        <f>IF(controls!$B$6=1,$AL$3*(1+('main page'!$K$35/100))^U251-$AL$3*(1+('main page'!$K$35/100))^U250,$AL$3*(1+('main page'!$G$8/100))*(1+('main page'!$K$35/100))^U251-$AL$3*(1+('main page'!$G$8/100))*(1+('main page'!$K$35/100))^U250)</f>
        <v>0</v>
      </c>
      <c r="U251" s="73">
        <v>244</v>
      </c>
      <c r="V251" s="161">
        <f ca="1">IF(controls!$B$4=1,IF(controls!$H250=1,controls!$B$34*V250+RAND()*('main page'!$K$16/100)-RAND()*('main page'!$K$16/100),0),0)</f>
        <v>0</v>
      </c>
      <c r="W251" s="40">
        <f ca="1">IF(controls!$B$4=1,IF(controls!$I250=1,controls!$B$34*W250+RAND()*('main page'!$K$16/100)-RAND()*('main page'!$K$16/100),0),0)</f>
        <v>0</v>
      </c>
      <c r="X251" s="49">
        <f ca="1">IF(controls!$B$33=1,D251-($I$3-'main page'!$K$27*2)*(1+('main page'!$K$35/100))^A250,D251-$AL$4)</f>
        <v>0</v>
      </c>
      <c r="Y251" s="49">
        <f ca="1">ABS(L251-(controls!$B$9/100)*100)</f>
        <v>0</v>
      </c>
      <c r="AA251" s="49" t="e">
        <f ca="1">IF(controls!$B$33=1,(B252-B251*V252-I252+D251*W252+'main page'!$K$27*('main page'!$K$24+'main page'!$K$11))/'main page'!$K$31,(B252-B251*V252+D251*W252-H252+'main page'!$K$27*('main page'!$K$24+'main page'!$K$11))/'main page'!$K$31)</f>
        <v>#DIV/0!</v>
      </c>
      <c r="AB251" s="49" t="e">
        <f ca="1">IF(controls!$B$45=1,LOG(AF251,1.01)+LOG(AE251,1.01)-LOG(AD251,1.01),-((M251-('main page'!$K$24+'main page'!$K$11))/(1-'normal case'!$AO$3))+'normal case'!AA251)</f>
        <v>#DIV/0!</v>
      </c>
      <c r="AC251" s="176" t="e">
        <f t="shared" ca="1" si="23"/>
        <v>#DIV/0!</v>
      </c>
      <c r="AD251" s="49">
        <f t="shared" ca="1" si="24"/>
        <v>135.7821236944342</v>
      </c>
      <c r="AE251" s="49">
        <f>AE250*(1+'main page'!$K$32/100)</f>
        <v>1</v>
      </c>
      <c r="AF251" s="49" t="e">
        <f ca="1">IF(ABS(IF(controls!$B$45=1,$AL$13,AD251*AC251/AE251)-AF250)&lt;0.00001,AF250,IF(controls!$B$45=1,$AL$13,AD251*AC251/AE251))</f>
        <v>#DIV/0!</v>
      </c>
      <c r="AG251" s="49">
        <f>IF(controls!$B$46=0,0,IF(controls!$B$33=2,B252-B251*V252-('normal case'!H252-D251*W252-'main page'!$K$27*'normal case'!M251+'main page'!$K$31*'normal case'!AB251)-(('main page'!$K$25*'main page'!$U$13*'main page'!$K$29)/(1+('main page'!$K$25^2)*'main page'!$U$13))*('normal case'!L251-'main page'!$U$8),B252-B251*V252-('normal case'!I252-D251*W252-'main page'!$K$27*'normal case'!M251+'main page'!$K$31*'normal case'!AB251)-(('main page'!$K$25*'main page'!$U$13*'main page'!$K$29)/(1+('main page'!$K$25^2)*'main page'!$U$13))*('normal case'!L251-'main page'!$U$8)))</f>
        <v>0</v>
      </c>
      <c r="AN251" s="40"/>
      <c r="AO251" s="40"/>
    </row>
    <row r="252" spans="1:41">
      <c r="A252" s="48">
        <v>250</v>
      </c>
      <c r="B252" s="75">
        <f ca="1">IF(controls!$B$33=1,B251*(1+V252)+T252,B251*(1+V252))</f>
        <v>100</v>
      </c>
      <c r="C252" s="80">
        <f t="shared" ca="1" si="25"/>
        <v>0</v>
      </c>
      <c r="D252" s="77">
        <f t="shared" ca="1" si="21"/>
        <v>100</v>
      </c>
      <c r="E252" s="77">
        <f ca="1">AG251+IF(controls!$B$33=1,G252,F252)</f>
        <v>100</v>
      </c>
      <c r="F252" s="94">
        <f ca="1">IF(controls!$B$44=0,H252-'main page'!$K$27*M251,H252-'main page'!$K$27*M251+'main page'!$K$31*AB251)</f>
        <v>100</v>
      </c>
      <c r="G252" s="75">
        <f ca="1">IF(controls!$B$44=0,I252-'main page'!$K$27*M251,I252-'main page'!$K$27*M251+'main page'!$K$31*'normal case'!AB251)</f>
        <v>100</v>
      </c>
      <c r="H252" s="75">
        <f t="shared" ca="1" si="26"/>
        <v>108</v>
      </c>
      <c r="I252" s="75">
        <f t="shared" ca="1" si="27"/>
        <v>108</v>
      </c>
      <c r="L252" s="75">
        <f ca="1">IF(ABS('main page'!$K$29*L251+(1-'main page'!$K$29)*(controls!$B$9/100)*100+'main page'!$K$25*(D252-B252)-L251)&lt;0.0000001,L251,'main page'!$K$29*L251+(1-'main page'!$K$29)*(controls!$B$9/100)*100+'main page'!$K$25*(D252-B252))</f>
        <v>2</v>
      </c>
      <c r="M252" s="96">
        <f ca="1">IF(controls!$B$10=1,M251,IF(SUM(controls!$B$44:$B$46)=2,N252-'main page'!$K$29*'normal case'!L252-(1-'main page'!$K$29)*'main page'!$K$32,N252-'main page'!$K$29*'normal case'!L252-(1-'main page'!$K$29)*controls!$B$9))</f>
        <v>4</v>
      </c>
      <c r="N252" s="208">
        <f ca="1">IF(controls!$B$45=1,IF(controls!$B$46=1,'main page'!$K$24+'main page'!$K$11+'main page'!$U$8,'main page'!$K$24+'main page'!$K$11+'main page'!$K$32),IF(controls!$B$44=1,IF(O252&lt;0,0,O252),IF(O252+'main page'!$K$11&lt;0,0,O252+'main page'!$K$11)))</f>
        <v>6</v>
      </c>
      <c r="O252" s="76">
        <f ca="1">IF(controls!$B$10=1,'normal case'!M252+'normal case'!L252,'normal case'!P252)</f>
        <v>6</v>
      </c>
      <c r="P252" s="74">
        <f t="shared" ca="1" si="22"/>
        <v>6</v>
      </c>
      <c r="Q252" s="210">
        <f ca="1">IF(controls!$B$44=0,R252+'main page'!$K$29*L252+(1-'main page'!$K$29)*controls!$B$9+(('main page'!$K$25*'main page'!$U$13*'main page'!$K$29)/('main page'!$K$27*(1+('main page'!$K$25^2)*'main page'!$U$13)))*(L252-controls!$B$9),R252+'main page'!$K$29*L252+(1-'main page'!$K$29)*controls!$B$9+(('main page'!$K$25*'main page'!$U$13*'normal case'!$AO$3)/'normal case'!$AO$4)*('normal case'!L252-controls!$B$9))</f>
        <v>6</v>
      </c>
      <c r="R252" s="98">
        <f ca="1">IF(controls!$B$44=1,'main page'!$K$24+'main page'!$K$11,IF(controls!$B$33=1,((I253-D252*W253-B253+B252*V253)/'main page'!$K$27)-'main page'!$K$11,((H253-D252*W253-B253+B252*V253)/'main page'!$K$27)-'main page'!$K$11))</f>
        <v>4</v>
      </c>
      <c r="T252" s="71">
        <f>IF(controls!$B$6=1,$AL$3*(1+('main page'!$K$35/100))^U252-$AL$3*(1+('main page'!$K$35/100))^U251,$AL$3*(1+('main page'!$G$8/100))*(1+('main page'!$K$35/100))^U252-$AL$3*(1+('main page'!$G$8/100))*(1+('main page'!$K$35/100))^U251)</f>
        <v>0</v>
      </c>
      <c r="U252" s="73">
        <v>245</v>
      </c>
      <c r="V252" s="161">
        <v>0</v>
      </c>
      <c r="W252" s="40">
        <v>0</v>
      </c>
      <c r="X252" s="49">
        <f ca="1">IF(controls!$B$33=1,D252-($I$3-'main page'!$K$27*2)*(1+('main page'!$K$35/100))^A251,D252-$AL$4)</f>
        <v>0</v>
      </c>
      <c r="Y252" s="49">
        <f ca="1">ABS(L252-(controls!$B$9/100)*100)</f>
        <v>0</v>
      </c>
      <c r="AA252" s="49" t="e">
        <f ca="1">IF(controls!$B$33=1,(B253-B252*V253-I253+D252*W253+'main page'!$K$27*('main page'!$K$24+'main page'!$K$11))/'main page'!$K$31,(B253-B252*V253+D252*W253-H253+'main page'!$K$27*('main page'!$K$24+'main page'!$K$11))/'main page'!$K$31)</f>
        <v>#DIV/0!</v>
      </c>
      <c r="AB252" s="49" t="e">
        <f ca="1">IF(controls!$B$45=1,LOG(AF252,1.01)+LOG(AE252,1.01)-LOG(AD252,1.01),-((M252-('main page'!$K$24+'main page'!$K$11))/(1-'normal case'!$AO$3))+'normal case'!AA252)</f>
        <v>#DIV/0!</v>
      </c>
      <c r="AC252" s="176" t="e">
        <f t="shared" ca="1" si="23"/>
        <v>#DIV/0!</v>
      </c>
      <c r="AD252" s="49">
        <f t="shared" ca="1" si="24"/>
        <v>138.4977661683229</v>
      </c>
      <c r="AE252" s="49">
        <f>AE251*(1+'main page'!$K$32/100)</f>
        <v>1</v>
      </c>
      <c r="AF252" s="49" t="e">
        <f ca="1">IF(ABS(IF(controls!$B$45=1,$AL$13,AD252*AC252/AE252)-AF251)&lt;0.00001,AF251,IF(controls!$B$45=1,$AL$13,AD252*AC252/AE252))</f>
        <v>#DIV/0!</v>
      </c>
      <c r="AG252" s="49">
        <f>IF(controls!$B$46=0,0,IF(controls!$B$33=2,B253-B252*V253-('normal case'!H253-D252*W253-'main page'!$K$27*'normal case'!M252+'main page'!$K$31*'normal case'!AB252)-(('main page'!$K$25*'main page'!$U$13*'main page'!$K$29)/(1+('main page'!$K$25^2)*'main page'!$U$13))*('normal case'!L252-'main page'!$U$8),B253-B252*V253-('normal case'!I253-D252*W253-'main page'!$K$27*'normal case'!M252+'main page'!$K$31*'normal case'!AB252)-(('main page'!$K$25*'main page'!$U$13*'main page'!$K$29)/(1+('main page'!$K$25^2)*'main page'!$U$13))*('normal case'!L252-'main page'!$U$8)))</f>
        <v>0</v>
      </c>
      <c r="AN252" s="40"/>
      <c r="AO252" s="40"/>
    </row>
    <row r="253" spans="1:41">
      <c r="A253" s="48">
        <v>251</v>
      </c>
      <c r="B253" s="75">
        <f ca="1">IF(controls!$B$33=1,B252*(1+V253)+T253,B252*(1+V253))</f>
        <v>100</v>
      </c>
      <c r="C253" s="80">
        <f t="shared" ca="1" si="25"/>
        <v>0</v>
      </c>
      <c r="D253" s="77">
        <f t="shared" ca="1" si="21"/>
        <v>100</v>
      </c>
      <c r="E253" s="77">
        <f ca="1">AG252+IF(controls!$B$33=1,G253,F253)</f>
        <v>100</v>
      </c>
      <c r="F253" s="94">
        <f ca="1">IF(controls!$B$44=0,H253-'main page'!$K$27*M252,H253-'main page'!$K$27*M252+'main page'!$K$31*AB252)</f>
        <v>100</v>
      </c>
      <c r="G253" s="75">
        <f ca="1">IF(controls!$B$44=0,I253-'main page'!$K$27*M252,I253-'main page'!$K$27*M252+'main page'!$K$31*'normal case'!AB252)</f>
        <v>100</v>
      </c>
      <c r="H253" s="75">
        <f t="shared" ca="1" si="26"/>
        <v>108</v>
      </c>
      <c r="I253" s="75">
        <f t="shared" ca="1" si="27"/>
        <v>108</v>
      </c>
      <c r="L253" s="75">
        <f ca="1">IF(ABS('main page'!$K$29*L252+(1-'main page'!$K$29)*(controls!$B$9/100)*100+'main page'!$K$25*(D253-B253)-L252)&lt;0.0000001,L252,'main page'!$K$29*L252+(1-'main page'!$K$29)*(controls!$B$9/100)*100+'main page'!$K$25*(D253-B253))</f>
        <v>2</v>
      </c>
      <c r="M253" s="96">
        <f ca="1">IF(controls!$B$10=1,M252,IF(SUM(controls!$B$44:$B$46)=2,N253-'main page'!$K$29*'normal case'!L253-(1-'main page'!$K$29)*'main page'!$K$32,N253-'main page'!$K$29*'normal case'!L253-(1-'main page'!$K$29)*controls!$B$9))</f>
        <v>4</v>
      </c>
      <c r="N253" s="208">
        <f ca="1">IF(controls!$B$45=1,IF(controls!$B$46=1,'main page'!$K$24+'main page'!$K$11+'main page'!$U$8,'main page'!$K$24+'main page'!$K$11+'main page'!$K$32),IF(controls!$B$44=1,IF(O253&lt;0,0,O253),IF(O253+'main page'!$K$11&lt;0,0,O253+'main page'!$K$11)))</f>
        <v>6</v>
      </c>
      <c r="O253" s="76">
        <f ca="1">IF(controls!$B$10=1,'normal case'!M253+'normal case'!L253,'normal case'!P253)</f>
        <v>6</v>
      </c>
      <c r="P253" s="74">
        <f t="shared" ca="1" si="22"/>
        <v>6</v>
      </c>
      <c r="Q253" s="210">
        <f ca="1">IF(controls!$B$44=0,R253+'main page'!$K$29*L253+(1-'main page'!$K$29)*controls!$B$9+(('main page'!$K$25*'main page'!$U$13*'main page'!$K$29)/('main page'!$K$27*(1+('main page'!$K$25^2)*'main page'!$U$13)))*(L253-controls!$B$9),R253+'main page'!$K$29*L253+(1-'main page'!$K$29)*controls!$B$9+(('main page'!$K$25*'main page'!$U$13*'normal case'!$AO$3)/'normal case'!$AO$4)*('normal case'!L253-controls!$B$9))</f>
        <v>6</v>
      </c>
      <c r="R253" s="98">
        <f ca="1">IF(controls!$B$44=1,'main page'!$K$24+'main page'!$K$11,IF(controls!$B$33=1,((I254-D253*W254-B254+B253*V254)/'main page'!$K$27)-'main page'!$K$11,((H254-D253*W254-B254+B253*V254)/'main page'!$K$27)-'main page'!$K$11))</f>
        <v>4</v>
      </c>
      <c r="T253" s="71">
        <f>IF(controls!$B$6=1,$AL$3*(1+('main page'!$K$35/100))^U253-$AL$3*(1+('main page'!$K$35/100))^U252,$AL$3*(1+('main page'!$G$8/100))*(1+('main page'!$K$35/100))^U253-$AL$3*(1+('main page'!$G$8/100))*(1+('main page'!$K$35/100))^U252)</f>
        <v>0</v>
      </c>
      <c r="U253" s="73">
        <v>246</v>
      </c>
      <c r="V253" s="161">
        <v>0</v>
      </c>
      <c r="W253" s="40">
        <v>0</v>
      </c>
      <c r="X253" s="49">
        <f ca="1">IF(controls!$B$33=1,D253-($I$3-'main page'!$K$27*2)*(1+('main page'!$K$35/100))^A252,D253-$AL$4)</f>
        <v>0</v>
      </c>
      <c r="Y253" s="49">
        <f ca="1">ABS(L253-(controls!$B$9/100)*100)</f>
        <v>0</v>
      </c>
      <c r="AA253" s="49" t="e">
        <f ca="1">IF(controls!$B$33=1,(B254-B253*V254-I254+D253*W254+'main page'!$K$27*('main page'!$K$24+'main page'!$K$11))/'main page'!$K$31,(B254-B253*V254+D253*W254-H254+'main page'!$K$27*('main page'!$K$24+'main page'!$K$11))/'main page'!$K$31)</f>
        <v>#DIV/0!</v>
      </c>
      <c r="AB253" s="49" t="e">
        <f ca="1">IF(controls!$B$45=1,LOG(AF253,1.01)+LOG(AE253,1.01)-LOG(AD253,1.01),-((M253-('main page'!$K$24+'main page'!$K$11))/(1-'normal case'!$AO$3))+'normal case'!AA253)</f>
        <v>#DIV/0!</v>
      </c>
      <c r="AC253" s="176" t="e">
        <f t="shared" ca="1" si="23"/>
        <v>#DIV/0!</v>
      </c>
      <c r="AD253" s="49">
        <f t="shared" ca="1" si="24"/>
        <v>141.26772149168937</v>
      </c>
      <c r="AE253" s="49">
        <f>AE252*(1+'main page'!$K$32/100)</f>
        <v>1</v>
      </c>
      <c r="AF253" s="49" t="e">
        <f ca="1">IF(ABS(IF(controls!$B$45=1,$AL$13,AD253*AC253/AE253)-AF252)&lt;0.00001,AF252,IF(controls!$B$45=1,$AL$13,AD253*AC253/AE253))</f>
        <v>#DIV/0!</v>
      </c>
      <c r="AG253" s="49">
        <f>IF(controls!$B$46=0,0,IF(controls!$B$33=2,B254-B253*V254-('normal case'!H254-D253*W254-'main page'!$K$27*'normal case'!M253+'main page'!$K$31*'normal case'!AB253)-(('main page'!$K$25*'main page'!$U$13*'main page'!$K$29)/(1+('main page'!$K$25^2)*'main page'!$U$13))*('normal case'!L253-'main page'!$U$8),B254-B253*V254-('normal case'!I254-D253*W254-'main page'!$K$27*'normal case'!M253+'main page'!$K$31*'normal case'!AB253)-(('main page'!$K$25*'main page'!$U$13*'main page'!$K$29)/(1+('main page'!$K$25^2)*'main page'!$U$13))*('normal case'!L253-'main page'!$U$8)))</f>
        <v>0</v>
      </c>
      <c r="AN253" s="40"/>
      <c r="AO253" s="40"/>
    </row>
    <row r="254" spans="1:41">
      <c r="A254" s="48">
        <v>252</v>
      </c>
      <c r="B254" s="75">
        <f ca="1">IF(controls!$B$33=1,B253*(1+V254)+T254,B253*(1+V254))</f>
        <v>100</v>
      </c>
      <c r="C254" s="80">
        <f t="shared" ca="1" si="25"/>
        <v>0</v>
      </c>
      <c r="D254" s="77">
        <f t="shared" ca="1" si="21"/>
        <v>100</v>
      </c>
      <c r="E254" s="77">
        <f ca="1">AG253+IF(controls!$B$33=1,G254,F254)</f>
        <v>100</v>
      </c>
      <c r="F254" s="94">
        <f ca="1">IF(controls!$B$44=0,H254-'main page'!$K$27*M253,H254-'main page'!$K$27*M253+'main page'!$K$31*AB253)</f>
        <v>100</v>
      </c>
      <c r="G254" s="75">
        <f ca="1">IF(controls!$B$44=0,I254-'main page'!$K$27*M253,I254-'main page'!$K$27*M253+'main page'!$K$31*'normal case'!AB253)</f>
        <v>100</v>
      </c>
      <c r="H254" s="75">
        <f t="shared" ca="1" si="26"/>
        <v>108</v>
      </c>
      <c r="I254" s="75">
        <f t="shared" ca="1" si="27"/>
        <v>108</v>
      </c>
      <c r="L254" s="75">
        <f ca="1">IF(ABS('main page'!$K$29*L253+(1-'main page'!$K$29)*(controls!$B$9/100)*100+'main page'!$K$25*(D254-B254)-L253)&lt;0.0000001,L253,'main page'!$K$29*L253+(1-'main page'!$K$29)*(controls!$B$9/100)*100+'main page'!$K$25*(D254-B254))</f>
        <v>2</v>
      </c>
      <c r="M254" s="96">
        <f ca="1">IF(controls!$B$10=1,M253,IF(SUM(controls!$B$44:$B$46)=2,N254-'main page'!$K$29*'normal case'!L254-(1-'main page'!$K$29)*'main page'!$K$32,N254-'main page'!$K$29*'normal case'!L254-(1-'main page'!$K$29)*controls!$B$9))</f>
        <v>4</v>
      </c>
      <c r="N254" s="208">
        <f ca="1">IF(controls!$B$45=1,IF(controls!$B$46=1,'main page'!$K$24+'main page'!$K$11+'main page'!$U$8,'main page'!$K$24+'main page'!$K$11+'main page'!$K$32),IF(controls!$B$44=1,IF(O254&lt;0,0,O254),IF(O254+'main page'!$K$11&lt;0,0,O254+'main page'!$K$11)))</f>
        <v>6</v>
      </c>
      <c r="O254" s="76">
        <f ca="1">IF(controls!$B$10=1,'normal case'!M254+'normal case'!L254,'normal case'!P254)</f>
        <v>6</v>
      </c>
      <c r="P254" s="74">
        <f t="shared" ca="1" si="22"/>
        <v>6</v>
      </c>
      <c r="Q254" s="210">
        <f ca="1">IF(controls!$B$44=0,R254+'main page'!$K$29*L254+(1-'main page'!$K$29)*controls!$B$9+(('main page'!$K$25*'main page'!$U$13*'main page'!$K$29)/('main page'!$K$27*(1+('main page'!$K$25^2)*'main page'!$U$13)))*(L254-controls!$B$9),R254+'main page'!$K$29*L254+(1-'main page'!$K$29)*controls!$B$9+(('main page'!$K$25*'main page'!$U$13*'normal case'!$AO$3)/'normal case'!$AO$4)*('normal case'!L254-controls!$B$9))</f>
        <v>6</v>
      </c>
      <c r="R254" s="98">
        <f ca="1">IF(controls!$B$44=1,'main page'!$K$24+'main page'!$K$11,IF(controls!$B$33=1,((I255-D254*W255-B255+B254*V255)/'main page'!$K$27)-'main page'!$K$11,((H255-D254*W255-B255+B254*V255)/'main page'!$K$27)-'main page'!$K$11))</f>
        <v>4</v>
      </c>
      <c r="T254" s="71">
        <f>IF(controls!$B$6=1,$AL$3*(1+('main page'!$K$35/100))^U254-$AL$3*(1+('main page'!$K$35/100))^U253,$AL$3*(1+('main page'!$G$8/100))*(1+('main page'!$K$35/100))^U254-$AL$3*(1+('main page'!$G$8/100))*(1+('main page'!$K$35/100))^U253)</f>
        <v>0</v>
      </c>
      <c r="U254" s="73">
        <v>247</v>
      </c>
      <c r="V254" s="161">
        <f ca="1">IF(controls!$B$4=1,IF(controls!$H253=1,controls!$B$34*V253+RAND()*('main page'!$K$16/100)-RAND()*('main page'!$K$16/100),0),0)</f>
        <v>0</v>
      </c>
      <c r="W254" s="40">
        <f ca="1">IF(controls!$B$4=1,IF(controls!$I253=1,controls!$B$34*W253+RAND()*('main page'!$K$16/100)-RAND()*('main page'!$K$16/100),0),0)</f>
        <v>0</v>
      </c>
      <c r="X254" s="49">
        <f ca="1">IF(controls!$B$33=1,D254-($I$3-'main page'!$K$27*2)*(1+('main page'!$K$35/100))^A253,D254-$AL$4)</f>
        <v>0</v>
      </c>
      <c r="Y254" s="49">
        <f ca="1">ABS(L254-(controls!$B$9/100)*100)</f>
        <v>0</v>
      </c>
      <c r="AA254" s="49" t="e">
        <f ca="1">IF(controls!$B$33=1,(B255-B254*V255-I255+D254*W255+'main page'!$K$27*('main page'!$K$24+'main page'!$K$11))/'main page'!$K$31,(B255-B254*V255+D254*W255-H255+'main page'!$K$27*('main page'!$K$24+'main page'!$K$11))/'main page'!$K$31)</f>
        <v>#DIV/0!</v>
      </c>
      <c r="AB254" s="49" t="e">
        <f ca="1">IF(controls!$B$45=1,LOG(AF254,1.01)+LOG(AE254,1.01)-LOG(AD254,1.01),-((M254-('main page'!$K$24+'main page'!$K$11))/(1-'normal case'!$AO$3))+'normal case'!AA254)</f>
        <v>#DIV/0!</v>
      </c>
      <c r="AC254" s="176" t="e">
        <f t="shared" ca="1" si="23"/>
        <v>#DIV/0!</v>
      </c>
      <c r="AD254" s="49">
        <f t="shared" ca="1" si="24"/>
        <v>144.09307592152317</v>
      </c>
      <c r="AE254" s="49">
        <f>AE253*(1+'main page'!$K$32/100)</f>
        <v>1</v>
      </c>
      <c r="AF254" s="49" t="e">
        <f ca="1">IF(ABS(IF(controls!$B$45=1,$AL$13,AD254*AC254/AE254)-AF253)&lt;0.00001,AF253,IF(controls!$B$45=1,$AL$13,AD254*AC254/AE254))</f>
        <v>#DIV/0!</v>
      </c>
      <c r="AG254" s="49">
        <f>IF(controls!$B$46=0,0,IF(controls!$B$33=2,B255-B254*V255-('normal case'!H255-D254*W255-'main page'!$K$27*'normal case'!M254+'main page'!$K$31*'normal case'!AB254)-(('main page'!$K$25*'main page'!$U$13*'main page'!$K$29)/(1+('main page'!$K$25^2)*'main page'!$U$13))*('normal case'!L254-'main page'!$U$8),B255-B254*V255-('normal case'!I255-D254*W255-'main page'!$K$27*'normal case'!M254+'main page'!$K$31*'normal case'!AB254)-(('main page'!$K$25*'main page'!$U$13*'main page'!$K$29)/(1+('main page'!$K$25^2)*'main page'!$U$13))*('normal case'!L254-'main page'!$U$8)))</f>
        <v>0</v>
      </c>
      <c r="AN254" s="40"/>
      <c r="AO254" s="40"/>
    </row>
    <row r="255" spans="1:41">
      <c r="A255" s="48">
        <v>253</v>
      </c>
      <c r="B255" s="75">
        <f ca="1">IF(controls!$B$33=1,B254*(1+V255)+T255,B254*(1+V255))</f>
        <v>100</v>
      </c>
      <c r="C255" s="80">
        <f t="shared" ca="1" si="25"/>
        <v>0</v>
      </c>
      <c r="D255" s="77">
        <f t="shared" ca="1" si="21"/>
        <v>100</v>
      </c>
      <c r="E255" s="77">
        <f ca="1">AG254+IF(controls!$B$33=1,G255,F255)</f>
        <v>100</v>
      </c>
      <c r="F255" s="94">
        <f ca="1">IF(controls!$B$44=0,H255-'main page'!$K$27*M254,H255-'main page'!$K$27*M254+'main page'!$K$31*AB254)</f>
        <v>100</v>
      </c>
      <c r="G255" s="75">
        <f ca="1">IF(controls!$B$44=0,I255-'main page'!$K$27*M254,I255-'main page'!$K$27*M254+'main page'!$K$31*'normal case'!AB254)</f>
        <v>100</v>
      </c>
      <c r="H255" s="75">
        <f t="shared" ca="1" si="26"/>
        <v>108</v>
      </c>
      <c r="I255" s="75">
        <f t="shared" ca="1" si="27"/>
        <v>108</v>
      </c>
      <c r="L255" s="75">
        <f ca="1">IF(ABS('main page'!$K$29*L254+(1-'main page'!$K$29)*(controls!$B$9/100)*100+'main page'!$K$25*(D255-B255)-L254)&lt;0.0000001,L254,'main page'!$K$29*L254+(1-'main page'!$K$29)*(controls!$B$9/100)*100+'main page'!$K$25*(D255-B255))</f>
        <v>2</v>
      </c>
      <c r="M255" s="96">
        <f ca="1">IF(controls!$B$10=1,M254,IF(SUM(controls!$B$44:$B$46)=2,N255-'main page'!$K$29*'normal case'!L255-(1-'main page'!$K$29)*'main page'!$K$32,N255-'main page'!$K$29*'normal case'!L255-(1-'main page'!$K$29)*controls!$B$9))</f>
        <v>4</v>
      </c>
      <c r="N255" s="208">
        <f ca="1">IF(controls!$B$45=1,IF(controls!$B$46=1,'main page'!$K$24+'main page'!$K$11+'main page'!$U$8,'main page'!$K$24+'main page'!$K$11+'main page'!$K$32),IF(controls!$B$44=1,IF(O255&lt;0,0,O255),IF(O255+'main page'!$K$11&lt;0,0,O255+'main page'!$K$11)))</f>
        <v>6</v>
      </c>
      <c r="O255" s="76">
        <f ca="1">IF(controls!$B$10=1,'normal case'!M255+'normal case'!L255,'normal case'!P255)</f>
        <v>6</v>
      </c>
      <c r="P255" s="74">
        <f t="shared" ca="1" si="22"/>
        <v>6</v>
      </c>
      <c r="Q255" s="210">
        <f ca="1">IF(controls!$B$44=0,R255+'main page'!$K$29*L255+(1-'main page'!$K$29)*controls!$B$9+(('main page'!$K$25*'main page'!$U$13*'main page'!$K$29)/('main page'!$K$27*(1+('main page'!$K$25^2)*'main page'!$U$13)))*(L255-controls!$B$9),R255+'main page'!$K$29*L255+(1-'main page'!$K$29)*controls!$B$9+(('main page'!$K$25*'main page'!$U$13*'normal case'!$AO$3)/'normal case'!$AO$4)*('normal case'!L255-controls!$B$9))</f>
        <v>6</v>
      </c>
      <c r="R255" s="98">
        <f ca="1">IF(controls!$B$44=1,'main page'!$K$24+'main page'!$K$11,IF(controls!$B$33=1,((I256-D255*W256-B256+B255*V256)/'main page'!$K$27)-'main page'!$K$11,((H256-D255*W256-B256+B255*V256)/'main page'!$K$27)-'main page'!$K$11))</f>
        <v>4</v>
      </c>
      <c r="T255" s="71">
        <f>IF(controls!$B$6=1,$AL$3*(1+('main page'!$K$35/100))^U255-$AL$3*(1+('main page'!$K$35/100))^U254,$AL$3*(1+('main page'!$G$8/100))*(1+('main page'!$K$35/100))^U255-$AL$3*(1+('main page'!$G$8/100))*(1+('main page'!$K$35/100))^U254)</f>
        <v>0</v>
      </c>
      <c r="U255" s="73">
        <v>248</v>
      </c>
      <c r="V255" s="161">
        <v>0</v>
      </c>
      <c r="W255" s="40">
        <v>0</v>
      </c>
      <c r="X255" s="49">
        <f ca="1">IF(controls!$B$33=1,D255-($I$3-'main page'!$K$27*2)*(1+('main page'!$K$35/100))^A254,D255-$AL$4)</f>
        <v>0</v>
      </c>
      <c r="Y255" s="49">
        <f ca="1">ABS(L255-(controls!$B$9/100)*100)</f>
        <v>0</v>
      </c>
      <c r="AA255" s="49" t="e">
        <f ca="1">IF(controls!$B$33=1,(B256-B255*V256-I256+D255*W256+'main page'!$K$27*('main page'!$K$24+'main page'!$K$11))/'main page'!$K$31,(B256-B255*V256+D255*W256-H256+'main page'!$K$27*('main page'!$K$24+'main page'!$K$11))/'main page'!$K$31)</f>
        <v>#DIV/0!</v>
      </c>
      <c r="AB255" s="49" t="e">
        <f ca="1">IF(controls!$B$45=1,LOG(AF255,1.01)+LOG(AE255,1.01)-LOG(AD255,1.01),-((M255-('main page'!$K$24+'main page'!$K$11))/(1-'normal case'!$AO$3))+'normal case'!AA255)</f>
        <v>#DIV/0!</v>
      </c>
      <c r="AC255" s="176" t="e">
        <f t="shared" ca="1" si="23"/>
        <v>#DIV/0!</v>
      </c>
      <c r="AD255" s="49">
        <f t="shared" ca="1" si="24"/>
        <v>146.97493743995364</v>
      </c>
      <c r="AE255" s="49">
        <f>AE254*(1+'main page'!$K$32/100)</f>
        <v>1</v>
      </c>
      <c r="AF255" s="49" t="e">
        <f ca="1">IF(ABS(IF(controls!$B$45=1,$AL$13,AD255*AC255/AE255)-AF254)&lt;0.00001,AF254,IF(controls!$B$45=1,$AL$13,AD255*AC255/AE255))</f>
        <v>#DIV/0!</v>
      </c>
      <c r="AG255" s="49">
        <f>IF(controls!$B$46=0,0,IF(controls!$B$33=2,B256-B255*V256-('normal case'!H256-D255*W256-'main page'!$K$27*'normal case'!M255+'main page'!$K$31*'normal case'!AB255)-(('main page'!$K$25*'main page'!$U$13*'main page'!$K$29)/(1+('main page'!$K$25^2)*'main page'!$U$13))*('normal case'!L255-'main page'!$U$8),B256-B255*V256-('normal case'!I256-D255*W256-'main page'!$K$27*'normal case'!M255+'main page'!$K$31*'normal case'!AB255)-(('main page'!$K$25*'main page'!$U$13*'main page'!$K$29)/(1+('main page'!$K$25^2)*'main page'!$U$13))*('normal case'!L255-'main page'!$U$8)))</f>
        <v>0</v>
      </c>
      <c r="AN255" s="40"/>
      <c r="AO255" s="40"/>
    </row>
    <row r="256" spans="1:41">
      <c r="A256" s="48">
        <v>254</v>
      </c>
      <c r="B256" s="75">
        <f ca="1">IF(controls!$B$33=1,B255*(1+V256)+T256,B255*(1+V256))</f>
        <v>100</v>
      </c>
      <c r="C256" s="80">
        <f t="shared" ca="1" si="25"/>
        <v>0</v>
      </c>
      <c r="D256" s="77">
        <f t="shared" ca="1" si="21"/>
        <v>100</v>
      </c>
      <c r="E256" s="77">
        <f ca="1">AG255+IF(controls!$B$33=1,G256,F256)</f>
        <v>100</v>
      </c>
      <c r="F256" s="94">
        <f ca="1">IF(controls!$B$44=0,H256-'main page'!$K$27*M255,H256-'main page'!$K$27*M255+'main page'!$K$31*AB255)</f>
        <v>100</v>
      </c>
      <c r="G256" s="75">
        <f ca="1">IF(controls!$B$44=0,I256-'main page'!$K$27*M255,I256-'main page'!$K$27*M255+'main page'!$K$31*'normal case'!AB255)</f>
        <v>100</v>
      </c>
      <c r="H256" s="75">
        <f t="shared" ca="1" si="26"/>
        <v>108</v>
      </c>
      <c r="I256" s="75">
        <f t="shared" ca="1" si="27"/>
        <v>108</v>
      </c>
      <c r="L256" s="75">
        <f ca="1">IF(ABS('main page'!$K$29*L255+(1-'main page'!$K$29)*(controls!$B$9/100)*100+'main page'!$K$25*(D256-B256)-L255)&lt;0.0000001,L255,'main page'!$K$29*L255+(1-'main page'!$K$29)*(controls!$B$9/100)*100+'main page'!$K$25*(D256-B256))</f>
        <v>2</v>
      </c>
      <c r="M256" s="96">
        <f ca="1">IF(controls!$B$10=1,M255,IF(SUM(controls!$B$44:$B$46)=2,N256-'main page'!$K$29*'normal case'!L256-(1-'main page'!$K$29)*'main page'!$K$32,N256-'main page'!$K$29*'normal case'!L256-(1-'main page'!$K$29)*controls!$B$9))</f>
        <v>4</v>
      </c>
      <c r="N256" s="208">
        <f ca="1">IF(controls!$B$45=1,IF(controls!$B$46=1,'main page'!$K$24+'main page'!$K$11+'main page'!$U$8,'main page'!$K$24+'main page'!$K$11+'main page'!$K$32),IF(controls!$B$44=1,IF(O256&lt;0,0,O256),IF(O256+'main page'!$K$11&lt;0,0,O256+'main page'!$K$11)))</f>
        <v>6</v>
      </c>
      <c r="O256" s="76">
        <f ca="1">IF(controls!$B$10=1,'normal case'!M256+'normal case'!L256,'normal case'!P256)</f>
        <v>6</v>
      </c>
      <c r="P256" s="74">
        <f t="shared" ca="1" si="22"/>
        <v>6</v>
      </c>
      <c r="Q256" s="210">
        <f ca="1">IF(controls!$B$44=0,R256+'main page'!$K$29*L256+(1-'main page'!$K$29)*controls!$B$9+(('main page'!$K$25*'main page'!$U$13*'main page'!$K$29)/('main page'!$K$27*(1+('main page'!$K$25^2)*'main page'!$U$13)))*(L256-controls!$B$9),R256+'main page'!$K$29*L256+(1-'main page'!$K$29)*controls!$B$9+(('main page'!$K$25*'main page'!$U$13*'normal case'!$AO$3)/'normal case'!$AO$4)*('normal case'!L256-controls!$B$9))</f>
        <v>6</v>
      </c>
      <c r="R256" s="98">
        <f ca="1">IF(controls!$B$44=1,'main page'!$K$24+'main page'!$K$11,IF(controls!$B$33=1,((I257-D256*W257-B257+B256*V257)/'main page'!$K$27)-'main page'!$K$11,((H257-D256*W257-B257+B256*V257)/'main page'!$K$27)-'main page'!$K$11))</f>
        <v>4</v>
      </c>
      <c r="T256" s="71">
        <f>IF(controls!$B$6=1,$AL$3*(1+('main page'!$K$35/100))^U256-$AL$3*(1+('main page'!$K$35/100))^U255,$AL$3*(1+('main page'!$G$8/100))*(1+('main page'!$K$35/100))^U256-$AL$3*(1+('main page'!$G$8/100))*(1+('main page'!$K$35/100))^U255)</f>
        <v>0</v>
      </c>
      <c r="U256" s="73">
        <v>249</v>
      </c>
      <c r="V256" s="161">
        <v>0</v>
      </c>
      <c r="W256" s="40">
        <v>0</v>
      </c>
      <c r="X256" s="49">
        <f ca="1">IF(controls!$B$33=1,D256-($I$3-'main page'!$K$27*2)*(1+('main page'!$K$35/100))^A255,D256-$AL$4)</f>
        <v>0</v>
      </c>
      <c r="Y256" s="49">
        <f ca="1">ABS(L256-(controls!$B$9/100)*100)</f>
        <v>0</v>
      </c>
      <c r="AA256" s="49" t="e">
        <f ca="1">IF(controls!$B$33=1,(B257-B256*V257-I257+D256*W257+'main page'!$K$27*('main page'!$K$24+'main page'!$K$11))/'main page'!$K$31,(B257-B256*V257+D256*W257-H257+'main page'!$K$27*('main page'!$K$24+'main page'!$K$11))/'main page'!$K$31)</f>
        <v>#DIV/0!</v>
      </c>
      <c r="AB256" s="49" t="e">
        <f ca="1">IF(controls!$B$45=1,LOG(AF256,1.01)+LOG(AE256,1.01)-LOG(AD256,1.01),-((M256-('main page'!$K$24+'main page'!$K$11))/(1-'normal case'!$AO$3))+'normal case'!AA256)</f>
        <v>#DIV/0!</v>
      </c>
      <c r="AC256" s="176" t="e">
        <f t="shared" ca="1" si="23"/>
        <v>#DIV/0!</v>
      </c>
      <c r="AD256" s="49">
        <f t="shared" ca="1" si="24"/>
        <v>149.91443618875272</v>
      </c>
      <c r="AE256" s="49">
        <f>AE255*(1+'main page'!$K$32/100)</f>
        <v>1</v>
      </c>
      <c r="AF256" s="49" t="e">
        <f ca="1">IF(ABS(IF(controls!$B$45=1,$AL$13,AD256*AC256/AE256)-AF255)&lt;0.00001,AF255,IF(controls!$B$45=1,$AL$13,AD256*AC256/AE256))</f>
        <v>#DIV/0!</v>
      </c>
      <c r="AG256" s="49">
        <f>IF(controls!$B$46=0,0,IF(controls!$B$33=2,B257-B256*V257-('normal case'!H257-D256*W257-'main page'!$K$27*'normal case'!M256+'main page'!$K$31*'normal case'!AB256)-(('main page'!$K$25*'main page'!$U$13*'main page'!$K$29)/(1+('main page'!$K$25^2)*'main page'!$U$13))*('normal case'!L256-'main page'!$U$8),B257-B256*V257-('normal case'!I257-D256*W257-'main page'!$K$27*'normal case'!M256+'main page'!$K$31*'normal case'!AB256)-(('main page'!$K$25*'main page'!$U$13*'main page'!$K$29)/(1+('main page'!$K$25^2)*'main page'!$U$13))*('normal case'!L256-'main page'!$U$8)))</f>
        <v>0</v>
      </c>
      <c r="AN256" s="40"/>
      <c r="AO256" s="40"/>
    </row>
    <row r="257" spans="1:41">
      <c r="A257" s="48">
        <v>255</v>
      </c>
      <c r="B257" s="75">
        <f ca="1">IF(controls!$B$33=1,B256*(1+V257)+T257,B256*(1+V257))</f>
        <v>100</v>
      </c>
      <c r="C257" s="80">
        <f t="shared" ca="1" si="25"/>
        <v>0</v>
      </c>
      <c r="D257" s="77">
        <f t="shared" ca="1" si="21"/>
        <v>100</v>
      </c>
      <c r="E257" s="77">
        <f ca="1">AG256+IF(controls!$B$33=1,G257,F257)</f>
        <v>100</v>
      </c>
      <c r="F257" s="94">
        <f ca="1">IF(controls!$B$44=0,H257-'main page'!$K$27*M256,H257-'main page'!$K$27*M256+'main page'!$K$31*AB256)</f>
        <v>100</v>
      </c>
      <c r="G257" s="75">
        <f ca="1">IF(controls!$B$44=0,I257-'main page'!$K$27*M256,I257-'main page'!$K$27*M256+'main page'!$K$31*'normal case'!AB256)</f>
        <v>100</v>
      </c>
      <c r="H257" s="75">
        <f t="shared" ca="1" si="26"/>
        <v>108</v>
      </c>
      <c r="I257" s="75">
        <f t="shared" ca="1" si="27"/>
        <v>108</v>
      </c>
      <c r="L257" s="75">
        <f ca="1">IF(ABS('main page'!$K$29*L256+(1-'main page'!$K$29)*(controls!$B$9/100)*100+'main page'!$K$25*(D257-B257)-L256)&lt;0.0000001,L256,'main page'!$K$29*L256+(1-'main page'!$K$29)*(controls!$B$9/100)*100+'main page'!$K$25*(D257-B257))</f>
        <v>2</v>
      </c>
      <c r="M257" s="96">
        <f ca="1">IF(controls!$B$10=1,M256,IF(SUM(controls!$B$44:$B$46)=2,N257-'main page'!$K$29*'normal case'!L257-(1-'main page'!$K$29)*'main page'!$K$32,N257-'main page'!$K$29*'normal case'!L257-(1-'main page'!$K$29)*controls!$B$9))</f>
        <v>4</v>
      </c>
      <c r="N257" s="208">
        <f ca="1">IF(controls!$B$45=1,IF(controls!$B$46=1,'main page'!$K$24+'main page'!$K$11+'main page'!$U$8,'main page'!$K$24+'main page'!$K$11+'main page'!$K$32),IF(controls!$B$44=1,IF(O257&lt;0,0,O257),IF(O257+'main page'!$K$11&lt;0,0,O257+'main page'!$K$11)))</f>
        <v>6</v>
      </c>
      <c r="O257" s="76">
        <f ca="1">IF(controls!$B$10=1,'normal case'!M257+'normal case'!L257,'normal case'!P257)</f>
        <v>6</v>
      </c>
      <c r="P257" s="74">
        <f t="shared" ca="1" si="22"/>
        <v>6</v>
      </c>
      <c r="Q257" s="210">
        <f ca="1">IF(controls!$B$44=0,R257+'main page'!$K$29*L257+(1-'main page'!$K$29)*controls!$B$9+(('main page'!$K$25*'main page'!$U$13*'main page'!$K$29)/('main page'!$K$27*(1+('main page'!$K$25^2)*'main page'!$U$13)))*(L257-controls!$B$9),R257+'main page'!$K$29*L257+(1-'main page'!$K$29)*controls!$B$9+(('main page'!$K$25*'main page'!$U$13*'normal case'!$AO$3)/'normal case'!$AO$4)*('normal case'!L257-controls!$B$9))</f>
        <v>6</v>
      </c>
      <c r="R257" s="98">
        <f ca="1">IF(controls!$B$44=1,'main page'!$K$24+'main page'!$K$11,IF(controls!$B$33=1,((I258-D257*W258-B258+B257*V258)/'main page'!$K$27)-'main page'!$K$11,((H258-D257*W258-B258+B257*V258)/'main page'!$K$27)-'main page'!$K$11))</f>
        <v>4</v>
      </c>
      <c r="T257" s="71">
        <f>IF(controls!$B$6=1,$AL$3*(1+('main page'!$K$35/100))^U257-$AL$3*(1+('main page'!$K$35/100))^U256,$AL$3*(1+('main page'!$G$8/100))*(1+('main page'!$K$35/100))^U257-$AL$3*(1+('main page'!$G$8/100))*(1+('main page'!$K$35/100))^U256)</f>
        <v>0</v>
      </c>
      <c r="U257" s="73">
        <v>250</v>
      </c>
      <c r="V257" s="161">
        <f ca="1">IF(controls!$B$4=1,IF(controls!$H256=1,controls!$B$34*V256+RAND()*('main page'!$K$16/100)-RAND()*('main page'!$K$16/100),0),0)</f>
        <v>0</v>
      </c>
      <c r="W257" s="40">
        <f ca="1">IF(controls!$B$4=1,IF(controls!$I256=1,controls!$B$34*W256+RAND()*('main page'!$K$16/100)-RAND()*('main page'!$K$16/100),0),0)</f>
        <v>0</v>
      </c>
      <c r="X257" s="49">
        <f ca="1">IF(controls!$B$33=1,D257-($I$3-'main page'!$K$27*2)*(1+('main page'!$K$35/100))^A256,D257-$AL$4)</f>
        <v>0</v>
      </c>
      <c r="Y257" s="49">
        <f ca="1">ABS(L257-(controls!$B$9/100)*100)</f>
        <v>0</v>
      </c>
      <c r="AA257" s="49" t="e">
        <f ca="1">IF(controls!$B$33=1,(B258-B257*V258-I258+D257*W258+'main page'!$K$27*('main page'!$K$24+'main page'!$K$11))/'main page'!$K$31,(B258-B257*V258+D257*W258-H258+'main page'!$K$27*('main page'!$K$24+'main page'!$K$11))/'main page'!$K$31)</f>
        <v>#DIV/0!</v>
      </c>
      <c r="AB257" s="49" t="e">
        <f ca="1">IF(controls!$B$45=1,LOG(AF257,1.01)+LOG(AE257,1.01)-LOG(AD257,1.01),-((M257-('main page'!$K$24+'main page'!$K$11))/(1-'normal case'!$AO$3))+'normal case'!AA257)</f>
        <v>#DIV/0!</v>
      </c>
      <c r="AC257" s="176" t="e">
        <f t="shared" ca="1" si="23"/>
        <v>#DIV/0!</v>
      </c>
      <c r="AD257" s="49">
        <f t="shared" ca="1" si="24"/>
        <v>152.91272491252778</v>
      </c>
      <c r="AE257" s="49">
        <f>AE256*(1+'main page'!$K$32/100)</f>
        <v>1</v>
      </c>
      <c r="AF257" s="49" t="e">
        <f ca="1">IF(ABS(IF(controls!$B$45=1,$AL$13,AD257*AC257/AE257)-AF256)&lt;0.00001,AF256,IF(controls!$B$45=1,$AL$13,AD257*AC257/AE257))</f>
        <v>#DIV/0!</v>
      </c>
      <c r="AG257" s="49">
        <f>IF(controls!$B$46=0,0,IF(controls!$B$33=2,B258-B257*V258-('normal case'!H258-D257*W258-'main page'!$K$27*'normal case'!M257+'main page'!$K$31*'normal case'!AB257)-(('main page'!$K$25*'main page'!$U$13*'main page'!$K$29)/(1+('main page'!$K$25^2)*'main page'!$U$13))*('normal case'!L257-'main page'!$U$8),B258-B257*V258-('normal case'!I258-D257*W258-'main page'!$K$27*'normal case'!M257+'main page'!$K$31*'normal case'!AB257)-(('main page'!$K$25*'main page'!$U$13*'main page'!$K$29)/(1+('main page'!$K$25^2)*'main page'!$U$13))*('normal case'!L257-'main page'!$U$8)))</f>
        <v>0</v>
      </c>
      <c r="AN257" s="40"/>
      <c r="AO257" s="40"/>
    </row>
    <row r="258" spans="1:41">
      <c r="A258" s="48">
        <v>256</v>
      </c>
      <c r="B258" s="75">
        <f ca="1">IF(controls!$B$33=1,B257*(1+V258)+T258,B257*(1+V258))</f>
        <v>100</v>
      </c>
      <c r="C258" s="80">
        <f t="shared" ca="1" si="25"/>
        <v>0</v>
      </c>
      <c r="D258" s="77">
        <f t="shared" ca="1" si="21"/>
        <v>100</v>
      </c>
      <c r="E258" s="77">
        <f ca="1">AG257+IF(controls!$B$33=1,G258,F258)</f>
        <v>100</v>
      </c>
      <c r="F258" s="94">
        <f ca="1">IF(controls!$B$44=0,H258-'main page'!$K$27*M257,H258-'main page'!$K$27*M257+'main page'!$K$31*AB257)</f>
        <v>100</v>
      </c>
      <c r="G258" s="75">
        <f ca="1">IF(controls!$B$44=0,I258-'main page'!$K$27*M257,I258-'main page'!$K$27*M257+'main page'!$K$31*'normal case'!AB257)</f>
        <v>100</v>
      </c>
      <c r="H258" s="75">
        <f t="shared" ca="1" si="26"/>
        <v>108</v>
      </c>
      <c r="I258" s="75">
        <f t="shared" ca="1" si="27"/>
        <v>108</v>
      </c>
      <c r="L258" s="75">
        <f ca="1">IF(ABS('main page'!$K$29*L257+(1-'main page'!$K$29)*(controls!$B$9/100)*100+'main page'!$K$25*(D258-B258)-L257)&lt;0.0000001,L257,'main page'!$K$29*L257+(1-'main page'!$K$29)*(controls!$B$9/100)*100+'main page'!$K$25*(D258-B258))</f>
        <v>2</v>
      </c>
      <c r="M258" s="96">
        <f ca="1">IF(controls!$B$10=1,M257,IF(SUM(controls!$B$44:$B$46)=2,N258-'main page'!$K$29*'normal case'!L258-(1-'main page'!$K$29)*'main page'!$K$32,N258-'main page'!$K$29*'normal case'!L258-(1-'main page'!$K$29)*controls!$B$9))</f>
        <v>4</v>
      </c>
      <c r="N258" s="208">
        <f ca="1">IF(controls!$B$45=1,IF(controls!$B$46=1,'main page'!$K$24+'main page'!$K$11+'main page'!$U$8,'main page'!$K$24+'main page'!$K$11+'main page'!$K$32),IF(controls!$B$44=1,IF(O258&lt;0,0,O258),IF(O258+'main page'!$K$11&lt;0,0,O258+'main page'!$K$11)))</f>
        <v>6</v>
      </c>
      <c r="O258" s="76">
        <f ca="1">IF(controls!$B$10=1,'normal case'!M258+'normal case'!L258,'normal case'!P258)</f>
        <v>6</v>
      </c>
      <c r="P258" s="74">
        <f t="shared" ca="1" si="22"/>
        <v>6</v>
      </c>
      <c r="Q258" s="210">
        <f ca="1">IF(controls!$B$44=0,R258+'main page'!$K$29*L258+(1-'main page'!$K$29)*controls!$B$9+(('main page'!$K$25*'main page'!$U$13*'main page'!$K$29)/('main page'!$K$27*(1+('main page'!$K$25^2)*'main page'!$U$13)))*(L258-controls!$B$9),R258+'main page'!$K$29*L258+(1-'main page'!$K$29)*controls!$B$9+(('main page'!$K$25*'main page'!$U$13*'normal case'!$AO$3)/'normal case'!$AO$4)*('normal case'!L258-controls!$B$9))</f>
        <v>6</v>
      </c>
      <c r="R258" s="98">
        <f ca="1">IF(controls!$B$44=1,'main page'!$K$24+'main page'!$K$11,IF(controls!$B$33=1,((I259-D258*W259-B259+B258*V259)/'main page'!$K$27)-'main page'!$K$11,((H259-D258*W259-B259+B258*V259)/'main page'!$K$27)-'main page'!$K$11))</f>
        <v>4</v>
      </c>
      <c r="T258" s="71">
        <f>IF(controls!$B$6=1,$AL$3*(1+('main page'!$K$35/100))^U258-$AL$3*(1+('main page'!$K$35/100))^U257,$AL$3*(1+('main page'!$G$8/100))*(1+('main page'!$K$35/100))^U258-$AL$3*(1+('main page'!$G$8/100))*(1+('main page'!$K$35/100))^U257)</f>
        <v>0</v>
      </c>
      <c r="U258" s="73">
        <v>251</v>
      </c>
      <c r="V258" s="161">
        <v>0</v>
      </c>
      <c r="W258" s="40">
        <v>0</v>
      </c>
      <c r="X258" s="49">
        <f ca="1">IF(controls!$B$33=1,D258-($I$3-'main page'!$K$27*2)*(1+('main page'!$K$35/100))^A257,D258-$AL$4)</f>
        <v>0</v>
      </c>
      <c r="Y258" s="49">
        <f ca="1">ABS(L258-(controls!$B$9/100)*100)</f>
        <v>0</v>
      </c>
      <c r="AA258" s="49" t="e">
        <f ca="1">IF(controls!$B$33=1,(B259-B258*V259-I259+D258*W259+'main page'!$K$27*('main page'!$K$24+'main page'!$K$11))/'main page'!$K$31,(B259-B258*V259+D258*W259-H259+'main page'!$K$27*('main page'!$K$24+'main page'!$K$11))/'main page'!$K$31)</f>
        <v>#DIV/0!</v>
      </c>
      <c r="AB258" s="49" t="e">
        <f ca="1">IF(controls!$B$45=1,LOG(AF258,1.01)+LOG(AE258,1.01)-LOG(AD258,1.01),-((M258-('main page'!$K$24+'main page'!$K$11))/(1-'normal case'!$AO$3))+'normal case'!AA258)</f>
        <v>#DIV/0!</v>
      </c>
      <c r="AC258" s="176" t="e">
        <f t="shared" ca="1" si="23"/>
        <v>#DIV/0!</v>
      </c>
      <c r="AD258" s="49">
        <f t="shared" ca="1" si="24"/>
        <v>155.97097941077834</v>
      </c>
      <c r="AE258" s="49">
        <f>AE257*(1+'main page'!$K$32/100)</f>
        <v>1</v>
      </c>
      <c r="AF258" s="49" t="e">
        <f ca="1">IF(ABS(IF(controls!$B$45=1,$AL$13,AD258*AC258/AE258)-AF257)&lt;0.00001,AF257,IF(controls!$B$45=1,$AL$13,AD258*AC258/AE258))</f>
        <v>#DIV/0!</v>
      </c>
      <c r="AG258" s="49">
        <f>IF(controls!$B$46=0,0,IF(controls!$B$33=2,B259-B258*V259-('normal case'!H259-D258*W259-'main page'!$K$27*'normal case'!M258+'main page'!$K$31*'normal case'!AB258)-(('main page'!$K$25*'main page'!$U$13*'main page'!$K$29)/(1+('main page'!$K$25^2)*'main page'!$U$13))*('normal case'!L258-'main page'!$U$8),B259-B258*V259-('normal case'!I259-D258*W259-'main page'!$K$27*'normal case'!M258+'main page'!$K$31*'normal case'!AB258)-(('main page'!$K$25*'main page'!$U$13*'main page'!$K$29)/(1+('main page'!$K$25^2)*'main page'!$U$13))*('normal case'!L258-'main page'!$U$8)))</f>
        <v>0</v>
      </c>
      <c r="AN258" s="40"/>
      <c r="AO258" s="40"/>
    </row>
    <row r="259" spans="1:41">
      <c r="A259" s="48">
        <v>257</v>
      </c>
      <c r="B259" s="75">
        <f ca="1">IF(controls!$B$33=1,B258*(1+V259)+T259,B258*(1+V259))</f>
        <v>100</v>
      </c>
      <c r="C259" s="80">
        <f t="shared" ca="1" si="25"/>
        <v>0</v>
      </c>
      <c r="D259" s="77">
        <f t="shared" ca="1" si="21"/>
        <v>100</v>
      </c>
      <c r="E259" s="77">
        <f ca="1">AG258+IF(controls!$B$33=1,G259,F259)</f>
        <v>100</v>
      </c>
      <c r="F259" s="94">
        <f ca="1">IF(controls!$B$44=0,H259-'main page'!$K$27*M258,H259-'main page'!$K$27*M258+'main page'!$K$31*AB258)</f>
        <v>100</v>
      </c>
      <c r="G259" s="75">
        <f ca="1">IF(controls!$B$44=0,I259-'main page'!$K$27*M258,I259-'main page'!$K$27*M258+'main page'!$K$31*'normal case'!AB258)</f>
        <v>100</v>
      </c>
      <c r="H259" s="75">
        <f t="shared" ca="1" si="26"/>
        <v>108</v>
      </c>
      <c r="I259" s="75">
        <f t="shared" ca="1" si="27"/>
        <v>108</v>
      </c>
      <c r="L259" s="75">
        <f ca="1">IF(ABS('main page'!$K$29*L258+(1-'main page'!$K$29)*(controls!$B$9/100)*100+'main page'!$K$25*(D259-B259)-L258)&lt;0.0000001,L258,'main page'!$K$29*L258+(1-'main page'!$K$29)*(controls!$B$9/100)*100+'main page'!$K$25*(D259-B259))</f>
        <v>2</v>
      </c>
      <c r="M259" s="96">
        <f ca="1">IF(controls!$B$10=1,M258,IF(SUM(controls!$B$44:$B$46)=2,N259-'main page'!$K$29*'normal case'!L259-(1-'main page'!$K$29)*'main page'!$K$32,N259-'main page'!$K$29*'normal case'!L259-(1-'main page'!$K$29)*controls!$B$9))</f>
        <v>4</v>
      </c>
      <c r="N259" s="208">
        <f ca="1">IF(controls!$B$45=1,IF(controls!$B$46=1,'main page'!$K$24+'main page'!$K$11+'main page'!$U$8,'main page'!$K$24+'main page'!$K$11+'main page'!$K$32),IF(controls!$B$44=1,IF(O259&lt;0,0,O259),IF(O259+'main page'!$K$11&lt;0,0,O259+'main page'!$K$11)))</f>
        <v>6</v>
      </c>
      <c r="O259" s="76">
        <f ca="1">IF(controls!$B$10=1,'normal case'!M259+'normal case'!L259,'normal case'!P259)</f>
        <v>6</v>
      </c>
      <c r="P259" s="74">
        <f t="shared" ca="1" si="22"/>
        <v>6</v>
      </c>
      <c r="Q259" s="210">
        <f ca="1">IF(controls!$B$44=0,R259+'main page'!$K$29*L259+(1-'main page'!$K$29)*controls!$B$9+(('main page'!$K$25*'main page'!$U$13*'main page'!$K$29)/('main page'!$K$27*(1+('main page'!$K$25^2)*'main page'!$U$13)))*(L259-controls!$B$9),R259+'main page'!$K$29*L259+(1-'main page'!$K$29)*controls!$B$9+(('main page'!$K$25*'main page'!$U$13*'normal case'!$AO$3)/'normal case'!$AO$4)*('normal case'!L259-controls!$B$9))</f>
        <v>6</v>
      </c>
      <c r="R259" s="98">
        <f ca="1">IF(controls!$B$44=1,'main page'!$K$24+'main page'!$K$11,IF(controls!$B$33=1,((I260-D259*W260-B260+B259*V260)/'main page'!$K$27)-'main page'!$K$11,((H260-D259*W260-B260+B259*V260)/'main page'!$K$27)-'main page'!$K$11))</f>
        <v>4</v>
      </c>
      <c r="T259" s="71">
        <f>IF(controls!$B$6=1,$AL$3*(1+('main page'!$K$35/100))^U259-$AL$3*(1+('main page'!$K$35/100))^U258,$AL$3*(1+('main page'!$G$8/100))*(1+('main page'!$K$35/100))^U259-$AL$3*(1+('main page'!$G$8/100))*(1+('main page'!$K$35/100))^U258)</f>
        <v>0</v>
      </c>
      <c r="U259" s="73">
        <v>252</v>
      </c>
      <c r="V259" s="161">
        <v>0</v>
      </c>
      <c r="W259" s="40">
        <v>0</v>
      </c>
      <c r="X259" s="49">
        <f ca="1">IF(controls!$B$33=1,D259-($I$3-'main page'!$K$27*2)*(1+('main page'!$K$35/100))^A258,D259-$AL$4)</f>
        <v>0</v>
      </c>
      <c r="Y259" s="49">
        <f ca="1">ABS(L259-(controls!$B$9/100)*100)</f>
        <v>0</v>
      </c>
      <c r="AA259" s="49" t="e">
        <f ca="1">IF(controls!$B$33=1,(B260-B259*V260-I260+D259*W260+'main page'!$K$27*('main page'!$K$24+'main page'!$K$11))/'main page'!$K$31,(B260-B259*V260+D259*W260-H260+'main page'!$K$27*('main page'!$K$24+'main page'!$K$11))/'main page'!$K$31)</f>
        <v>#DIV/0!</v>
      </c>
      <c r="AB259" s="49" t="e">
        <f ca="1">IF(controls!$B$45=1,LOG(AF259,1.01)+LOG(AE259,1.01)-LOG(AD259,1.01),-((M259-('main page'!$K$24+'main page'!$K$11))/(1-'normal case'!$AO$3))+'normal case'!AA259)</f>
        <v>#DIV/0!</v>
      </c>
      <c r="AC259" s="176" t="e">
        <f t="shared" ca="1" si="23"/>
        <v>#DIV/0!</v>
      </c>
      <c r="AD259" s="49">
        <f t="shared" ca="1" si="24"/>
        <v>159.09039899899392</v>
      </c>
      <c r="AE259" s="49">
        <f>AE258*(1+'main page'!$K$32/100)</f>
        <v>1</v>
      </c>
      <c r="AF259" s="49" t="e">
        <f ca="1">IF(ABS(IF(controls!$B$45=1,$AL$13,AD259*AC259/AE259)-AF258)&lt;0.00001,AF258,IF(controls!$B$45=1,$AL$13,AD259*AC259/AE259))</f>
        <v>#DIV/0!</v>
      </c>
      <c r="AG259" s="49">
        <f>IF(controls!$B$46=0,0,IF(controls!$B$33=2,B260-B259*V260-('normal case'!H260-D259*W260-'main page'!$K$27*'normal case'!M259+'main page'!$K$31*'normal case'!AB259)-(('main page'!$K$25*'main page'!$U$13*'main page'!$K$29)/(1+('main page'!$K$25^2)*'main page'!$U$13))*('normal case'!L259-'main page'!$U$8),B260-B259*V260-('normal case'!I260-D259*W260-'main page'!$K$27*'normal case'!M259+'main page'!$K$31*'normal case'!AB259)-(('main page'!$K$25*'main page'!$U$13*'main page'!$K$29)/(1+('main page'!$K$25^2)*'main page'!$U$13))*('normal case'!L259-'main page'!$U$8)))</f>
        <v>0</v>
      </c>
      <c r="AN259" s="40"/>
      <c r="AO259" s="40"/>
    </row>
    <row r="260" spans="1:41">
      <c r="A260" s="48">
        <v>258</v>
      </c>
      <c r="B260" s="75">
        <f ca="1">IF(controls!$B$33=1,B259*(1+V260)+T260,B259*(1+V260))</f>
        <v>100</v>
      </c>
      <c r="C260" s="80">
        <f t="shared" ca="1" si="25"/>
        <v>0</v>
      </c>
      <c r="D260" s="77">
        <f t="shared" ref="D260:D323" ca="1" si="28">IF(E260&gt;0,E260,0.1)</f>
        <v>100</v>
      </c>
      <c r="E260" s="77">
        <f ca="1">AG259+IF(controls!$B$33=1,G260,F260)</f>
        <v>100</v>
      </c>
      <c r="F260" s="94">
        <f ca="1">IF(controls!$B$44=0,H260-'main page'!$K$27*M259,H260-'main page'!$K$27*M259+'main page'!$K$31*AB259)</f>
        <v>100</v>
      </c>
      <c r="G260" s="75">
        <f ca="1">IF(controls!$B$44=0,I260-'main page'!$K$27*M259,I260-'main page'!$K$27*M259+'main page'!$K$31*'normal case'!AB259)</f>
        <v>100</v>
      </c>
      <c r="H260" s="75">
        <f t="shared" ca="1" si="26"/>
        <v>108</v>
      </c>
      <c r="I260" s="75">
        <f t="shared" ca="1" si="27"/>
        <v>108</v>
      </c>
      <c r="L260" s="75">
        <f ca="1">IF(ABS('main page'!$K$29*L259+(1-'main page'!$K$29)*(controls!$B$9/100)*100+'main page'!$K$25*(D260-B260)-L259)&lt;0.0000001,L259,'main page'!$K$29*L259+(1-'main page'!$K$29)*(controls!$B$9/100)*100+'main page'!$K$25*(D260-B260))</f>
        <v>2</v>
      </c>
      <c r="M260" s="96">
        <f ca="1">IF(controls!$B$10=1,M259,IF(SUM(controls!$B$44:$B$46)=2,N260-'main page'!$K$29*'normal case'!L260-(1-'main page'!$K$29)*'main page'!$K$32,N260-'main page'!$K$29*'normal case'!L260-(1-'main page'!$K$29)*controls!$B$9))</f>
        <v>4</v>
      </c>
      <c r="N260" s="208">
        <f ca="1">IF(controls!$B$45=1,IF(controls!$B$46=1,'main page'!$K$24+'main page'!$K$11+'main page'!$U$8,'main page'!$K$24+'main page'!$K$11+'main page'!$K$32),IF(controls!$B$44=1,IF(O260&lt;0,0,O260),IF(O260+'main page'!$K$11&lt;0,0,O260+'main page'!$K$11)))</f>
        <v>6</v>
      </c>
      <c r="O260" s="76">
        <f ca="1">IF(controls!$B$10=1,'normal case'!M260+'normal case'!L260,'normal case'!P260)</f>
        <v>6</v>
      </c>
      <c r="P260" s="74">
        <f t="shared" ref="P260:P323" ca="1" si="29">IF(Q260&lt;0,0,Q260)</f>
        <v>6</v>
      </c>
      <c r="Q260" s="210">
        <f ca="1">IF(controls!$B$44=0,R260+'main page'!$K$29*L260+(1-'main page'!$K$29)*controls!$B$9+(('main page'!$K$25*'main page'!$U$13*'main page'!$K$29)/('main page'!$K$27*(1+('main page'!$K$25^2)*'main page'!$U$13)))*(L260-controls!$B$9),R260+'main page'!$K$29*L260+(1-'main page'!$K$29)*controls!$B$9+(('main page'!$K$25*'main page'!$U$13*'normal case'!$AO$3)/'normal case'!$AO$4)*('normal case'!L260-controls!$B$9))</f>
        <v>6</v>
      </c>
      <c r="R260" s="98">
        <f ca="1">IF(controls!$B$44=1,'main page'!$K$24+'main page'!$K$11,IF(controls!$B$33=1,((I261-D260*W261-B261+B260*V261)/'main page'!$K$27)-'main page'!$K$11,((H261-D260*W261-B261+B260*V261)/'main page'!$K$27)-'main page'!$K$11))</f>
        <v>4</v>
      </c>
      <c r="T260" s="71">
        <f>IF(controls!$B$6=1,$AL$3*(1+('main page'!$K$35/100))^U260-$AL$3*(1+('main page'!$K$35/100))^U259,$AL$3*(1+('main page'!$G$8/100))*(1+('main page'!$K$35/100))^U260-$AL$3*(1+('main page'!$G$8/100))*(1+('main page'!$K$35/100))^U259)</f>
        <v>0</v>
      </c>
      <c r="U260" s="73">
        <v>253</v>
      </c>
      <c r="V260" s="161">
        <f ca="1">IF(controls!$B$4=1,IF(controls!$H259=1,controls!$B$34*V259+RAND()*('main page'!$K$16/100)-RAND()*('main page'!$K$16/100),0),0)</f>
        <v>0</v>
      </c>
      <c r="W260" s="40">
        <f ca="1">IF(controls!$B$4=1,IF(controls!$I259=1,controls!$B$34*W259+RAND()*('main page'!$K$16/100)-RAND()*('main page'!$K$16/100),0),0)</f>
        <v>0</v>
      </c>
      <c r="X260" s="49">
        <f ca="1">IF(controls!$B$33=1,D260-($I$3-'main page'!$K$27*2)*(1+('main page'!$K$35/100))^A259,D260-$AL$4)</f>
        <v>0</v>
      </c>
      <c r="Y260" s="49">
        <f ca="1">ABS(L260-(controls!$B$9/100)*100)</f>
        <v>0</v>
      </c>
      <c r="AA260" s="49" t="e">
        <f ca="1">IF(controls!$B$33=1,(B261-B260*V261-I261+D260*W261+'main page'!$K$27*('main page'!$K$24+'main page'!$K$11))/'main page'!$K$31,(B261-B260*V261+D260*W261-H261+'main page'!$K$27*('main page'!$K$24+'main page'!$K$11))/'main page'!$K$31)</f>
        <v>#DIV/0!</v>
      </c>
      <c r="AB260" s="49" t="e">
        <f ca="1">IF(controls!$B$45=1,LOG(AF260,1.01)+LOG(AE260,1.01)-LOG(AD260,1.01),-((M260-('main page'!$K$24+'main page'!$K$11))/(1-'normal case'!$AO$3))+'normal case'!AA260)</f>
        <v>#DIV/0!</v>
      </c>
      <c r="AC260" s="176" t="e">
        <f t="shared" ref="AC260:AC323" ca="1" si="30">IF(ABS(1.025^AB260-1)&lt;0.000000000001,1,1.025^AB260)</f>
        <v>#DIV/0!</v>
      </c>
      <c r="AD260" s="49">
        <f t="shared" ref="AD260:AD323" ca="1" si="31">AD259*(1+L260/100)</f>
        <v>162.2722069789738</v>
      </c>
      <c r="AE260" s="49">
        <f>AE259*(1+'main page'!$K$32/100)</f>
        <v>1</v>
      </c>
      <c r="AF260" s="49" t="e">
        <f ca="1">IF(ABS(IF(controls!$B$45=1,$AL$13,AD260*AC260/AE260)-AF259)&lt;0.00001,AF259,IF(controls!$B$45=1,$AL$13,AD260*AC260/AE260))</f>
        <v>#DIV/0!</v>
      </c>
      <c r="AG260" s="49">
        <f>IF(controls!$B$46=0,0,IF(controls!$B$33=2,B261-B260*V261-('normal case'!H261-D260*W261-'main page'!$K$27*'normal case'!M260+'main page'!$K$31*'normal case'!AB260)-(('main page'!$K$25*'main page'!$U$13*'main page'!$K$29)/(1+('main page'!$K$25^2)*'main page'!$U$13))*('normal case'!L260-'main page'!$U$8),B261-B260*V261-('normal case'!I261-D260*W261-'main page'!$K$27*'normal case'!M260+'main page'!$K$31*'normal case'!AB260)-(('main page'!$K$25*'main page'!$U$13*'main page'!$K$29)/(1+('main page'!$K$25^2)*'main page'!$U$13))*('normal case'!L260-'main page'!$U$8)))</f>
        <v>0</v>
      </c>
      <c r="AN260" s="40"/>
      <c r="AO260" s="40"/>
    </row>
    <row r="261" spans="1:41">
      <c r="A261" s="48">
        <v>259</v>
      </c>
      <c r="B261" s="75">
        <f ca="1">IF(controls!$B$33=1,B260*(1+V261)+T261,B260*(1+V261))</f>
        <v>100</v>
      </c>
      <c r="C261" s="80">
        <f t="shared" ca="1" si="25"/>
        <v>0</v>
      </c>
      <c r="D261" s="77">
        <f t="shared" ca="1" si="28"/>
        <v>100</v>
      </c>
      <c r="E261" s="77">
        <f ca="1">AG260+IF(controls!$B$33=1,G261,F261)</f>
        <v>100</v>
      </c>
      <c r="F261" s="94">
        <f ca="1">IF(controls!$B$44=0,H261-'main page'!$K$27*M260,H261-'main page'!$K$27*M260+'main page'!$K$31*AB260)</f>
        <v>100</v>
      </c>
      <c r="G261" s="75">
        <f ca="1">IF(controls!$B$44=0,I261-'main page'!$K$27*M260,I261-'main page'!$K$27*M260+'main page'!$K$31*'normal case'!AB260)</f>
        <v>100</v>
      </c>
      <c r="H261" s="75">
        <f t="shared" ca="1" si="26"/>
        <v>108</v>
      </c>
      <c r="I261" s="75">
        <f t="shared" ca="1" si="27"/>
        <v>108</v>
      </c>
      <c r="L261" s="75">
        <f ca="1">IF(ABS('main page'!$K$29*L260+(1-'main page'!$K$29)*(controls!$B$9/100)*100+'main page'!$K$25*(D261-B261)-L260)&lt;0.0000001,L260,'main page'!$K$29*L260+(1-'main page'!$K$29)*(controls!$B$9/100)*100+'main page'!$K$25*(D261-B261))</f>
        <v>2</v>
      </c>
      <c r="M261" s="96">
        <f ca="1">IF(controls!$B$10=1,M260,IF(SUM(controls!$B$44:$B$46)=2,N261-'main page'!$K$29*'normal case'!L261-(1-'main page'!$K$29)*'main page'!$K$32,N261-'main page'!$K$29*'normal case'!L261-(1-'main page'!$K$29)*controls!$B$9))</f>
        <v>4</v>
      </c>
      <c r="N261" s="208">
        <f ca="1">IF(controls!$B$45=1,IF(controls!$B$46=1,'main page'!$K$24+'main page'!$K$11+'main page'!$U$8,'main page'!$K$24+'main page'!$K$11+'main page'!$K$32),IF(controls!$B$44=1,IF(O261&lt;0,0,O261),IF(O261+'main page'!$K$11&lt;0,0,O261+'main page'!$K$11)))</f>
        <v>6</v>
      </c>
      <c r="O261" s="76">
        <f ca="1">IF(controls!$B$10=1,'normal case'!M261+'normal case'!L261,'normal case'!P261)</f>
        <v>6</v>
      </c>
      <c r="P261" s="74">
        <f t="shared" ca="1" si="29"/>
        <v>6</v>
      </c>
      <c r="Q261" s="210">
        <f ca="1">IF(controls!$B$44=0,R261+'main page'!$K$29*L261+(1-'main page'!$K$29)*controls!$B$9+(('main page'!$K$25*'main page'!$U$13*'main page'!$K$29)/('main page'!$K$27*(1+('main page'!$K$25^2)*'main page'!$U$13)))*(L261-controls!$B$9),R261+'main page'!$K$29*L261+(1-'main page'!$K$29)*controls!$B$9+(('main page'!$K$25*'main page'!$U$13*'normal case'!$AO$3)/'normal case'!$AO$4)*('normal case'!L261-controls!$B$9))</f>
        <v>6</v>
      </c>
      <c r="R261" s="98">
        <f ca="1">IF(controls!$B$44=1,'main page'!$K$24+'main page'!$K$11,IF(controls!$B$33=1,((I262-D261*W262-B262+B261*V262)/'main page'!$K$27)-'main page'!$K$11,((H262-D261*W262-B262+B261*V262)/'main page'!$K$27)-'main page'!$K$11))</f>
        <v>4</v>
      </c>
      <c r="T261" s="71">
        <f>IF(controls!$B$6=1,$AL$3*(1+('main page'!$K$35/100))^U261-$AL$3*(1+('main page'!$K$35/100))^U260,$AL$3*(1+('main page'!$G$8/100))*(1+('main page'!$K$35/100))^U261-$AL$3*(1+('main page'!$G$8/100))*(1+('main page'!$K$35/100))^U260)</f>
        <v>0</v>
      </c>
      <c r="U261" s="73">
        <v>254</v>
      </c>
      <c r="V261" s="161">
        <v>0</v>
      </c>
      <c r="W261" s="40">
        <v>0</v>
      </c>
      <c r="X261" s="49">
        <f ca="1">IF(controls!$B$33=1,D261-($I$3-'main page'!$K$27*2)*(1+('main page'!$K$35/100))^A260,D261-$AL$4)</f>
        <v>0</v>
      </c>
      <c r="Y261" s="49">
        <f ca="1">ABS(L261-(controls!$B$9/100)*100)</f>
        <v>0</v>
      </c>
      <c r="AA261" s="49" t="e">
        <f ca="1">IF(controls!$B$33=1,(B262-B261*V262-I262+D261*W262+'main page'!$K$27*('main page'!$K$24+'main page'!$K$11))/'main page'!$K$31,(B262-B261*V262+D261*W262-H262+'main page'!$K$27*('main page'!$K$24+'main page'!$K$11))/'main page'!$K$31)</f>
        <v>#DIV/0!</v>
      </c>
      <c r="AB261" s="49" t="e">
        <f ca="1">IF(controls!$B$45=1,LOG(AF261,1.01)+LOG(AE261,1.01)-LOG(AD261,1.01),-((M261-('main page'!$K$24+'main page'!$K$11))/(1-'normal case'!$AO$3))+'normal case'!AA261)</f>
        <v>#DIV/0!</v>
      </c>
      <c r="AC261" s="176" t="e">
        <f t="shared" ca="1" si="30"/>
        <v>#DIV/0!</v>
      </c>
      <c r="AD261" s="49">
        <f t="shared" ca="1" si="31"/>
        <v>165.51765111855329</v>
      </c>
      <c r="AE261" s="49">
        <f>AE260*(1+'main page'!$K$32/100)</f>
        <v>1</v>
      </c>
      <c r="AF261" s="49" t="e">
        <f ca="1">IF(ABS(IF(controls!$B$45=1,$AL$13,AD261*AC261/AE261)-AF260)&lt;0.00001,AF260,IF(controls!$B$45=1,$AL$13,AD261*AC261/AE261))</f>
        <v>#DIV/0!</v>
      </c>
      <c r="AG261" s="49">
        <f>IF(controls!$B$46=0,0,IF(controls!$B$33=2,B262-B261*V262-('normal case'!H262-D261*W262-'main page'!$K$27*'normal case'!M261+'main page'!$K$31*'normal case'!AB261)-(('main page'!$K$25*'main page'!$U$13*'main page'!$K$29)/(1+('main page'!$K$25^2)*'main page'!$U$13))*('normal case'!L261-'main page'!$U$8),B262-B261*V262-('normal case'!I262-D261*W262-'main page'!$K$27*'normal case'!M261+'main page'!$K$31*'normal case'!AB261)-(('main page'!$K$25*'main page'!$U$13*'main page'!$K$29)/(1+('main page'!$K$25^2)*'main page'!$U$13))*('normal case'!L261-'main page'!$U$8)))</f>
        <v>0</v>
      </c>
      <c r="AN261" s="40"/>
      <c r="AO261" s="40"/>
    </row>
    <row r="262" spans="1:41">
      <c r="A262" s="48">
        <v>260</v>
      </c>
      <c r="B262" s="75">
        <f ca="1">IF(controls!$B$33=1,B261*(1+V262)+T262,B261*(1+V262))</f>
        <v>100</v>
      </c>
      <c r="C262" s="80">
        <f t="shared" ref="C262:C325" ca="1" si="32">IF(ABS((D262/D261-1)-C261)&lt;0.000001,C261,D262/D261-1)</f>
        <v>0</v>
      </c>
      <c r="D262" s="77">
        <f t="shared" ca="1" si="28"/>
        <v>100</v>
      </c>
      <c r="E262" s="77">
        <f ca="1">AG261+IF(controls!$B$33=1,G262,F262)</f>
        <v>100</v>
      </c>
      <c r="F262" s="94">
        <f ca="1">IF(controls!$B$44=0,H262-'main page'!$K$27*M261,H262-'main page'!$K$27*M261+'main page'!$K$31*AB261)</f>
        <v>100</v>
      </c>
      <c r="G262" s="75">
        <f ca="1">IF(controls!$B$44=0,I262-'main page'!$K$27*M261,I262-'main page'!$K$27*M261+'main page'!$K$31*'normal case'!AB261)</f>
        <v>100</v>
      </c>
      <c r="H262" s="75">
        <f t="shared" ca="1" si="26"/>
        <v>108</v>
      </c>
      <c r="I262" s="75">
        <f t="shared" ca="1" si="27"/>
        <v>108</v>
      </c>
      <c r="L262" s="75">
        <f ca="1">IF(ABS('main page'!$K$29*L261+(1-'main page'!$K$29)*(controls!$B$9/100)*100+'main page'!$K$25*(D262-B262)-L261)&lt;0.0000001,L261,'main page'!$K$29*L261+(1-'main page'!$K$29)*(controls!$B$9/100)*100+'main page'!$K$25*(D262-B262))</f>
        <v>2</v>
      </c>
      <c r="M262" s="96">
        <f ca="1">IF(controls!$B$10=1,M261,IF(SUM(controls!$B$44:$B$46)=2,N262-'main page'!$K$29*'normal case'!L262-(1-'main page'!$K$29)*'main page'!$K$32,N262-'main page'!$K$29*'normal case'!L262-(1-'main page'!$K$29)*controls!$B$9))</f>
        <v>4</v>
      </c>
      <c r="N262" s="208">
        <f ca="1">IF(controls!$B$45=1,IF(controls!$B$46=1,'main page'!$K$24+'main page'!$K$11+'main page'!$U$8,'main page'!$K$24+'main page'!$K$11+'main page'!$K$32),IF(controls!$B$44=1,IF(O262&lt;0,0,O262),IF(O262+'main page'!$K$11&lt;0,0,O262+'main page'!$K$11)))</f>
        <v>6</v>
      </c>
      <c r="O262" s="76">
        <f ca="1">IF(controls!$B$10=1,'normal case'!M262+'normal case'!L262,'normal case'!P262)</f>
        <v>6</v>
      </c>
      <c r="P262" s="74">
        <f t="shared" ca="1" si="29"/>
        <v>6</v>
      </c>
      <c r="Q262" s="210">
        <f ca="1">IF(controls!$B$44=0,R262+'main page'!$K$29*L262+(1-'main page'!$K$29)*controls!$B$9+(('main page'!$K$25*'main page'!$U$13*'main page'!$K$29)/('main page'!$K$27*(1+('main page'!$K$25^2)*'main page'!$U$13)))*(L262-controls!$B$9),R262+'main page'!$K$29*L262+(1-'main page'!$K$29)*controls!$B$9+(('main page'!$K$25*'main page'!$U$13*'normal case'!$AO$3)/'normal case'!$AO$4)*('normal case'!L262-controls!$B$9))</f>
        <v>6</v>
      </c>
      <c r="R262" s="98">
        <f ca="1">IF(controls!$B$44=1,'main page'!$K$24+'main page'!$K$11,IF(controls!$B$33=1,((I263-D262*W263-B263+B262*V263)/'main page'!$K$27)-'main page'!$K$11,((H263-D262*W263-B263+B262*V263)/'main page'!$K$27)-'main page'!$K$11))</f>
        <v>4</v>
      </c>
      <c r="T262" s="71">
        <f>IF(controls!$B$6=1,$AL$3*(1+('main page'!$K$35/100))^U262-$AL$3*(1+('main page'!$K$35/100))^U261,$AL$3*(1+('main page'!$G$8/100))*(1+('main page'!$K$35/100))^U262-$AL$3*(1+('main page'!$G$8/100))*(1+('main page'!$K$35/100))^U261)</f>
        <v>0</v>
      </c>
      <c r="U262" s="73">
        <v>255</v>
      </c>
      <c r="V262" s="161">
        <v>0</v>
      </c>
      <c r="W262" s="40">
        <v>0</v>
      </c>
      <c r="X262" s="49">
        <f ca="1">IF(controls!$B$33=1,D262-($I$3-'main page'!$K$27*2)*(1+('main page'!$K$35/100))^A261,D262-$AL$4)</f>
        <v>0</v>
      </c>
      <c r="Y262" s="49">
        <f ca="1">ABS(L262-(controls!$B$9/100)*100)</f>
        <v>0</v>
      </c>
      <c r="AA262" s="49" t="e">
        <f ca="1">IF(controls!$B$33=1,(B263-B262*V263-I263+D262*W263+'main page'!$K$27*('main page'!$K$24+'main page'!$K$11))/'main page'!$K$31,(B263-B262*V263+D262*W263-H263+'main page'!$K$27*('main page'!$K$24+'main page'!$K$11))/'main page'!$K$31)</f>
        <v>#DIV/0!</v>
      </c>
      <c r="AB262" s="49" t="e">
        <f ca="1">IF(controls!$B$45=1,LOG(AF262,1.01)+LOG(AE262,1.01)-LOG(AD262,1.01),-((M262-('main page'!$K$24+'main page'!$K$11))/(1-'normal case'!$AO$3))+'normal case'!AA262)</f>
        <v>#DIV/0!</v>
      </c>
      <c r="AC262" s="176" t="e">
        <f t="shared" ca="1" si="30"/>
        <v>#DIV/0!</v>
      </c>
      <c r="AD262" s="49">
        <f t="shared" ca="1" si="31"/>
        <v>168.82800414092435</v>
      </c>
      <c r="AE262" s="49">
        <f>AE261*(1+'main page'!$K$32/100)</f>
        <v>1</v>
      </c>
      <c r="AF262" s="49" t="e">
        <f ca="1">IF(ABS(IF(controls!$B$45=1,$AL$13,AD262*AC262/AE262)-AF261)&lt;0.00001,AF261,IF(controls!$B$45=1,$AL$13,AD262*AC262/AE262))</f>
        <v>#DIV/0!</v>
      </c>
      <c r="AG262" s="49">
        <f>IF(controls!$B$46=0,0,IF(controls!$B$33=2,B263-B262*V263-('normal case'!H263-D262*W263-'main page'!$K$27*'normal case'!M262+'main page'!$K$31*'normal case'!AB262)-(('main page'!$K$25*'main page'!$U$13*'main page'!$K$29)/(1+('main page'!$K$25^2)*'main page'!$U$13))*('normal case'!L262-'main page'!$U$8),B263-B262*V263-('normal case'!I263-D262*W263-'main page'!$K$27*'normal case'!M262+'main page'!$K$31*'normal case'!AB262)-(('main page'!$K$25*'main page'!$U$13*'main page'!$K$29)/(1+('main page'!$K$25^2)*'main page'!$U$13))*('normal case'!L262-'main page'!$U$8)))</f>
        <v>0</v>
      </c>
      <c r="AN262" s="40"/>
      <c r="AO262" s="40"/>
    </row>
    <row r="263" spans="1:41">
      <c r="A263" s="48">
        <v>261</v>
      </c>
      <c r="B263" s="75">
        <f ca="1">IF(controls!$B$33=1,B262*(1+V263)+T263,B262*(1+V263))</f>
        <v>100</v>
      </c>
      <c r="C263" s="80">
        <f t="shared" ca="1" si="32"/>
        <v>0</v>
      </c>
      <c r="D263" s="77">
        <f t="shared" ca="1" si="28"/>
        <v>100</v>
      </c>
      <c r="E263" s="77">
        <f ca="1">AG262+IF(controls!$B$33=1,G263,F263)</f>
        <v>100</v>
      </c>
      <c r="F263" s="94">
        <f ca="1">IF(controls!$B$44=0,H263-'main page'!$K$27*M262,H263-'main page'!$K$27*M262+'main page'!$K$31*AB262)</f>
        <v>100</v>
      </c>
      <c r="G263" s="75">
        <f ca="1">IF(controls!$B$44=0,I263-'main page'!$K$27*M262,I263-'main page'!$K$27*M262+'main page'!$K$31*'normal case'!AB262)</f>
        <v>100</v>
      </c>
      <c r="H263" s="75">
        <f t="shared" ca="1" si="26"/>
        <v>108</v>
      </c>
      <c r="I263" s="75">
        <f t="shared" ca="1" si="27"/>
        <v>108</v>
      </c>
      <c r="L263" s="75">
        <f ca="1">IF(ABS('main page'!$K$29*L262+(1-'main page'!$K$29)*(controls!$B$9/100)*100+'main page'!$K$25*(D263-B263)-L262)&lt;0.0000001,L262,'main page'!$K$29*L262+(1-'main page'!$K$29)*(controls!$B$9/100)*100+'main page'!$K$25*(D263-B263))</f>
        <v>2</v>
      </c>
      <c r="M263" s="96">
        <f ca="1">IF(controls!$B$10=1,M262,IF(SUM(controls!$B$44:$B$46)=2,N263-'main page'!$K$29*'normal case'!L263-(1-'main page'!$K$29)*'main page'!$K$32,N263-'main page'!$K$29*'normal case'!L263-(1-'main page'!$K$29)*controls!$B$9))</f>
        <v>4</v>
      </c>
      <c r="N263" s="208">
        <f ca="1">IF(controls!$B$45=1,IF(controls!$B$46=1,'main page'!$K$24+'main page'!$K$11+'main page'!$U$8,'main page'!$K$24+'main page'!$K$11+'main page'!$K$32),IF(controls!$B$44=1,IF(O263&lt;0,0,O263),IF(O263+'main page'!$K$11&lt;0,0,O263+'main page'!$K$11)))</f>
        <v>6</v>
      </c>
      <c r="O263" s="76">
        <f ca="1">IF(controls!$B$10=1,'normal case'!M263+'normal case'!L263,'normal case'!P263)</f>
        <v>6</v>
      </c>
      <c r="P263" s="74">
        <f t="shared" ca="1" si="29"/>
        <v>6</v>
      </c>
      <c r="Q263" s="210">
        <f ca="1">IF(controls!$B$44=0,R263+'main page'!$K$29*L263+(1-'main page'!$K$29)*controls!$B$9+(('main page'!$K$25*'main page'!$U$13*'main page'!$K$29)/('main page'!$K$27*(1+('main page'!$K$25^2)*'main page'!$U$13)))*(L263-controls!$B$9),R263+'main page'!$K$29*L263+(1-'main page'!$K$29)*controls!$B$9+(('main page'!$K$25*'main page'!$U$13*'normal case'!$AO$3)/'normal case'!$AO$4)*('normal case'!L263-controls!$B$9))</f>
        <v>6</v>
      </c>
      <c r="R263" s="98">
        <f ca="1">IF(controls!$B$44=1,'main page'!$K$24+'main page'!$K$11,IF(controls!$B$33=1,((I264-D263*W264-B264+B263*V264)/'main page'!$K$27)-'main page'!$K$11,((H264-D263*W264-B264+B263*V264)/'main page'!$K$27)-'main page'!$K$11))</f>
        <v>4</v>
      </c>
      <c r="T263" s="71">
        <f>IF(controls!$B$6=1,$AL$3*(1+('main page'!$K$35/100))^U263-$AL$3*(1+('main page'!$K$35/100))^U262,$AL$3*(1+('main page'!$G$8/100))*(1+('main page'!$K$35/100))^U263-$AL$3*(1+('main page'!$G$8/100))*(1+('main page'!$K$35/100))^U262)</f>
        <v>0</v>
      </c>
      <c r="U263" s="73">
        <v>256</v>
      </c>
      <c r="V263" s="161">
        <f ca="1">IF(controls!$B$4=1,IF(controls!$H262=1,controls!$B$34*V262+RAND()*('main page'!$K$16/100)-RAND()*('main page'!$K$16/100),0),0)</f>
        <v>0</v>
      </c>
      <c r="W263" s="40">
        <f ca="1">IF(controls!$B$4=1,IF(controls!$I262=1,controls!$B$34*W262+RAND()*('main page'!$K$16/100)-RAND()*('main page'!$K$16/100),0),0)</f>
        <v>0</v>
      </c>
      <c r="X263" s="49">
        <f ca="1">IF(controls!$B$33=1,D263-($I$3-'main page'!$K$27*2)*(1+('main page'!$K$35/100))^A262,D263-$AL$4)</f>
        <v>0</v>
      </c>
      <c r="Y263" s="49">
        <f ca="1">ABS(L263-(controls!$B$9/100)*100)</f>
        <v>0</v>
      </c>
      <c r="AA263" s="49" t="e">
        <f ca="1">IF(controls!$B$33=1,(B264-B263*V264-I264+D263*W264+'main page'!$K$27*('main page'!$K$24+'main page'!$K$11))/'main page'!$K$31,(B264-B263*V264+D263*W264-H264+'main page'!$K$27*('main page'!$K$24+'main page'!$K$11))/'main page'!$K$31)</f>
        <v>#DIV/0!</v>
      </c>
      <c r="AB263" s="49" t="e">
        <f ca="1">IF(controls!$B$45=1,LOG(AF263,1.01)+LOG(AE263,1.01)-LOG(AD263,1.01),-((M263-('main page'!$K$24+'main page'!$K$11))/(1-'normal case'!$AO$3))+'normal case'!AA263)</f>
        <v>#DIV/0!</v>
      </c>
      <c r="AC263" s="176" t="e">
        <f t="shared" ca="1" si="30"/>
        <v>#DIV/0!</v>
      </c>
      <c r="AD263" s="49">
        <f t="shared" ca="1" si="31"/>
        <v>172.20456422374284</v>
      </c>
      <c r="AE263" s="49">
        <f>AE262*(1+'main page'!$K$32/100)</f>
        <v>1</v>
      </c>
      <c r="AF263" s="49" t="e">
        <f ca="1">IF(ABS(IF(controls!$B$45=1,$AL$13,AD263*AC263/AE263)-AF262)&lt;0.00001,AF262,IF(controls!$B$45=1,$AL$13,AD263*AC263/AE263))</f>
        <v>#DIV/0!</v>
      </c>
      <c r="AG263" s="49">
        <f>IF(controls!$B$46=0,0,IF(controls!$B$33=2,B264-B263*V264-('normal case'!H264-D263*W264-'main page'!$K$27*'normal case'!M263+'main page'!$K$31*'normal case'!AB263)-(('main page'!$K$25*'main page'!$U$13*'main page'!$K$29)/(1+('main page'!$K$25^2)*'main page'!$U$13))*('normal case'!L263-'main page'!$U$8),B264-B263*V264-('normal case'!I264-D263*W264-'main page'!$K$27*'normal case'!M263+'main page'!$K$31*'normal case'!AB263)-(('main page'!$K$25*'main page'!$U$13*'main page'!$K$29)/(1+('main page'!$K$25^2)*'main page'!$U$13))*('normal case'!L263-'main page'!$U$8)))</f>
        <v>0</v>
      </c>
      <c r="AN263" s="40"/>
      <c r="AO263" s="40"/>
    </row>
    <row r="264" spans="1:41">
      <c r="A264" s="48">
        <v>262</v>
      </c>
      <c r="B264" s="75">
        <f ca="1">IF(controls!$B$33=1,B263*(1+V264)+T264,B263*(1+V264))</f>
        <v>100</v>
      </c>
      <c r="C264" s="80">
        <f t="shared" ca="1" si="32"/>
        <v>0</v>
      </c>
      <c r="D264" s="77">
        <f t="shared" ca="1" si="28"/>
        <v>100</v>
      </c>
      <c r="E264" s="77">
        <f ca="1">AG263+IF(controls!$B$33=1,G264,F264)</f>
        <v>100</v>
      </c>
      <c r="F264" s="94">
        <f ca="1">IF(controls!$B$44=0,H264-'main page'!$K$27*M263,H264-'main page'!$K$27*M263+'main page'!$K$31*AB263)</f>
        <v>100</v>
      </c>
      <c r="G264" s="75">
        <f ca="1">IF(controls!$B$44=0,I264-'main page'!$K$27*M263,I264-'main page'!$K$27*M263+'main page'!$K$31*'normal case'!AB263)</f>
        <v>100</v>
      </c>
      <c r="H264" s="75">
        <f t="shared" ca="1" si="26"/>
        <v>108</v>
      </c>
      <c r="I264" s="75">
        <f t="shared" ca="1" si="27"/>
        <v>108</v>
      </c>
      <c r="L264" s="75">
        <f ca="1">IF(ABS('main page'!$K$29*L263+(1-'main page'!$K$29)*(controls!$B$9/100)*100+'main page'!$K$25*(D264-B264)-L263)&lt;0.0000001,L263,'main page'!$K$29*L263+(1-'main page'!$K$29)*(controls!$B$9/100)*100+'main page'!$K$25*(D264-B264))</f>
        <v>2</v>
      </c>
      <c r="M264" s="96">
        <f ca="1">IF(controls!$B$10=1,M263,IF(SUM(controls!$B$44:$B$46)=2,N264-'main page'!$K$29*'normal case'!L264-(1-'main page'!$K$29)*'main page'!$K$32,N264-'main page'!$K$29*'normal case'!L264-(1-'main page'!$K$29)*controls!$B$9))</f>
        <v>4</v>
      </c>
      <c r="N264" s="208">
        <f ca="1">IF(controls!$B$45=1,IF(controls!$B$46=1,'main page'!$K$24+'main page'!$K$11+'main page'!$U$8,'main page'!$K$24+'main page'!$K$11+'main page'!$K$32),IF(controls!$B$44=1,IF(O264&lt;0,0,O264),IF(O264+'main page'!$K$11&lt;0,0,O264+'main page'!$K$11)))</f>
        <v>6</v>
      </c>
      <c r="O264" s="76">
        <f ca="1">IF(controls!$B$10=1,'normal case'!M264+'normal case'!L264,'normal case'!P264)</f>
        <v>6</v>
      </c>
      <c r="P264" s="74">
        <f t="shared" ca="1" si="29"/>
        <v>6</v>
      </c>
      <c r="Q264" s="210">
        <f ca="1">IF(controls!$B$44=0,R264+'main page'!$K$29*L264+(1-'main page'!$K$29)*controls!$B$9+(('main page'!$K$25*'main page'!$U$13*'main page'!$K$29)/('main page'!$K$27*(1+('main page'!$K$25^2)*'main page'!$U$13)))*(L264-controls!$B$9),R264+'main page'!$K$29*L264+(1-'main page'!$K$29)*controls!$B$9+(('main page'!$K$25*'main page'!$U$13*'normal case'!$AO$3)/'normal case'!$AO$4)*('normal case'!L264-controls!$B$9))</f>
        <v>6</v>
      </c>
      <c r="R264" s="98">
        <f ca="1">IF(controls!$B$44=1,'main page'!$K$24+'main page'!$K$11,IF(controls!$B$33=1,((I265-D264*W265-B265+B264*V265)/'main page'!$K$27)-'main page'!$K$11,((H265-D264*W265-B265+B264*V265)/'main page'!$K$27)-'main page'!$K$11))</f>
        <v>4</v>
      </c>
      <c r="T264" s="71">
        <f>IF(controls!$B$6=1,$AL$3*(1+('main page'!$K$35/100))^U264-$AL$3*(1+('main page'!$K$35/100))^U263,$AL$3*(1+('main page'!$G$8/100))*(1+('main page'!$K$35/100))^U264-$AL$3*(1+('main page'!$G$8/100))*(1+('main page'!$K$35/100))^U263)</f>
        <v>0</v>
      </c>
      <c r="U264" s="73">
        <v>257</v>
      </c>
      <c r="V264" s="161">
        <v>0</v>
      </c>
      <c r="W264" s="40">
        <v>0</v>
      </c>
      <c r="X264" s="49">
        <f ca="1">IF(controls!$B$33=1,D264-($I$3-'main page'!$K$27*2)*(1+('main page'!$K$35/100))^A263,D264-$AL$4)</f>
        <v>0</v>
      </c>
      <c r="Y264" s="49">
        <f ca="1">ABS(L264-(controls!$B$9/100)*100)</f>
        <v>0</v>
      </c>
      <c r="AA264" s="49" t="e">
        <f ca="1">IF(controls!$B$33=1,(B265-B264*V265-I265+D264*W265+'main page'!$K$27*('main page'!$K$24+'main page'!$K$11))/'main page'!$K$31,(B265-B264*V265+D264*W265-H265+'main page'!$K$27*('main page'!$K$24+'main page'!$K$11))/'main page'!$K$31)</f>
        <v>#DIV/0!</v>
      </c>
      <c r="AB264" s="49" t="e">
        <f ca="1">IF(controls!$B$45=1,LOG(AF264,1.01)+LOG(AE264,1.01)-LOG(AD264,1.01),-((M264-('main page'!$K$24+'main page'!$K$11))/(1-'normal case'!$AO$3))+'normal case'!AA264)</f>
        <v>#DIV/0!</v>
      </c>
      <c r="AC264" s="176" t="e">
        <f t="shared" ca="1" si="30"/>
        <v>#DIV/0!</v>
      </c>
      <c r="AD264" s="49">
        <f t="shared" ca="1" si="31"/>
        <v>175.6486555082177</v>
      </c>
      <c r="AE264" s="49">
        <f>AE263*(1+'main page'!$K$32/100)</f>
        <v>1</v>
      </c>
      <c r="AF264" s="49" t="e">
        <f ca="1">IF(ABS(IF(controls!$B$45=1,$AL$13,AD264*AC264/AE264)-AF263)&lt;0.00001,AF263,IF(controls!$B$45=1,$AL$13,AD264*AC264/AE264))</f>
        <v>#DIV/0!</v>
      </c>
      <c r="AG264" s="49">
        <f>IF(controls!$B$46=0,0,IF(controls!$B$33=2,B265-B264*V265-('normal case'!H265-D264*W265-'main page'!$K$27*'normal case'!M264+'main page'!$K$31*'normal case'!AB264)-(('main page'!$K$25*'main page'!$U$13*'main page'!$K$29)/(1+('main page'!$K$25^2)*'main page'!$U$13))*('normal case'!L264-'main page'!$U$8),B265-B264*V265-('normal case'!I265-D264*W265-'main page'!$K$27*'normal case'!M264+'main page'!$K$31*'normal case'!AB264)-(('main page'!$K$25*'main page'!$U$13*'main page'!$K$29)/(1+('main page'!$K$25^2)*'main page'!$U$13))*('normal case'!L264-'main page'!$U$8)))</f>
        <v>0</v>
      </c>
      <c r="AN264" s="40"/>
      <c r="AO264" s="40"/>
    </row>
    <row r="265" spans="1:41">
      <c r="A265" s="48">
        <v>263</v>
      </c>
      <c r="B265" s="75">
        <f ca="1">IF(controls!$B$33=1,B264*(1+V265)+T265,B264*(1+V265))</f>
        <v>100</v>
      </c>
      <c r="C265" s="80">
        <f t="shared" ca="1" si="32"/>
        <v>0</v>
      </c>
      <c r="D265" s="77">
        <f t="shared" ca="1" si="28"/>
        <v>100</v>
      </c>
      <c r="E265" s="77">
        <f ca="1">AG264+IF(controls!$B$33=1,G265,F265)</f>
        <v>100</v>
      </c>
      <c r="F265" s="94">
        <f ca="1">IF(controls!$B$44=0,H265-'main page'!$K$27*M264,H265-'main page'!$K$27*M264+'main page'!$K$31*AB264)</f>
        <v>100</v>
      </c>
      <c r="G265" s="75">
        <f ca="1">IF(controls!$B$44=0,I265-'main page'!$K$27*M264,I265-'main page'!$K$27*M264+'main page'!$K$31*'normal case'!AB264)</f>
        <v>100</v>
      </c>
      <c r="H265" s="75">
        <f t="shared" ca="1" si="26"/>
        <v>108</v>
      </c>
      <c r="I265" s="75">
        <f t="shared" ca="1" si="27"/>
        <v>108</v>
      </c>
      <c r="L265" s="75">
        <f ca="1">IF(ABS('main page'!$K$29*L264+(1-'main page'!$K$29)*(controls!$B$9/100)*100+'main page'!$K$25*(D265-B265)-L264)&lt;0.0000001,L264,'main page'!$K$29*L264+(1-'main page'!$K$29)*(controls!$B$9/100)*100+'main page'!$K$25*(D265-B265))</f>
        <v>2</v>
      </c>
      <c r="M265" s="96">
        <f ca="1">IF(controls!$B$10=1,M264,IF(SUM(controls!$B$44:$B$46)=2,N265-'main page'!$K$29*'normal case'!L265-(1-'main page'!$K$29)*'main page'!$K$32,N265-'main page'!$K$29*'normal case'!L265-(1-'main page'!$K$29)*controls!$B$9))</f>
        <v>4</v>
      </c>
      <c r="N265" s="208">
        <f ca="1">IF(controls!$B$45=1,IF(controls!$B$46=1,'main page'!$K$24+'main page'!$K$11+'main page'!$U$8,'main page'!$K$24+'main page'!$K$11+'main page'!$K$32),IF(controls!$B$44=1,IF(O265&lt;0,0,O265),IF(O265+'main page'!$K$11&lt;0,0,O265+'main page'!$K$11)))</f>
        <v>6</v>
      </c>
      <c r="O265" s="76">
        <f ca="1">IF(controls!$B$10=1,'normal case'!M265+'normal case'!L265,'normal case'!P265)</f>
        <v>6</v>
      </c>
      <c r="P265" s="74">
        <f t="shared" ca="1" si="29"/>
        <v>6</v>
      </c>
      <c r="Q265" s="210">
        <f ca="1">IF(controls!$B$44=0,R265+'main page'!$K$29*L265+(1-'main page'!$K$29)*controls!$B$9+(('main page'!$K$25*'main page'!$U$13*'main page'!$K$29)/('main page'!$K$27*(1+('main page'!$K$25^2)*'main page'!$U$13)))*(L265-controls!$B$9),R265+'main page'!$K$29*L265+(1-'main page'!$K$29)*controls!$B$9+(('main page'!$K$25*'main page'!$U$13*'normal case'!$AO$3)/'normal case'!$AO$4)*('normal case'!L265-controls!$B$9))</f>
        <v>6</v>
      </c>
      <c r="R265" s="98">
        <f ca="1">IF(controls!$B$44=1,'main page'!$K$24+'main page'!$K$11,IF(controls!$B$33=1,((I266-D265*W266-B266+B265*V266)/'main page'!$K$27)-'main page'!$K$11,((H266-D265*W266-B266+B265*V266)/'main page'!$K$27)-'main page'!$K$11))</f>
        <v>4</v>
      </c>
      <c r="T265" s="71">
        <f>IF(controls!$B$6=1,$AL$3*(1+('main page'!$K$35/100))^U265-$AL$3*(1+('main page'!$K$35/100))^U264,$AL$3*(1+('main page'!$G$8/100))*(1+('main page'!$K$35/100))^U265-$AL$3*(1+('main page'!$G$8/100))*(1+('main page'!$K$35/100))^U264)</f>
        <v>0</v>
      </c>
      <c r="U265" s="73">
        <v>258</v>
      </c>
      <c r="V265" s="161">
        <v>0</v>
      </c>
      <c r="W265" s="40">
        <v>0</v>
      </c>
      <c r="X265" s="49">
        <f ca="1">IF(controls!$B$33=1,D265-($I$3-'main page'!$K$27*2)*(1+('main page'!$K$35/100))^A264,D265-$AL$4)</f>
        <v>0</v>
      </c>
      <c r="Y265" s="49">
        <f ca="1">ABS(L265-(controls!$B$9/100)*100)</f>
        <v>0</v>
      </c>
      <c r="AA265" s="49" t="e">
        <f ca="1">IF(controls!$B$33=1,(B266-B265*V266-I266+D265*W266+'main page'!$K$27*('main page'!$K$24+'main page'!$K$11))/'main page'!$K$31,(B266-B265*V266+D265*W266-H266+'main page'!$K$27*('main page'!$K$24+'main page'!$K$11))/'main page'!$K$31)</f>
        <v>#DIV/0!</v>
      </c>
      <c r="AB265" s="49" t="e">
        <f ca="1">IF(controls!$B$45=1,LOG(AF265,1.01)+LOG(AE265,1.01)-LOG(AD265,1.01),-((M265-('main page'!$K$24+'main page'!$K$11))/(1-'normal case'!$AO$3))+'normal case'!AA265)</f>
        <v>#DIV/0!</v>
      </c>
      <c r="AC265" s="176" t="e">
        <f t="shared" ca="1" si="30"/>
        <v>#DIV/0!</v>
      </c>
      <c r="AD265" s="49">
        <f t="shared" ca="1" si="31"/>
        <v>179.16162861838205</v>
      </c>
      <c r="AE265" s="49">
        <f>AE264*(1+'main page'!$K$32/100)</f>
        <v>1</v>
      </c>
      <c r="AF265" s="49" t="e">
        <f ca="1">IF(ABS(IF(controls!$B$45=1,$AL$13,AD265*AC265/AE265)-AF264)&lt;0.00001,AF264,IF(controls!$B$45=1,$AL$13,AD265*AC265/AE265))</f>
        <v>#DIV/0!</v>
      </c>
      <c r="AG265" s="49">
        <f>IF(controls!$B$46=0,0,IF(controls!$B$33=2,B266-B265*V266-('normal case'!H266-D265*W266-'main page'!$K$27*'normal case'!M265+'main page'!$K$31*'normal case'!AB265)-(('main page'!$K$25*'main page'!$U$13*'main page'!$K$29)/(1+('main page'!$K$25^2)*'main page'!$U$13))*('normal case'!L265-'main page'!$U$8),B266-B265*V266-('normal case'!I266-D265*W266-'main page'!$K$27*'normal case'!M265+'main page'!$K$31*'normal case'!AB265)-(('main page'!$K$25*'main page'!$U$13*'main page'!$K$29)/(1+('main page'!$K$25^2)*'main page'!$U$13))*('normal case'!L265-'main page'!$U$8)))</f>
        <v>0</v>
      </c>
      <c r="AN265" s="40"/>
      <c r="AO265" s="40"/>
    </row>
    <row r="266" spans="1:41">
      <c r="A266" s="48">
        <v>264</v>
      </c>
      <c r="B266" s="75">
        <f ca="1">IF(controls!$B$33=1,B265*(1+V266)+T266,B265*(1+V266))</f>
        <v>100</v>
      </c>
      <c r="C266" s="80">
        <f t="shared" ca="1" si="32"/>
        <v>0</v>
      </c>
      <c r="D266" s="77">
        <f t="shared" ca="1" si="28"/>
        <v>100</v>
      </c>
      <c r="E266" s="77">
        <f ca="1">AG265+IF(controls!$B$33=1,G266,F266)</f>
        <v>100</v>
      </c>
      <c r="F266" s="94">
        <f ca="1">IF(controls!$B$44=0,H266-'main page'!$K$27*M265,H266-'main page'!$K$27*M265+'main page'!$K$31*AB265)</f>
        <v>100</v>
      </c>
      <c r="G266" s="75">
        <f ca="1">IF(controls!$B$44=0,I266-'main page'!$K$27*M265,I266-'main page'!$K$27*M265+'main page'!$K$31*'normal case'!AB265)</f>
        <v>100</v>
      </c>
      <c r="H266" s="75">
        <f t="shared" ca="1" si="26"/>
        <v>108</v>
      </c>
      <c r="I266" s="75">
        <f t="shared" ca="1" si="27"/>
        <v>108</v>
      </c>
      <c r="L266" s="75">
        <f ca="1">IF(ABS('main page'!$K$29*L265+(1-'main page'!$K$29)*(controls!$B$9/100)*100+'main page'!$K$25*(D266-B266)-L265)&lt;0.0000001,L265,'main page'!$K$29*L265+(1-'main page'!$K$29)*(controls!$B$9/100)*100+'main page'!$K$25*(D266-B266))</f>
        <v>2</v>
      </c>
      <c r="M266" s="96">
        <f ca="1">IF(controls!$B$10=1,M265,IF(SUM(controls!$B$44:$B$46)=2,N266-'main page'!$K$29*'normal case'!L266-(1-'main page'!$K$29)*'main page'!$K$32,N266-'main page'!$K$29*'normal case'!L266-(1-'main page'!$K$29)*controls!$B$9))</f>
        <v>4</v>
      </c>
      <c r="N266" s="208">
        <f ca="1">IF(controls!$B$45=1,IF(controls!$B$46=1,'main page'!$K$24+'main page'!$K$11+'main page'!$U$8,'main page'!$K$24+'main page'!$K$11+'main page'!$K$32),IF(controls!$B$44=1,IF(O266&lt;0,0,O266),IF(O266+'main page'!$K$11&lt;0,0,O266+'main page'!$K$11)))</f>
        <v>6</v>
      </c>
      <c r="O266" s="76">
        <f ca="1">IF(controls!$B$10=1,'normal case'!M266+'normal case'!L266,'normal case'!P266)</f>
        <v>6</v>
      </c>
      <c r="P266" s="74">
        <f t="shared" ca="1" si="29"/>
        <v>6</v>
      </c>
      <c r="Q266" s="210">
        <f ca="1">IF(controls!$B$44=0,R266+'main page'!$K$29*L266+(1-'main page'!$K$29)*controls!$B$9+(('main page'!$K$25*'main page'!$U$13*'main page'!$K$29)/('main page'!$K$27*(1+('main page'!$K$25^2)*'main page'!$U$13)))*(L266-controls!$B$9),R266+'main page'!$K$29*L266+(1-'main page'!$K$29)*controls!$B$9+(('main page'!$K$25*'main page'!$U$13*'normal case'!$AO$3)/'normal case'!$AO$4)*('normal case'!L266-controls!$B$9))</f>
        <v>6</v>
      </c>
      <c r="R266" s="98">
        <f ca="1">IF(controls!$B$44=1,'main page'!$K$24+'main page'!$K$11,IF(controls!$B$33=1,((I267-D266*W267-B267+B266*V267)/'main page'!$K$27)-'main page'!$K$11,((H267-D266*W267-B267+B266*V267)/'main page'!$K$27)-'main page'!$K$11))</f>
        <v>4</v>
      </c>
      <c r="T266" s="71">
        <f>IF(controls!$B$6=1,$AL$3*(1+('main page'!$K$35/100))^U266-$AL$3*(1+('main page'!$K$35/100))^U265,$AL$3*(1+('main page'!$G$8/100))*(1+('main page'!$K$35/100))^U266-$AL$3*(1+('main page'!$G$8/100))*(1+('main page'!$K$35/100))^U265)</f>
        <v>0</v>
      </c>
      <c r="U266" s="73">
        <v>259</v>
      </c>
      <c r="V266" s="161">
        <f ca="1">IF(controls!$B$4=1,IF(controls!$H265=1,controls!$B$34*V265+RAND()*('main page'!$K$16/100)-RAND()*('main page'!$K$16/100),0),0)</f>
        <v>0</v>
      </c>
      <c r="W266" s="40">
        <f ca="1">IF(controls!$B$4=1,IF(controls!$I265=1,controls!$B$34*W265+RAND()*('main page'!$K$16/100)-RAND()*('main page'!$K$16/100),0),0)</f>
        <v>0</v>
      </c>
      <c r="X266" s="49">
        <f ca="1">IF(controls!$B$33=1,D266-($I$3-'main page'!$K$27*2)*(1+('main page'!$K$35/100))^A265,D266-$AL$4)</f>
        <v>0</v>
      </c>
      <c r="Y266" s="49">
        <f ca="1">ABS(L266-(controls!$B$9/100)*100)</f>
        <v>0</v>
      </c>
      <c r="AA266" s="49" t="e">
        <f ca="1">IF(controls!$B$33=1,(B267-B266*V267-I267+D266*W267+'main page'!$K$27*('main page'!$K$24+'main page'!$K$11))/'main page'!$K$31,(B267-B266*V267+D266*W267-H267+'main page'!$K$27*('main page'!$K$24+'main page'!$K$11))/'main page'!$K$31)</f>
        <v>#DIV/0!</v>
      </c>
      <c r="AB266" s="49" t="e">
        <f ca="1">IF(controls!$B$45=1,LOG(AF266,1.01)+LOG(AE266,1.01)-LOG(AD266,1.01),-((M266-('main page'!$K$24+'main page'!$K$11))/(1-'normal case'!$AO$3))+'normal case'!AA266)</f>
        <v>#DIV/0!</v>
      </c>
      <c r="AC266" s="176" t="e">
        <f t="shared" ca="1" si="30"/>
        <v>#DIV/0!</v>
      </c>
      <c r="AD266" s="49">
        <f t="shared" ca="1" si="31"/>
        <v>182.7448611907497</v>
      </c>
      <c r="AE266" s="49">
        <f>AE265*(1+'main page'!$K$32/100)</f>
        <v>1</v>
      </c>
      <c r="AF266" s="49" t="e">
        <f ca="1">IF(ABS(IF(controls!$B$45=1,$AL$13,AD266*AC266/AE266)-AF265)&lt;0.00001,AF265,IF(controls!$B$45=1,$AL$13,AD266*AC266/AE266))</f>
        <v>#DIV/0!</v>
      </c>
      <c r="AG266" s="49">
        <f>IF(controls!$B$46=0,0,IF(controls!$B$33=2,B267-B266*V267-('normal case'!H267-D266*W267-'main page'!$K$27*'normal case'!M266+'main page'!$K$31*'normal case'!AB266)-(('main page'!$K$25*'main page'!$U$13*'main page'!$K$29)/(1+('main page'!$K$25^2)*'main page'!$U$13))*('normal case'!L266-'main page'!$U$8),B267-B266*V267-('normal case'!I267-D266*W267-'main page'!$K$27*'normal case'!M266+'main page'!$K$31*'normal case'!AB266)-(('main page'!$K$25*'main page'!$U$13*'main page'!$K$29)/(1+('main page'!$K$25^2)*'main page'!$U$13))*('normal case'!L266-'main page'!$U$8)))</f>
        <v>0</v>
      </c>
      <c r="AN266" s="40"/>
      <c r="AO266" s="40"/>
    </row>
    <row r="267" spans="1:41">
      <c r="A267" s="48">
        <v>265</v>
      </c>
      <c r="B267" s="75">
        <f ca="1">IF(controls!$B$33=1,B266*(1+V267)+T267,B266*(1+V267))</f>
        <v>100</v>
      </c>
      <c r="C267" s="80">
        <f t="shared" ca="1" si="32"/>
        <v>0</v>
      </c>
      <c r="D267" s="77">
        <f t="shared" ca="1" si="28"/>
        <v>100</v>
      </c>
      <c r="E267" s="77">
        <f ca="1">AG266+IF(controls!$B$33=1,G267,F267)</f>
        <v>100</v>
      </c>
      <c r="F267" s="94">
        <f ca="1">IF(controls!$B$44=0,H267-'main page'!$K$27*M266,H267-'main page'!$K$27*M266+'main page'!$K$31*AB266)</f>
        <v>100</v>
      </c>
      <c r="G267" s="75">
        <f ca="1">IF(controls!$B$44=0,I267-'main page'!$K$27*M266,I267-'main page'!$K$27*M266+'main page'!$K$31*'normal case'!AB266)</f>
        <v>100</v>
      </c>
      <c r="H267" s="75">
        <f t="shared" ca="1" si="26"/>
        <v>108</v>
      </c>
      <c r="I267" s="75">
        <f t="shared" ca="1" si="27"/>
        <v>108</v>
      </c>
      <c r="L267" s="75">
        <f ca="1">IF(ABS('main page'!$K$29*L266+(1-'main page'!$K$29)*(controls!$B$9/100)*100+'main page'!$K$25*(D267-B267)-L266)&lt;0.0000001,L266,'main page'!$K$29*L266+(1-'main page'!$K$29)*(controls!$B$9/100)*100+'main page'!$K$25*(D267-B267))</f>
        <v>2</v>
      </c>
      <c r="M267" s="96">
        <f ca="1">IF(controls!$B$10=1,M266,IF(SUM(controls!$B$44:$B$46)=2,N267-'main page'!$K$29*'normal case'!L267-(1-'main page'!$K$29)*'main page'!$K$32,N267-'main page'!$K$29*'normal case'!L267-(1-'main page'!$K$29)*controls!$B$9))</f>
        <v>4</v>
      </c>
      <c r="N267" s="208">
        <f ca="1">IF(controls!$B$45=1,IF(controls!$B$46=1,'main page'!$K$24+'main page'!$K$11+'main page'!$U$8,'main page'!$K$24+'main page'!$K$11+'main page'!$K$32),IF(controls!$B$44=1,IF(O267&lt;0,0,O267),IF(O267+'main page'!$K$11&lt;0,0,O267+'main page'!$K$11)))</f>
        <v>6</v>
      </c>
      <c r="O267" s="76">
        <f ca="1">IF(controls!$B$10=1,'normal case'!M267+'normal case'!L267,'normal case'!P267)</f>
        <v>6</v>
      </c>
      <c r="P267" s="74">
        <f t="shared" ca="1" si="29"/>
        <v>6</v>
      </c>
      <c r="Q267" s="210">
        <f ca="1">IF(controls!$B$44=0,R267+'main page'!$K$29*L267+(1-'main page'!$K$29)*controls!$B$9+(('main page'!$K$25*'main page'!$U$13*'main page'!$K$29)/('main page'!$K$27*(1+('main page'!$K$25^2)*'main page'!$U$13)))*(L267-controls!$B$9),R267+'main page'!$K$29*L267+(1-'main page'!$K$29)*controls!$B$9+(('main page'!$K$25*'main page'!$U$13*'normal case'!$AO$3)/'normal case'!$AO$4)*('normal case'!L267-controls!$B$9))</f>
        <v>6</v>
      </c>
      <c r="R267" s="98">
        <f ca="1">IF(controls!$B$44=1,'main page'!$K$24+'main page'!$K$11,IF(controls!$B$33=1,((I268-D267*W268-B268+B267*V268)/'main page'!$K$27)-'main page'!$K$11,((H268-D267*W268-B268+B267*V268)/'main page'!$K$27)-'main page'!$K$11))</f>
        <v>4</v>
      </c>
      <c r="T267" s="71">
        <f>IF(controls!$B$6=1,$AL$3*(1+('main page'!$K$35/100))^U267-$AL$3*(1+('main page'!$K$35/100))^U266,$AL$3*(1+('main page'!$G$8/100))*(1+('main page'!$K$35/100))^U267-$AL$3*(1+('main page'!$G$8/100))*(1+('main page'!$K$35/100))^U266)</f>
        <v>0</v>
      </c>
      <c r="U267" s="73">
        <v>260</v>
      </c>
      <c r="V267" s="161">
        <v>0</v>
      </c>
      <c r="W267" s="40">
        <v>0</v>
      </c>
      <c r="X267" s="49">
        <f ca="1">IF(controls!$B$33=1,D267-($I$3-'main page'!$K$27*2)*(1+('main page'!$K$35/100))^A266,D267-$AL$4)</f>
        <v>0</v>
      </c>
      <c r="Y267" s="49">
        <f ca="1">ABS(L267-(controls!$B$9/100)*100)</f>
        <v>0</v>
      </c>
      <c r="AA267" s="49" t="e">
        <f ca="1">IF(controls!$B$33=1,(B268-B267*V268-I268+D267*W268+'main page'!$K$27*('main page'!$K$24+'main page'!$K$11))/'main page'!$K$31,(B268-B267*V268+D267*W268-H268+'main page'!$K$27*('main page'!$K$24+'main page'!$K$11))/'main page'!$K$31)</f>
        <v>#DIV/0!</v>
      </c>
      <c r="AB267" s="49" t="e">
        <f ca="1">IF(controls!$B$45=1,LOG(AF267,1.01)+LOG(AE267,1.01)-LOG(AD267,1.01),-((M267-('main page'!$K$24+'main page'!$K$11))/(1-'normal case'!$AO$3))+'normal case'!AA267)</f>
        <v>#DIV/0!</v>
      </c>
      <c r="AC267" s="176" t="e">
        <f t="shared" ca="1" si="30"/>
        <v>#DIV/0!</v>
      </c>
      <c r="AD267" s="49">
        <f t="shared" ca="1" si="31"/>
        <v>186.3997584145647</v>
      </c>
      <c r="AE267" s="49">
        <f>AE266*(1+'main page'!$K$32/100)</f>
        <v>1</v>
      </c>
      <c r="AF267" s="49" t="e">
        <f ca="1">IF(ABS(IF(controls!$B$45=1,$AL$13,AD267*AC267/AE267)-AF266)&lt;0.00001,AF266,IF(controls!$B$45=1,$AL$13,AD267*AC267/AE267))</f>
        <v>#DIV/0!</v>
      </c>
      <c r="AG267" s="49">
        <f>IF(controls!$B$46=0,0,IF(controls!$B$33=2,B268-B267*V268-('normal case'!H268-D267*W268-'main page'!$K$27*'normal case'!M267+'main page'!$K$31*'normal case'!AB267)-(('main page'!$K$25*'main page'!$U$13*'main page'!$K$29)/(1+('main page'!$K$25^2)*'main page'!$U$13))*('normal case'!L267-'main page'!$U$8),B268-B267*V268-('normal case'!I268-D267*W268-'main page'!$K$27*'normal case'!M267+'main page'!$K$31*'normal case'!AB267)-(('main page'!$K$25*'main page'!$U$13*'main page'!$K$29)/(1+('main page'!$K$25^2)*'main page'!$U$13))*('normal case'!L267-'main page'!$U$8)))</f>
        <v>0</v>
      </c>
      <c r="AN267" s="40"/>
      <c r="AO267" s="40"/>
    </row>
    <row r="268" spans="1:41">
      <c r="A268" s="48">
        <v>266</v>
      </c>
      <c r="B268" s="75">
        <f ca="1">IF(controls!$B$33=1,B267*(1+V268)+T268,B267*(1+V268))</f>
        <v>100</v>
      </c>
      <c r="C268" s="80">
        <f t="shared" ca="1" si="32"/>
        <v>0</v>
      </c>
      <c r="D268" s="77">
        <f t="shared" ca="1" si="28"/>
        <v>100</v>
      </c>
      <c r="E268" s="77">
        <f ca="1">AG267+IF(controls!$B$33=1,G268,F268)</f>
        <v>100</v>
      </c>
      <c r="F268" s="94">
        <f ca="1">IF(controls!$B$44=0,H268-'main page'!$K$27*M267,H268-'main page'!$K$27*M267+'main page'!$K$31*AB267)</f>
        <v>100</v>
      </c>
      <c r="G268" s="75">
        <f ca="1">IF(controls!$B$44=0,I268-'main page'!$K$27*M267,I268-'main page'!$K$27*M267+'main page'!$K$31*'normal case'!AB267)</f>
        <v>100</v>
      </c>
      <c r="H268" s="75">
        <f t="shared" ca="1" si="26"/>
        <v>108</v>
      </c>
      <c r="I268" s="75">
        <f t="shared" ca="1" si="27"/>
        <v>108</v>
      </c>
      <c r="L268" s="75">
        <f ca="1">IF(ABS('main page'!$K$29*L267+(1-'main page'!$K$29)*(controls!$B$9/100)*100+'main page'!$K$25*(D268-B268)-L267)&lt;0.0000001,L267,'main page'!$K$29*L267+(1-'main page'!$K$29)*(controls!$B$9/100)*100+'main page'!$K$25*(D268-B268))</f>
        <v>2</v>
      </c>
      <c r="M268" s="96">
        <f ca="1">IF(controls!$B$10=1,M267,IF(SUM(controls!$B$44:$B$46)=2,N268-'main page'!$K$29*'normal case'!L268-(1-'main page'!$K$29)*'main page'!$K$32,N268-'main page'!$K$29*'normal case'!L268-(1-'main page'!$K$29)*controls!$B$9))</f>
        <v>4</v>
      </c>
      <c r="N268" s="208">
        <f ca="1">IF(controls!$B$45=1,IF(controls!$B$46=1,'main page'!$K$24+'main page'!$K$11+'main page'!$U$8,'main page'!$K$24+'main page'!$K$11+'main page'!$K$32),IF(controls!$B$44=1,IF(O268&lt;0,0,O268),IF(O268+'main page'!$K$11&lt;0,0,O268+'main page'!$K$11)))</f>
        <v>6</v>
      </c>
      <c r="O268" s="76">
        <f ca="1">IF(controls!$B$10=1,'normal case'!M268+'normal case'!L268,'normal case'!P268)</f>
        <v>6</v>
      </c>
      <c r="P268" s="74">
        <f t="shared" ca="1" si="29"/>
        <v>6</v>
      </c>
      <c r="Q268" s="210">
        <f ca="1">IF(controls!$B$44=0,R268+'main page'!$K$29*L268+(1-'main page'!$K$29)*controls!$B$9+(('main page'!$K$25*'main page'!$U$13*'main page'!$K$29)/('main page'!$K$27*(1+('main page'!$K$25^2)*'main page'!$U$13)))*(L268-controls!$B$9),R268+'main page'!$K$29*L268+(1-'main page'!$K$29)*controls!$B$9+(('main page'!$K$25*'main page'!$U$13*'normal case'!$AO$3)/'normal case'!$AO$4)*('normal case'!L268-controls!$B$9))</f>
        <v>6</v>
      </c>
      <c r="R268" s="98">
        <f ca="1">IF(controls!$B$44=1,'main page'!$K$24+'main page'!$K$11,IF(controls!$B$33=1,((I269-D268*W269-B269+B268*V269)/'main page'!$K$27)-'main page'!$K$11,((H269-D268*W269-B269+B268*V269)/'main page'!$K$27)-'main page'!$K$11))</f>
        <v>4</v>
      </c>
      <c r="T268" s="71">
        <f>IF(controls!$B$6=1,$AL$3*(1+('main page'!$K$35/100))^U268-$AL$3*(1+('main page'!$K$35/100))^U267,$AL$3*(1+('main page'!$G$8/100))*(1+('main page'!$K$35/100))^U268-$AL$3*(1+('main page'!$G$8/100))*(1+('main page'!$K$35/100))^U267)</f>
        <v>0</v>
      </c>
      <c r="U268" s="73">
        <v>261</v>
      </c>
      <c r="V268" s="161">
        <v>0</v>
      </c>
      <c r="W268" s="40">
        <v>0</v>
      </c>
      <c r="X268" s="49">
        <f ca="1">IF(controls!$B$33=1,D268-($I$3-'main page'!$K$27*2)*(1+('main page'!$K$35/100))^A267,D268-$AL$4)</f>
        <v>0</v>
      </c>
      <c r="Y268" s="49">
        <f ca="1">ABS(L268-(controls!$B$9/100)*100)</f>
        <v>0</v>
      </c>
      <c r="AA268" s="49" t="e">
        <f ca="1">IF(controls!$B$33=1,(B269-B268*V269-I269+D268*W269+'main page'!$K$27*('main page'!$K$24+'main page'!$K$11))/'main page'!$K$31,(B269-B268*V269+D268*W269-H269+'main page'!$K$27*('main page'!$K$24+'main page'!$K$11))/'main page'!$K$31)</f>
        <v>#DIV/0!</v>
      </c>
      <c r="AB268" s="49" t="e">
        <f ca="1">IF(controls!$B$45=1,LOG(AF268,1.01)+LOG(AE268,1.01)-LOG(AD268,1.01),-((M268-('main page'!$K$24+'main page'!$K$11))/(1-'normal case'!$AO$3))+'normal case'!AA268)</f>
        <v>#DIV/0!</v>
      </c>
      <c r="AC268" s="176" t="e">
        <f t="shared" ca="1" si="30"/>
        <v>#DIV/0!</v>
      </c>
      <c r="AD268" s="49">
        <f t="shared" ca="1" si="31"/>
        <v>190.127753582856</v>
      </c>
      <c r="AE268" s="49">
        <f>AE267*(1+'main page'!$K$32/100)</f>
        <v>1</v>
      </c>
      <c r="AF268" s="49" t="e">
        <f ca="1">IF(ABS(IF(controls!$B$45=1,$AL$13,AD268*AC268/AE268)-AF267)&lt;0.00001,AF267,IF(controls!$B$45=1,$AL$13,AD268*AC268/AE268))</f>
        <v>#DIV/0!</v>
      </c>
      <c r="AG268" s="49">
        <f>IF(controls!$B$46=0,0,IF(controls!$B$33=2,B269-B268*V269-('normal case'!H269-D268*W269-'main page'!$K$27*'normal case'!M268+'main page'!$K$31*'normal case'!AB268)-(('main page'!$K$25*'main page'!$U$13*'main page'!$K$29)/(1+('main page'!$K$25^2)*'main page'!$U$13))*('normal case'!L268-'main page'!$U$8),B269-B268*V269-('normal case'!I269-D268*W269-'main page'!$K$27*'normal case'!M268+'main page'!$K$31*'normal case'!AB268)-(('main page'!$K$25*'main page'!$U$13*'main page'!$K$29)/(1+('main page'!$K$25^2)*'main page'!$U$13))*('normal case'!L268-'main page'!$U$8)))</f>
        <v>0</v>
      </c>
      <c r="AN268" s="40"/>
      <c r="AO268" s="40"/>
    </row>
    <row r="269" spans="1:41">
      <c r="A269" s="48">
        <v>267</v>
      </c>
      <c r="B269" s="75">
        <f ca="1">IF(controls!$B$33=1,B268*(1+V269)+T269,B268*(1+V269))</f>
        <v>100</v>
      </c>
      <c r="C269" s="80">
        <f t="shared" ca="1" si="32"/>
        <v>0</v>
      </c>
      <c r="D269" s="77">
        <f t="shared" ca="1" si="28"/>
        <v>100</v>
      </c>
      <c r="E269" s="77">
        <f ca="1">AG268+IF(controls!$B$33=1,G269,F269)</f>
        <v>100</v>
      </c>
      <c r="F269" s="94">
        <f ca="1">IF(controls!$B$44=0,H269-'main page'!$K$27*M268,H269-'main page'!$K$27*M268+'main page'!$K$31*AB268)</f>
        <v>100</v>
      </c>
      <c r="G269" s="75">
        <f ca="1">IF(controls!$B$44=0,I269-'main page'!$K$27*M268,I269-'main page'!$K$27*M268+'main page'!$K$31*'normal case'!AB268)</f>
        <v>100</v>
      </c>
      <c r="H269" s="75">
        <f t="shared" ca="1" si="26"/>
        <v>108</v>
      </c>
      <c r="I269" s="75">
        <f t="shared" ca="1" si="27"/>
        <v>108</v>
      </c>
      <c r="L269" s="75">
        <f ca="1">IF(ABS('main page'!$K$29*L268+(1-'main page'!$K$29)*(controls!$B$9/100)*100+'main page'!$K$25*(D269-B269)-L268)&lt;0.0000001,L268,'main page'!$K$29*L268+(1-'main page'!$K$29)*(controls!$B$9/100)*100+'main page'!$K$25*(D269-B269))</f>
        <v>2</v>
      </c>
      <c r="M269" s="96">
        <f ca="1">IF(controls!$B$10=1,M268,IF(SUM(controls!$B$44:$B$46)=2,N269-'main page'!$K$29*'normal case'!L269-(1-'main page'!$K$29)*'main page'!$K$32,N269-'main page'!$K$29*'normal case'!L269-(1-'main page'!$K$29)*controls!$B$9))</f>
        <v>4</v>
      </c>
      <c r="N269" s="208">
        <f ca="1">IF(controls!$B$45=1,IF(controls!$B$46=1,'main page'!$K$24+'main page'!$K$11+'main page'!$U$8,'main page'!$K$24+'main page'!$K$11+'main page'!$K$32),IF(controls!$B$44=1,IF(O269&lt;0,0,O269),IF(O269+'main page'!$K$11&lt;0,0,O269+'main page'!$K$11)))</f>
        <v>6</v>
      </c>
      <c r="O269" s="76">
        <f ca="1">IF(controls!$B$10=1,'normal case'!M269+'normal case'!L269,'normal case'!P269)</f>
        <v>6</v>
      </c>
      <c r="P269" s="74">
        <f t="shared" ca="1" si="29"/>
        <v>6</v>
      </c>
      <c r="Q269" s="210">
        <f ca="1">IF(controls!$B$44=0,R269+'main page'!$K$29*L269+(1-'main page'!$K$29)*controls!$B$9+(('main page'!$K$25*'main page'!$U$13*'main page'!$K$29)/('main page'!$K$27*(1+('main page'!$K$25^2)*'main page'!$U$13)))*(L269-controls!$B$9),R269+'main page'!$K$29*L269+(1-'main page'!$K$29)*controls!$B$9+(('main page'!$K$25*'main page'!$U$13*'normal case'!$AO$3)/'normal case'!$AO$4)*('normal case'!L269-controls!$B$9))</f>
        <v>6</v>
      </c>
      <c r="R269" s="98">
        <f ca="1">IF(controls!$B$44=1,'main page'!$K$24+'main page'!$K$11,IF(controls!$B$33=1,((I270-D269*W270-B270+B269*V270)/'main page'!$K$27)-'main page'!$K$11,((H270-D269*W270-B270+B269*V270)/'main page'!$K$27)-'main page'!$K$11))</f>
        <v>4</v>
      </c>
      <c r="T269" s="71">
        <f>IF(controls!$B$6=1,$AL$3*(1+('main page'!$K$35/100))^U269-$AL$3*(1+('main page'!$K$35/100))^U268,$AL$3*(1+('main page'!$G$8/100))*(1+('main page'!$K$35/100))^U269-$AL$3*(1+('main page'!$G$8/100))*(1+('main page'!$K$35/100))^U268)</f>
        <v>0</v>
      </c>
      <c r="U269" s="73">
        <v>262</v>
      </c>
      <c r="V269" s="161">
        <f ca="1">IF(controls!$B$4=1,IF(controls!$H268=1,controls!$B$34*V268+RAND()*('main page'!$K$16/100)-RAND()*('main page'!$K$16/100),0),0)</f>
        <v>0</v>
      </c>
      <c r="W269" s="40">
        <f ca="1">IF(controls!$B$4=1,IF(controls!$I268=1,controls!$B$34*W268+RAND()*('main page'!$K$16/100)-RAND()*('main page'!$K$16/100),0),0)</f>
        <v>0</v>
      </c>
      <c r="X269" s="49">
        <f ca="1">IF(controls!$B$33=1,D269-($I$3-'main page'!$K$27*2)*(1+('main page'!$K$35/100))^A268,D269-$AL$4)</f>
        <v>0</v>
      </c>
      <c r="Y269" s="49">
        <f ca="1">ABS(L269-(controls!$B$9/100)*100)</f>
        <v>0</v>
      </c>
      <c r="AA269" s="49" t="e">
        <f ca="1">IF(controls!$B$33=1,(B270-B269*V270-I270+D269*W270+'main page'!$K$27*('main page'!$K$24+'main page'!$K$11))/'main page'!$K$31,(B270-B269*V270+D269*W270-H270+'main page'!$K$27*('main page'!$K$24+'main page'!$K$11))/'main page'!$K$31)</f>
        <v>#DIV/0!</v>
      </c>
      <c r="AB269" s="49" t="e">
        <f ca="1">IF(controls!$B$45=1,LOG(AF269,1.01)+LOG(AE269,1.01)-LOG(AD269,1.01),-((M269-('main page'!$K$24+'main page'!$K$11))/(1-'normal case'!$AO$3))+'normal case'!AA269)</f>
        <v>#DIV/0!</v>
      </c>
      <c r="AC269" s="176" t="e">
        <f t="shared" ca="1" si="30"/>
        <v>#DIV/0!</v>
      </c>
      <c r="AD269" s="49">
        <f t="shared" ca="1" si="31"/>
        <v>193.93030865451311</v>
      </c>
      <c r="AE269" s="49">
        <f>AE268*(1+'main page'!$K$32/100)</f>
        <v>1</v>
      </c>
      <c r="AF269" s="49" t="e">
        <f ca="1">IF(ABS(IF(controls!$B$45=1,$AL$13,AD269*AC269/AE269)-AF268)&lt;0.00001,AF268,IF(controls!$B$45=1,$AL$13,AD269*AC269/AE269))</f>
        <v>#DIV/0!</v>
      </c>
      <c r="AG269" s="49">
        <f>IF(controls!$B$46=0,0,IF(controls!$B$33=2,B270-B269*V270-('normal case'!H270-D269*W270-'main page'!$K$27*'normal case'!M269+'main page'!$K$31*'normal case'!AB269)-(('main page'!$K$25*'main page'!$U$13*'main page'!$K$29)/(1+('main page'!$K$25^2)*'main page'!$U$13))*('normal case'!L269-'main page'!$U$8),B270-B269*V270-('normal case'!I270-D269*W270-'main page'!$K$27*'normal case'!M269+'main page'!$K$31*'normal case'!AB269)-(('main page'!$K$25*'main page'!$U$13*'main page'!$K$29)/(1+('main page'!$K$25^2)*'main page'!$U$13))*('normal case'!L269-'main page'!$U$8)))</f>
        <v>0</v>
      </c>
      <c r="AN269" s="40"/>
      <c r="AO269" s="40"/>
    </row>
    <row r="270" spans="1:41">
      <c r="A270" s="48">
        <v>268</v>
      </c>
      <c r="B270" s="75">
        <f ca="1">IF(controls!$B$33=1,B269*(1+V270)+T270,B269*(1+V270))</f>
        <v>100</v>
      </c>
      <c r="C270" s="80">
        <f t="shared" ca="1" si="32"/>
        <v>0</v>
      </c>
      <c r="D270" s="77">
        <f t="shared" ca="1" si="28"/>
        <v>100</v>
      </c>
      <c r="E270" s="77">
        <f ca="1">AG269+IF(controls!$B$33=1,G270,F270)</f>
        <v>100</v>
      </c>
      <c r="F270" s="94">
        <f ca="1">IF(controls!$B$44=0,H270-'main page'!$K$27*M269,H270-'main page'!$K$27*M269+'main page'!$K$31*AB269)</f>
        <v>100</v>
      </c>
      <c r="G270" s="75">
        <f ca="1">IF(controls!$B$44=0,I270-'main page'!$K$27*M269,I270-'main page'!$K$27*M269+'main page'!$K$31*'normal case'!AB269)</f>
        <v>100</v>
      </c>
      <c r="H270" s="75">
        <f t="shared" ca="1" si="26"/>
        <v>108</v>
      </c>
      <c r="I270" s="75">
        <f t="shared" ca="1" si="27"/>
        <v>108</v>
      </c>
      <c r="L270" s="75">
        <f ca="1">IF(ABS('main page'!$K$29*L269+(1-'main page'!$K$29)*(controls!$B$9/100)*100+'main page'!$K$25*(D270-B270)-L269)&lt;0.0000001,L269,'main page'!$K$29*L269+(1-'main page'!$K$29)*(controls!$B$9/100)*100+'main page'!$K$25*(D270-B270))</f>
        <v>2</v>
      </c>
      <c r="M270" s="96">
        <f ca="1">IF(controls!$B$10=1,M269,IF(SUM(controls!$B$44:$B$46)=2,N270-'main page'!$K$29*'normal case'!L270-(1-'main page'!$K$29)*'main page'!$K$32,N270-'main page'!$K$29*'normal case'!L270-(1-'main page'!$K$29)*controls!$B$9))</f>
        <v>4</v>
      </c>
      <c r="N270" s="208">
        <f ca="1">IF(controls!$B$45=1,IF(controls!$B$46=1,'main page'!$K$24+'main page'!$K$11+'main page'!$U$8,'main page'!$K$24+'main page'!$K$11+'main page'!$K$32),IF(controls!$B$44=1,IF(O270&lt;0,0,O270),IF(O270+'main page'!$K$11&lt;0,0,O270+'main page'!$K$11)))</f>
        <v>6</v>
      </c>
      <c r="O270" s="76">
        <f ca="1">IF(controls!$B$10=1,'normal case'!M270+'normal case'!L270,'normal case'!P270)</f>
        <v>6</v>
      </c>
      <c r="P270" s="74">
        <f t="shared" ca="1" si="29"/>
        <v>6</v>
      </c>
      <c r="Q270" s="210">
        <f ca="1">IF(controls!$B$44=0,R270+'main page'!$K$29*L270+(1-'main page'!$K$29)*controls!$B$9+(('main page'!$K$25*'main page'!$U$13*'main page'!$K$29)/('main page'!$K$27*(1+('main page'!$K$25^2)*'main page'!$U$13)))*(L270-controls!$B$9),R270+'main page'!$K$29*L270+(1-'main page'!$K$29)*controls!$B$9+(('main page'!$K$25*'main page'!$U$13*'normal case'!$AO$3)/'normal case'!$AO$4)*('normal case'!L270-controls!$B$9))</f>
        <v>6</v>
      </c>
      <c r="R270" s="98">
        <f ca="1">IF(controls!$B$44=1,'main page'!$K$24+'main page'!$K$11,IF(controls!$B$33=1,((I271-D270*W271-B271+B270*V271)/'main page'!$K$27)-'main page'!$K$11,((H271-D270*W271-B271+B270*V271)/'main page'!$K$27)-'main page'!$K$11))</f>
        <v>4</v>
      </c>
      <c r="T270" s="71">
        <f>IF(controls!$B$6=1,$AL$3*(1+('main page'!$K$35/100))^U270-$AL$3*(1+('main page'!$K$35/100))^U269,$AL$3*(1+('main page'!$G$8/100))*(1+('main page'!$K$35/100))^U270-$AL$3*(1+('main page'!$G$8/100))*(1+('main page'!$K$35/100))^U269)</f>
        <v>0</v>
      </c>
      <c r="U270" s="73">
        <v>263</v>
      </c>
      <c r="V270" s="161">
        <v>0</v>
      </c>
      <c r="W270" s="40">
        <v>0</v>
      </c>
      <c r="X270" s="49">
        <f ca="1">IF(controls!$B$33=1,D270-($I$3-'main page'!$K$27*2)*(1+('main page'!$K$35/100))^A269,D270-$AL$4)</f>
        <v>0</v>
      </c>
      <c r="Y270" s="49">
        <f ca="1">ABS(L270-(controls!$B$9/100)*100)</f>
        <v>0</v>
      </c>
      <c r="AA270" s="49" t="e">
        <f ca="1">IF(controls!$B$33=1,(B271-B270*V271-I271+D270*W271+'main page'!$K$27*('main page'!$K$24+'main page'!$K$11))/'main page'!$K$31,(B271-B270*V271+D270*W271-H271+'main page'!$K$27*('main page'!$K$24+'main page'!$K$11))/'main page'!$K$31)</f>
        <v>#DIV/0!</v>
      </c>
      <c r="AB270" s="49" t="e">
        <f ca="1">IF(controls!$B$45=1,LOG(AF270,1.01)+LOG(AE270,1.01)-LOG(AD270,1.01),-((M270-('main page'!$K$24+'main page'!$K$11))/(1-'normal case'!$AO$3))+'normal case'!AA270)</f>
        <v>#DIV/0!</v>
      </c>
      <c r="AC270" s="176" t="e">
        <f t="shared" ca="1" si="30"/>
        <v>#DIV/0!</v>
      </c>
      <c r="AD270" s="49">
        <f t="shared" ca="1" si="31"/>
        <v>197.80891482760339</v>
      </c>
      <c r="AE270" s="49">
        <f>AE269*(1+'main page'!$K$32/100)</f>
        <v>1</v>
      </c>
      <c r="AF270" s="49" t="e">
        <f ca="1">IF(ABS(IF(controls!$B$45=1,$AL$13,AD270*AC270/AE270)-AF269)&lt;0.00001,AF269,IF(controls!$B$45=1,$AL$13,AD270*AC270/AE270))</f>
        <v>#DIV/0!</v>
      </c>
      <c r="AG270" s="49">
        <f>IF(controls!$B$46=0,0,IF(controls!$B$33=2,B271-B270*V271-('normal case'!H271-D270*W271-'main page'!$K$27*'normal case'!M270+'main page'!$K$31*'normal case'!AB270)-(('main page'!$K$25*'main page'!$U$13*'main page'!$K$29)/(1+('main page'!$K$25^2)*'main page'!$U$13))*('normal case'!L270-'main page'!$U$8),B271-B270*V271-('normal case'!I271-D270*W271-'main page'!$K$27*'normal case'!M270+'main page'!$K$31*'normal case'!AB270)-(('main page'!$K$25*'main page'!$U$13*'main page'!$K$29)/(1+('main page'!$K$25^2)*'main page'!$U$13))*('normal case'!L270-'main page'!$U$8)))</f>
        <v>0</v>
      </c>
      <c r="AN270" s="40"/>
      <c r="AO270" s="40"/>
    </row>
    <row r="271" spans="1:41">
      <c r="A271" s="48">
        <v>269</v>
      </c>
      <c r="B271" s="75">
        <f ca="1">IF(controls!$B$33=1,B270*(1+V271)+T271,B270*(1+V271))</f>
        <v>100</v>
      </c>
      <c r="C271" s="80">
        <f t="shared" ca="1" si="32"/>
        <v>0</v>
      </c>
      <c r="D271" s="77">
        <f t="shared" ca="1" si="28"/>
        <v>100</v>
      </c>
      <c r="E271" s="77">
        <f ca="1">AG270+IF(controls!$B$33=1,G271,F271)</f>
        <v>100</v>
      </c>
      <c r="F271" s="94">
        <f ca="1">IF(controls!$B$44=0,H271-'main page'!$K$27*M270,H271-'main page'!$K$27*M270+'main page'!$K$31*AB270)</f>
        <v>100</v>
      </c>
      <c r="G271" s="75">
        <f ca="1">IF(controls!$B$44=0,I271-'main page'!$K$27*M270,I271-'main page'!$K$27*M270+'main page'!$K$31*'normal case'!AB270)</f>
        <v>100</v>
      </c>
      <c r="H271" s="75">
        <f t="shared" ca="1" si="26"/>
        <v>108</v>
      </c>
      <c r="I271" s="75">
        <f t="shared" ca="1" si="27"/>
        <v>108</v>
      </c>
      <c r="L271" s="75">
        <f ca="1">IF(ABS('main page'!$K$29*L270+(1-'main page'!$K$29)*(controls!$B$9/100)*100+'main page'!$K$25*(D271-B271)-L270)&lt;0.0000001,L270,'main page'!$K$29*L270+(1-'main page'!$K$29)*(controls!$B$9/100)*100+'main page'!$K$25*(D271-B271))</f>
        <v>2</v>
      </c>
      <c r="M271" s="96">
        <f ca="1">IF(controls!$B$10=1,M270,IF(SUM(controls!$B$44:$B$46)=2,N271-'main page'!$K$29*'normal case'!L271-(1-'main page'!$K$29)*'main page'!$K$32,N271-'main page'!$K$29*'normal case'!L271-(1-'main page'!$K$29)*controls!$B$9))</f>
        <v>4</v>
      </c>
      <c r="N271" s="208">
        <f ca="1">IF(controls!$B$45=1,IF(controls!$B$46=1,'main page'!$K$24+'main page'!$K$11+'main page'!$U$8,'main page'!$K$24+'main page'!$K$11+'main page'!$K$32),IF(controls!$B$44=1,IF(O271&lt;0,0,O271),IF(O271+'main page'!$K$11&lt;0,0,O271+'main page'!$K$11)))</f>
        <v>6</v>
      </c>
      <c r="O271" s="76">
        <f ca="1">IF(controls!$B$10=1,'normal case'!M271+'normal case'!L271,'normal case'!P271)</f>
        <v>6</v>
      </c>
      <c r="P271" s="74">
        <f t="shared" ca="1" si="29"/>
        <v>6</v>
      </c>
      <c r="Q271" s="210">
        <f ca="1">IF(controls!$B$44=0,R271+'main page'!$K$29*L271+(1-'main page'!$K$29)*controls!$B$9+(('main page'!$K$25*'main page'!$U$13*'main page'!$K$29)/('main page'!$K$27*(1+('main page'!$K$25^2)*'main page'!$U$13)))*(L271-controls!$B$9),R271+'main page'!$K$29*L271+(1-'main page'!$K$29)*controls!$B$9+(('main page'!$K$25*'main page'!$U$13*'normal case'!$AO$3)/'normal case'!$AO$4)*('normal case'!L271-controls!$B$9))</f>
        <v>6</v>
      </c>
      <c r="R271" s="98">
        <f ca="1">IF(controls!$B$44=1,'main page'!$K$24+'main page'!$K$11,IF(controls!$B$33=1,((I272-D271*W272-B272+B271*V272)/'main page'!$K$27)-'main page'!$K$11,((H272-D271*W272-B272+B271*V272)/'main page'!$K$27)-'main page'!$K$11))</f>
        <v>4</v>
      </c>
      <c r="T271" s="71">
        <f>IF(controls!$B$6=1,$AL$3*(1+('main page'!$K$35/100))^U271-$AL$3*(1+('main page'!$K$35/100))^U270,$AL$3*(1+('main page'!$G$8/100))*(1+('main page'!$K$35/100))^U271-$AL$3*(1+('main page'!$G$8/100))*(1+('main page'!$K$35/100))^U270)</f>
        <v>0</v>
      </c>
      <c r="U271" s="73">
        <v>264</v>
      </c>
      <c r="V271" s="161">
        <v>0</v>
      </c>
      <c r="W271" s="40">
        <v>0</v>
      </c>
      <c r="X271" s="49">
        <f ca="1">IF(controls!$B$33=1,D271-($I$3-'main page'!$K$27*2)*(1+('main page'!$K$35/100))^A270,D271-$AL$4)</f>
        <v>0</v>
      </c>
      <c r="Y271" s="49">
        <f ca="1">ABS(L271-(controls!$B$9/100)*100)</f>
        <v>0</v>
      </c>
      <c r="AA271" s="49" t="e">
        <f ca="1">IF(controls!$B$33=1,(B272-B271*V272-I272+D271*W272+'main page'!$K$27*('main page'!$K$24+'main page'!$K$11))/'main page'!$K$31,(B272-B271*V272+D271*W272-H272+'main page'!$K$27*('main page'!$K$24+'main page'!$K$11))/'main page'!$K$31)</f>
        <v>#DIV/0!</v>
      </c>
      <c r="AB271" s="49" t="e">
        <f ca="1">IF(controls!$B$45=1,LOG(AF271,1.01)+LOG(AE271,1.01)-LOG(AD271,1.01),-((M271-('main page'!$K$24+'main page'!$K$11))/(1-'normal case'!$AO$3))+'normal case'!AA271)</f>
        <v>#DIV/0!</v>
      </c>
      <c r="AC271" s="176" t="e">
        <f t="shared" ca="1" si="30"/>
        <v>#DIV/0!</v>
      </c>
      <c r="AD271" s="49">
        <f t="shared" ca="1" si="31"/>
        <v>201.76509312415547</v>
      </c>
      <c r="AE271" s="49">
        <f>AE270*(1+'main page'!$K$32/100)</f>
        <v>1</v>
      </c>
      <c r="AF271" s="49" t="e">
        <f ca="1">IF(ABS(IF(controls!$B$45=1,$AL$13,AD271*AC271/AE271)-AF270)&lt;0.00001,AF270,IF(controls!$B$45=1,$AL$13,AD271*AC271/AE271))</f>
        <v>#DIV/0!</v>
      </c>
      <c r="AG271" s="49">
        <f>IF(controls!$B$46=0,0,IF(controls!$B$33=2,B272-B271*V272-('normal case'!H272-D271*W272-'main page'!$K$27*'normal case'!M271+'main page'!$K$31*'normal case'!AB271)-(('main page'!$K$25*'main page'!$U$13*'main page'!$K$29)/(1+('main page'!$K$25^2)*'main page'!$U$13))*('normal case'!L271-'main page'!$U$8),B272-B271*V272-('normal case'!I272-D271*W272-'main page'!$K$27*'normal case'!M271+'main page'!$K$31*'normal case'!AB271)-(('main page'!$K$25*'main page'!$U$13*'main page'!$K$29)/(1+('main page'!$K$25^2)*'main page'!$U$13))*('normal case'!L271-'main page'!$U$8)))</f>
        <v>0</v>
      </c>
      <c r="AN271" s="40"/>
      <c r="AO271" s="40"/>
    </row>
    <row r="272" spans="1:41">
      <c r="A272" s="48">
        <v>270</v>
      </c>
      <c r="B272" s="75">
        <f ca="1">IF(controls!$B$33=1,B271*(1+V272)+T272,B271*(1+V272))</f>
        <v>100</v>
      </c>
      <c r="C272" s="80">
        <f t="shared" ca="1" si="32"/>
        <v>0</v>
      </c>
      <c r="D272" s="77">
        <f t="shared" ca="1" si="28"/>
        <v>100</v>
      </c>
      <c r="E272" s="77">
        <f ca="1">AG271+IF(controls!$B$33=1,G272,F272)</f>
        <v>100</v>
      </c>
      <c r="F272" s="94">
        <f ca="1">IF(controls!$B$44=0,H272-'main page'!$K$27*M271,H272-'main page'!$K$27*M271+'main page'!$K$31*AB271)</f>
        <v>100</v>
      </c>
      <c r="G272" s="75">
        <f ca="1">IF(controls!$B$44=0,I272-'main page'!$K$27*M271,I272-'main page'!$K$27*M271+'main page'!$K$31*'normal case'!AB271)</f>
        <v>100</v>
      </c>
      <c r="H272" s="75">
        <f t="shared" ca="1" si="26"/>
        <v>108</v>
      </c>
      <c r="I272" s="75">
        <f t="shared" ca="1" si="27"/>
        <v>108</v>
      </c>
      <c r="L272" s="75">
        <f ca="1">IF(ABS('main page'!$K$29*L271+(1-'main page'!$K$29)*(controls!$B$9/100)*100+'main page'!$K$25*(D272-B272)-L271)&lt;0.0000001,L271,'main page'!$K$29*L271+(1-'main page'!$K$29)*(controls!$B$9/100)*100+'main page'!$K$25*(D272-B272))</f>
        <v>2</v>
      </c>
      <c r="M272" s="96">
        <f ca="1">IF(controls!$B$10=1,M271,IF(SUM(controls!$B$44:$B$46)=2,N272-'main page'!$K$29*'normal case'!L272-(1-'main page'!$K$29)*'main page'!$K$32,N272-'main page'!$K$29*'normal case'!L272-(1-'main page'!$K$29)*controls!$B$9))</f>
        <v>4</v>
      </c>
      <c r="N272" s="208">
        <f ca="1">IF(controls!$B$45=1,IF(controls!$B$46=1,'main page'!$K$24+'main page'!$K$11+'main page'!$U$8,'main page'!$K$24+'main page'!$K$11+'main page'!$K$32),IF(controls!$B$44=1,IF(O272&lt;0,0,O272),IF(O272+'main page'!$K$11&lt;0,0,O272+'main page'!$K$11)))</f>
        <v>6</v>
      </c>
      <c r="O272" s="76">
        <f ca="1">IF(controls!$B$10=1,'normal case'!M272+'normal case'!L272,'normal case'!P272)</f>
        <v>6</v>
      </c>
      <c r="P272" s="74">
        <f t="shared" ca="1" si="29"/>
        <v>6</v>
      </c>
      <c r="Q272" s="210">
        <f ca="1">IF(controls!$B$44=0,R272+'main page'!$K$29*L272+(1-'main page'!$K$29)*controls!$B$9+(('main page'!$K$25*'main page'!$U$13*'main page'!$K$29)/('main page'!$K$27*(1+('main page'!$K$25^2)*'main page'!$U$13)))*(L272-controls!$B$9),R272+'main page'!$K$29*L272+(1-'main page'!$K$29)*controls!$B$9+(('main page'!$K$25*'main page'!$U$13*'normal case'!$AO$3)/'normal case'!$AO$4)*('normal case'!L272-controls!$B$9))</f>
        <v>6</v>
      </c>
      <c r="R272" s="98">
        <f ca="1">IF(controls!$B$44=1,'main page'!$K$24+'main page'!$K$11,IF(controls!$B$33=1,((I273-D272*W273-B273+B272*V273)/'main page'!$K$27)-'main page'!$K$11,((H273-D272*W273-B273+B272*V273)/'main page'!$K$27)-'main page'!$K$11))</f>
        <v>4</v>
      </c>
      <c r="T272" s="71">
        <f>IF(controls!$B$6=1,$AL$3*(1+('main page'!$K$35/100))^U272-$AL$3*(1+('main page'!$K$35/100))^U271,$AL$3*(1+('main page'!$G$8/100))*(1+('main page'!$K$35/100))^U272-$AL$3*(1+('main page'!$G$8/100))*(1+('main page'!$K$35/100))^U271)</f>
        <v>0</v>
      </c>
      <c r="U272" s="73">
        <v>265</v>
      </c>
      <c r="V272" s="161">
        <f ca="1">IF(controls!$B$4=1,IF(controls!$H271=1,controls!$B$34*V271+RAND()*('main page'!$K$16/100)-RAND()*('main page'!$K$16/100),0),0)</f>
        <v>0</v>
      </c>
      <c r="W272" s="40">
        <f ca="1">IF(controls!$B$4=1,IF(controls!$I271=1,controls!$B$34*W271+RAND()*('main page'!$K$16/100)-RAND()*('main page'!$K$16/100),0),0)</f>
        <v>0</v>
      </c>
      <c r="X272" s="49">
        <f ca="1">IF(controls!$B$33=1,D272-($I$3-'main page'!$K$27*2)*(1+('main page'!$K$35/100))^A271,D272-$AL$4)</f>
        <v>0</v>
      </c>
      <c r="Y272" s="49">
        <f ca="1">ABS(L272-(controls!$B$9/100)*100)</f>
        <v>0</v>
      </c>
      <c r="AA272" s="49" t="e">
        <f ca="1">IF(controls!$B$33=1,(B273-B272*V273-I273+D272*W273+'main page'!$K$27*('main page'!$K$24+'main page'!$K$11))/'main page'!$K$31,(B273-B272*V273+D272*W273-H273+'main page'!$K$27*('main page'!$K$24+'main page'!$K$11))/'main page'!$K$31)</f>
        <v>#DIV/0!</v>
      </c>
      <c r="AB272" s="49" t="e">
        <f ca="1">IF(controls!$B$45=1,LOG(AF272,1.01)+LOG(AE272,1.01)-LOG(AD272,1.01),-((M272-('main page'!$K$24+'main page'!$K$11))/(1-'normal case'!$AO$3))+'normal case'!AA272)</f>
        <v>#DIV/0!</v>
      </c>
      <c r="AC272" s="176" t="e">
        <f t="shared" ca="1" si="30"/>
        <v>#DIV/0!</v>
      </c>
      <c r="AD272" s="49">
        <f t="shared" ca="1" si="31"/>
        <v>205.80039498663859</v>
      </c>
      <c r="AE272" s="49">
        <f>AE271*(1+'main page'!$K$32/100)</f>
        <v>1</v>
      </c>
      <c r="AF272" s="49" t="e">
        <f ca="1">IF(ABS(IF(controls!$B$45=1,$AL$13,AD272*AC272/AE272)-AF271)&lt;0.00001,AF271,IF(controls!$B$45=1,$AL$13,AD272*AC272/AE272))</f>
        <v>#DIV/0!</v>
      </c>
      <c r="AG272" s="49">
        <f>IF(controls!$B$46=0,0,IF(controls!$B$33=2,B273-B272*V273-('normal case'!H273-D272*W273-'main page'!$K$27*'normal case'!M272+'main page'!$K$31*'normal case'!AB272)-(('main page'!$K$25*'main page'!$U$13*'main page'!$K$29)/(1+('main page'!$K$25^2)*'main page'!$U$13))*('normal case'!L272-'main page'!$U$8),B273-B272*V273-('normal case'!I273-D272*W273-'main page'!$K$27*'normal case'!M272+'main page'!$K$31*'normal case'!AB272)-(('main page'!$K$25*'main page'!$U$13*'main page'!$K$29)/(1+('main page'!$K$25^2)*'main page'!$U$13))*('normal case'!L272-'main page'!$U$8)))</f>
        <v>0</v>
      </c>
      <c r="AN272" s="40"/>
      <c r="AO272" s="40"/>
    </row>
    <row r="273" spans="1:41">
      <c r="A273" s="48">
        <v>271</v>
      </c>
      <c r="B273" s="75">
        <f ca="1">IF(controls!$B$33=1,B272*(1+V273)+T273,B272*(1+V273))</f>
        <v>100</v>
      </c>
      <c r="C273" s="80">
        <f t="shared" ca="1" si="32"/>
        <v>0</v>
      </c>
      <c r="D273" s="77">
        <f t="shared" ca="1" si="28"/>
        <v>100</v>
      </c>
      <c r="E273" s="77">
        <f ca="1">AG272+IF(controls!$B$33=1,G273,F273)</f>
        <v>100</v>
      </c>
      <c r="F273" s="94">
        <f ca="1">IF(controls!$B$44=0,H273-'main page'!$K$27*M272,H273-'main page'!$K$27*M272+'main page'!$K$31*AB272)</f>
        <v>100</v>
      </c>
      <c r="G273" s="75">
        <f ca="1">IF(controls!$B$44=0,I273-'main page'!$K$27*M272,I273-'main page'!$K$27*M272+'main page'!$K$31*'normal case'!AB272)</f>
        <v>100</v>
      </c>
      <c r="H273" s="75">
        <f t="shared" ca="1" si="26"/>
        <v>108</v>
      </c>
      <c r="I273" s="75">
        <f t="shared" ca="1" si="27"/>
        <v>108</v>
      </c>
      <c r="L273" s="75">
        <f ca="1">IF(ABS('main page'!$K$29*L272+(1-'main page'!$K$29)*(controls!$B$9/100)*100+'main page'!$K$25*(D273-B273)-L272)&lt;0.0000001,L272,'main page'!$K$29*L272+(1-'main page'!$K$29)*(controls!$B$9/100)*100+'main page'!$K$25*(D273-B273))</f>
        <v>2</v>
      </c>
      <c r="M273" s="96">
        <f ca="1">IF(controls!$B$10=1,M272,IF(SUM(controls!$B$44:$B$46)=2,N273-'main page'!$K$29*'normal case'!L273-(1-'main page'!$K$29)*'main page'!$K$32,N273-'main page'!$K$29*'normal case'!L273-(1-'main page'!$K$29)*controls!$B$9))</f>
        <v>4</v>
      </c>
      <c r="N273" s="208">
        <f ca="1">IF(controls!$B$45=1,IF(controls!$B$46=1,'main page'!$K$24+'main page'!$K$11+'main page'!$U$8,'main page'!$K$24+'main page'!$K$11+'main page'!$K$32),IF(controls!$B$44=1,IF(O273&lt;0,0,O273),IF(O273+'main page'!$K$11&lt;0,0,O273+'main page'!$K$11)))</f>
        <v>6</v>
      </c>
      <c r="O273" s="76">
        <f ca="1">IF(controls!$B$10=1,'normal case'!M273+'normal case'!L273,'normal case'!P273)</f>
        <v>6</v>
      </c>
      <c r="P273" s="74">
        <f t="shared" ca="1" si="29"/>
        <v>6</v>
      </c>
      <c r="Q273" s="210">
        <f ca="1">IF(controls!$B$44=0,R273+'main page'!$K$29*L273+(1-'main page'!$K$29)*controls!$B$9+(('main page'!$K$25*'main page'!$U$13*'main page'!$K$29)/('main page'!$K$27*(1+('main page'!$K$25^2)*'main page'!$U$13)))*(L273-controls!$B$9),R273+'main page'!$K$29*L273+(1-'main page'!$K$29)*controls!$B$9+(('main page'!$K$25*'main page'!$U$13*'normal case'!$AO$3)/'normal case'!$AO$4)*('normal case'!L273-controls!$B$9))</f>
        <v>6</v>
      </c>
      <c r="R273" s="98">
        <f ca="1">IF(controls!$B$44=1,'main page'!$K$24+'main page'!$K$11,IF(controls!$B$33=1,((I274-D273*W274-B274+B273*V274)/'main page'!$K$27)-'main page'!$K$11,((H274-D273*W274-B274+B273*V274)/'main page'!$K$27)-'main page'!$K$11))</f>
        <v>4</v>
      </c>
      <c r="T273" s="71">
        <f>IF(controls!$B$6=1,$AL$3*(1+('main page'!$K$35/100))^U273-$AL$3*(1+('main page'!$K$35/100))^U272,$AL$3*(1+('main page'!$G$8/100))*(1+('main page'!$K$35/100))^U273-$AL$3*(1+('main page'!$G$8/100))*(1+('main page'!$K$35/100))^U272)</f>
        <v>0</v>
      </c>
      <c r="U273" s="73">
        <v>266</v>
      </c>
      <c r="V273" s="161">
        <v>0</v>
      </c>
      <c r="W273" s="40">
        <v>0</v>
      </c>
      <c r="X273" s="49">
        <f ca="1">IF(controls!$B$33=1,D273-($I$3-'main page'!$K$27*2)*(1+('main page'!$K$35/100))^A272,D273-$AL$4)</f>
        <v>0</v>
      </c>
      <c r="Y273" s="49">
        <f ca="1">ABS(L273-(controls!$B$9/100)*100)</f>
        <v>0</v>
      </c>
      <c r="AA273" s="49" t="e">
        <f ca="1">IF(controls!$B$33=1,(B274-B273*V274-I274+D273*W274+'main page'!$K$27*('main page'!$K$24+'main page'!$K$11))/'main page'!$K$31,(B274-B273*V274+D273*W274-H274+'main page'!$K$27*('main page'!$K$24+'main page'!$K$11))/'main page'!$K$31)</f>
        <v>#DIV/0!</v>
      </c>
      <c r="AB273" s="49" t="e">
        <f ca="1">IF(controls!$B$45=1,LOG(AF273,1.01)+LOG(AE273,1.01)-LOG(AD273,1.01),-((M273-('main page'!$K$24+'main page'!$K$11))/(1-'normal case'!$AO$3))+'normal case'!AA273)</f>
        <v>#DIV/0!</v>
      </c>
      <c r="AC273" s="176" t="e">
        <f t="shared" ca="1" si="30"/>
        <v>#DIV/0!</v>
      </c>
      <c r="AD273" s="49">
        <f t="shared" ca="1" si="31"/>
        <v>209.91640288637137</v>
      </c>
      <c r="AE273" s="49">
        <f>AE272*(1+'main page'!$K$32/100)</f>
        <v>1</v>
      </c>
      <c r="AF273" s="49" t="e">
        <f ca="1">IF(ABS(IF(controls!$B$45=1,$AL$13,AD273*AC273/AE273)-AF272)&lt;0.00001,AF272,IF(controls!$B$45=1,$AL$13,AD273*AC273/AE273))</f>
        <v>#DIV/0!</v>
      </c>
      <c r="AG273" s="49">
        <f>IF(controls!$B$46=0,0,IF(controls!$B$33=2,B274-B273*V274-('normal case'!H274-D273*W274-'main page'!$K$27*'normal case'!M273+'main page'!$K$31*'normal case'!AB273)-(('main page'!$K$25*'main page'!$U$13*'main page'!$K$29)/(1+('main page'!$K$25^2)*'main page'!$U$13))*('normal case'!L273-'main page'!$U$8),B274-B273*V274-('normal case'!I274-D273*W274-'main page'!$K$27*'normal case'!M273+'main page'!$K$31*'normal case'!AB273)-(('main page'!$K$25*'main page'!$U$13*'main page'!$K$29)/(1+('main page'!$K$25^2)*'main page'!$U$13))*('normal case'!L273-'main page'!$U$8)))</f>
        <v>0</v>
      </c>
      <c r="AN273" s="40"/>
      <c r="AO273" s="40"/>
    </row>
    <row r="274" spans="1:41">
      <c r="A274" s="48">
        <v>272</v>
      </c>
      <c r="B274" s="75">
        <f ca="1">IF(controls!$B$33=1,B273*(1+V274)+T274,B273*(1+V274))</f>
        <v>100</v>
      </c>
      <c r="C274" s="80">
        <f t="shared" ca="1" si="32"/>
        <v>0</v>
      </c>
      <c r="D274" s="77">
        <f t="shared" ca="1" si="28"/>
        <v>100</v>
      </c>
      <c r="E274" s="77">
        <f ca="1">AG273+IF(controls!$B$33=1,G274,F274)</f>
        <v>100</v>
      </c>
      <c r="F274" s="94">
        <f ca="1">IF(controls!$B$44=0,H274-'main page'!$K$27*M273,H274-'main page'!$K$27*M273+'main page'!$K$31*AB273)</f>
        <v>100</v>
      </c>
      <c r="G274" s="75">
        <f ca="1">IF(controls!$B$44=0,I274-'main page'!$K$27*M273,I274-'main page'!$K$27*M273+'main page'!$K$31*'normal case'!AB273)</f>
        <v>100</v>
      </c>
      <c r="H274" s="75">
        <f t="shared" ca="1" si="26"/>
        <v>108</v>
      </c>
      <c r="I274" s="75">
        <f t="shared" ca="1" si="27"/>
        <v>108</v>
      </c>
      <c r="L274" s="75">
        <f ca="1">IF(ABS('main page'!$K$29*L273+(1-'main page'!$K$29)*(controls!$B$9/100)*100+'main page'!$K$25*(D274-B274)-L273)&lt;0.0000001,L273,'main page'!$K$29*L273+(1-'main page'!$K$29)*(controls!$B$9/100)*100+'main page'!$K$25*(D274-B274))</f>
        <v>2</v>
      </c>
      <c r="M274" s="96">
        <f ca="1">IF(controls!$B$10=1,M273,IF(SUM(controls!$B$44:$B$46)=2,N274-'main page'!$K$29*'normal case'!L274-(1-'main page'!$K$29)*'main page'!$K$32,N274-'main page'!$K$29*'normal case'!L274-(1-'main page'!$K$29)*controls!$B$9))</f>
        <v>4</v>
      </c>
      <c r="N274" s="208">
        <f ca="1">IF(controls!$B$45=1,IF(controls!$B$46=1,'main page'!$K$24+'main page'!$K$11+'main page'!$U$8,'main page'!$K$24+'main page'!$K$11+'main page'!$K$32),IF(controls!$B$44=1,IF(O274&lt;0,0,O274),IF(O274+'main page'!$K$11&lt;0,0,O274+'main page'!$K$11)))</f>
        <v>6</v>
      </c>
      <c r="O274" s="76">
        <f ca="1">IF(controls!$B$10=1,'normal case'!M274+'normal case'!L274,'normal case'!P274)</f>
        <v>6</v>
      </c>
      <c r="P274" s="74">
        <f t="shared" ca="1" si="29"/>
        <v>6</v>
      </c>
      <c r="Q274" s="210">
        <f ca="1">IF(controls!$B$44=0,R274+'main page'!$K$29*L274+(1-'main page'!$K$29)*controls!$B$9+(('main page'!$K$25*'main page'!$U$13*'main page'!$K$29)/('main page'!$K$27*(1+('main page'!$K$25^2)*'main page'!$U$13)))*(L274-controls!$B$9),R274+'main page'!$K$29*L274+(1-'main page'!$K$29)*controls!$B$9+(('main page'!$K$25*'main page'!$U$13*'normal case'!$AO$3)/'normal case'!$AO$4)*('normal case'!L274-controls!$B$9))</f>
        <v>6</v>
      </c>
      <c r="R274" s="98">
        <f ca="1">IF(controls!$B$44=1,'main page'!$K$24+'main page'!$K$11,IF(controls!$B$33=1,((I275-D274*W275-B275+B274*V275)/'main page'!$K$27)-'main page'!$K$11,((H275-D274*W275-B275+B274*V275)/'main page'!$K$27)-'main page'!$K$11))</f>
        <v>4</v>
      </c>
      <c r="T274" s="71">
        <f>IF(controls!$B$6=1,$AL$3*(1+('main page'!$K$35/100))^U274-$AL$3*(1+('main page'!$K$35/100))^U273,$AL$3*(1+('main page'!$G$8/100))*(1+('main page'!$K$35/100))^U274-$AL$3*(1+('main page'!$G$8/100))*(1+('main page'!$K$35/100))^U273)</f>
        <v>0</v>
      </c>
      <c r="U274" s="73">
        <v>267</v>
      </c>
      <c r="V274" s="161">
        <v>0</v>
      </c>
      <c r="W274" s="40">
        <v>0</v>
      </c>
      <c r="X274" s="49">
        <f ca="1">IF(controls!$B$33=1,D274-($I$3-'main page'!$K$27*2)*(1+('main page'!$K$35/100))^A273,D274-$AL$4)</f>
        <v>0</v>
      </c>
      <c r="Y274" s="49">
        <f ca="1">ABS(L274-(controls!$B$9/100)*100)</f>
        <v>0</v>
      </c>
      <c r="AA274" s="49" t="e">
        <f ca="1">IF(controls!$B$33=1,(B275-B274*V275-I275+D274*W275+'main page'!$K$27*('main page'!$K$24+'main page'!$K$11))/'main page'!$K$31,(B275-B274*V275+D274*W275-H275+'main page'!$K$27*('main page'!$K$24+'main page'!$K$11))/'main page'!$K$31)</f>
        <v>#DIV/0!</v>
      </c>
      <c r="AB274" s="49" t="e">
        <f ca="1">IF(controls!$B$45=1,LOG(AF274,1.01)+LOG(AE274,1.01)-LOG(AD274,1.01),-((M274-('main page'!$K$24+'main page'!$K$11))/(1-'normal case'!$AO$3))+'normal case'!AA274)</f>
        <v>#DIV/0!</v>
      </c>
      <c r="AC274" s="176" t="e">
        <f t="shared" ca="1" si="30"/>
        <v>#DIV/0!</v>
      </c>
      <c r="AD274" s="49">
        <f t="shared" ca="1" si="31"/>
        <v>214.1147309440988</v>
      </c>
      <c r="AE274" s="49">
        <f>AE273*(1+'main page'!$K$32/100)</f>
        <v>1</v>
      </c>
      <c r="AF274" s="49" t="e">
        <f ca="1">IF(ABS(IF(controls!$B$45=1,$AL$13,AD274*AC274/AE274)-AF273)&lt;0.00001,AF273,IF(controls!$B$45=1,$AL$13,AD274*AC274/AE274))</f>
        <v>#DIV/0!</v>
      </c>
      <c r="AG274" s="49">
        <f>IF(controls!$B$46=0,0,IF(controls!$B$33=2,B275-B274*V275-('normal case'!H275-D274*W275-'main page'!$K$27*'normal case'!M274+'main page'!$K$31*'normal case'!AB274)-(('main page'!$K$25*'main page'!$U$13*'main page'!$K$29)/(1+('main page'!$K$25^2)*'main page'!$U$13))*('normal case'!L274-'main page'!$U$8),B275-B274*V275-('normal case'!I275-D274*W275-'main page'!$K$27*'normal case'!M274+'main page'!$K$31*'normal case'!AB274)-(('main page'!$K$25*'main page'!$U$13*'main page'!$K$29)/(1+('main page'!$K$25^2)*'main page'!$U$13))*('normal case'!L274-'main page'!$U$8)))</f>
        <v>0</v>
      </c>
      <c r="AN274" s="40"/>
      <c r="AO274" s="40"/>
    </row>
    <row r="275" spans="1:41">
      <c r="A275" s="48">
        <v>273</v>
      </c>
      <c r="B275" s="75">
        <f ca="1">IF(controls!$B$33=1,B274*(1+V275)+T275,B274*(1+V275))</f>
        <v>100</v>
      </c>
      <c r="C275" s="80">
        <f t="shared" ca="1" si="32"/>
        <v>0</v>
      </c>
      <c r="D275" s="77">
        <f t="shared" ca="1" si="28"/>
        <v>100</v>
      </c>
      <c r="E275" s="77">
        <f ca="1">AG274+IF(controls!$B$33=1,G275,F275)</f>
        <v>100</v>
      </c>
      <c r="F275" s="94">
        <f ca="1">IF(controls!$B$44=0,H275-'main page'!$K$27*M274,H275-'main page'!$K$27*M274+'main page'!$K$31*AB274)</f>
        <v>100</v>
      </c>
      <c r="G275" s="75">
        <f ca="1">IF(controls!$B$44=0,I275-'main page'!$K$27*M274,I275-'main page'!$K$27*M274+'main page'!$K$31*'normal case'!AB274)</f>
        <v>100</v>
      </c>
      <c r="H275" s="75">
        <f t="shared" ca="1" si="26"/>
        <v>108</v>
      </c>
      <c r="I275" s="75">
        <f t="shared" ca="1" si="27"/>
        <v>108</v>
      </c>
      <c r="L275" s="75">
        <f ca="1">IF(ABS('main page'!$K$29*L274+(1-'main page'!$K$29)*(controls!$B$9/100)*100+'main page'!$K$25*(D275-B275)-L274)&lt;0.0000001,L274,'main page'!$K$29*L274+(1-'main page'!$K$29)*(controls!$B$9/100)*100+'main page'!$K$25*(D275-B275))</f>
        <v>2</v>
      </c>
      <c r="M275" s="96">
        <f ca="1">IF(controls!$B$10=1,M274,IF(SUM(controls!$B$44:$B$46)=2,N275-'main page'!$K$29*'normal case'!L275-(1-'main page'!$K$29)*'main page'!$K$32,N275-'main page'!$K$29*'normal case'!L275-(1-'main page'!$K$29)*controls!$B$9))</f>
        <v>4</v>
      </c>
      <c r="N275" s="208">
        <f ca="1">IF(controls!$B$45=1,IF(controls!$B$46=1,'main page'!$K$24+'main page'!$K$11+'main page'!$U$8,'main page'!$K$24+'main page'!$K$11+'main page'!$K$32),IF(controls!$B$44=1,IF(O275&lt;0,0,O275),IF(O275+'main page'!$K$11&lt;0,0,O275+'main page'!$K$11)))</f>
        <v>6</v>
      </c>
      <c r="O275" s="76">
        <f ca="1">IF(controls!$B$10=1,'normal case'!M275+'normal case'!L275,'normal case'!P275)</f>
        <v>6</v>
      </c>
      <c r="P275" s="74">
        <f t="shared" ca="1" si="29"/>
        <v>6</v>
      </c>
      <c r="Q275" s="210">
        <f ca="1">IF(controls!$B$44=0,R275+'main page'!$K$29*L275+(1-'main page'!$K$29)*controls!$B$9+(('main page'!$K$25*'main page'!$U$13*'main page'!$K$29)/('main page'!$K$27*(1+('main page'!$K$25^2)*'main page'!$U$13)))*(L275-controls!$B$9),R275+'main page'!$K$29*L275+(1-'main page'!$K$29)*controls!$B$9+(('main page'!$K$25*'main page'!$U$13*'normal case'!$AO$3)/'normal case'!$AO$4)*('normal case'!L275-controls!$B$9))</f>
        <v>6</v>
      </c>
      <c r="R275" s="98">
        <f ca="1">IF(controls!$B$44=1,'main page'!$K$24+'main page'!$K$11,IF(controls!$B$33=1,((I276-D275*W276-B276+B275*V276)/'main page'!$K$27)-'main page'!$K$11,((H276-D275*W276-B276+B275*V276)/'main page'!$K$27)-'main page'!$K$11))</f>
        <v>4</v>
      </c>
      <c r="T275" s="71">
        <f>IF(controls!$B$6=1,$AL$3*(1+('main page'!$K$35/100))^U275-$AL$3*(1+('main page'!$K$35/100))^U274,$AL$3*(1+('main page'!$G$8/100))*(1+('main page'!$K$35/100))^U275-$AL$3*(1+('main page'!$G$8/100))*(1+('main page'!$K$35/100))^U274)</f>
        <v>0</v>
      </c>
      <c r="U275" s="73">
        <v>268</v>
      </c>
      <c r="V275" s="161">
        <f ca="1">IF(controls!$B$4=1,IF(controls!$H274=1,controls!$B$34*V274+RAND()*('main page'!$K$16/100)-RAND()*('main page'!$K$16/100),0),0)</f>
        <v>0</v>
      </c>
      <c r="W275" s="40">
        <f ca="1">IF(controls!$B$4=1,IF(controls!$I274=1,controls!$B$34*W274+RAND()*('main page'!$K$16/100)-RAND()*('main page'!$K$16/100),0),0)</f>
        <v>0</v>
      </c>
      <c r="X275" s="49">
        <f ca="1">IF(controls!$B$33=1,D275-($I$3-'main page'!$K$27*2)*(1+('main page'!$K$35/100))^A274,D275-$AL$4)</f>
        <v>0</v>
      </c>
      <c r="Y275" s="49">
        <f ca="1">ABS(L275-(controls!$B$9/100)*100)</f>
        <v>0</v>
      </c>
      <c r="AA275" s="49" t="e">
        <f ca="1">IF(controls!$B$33=1,(B276-B275*V276-I276+D275*W276+'main page'!$K$27*('main page'!$K$24+'main page'!$K$11))/'main page'!$K$31,(B276-B275*V276+D275*W276-H276+'main page'!$K$27*('main page'!$K$24+'main page'!$K$11))/'main page'!$K$31)</f>
        <v>#DIV/0!</v>
      </c>
      <c r="AB275" s="49" t="e">
        <f ca="1">IF(controls!$B$45=1,LOG(AF275,1.01)+LOG(AE275,1.01)-LOG(AD275,1.01),-((M275-('main page'!$K$24+'main page'!$K$11))/(1-'normal case'!$AO$3))+'normal case'!AA275)</f>
        <v>#DIV/0!</v>
      </c>
      <c r="AC275" s="176" t="e">
        <f t="shared" ca="1" si="30"/>
        <v>#DIV/0!</v>
      </c>
      <c r="AD275" s="49">
        <f t="shared" ca="1" si="31"/>
        <v>218.39702556298079</v>
      </c>
      <c r="AE275" s="49">
        <f>AE274*(1+'main page'!$K$32/100)</f>
        <v>1</v>
      </c>
      <c r="AF275" s="49" t="e">
        <f ca="1">IF(ABS(IF(controls!$B$45=1,$AL$13,AD275*AC275/AE275)-AF274)&lt;0.00001,AF274,IF(controls!$B$45=1,$AL$13,AD275*AC275/AE275))</f>
        <v>#DIV/0!</v>
      </c>
      <c r="AG275" s="49">
        <f>IF(controls!$B$46=0,0,IF(controls!$B$33=2,B276-B275*V276-('normal case'!H276-D275*W276-'main page'!$K$27*'normal case'!M275+'main page'!$K$31*'normal case'!AB275)-(('main page'!$K$25*'main page'!$U$13*'main page'!$K$29)/(1+('main page'!$K$25^2)*'main page'!$U$13))*('normal case'!L275-'main page'!$U$8),B276-B275*V276-('normal case'!I276-D275*W276-'main page'!$K$27*'normal case'!M275+'main page'!$K$31*'normal case'!AB275)-(('main page'!$K$25*'main page'!$U$13*'main page'!$K$29)/(1+('main page'!$K$25^2)*'main page'!$U$13))*('normal case'!L275-'main page'!$U$8)))</f>
        <v>0</v>
      </c>
      <c r="AN275" s="40"/>
      <c r="AO275" s="40"/>
    </row>
    <row r="276" spans="1:41">
      <c r="A276" s="48">
        <v>274</v>
      </c>
      <c r="B276" s="75">
        <f ca="1">IF(controls!$B$33=1,B275*(1+V276)+T276,B275*(1+V276))</f>
        <v>100</v>
      </c>
      <c r="C276" s="80">
        <f t="shared" ca="1" si="32"/>
        <v>0</v>
      </c>
      <c r="D276" s="77">
        <f t="shared" ca="1" si="28"/>
        <v>100</v>
      </c>
      <c r="E276" s="77">
        <f ca="1">AG275+IF(controls!$B$33=1,G276,F276)</f>
        <v>100</v>
      </c>
      <c r="F276" s="94">
        <f ca="1">IF(controls!$B$44=0,H276-'main page'!$K$27*M275,H276-'main page'!$K$27*M275+'main page'!$K$31*AB275)</f>
        <v>100</v>
      </c>
      <c r="G276" s="75">
        <f ca="1">IF(controls!$B$44=0,I276-'main page'!$K$27*M275,I276-'main page'!$K$27*M275+'main page'!$K$31*'normal case'!AB275)</f>
        <v>100</v>
      </c>
      <c r="H276" s="75">
        <f t="shared" ca="1" si="26"/>
        <v>108</v>
      </c>
      <c r="I276" s="75">
        <f t="shared" ca="1" si="27"/>
        <v>108</v>
      </c>
      <c r="L276" s="75">
        <f ca="1">IF(ABS('main page'!$K$29*L275+(1-'main page'!$K$29)*(controls!$B$9/100)*100+'main page'!$K$25*(D276-B276)-L275)&lt;0.0000001,L275,'main page'!$K$29*L275+(1-'main page'!$K$29)*(controls!$B$9/100)*100+'main page'!$K$25*(D276-B276))</f>
        <v>2</v>
      </c>
      <c r="M276" s="96">
        <f ca="1">IF(controls!$B$10=1,M275,IF(SUM(controls!$B$44:$B$46)=2,N276-'main page'!$K$29*'normal case'!L276-(1-'main page'!$K$29)*'main page'!$K$32,N276-'main page'!$K$29*'normal case'!L276-(1-'main page'!$K$29)*controls!$B$9))</f>
        <v>4</v>
      </c>
      <c r="N276" s="208">
        <f ca="1">IF(controls!$B$45=1,IF(controls!$B$46=1,'main page'!$K$24+'main page'!$K$11+'main page'!$U$8,'main page'!$K$24+'main page'!$K$11+'main page'!$K$32),IF(controls!$B$44=1,IF(O276&lt;0,0,O276),IF(O276+'main page'!$K$11&lt;0,0,O276+'main page'!$K$11)))</f>
        <v>6</v>
      </c>
      <c r="O276" s="76">
        <f ca="1">IF(controls!$B$10=1,'normal case'!M276+'normal case'!L276,'normal case'!P276)</f>
        <v>6</v>
      </c>
      <c r="P276" s="74">
        <f t="shared" ca="1" si="29"/>
        <v>6</v>
      </c>
      <c r="Q276" s="210">
        <f ca="1">IF(controls!$B$44=0,R276+'main page'!$K$29*L276+(1-'main page'!$K$29)*controls!$B$9+(('main page'!$K$25*'main page'!$U$13*'main page'!$K$29)/('main page'!$K$27*(1+('main page'!$K$25^2)*'main page'!$U$13)))*(L276-controls!$B$9),R276+'main page'!$K$29*L276+(1-'main page'!$K$29)*controls!$B$9+(('main page'!$K$25*'main page'!$U$13*'normal case'!$AO$3)/'normal case'!$AO$4)*('normal case'!L276-controls!$B$9))</f>
        <v>6</v>
      </c>
      <c r="R276" s="98">
        <f ca="1">IF(controls!$B$44=1,'main page'!$K$24+'main page'!$K$11,IF(controls!$B$33=1,((I277-D276*W277-B277+B276*V277)/'main page'!$K$27)-'main page'!$K$11,((H277-D276*W277-B277+B276*V277)/'main page'!$K$27)-'main page'!$K$11))</f>
        <v>4</v>
      </c>
      <c r="T276" s="71">
        <f>IF(controls!$B$6=1,$AL$3*(1+('main page'!$K$35/100))^U276-$AL$3*(1+('main page'!$K$35/100))^U275,$AL$3*(1+('main page'!$G$8/100))*(1+('main page'!$K$35/100))^U276-$AL$3*(1+('main page'!$G$8/100))*(1+('main page'!$K$35/100))^U275)</f>
        <v>0</v>
      </c>
      <c r="U276" s="73">
        <v>269</v>
      </c>
      <c r="V276" s="161">
        <v>0</v>
      </c>
      <c r="W276" s="40">
        <v>0</v>
      </c>
      <c r="X276" s="49">
        <f ca="1">IF(controls!$B$33=1,D276-($I$3-'main page'!$K$27*2)*(1+('main page'!$K$35/100))^A275,D276-$AL$4)</f>
        <v>0</v>
      </c>
      <c r="Y276" s="49">
        <f ca="1">ABS(L276-(controls!$B$9/100)*100)</f>
        <v>0</v>
      </c>
      <c r="AA276" s="49" t="e">
        <f ca="1">IF(controls!$B$33=1,(B277-B276*V277-I277+D276*W277+'main page'!$K$27*('main page'!$K$24+'main page'!$K$11))/'main page'!$K$31,(B277-B276*V277+D276*W277-H277+'main page'!$K$27*('main page'!$K$24+'main page'!$K$11))/'main page'!$K$31)</f>
        <v>#DIV/0!</v>
      </c>
      <c r="AB276" s="49" t="e">
        <f ca="1">IF(controls!$B$45=1,LOG(AF276,1.01)+LOG(AE276,1.01)-LOG(AD276,1.01),-((M276-('main page'!$K$24+'main page'!$K$11))/(1-'normal case'!$AO$3))+'normal case'!AA276)</f>
        <v>#DIV/0!</v>
      </c>
      <c r="AC276" s="176" t="e">
        <f t="shared" ca="1" si="30"/>
        <v>#DIV/0!</v>
      </c>
      <c r="AD276" s="49">
        <f t="shared" ca="1" si="31"/>
        <v>222.76496607424042</v>
      </c>
      <c r="AE276" s="49">
        <f>AE275*(1+'main page'!$K$32/100)</f>
        <v>1</v>
      </c>
      <c r="AF276" s="49" t="e">
        <f ca="1">IF(ABS(IF(controls!$B$45=1,$AL$13,AD276*AC276/AE276)-AF275)&lt;0.00001,AF275,IF(controls!$B$45=1,$AL$13,AD276*AC276/AE276))</f>
        <v>#DIV/0!</v>
      </c>
      <c r="AG276" s="49">
        <f>IF(controls!$B$46=0,0,IF(controls!$B$33=2,B277-B276*V277-('normal case'!H277-D276*W277-'main page'!$K$27*'normal case'!M276+'main page'!$K$31*'normal case'!AB276)-(('main page'!$K$25*'main page'!$U$13*'main page'!$K$29)/(1+('main page'!$K$25^2)*'main page'!$U$13))*('normal case'!L276-'main page'!$U$8),B277-B276*V277-('normal case'!I277-D276*W277-'main page'!$K$27*'normal case'!M276+'main page'!$K$31*'normal case'!AB276)-(('main page'!$K$25*'main page'!$U$13*'main page'!$K$29)/(1+('main page'!$K$25^2)*'main page'!$U$13))*('normal case'!L276-'main page'!$U$8)))</f>
        <v>0</v>
      </c>
      <c r="AN276" s="40"/>
      <c r="AO276" s="40"/>
    </row>
    <row r="277" spans="1:41">
      <c r="A277" s="48">
        <v>275</v>
      </c>
      <c r="B277" s="75">
        <f ca="1">IF(controls!$B$33=1,B276*(1+V277)+T277,B276*(1+V277))</f>
        <v>100</v>
      </c>
      <c r="C277" s="80">
        <f t="shared" ca="1" si="32"/>
        <v>0</v>
      </c>
      <c r="D277" s="77">
        <f t="shared" ca="1" si="28"/>
        <v>100</v>
      </c>
      <c r="E277" s="77">
        <f ca="1">AG276+IF(controls!$B$33=1,G277,F277)</f>
        <v>100</v>
      </c>
      <c r="F277" s="94">
        <f ca="1">IF(controls!$B$44=0,H277-'main page'!$K$27*M276,H277-'main page'!$K$27*M276+'main page'!$K$31*AB276)</f>
        <v>100</v>
      </c>
      <c r="G277" s="75">
        <f ca="1">IF(controls!$B$44=0,I277-'main page'!$K$27*M276,I277-'main page'!$K$27*M276+'main page'!$K$31*'normal case'!AB276)</f>
        <v>100</v>
      </c>
      <c r="H277" s="75">
        <f t="shared" ca="1" si="26"/>
        <v>108</v>
      </c>
      <c r="I277" s="75">
        <f t="shared" ca="1" si="27"/>
        <v>108</v>
      </c>
      <c r="L277" s="75">
        <f ca="1">IF(ABS('main page'!$K$29*L276+(1-'main page'!$K$29)*(controls!$B$9/100)*100+'main page'!$K$25*(D277-B277)-L276)&lt;0.0000001,L276,'main page'!$K$29*L276+(1-'main page'!$K$29)*(controls!$B$9/100)*100+'main page'!$K$25*(D277-B277))</f>
        <v>2</v>
      </c>
      <c r="M277" s="96">
        <f ca="1">IF(controls!$B$10=1,M276,IF(SUM(controls!$B$44:$B$46)=2,N277-'main page'!$K$29*'normal case'!L277-(1-'main page'!$K$29)*'main page'!$K$32,N277-'main page'!$K$29*'normal case'!L277-(1-'main page'!$K$29)*controls!$B$9))</f>
        <v>4</v>
      </c>
      <c r="N277" s="208">
        <f ca="1">IF(controls!$B$45=1,IF(controls!$B$46=1,'main page'!$K$24+'main page'!$K$11+'main page'!$U$8,'main page'!$K$24+'main page'!$K$11+'main page'!$K$32),IF(controls!$B$44=1,IF(O277&lt;0,0,O277),IF(O277+'main page'!$K$11&lt;0,0,O277+'main page'!$K$11)))</f>
        <v>6</v>
      </c>
      <c r="O277" s="76">
        <f ca="1">IF(controls!$B$10=1,'normal case'!M277+'normal case'!L277,'normal case'!P277)</f>
        <v>6</v>
      </c>
      <c r="P277" s="74">
        <f t="shared" ca="1" si="29"/>
        <v>6</v>
      </c>
      <c r="Q277" s="210">
        <f ca="1">IF(controls!$B$44=0,R277+'main page'!$K$29*L277+(1-'main page'!$K$29)*controls!$B$9+(('main page'!$K$25*'main page'!$U$13*'main page'!$K$29)/('main page'!$K$27*(1+('main page'!$K$25^2)*'main page'!$U$13)))*(L277-controls!$B$9),R277+'main page'!$K$29*L277+(1-'main page'!$K$29)*controls!$B$9+(('main page'!$K$25*'main page'!$U$13*'normal case'!$AO$3)/'normal case'!$AO$4)*('normal case'!L277-controls!$B$9))</f>
        <v>6</v>
      </c>
      <c r="R277" s="98">
        <f ca="1">IF(controls!$B$44=1,'main page'!$K$24+'main page'!$K$11,IF(controls!$B$33=1,((I278-D277*W278-B278+B277*V278)/'main page'!$K$27)-'main page'!$K$11,((H278-D277*W278-B278+B277*V278)/'main page'!$K$27)-'main page'!$K$11))</f>
        <v>4</v>
      </c>
      <c r="T277" s="71">
        <f>IF(controls!$B$6=1,$AL$3*(1+('main page'!$K$35/100))^U277-$AL$3*(1+('main page'!$K$35/100))^U276,$AL$3*(1+('main page'!$G$8/100))*(1+('main page'!$K$35/100))^U277-$AL$3*(1+('main page'!$G$8/100))*(1+('main page'!$K$35/100))^U276)</f>
        <v>0</v>
      </c>
      <c r="U277" s="73">
        <v>270</v>
      </c>
      <c r="V277" s="161">
        <v>0</v>
      </c>
      <c r="W277" s="40">
        <v>0</v>
      </c>
      <c r="X277" s="49">
        <f ca="1">IF(controls!$B$33=1,D277-($I$3-'main page'!$K$27*2)*(1+('main page'!$K$35/100))^A276,D277-$AL$4)</f>
        <v>0</v>
      </c>
      <c r="Y277" s="49">
        <f ca="1">ABS(L277-(controls!$B$9/100)*100)</f>
        <v>0</v>
      </c>
      <c r="AA277" s="49" t="e">
        <f ca="1">IF(controls!$B$33=1,(B278-B277*V278-I278+D277*W278+'main page'!$K$27*('main page'!$K$24+'main page'!$K$11))/'main page'!$K$31,(B278-B277*V278+D277*W278-H278+'main page'!$K$27*('main page'!$K$24+'main page'!$K$11))/'main page'!$K$31)</f>
        <v>#DIV/0!</v>
      </c>
      <c r="AB277" s="49" t="e">
        <f ca="1">IF(controls!$B$45=1,LOG(AF277,1.01)+LOG(AE277,1.01)-LOG(AD277,1.01),-((M277-('main page'!$K$24+'main page'!$K$11))/(1-'normal case'!$AO$3))+'normal case'!AA277)</f>
        <v>#DIV/0!</v>
      </c>
      <c r="AC277" s="176" t="e">
        <f t="shared" ca="1" si="30"/>
        <v>#DIV/0!</v>
      </c>
      <c r="AD277" s="49">
        <f t="shared" ca="1" si="31"/>
        <v>227.22026539572522</v>
      </c>
      <c r="AE277" s="49">
        <f>AE276*(1+'main page'!$K$32/100)</f>
        <v>1</v>
      </c>
      <c r="AF277" s="49" t="e">
        <f ca="1">IF(ABS(IF(controls!$B$45=1,$AL$13,AD277*AC277/AE277)-AF276)&lt;0.00001,AF276,IF(controls!$B$45=1,$AL$13,AD277*AC277/AE277))</f>
        <v>#DIV/0!</v>
      </c>
      <c r="AG277" s="49">
        <f>IF(controls!$B$46=0,0,IF(controls!$B$33=2,B278-B277*V278-('normal case'!H278-D277*W278-'main page'!$K$27*'normal case'!M277+'main page'!$K$31*'normal case'!AB277)-(('main page'!$K$25*'main page'!$U$13*'main page'!$K$29)/(1+('main page'!$K$25^2)*'main page'!$U$13))*('normal case'!L277-'main page'!$U$8),B278-B277*V278-('normal case'!I278-D277*W278-'main page'!$K$27*'normal case'!M277+'main page'!$K$31*'normal case'!AB277)-(('main page'!$K$25*'main page'!$U$13*'main page'!$K$29)/(1+('main page'!$K$25^2)*'main page'!$U$13))*('normal case'!L277-'main page'!$U$8)))</f>
        <v>0</v>
      </c>
      <c r="AN277" s="40"/>
      <c r="AO277" s="40"/>
    </row>
    <row r="278" spans="1:41">
      <c r="A278" s="48">
        <v>276</v>
      </c>
      <c r="B278" s="75">
        <f ca="1">IF(controls!$B$33=1,B277*(1+V278)+T278,B277*(1+V278))</f>
        <v>100</v>
      </c>
      <c r="C278" s="80">
        <f t="shared" ca="1" si="32"/>
        <v>0</v>
      </c>
      <c r="D278" s="77">
        <f t="shared" ca="1" si="28"/>
        <v>100</v>
      </c>
      <c r="E278" s="77">
        <f ca="1">AG277+IF(controls!$B$33=1,G278,F278)</f>
        <v>100</v>
      </c>
      <c r="F278" s="94">
        <f ca="1">IF(controls!$B$44=0,H278-'main page'!$K$27*M277,H278-'main page'!$K$27*M277+'main page'!$K$31*AB277)</f>
        <v>100</v>
      </c>
      <c r="G278" s="75">
        <f ca="1">IF(controls!$B$44=0,I278-'main page'!$K$27*M277,I278-'main page'!$K$27*M277+'main page'!$K$31*'normal case'!AB277)</f>
        <v>100</v>
      </c>
      <c r="H278" s="75">
        <f t="shared" ca="1" si="26"/>
        <v>108</v>
      </c>
      <c r="I278" s="75">
        <f t="shared" ca="1" si="27"/>
        <v>108</v>
      </c>
      <c r="L278" s="75">
        <f ca="1">IF(ABS('main page'!$K$29*L277+(1-'main page'!$K$29)*(controls!$B$9/100)*100+'main page'!$K$25*(D278-B278)-L277)&lt;0.0000001,L277,'main page'!$K$29*L277+(1-'main page'!$K$29)*(controls!$B$9/100)*100+'main page'!$K$25*(D278-B278))</f>
        <v>2</v>
      </c>
      <c r="M278" s="96">
        <f ca="1">IF(controls!$B$10=1,M277,IF(SUM(controls!$B$44:$B$46)=2,N278-'main page'!$K$29*'normal case'!L278-(1-'main page'!$K$29)*'main page'!$K$32,N278-'main page'!$K$29*'normal case'!L278-(1-'main page'!$K$29)*controls!$B$9))</f>
        <v>4</v>
      </c>
      <c r="N278" s="208">
        <f ca="1">IF(controls!$B$45=1,IF(controls!$B$46=1,'main page'!$K$24+'main page'!$K$11+'main page'!$U$8,'main page'!$K$24+'main page'!$K$11+'main page'!$K$32),IF(controls!$B$44=1,IF(O278&lt;0,0,O278),IF(O278+'main page'!$K$11&lt;0,0,O278+'main page'!$K$11)))</f>
        <v>6</v>
      </c>
      <c r="O278" s="76">
        <f ca="1">IF(controls!$B$10=1,'normal case'!M278+'normal case'!L278,'normal case'!P278)</f>
        <v>6</v>
      </c>
      <c r="P278" s="74">
        <f t="shared" ca="1" si="29"/>
        <v>6</v>
      </c>
      <c r="Q278" s="210">
        <f ca="1">IF(controls!$B$44=0,R278+'main page'!$K$29*L278+(1-'main page'!$K$29)*controls!$B$9+(('main page'!$K$25*'main page'!$U$13*'main page'!$K$29)/('main page'!$K$27*(1+('main page'!$K$25^2)*'main page'!$U$13)))*(L278-controls!$B$9),R278+'main page'!$K$29*L278+(1-'main page'!$K$29)*controls!$B$9+(('main page'!$K$25*'main page'!$U$13*'normal case'!$AO$3)/'normal case'!$AO$4)*('normal case'!L278-controls!$B$9))</f>
        <v>6</v>
      </c>
      <c r="R278" s="98">
        <f ca="1">IF(controls!$B$44=1,'main page'!$K$24+'main page'!$K$11,IF(controls!$B$33=1,((I279-D278*W279-B279+B278*V279)/'main page'!$K$27)-'main page'!$K$11,((H279-D278*W279-B279+B278*V279)/'main page'!$K$27)-'main page'!$K$11))</f>
        <v>4</v>
      </c>
      <c r="T278" s="71">
        <f>IF(controls!$B$6=1,$AL$3*(1+('main page'!$K$35/100))^U278-$AL$3*(1+('main page'!$K$35/100))^U277,$AL$3*(1+('main page'!$G$8/100))*(1+('main page'!$K$35/100))^U278-$AL$3*(1+('main page'!$G$8/100))*(1+('main page'!$K$35/100))^U277)</f>
        <v>0</v>
      </c>
      <c r="U278" s="73">
        <v>271</v>
      </c>
      <c r="V278" s="161">
        <f ca="1">IF(controls!$B$4=1,IF(controls!$H277=1,controls!$B$34*V277+RAND()*('main page'!$K$16/100)-RAND()*('main page'!$K$16/100),0),0)</f>
        <v>0</v>
      </c>
      <c r="W278" s="40">
        <f ca="1">IF(controls!$B$4=1,IF(controls!$I277=1,controls!$B$34*W277+RAND()*('main page'!$K$16/100)-RAND()*('main page'!$K$16/100),0),0)</f>
        <v>0</v>
      </c>
      <c r="X278" s="49">
        <f ca="1">IF(controls!$B$33=1,D278-($I$3-'main page'!$K$27*2)*(1+('main page'!$K$35/100))^A277,D278-$AL$4)</f>
        <v>0</v>
      </c>
      <c r="Y278" s="49">
        <f ca="1">ABS(L278-(controls!$B$9/100)*100)</f>
        <v>0</v>
      </c>
      <c r="AA278" s="49" t="e">
        <f ca="1">IF(controls!$B$33=1,(B279-B278*V279-I279+D278*W279+'main page'!$K$27*('main page'!$K$24+'main page'!$K$11))/'main page'!$K$31,(B279-B278*V279+D278*W279-H279+'main page'!$K$27*('main page'!$K$24+'main page'!$K$11))/'main page'!$K$31)</f>
        <v>#DIV/0!</v>
      </c>
      <c r="AB278" s="49" t="e">
        <f ca="1">IF(controls!$B$45=1,LOG(AF278,1.01)+LOG(AE278,1.01)-LOG(AD278,1.01),-((M278-('main page'!$K$24+'main page'!$K$11))/(1-'normal case'!$AO$3))+'normal case'!AA278)</f>
        <v>#DIV/0!</v>
      </c>
      <c r="AC278" s="176" t="e">
        <f t="shared" ca="1" si="30"/>
        <v>#DIV/0!</v>
      </c>
      <c r="AD278" s="49">
        <f t="shared" ca="1" si="31"/>
        <v>231.76467070363972</v>
      </c>
      <c r="AE278" s="49">
        <f>AE277*(1+'main page'!$K$32/100)</f>
        <v>1</v>
      </c>
      <c r="AF278" s="49" t="e">
        <f ca="1">IF(ABS(IF(controls!$B$45=1,$AL$13,AD278*AC278/AE278)-AF277)&lt;0.00001,AF277,IF(controls!$B$45=1,$AL$13,AD278*AC278/AE278))</f>
        <v>#DIV/0!</v>
      </c>
      <c r="AG278" s="49">
        <f>IF(controls!$B$46=0,0,IF(controls!$B$33=2,B279-B278*V279-('normal case'!H279-D278*W279-'main page'!$K$27*'normal case'!M278+'main page'!$K$31*'normal case'!AB278)-(('main page'!$K$25*'main page'!$U$13*'main page'!$K$29)/(1+('main page'!$K$25^2)*'main page'!$U$13))*('normal case'!L278-'main page'!$U$8),B279-B278*V279-('normal case'!I279-D278*W279-'main page'!$K$27*'normal case'!M278+'main page'!$K$31*'normal case'!AB278)-(('main page'!$K$25*'main page'!$U$13*'main page'!$K$29)/(1+('main page'!$K$25^2)*'main page'!$U$13))*('normal case'!L278-'main page'!$U$8)))</f>
        <v>0</v>
      </c>
      <c r="AN278" s="40"/>
      <c r="AO278" s="40"/>
    </row>
    <row r="279" spans="1:41">
      <c r="A279" s="48">
        <v>277</v>
      </c>
      <c r="B279" s="75">
        <f ca="1">IF(controls!$B$33=1,B278*(1+V279)+T279,B278*(1+V279))</f>
        <v>100</v>
      </c>
      <c r="C279" s="80">
        <f t="shared" ca="1" si="32"/>
        <v>0</v>
      </c>
      <c r="D279" s="77">
        <f t="shared" ca="1" si="28"/>
        <v>100</v>
      </c>
      <c r="E279" s="77">
        <f ca="1">AG278+IF(controls!$B$33=1,G279,F279)</f>
        <v>100</v>
      </c>
      <c r="F279" s="94">
        <f ca="1">IF(controls!$B$44=0,H279-'main page'!$K$27*M278,H279-'main page'!$K$27*M278+'main page'!$K$31*AB278)</f>
        <v>100</v>
      </c>
      <c r="G279" s="75">
        <f ca="1">IF(controls!$B$44=0,I279-'main page'!$K$27*M278,I279-'main page'!$K$27*M278+'main page'!$K$31*'normal case'!AB278)</f>
        <v>100</v>
      </c>
      <c r="H279" s="75">
        <f t="shared" ca="1" si="26"/>
        <v>108</v>
      </c>
      <c r="I279" s="75">
        <f t="shared" ca="1" si="27"/>
        <v>108</v>
      </c>
      <c r="L279" s="75">
        <f ca="1">IF(ABS('main page'!$K$29*L278+(1-'main page'!$K$29)*(controls!$B$9/100)*100+'main page'!$K$25*(D279-B279)-L278)&lt;0.0000001,L278,'main page'!$K$29*L278+(1-'main page'!$K$29)*(controls!$B$9/100)*100+'main page'!$K$25*(D279-B279))</f>
        <v>2</v>
      </c>
      <c r="M279" s="96">
        <f ca="1">IF(controls!$B$10=1,M278,IF(SUM(controls!$B$44:$B$46)=2,N279-'main page'!$K$29*'normal case'!L279-(1-'main page'!$K$29)*'main page'!$K$32,N279-'main page'!$K$29*'normal case'!L279-(1-'main page'!$K$29)*controls!$B$9))</f>
        <v>4</v>
      </c>
      <c r="N279" s="208">
        <f ca="1">IF(controls!$B$45=1,IF(controls!$B$46=1,'main page'!$K$24+'main page'!$K$11+'main page'!$U$8,'main page'!$K$24+'main page'!$K$11+'main page'!$K$32),IF(controls!$B$44=1,IF(O279&lt;0,0,O279),IF(O279+'main page'!$K$11&lt;0,0,O279+'main page'!$K$11)))</f>
        <v>6</v>
      </c>
      <c r="O279" s="76">
        <f ca="1">IF(controls!$B$10=1,'normal case'!M279+'normal case'!L279,'normal case'!P279)</f>
        <v>6</v>
      </c>
      <c r="P279" s="74">
        <f t="shared" ca="1" si="29"/>
        <v>6</v>
      </c>
      <c r="Q279" s="210">
        <f ca="1">IF(controls!$B$44=0,R279+'main page'!$K$29*L279+(1-'main page'!$K$29)*controls!$B$9+(('main page'!$K$25*'main page'!$U$13*'main page'!$K$29)/('main page'!$K$27*(1+('main page'!$K$25^2)*'main page'!$U$13)))*(L279-controls!$B$9),R279+'main page'!$K$29*L279+(1-'main page'!$K$29)*controls!$B$9+(('main page'!$K$25*'main page'!$U$13*'normal case'!$AO$3)/'normal case'!$AO$4)*('normal case'!L279-controls!$B$9))</f>
        <v>6</v>
      </c>
      <c r="R279" s="98">
        <f ca="1">IF(controls!$B$44=1,'main page'!$K$24+'main page'!$K$11,IF(controls!$B$33=1,((I280-D279*W280-B280+B279*V280)/'main page'!$K$27)-'main page'!$K$11,((H280-D279*W280-B280+B279*V280)/'main page'!$K$27)-'main page'!$K$11))</f>
        <v>4</v>
      </c>
      <c r="T279" s="71">
        <f>IF(controls!$B$6=1,$AL$3*(1+('main page'!$K$35/100))^U279-$AL$3*(1+('main page'!$K$35/100))^U278,$AL$3*(1+('main page'!$G$8/100))*(1+('main page'!$K$35/100))^U279-$AL$3*(1+('main page'!$G$8/100))*(1+('main page'!$K$35/100))^U278)</f>
        <v>0</v>
      </c>
      <c r="U279" s="73">
        <v>272</v>
      </c>
      <c r="V279" s="161">
        <v>0</v>
      </c>
      <c r="W279" s="40">
        <v>0</v>
      </c>
      <c r="X279" s="49">
        <f ca="1">IF(controls!$B$33=1,D279-($I$3-'main page'!$K$27*2)*(1+('main page'!$K$35/100))^A278,D279-$AL$4)</f>
        <v>0</v>
      </c>
      <c r="Y279" s="49">
        <f ca="1">ABS(L279-(controls!$B$9/100)*100)</f>
        <v>0</v>
      </c>
      <c r="AA279" s="49" t="e">
        <f ca="1">IF(controls!$B$33=1,(B280-B279*V280-I280+D279*W280+'main page'!$K$27*('main page'!$K$24+'main page'!$K$11))/'main page'!$K$31,(B280-B279*V280+D279*W280-H280+'main page'!$K$27*('main page'!$K$24+'main page'!$K$11))/'main page'!$K$31)</f>
        <v>#DIV/0!</v>
      </c>
      <c r="AB279" s="49" t="e">
        <f ca="1">IF(controls!$B$45=1,LOG(AF279,1.01)+LOG(AE279,1.01)-LOG(AD279,1.01),-((M279-('main page'!$K$24+'main page'!$K$11))/(1-'normal case'!$AO$3))+'normal case'!AA279)</f>
        <v>#DIV/0!</v>
      </c>
      <c r="AC279" s="176" t="e">
        <f t="shared" ca="1" si="30"/>
        <v>#DIV/0!</v>
      </c>
      <c r="AD279" s="49">
        <f t="shared" ca="1" si="31"/>
        <v>236.39996411771253</v>
      </c>
      <c r="AE279" s="49">
        <f>AE278*(1+'main page'!$K$32/100)</f>
        <v>1</v>
      </c>
      <c r="AF279" s="49" t="e">
        <f ca="1">IF(ABS(IF(controls!$B$45=1,$AL$13,AD279*AC279/AE279)-AF278)&lt;0.00001,AF278,IF(controls!$B$45=1,$AL$13,AD279*AC279/AE279))</f>
        <v>#DIV/0!</v>
      </c>
      <c r="AG279" s="49">
        <f>IF(controls!$B$46=0,0,IF(controls!$B$33=2,B280-B279*V280-('normal case'!H280-D279*W280-'main page'!$K$27*'normal case'!M279+'main page'!$K$31*'normal case'!AB279)-(('main page'!$K$25*'main page'!$U$13*'main page'!$K$29)/(1+('main page'!$K$25^2)*'main page'!$U$13))*('normal case'!L279-'main page'!$U$8),B280-B279*V280-('normal case'!I280-D279*W280-'main page'!$K$27*'normal case'!M279+'main page'!$K$31*'normal case'!AB279)-(('main page'!$K$25*'main page'!$U$13*'main page'!$K$29)/(1+('main page'!$K$25^2)*'main page'!$U$13))*('normal case'!L279-'main page'!$U$8)))</f>
        <v>0</v>
      </c>
      <c r="AN279" s="40"/>
      <c r="AO279" s="40"/>
    </row>
    <row r="280" spans="1:41">
      <c r="A280" s="48">
        <v>278</v>
      </c>
      <c r="B280" s="75">
        <f ca="1">IF(controls!$B$33=1,B279*(1+V280)+T280,B279*(1+V280))</f>
        <v>100</v>
      </c>
      <c r="C280" s="80">
        <f t="shared" ca="1" si="32"/>
        <v>0</v>
      </c>
      <c r="D280" s="77">
        <f t="shared" ca="1" si="28"/>
        <v>100</v>
      </c>
      <c r="E280" s="77">
        <f ca="1">AG279+IF(controls!$B$33=1,G280,F280)</f>
        <v>100</v>
      </c>
      <c r="F280" s="94">
        <f ca="1">IF(controls!$B$44=0,H280-'main page'!$K$27*M279,H280-'main page'!$K$27*M279+'main page'!$K$31*AB279)</f>
        <v>100</v>
      </c>
      <c r="G280" s="75">
        <f ca="1">IF(controls!$B$44=0,I280-'main page'!$K$27*M279,I280-'main page'!$K$27*M279+'main page'!$K$31*'normal case'!AB279)</f>
        <v>100</v>
      </c>
      <c r="H280" s="75">
        <f t="shared" ref="H280:H343" ca="1" si="33">H279+D279*W280</f>
        <v>108</v>
      </c>
      <c r="I280" s="75">
        <f t="shared" ref="I280:I343" ca="1" si="34">I279+D279*W280+T280</f>
        <v>108</v>
      </c>
      <c r="L280" s="75">
        <f ca="1">IF(ABS('main page'!$K$29*L279+(1-'main page'!$K$29)*(controls!$B$9/100)*100+'main page'!$K$25*(D280-B280)-L279)&lt;0.0000001,L279,'main page'!$K$29*L279+(1-'main page'!$K$29)*(controls!$B$9/100)*100+'main page'!$K$25*(D280-B280))</f>
        <v>2</v>
      </c>
      <c r="M280" s="96">
        <f ca="1">IF(controls!$B$10=1,M279,IF(SUM(controls!$B$44:$B$46)=2,N280-'main page'!$K$29*'normal case'!L280-(1-'main page'!$K$29)*'main page'!$K$32,N280-'main page'!$K$29*'normal case'!L280-(1-'main page'!$K$29)*controls!$B$9))</f>
        <v>4</v>
      </c>
      <c r="N280" s="208">
        <f ca="1">IF(controls!$B$45=1,IF(controls!$B$46=1,'main page'!$K$24+'main page'!$K$11+'main page'!$U$8,'main page'!$K$24+'main page'!$K$11+'main page'!$K$32),IF(controls!$B$44=1,IF(O280&lt;0,0,O280),IF(O280+'main page'!$K$11&lt;0,0,O280+'main page'!$K$11)))</f>
        <v>6</v>
      </c>
      <c r="O280" s="76">
        <f ca="1">IF(controls!$B$10=1,'normal case'!M280+'normal case'!L280,'normal case'!P280)</f>
        <v>6</v>
      </c>
      <c r="P280" s="74">
        <f t="shared" ca="1" si="29"/>
        <v>6</v>
      </c>
      <c r="Q280" s="210">
        <f ca="1">IF(controls!$B$44=0,R280+'main page'!$K$29*L280+(1-'main page'!$K$29)*controls!$B$9+(('main page'!$K$25*'main page'!$U$13*'main page'!$K$29)/('main page'!$K$27*(1+('main page'!$K$25^2)*'main page'!$U$13)))*(L280-controls!$B$9),R280+'main page'!$K$29*L280+(1-'main page'!$K$29)*controls!$B$9+(('main page'!$K$25*'main page'!$U$13*'normal case'!$AO$3)/'normal case'!$AO$4)*('normal case'!L280-controls!$B$9))</f>
        <v>6</v>
      </c>
      <c r="R280" s="98">
        <f ca="1">IF(controls!$B$44=1,'main page'!$K$24+'main page'!$K$11,IF(controls!$B$33=1,((I281-D280*W281-B281+B280*V281)/'main page'!$K$27)-'main page'!$K$11,((H281-D280*W281-B281+B280*V281)/'main page'!$K$27)-'main page'!$K$11))</f>
        <v>4</v>
      </c>
      <c r="T280" s="71">
        <f>IF(controls!$B$6=1,$AL$3*(1+('main page'!$K$35/100))^U280-$AL$3*(1+('main page'!$K$35/100))^U279,$AL$3*(1+('main page'!$G$8/100))*(1+('main page'!$K$35/100))^U280-$AL$3*(1+('main page'!$G$8/100))*(1+('main page'!$K$35/100))^U279)</f>
        <v>0</v>
      </c>
      <c r="U280" s="73">
        <v>273</v>
      </c>
      <c r="V280" s="161">
        <v>0</v>
      </c>
      <c r="W280" s="40">
        <v>0</v>
      </c>
      <c r="X280" s="49">
        <f ca="1">IF(controls!$B$33=1,D280-($I$3-'main page'!$K$27*2)*(1+('main page'!$K$35/100))^A279,D280-$AL$4)</f>
        <v>0</v>
      </c>
      <c r="Y280" s="49">
        <f ca="1">ABS(L280-(controls!$B$9/100)*100)</f>
        <v>0</v>
      </c>
      <c r="AA280" s="49" t="e">
        <f ca="1">IF(controls!$B$33=1,(B281-B280*V281-I281+D280*W281+'main page'!$K$27*('main page'!$K$24+'main page'!$K$11))/'main page'!$K$31,(B281-B280*V281+D280*W281-H281+'main page'!$K$27*('main page'!$K$24+'main page'!$K$11))/'main page'!$K$31)</f>
        <v>#DIV/0!</v>
      </c>
      <c r="AB280" s="49" t="e">
        <f ca="1">IF(controls!$B$45=1,LOG(AF280,1.01)+LOG(AE280,1.01)-LOG(AD280,1.01),-((M280-('main page'!$K$24+'main page'!$K$11))/(1-'normal case'!$AO$3))+'normal case'!AA280)</f>
        <v>#DIV/0!</v>
      </c>
      <c r="AC280" s="176" t="e">
        <f t="shared" ca="1" si="30"/>
        <v>#DIV/0!</v>
      </c>
      <c r="AD280" s="49">
        <f t="shared" ca="1" si="31"/>
        <v>241.12796340006679</v>
      </c>
      <c r="AE280" s="49">
        <f>AE279*(1+'main page'!$K$32/100)</f>
        <v>1</v>
      </c>
      <c r="AF280" s="49" t="e">
        <f ca="1">IF(ABS(IF(controls!$B$45=1,$AL$13,AD280*AC280/AE280)-AF279)&lt;0.00001,AF279,IF(controls!$B$45=1,$AL$13,AD280*AC280/AE280))</f>
        <v>#DIV/0!</v>
      </c>
      <c r="AG280" s="49">
        <f>IF(controls!$B$46=0,0,IF(controls!$B$33=2,B281-B280*V281-('normal case'!H281-D280*W281-'main page'!$K$27*'normal case'!M280+'main page'!$K$31*'normal case'!AB280)-(('main page'!$K$25*'main page'!$U$13*'main page'!$K$29)/(1+('main page'!$K$25^2)*'main page'!$U$13))*('normal case'!L280-'main page'!$U$8),B281-B280*V281-('normal case'!I281-D280*W281-'main page'!$K$27*'normal case'!M280+'main page'!$K$31*'normal case'!AB280)-(('main page'!$K$25*'main page'!$U$13*'main page'!$K$29)/(1+('main page'!$K$25^2)*'main page'!$U$13))*('normal case'!L280-'main page'!$U$8)))</f>
        <v>0</v>
      </c>
      <c r="AN280" s="40"/>
      <c r="AO280" s="40"/>
    </row>
    <row r="281" spans="1:41">
      <c r="A281" s="48">
        <v>279</v>
      </c>
      <c r="B281" s="75">
        <f ca="1">IF(controls!$B$33=1,B280*(1+V281)+T281,B280*(1+V281))</f>
        <v>100</v>
      </c>
      <c r="C281" s="80">
        <f t="shared" ca="1" si="32"/>
        <v>0</v>
      </c>
      <c r="D281" s="77">
        <f t="shared" ca="1" si="28"/>
        <v>100</v>
      </c>
      <c r="E281" s="77">
        <f ca="1">AG280+IF(controls!$B$33=1,G281,F281)</f>
        <v>100</v>
      </c>
      <c r="F281" s="94">
        <f ca="1">IF(controls!$B$44=0,H281-'main page'!$K$27*M280,H281-'main page'!$K$27*M280+'main page'!$K$31*AB280)</f>
        <v>100</v>
      </c>
      <c r="G281" s="75">
        <f ca="1">IF(controls!$B$44=0,I281-'main page'!$K$27*M280,I281-'main page'!$K$27*M280+'main page'!$K$31*'normal case'!AB280)</f>
        <v>100</v>
      </c>
      <c r="H281" s="75">
        <f t="shared" ca="1" si="33"/>
        <v>108</v>
      </c>
      <c r="I281" s="75">
        <f t="shared" ca="1" si="34"/>
        <v>108</v>
      </c>
      <c r="L281" s="75">
        <f ca="1">IF(ABS('main page'!$K$29*L280+(1-'main page'!$K$29)*(controls!$B$9/100)*100+'main page'!$K$25*(D281-B281)-L280)&lt;0.0000001,L280,'main page'!$K$29*L280+(1-'main page'!$K$29)*(controls!$B$9/100)*100+'main page'!$K$25*(D281-B281))</f>
        <v>2</v>
      </c>
      <c r="M281" s="96">
        <f ca="1">IF(controls!$B$10=1,M280,IF(SUM(controls!$B$44:$B$46)=2,N281-'main page'!$K$29*'normal case'!L281-(1-'main page'!$K$29)*'main page'!$K$32,N281-'main page'!$K$29*'normal case'!L281-(1-'main page'!$K$29)*controls!$B$9))</f>
        <v>4</v>
      </c>
      <c r="N281" s="208">
        <f ca="1">IF(controls!$B$45=1,IF(controls!$B$46=1,'main page'!$K$24+'main page'!$K$11+'main page'!$U$8,'main page'!$K$24+'main page'!$K$11+'main page'!$K$32),IF(controls!$B$44=1,IF(O281&lt;0,0,O281),IF(O281+'main page'!$K$11&lt;0,0,O281+'main page'!$K$11)))</f>
        <v>6</v>
      </c>
      <c r="O281" s="76">
        <f ca="1">IF(controls!$B$10=1,'normal case'!M281+'normal case'!L281,'normal case'!P281)</f>
        <v>6</v>
      </c>
      <c r="P281" s="74">
        <f t="shared" ca="1" si="29"/>
        <v>6</v>
      </c>
      <c r="Q281" s="210">
        <f ca="1">IF(controls!$B$44=0,R281+'main page'!$K$29*L281+(1-'main page'!$K$29)*controls!$B$9+(('main page'!$K$25*'main page'!$U$13*'main page'!$K$29)/('main page'!$K$27*(1+('main page'!$K$25^2)*'main page'!$U$13)))*(L281-controls!$B$9),R281+'main page'!$K$29*L281+(1-'main page'!$K$29)*controls!$B$9+(('main page'!$K$25*'main page'!$U$13*'normal case'!$AO$3)/'normal case'!$AO$4)*('normal case'!L281-controls!$B$9))</f>
        <v>6</v>
      </c>
      <c r="R281" s="98">
        <f ca="1">IF(controls!$B$44=1,'main page'!$K$24+'main page'!$K$11,IF(controls!$B$33=1,((I282-D281*W282-B282+B281*V282)/'main page'!$K$27)-'main page'!$K$11,((H282-D281*W282-B282+B281*V282)/'main page'!$K$27)-'main page'!$K$11))</f>
        <v>4</v>
      </c>
      <c r="T281" s="71">
        <f>IF(controls!$B$6=1,$AL$3*(1+('main page'!$K$35/100))^U281-$AL$3*(1+('main page'!$K$35/100))^U280,$AL$3*(1+('main page'!$G$8/100))*(1+('main page'!$K$35/100))^U281-$AL$3*(1+('main page'!$G$8/100))*(1+('main page'!$K$35/100))^U280)</f>
        <v>0</v>
      </c>
      <c r="U281" s="73">
        <v>274</v>
      </c>
      <c r="V281" s="161">
        <f ca="1">IF(controls!$B$4=1,IF(controls!$H280=1,controls!$B$34*V280+RAND()*('main page'!$K$16/100)-RAND()*('main page'!$K$16/100),0),0)</f>
        <v>0</v>
      </c>
      <c r="W281" s="40">
        <f ca="1">IF(controls!$B$4=1,IF(controls!$I280=1,controls!$B$34*W280+RAND()*('main page'!$K$16/100)-RAND()*('main page'!$K$16/100),0),0)</f>
        <v>0</v>
      </c>
      <c r="X281" s="49">
        <f ca="1">IF(controls!$B$33=1,D281-($I$3-'main page'!$K$27*2)*(1+('main page'!$K$35/100))^A280,D281-$AL$4)</f>
        <v>0</v>
      </c>
      <c r="Y281" s="49">
        <f ca="1">ABS(L281-(controls!$B$9/100)*100)</f>
        <v>0</v>
      </c>
      <c r="AA281" s="49" t="e">
        <f ca="1">IF(controls!$B$33=1,(B282-B281*V282-I282+D281*W282+'main page'!$K$27*('main page'!$K$24+'main page'!$K$11))/'main page'!$K$31,(B282-B281*V282+D281*W282-H282+'main page'!$K$27*('main page'!$K$24+'main page'!$K$11))/'main page'!$K$31)</f>
        <v>#DIV/0!</v>
      </c>
      <c r="AB281" s="49" t="e">
        <f ca="1">IF(controls!$B$45=1,LOG(AF281,1.01)+LOG(AE281,1.01)-LOG(AD281,1.01),-((M281-('main page'!$K$24+'main page'!$K$11))/(1-'normal case'!$AO$3))+'normal case'!AA281)</f>
        <v>#DIV/0!</v>
      </c>
      <c r="AC281" s="176" t="e">
        <f t="shared" ca="1" si="30"/>
        <v>#DIV/0!</v>
      </c>
      <c r="AD281" s="49">
        <f t="shared" ca="1" si="31"/>
        <v>245.95052266806812</v>
      </c>
      <c r="AE281" s="49">
        <f>AE280*(1+'main page'!$K$32/100)</f>
        <v>1</v>
      </c>
      <c r="AF281" s="49" t="e">
        <f ca="1">IF(ABS(IF(controls!$B$45=1,$AL$13,AD281*AC281/AE281)-AF280)&lt;0.00001,AF280,IF(controls!$B$45=1,$AL$13,AD281*AC281/AE281))</f>
        <v>#DIV/0!</v>
      </c>
      <c r="AG281" s="49">
        <f>IF(controls!$B$46=0,0,IF(controls!$B$33=2,B282-B281*V282-('normal case'!H282-D281*W282-'main page'!$K$27*'normal case'!M281+'main page'!$K$31*'normal case'!AB281)-(('main page'!$K$25*'main page'!$U$13*'main page'!$K$29)/(1+('main page'!$K$25^2)*'main page'!$U$13))*('normal case'!L281-'main page'!$U$8),B282-B281*V282-('normal case'!I282-D281*W282-'main page'!$K$27*'normal case'!M281+'main page'!$K$31*'normal case'!AB281)-(('main page'!$K$25*'main page'!$U$13*'main page'!$K$29)/(1+('main page'!$K$25^2)*'main page'!$U$13))*('normal case'!L281-'main page'!$U$8)))</f>
        <v>0</v>
      </c>
      <c r="AN281" s="40"/>
      <c r="AO281" s="40"/>
    </row>
    <row r="282" spans="1:41">
      <c r="A282" s="48">
        <v>280</v>
      </c>
      <c r="B282" s="75">
        <f ca="1">IF(controls!$B$33=1,B281*(1+V282)+T282,B281*(1+V282))</f>
        <v>100</v>
      </c>
      <c r="C282" s="80">
        <f t="shared" ca="1" si="32"/>
        <v>0</v>
      </c>
      <c r="D282" s="77">
        <f t="shared" ca="1" si="28"/>
        <v>100</v>
      </c>
      <c r="E282" s="77">
        <f ca="1">AG281+IF(controls!$B$33=1,G282,F282)</f>
        <v>100</v>
      </c>
      <c r="F282" s="94">
        <f ca="1">IF(controls!$B$44=0,H282-'main page'!$K$27*M281,H282-'main page'!$K$27*M281+'main page'!$K$31*AB281)</f>
        <v>100</v>
      </c>
      <c r="G282" s="75">
        <f ca="1">IF(controls!$B$44=0,I282-'main page'!$K$27*M281,I282-'main page'!$K$27*M281+'main page'!$K$31*'normal case'!AB281)</f>
        <v>100</v>
      </c>
      <c r="H282" s="75">
        <f t="shared" ca="1" si="33"/>
        <v>108</v>
      </c>
      <c r="I282" s="75">
        <f t="shared" ca="1" si="34"/>
        <v>108</v>
      </c>
      <c r="L282" s="75">
        <f ca="1">IF(ABS('main page'!$K$29*L281+(1-'main page'!$K$29)*(controls!$B$9/100)*100+'main page'!$K$25*(D282-B282)-L281)&lt;0.0000001,L281,'main page'!$K$29*L281+(1-'main page'!$K$29)*(controls!$B$9/100)*100+'main page'!$K$25*(D282-B282))</f>
        <v>2</v>
      </c>
      <c r="M282" s="96">
        <f ca="1">IF(controls!$B$10=1,M281,IF(SUM(controls!$B$44:$B$46)=2,N282-'main page'!$K$29*'normal case'!L282-(1-'main page'!$K$29)*'main page'!$K$32,N282-'main page'!$K$29*'normal case'!L282-(1-'main page'!$K$29)*controls!$B$9))</f>
        <v>4</v>
      </c>
      <c r="N282" s="208">
        <f ca="1">IF(controls!$B$45=1,IF(controls!$B$46=1,'main page'!$K$24+'main page'!$K$11+'main page'!$U$8,'main page'!$K$24+'main page'!$K$11+'main page'!$K$32),IF(controls!$B$44=1,IF(O282&lt;0,0,O282),IF(O282+'main page'!$K$11&lt;0,0,O282+'main page'!$K$11)))</f>
        <v>6</v>
      </c>
      <c r="O282" s="76">
        <f ca="1">IF(controls!$B$10=1,'normal case'!M282+'normal case'!L282,'normal case'!P282)</f>
        <v>6</v>
      </c>
      <c r="P282" s="74">
        <f t="shared" ca="1" si="29"/>
        <v>6</v>
      </c>
      <c r="Q282" s="210">
        <f ca="1">IF(controls!$B$44=0,R282+'main page'!$K$29*L282+(1-'main page'!$K$29)*controls!$B$9+(('main page'!$K$25*'main page'!$U$13*'main page'!$K$29)/('main page'!$K$27*(1+('main page'!$K$25^2)*'main page'!$U$13)))*(L282-controls!$B$9),R282+'main page'!$K$29*L282+(1-'main page'!$K$29)*controls!$B$9+(('main page'!$K$25*'main page'!$U$13*'normal case'!$AO$3)/'normal case'!$AO$4)*('normal case'!L282-controls!$B$9))</f>
        <v>6</v>
      </c>
      <c r="R282" s="98">
        <f ca="1">IF(controls!$B$44=1,'main page'!$K$24+'main page'!$K$11,IF(controls!$B$33=1,((I283-D282*W283-B283+B282*V283)/'main page'!$K$27)-'main page'!$K$11,((H283-D282*W283-B283+B282*V283)/'main page'!$K$27)-'main page'!$K$11))</f>
        <v>4</v>
      </c>
      <c r="T282" s="71">
        <f>IF(controls!$B$6=1,$AL$3*(1+('main page'!$K$35/100))^U282-$AL$3*(1+('main page'!$K$35/100))^U281,$AL$3*(1+('main page'!$G$8/100))*(1+('main page'!$K$35/100))^U282-$AL$3*(1+('main page'!$G$8/100))*(1+('main page'!$K$35/100))^U281)</f>
        <v>0</v>
      </c>
      <c r="U282" s="73">
        <v>275</v>
      </c>
      <c r="V282" s="161">
        <v>0</v>
      </c>
      <c r="W282" s="40">
        <v>0</v>
      </c>
      <c r="X282" s="49">
        <f ca="1">IF(controls!$B$33=1,D282-($I$3-'main page'!$K$27*2)*(1+('main page'!$K$35/100))^A281,D282-$AL$4)</f>
        <v>0</v>
      </c>
      <c r="Y282" s="49">
        <f ca="1">ABS(L282-(controls!$B$9/100)*100)</f>
        <v>0</v>
      </c>
      <c r="AA282" s="49" t="e">
        <f ca="1">IF(controls!$B$33=1,(B283-B282*V283-I283+D282*W283+'main page'!$K$27*('main page'!$K$24+'main page'!$K$11))/'main page'!$K$31,(B283-B282*V283+D282*W283-H283+'main page'!$K$27*('main page'!$K$24+'main page'!$K$11))/'main page'!$K$31)</f>
        <v>#DIV/0!</v>
      </c>
      <c r="AB282" s="49" t="e">
        <f ca="1">IF(controls!$B$45=1,LOG(AF282,1.01)+LOG(AE282,1.01)-LOG(AD282,1.01),-((M282-('main page'!$K$24+'main page'!$K$11))/(1-'normal case'!$AO$3))+'normal case'!AA282)</f>
        <v>#DIV/0!</v>
      </c>
      <c r="AC282" s="176" t="e">
        <f t="shared" ca="1" si="30"/>
        <v>#DIV/0!</v>
      </c>
      <c r="AD282" s="49">
        <f t="shared" ca="1" si="31"/>
        <v>250.8695331214295</v>
      </c>
      <c r="AE282" s="49">
        <f>AE281*(1+'main page'!$K$32/100)</f>
        <v>1</v>
      </c>
      <c r="AF282" s="49" t="e">
        <f ca="1">IF(ABS(IF(controls!$B$45=1,$AL$13,AD282*AC282/AE282)-AF281)&lt;0.00001,AF281,IF(controls!$B$45=1,$AL$13,AD282*AC282/AE282))</f>
        <v>#DIV/0!</v>
      </c>
      <c r="AG282" s="49">
        <f>IF(controls!$B$46=0,0,IF(controls!$B$33=2,B283-B282*V283-('normal case'!H283-D282*W283-'main page'!$K$27*'normal case'!M282+'main page'!$K$31*'normal case'!AB282)-(('main page'!$K$25*'main page'!$U$13*'main page'!$K$29)/(1+('main page'!$K$25^2)*'main page'!$U$13))*('normal case'!L282-'main page'!$U$8),B283-B282*V283-('normal case'!I283-D282*W283-'main page'!$K$27*'normal case'!M282+'main page'!$K$31*'normal case'!AB282)-(('main page'!$K$25*'main page'!$U$13*'main page'!$K$29)/(1+('main page'!$K$25^2)*'main page'!$U$13))*('normal case'!L282-'main page'!$U$8)))</f>
        <v>0</v>
      </c>
      <c r="AN282" s="40"/>
      <c r="AO282" s="40"/>
    </row>
    <row r="283" spans="1:41">
      <c r="A283" s="48">
        <v>281</v>
      </c>
      <c r="B283" s="75">
        <f ca="1">IF(controls!$B$33=1,B282*(1+V283)+T283,B282*(1+V283))</f>
        <v>100</v>
      </c>
      <c r="C283" s="80">
        <f t="shared" ca="1" si="32"/>
        <v>0</v>
      </c>
      <c r="D283" s="77">
        <f t="shared" ca="1" si="28"/>
        <v>100</v>
      </c>
      <c r="E283" s="77">
        <f ca="1">AG282+IF(controls!$B$33=1,G283,F283)</f>
        <v>100</v>
      </c>
      <c r="F283" s="94">
        <f ca="1">IF(controls!$B$44=0,H283-'main page'!$K$27*M282,H283-'main page'!$K$27*M282+'main page'!$K$31*AB282)</f>
        <v>100</v>
      </c>
      <c r="G283" s="75">
        <f ca="1">IF(controls!$B$44=0,I283-'main page'!$K$27*M282,I283-'main page'!$K$27*M282+'main page'!$K$31*'normal case'!AB282)</f>
        <v>100</v>
      </c>
      <c r="H283" s="75">
        <f t="shared" ca="1" si="33"/>
        <v>108</v>
      </c>
      <c r="I283" s="75">
        <f t="shared" ca="1" si="34"/>
        <v>108</v>
      </c>
      <c r="L283" s="75">
        <f ca="1">IF(ABS('main page'!$K$29*L282+(1-'main page'!$K$29)*(controls!$B$9/100)*100+'main page'!$K$25*(D283-B283)-L282)&lt;0.0000001,L282,'main page'!$K$29*L282+(1-'main page'!$K$29)*(controls!$B$9/100)*100+'main page'!$K$25*(D283-B283))</f>
        <v>2</v>
      </c>
      <c r="M283" s="96">
        <f ca="1">IF(controls!$B$10=1,M282,IF(SUM(controls!$B$44:$B$46)=2,N283-'main page'!$K$29*'normal case'!L283-(1-'main page'!$K$29)*'main page'!$K$32,N283-'main page'!$K$29*'normal case'!L283-(1-'main page'!$K$29)*controls!$B$9))</f>
        <v>4</v>
      </c>
      <c r="N283" s="208">
        <f ca="1">IF(controls!$B$45=1,IF(controls!$B$46=1,'main page'!$K$24+'main page'!$K$11+'main page'!$U$8,'main page'!$K$24+'main page'!$K$11+'main page'!$K$32),IF(controls!$B$44=1,IF(O283&lt;0,0,O283),IF(O283+'main page'!$K$11&lt;0,0,O283+'main page'!$K$11)))</f>
        <v>6</v>
      </c>
      <c r="O283" s="76">
        <f ca="1">IF(controls!$B$10=1,'normal case'!M283+'normal case'!L283,'normal case'!P283)</f>
        <v>6</v>
      </c>
      <c r="P283" s="74">
        <f t="shared" ca="1" si="29"/>
        <v>6</v>
      </c>
      <c r="Q283" s="210">
        <f ca="1">IF(controls!$B$44=0,R283+'main page'!$K$29*L283+(1-'main page'!$K$29)*controls!$B$9+(('main page'!$K$25*'main page'!$U$13*'main page'!$K$29)/('main page'!$K$27*(1+('main page'!$K$25^2)*'main page'!$U$13)))*(L283-controls!$B$9),R283+'main page'!$K$29*L283+(1-'main page'!$K$29)*controls!$B$9+(('main page'!$K$25*'main page'!$U$13*'normal case'!$AO$3)/'normal case'!$AO$4)*('normal case'!L283-controls!$B$9))</f>
        <v>6</v>
      </c>
      <c r="R283" s="98">
        <f ca="1">IF(controls!$B$44=1,'main page'!$K$24+'main page'!$K$11,IF(controls!$B$33=1,((I284-D283*W284-B284+B283*V284)/'main page'!$K$27)-'main page'!$K$11,((H284-D283*W284-B284+B283*V284)/'main page'!$K$27)-'main page'!$K$11))</f>
        <v>4</v>
      </c>
      <c r="T283" s="71">
        <f>IF(controls!$B$6=1,$AL$3*(1+('main page'!$K$35/100))^U283-$AL$3*(1+('main page'!$K$35/100))^U282,$AL$3*(1+('main page'!$G$8/100))*(1+('main page'!$K$35/100))^U283-$AL$3*(1+('main page'!$G$8/100))*(1+('main page'!$K$35/100))^U282)</f>
        <v>0</v>
      </c>
      <c r="U283" s="73">
        <v>276</v>
      </c>
      <c r="V283" s="161">
        <v>0</v>
      </c>
      <c r="W283" s="40">
        <v>0</v>
      </c>
      <c r="X283" s="49">
        <f ca="1">IF(controls!$B$33=1,D283-($I$3-'main page'!$K$27*2)*(1+('main page'!$K$35/100))^A282,D283-$AL$4)</f>
        <v>0</v>
      </c>
      <c r="Y283" s="49">
        <f ca="1">ABS(L283-(controls!$B$9/100)*100)</f>
        <v>0</v>
      </c>
      <c r="AA283" s="49" t="e">
        <f ca="1">IF(controls!$B$33=1,(B284-B283*V284-I284+D283*W284+'main page'!$K$27*('main page'!$K$24+'main page'!$K$11))/'main page'!$K$31,(B284-B283*V284+D283*W284-H284+'main page'!$K$27*('main page'!$K$24+'main page'!$K$11))/'main page'!$K$31)</f>
        <v>#DIV/0!</v>
      </c>
      <c r="AB283" s="49" t="e">
        <f ca="1">IF(controls!$B$45=1,LOG(AF283,1.01)+LOG(AE283,1.01)-LOG(AD283,1.01),-((M283-('main page'!$K$24+'main page'!$K$11))/(1-'normal case'!$AO$3))+'normal case'!AA283)</f>
        <v>#DIV/0!</v>
      </c>
      <c r="AC283" s="176" t="e">
        <f t="shared" ca="1" si="30"/>
        <v>#DIV/0!</v>
      </c>
      <c r="AD283" s="49">
        <f t="shared" ca="1" si="31"/>
        <v>255.88692378385809</v>
      </c>
      <c r="AE283" s="49">
        <f>AE282*(1+'main page'!$K$32/100)</f>
        <v>1</v>
      </c>
      <c r="AF283" s="49" t="e">
        <f ca="1">IF(ABS(IF(controls!$B$45=1,$AL$13,AD283*AC283/AE283)-AF282)&lt;0.00001,AF282,IF(controls!$B$45=1,$AL$13,AD283*AC283/AE283))</f>
        <v>#DIV/0!</v>
      </c>
      <c r="AG283" s="49">
        <f>IF(controls!$B$46=0,0,IF(controls!$B$33=2,B284-B283*V284-('normal case'!H284-D283*W284-'main page'!$K$27*'normal case'!M283+'main page'!$K$31*'normal case'!AB283)-(('main page'!$K$25*'main page'!$U$13*'main page'!$K$29)/(1+('main page'!$K$25^2)*'main page'!$U$13))*('normal case'!L283-'main page'!$U$8),B284-B283*V284-('normal case'!I284-D283*W284-'main page'!$K$27*'normal case'!M283+'main page'!$K$31*'normal case'!AB283)-(('main page'!$K$25*'main page'!$U$13*'main page'!$K$29)/(1+('main page'!$K$25^2)*'main page'!$U$13))*('normal case'!L283-'main page'!$U$8)))</f>
        <v>0</v>
      </c>
      <c r="AN283" s="40"/>
      <c r="AO283" s="40"/>
    </row>
    <row r="284" spans="1:41">
      <c r="A284" s="48">
        <v>282</v>
      </c>
      <c r="B284" s="75">
        <f ca="1">IF(controls!$B$33=1,B283*(1+V284)+T284,B283*(1+V284))</f>
        <v>100</v>
      </c>
      <c r="C284" s="80">
        <f t="shared" ca="1" si="32"/>
        <v>0</v>
      </c>
      <c r="D284" s="77">
        <f t="shared" ca="1" si="28"/>
        <v>100</v>
      </c>
      <c r="E284" s="77">
        <f ca="1">AG283+IF(controls!$B$33=1,G284,F284)</f>
        <v>100</v>
      </c>
      <c r="F284" s="94">
        <f ca="1">IF(controls!$B$44=0,H284-'main page'!$K$27*M283,H284-'main page'!$K$27*M283+'main page'!$K$31*AB283)</f>
        <v>100</v>
      </c>
      <c r="G284" s="75">
        <f ca="1">IF(controls!$B$44=0,I284-'main page'!$K$27*M283,I284-'main page'!$K$27*M283+'main page'!$K$31*'normal case'!AB283)</f>
        <v>100</v>
      </c>
      <c r="H284" s="75">
        <f t="shared" ca="1" si="33"/>
        <v>108</v>
      </c>
      <c r="I284" s="75">
        <f t="shared" ca="1" si="34"/>
        <v>108</v>
      </c>
      <c r="L284" s="75">
        <f ca="1">IF(ABS('main page'!$K$29*L283+(1-'main page'!$K$29)*(controls!$B$9/100)*100+'main page'!$K$25*(D284-B284)-L283)&lt;0.0000001,L283,'main page'!$K$29*L283+(1-'main page'!$K$29)*(controls!$B$9/100)*100+'main page'!$K$25*(D284-B284))</f>
        <v>2</v>
      </c>
      <c r="M284" s="96">
        <f ca="1">IF(controls!$B$10=1,M283,IF(SUM(controls!$B$44:$B$46)=2,N284-'main page'!$K$29*'normal case'!L284-(1-'main page'!$K$29)*'main page'!$K$32,N284-'main page'!$K$29*'normal case'!L284-(1-'main page'!$K$29)*controls!$B$9))</f>
        <v>4</v>
      </c>
      <c r="N284" s="208">
        <f ca="1">IF(controls!$B$45=1,IF(controls!$B$46=1,'main page'!$K$24+'main page'!$K$11+'main page'!$U$8,'main page'!$K$24+'main page'!$K$11+'main page'!$K$32),IF(controls!$B$44=1,IF(O284&lt;0,0,O284),IF(O284+'main page'!$K$11&lt;0,0,O284+'main page'!$K$11)))</f>
        <v>6</v>
      </c>
      <c r="O284" s="76">
        <f ca="1">IF(controls!$B$10=1,'normal case'!M284+'normal case'!L284,'normal case'!P284)</f>
        <v>6</v>
      </c>
      <c r="P284" s="74">
        <f t="shared" ca="1" si="29"/>
        <v>6</v>
      </c>
      <c r="Q284" s="210">
        <f ca="1">IF(controls!$B$44=0,R284+'main page'!$K$29*L284+(1-'main page'!$K$29)*controls!$B$9+(('main page'!$K$25*'main page'!$U$13*'main page'!$K$29)/('main page'!$K$27*(1+('main page'!$K$25^2)*'main page'!$U$13)))*(L284-controls!$B$9),R284+'main page'!$K$29*L284+(1-'main page'!$K$29)*controls!$B$9+(('main page'!$K$25*'main page'!$U$13*'normal case'!$AO$3)/'normal case'!$AO$4)*('normal case'!L284-controls!$B$9))</f>
        <v>6</v>
      </c>
      <c r="R284" s="98">
        <f ca="1">IF(controls!$B$44=1,'main page'!$K$24+'main page'!$K$11,IF(controls!$B$33=1,((I285-D284*W285-B285+B284*V285)/'main page'!$K$27)-'main page'!$K$11,((H285-D284*W285-B285+B284*V285)/'main page'!$K$27)-'main page'!$K$11))</f>
        <v>4</v>
      </c>
      <c r="T284" s="71">
        <f>IF(controls!$B$6=1,$AL$3*(1+('main page'!$K$35/100))^U284-$AL$3*(1+('main page'!$K$35/100))^U283,$AL$3*(1+('main page'!$G$8/100))*(1+('main page'!$K$35/100))^U284-$AL$3*(1+('main page'!$G$8/100))*(1+('main page'!$K$35/100))^U283)</f>
        <v>0</v>
      </c>
      <c r="U284" s="73">
        <v>277</v>
      </c>
      <c r="V284" s="161">
        <f ca="1">IF(controls!$B$4=1,IF(controls!$H283=1,controls!$B$34*V283+RAND()*('main page'!$K$16/100)-RAND()*('main page'!$K$16/100),0),0)</f>
        <v>0</v>
      </c>
      <c r="W284" s="40">
        <f ca="1">IF(controls!$B$4=1,IF(controls!$I283=1,controls!$B$34*W283+RAND()*('main page'!$K$16/100)-RAND()*('main page'!$K$16/100),0),0)</f>
        <v>0</v>
      </c>
      <c r="X284" s="49">
        <f ca="1">IF(controls!$B$33=1,D284-($I$3-'main page'!$K$27*2)*(1+('main page'!$K$35/100))^A283,D284-$AL$4)</f>
        <v>0</v>
      </c>
      <c r="Y284" s="49">
        <f ca="1">ABS(L284-(controls!$B$9/100)*100)</f>
        <v>0</v>
      </c>
      <c r="AA284" s="49" t="e">
        <f ca="1">IF(controls!$B$33=1,(B285-B284*V285-I285+D284*W285+'main page'!$K$27*('main page'!$K$24+'main page'!$K$11))/'main page'!$K$31,(B285-B284*V285+D284*W285-H285+'main page'!$K$27*('main page'!$K$24+'main page'!$K$11))/'main page'!$K$31)</f>
        <v>#DIV/0!</v>
      </c>
      <c r="AB284" s="49" t="e">
        <f ca="1">IF(controls!$B$45=1,LOG(AF284,1.01)+LOG(AE284,1.01)-LOG(AD284,1.01),-((M284-('main page'!$K$24+'main page'!$K$11))/(1-'normal case'!$AO$3))+'normal case'!AA284)</f>
        <v>#DIV/0!</v>
      </c>
      <c r="AC284" s="176" t="e">
        <f t="shared" ca="1" si="30"/>
        <v>#DIV/0!</v>
      </c>
      <c r="AD284" s="49">
        <f t="shared" ca="1" si="31"/>
        <v>261.00466225953528</v>
      </c>
      <c r="AE284" s="49">
        <f>AE283*(1+'main page'!$K$32/100)</f>
        <v>1</v>
      </c>
      <c r="AF284" s="49" t="e">
        <f ca="1">IF(ABS(IF(controls!$B$45=1,$AL$13,AD284*AC284/AE284)-AF283)&lt;0.00001,AF283,IF(controls!$B$45=1,$AL$13,AD284*AC284/AE284))</f>
        <v>#DIV/0!</v>
      </c>
      <c r="AG284" s="49">
        <f>IF(controls!$B$46=0,0,IF(controls!$B$33=2,B285-B284*V285-('normal case'!H285-D284*W285-'main page'!$K$27*'normal case'!M284+'main page'!$K$31*'normal case'!AB284)-(('main page'!$K$25*'main page'!$U$13*'main page'!$K$29)/(1+('main page'!$K$25^2)*'main page'!$U$13))*('normal case'!L284-'main page'!$U$8),B285-B284*V285-('normal case'!I285-D284*W285-'main page'!$K$27*'normal case'!M284+'main page'!$K$31*'normal case'!AB284)-(('main page'!$K$25*'main page'!$U$13*'main page'!$K$29)/(1+('main page'!$K$25^2)*'main page'!$U$13))*('normal case'!L284-'main page'!$U$8)))</f>
        <v>0</v>
      </c>
      <c r="AN284" s="40"/>
      <c r="AO284" s="40"/>
    </row>
    <row r="285" spans="1:41">
      <c r="A285" s="48">
        <v>283</v>
      </c>
      <c r="B285" s="75">
        <f ca="1">IF(controls!$B$33=1,B284*(1+V285)+T285,B284*(1+V285))</f>
        <v>100</v>
      </c>
      <c r="C285" s="80">
        <f t="shared" ca="1" si="32"/>
        <v>0</v>
      </c>
      <c r="D285" s="77">
        <f t="shared" ca="1" si="28"/>
        <v>100</v>
      </c>
      <c r="E285" s="77">
        <f ca="1">AG284+IF(controls!$B$33=1,G285,F285)</f>
        <v>100</v>
      </c>
      <c r="F285" s="94">
        <f ca="1">IF(controls!$B$44=0,H285-'main page'!$K$27*M284,H285-'main page'!$K$27*M284+'main page'!$K$31*AB284)</f>
        <v>100</v>
      </c>
      <c r="G285" s="75">
        <f ca="1">IF(controls!$B$44=0,I285-'main page'!$K$27*M284,I285-'main page'!$K$27*M284+'main page'!$K$31*'normal case'!AB284)</f>
        <v>100</v>
      </c>
      <c r="H285" s="75">
        <f t="shared" ca="1" si="33"/>
        <v>108</v>
      </c>
      <c r="I285" s="75">
        <f t="shared" ca="1" si="34"/>
        <v>108</v>
      </c>
      <c r="L285" s="75">
        <f ca="1">IF(ABS('main page'!$K$29*L284+(1-'main page'!$K$29)*(controls!$B$9/100)*100+'main page'!$K$25*(D285-B285)-L284)&lt;0.0000001,L284,'main page'!$K$29*L284+(1-'main page'!$K$29)*(controls!$B$9/100)*100+'main page'!$K$25*(D285-B285))</f>
        <v>2</v>
      </c>
      <c r="M285" s="96">
        <f ca="1">IF(controls!$B$10=1,M284,IF(SUM(controls!$B$44:$B$46)=2,N285-'main page'!$K$29*'normal case'!L285-(1-'main page'!$K$29)*'main page'!$K$32,N285-'main page'!$K$29*'normal case'!L285-(1-'main page'!$K$29)*controls!$B$9))</f>
        <v>4</v>
      </c>
      <c r="N285" s="208">
        <f ca="1">IF(controls!$B$45=1,IF(controls!$B$46=1,'main page'!$K$24+'main page'!$K$11+'main page'!$U$8,'main page'!$K$24+'main page'!$K$11+'main page'!$K$32),IF(controls!$B$44=1,IF(O285&lt;0,0,O285),IF(O285+'main page'!$K$11&lt;0,0,O285+'main page'!$K$11)))</f>
        <v>6</v>
      </c>
      <c r="O285" s="76">
        <f ca="1">IF(controls!$B$10=1,'normal case'!M285+'normal case'!L285,'normal case'!P285)</f>
        <v>6</v>
      </c>
      <c r="P285" s="74">
        <f t="shared" ca="1" si="29"/>
        <v>6</v>
      </c>
      <c r="Q285" s="210">
        <f ca="1">IF(controls!$B$44=0,R285+'main page'!$K$29*L285+(1-'main page'!$K$29)*controls!$B$9+(('main page'!$K$25*'main page'!$U$13*'main page'!$K$29)/('main page'!$K$27*(1+('main page'!$K$25^2)*'main page'!$U$13)))*(L285-controls!$B$9),R285+'main page'!$K$29*L285+(1-'main page'!$K$29)*controls!$B$9+(('main page'!$K$25*'main page'!$U$13*'normal case'!$AO$3)/'normal case'!$AO$4)*('normal case'!L285-controls!$B$9))</f>
        <v>6</v>
      </c>
      <c r="R285" s="98">
        <f ca="1">IF(controls!$B$44=1,'main page'!$K$24+'main page'!$K$11,IF(controls!$B$33=1,((I286-D285*W286-B286+B285*V286)/'main page'!$K$27)-'main page'!$K$11,((H286-D285*W286-B286+B285*V286)/'main page'!$K$27)-'main page'!$K$11))</f>
        <v>4</v>
      </c>
      <c r="T285" s="71">
        <f>IF(controls!$B$6=1,$AL$3*(1+('main page'!$K$35/100))^U285-$AL$3*(1+('main page'!$K$35/100))^U284,$AL$3*(1+('main page'!$G$8/100))*(1+('main page'!$K$35/100))^U285-$AL$3*(1+('main page'!$G$8/100))*(1+('main page'!$K$35/100))^U284)</f>
        <v>0</v>
      </c>
      <c r="U285" s="73">
        <v>278</v>
      </c>
      <c r="V285" s="161">
        <v>0</v>
      </c>
      <c r="W285" s="40">
        <v>0</v>
      </c>
      <c r="X285" s="49">
        <f ca="1">IF(controls!$B$33=1,D285-($I$3-'main page'!$K$27*2)*(1+('main page'!$K$35/100))^A284,D285-$AL$4)</f>
        <v>0</v>
      </c>
      <c r="Y285" s="49">
        <f ca="1">ABS(L285-(controls!$B$9/100)*100)</f>
        <v>0</v>
      </c>
      <c r="AA285" s="49" t="e">
        <f ca="1">IF(controls!$B$33=1,(B286-B285*V286-I286+D285*W286+'main page'!$K$27*('main page'!$K$24+'main page'!$K$11))/'main page'!$K$31,(B286-B285*V286+D285*W286-H286+'main page'!$K$27*('main page'!$K$24+'main page'!$K$11))/'main page'!$K$31)</f>
        <v>#DIV/0!</v>
      </c>
      <c r="AB285" s="49" t="e">
        <f ca="1">IF(controls!$B$45=1,LOG(AF285,1.01)+LOG(AE285,1.01)-LOG(AD285,1.01),-((M285-('main page'!$K$24+'main page'!$K$11))/(1-'normal case'!$AO$3))+'normal case'!AA285)</f>
        <v>#DIV/0!</v>
      </c>
      <c r="AC285" s="176" t="e">
        <f t="shared" ca="1" si="30"/>
        <v>#DIV/0!</v>
      </c>
      <c r="AD285" s="49">
        <f t="shared" ca="1" si="31"/>
        <v>266.22475550472598</v>
      </c>
      <c r="AE285" s="49">
        <f>AE284*(1+'main page'!$K$32/100)</f>
        <v>1</v>
      </c>
      <c r="AF285" s="49" t="e">
        <f ca="1">IF(ABS(IF(controls!$B$45=1,$AL$13,AD285*AC285/AE285)-AF284)&lt;0.00001,AF284,IF(controls!$B$45=1,$AL$13,AD285*AC285/AE285))</f>
        <v>#DIV/0!</v>
      </c>
      <c r="AG285" s="49">
        <f>IF(controls!$B$46=0,0,IF(controls!$B$33=2,B286-B285*V286-('normal case'!H286-D285*W286-'main page'!$K$27*'normal case'!M285+'main page'!$K$31*'normal case'!AB285)-(('main page'!$K$25*'main page'!$U$13*'main page'!$K$29)/(1+('main page'!$K$25^2)*'main page'!$U$13))*('normal case'!L285-'main page'!$U$8),B286-B285*V286-('normal case'!I286-D285*W286-'main page'!$K$27*'normal case'!M285+'main page'!$K$31*'normal case'!AB285)-(('main page'!$K$25*'main page'!$U$13*'main page'!$K$29)/(1+('main page'!$K$25^2)*'main page'!$U$13))*('normal case'!L285-'main page'!$U$8)))</f>
        <v>0</v>
      </c>
      <c r="AN285" s="40"/>
      <c r="AO285" s="40"/>
    </row>
    <row r="286" spans="1:41">
      <c r="A286" s="48">
        <v>284</v>
      </c>
      <c r="B286" s="75">
        <f ca="1">IF(controls!$B$33=1,B285*(1+V286)+T286,B285*(1+V286))</f>
        <v>100</v>
      </c>
      <c r="C286" s="80">
        <f t="shared" ca="1" si="32"/>
        <v>0</v>
      </c>
      <c r="D286" s="77">
        <f t="shared" ca="1" si="28"/>
        <v>100</v>
      </c>
      <c r="E286" s="77">
        <f ca="1">AG285+IF(controls!$B$33=1,G286,F286)</f>
        <v>100</v>
      </c>
      <c r="F286" s="94">
        <f ca="1">IF(controls!$B$44=0,H286-'main page'!$K$27*M285,H286-'main page'!$K$27*M285+'main page'!$K$31*AB285)</f>
        <v>100</v>
      </c>
      <c r="G286" s="75">
        <f ca="1">IF(controls!$B$44=0,I286-'main page'!$K$27*M285,I286-'main page'!$K$27*M285+'main page'!$K$31*'normal case'!AB285)</f>
        <v>100</v>
      </c>
      <c r="H286" s="75">
        <f t="shared" ca="1" si="33"/>
        <v>108</v>
      </c>
      <c r="I286" s="75">
        <f t="shared" ca="1" si="34"/>
        <v>108</v>
      </c>
      <c r="L286" s="75">
        <f ca="1">IF(ABS('main page'!$K$29*L285+(1-'main page'!$K$29)*(controls!$B$9/100)*100+'main page'!$K$25*(D286-B286)-L285)&lt;0.0000001,L285,'main page'!$K$29*L285+(1-'main page'!$K$29)*(controls!$B$9/100)*100+'main page'!$K$25*(D286-B286))</f>
        <v>2</v>
      </c>
      <c r="M286" s="96">
        <f ca="1">IF(controls!$B$10=1,M285,IF(SUM(controls!$B$44:$B$46)=2,N286-'main page'!$K$29*'normal case'!L286-(1-'main page'!$K$29)*'main page'!$K$32,N286-'main page'!$K$29*'normal case'!L286-(1-'main page'!$K$29)*controls!$B$9))</f>
        <v>4</v>
      </c>
      <c r="N286" s="208">
        <f ca="1">IF(controls!$B$45=1,IF(controls!$B$46=1,'main page'!$K$24+'main page'!$K$11+'main page'!$U$8,'main page'!$K$24+'main page'!$K$11+'main page'!$K$32),IF(controls!$B$44=1,IF(O286&lt;0,0,O286),IF(O286+'main page'!$K$11&lt;0,0,O286+'main page'!$K$11)))</f>
        <v>6</v>
      </c>
      <c r="O286" s="76">
        <f ca="1">IF(controls!$B$10=1,'normal case'!M286+'normal case'!L286,'normal case'!P286)</f>
        <v>6</v>
      </c>
      <c r="P286" s="74">
        <f t="shared" ca="1" si="29"/>
        <v>6</v>
      </c>
      <c r="Q286" s="210">
        <f ca="1">IF(controls!$B$44=0,R286+'main page'!$K$29*L286+(1-'main page'!$K$29)*controls!$B$9+(('main page'!$K$25*'main page'!$U$13*'main page'!$K$29)/('main page'!$K$27*(1+('main page'!$K$25^2)*'main page'!$U$13)))*(L286-controls!$B$9),R286+'main page'!$K$29*L286+(1-'main page'!$K$29)*controls!$B$9+(('main page'!$K$25*'main page'!$U$13*'normal case'!$AO$3)/'normal case'!$AO$4)*('normal case'!L286-controls!$B$9))</f>
        <v>6</v>
      </c>
      <c r="R286" s="98">
        <f ca="1">IF(controls!$B$44=1,'main page'!$K$24+'main page'!$K$11,IF(controls!$B$33=1,((I287-D286*W287-B287+B286*V287)/'main page'!$K$27)-'main page'!$K$11,((H287-D286*W287-B287+B286*V287)/'main page'!$K$27)-'main page'!$K$11))</f>
        <v>4</v>
      </c>
      <c r="T286" s="71">
        <f>IF(controls!$B$6=1,$AL$3*(1+('main page'!$K$35/100))^U286-$AL$3*(1+('main page'!$K$35/100))^U285,$AL$3*(1+('main page'!$G$8/100))*(1+('main page'!$K$35/100))^U286-$AL$3*(1+('main page'!$G$8/100))*(1+('main page'!$K$35/100))^U285)</f>
        <v>0</v>
      </c>
      <c r="U286" s="73">
        <v>279</v>
      </c>
      <c r="V286" s="161">
        <v>0</v>
      </c>
      <c r="W286" s="40">
        <v>0</v>
      </c>
      <c r="X286" s="49">
        <f ca="1">IF(controls!$B$33=1,D286-($I$3-'main page'!$K$27*2)*(1+('main page'!$K$35/100))^A285,D286-$AL$4)</f>
        <v>0</v>
      </c>
      <c r="Y286" s="49">
        <f ca="1">ABS(L286-(controls!$B$9/100)*100)</f>
        <v>0</v>
      </c>
      <c r="AA286" s="49" t="e">
        <f ca="1">IF(controls!$B$33=1,(B287-B286*V287-I287+D286*W287+'main page'!$K$27*('main page'!$K$24+'main page'!$K$11))/'main page'!$K$31,(B287-B286*V287+D286*W287-H287+'main page'!$K$27*('main page'!$K$24+'main page'!$K$11))/'main page'!$K$31)</f>
        <v>#DIV/0!</v>
      </c>
      <c r="AB286" s="49" t="e">
        <f ca="1">IF(controls!$B$45=1,LOG(AF286,1.01)+LOG(AE286,1.01)-LOG(AD286,1.01),-((M286-('main page'!$K$24+'main page'!$K$11))/(1-'normal case'!$AO$3))+'normal case'!AA286)</f>
        <v>#DIV/0!</v>
      </c>
      <c r="AC286" s="176" t="e">
        <f t="shared" ca="1" si="30"/>
        <v>#DIV/0!</v>
      </c>
      <c r="AD286" s="49">
        <f t="shared" ca="1" si="31"/>
        <v>271.54925061482049</v>
      </c>
      <c r="AE286" s="49">
        <f>AE285*(1+'main page'!$K$32/100)</f>
        <v>1</v>
      </c>
      <c r="AF286" s="49" t="e">
        <f ca="1">IF(ABS(IF(controls!$B$45=1,$AL$13,AD286*AC286/AE286)-AF285)&lt;0.00001,AF285,IF(controls!$B$45=1,$AL$13,AD286*AC286/AE286))</f>
        <v>#DIV/0!</v>
      </c>
      <c r="AG286" s="49">
        <f>IF(controls!$B$46=0,0,IF(controls!$B$33=2,B287-B286*V287-('normal case'!H287-D286*W287-'main page'!$K$27*'normal case'!M286+'main page'!$K$31*'normal case'!AB286)-(('main page'!$K$25*'main page'!$U$13*'main page'!$K$29)/(1+('main page'!$K$25^2)*'main page'!$U$13))*('normal case'!L286-'main page'!$U$8),B287-B286*V287-('normal case'!I287-D286*W287-'main page'!$K$27*'normal case'!M286+'main page'!$K$31*'normal case'!AB286)-(('main page'!$K$25*'main page'!$U$13*'main page'!$K$29)/(1+('main page'!$K$25^2)*'main page'!$U$13))*('normal case'!L286-'main page'!$U$8)))</f>
        <v>0</v>
      </c>
      <c r="AN286" s="40"/>
      <c r="AO286" s="40"/>
    </row>
    <row r="287" spans="1:41">
      <c r="A287" s="48">
        <v>285</v>
      </c>
      <c r="B287" s="75">
        <f ca="1">IF(controls!$B$33=1,B286*(1+V287)+T287,B286*(1+V287))</f>
        <v>100</v>
      </c>
      <c r="C287" s="80">
        <f t="shared" ca="1" si="32"/>
        <v>0</v>
      </c>
      <c r="D287" s="77">
        <f t="shared" ca="1" si="28"/>
        <v>100</v>
      </c>
      <c r="E287" s="77">
        <f ca="1">AG286+IF(controls!$B$33=1,G287,F287)</f>
        <v>100</v>
      </c>
      <c r="F287" s="94">
        <f ca="1">IF(controls!$B$44=0,H287-'main page'!$K$27*M286,H287-'main page'!$K$27*M286+'main page'!$K$31*AB286)</f>
        <v>100</v>
      </c>
      <c r="G287" s="75">
        <f ca="1">IF(controls!$B$44=0,I287-'main page'!$K$27*M286,I287-'main page'!$K$27*M286+'main page'!$K$31*'normal case'!AB286)</f>
        <v>100</v>
      </c>
      <c r="H287" s="75">
        <f t="shared" ca="1" si="33"/>
        <v>108</v>
      </c>
      <c r="I287" s="75">
        <f t="shared" ca="1" si="34"/>
        <v>108</v>
      </c>
      <c r="L287" s="75">
        <f ca="1">IF(ABS('main page'!$K$29*L286+(1-'main page'!$K$29)*(controls!$B$9/100)*100+'main page'!$K$25*(D287-B287)-L286)&lt;0.0000001,L286,'main page'!$K$29*L286+(1-'main page'!$K$29)*(controls!$B$9/100)*100+'main page'!$K$25*(D287-B287))</f>
        <v>2</v>
      </c>
      <c r="M287" s="96">
        <f ca="1">IF(controls!$B$10=1,M286,IF(SUM(controls!$B$44:$B$46)=2,N287-'main page'!$K$29*'normal case'!L287-(1-'main page'!$K$29)*'main page'!$K$32,N287-'main page'!$K$29*'normal case'!L287-(1-'main page'!$K$29)*controls!$B$9))</f>
        <v>4</v>
      </c>
      <c r="N287" s="208">
        <f ca="1">IF(controls!$B$45=1,IF(controls!$B$46=1,'main page'!$K$24+'main page'!$K$11+'main page'!$U$8,'main page'!$K$24+'main page'!$K$11+'main page'!$K$32),IF(controls!$B$44=1,IF(O287&lt;0,0,O287),IF(O287+'main page'!$K$11&lt;0,0,O287+'main page'!$K$11)))</f>
        <v>6</v>
      </c>
      <c r="O287" s="76">
        <f ca="1">IF(controls!$B$10=1,'normal case'!M287+'normal case'!L287,'normal case'!P287)</f>
        <v>6</v>
      </c>
      <c r="P287" s="74">
        <f t="shared" ca="1" si="29"/>
        <v>6</v>
      </c>
      <c r="Q287" s="210">
        <f ca="1">IF(controls!$B$44=0,R287+'main page'!$K$29*L287+(1-'main page'!$K$29)*controls!$B$9+(('main page'!$K$25*'main page'!$U$13*'main page'!$K$29)/('main page'!$K$27*(1+('main page'!$K$25^2)*'main page'!$U$13)))*(L287-controls!$B$9),R287+'main page'!$K$29*L287+(1-'main page'!$K$29)*controls!$B$9+(('main page'!$K$25*'main page'!$U$13*'normal case'!$AO$3)/'normal case'!$AO$4)*('normal case'!L287-controls!$B$9))</f>
        <v>6</v>
      </c>
      <c r="R287" s="98">
        <f ca="1">IF(controls!$B$44=1,'main page'!$K$24+'main page'!$K$11,IF(controls!$B$33=1,((I288-D287*W288-B288+B287*V288)/'main page'!$K$27)-'main page'!$K$11,((H288-D287*W288-B288+B287*V288)/'main page'!$K$27)-'main page'!$K$11))</f>
        <v>4</v>
      </c>
      <c r="T287" s="71">
        <f>IF(controls!$B$6=1,$AL$3*(1+('main page'!$K$35/100))^U287-$AL$3*(1+('main page'!$K$35/100))^U286,$AL$3*(1+('main page'!$G$8/100))*(1+('main page'!$K$35/100))^U287-$AL$3*(1+('main page'!$G$8/100))*(1+('main page'!$K$35/100))^U286)</f>
        <v>0</v>
      </c>
      <c r="U287" s="73">
        <v>280</v>
      </c>
      <c r="V287" s="161">
        <f ca="1">IF(controls!$B$4=1,IF(controls!$H286=1,controls!$B$34*V286+RAND()*('main page'!$K$16/100)-RAND()*('main page'!$K$16/100),0),0)</f>
        <v>0</v>
      </c>
      <c r="W287" s="40">
        <f ca="1">IF(controls!$B$4=1,IF(controls!$I286=1,controls!$B$34*W286+RAND()*('main page'!$K$16/100)-RAND()*('main page'!$K$16/100),0),0)</f>
        <v>0</v>
      </c>
      <c r="X287" s="49">
        <f ca="1">IF(controls!$B$33=1,D287-($I$3-'main page'!$K$27*2)*(1+('main page'!$K$35/100))^A286,D287-$AL$4)</f>
        <v>0</v>
      </c>
      <c r="Y287" s="49">
        <f ca="1">ABS(L287-(controls!$B$9/100)*100)</f>
        <v>0</v>
      </c>
      <c r="AA287" s="49" t="e">
        <f ca="1">IF(controls!$B$33=1,(B288-B287*V288-I288+D287*W288+'main page'!$K$27*('main page'!$K$24+'main page'!$K$11))/'main page'!$K$31,(B288-B287*V288+D287*W288-H288+'main page'!$K$27*('main page'!$K$24+'main page'!$K$11))/'main page'!$K$31)</f>
        <v>#DIV/0!</v>
      </c>
      <c r="AB287" s="49" t="e">
        <f ca="1">IF(controls!$B$45=1,LOG(AF287,1.01)+LOG(AE287,1.01)-LOG(AD287,1.01),-((M287-('main page'!$K$24+'main page'!$K$11))/(1-'normal case'!$AO$3))+'normal case'!AA287)</f>
        <v>#DIV/0!</v>
      </c>
      <c r="AC287" s="176" t="e">
        <f t="shared" ca="1" si="30"/>
        <v>#DIV/0!</v>
      </c>
      <c r="AD287" s="49">
        <f t="shared" ca="1" si="31"/>
        <v>276.98023562711688</v>
      </c>
      <c r="AE287" s="49">
        <f>AE286*(1+'main page'!$K$32/100)</f>
        <v>1</v>
      </c>
      <c r="AF287" s="49" t="e">
        <f ca="1">IF(ABS(IF(controls!$B$45=1,$AL$13,AD287*AC287/AE287)-AF286)&lt;0.00001,AF286,IF(controls!$B$45=1,$AL$13,AD287*AC287/AE287))</f>
        <v>#DIV/0!</v>
      </c>
      <c r="AG287" s="49">
        <f>IF(controls!$B$46=0,0,IF(controls!$B$33=2,B288-B287*V288-('normal case'!H288-D287*W288-'main page'!$K$27*'normal case'!M287+'main page'!$K$31*'normal case'!AB287)-(('main page'!$K$25*'main page'!$U$13*'main page'!$K$29)/(1+('main page'!$K$25^2)*'main page'!$U$13))*('normal case'!L287-'main page'!$U$8),B288-B287*V288-('normal case'!I288-D287*W288-'main page'!$K$27*'normal case'!M287+'main page'!$K$31*'normal case'!AB287)-(('main page'!$K$25*'main page'!$U$13*'main page'!$K$29)/(1+('main page'!$K$25^2)*'main page'!$U$13))*('normal case'!L287-'main page'!$U$8)))</f>
        <v>0</v>
      </c>
      <c r="AN287" s="40"/>
      <c r="AO287" s="40"/>
    </row>
    <row r="288" spans="1:41">
      <c r="A288" s="48">
        <v>286</v>
      </c>
      <c r="B288" s="75">
        <f ca="1">IF(controls!$B$33=1,B287*(1+V288)+T288,B287*(1+V288))</f>
        <v>100</v>
      </c>
      <c r="C288" s="80">
        <f t="shared" ca="1" si="32"/>
        <v>0</v>
      </c>
      <c r="D288" s="77">
        <f t="shared" ca="1" si="28"/>
        <v>100</v>
      </c>
      <c r="E288" s="77">
        <f ca="1">AG287+IF(controls!$B$33=1,G288,F288)</f>
        <v>100</v>
      </c>
      <c r="F288" s="94">
        <f ca="1">IF(controls!$B$44=0,H288-'main page'!$K$27*M287,H288-'main page'!$K$27*M287+'main page'!$K$31*AB287)</f>
        <v>100</v>
      </c>
      <c r="G288" s="75">
        <f ca="1">IF(controls!$B$44=0,I288-'main page'!$K$27*M287,I288-'main page'!$K$27*M287+'main page'!$K$31*'normal case'!AB287)</f>
        <v>100</v>
      </c>
      <c r="H288" s="75">
        <f t="shared" ca="1" si="33"/>
        <v>108</v>
      </c>
      <c r="I288" s="75">
        <f t="shared" ca="1" si="34"/>
        <v>108</v>
      </c>
      <c r="L288" s="75">
        <f ca="1">IF(ABS('main page'!$K$29*L287+(1-'main page'!$K$29)*(controls!$B$9/100)*100+'main page'!$K$25*(D288-B288)-L287)&lt;0.0000001,L287,'main page'!$K$29*L287+(1-'main page'!$K$29)*(controls!$B$9/100)*100+'main page'!$K$25*(D288-B288))</f>
        <v>2</v>
      </c>
      <c r="M288" s="96">
        <f ca="1">IF(controls!$B$10=1,M287,IF(SUM(controls!$B$44:$B$46)=2,N288-'main page'!$K$29*'normal case'!L288-(1-'main page'!$K$29)*'main page'!$K$32,N288-'main page'!$K$29*'normal case'!L288-(1-'main page'!$K$29)*controls!$B$9))</f>
        <v>4</v>
      </c>
      <c r="N288" s="208">
        <f ca="1">IF(controls!$B$45=1,IF(controls!$B$46=1,'main page'!$K$24+'main page'!$K$11+'main page'!$U$8,'main page'!$K$24+'main page'!$K$11+'main page'!$K$32),IF(controls!$B$44=1,IF(O288&lt;0,0,O288),IF(O288+'main page'!$K$11&lt;0,0,O288+'main page'!$K$11)))</f>
        <v>6</v>
      </c>
      <c r="O288" s="76">
        <f ca="1">IF(controls!$B$10=1,'normal case'!M288+'normal case'!L288,'normal case'!P288)</f>
        <v>6</v>
      </c>
      <c r="P288" s="74">
        <f t="shared" ca="1" si="29"/>
        <v>6</v>
      </c>
      <c r="Q288" s="210">
        <f ca="1">IF(controls!$B$44=0,R288+'main page'!$K$29*L288+(1-'main page'!$K$29)*controls!$B$9+(('main page'!$K$25*'main page'!$U$13*'main page'!$K$29)/('main page'!$K$27*(1+('main page'!$K$25^2)*'main page'!$U$13)))*(L288-controls!$B$9),R288+'main page'!$K$29*L288+(1-'main page'!$K$29)*controls!$B$9+(('main page'!$K$25*'main page'!$U$13*'normal case'!$AO$3)/'normal case'!$AO$4)*('normal case'!L288-controls!$B$9))</f>
        <v>6</v>
      </c>
      <c r="R288" s="98">
        <f ca="1">IF(controls!$B$44=1,'main page'!$K$24+'main page'!$K$11,IF(controls!$B$33=1,((I289-D288*W289-B289+B288*V289)/'main page'!$K$27)-'main page'!$K$11,((H289-D288*W289-B289+B288*V289)/'main page'!$K$27)-'main page'!$K$11))</f>
        <v>4</v>
      </c>
      <c r="T288" s="71">
        <f>IF(controls!$B$6=1,$AL$3*(1+('main page'!$K$35/100))^U288-$AL$3*(1+('main page'!$K$35/100))^U287,$AL$3*(1+('main page'!$G$8/100))*(1+('main page'!$K$35/100))^U288-$AL$3*(1+('main page'!$G$8/100))*(1+('main page'!$K$35/100))^U287)</f>
        <v>0</v>
      </c>
      <c r="U288" s="73">
        <v>281</v>
      </c>
      <c r="V288" s="161">
        <v>0</v>
      </c>
      <c r="W288" s="40">
        <v>0</v>
      </c>
      <c r="X288" s="49">
        <f ca="1">IF(controls!$B$33=1,D288-($I$3-'main page'!$K$27*2)*(1+('main page'!$K$35/100))^A287,D288-$AL$4)</f>
        <v>0</v>
      </c>
      <c r="Y288" s="49">
        <f ca="1">ABS(L288-(controls!$B$9/100)*100)</f>
        <v>0</v>
      </c>
      <c r="AA288" s="49" t="e">
        <f ca="1">IF(controls!$B$33=1,(B289-B288*V289-I289+D288*W289+'main page'!$K$27*('main page'!$K$24+'main page'!$K$11))/'main page'!$K$31,(B289-B288*V289+D288*W289-H289+'main page'!$K$27*('main page'!$K$24+'main page'!$K$11))/'main page'!$K$31)</f>
        <v>#DIV/0!</v>
      </c>
      <c r="AB288" s="49" t="e">
        <f ca="1">IF(controls!$B$45=1,LOG(AF288,1.01)+LOG(AE288,1.01)-LOG(AD288,1.01),-((M288-('main page'!$K$24+'main page'!$K$11))/(1-'normal case'!$AO$3))+'normal case'!AA288)</f>
        <v>#DIV/0!</v>
      </c>
      <c r="AC288" s="176" t="e">
        <f t="shared" ca="1" si="30"/>
        <v>#DIV/0!</v>
      </c>
      <c r="AD288" s="49">
        <f t="shared" ca="1" si="31"/>
        <v>282.51984033965925</v>
      </c>
      <c r="AE288" s="49">
        <f>AE287*(1+'main page'!$K$32/100)</f>
        <v>1</v>
      </c>
      <c r="AF288" s="49" t="e">
        <f ca="1">IF(ABS(IF(controls!$B$45=1,$AL$13,AD288*AC288/AE288)-AF287)&lt;0.00001,AF287,IF(controls!$B$45=1,$AL$13,AD288*AC288/AE288))</f>
        <v>#DIV/0!</v>
      </c>
      <c r="AG288" s="49">
        <f>IF(controls!$B$46=0,0,IF(controls!$B$33=2,B289-B288*V289-('normal case'!H289-D288*W289-'main page'!$K$27*'normal case'!M288+'main page'!$K$31*'normal case'!AB288)-(('main page'!$K$25*'main page'!$U$13*'main page'!$K$29)/(1+('main page'!$K$25^2)*'main page'!$U$13))*('normal case'!L288-'main page'!$U$8),B289-B288*V289-('normal case'!I289-D288*W289-'main page'!$K$27*'normal case'!M288+'main page'!$K$31*'normal case'!AB288)-(('main page'!$K$25*'main page'!$U$13*'main page'!$K$29)/(1+('main page'!$K$25^2)*'main page'!$U$13))*('normal case'!L288-'main page'!$U$8)))</f>
        <v>0</v>
      </c>
      <c r="AN288" s="40"/>
      <c r="AO288" s="40"/>
    </row>
    <row r="289" spans="1:41">
      <c r="A289" s="48">
        <v>287</v>
      </c>
      <c r="B289" s="75">
        <f ca="1">IF(controls!$B$33=1,B288*(1+V289)+T289,B288*(1+V289))</f>
        <v>100</v>
      </c>
      <c r="C289" s="80">
        <f t="shared" ca="1" si="32"/>
        <v>0</v>
      </c>
      <c r="D289" s="77">
        <f t="shared" ca="1" si="28"/>
        <v>100</v>
      </c>
      <c r="E289" s="77">
        <f ca="1">AG288+IF(controls!$B$33=1,G289,F289)</f>
        <v>100</v>
      </c>
      <c r="F289" s="94">
        <f ca="1">IF(controls!$B$44=0,H289-'main page'!$K$27*M288,H289-'main page'!$K$27*M288+'main page'!$K$31*AB288)</f>
        <v>100</v>
      </c>
      <c r="G289" s="75">
        <f ca="1">IF(controls!$B$44=0,I289-'main page'!$K$27*M288,I289-'main page'!$K$27*M288+'main page'!$K$31*'normal case'!AB288)</f>
        <v>100</v>
      </c>
      <c r="H289" s="75">
        <f t="shared" ca="1" si="33"/>
        <v>108</v>
      </c>
      <c r="I289" s="75">
        <f t="shared" ca="1" si="34"/>
        <v>108</v>
      </c>
      <c r="L289" s="75">
        <f ca="1">IF(ABS('main page'!$K$29*L288+(1-'main page'!$K$29)*(controls!$B$9/100)*100+'main page'!$K$25*(D289-B289)-L288)&lt;0.0000001,L288,'main page'!$K$29*L288+(1-'main page'!$K$29)*(controls!$B$9/100)*100+'main page'!$K$25*(D289-B289))</f>
        <v>2</v>
      </c>
      <c r="M289" s="96">
        <f ca="1">IF(controls!$B$10=1,M288,IF(SUM(controls!$B$44:$B$46)=2,N289-'main page'!$K$29*'normal case'!L289-(1-'main page'!$K$29)*'main page'!$K$32,N289-'main page'!$K$29*'normal case'!L289-(1-'main page'!$K$29)*controls!$B$9))</f>
        <v>4</v>
      </c>
      <c r="N289" s="208">
        <f ca="1">IF(controls!$B$45=1,IF(controls!$B$46=1,'main page'!$K$24+'main page'!$K$11+'main page'!$U$8,'main page'!$K$24+'main page'!$K$11+'main page'!$K$32),IF(controls!$B$44=1,IF(O289&lt;0,0,O289),IF(O289+'main page'!$K$11&lt;0,0,O289+'main page'!$K$11)))</f>
        <v>6</v>
      </c>
      <c r="O289" s="76">
        <f ca="1">IF(controls!$B$10=1,'normal case'!M289+'normal case'!L289,'normal case'!P289)</f>
        <v>6</v>
      </c>
      <c r="P289" s="74">
        <f t="shared" ca="1" si="29"/>
        <v>6</v>
      </c>
      <c r="Q289" s="210">
        <f ca="1">IF(controls!$B$44=0,R289+'main page'!$K$29*L289+(1-'main page'!$K$29)*controls!$B$9+(('main page'!$K$25*'main page'!$U$13*'main page'!$K$29)/('main page'!$K$27*(1+('main page'!$K$25^2)*'main page'!$U$13)))*(L289-controls!$B$9),R289+'main page'!$K$29*L289+(1-'main page'!$K$29)*controls!$B$9+(('main page'!$K$25*'main page'!$U$13*'normal case'!$AO$3)/'normal case'!$AO$4)*('normal case'!L289-controls!$B$9))</f>
        <v>6</v>
      </c>
      <c r="R289" s="98">
        <f ca="1">IF(controls!$B$44=1,'main page'!$K$24+'main page'!$K$11,IF(controls!$B$33=1,((I290-D289*W290-B290+B289*V290)/'main page'!$K$27)-'main page'!$K$11,((H290-D289*W290-B290+B289*V290)/'main page'!$K$27)-'main page'!$K$11))</f>
        <v>4</v>
      </c>
      <c r="T289" s="71">
        <f>IF(controls!$B$6=1,$AL$3*(1+('main page'!$K$35/100))^U289-$AL$3*(1+('main page'!$K$35/100))^U288,$AL$3*(1+('main page'!$G$8/100))*(1+('main page'!$K$35/100))^U289-$AL$3*(1+('main page'!$G$8/100))*(1+('main page'!$K$35/100))^U288)</f>
        <v>0</v>
      </c>
      <c r="U289" s="73">
        <v>282</v>
      </c>
      <c r="V289" s="161">
        <v>0</v>
      </c>
      <c r="W289" s="40">
        <v>0</v>
      </c>
      <c r="X289" s="49">
        <f ca="1">IF(controls!$B$33=1,D289-($I$3-'main page'!$K$27*2)*(1+('main page'!$K$35/100))^A288,D289-$AL$4)</f>
        <v>0</v>
      </c>
      <c r="Y289" s="49">
        <f ca="1">ABS(L289-(controls!$B$9/100)*100)</f>
        <v>0</v>
      </c>
      <c r="AA289" s="49" t="e">
        <f ca="1">IF(controls!$B$33=1,(B290-B289*V290-I290+D289*W290+'main page'!$K$27*('main page'!$K$24+'main page'!$K$11))/'main page'!$K$31,(B290-B289*V290+D289*W290-H290+'main page'!$K$27*('main page'!$K$24+'main page'!$K$11))/'main page'!$K$31)</f>
        <v>#DIV/0!</v>
      </c>
      <c r="AB289" s="49" t="e">
        <f ca="1">IF(controls!$B$45=1,LOG(AF289,1.01)+LOG(AE289,1.01)-LOG(AD289,1.01),-((M289-('main page'!$K$24+'main page'!$K$11))/(1-'normal case'!$AO$3))+'normal case'!AA289)</f>
        <v>#DIV/0!</v>
      </c>
      <c r="AC289" s="176" t="e">
        <f t="shared" ca="1" si="30"/>
        <v>#DIV/0!</v>
      </c>
      <c r="AD289" s="49">
        <f t="shared" ca="1" si="31"/>
        <v>288.17023714645245</v>
      </c>
      <c r="AE289" s="49">
        <f>AE288*(1+'main page'!$K$32/100)</f>
        <v>1</v>
      </c>
      <c r="AF289" s="49" t="e">
        <f ca="1">IF(ABS(IF(controls!$B$45=1,$AL$13,AD289*AC289/AE289)-AF288)&lt;0.00001,AF288,IF(controls!$B$45=1,$AL$13,AD289*AC289/AE289))</f>
        <v>#DIV/0!</v>
      </c>
      <c r="AG289" s="49">
        <f>IF(controls!$B$46=0,0,IF(controls!$B$33=2,B290-B289*V290-('normal case'!H290-D289*W290-'main page'!$K$27*'normal case'!M289+'main page'!$K$31*'normal case'!AB289)-(('main page'!$K$25*'main page'!$U$13*'main page'!$K$29)/(1+('main page'!$K$25^2)*'main page'!$U$13))*('normal case'!L289-'main page'!$U$8),B290-B289*V290-('normal case'!I290-D289*W290-'main page'!$K$27*'normal case'!M289+'main page'!$K$31*'normal case'!AB289)-(('main page'!$K$25*'main page'!$U$13*'main page'!$K$29)/(1+('main page'!$K$25^2)*'main page'!$U$13))*('normal case'!L289-'main page'!$U$8)))</f>
        <v>0</v>
      </c>
      <c r="AN289" s="40"/>
      <c r="AO289" s="40"/>
    </row>
    <row r="290" spans="1:41">
      <c r="A290" s="48">
        <v>288</v>
      </c>
      <c r="B290" s="75">
        <f ca="1">IF(controls!$B$33=1,B289*(1+V290)+T290,B289*(1+V290))</f>
        <v>100</v>
      </c>
      <c r="C290" s="80">
        <f t="shared" ca="1" si="32"/>
        <v>0</v>
      </c>
      <c r="D290" s="77">
        <f t="shared" ca="1" si="28"/>
        <v>100</v>
      </c>
      <c r="E290" s="77">
        <f ca="1">AG289+IF(controls!$B$33=1,G290,F290)</f>
        <v>100</v>
      </c>
      <c r="F290" s="94">
        <f ca="1">IF(controls!$B$44=0,H290-'main page'!$K$27*M289,H290-'main page'!$K$27*M289+'main page'!$K$31*AB289)</f>
        <v>100</v>
      </c>
      <c r="G290" s="75">
        <f ca="1">IF(controls!$B$44=0,I290-'main page'!$K$27*M289,I290-'main page'!$K$27*M289+'main page'!$K$31*'normal case'!AB289)</f>
        <v>100</v>
      </c>
      <c r="H290" s="75">
        <f t="shared" ca="1" si="33"/>
        <v>108</v>
      </c>
      <c r="I290" s="75">
        <f t="shared" ca="1" si="34"/>
        <v>108</v>
      </c>
      <c r="L290" s="75">
        <f ca="1">IF(ABS('main page'!$K$29*L289+(1-'main page'!$K$29)*(controls!$B$9/100)*100+'main page'!$K$25*(D290-B290)-L289)&lt;0.0000001,L289,'main page'!$K$29*L289+(1-'main page'!$K$29)*(controls!$B$9/100)*100+'main page'!$K$25*(D290-B290))</f>
        <v>2</v>
      </c>
      <c r="M290" s="96">
        <f ca="1">IF(controls!$B$10=1,M289,IF(SUM(controls!$B$44:$B$46)=2,N290-'main page'!$K$29*'normal case'!L290-(1-'main page'!$K$29)*'main page'!$K$32,N290-'main page'!$K$29*'normal case'!L290-(1-'main page'!$K$29)*controls!$B$9))</f>
        <v>4</v>
      </c>
      <c r="N290" s="208">
        <f ca="1">IF(controls!$B$45=1,IF(controls!$B$46=1,'main page'!$K$24+'main page'!$K$11+'main page'!$U$8,'main page'!$K$24+'main page'!$K$11+'main page'!$K$32),IF(controls!$B$44=1,IF(O290&lt;0,0,O290),IF(O290+'main page'!$K$11&lt;0,0,O290+'main page'!$K$11)))</f>
        <v>6</v>
      </c>
      <c r="O290" s="76">
        <f ca="1">IF(controls!$B$10=1,'normal case'!M290+'normal case'!L290,'normal case'!P290)</f>
        <v>6</v>
      </c>
      <c r="P290" s="74">
        <f t="shared" ca="1" si="29"/>
        <v>6</v>
      </c>
      <c r="Q290" s="210">
        <f ca="1">IF(controls!$B$44=0,R290+'main page'!$K$29*L290+(1-'main page'!$K$29)*controls!$B$9+(('main page'!$K$25*'main page'!$U$13*'main page'!$K$29)/('main page'!$K$27*(1+('main page'!$K$25^2)*'main page'!$U$13)))*(L290-controls!$B$9),R290+'main page'!$K$29*L290+(1-'main page'!$K$29)*controls!$B$9+(('main page'!$K$25*'main page'!$U$13*'normal case'!$AO$3)/'normal case'!$AO$4)*('normal case'!L290-controls!$B$9))</f>
        <v>6</v>
      </c>
      <c r="R290" s="98">
        <f ca="1">IF(controls!$B$44=1,'main page'!$K$24+'main page'!$K$11,IF(controls!$B$33=1,((I291-D290*W291-B291+B290*V291)/'main page'!$K$27)-'main page'!$K$11,((H291-D290*W291-B291+B290*V291)/'main page'!$K$27)-'main page'!$K$11))</f>
        <v>4</v>
      </c>
      <c r="T290" s="71">
        <f>IF(controls!$B$6=1,$AL$3*(1+('main page'!$K$35/100))^U290-$AL$3*(1+('main page'!$K$35/100))^U289,$AL$3*(1+('main page'!$G$8/100))*(1+('main page'!$K$35/100))^U290-$AL$3*(1+('main page'!$G$8/100))*(1+('main page'!$K$35/100))^U289)</f>
        <v>0</v>
      </c>
      <c r="U290" s="73">
        <v>283</v>
      </c>
      <c r="V290" s="161">
        <f ca="1">IF(controls!$B$4=1,IF(controls!$H289=1,controls!$B$34*V289+RAND()*('main page'!$K$16/100)-RAND()*('main page'!$K$16/100),0),0)</f>
        <v>0</v>
      </c>
      <c r="W290" s="40">
        <f ca="1">IF(controls!$B$4=1,IF(controls!$I289=1,controls!$B$34*W289+RAND()*('main page'!$K$16/100)-RAND()*('main page'!$K$16/100),0),0)</f>
        <v>0</v>
      </c>
      <c r="X290" s="49">
        <f ca="1">IF(controls!$B$33=1,D290-($I$3-'main page'!$K$27*2)*(1+('main page'!$K$35/100))^A289,D290-$AL$4)</f>
        <v>0</v>
      </c>
      <c r="Y290" s="49">
        <f ca="1">ABS(L290-(controls!$B$9/100)*100)</f>
        <v>0</v>
      </c>
      <c r="AA290" s="49" t="e">
        <f ca="1">IF(controls!$B$33=1,(B291-B290*V291-I291+D290*W291+'main page'!$K$27*('main page'!$K$24+'main page'!$K$11))/'main page'!$K$31,(B291-B290*V291+D290*W291-H291+'main page'!$K$27*('main page'!$K$24+'main page'!$K$11))/'main page'!$K$31)</f>
        <v>#DIV/0!</v>
      </c>
      <c r="AB290" s="49" t="e">
        <f ca="1">IF(controls!$B$45=1,LOG(AF290,1.01)+LOG(AE290,1.01)-LOG(AD290,1.01),-((M290-('main page'!$K$24+'main page'!$K$11))/(1-'normal case'!$AO$3))+'normal case'!AA290)</f>
        <v>#DIV/0!</v>
      </c>
      <c r="AC290" s="176" t="e">
        <f t="shared" ca="1" si="30"/>
        <v>#DIV/0!</v>
      </c>
      <c r="AD290" s="49">
        <f t="shared" ca="1" si="31"/>
        <v>293.93364188938148</v>
      </c>
      <c r="AE290" s="49">
        <f>AE289*(1+'main page'!$K$32/100)</f>
        <v>1</v>
      </c>
      <c r="AF290" s="49" t="e">
        <f ca="1">IF(ABS(IF(controls!$B$45=1,$AL$13,AD290*AC290/AE290)-AF289)&lt;0.00001,AF289,IF(controls!$B$45=1,$AL$13,AD290*AC290/AE290))</f>
        <v>#DIV/0!</v>
      </c>
      <c r="AG290" s="49">
        <f>IF(controls!$B$46=0,0,IF(controls!$B$33=2,B291-B290*V291-('normal case'!H291-D290*W291-'main page'!$K$27*'normal case'!M290+'main page'!$K$31*'normal case'!AB290)-(('main page'!$K$25*'main page'!$U$13*'main page'!$K$29)/(1+('main page'!$K$25^2)*'main page'!$U$13))*('normal case'!L290-'main page'!$U$8),B291-B290*V291-('normal case'!I291-D290*W291-'main page'!$K$27*'normal case'!M290+'main page'!$K$31*'normal case'!AB290)-(('main page'!$K$25*'main page'!$U$13*'main page'!$K$29)/(1+('main page'!$K$25^2)*'main page'!$U$13))*('normal case'!L290-'main page'!$U$8)))</f>
        <v>0</v>
      </c>
      <c r="AN290" s="40"/>
      <c r="AO290" s="40"/>
    </row>
    <row r="291" spans="1:41">
      <c r="A291" s="48">
        <v>289</v>
      </c>
      <c r="B291" s="75">
        <f ca="1">IF(controls!$B$33=1,B290*(1+V291)+T291,B290*(1+V291))</f>
        <v>100</v>
      </c>
      <c r="C291" s="80">
        <f t="shared" ca="1" si="32"/>
        <v>0</v>
      </c>
      <c r="D291" s="77">
        <f t="shared" ca="1" si="28"/>
        <v>100</v>
      </c>
      <c r="E291" s="77">
        <f ca="1">AG290+IF(controls!$B$33=1,G291,F291)</f>
        <v>100</v>
      </c>
      <c r="F291" s="94">
        <f ca="1">IF(controls!$B$44=0,H291-'main page'!$K$27*M290,H291-'main page'!$K$27*M290+'main page'!$K$31*AB290)</f>
        <v>100</v>
      </c>
      <c r="G291" s="75">
        <f ca="1">IF(controls!$B$44=0,I291-'main page'!$K$27*M290,I291-'main page'!$K$27*M290+'main page'!$K$31*'normal case'!AB290)</f>
        <v>100</v>
      </c>
      <c r="H291" s="75">
        <f t="shared" ca="1" si="33"/>
        <v>108</v>
      </c>
      <c r="I291" s="75">
        <f t="shared" ca="1" si="34"/>
        <v>108</v>
      </c>
      <c r="L291" s="75">
        <f ca="1">IF(ABS('main page'!$K$29*L290+(1-'main page'!$K$29)*(controls!$B$9/100)*100+'main page'!$K$25*(D291-B291)-L290)&lt;0.0000001,L290,'main page'!$K$29*L290+(1-'main page'!$K$29)*(controls!$B$9/100)*100+'main page'!$K$25*(D291-B291))</f>
        <v>2</v>
      </c>
      <c r="M291" s="96">
        <f ca="1">IF(controls!$B$10=1,M290,IF(SUM(controls!$B$44:$B$46)=2,N291-'main page'!$K$29*'normal case'!L291-(1-'main page'!$K$29)*'main page'!$K$32,N291-'main page'!$K$29*'normal case'!L291-(1-'main page'!$K$29)*controls!$B$9))</f>
        <v>4</v>
      </c>
      <c r="N291" s="208">
        <f ca="1">IF(controls!$B$45=1,IF(controls!$B$46=1,'main page'!$K$24+'main page'!$K$11+'main page'!$U$8,'main page'!$K$24+'main page'!$K$11+'main page'!$K$32),IF(controls!$B$44=1,IF(O291&lt;0,0,O291),IF(O291+'main page'!$K$11&lt;0,0,O291+'main page'!$K$11)))</f>
        <v>6</v>
      </c>
      <c r="O291" s="76">
        <f ca="1">IF(controls!$B$10=1,'normal case'!M291+'normal case'!L291,'normal case'!P291)</f>
        <v>6</v>
      </c>
      <c r="P291" s="74">
        <f t="shared" ca="1" si="29"/>
        <v>6</v>
      </c>
      <c r="Q291" s="210">
        <f ca="1">IF(controls!$B$44=0,R291+'main page'!$K$29*L291+(1-'main page'!$K$29)*controls!$B$9+(('main page'!$K$25*'main page'!$U$13*'main page'!$K$29)/('main page'!$K$27*(1+('main page'!$K$25^2)*'main page'!$U$13)))*(L291-controls!$B$9),R291+'main page'!$K$29*L291+(1-'main page'!$K$29)*controls!$B$9+(('main page'!$K$25*'main page'!$U$13*'normal case'!$AO$3)/'normal case'!$AO$4)*('normal case'!L291-controls!$B$9))</f>
        <v>6</v>
      </c>
      <c r="R291" s="98">
        <f ca="1">IF(controls!$B$44=1,'main page'!$K$24+'main page'!$K$11,IF(controls!$B$33=1,((I292-D291*W292-B292+B291*V292)/'main page'!$K$27)-'main page'!$K$11,((H292-D291*W292-B292+B291*V292)/'main page'!$K$27)-'main page'!$K$11))</f>
        <v>4</v>
      </c>
      <c r="T291" s="71">
        <f>IF(controls!$B$6=1,$AL$3*(1+('main page'!$K$35/100))^U291-$AL$3*(1+('main page'!$K$35/100))^U290,$AL$3*(1+('main page'!$G$8/100))*(1+('main page'!$K$35/100))^U291-$AL$3*(1+('main page'!$G$8/100))*(1+('main page'!$K$35/100))^U290)</f>
        <v>0</v>
      </c>
      <c r="U291" s="73">
        <v>284</v>
      </c>
      <c r="V291" s="161">
        <v>0</v>
      </c>
      <c r="W291" s="40">
        <v>0</v>
      </c>
      <c r="X291" s="49">
        <f ca="1">IF(controls!$B$33=1,D291-($I$3-'main page'!$K$27*2)*(1+('main page'!$K$35/100))^A290,D291-$AL$4)</f>
        <v>0</v>
      </c>
      <c r="Y291" s="49">
        <f ca="1">ABS(L291-(controls!$B$9/100)*100)</f>
        <v>0</v>
      </c>
      <c r="AA291" s="49" t="e">
        <f ca="1">IF(controls!$B$33=1,(B292-B291*V292-I292+D291*W292+'main page'!$K$27*('main page'!$K$24+'main page'!$K$11))/'main page'!$K$31,(B292-B291*V292+D291*W292-H292+'main page'!$K$27*('main page'!$K$24+'main page'!$K$11))/'main page'!$K$31)</f>
        <v>#DIV/0!</v>
      </c>
      <c r="AB291" s="49" t="e">
        <f ca="1">IF(controls!$B$45=1,LOG(AF291,1.01)+LOG(AE291,1.01)-LOG(AD291,1.01),-((M291-('main page'!$K$24+'main page'!$K$11))/(1-'normal case'!$AO$3))+'normal case'!AA291)</f>
        <v>#DIV/0!</v>
      </c>
      <c r="AC291" s="176" t="e">
        <f t="shared" ca="1" si="30"/>
        <v>#DIV/0!</v>
      </c>
      <c r="AD291" s="49">
        <f t="shared" ca="1" si="31"/>
        <v>299.81231472716911</v>
      </c>
      <c r="AE291" s="49">
        <f>AE290*(1+'main page'!$K$32/100)</f>
        <v>1</v>
      </c>
      <c r="AF291" s="49" t="e">
        <f ca="1">IF(ABS(IF(controls!$B$45=1,$AL$13,AD291*AC291/AE291)-AF290)&lt;0.00001,AF290,IF(controls!$B$45=1,$AL$13,AD291*AC291/AE291))</f>
        <v>#DIV/0!</v>
      </c>
      <c r="AG291" s="49">
        <f>IF(controls!$B$46=0,0,IF(controls!$B$33=2,B292-B291*V292-('normal case'!H292-D291*W292-'main page'!$K$27*'normal case'!M291+'main page'!$K$31*'normal case'!AB291)-(('main page'!$K$25*'main page'!$U$13*'main page'!$K$29)/(1+('main page'!$K$25^2)*'main page'!$U$13))*('normal case'!L291-'main page'!$U$8),B292-B291*V292-('normal case'!I292-D291*W292-'main page'!$K$27*'normal case'!M291+'main page'!$K$31*'normal case'!AB291)-(('main page'!$K$25*'main page'!$U$13*'main page'!$K$29)/(1+('main page'!$K$25^2)*'main page'!$U$13))*('normal case'!L291-'main page'!$U$8)))</f>
        <v>0</v>
      </c>
      <c r="AN291" s="40"/>
      <c r="AO291" s="40"/>
    </row>
    <row r="292" spans="1:41">
      <c r="A292" s="48">
        <v>290</v>
      </c>
      <c r="B292" s="75">
        <f ca="1">IF(controls!$B$33=1,B291*(1+V292)+T292,B291*(1+V292))</f>
        <v>100</v>
      </c>
      <c r="C292" s="80">
        <f t="shared" ca="1" si="32"/>
        <v>0</v>
      </c>
      <c r="D292" s="77">
        <f t="shared" ca="1" si="28"/>
        <v>100</v>
      </c>
      <c r="E292" s="77">
        <f ca="1">AG291+IF(controls!$B$33=1,G292,F292)</f>
        <v>100</v>
      </c>
      <c r="F292" s="94">
        <f ca="1">IF(controls!$B$44=0,H292-'main page'!$K$27*M291,H292-'main page'!$K$27*M291+'main page'!$K$31*AB291)</f>
        <v>100</v>
      </c>
      <c r="G292" s="75">
        <f ca="1">IF(controls!$B$44=0,I292-'main page'!$K$27*M291,I292-'main page'!$K$27*M291+'main page'!$K$31*'normal case'!AB291)</f>
        <v>100</v>
      </c>
      <c r="H292" s="75">
        <f t="shared" ca="1" si="33"/>
        <v>108</v>
      </c>
      <c r="I292" s="75">
        <f t="shared" ca="1" si="34"/>
        <v>108</v>
      </c>
      <c r="L292" s="75">
        <f ca="1">IF(ABS('main page'!$K$29*L291+(1-'main page'!$K$29)*(controls!$B$9/100)*100+'main page'!$K$25*(D292-B292)-L291)&lt;0.0000001,L291,'main page'!$K$29*L291+(1-'main page'!$K$29)*(controls!$B$9/100)*100+'main page'!$K$25*(D292-B292))</f>
        <v>2</v>
      </c>
      <c r="M292" s="96">
        <f ca="1">IF(controls!$B$10=1,M291,IF(SUM(controls!$B$44:$B$46)=2,N292-'main page'!$K$29*'normal case'!L292-(1-'main page'!$K$29)*'main page'!$K$32,N292-'main page'!$K$29*'normal case'!L292-(1-'main page'!$K$29)*controls!$B$9))</f>
        <v>4</v>
      </c>
      <c r="N292" s="208">
        <f ca="1">IF(controls!$B$45=1,IF(controls!$B$46=1,'main page'!$K$24+'main page'!$K$11+'main page'!$U$8,'main page'!$K$24+'main page'!$K$11+'main page'!$K$32),IF(controls!$B$44=1,IF(O292&lt;0,0,O292),IF(O292+'main page'!$K$11&lt;0,0,O292+'main page'!$K$11)))</f>
        <v>6</v>
      </c>
      <c r="O292" s="76">
        <f ca="1">IF(controls!$B$10=1,'normal case'!M292+'normal case'!L292,'normal case'!P292)</f>
        <v>6</v>
      </c>
      <c r="P292" s="74">
        <f t="shared" ca="1" si="29"/>
        <v>6</v>
      </c>
      <c r="Q292" s="210">
        <f ca="1">IF(controls!$B$44=0,R292+'main page'!$K$29*L292+(1-'main page'!$K$29)*controls!$B$9+(('main page'!$K$25*'main page'!$U$13*'main page'!$K$29)/('main page'!$K$27*(1+('main page'!$K$25^2)*'main page'!$U$13)))*(L292-controls!$B$9),R292+'main page'!$K$29*L292+(1-'main page'!$K$29)*controls!$B$9+(('main page'!$K$25*'main page'!$U$13*'normal case'!$AO$3)/'normal case'!$AO$4)*('normal case'!L292-controls!$B$9))</f>
        <v>6</v>
      </c>
      <c r="R292" s="98">
        <f ca="1">IF(controls!$B$44=1,'main page'!$K$24+'main page'!$K$11,IF(controls!$B$33=1,((I293-D292*W293-B293+B292*V293)/'main page'!$K$27)-'main page'!$K$11,((H293-D292*W293-B293+B292*V293)/'main page'!$K$27)-'main page'!$K$11))</f>
        <v>4</v>
      </c>
      <c r="T292" s="71">
        <f>IF(controls!$B$6=1,$AL$3*(1+('main page'!$K$35/100))^U292-$AL$3*(1+('main page'!$K$35/100))^U291,$AL$3*(1+('main page'!$G$8/100))*(1+('main page'!$K$35/100))^U292-$AL$3*(1+('main page'!$G$8/100))*(1+('main page'!$K$35/100))^U291)</f>
        <v>0</v>
      </c>
      <c r="U292" s="73">
        <v>285</v>
      </c>
      <c r="V292" s="161">
        <v>0</v>
      </c>
      <c r="W292" s="40">
        <v>0</v>
      </c>
      <c r="X292" s="49">
        <f ca="1">IF(controls!$B$33=1,D292-($I$3-'main page'!$K$27*2)*(1+('main page'!$K$35/100))^A291,D292-$AL$4)</f>
        <v>0</v>
      </c>
      <c r="Y292" s="49">
        <f ca="1">ABS(L292-(controls!$B$9/100)*100)</f>
        <v>0</v>
      </c>
      <c r="AA292" s="49" t="e">
        <f ca="1">IF(controls!$B$33=1,(B293-B292*V293-I293+D292*W293+'main page'!$K$27*('main page'!$K$24+'main page'!$K$11))/'main page'!$K$31,(B293-B292*V293+D292*W293-H293+'main page'!$K$27*('main page'!$K$24+'main page'!$K$11))/'main page'!$K$31)</f>
        <v>#DIV/0!</v>
      </c>
      <c r="AB292" s="49" t="e">
        <f ca="1">IF(controls!$B$45=1,LOG(AF292,1.01)+LOG(AE292,1.01)-LOG(AD292,1.01),-((M292-('main page'!$K$24+'main page'!$K$11))/(1-'normal case'!$AO$3))+'normal case'!AA292)</f>
        <v>#DIV/0!</v>
      </c>
      <c r="AC292" s="176" t="e">
        <f t="shared" ca="1" si="30"/>
        <v>#DIV/0!</v>
      </c>
      <c r="AD292" s="49">
        <f t="shared" ca="1" si="31"/>
        <v>305.80856102171248</v>
      </c>
      <c r="AE292" s="49">
        <f>AE291*(1+'main page'!$K$32/100)</f>
        <v>1</v>
      </c>
      <c r="AF292" s="49" t="e">
        <f ca="1">IF(ABS(IF(controls!$B$45=1,$AL$13,AD292*AC292/AE292)-AF291)&lt;0.00001,AF291,IF(controls!$B$45=1,$AL$13,AD292*AC292/AE292))</f>
        <v>#DIV/0!</v>
      </c>
      <c r="AG292" s="49">
        <f>IF(controls!$B$46=0,0,IF(controls!$B$33=2,B293-B292*V293-('normal case'!H293-D292*W293-'main page'!$K$27*'normal case'!M292+'main page'!$K$31*'normal case'!AB292)-(('main page'!$K$25*'main page'!$U$13*'main page'!$K$29)/(1+('main page'!$K$25^2)*'main page'!$U$13))*('normal case'!L292-'main page'!$U$8),B293-B292*V293-('normal case'!I293-D292*W293-'main page'!$K$27*'normal case'!M292+'main page'!$K$31*'normal case'!AB292)-(('main page'!$K$25*'main page'!$U$13*'main page'!$K$29)/(1+('main page'!$K$25^2)*'main page'!$U$13))*('normal case'!L292-'main page'!$U$8)))</f>
        <v>0</v>
      </c>
      <c r="AN292" s="40"/>
      <c r="AO292" s="40"/>
    </row>
    <row r="293" spans="1:41">
      <c r="A293" s="48">
        <v>291</v>
      </c>
      <c r="B293" s="75">
        <f ca="1">IF(controls!$B$33=1,B292*(1+V293)+T293,B292*(1+V293))</f>
        <v>100</v>
      </c>
      <c r="C293" s="80">
        <f t="shared" ca="1" si="32"/>
        <v>0</v>
      </c>
      <c r="D293" s="77">
        <f t="shared" ca="1" si="28"/>
        <v>100</v>
      </c>
      <c r="E293" s="77">
        <f ca="1">AG292+IF(controls!$B$33=1,G293,F293)</f>
        <v>100</v>
      </c>
      <c r="F293" s="94">
        <f ca="1">IF(controls!$B$44=0,H293-'main page'!$K$27*M292,H293-'main page'!$K$27*M292+'main page'!$K$31*AB292)</f>
        <v>100</v>
      </c>
      <c r="G293" s="75">
        <f ca="1">IF(controls!$B$44=0,I293-'main page'!$K$27*M292,I293-'main page'!$K$27*M292+'main page'!$K$31*'normal case'!AB292)</f>
        <v>100</v>
      </c>
      <c r="H293" s="75">
        <f t="shared" ca="1" si="33"/>
        <v>108</v>
      </c>
      <c r="I293" s="75">
        <f t="shared" ca="1" si="34"/>
        <v>108</v>
      </c>
      <c r="L293" s="75">
        <f ca="1">IF(ABS('main page'!$K$29*L292+(1-'main page'!$K$29)*(controls!$B$9/100)*100+'main page'!$K$25*(D293-B293)-L292)&lt;0.0000001,L292,'main page'!$K$29*L292+(1-'main page'!$K$29)*(controls!$B$9/100)*100+'main page'!$K$25*(D293-B293))</f>
        <v>2</v>
      </c>
      <c r="M293" s="96">
        <f ca="1">IF(controls!$B$10=1,M292,IF(SUM(controls!$B$44:$B$46)=2,N293-'main page'!$K$29*'normal case'!L293-(1-'main page'!$K$29)*'main page'!$K$32,N293-'main page'!$K$29*'normal case'!L293-(1-'main page'!$K$29)*controls!$B$9))</f>
        <v>4</v>
      </c>
      <c r="N293" s="208">
        <f ca="1">IF(controls!$B$45=1,IF(controls!$B$46=1,'main page'!$K$24+'main page'!$K$11+'main page'!$U$8,'main page'!$K$24+'main page'!$K$11+'main page'!$K$32),IF(controls!$B$44=1,IF(O293&lt;0,0,O293),IF(O293+'main page'!$K$11&lt;0,0,O293+'main page'!$K$11)))</f>
        <v>6</v>
      </c>
      <c r="O293" s="76">
        <f ca="1">IF(controls!$B$10=1,'normal case'!M293+'normal case'!L293,'normal case'!P293)</f>
        <v>6</v>
      </c>
      <c r="P293" s="74">
        <f t="shared" ca="1" si="29"/>
        <v>6</v>
      </c>
      <c r="Q293" s="210">
        <f ca="1">IF(controls!$B$44=0,R293+'main page'!$K$29*L293+(1-'main page'!$K$29)*controls!$B$9+(('main page'!$K$25*'main page'!$U$13*'main page'!$K$29)/('main page'!$K$27*(1+('main page'!$K$25^2)*'main page'!$U$13)))*(L293-controls!$B$9),R293+'main page'!$K$29*L293+(1-'main page'!$K$29)*controls!$B$9+(('main page'!$K$25*'main page'!$U$13*'normal case'!$AO$3)/'normal case'!$AO$4)*('normal case'!L293-controls!$B$9))</f>
        <v>6</v>
      </c>
      <c r="R293" s="98">
        <f ca="1">IF(controls!$B$44=1,'main page'!$K$24+'main page'!$K$11,IF(controls!$B$33=1,((I294-D293*W294-B294+B293*V294)/'main page'!$K$27)-'main page'!$K$11,((H294-D293*W294-B294+B293*V294)/'main page'!$K$27)-'main page'!$K$11))</f>
        <v>4</v>
      </c>
      <c r="T293" s="71">
        <f>IF(controls!$B$6=1,$AL$3*(1+('main page'!$K$35/100))^U293-$AL$3*(1+('main page'!$K$35/100))^U292,$AL$3*(1+('main page'!$G$8/100))*(1+('main page'!$K$35/100))^U293-$AL$3*(1+('main page'!$G$8/100))*(1+('main page'!$K$35/100))^U292)</f>
        <v>0</v>
      </c>
      <c r="U293" s="73">
        <v>286</v>
      </c>
      <c r="V293" s="161">
        <f ca="1">IF(controls!$B$4=1,IF(controls!$H292=1,controls!$B$34*V292+RAND()*('main page'!$K$16/100)-RAND()*('main page'!$K$16/100),0),0)</f>
        <v>0</v>
      </c>
      <c r="W293" s="40">
        <f ca="1">IF(controls!$B$4=1,IF(controls!$I292=1,controls!$B$34*W292+RAND()*('main page'!$K$16/100)-RAND()*('main page'!$K$16/100),0),0)</f>
        <v>0</v>
      </c>
      <c r="X293" s="49">
        <f ca="1">IF(controls!$B$33=1,D293-($I$3-'main page'!$K$27*2)*(1+('main page'!$K$35/100))^A292,D293-$AL$4)</f>
        <v>0</v>
      </c>
      <c r="Y293" s="49">
        <f ca="1">ABS(L293-(controls!$B$9/100)*100)</f>
        <v>0</v>
      </c>
      <c r="AA293" s="49" t="e">
        <f ca="1">IF(controls!$B$33=1,(B294-B293*V294-I294+D293*W294+'main page'!$K$27*('main page'!$K$24+'main page'!$K$11))/'main page'!$K$31,(B294-B293*V294+D293*W294-H294+'main page'!$K$27*('main page'!$K$24+'main page'!$K$11))/'main page'!$K$31)</f>
        <v>#DIV/0!</v>
      </c>
      <c r="AB293" s="49" t="e">
        <f ca="1">IF(controls!$B$45=1,LOG(AF293,1.01)+LOG(AE293,1.01)-LOG(AD293,1.01),-((M293-('main page'!$K$24+'main page'!$K$11))/(1-'normal case'!$AO$3))+'normal case'!AA293)</f>
        <v>#DIV/0!</v>
      </c>
      <c r="AC293" s="176" t="e">
        <f t="shared" ca="1" si="30"/>
        <v>#DIV/0!</v>
      </c>
      <c r="AD293" s="49">
        <f t="shared" ca="1" si="31"/>
        <v>311.92473224214672</v>
      </c>
      <c r="AE293" s="49">
        <f>AE292*(1+'main page'!$K$32/100)</f>
        <v>1</v>
      </c>
      <c r="AF293" s="49" t="e">
        <f ca="1">IF(ABS(IF(controls!$B$45=1,$AL$13,AD293*AC293/AE293)-AF292)&lt;0.00001,AF292,IF(controls!$B$45=1,$AL$13,AD293*AC293/AE293))</f>
        <v>#DIV/0!</v>
      </c>
      <c r="AG293" s="49">
        <f>IF(controls!$B$46=0,0,IF(controls!$B$33=2,B294-B293*V294-('normal case'!H294-D293*W294-'main page'!$K$27*'normal case'!M293+'main page'!$K$31*'normal case'!AB293)-(('main page'!$K$25*'main page'!$U$13*'main page'!$K$29)/(1+('main page'!$K$25^2)*'main page'!$U$13))*('normal case'!L293-'main page'!$U$8),B294-B293*V294-('normal case'!I294-D293*W294-'main page'!$K$27*'normal case'!M293+'main page'!$K$31*'normal case'!AB293)-(('main page'!$K$25*'main page'!$U$13*'main page'!$K$29)/(1+('main page'!$K$25^2)*'main page'!$U$13))*('normal case'!L293-'main page'!$U$8)))</f>
        <v>0</v>
      </c>
      <c r="AN293" s="40"/>
      <c r="AO293" s="40"/>
    </row>
    <row r="294" spans="1:41">
      <c r="A294" s="48">
        <v>292</v>
      </c>
      <c r="B294" s="75">
        <f ca="1">IF(controls!$B$33=1,B293*(1+V294)+T294,B293*(1+V294))</f>
        <v>100</v>
      </c>
      <c r="C294" s="80">
        <f t="shared" ca="1" si="32"/>
        <v>0</v>
      </c>
      <c r="D294" s="77">
        <f t="shared" ca="1" si="28"/>
        <v>100</v>
      </c>
      <c r="E294" s="77">
        <f ca="1">AG293+IF(controls!$B$33=1,G294,F294)</f>
        <v>100</v>
      </c>
      <c r="F294" s="94">
        <f ca="1">IF(controls!$B$44=0,H294-'main page'!$K$27*M293,H294-'main page'!$K$27*M293+'main page'!$K$31*AB293)</f>
        <v>100</v>
      </c>
      <c r="G294" s="75">
        <f ca="1">IF(controls!$B$44=0,I294-'main page'!$K$27*M293,I294-'main page'!$K$27*M293+'main page'!$K$31*'normal case'!AB293)</f>
        <v>100</v>
      </c>
      <c r="H294" s="75">
        <f t="shared" ca="1" si="33"/>
        <v>108</v>
      </c>
      <c r="I294" s="75">
        <f t="shared" ca="1" si="34"/>
        <v>108</v>
      </c>
      <c r="L294" s="75">
        <f ca="1">IF(ABS('main page'!$K$29*L293+(1-'main page'!$K$29)*(controls!$B$9/100)*100+'main page'!$K$25*(D294-B294)-L293)&lt;0.0000001,L293,'main page'!$K$29*L293+(1-'main page'!$K$29)*(controls!$B$9/100)*100+'main page'!$K$25*(D294-B294))</f>
        <v>2</v>
      </c>
      <c r="M294" s="96">
        <f ca="1">IF(controls!$B$10=1,M293,IF(SUM(controls!$B$44:$B$46)=2,N294-'main page'!$K$29*'normal case'!L294-(1-'main page'!$K$29)*'main page'!$K$32,N294-'main page'!$K$29*'normal case'!L294-(1-'main page'!$K$29)*controls!$B$9))</f>
        <v>4</v>
      </c>
      <c r="N294" s="208">
        <f ca="1">IF(controls!$B$45=1,IF(controls!$B$46=1,'main page'!$K$24+'main page'!$K$11+'main page'!$U$8,'main page'!$K$24+'main page'!$K$11+'main page'!$K$32),IF(controls!$B$44=1,IF(O294&lt;0,0,O294),IF(O294+'main page'!$K$11&lt;0,0,O294+'main page'!$K$11)))</f>
        <v>6</v>
      </c>
      <c r="O294" s="76">
        <f ca="1">IF(controls!$B$10=1,'normal case'!M294+'normal case'!L294,'normal case'!P294)</f>
        <v>6</v>
      </c>
      <c r="P294" s="74">
        <f t="shared" ca="1" si="29"/>
        <v>6</v>
      </c>
      <c r="Q294" s="210">
        <f ca="1">IF(controls!$B$44=0,R294+'main page'!$K$29*L294+(1-'main page'!$K$29)*controls!$B$9+(('main page'!$K$25*'main page'!$U$13*'main page'!$K$29)/('main page'!$K$27*(1+('main page'!$K$25^2)*'main page'!$U$13)))*(L294-controls!$B$9),R294+'main page'!$K$29*L294+(1-'main page'!$K$29)*controls!$B$9+(('main page'!$K$25*'main page'!$U$13*'normal case'!$AO$3)/'normal case'!$AO$4)*('normal case'!L294-controls!$B$9))</f>
        <v>6</v>
      </c>
      <c r="R294" s="98">
        <f ca="1">IF(controls!$B$44=1,'main page'!$K$24+'main page'!$K$11,IF(controls!$B$33=1,((I295-D294*W295-B295+B294*V295)/'main page'!$K$27)-'main page'!$K$11,((H295-D294*W295-B295+B294*V295)/'main page'!$K$27)-'main page'!$K$11))</f>
        <v>4</v>
      </c>
      <c r="T294" s="71">
        <f>IF(controls!$B$6=1,$AL$3*(1+('main page'!$K$35/100))^U294-$AL$3*(1+('main page'!$K$35/100))^U293,$AL$3*(1+('main page'!$G$8/100))*(1+('main page'!$K$35/100))^U294-$AL$3*(1+('main page'!$G$8/100))*(1+('main page'!$K$35/100))^U293)</f>
        <v>0</v>
      </c>
      <c r="U294" s="73">
        <v>287</v>
      </c>
      <c r="V294" s="161">
        <v>0</v>
      </c>
      <c r="W294" s="40">
        <v>0</v>
      </c>
      <c r="X294" s="49">
        <f ca="1">IF(controls!$B$33=1,D294-($I$3-'main page'!$K$27*2)*(1+('main page'!$K$35/100))^A293,D294-$AL$4)</f>
        <v>0</v>
      </c>
      <c r="Y294" s="49">
        <f ca="1">ABS(L294-(controls!$B$9/100)*100)</f>
        <v>0</v>
      </c>
      <c r="AA294" s="49" t="e">
        <f ca="1">IF(controls!$B$33=1,(B295-B294*V295-I295+D294*W295+'main page'!$K$27*('main page'!$K$24+'main page'!$K$11))/'main page'!$K$31,(B295-B294*V295+D294*W295-H295+'main page'!$K$27*('main page'!$K$24+'main page'!$K$11))/'main page'!$K$31)</f>
        <v>#DIV/0!</v>
      </c>
      <c r="AB294" s="49" t="e">
        <f ca="1">IF(controls!$B$45=1,LOG(AF294,1.01)+LOG(AE294,1.01)-LOG(AD294,1.01),-((M294-('main page'!$K$24+'main page'!$K$11))/(1-'normal case'!$AO$3))+'normal case'!AA294)</f>
        <v>#DIV/0!</v>
      </c>
      <c r="AC294" s="176" t="e">
        <f t="shared" ca="1" si="30"/>
        <v>#DIV/0!</v>
      </c>
      <c r="AD294" s="49">
        <f t="shared" ca="1" si="31"/>
        <v>318.16322688698966</v>
      </c>
      <c r="AE294" s="49">
        <f>AE293*(1+'main page'!$K$32/100)</f>
        <v>1</v>
      </c>
      <c r="AF294" s="49" t="e">
        <f ca="1">IF(ABS(IF(controls!$B$45=1,$AL$13,AD294*AC294/AE294)-AF293)&lt;0.00001,AF293,IF(controls!$B$45=1,$AL$13,AD294*AC294/AE294))</f>
        <v>#DIV/0!</v>
      </c>
      <c r="AG294" s="49">
        <f>IF(controls!$B$46=0,0,IF(controls!$B$33=2,B295-B294*V295-('normal case'!H295-D294*W295-'main page'!$K$27*'normal case'!M294+'main page'!$K$31*'normal case'!AB294)-(('main page'!$K$25*'main page'!$U$13*'main page'!$K$29)/(1+('main page'!$K$25^2)*'main page'!$U$13))*('normal case'!L294-'main page'!$U$8),B295-B294*V295-('normal case'!I295-D294*W295-'main page'!$K$27*'normal case'!M294+'main page'!$K$31*'normal case'!AB294)-(('main page'!$K$25*'main page'!$U$13*'main page'!$K$29)/(1+('main page'!$K$25^2)*'main page'!$U$13))*('normal case'!L294-'main page'!$U$8)))</f>
        <v>0</v>
      </c>
      <c r="AN294" s="40"/>
      <c r="AO294" s="40"/>
    </row>
    <row r="295" spans="1:41">
      <c r="A295" s="48">
        <v>293</v>
      </c>
      <c r="B295" s="75">
        <f ca="1">IF(controls!$B$33=1,B294*(1+V295)+T295,B294*(1+V295))</f>
        <v>100</v>
      </c>
      <c r="C295" s="80">
        <f t="shared" ca="1" si="32"/>
        <v>0</v>
      </c>
      <c r="D295" s="77">
        <f t="shared" ca="1" si="28"/>
        <v>100</v>
      </c>
      <c r="E295" s="77">
        <f ca="1">AG294+IF(controls!$B$33=1,G295,F295)</f>
        <v>100</v>
      </c>
      <c r="F295" s="94">
        <f ca="1">IF(controls!$B$44=0,H295-'main page'!$K$27*M294,H295-'main page'!$K$27*M294+'main page'!$K$31*AB294)</f>
        <v>100</v>
      </c>
      <c r="G295" s="75">
        <f ca="1">IF(controls!$B$44=0,I295-'main page'!$K$27*M294,I295-'main page'!$K$27*M294+'main page'!$K$31*'normal case'!AB294)</f>
        <v>100</v>
      </c>
      <c r="H295" s="75">
        <f t="shared" ca="1" si="33"/>
        <v>108</v>
      </c>
      <c r="I295" s="75">
        <f t="shared" ca="1" si="34"/>
        <v>108</v>
      </c>
      <c r="L295" s="75">
        <f ca="1">IF(ABS('main page'!$K$29*L294+(1-'main page'!$K$29)*(controls!$B$9/100)*100+'main page'!$K$25*(D295-B295)-L294)&lt;0.0000001,L294,'main page'!$K$29*L294+(1-'main page'!$K$29)*(controls!$B$9/100)*100+'main page'!$K$25*(D295-B295))</f>
        <v>2</v>
      </c>
      <c r="M295" s="96">
        <f ca="1">IF(controls!$B$10=1,M294,IF(SUM(controls!$B$44:$B$46)=2,N295-'main page'!$K$29*'normal case'!L295-(1-'main page'!$K$29)*'main page'!$K$32,N295-'main page'!$K$29*'normal case'!L295-(1-'main page'!$K$29)*controls!$B$9))</f>
        <v>4</v>
      </c>
      <c r="N295" s="208">
        <f ca="1">IF(controls!$B$45=1,IF(controls!$B$46=1,'main page'!$K$24+'main page'!$K$11+'main page'!$U$8,'main page'!$K$24+'main page'!$K$11+'main page'!$K$32),IF(controls!$B$44=1,IF(O295&lt;0,0,O295),IF(O295+'main page'!$K$11&lt;0,0,O295+'main page'!$K$11)))</f>
        <v>6</v>
      </c>
      <c r="O295" s="76">
        <f ca="1">IF(controls!$B$10=1,'normal case'!M295+'normal case'!L295,'normal case'!P295)</f>
        <v>6</v>
      </c>
      <c r="P295" s="74">
        <f t="shared" ca="1" si="29"/>
        <v>6</v>
      </c>
      <c r="Q295" s="210">
        <f ca="1">IF(controls!$B$44=0,R295+'main page'!$K$29*L295+(1-'main page'!$K$29)*controls!$B$9+(('main page'!$K$25*'main page'!$U$13*'main page'!$K$29)/('main page'!$K$27*(1+('main page'!$K$25^2)*'main page'!$U$13)))*(L295-controls!$B$9),R295+'main page'!$K$29*L295+(1-'main page'!$K$29)*controls!$B$9+(('main page'!$K$25*'main page'!$U$13*'normal case'!$AO$3)/'normal case'!$AO$4)*('normal case'!L295-controls!$B$9))</f>
        <v>6</v>
      </c>
      <c r="R295" s="98">
        <f ca="1">IF(controls!$B$44=1,'main page'!$K$24+'main page'!$K$11,IF(controls!$B$33=1,((I296-D295*W296-B296+B295*V296)/'main page'!$K$27)-'main page'!$K$11,((H296-D295*W296-B296+B295*V296)/'main page'!$K$27)-'main page'!$K$11))</f>
        <v>4</v>
      </c>
      <c r="T295" s="71">
        <f>IF(controls!$B$6=1,$AL$3*(1+('main page'!$K$35/100))^U295-$AL$3*(1+('main page'!$K$35/100))^U294,$AL$3*(1+('main page'!$G$8/100))*(1+('main page'!$K$35/100))^U295-$AL$3*(1+('main page'!$G$8/100))*(1+('main page'!$K$35/100))^U294)</f>
        <v>0</v>
      </c>
      <c r="U295" s="73">
        <v>288</v>
      </c>
      <c r="V295" s="161">
        <v>0</v>
      </c>
      <c r="W295" s="40">
        <v>0</v>
      </c>
      <c r="X295" s="49">
        <f ca="1">IF(controls!$B$33=1,D295-($I$3-'main page'!$K$27*2)*(1+('main page'!$K$35/100))^A294,D295-$AL$4)</f>
        <v>0</v>
      </c>
      <c r="Y295" s="49">
        <f ca="1">ABS(L295-(controls!$B$9/100)*100)</f>
        <v>0</v>
      </c>
      <c r="AA295" s="49" t="e">
        <f ca="1">IF(controls!$B$33=1,(B296-B295*V296-I296+D295*W296+'main page'!$K$27*('main page'!$K$24+'main page'!$K$11))/'main page'!$K$31,(B296-B295*V296+D295*W296-H296+'main page'!$K$27*('main page'!$K$24+'main page'!$K$11))/'main page'!$K$31)</f>
        <v>#DIV/0!</v>
      </c>
      <c r="AB295" s="49" t="e">
        <f ca="1">IF(controls!$B$45=1,LOG(AF295,1.01)+LOG(AE295,1.01)-LOG(AD295,1.01),-((M295-('main page'!$K$24+'main page'!$K$11))/(1-'normal case'!$AO$3))+'normal case'!AA295)</f>
        <v>#DIV/0!</v>
      </c>
      <c r="AC295" s="176" t="e">
        <f t="shared" ca="1" si="30"/>
        <v>#DIV/0!</v>
      </c>
      <c r="AD295" s="49">
        <f t="shared" ca="1" si="31"/>
        <v>324.52649142472944</v>
      </c>
      <c r="AE295" s="49">
        <f>AE294*(1+'main page'!$K$32/100)</f>
        <v>1</v>
      </c>
      <c r="AF295" s="49" t="e">
        <f ca="1">IF(ABS(IF(controls!$B$45=1,$AL$13,AD295*AC295/AE295)-AF294)&lt;0.00001,AF294,IF(controls!$B$45=1,$AL$13,AD295*AC295/AE295))</f>
        <v>#DIV/0!</v>
      </c>
      <c r="AG295" s="49">
        <f>IF(controls!$B$46=0,0,IF(controls!$B$33=2,B296-B295*V296-('normal case'!H296-D295*W296-'main page'!$K$27*'normal case'!M295+'main page'!$K$31*'normal case'!AB295)-(('main page'!$K$25*'main page'!$U$13*'main page'!$K$29)/(1+('main page'!$K$25^2)*'main page'!$U$13))*('normal case'!L295-'main page'!$U$8),B296-B295*V296-('normal case'!I296-D295*W296-'main page'!$K$27*'normal case'!M295+'main page'!$K$31*'normal case'!AB295)-(('main page'!$K$25*'main page'!$U$13*'main page'!$K$29)/(1+('main page'!$K$25^2)*'main page'!$U$13))*('normal case'!L295-'main page'!$U$8)))</f>
        <v>0</v>
      </c>
      <c r="AN295" s="40"/>
      <c r="AO295" s="40"/>
    </row>
    <row r="296" spans="1:41">
      <c r="A296" s="48">
        <v>294</v>
      </c>
      <c r="B296" s="75">
        <f ca="1">IF(controls!$B$33=1,B295*(1+V296)+T296,B295*(1+V296))</f>
        <v>100</v>
      </c>
      <c r="C296" s="80">
        <f t="shared" ca="1" si="32"/>
        <v>0</v>
      </c>
      <c r="D296" s="77">
        <f t="shared" ca="1" si="28"/>
        <v>100</v>
      </c>
      <c r="E296" s="77">
        <f ca="1">AG295+IF(controls!$B$33=1,G296,F296)</f>
        <v>100</v>
      </c>
      <c r="F296" s="94">
        <f ca="1">IF(controls!$B$44=0,H296-'main page'!$K$27*M295,H296-'main page'!$K$27*M295+'main page'!$K$31*AB295)</f>
        <v>100</v>
      </c>
      <c r="G296" s="75">
        <f ca="1">IF(controls!$B$44=0,I296-'main page'!$K$27*M295,I296-'main page'!$K$27*M295+'main page'!$K$31*'normal case'!AB295)</f>
        <v>100</v>
      </c>
      <c r="H296" s="75">
        <f t="shared" ca="1" si="33"/>
        <v>108</v>
      </c>
      <c r="I296" s="75">
        <f t="shared" ca="1" si="34"/>
        <v>108</v>
      </c>
      <c r="L296" s="75">
        <f ca="1">IF(ABS('main page'!$K$29*L295+(1-'main page'!$K$29)*(controls!$B$9/100)*100+'main page'!$K$25*(D296-B296)-L295)&lt;0.0000001,L295,'main page'!$K$29*L295+(1-'main page'!$K$29)*(controls!$B$9/100)*100+'main page'!$K$25*(D296-B296))</f>
        <v>2</v>
      </c>
      <c r="M296" s="96">
        <f ca="1">IF(controls!$B$10=1,M295,IF(SUM(controls!$B$44:$B$46)=2,N296-'main page'!$K$29*'normal case'!L296-(1-'main page'!$K$29)*'main page'!$K$32,N296-'main page'!$K$29*'normal case'!L296-(1-'main page'!$K$29)*controls!$B$9))</f>
        <v>4</v>
      </c>
      <c r="N296" s="208">
        <f ca="1">IF(controls!$B$45=1,IF(controls!$B$46=1,'main page'!$K$24+'main page'!$K$11+'main page'!$U$8,'main page'!$K$24+'main page'!$K$11+'main page'!$K$32),IF(controls!$B$44=1,IF(O296&lt;0,0,O296),IF(O296+'main page'!$K$11&lt;0,0,O296+'main page'!$K$11)))</f>
        <v>6</v>
      </c>
      <c r="O296" s="76">
        <f ca="1">IF(controls!$B$10=1,'normal case'!M296+'normal case'!L296,'normal case'!P296)</f>
        <v>6</v>
      </c>
      <c r="P296" s="74">
        <f t="shared" ca="1" si="29"/>
        <v>6</v>
      </c>
      <c r="Q296" s="210">
        <f ca="1">IF(controls!$B$44=0,R296+'main page'!$K$29*L296+(1-'main page'!$K$29)*controls!$B$9+(('main page'!$K$25*'main page'!$U$13*'main page'!$K$29)/('main page'!$K$27*(1+('main page'!$K$25^2)*'main page'!$U$13)))*(L296-controls!$B$9),R296+'main page'!$K$29*L296+(1-'main page'!$K$29)*controls!$B$9+(('main page'!$K$25*'main page'!$U$13*'normal case'!$AO$3)/'normal case'!$AO$4)*('normal case'!L296-controls!$B$9))</f>
        <v>6</v>
      </c>
      <c r="R296" s="98">
        <f ca="1">IF(controls!$B$44=1,'main page'!$K$24+'main page'!$K$11,IF(controls!$B$33=1,((I297-D296*W297-B297+B296*V297)/'main page'!$K$27)-'main page'!$K$11,((H297-D296*W297-B297+B296*V297)/'main page'!$K$27)-'main page'!$K$11))</f>
        <v>4</v>
      </c>
      <c r="T296" s="71">
        <f>IF(controls!$B$6=1,$AL$3*(1+('main page'!$K$35/100))^U296-$AL$3*(1+('main page'!$K$35/100))^U295,$AL$3*(1+('main page'!$G$8/100))*(1+('main page'!$K$35/100))^U296-$AL$3*(1+('main page'!$G$8/100))*(1+('main page'!$K$35/100))^U295)</f>
        <v>0</v>
      </c>
      <c r="U296" s="73">
        <v>289</v>
      </c>
      <c r="V296" s="161">
        <f ca="1">IF(controls!$B$4=1,IF(controls!$H295=1,controls!$B$34*V295+RAND()*('main page'!$K$16/100)-RAND()*('main page'!$K$16/100),0),0)</f>
        <v>0</v>
      </c>
      <c r="W296" s="40">
        <f ca="1">IF(controls!$B$4=1,IF(controls!$I295=1,controls!$B$34*W295+RAND()*('main page'!$K$16/100)-RAND()*('main page'!$K$16/100),0),0)</f>
        <v>0</v>
      </c>
      <c r="X296" s="49">
        <f ca="1">IF(controls!$B$33=1,D296-($I$3-'main page'!$K$27*2)*(1+('main page'!$K$35/100))^A295,D296-$AL$4)</f>
        <v>0</v>
      </c>
      <c r="Y296" s="49">
        <f ca="1">ABS(L296-(controls!$B$9/100)*100)</f>
        <v>0</v>
      </c>
      <c r="AA296" s="49" t="e">
        <f ca="1">IF(controls!$B$33=1,(B297-B296*V297-I297+D296*W297+'main page'!$K$27*('main page'!$K$24+'main page'!$K$11))/'main page'!$K$31,(B297-B296*V297+D296*W297-H297+'main page'!$K$27*('main page'!$K$24+'main page'!$K$11))/'main page'!$K$31)</f>
        <v>#DIV/0!</v>
      </c>
      <c r="AB296" s="49" t="e">
        <f ca="1">IF(controls!$B$45=1,LOG(AF296,1.01)+LOG(AE296,1.01)-LOG(AD296,1.01),-((M296-('main page'!$K$24+'main page'!$K$11))/(1-'normal case'!$AO$3))+'normal case'!AA296)</f>
        <v>#DIV/0!</v>
      </c>
      <c r="AC296" s="176" t="e">
        <f t="shared" ca="1" si="30"/>
        <v>#DIV/0!</v>
      </c>
      <c r="AD296" s="49">
        <f t="shared" ca="1" si="31"/>
        <v>331.01702125322402</v>
      </c>
      <c r="AE296" s="49">
        <f>AE295*(1+'main page'!$K$32/100)</f>
        <v>1</v>
      </c>
      <c r="AF296" s="49" t="e">
        <f ca="1">IF(ABS(IF(controls!$B$45=1,$AL$13,AD296*AC296/AE296)-AF295)&lt;0.00001,AF295,IF(controls!$B$45=1,$AL$13,AD296*AC296/AE296))</f>
        <v>#DIV/0!</v>
      </c>
      <c r="AG296" s="49">
        <f>IF(controls!$B$46=0,0,IF(controls!$B$33=2,B297-B296*V297-('normal case'!H297-D296*W297-'main page'!$K$27*'normal case'!M296+'main page'!$K$31*'normal case'!AB296)-(('main page'!$K$25*'main page'!$U$13*'main page'!$K$29)/(1+('main page'!$K$25^2)*'main page'!$U$13))*('normal case'!L296-'main page'!$U$8),B297-B296*V297-('normal case'!I297-D296*W297-'main page'!$K$27*'normal case'!M296+'main page'!$K$31*'normal case'!AB296)-(('main page'!$K$25*'main page'!$U$13*'main page'!$K$29)/(1+('main page'!$K$25^2)*'main page'!$U$13))*('normal case'!L296-'main page'!$U$8)))</f>
        <v>0</v>
      </c>
      <c r="AN296" s="40"/>
      <c r="AO296" s="40"/>
    </row>
    <row r="297" spans="1:41">
      <c r="A297" s="48">
        <v>295</v>
      </c>
      <c r="B297" s="75">
        <f ca="1">IF(controls!$B$33=1,B296*(1+V297)+T297,B296*(1+V297))</f>
        <v>100</v>
      </c>
      <c r="C297" s="80">
        <f t="shared" ca="1" si="32"/>
        <v>0</v>
      </c>
      <c r="D297" s="77">
        <f t="shared" ca="1" si="28"/>
        <v>100</v>
      </c>
      <c r="E297" s="77">
        <f ca="1">AG296+IF(controls!$B$33=1,G297,F297)</f>
        <v>100</v>
      </c>
      <c r="F297" s="94">
        <f ca="1">IF(controls!$B$44=0,H297-'main page'!$K$27*M296,H297-'main page'!$K$27*M296+'main page'!$K$31*AB296)</f>
        <v>100</v>
      </c>
      <c r="G297" s="75">
        <f ca="1">IF(controls!$B$44=0,I297-'main page'!$K$27*M296,I297-'main page'!$K$27*M296+'main page'!$K$31*'normal case'!AB296)</f>
        <v>100</v>
      </c>
      <c r="H297" s="75">
        <f t="shared" ca="1" si="33"/>
        <v>108</v>
      </c>
      <c r="I297" s="75">
        <f t="shared" ca="1" si="34"/>
        <v>108</v>
      </c>
      <c r="L297" s="75">
        <f ca="1">IF(ABS('main page'!$K$29*L296+(1-'main page'!$K$29)*(controls!$B$9/100)*100+'main page'!$K$25*(D297-B297)-L296)&lt;0.0000001,L296,'main page'!$K$29*L296+(1-'main page'!$K$29)*(controls!$B$9/100)*100+'main page'!$K$25*(D297-B297))</f>
        <v>2</v>
      </c>
      <c r="M297" s="96">
        <f ca="1">IF(controls!$B$10=1,M296,IF(SUM(controls!$B$44:$B$46)=2,N297-'main page'!$K$29*'normal case'!L297-(1-'main page'!$K$29)*'main page'!$K$32,N297-'main page'!$K$29*'normal case'!L297-(1-'main page'!$K$29)*controls!$B$9))</f>
        <v>4</v>
      </c>
      <c r="N297" s="208">
        <f ca="1">IF(controls!$B$45=1,IF(controls!$B$46=1,'main page'!$K$24+'main page'!$K$11+'main page'!$U$8,'main page'!$K$24+'main page'!$K$11+'main page'!$K$32),IF(controls!$B$44=1,IF(O297&lt;0,0,O297),IF(O297+'main page'!$K$11&lt;0,0,O297+'main page'!$K$11)))</f>
        <v>6</v>
      </c>
      <c r="O297" s="76">
        <f ca="1">IF(controls!$B$10=1,'normal case'!M297+'normal case'!L297,'normal case'!P297)</f>
        <v>6</v>
      </c>
      <c r="P297" s="74">
        <f t="shared" ca="1" si="29"/>
        <v>6</v>
      </c>
      <c r="Q297" s="210">
        <f ca="1">IF(controls!$B$44=0,R297+'main page'!$K$29*L297+(1-'main page'!$K$29)*controls!$B$9+(('main page'!$K$25*'main page'!$U$13*'main page'!$K$29)/('main page'!$K$27*(1+('main page'!$K$25^2)*'main page'!$U$13)))*(L297-controls!$B$9),R297+'main page'!$K$29*L297+(1-'main page'!$K$29)*controls!$B$9+(('main page'!$K$25*'main page'!$U$13*'normal case'!$AO$3)/'normal case'!$AO$4)*('normal case'!L297-controls!$B$9))</f>
        <v>6</v>
      </c>
      <c r="R297" s="98">
        <f ca="1">IF(controls!$B$44=1,'main page'!$K$24+'main page'!$K$11,IF(controls!$B$33=1,((I298-D297*W298-B298+B297*V298)/'main page'!$K$27)-'main page'!$K$11,((H298-D297*W298-B298+B297*V298)/'main page'!$K$27)-'main page'!$K$11))</f>
        <v>4</v>
      </c>
      <c r="T297" s="71">
        <f>IF(controls!$B$6=1,$AL$3*(1+('main page'!$K$35/100))^U297-$AL$3*(1+('main page'!$K$35/100))^U296,$AL$3*(1+('main page'!$G$8/100))*(1+('main page'!$K$35/100))^U297-$AL$3*(1+('main page'!$G$8/100))*(1+('main page'!$K$35/100))^U296)</f>
        <v>0</v>
      </c>
      <c r="U297" s="73">
        <v>290</v>
      </c>
      <c r="V297" s="161">
        <v>0</v>
      </c>
      <c r="W297" s="40">
        <v>0</v>
      </c>
      <c r="X297" s="49">
        <f ca="1">IF(controls!$B$33=1,D297-($I$3-'main page'!$K$27*2)*(1+('main page'!$K$35/100))^A296,D297-$AL$4)</f>
        <v>0</v>
      </c>
      <c r="Y297" s="49">
        <f ca="1">ABS(L297-(controls!$B$9/100)*100)</f>
        <v>0</v>
      </c>
      <c r="AA297" s="49" t="e">
        <f ca="1">IF(controls!$B$33=1,(B298-B297*V298-I298+D297*W298+'main page'!$K$27*('main page'!$K$24+'main page'!$K$11))/'main page'!$K$31,(B298-B297*V298+D297*W298-H298+'main page'!$K$27*('main page'!$K$24+'main page'!$K$11))/'main page'!$K$31)</f>
        <v>#DIV/0!</v>
      </c>
      <c r="AB297" s="49" t="e">
        <f ca="1">IF(controls!$B$45=1,LOG(AF297,1.01)+LOG(AE297,1.01)-LOG(AD297,1.01),-((M297-('main page'!$K$24+'main page'!$K$11))/(1-'normal case'!$AO$3))+'normal case'!AA297)</f>
        <v>#DIV/0!</v>
      </c>
      <c r="AC297" s="176" t="e">
        <f t="shared" ca="1" si="30"/>
        <v>#DIV/0!</v>
      </c>
      <c r="AD297" s="49">
        <f t="shared" ca="1" si="31"/>
        <v>337.63736167828853</v>
      </c>
      <c r="AE297" s="49">
        <f>AE296*(1+'main page'!$K$32/100)</f>
        <v>1</v>
      </c>
      <c r="AF297" s="49" t="e">
        <f ca="1">IF(ABS(IF(controls!$B$45=1,$AL$13,AD297*AC297/AE297)-AF296)&lt;0.00001,AF296,IF(controls!$B$45=1,$AL$13,AD297*AC297/AE297))</f>
        <v>#DIV/0!</v>
      </c>
      <c r="AG297" s="49">
        <f>IF(controls!$B$46=0,0,IF(controls!$B$33=2,B298-B297*V298-('normal case'!H298-D297*W298-'main page'!$K$27*'normal case'!M297+'main page'!$K$31*'normal case'!AB297)-(('main page'!$K$25*'main page'!$U$13*'main page'!$K$29)/(1+('main page'!$K$25^2)*'main page'!$U$13))*('normal case'!L297-'main page'!$U$8),B298-B297*V298-('normal case'!I298-D297*W298-'main page'!$K$27*'normal case'!M297+'main page'!$K$31*'normal case'!AB297)-(('main page'!$K$25*'main page'!$U$13*'main page'!$K$29)/(1+('main page'!$K$25^2)*'main page'!$U$13))*('normal case'!L297-'main page'!$U$8)))</f>
        <v>0</v>
      </c>
      <c r="AN297" s="40"/>
      <c r="AO297" s="40"/>
    </row>
    <row r="298" spans="1:41">
      <c r="A298" s="48">
        <v>296</v>
      </c>
      <c r="B298" s="75">
        <f ca="1">IF(controls!$B$33=1,B297*(1+V298)+T298,B297*(1+V298))</f>
        <v>100</v>
      </c>
      <c r="C298" s="80">
        <f t="shared" ca="1" si="32"/>
        <v>0</v>
      </c>
      <c r="D298" s="77">
        <f t="shared" ca="1" si="28"/>
        <v>100</v>
      </c>
      <c r="E298" s="77">
        <f ca="1">AG297+IF(controls!$B$33=1,G298,F298)</f>
        <v>100</v>
      </c>
      <c r="F298" s="94">
        <f ca="1">IF(controls!$B$44=0,H298-'main page'!$K$27*M297,H298-'main page'!$K$27*M297+'main page'!$K$31*AB297)</f>
        <v>100</v>
      </c>
      <c r="G298" s="75">
        <f ca="1">IF(controls!$B$44=0,I298-'main page'!$K$27*M297,I298-'main page'!$K$27*M297+'main page'!$K$31*'normal case'!AB297)</f>
        <v>100</v>
      </c>
      <c r="H298" s="75">
        <f t="shared" ca="1" si="33"/>
        <v>108</v>
      </c>
      <c r="I298" s="75">
        <f t="shared" ca="1" si="34"/>
        <v>108</v>
      </c>
      <c r="L298" s="75">
        <f ca="1">IF(ABS('main page'!$K$29*L297+(1-'main page'!$K$29)*(controls!$B$9/100)*100+'main page'!$K$25*(D298-B298)-L297)&lt;0.0000001,L297,'main page'!$K$29*L297+(1-'main page'!$K$29)*(controls!$B$9/100)*100+'main page'!$K$25*(D298-B298))</f>
        <v>2</v>
      </c>
      <c r="M298" s="96">
        <f ca="1">IF(controls!$B$10=1,M297,IF(SUM(controls!$B$44:$B$46)=2,N298-'main page'!$K$29*'normal case'!L298-(1-'main page'!$K$29)*'main page'!$K$32,N298-'main page'!$K$29*'normal case'!L298-(1-'main page'!$K$29)*controls!$B$9))</f>
        <v>4</v>
      </c>
      <c r="N298" s="208">
        <f ca="1">IF(controls!$B$45=1,IF(controls!$B$46=1,'main page'!$K$24+'main page'!$K$11+'main page'!$U$8,'main page'!$K$24+'main page'!$K$11+'main page'!$K$32),IF(controls!$B$44=1,IF(O298&lt;0,0,O298),IF(O298+'main page'!$K$11&lt;0,0,O298+'main page'!$K$11)))</f>
        <v>6</v>
      </c>
      <c r="O298" s="76">
        <f ca="1">IF(controls!$B$10=1,'normal case'!M298+'normal case'!L298,'normal case'!P298)</f>
        <v>6</v>
      </c>
      <c r="P298" s="74">
        <f t="shared" ca="1" si="29"/>
        <v>6</v>
      </c>
      <c r="Q298" s="210">
        <f ca="1">IF(controls!$B$44=0,R298+'main page'!$K$29*L298+(1-'main page'!$K$29)*controls!$B$9+(('main page'!$K$25*'main page'!$U$13*'main page'!$K$29)/('main page'!$K$27*(1+('main page'!$K$25^2)*'main page'!$U$13)))*(L298-controls!$B$9),R298+'main page'!$K$29*L298+(1-'main page'!$K$29)*controls!$B$9+(('main page'!$K$25*'main page'!$U$13*'normal case'!$AO$3)/'normal case'!$AO$4)*('normal case'!L298-controls!$B$9))</f>
        <v>6</v>
      </c>
      <c r="R298" s="98">
        <f ca="1">IF(controls!$B$44=1,'main page'!$K$24+'main page'!$K$11,IF(controls!$B$33=1,((I299-D298*W299-B299+B298*V299)/'main page'!$K$27)-'main page'!$K$11,((H299-D298*W299-B299+B298*V299)/'main page'!$K$27)-'main page'!$K$11))</f>
        <v>4</v>
      </c>
      <c r="T298" s="71">
        <f>IF(controls!$B$6=1,$AL$3*(1+('main page'!$K$35/100))^U298-$AL$3*(1+('main page'!$K$35/100))^U297,$AL$3*(1+('main page'!$G$8/100))*(1+('main page'!$K$35/100))^U298-$AL$3*(1+('main page'!$G$8/100))*(1+('main page'!$K$35/100))^U297)</f>
        <v>0</v>
      </c>
      <c r="U298" s="73">
        <v>291</v>
      </c>
      <c r="V298" s="161">
        <v>0</v>
      </c>
      <c r="W298" s="40">
        <v>0</v>
      </c>
      <c r="X298" s="49">
        <f ca="1">IF(controls!$B$33=1,D298-($I$3-'main page'!$K$27*2)*(1+('main page'!$K$35/100))^A297,D298-$AL$4)</f>
        <v>0</v>
      </c>
      <c r="Y298" s="49">
        <f ca="1">ABS(L298-(controls!$B$9/100)*100)</f>
        <v>0</v>
      </c>
      <c r="AA298" s="49" t="e">
        <f ca="1">IF(controls!$B$33=1,(B299-B298*V299-I299+D298*W299+'main page'!$K$27*('main page'!$K$24+'main page'!$K$11))/'main page'!$K$31,(B299-B298*V299+D298*W299-H299+'main page'!$K$27*('main page'!$K$24+'main page'!$K$11))/'main page'!$K$31)</f>
        <v>#DIV/0!</v>
      </c>
      <c r="AB298" s="49" t="e">
        <f ca="1">IF(controls!$B$45=1,LOG(AF298,1.01)+LOG(AE298,1.01)-LOG(AD298,1.01),-((M298-('main page'!$K$24+'main page'!$K$11))/(1-'normal case'!$AO$3))+'normal case'!AA298)</f>
        <v>#DIV/0!</v>
      </c>
      <c r="AC298" s="176" t="e">
        <f t="shared" ca="1" si="30"/>
        <v>#DIV/0!</v>
      </c>
      <c r="AD298" s="49">
        <f t="shared" ca="1" si="31"/>
        <v>344.39010891185433</v>
      </c>
      <c r="AE298" s="49">
        <f>AE297*(1+'main page'!$K$32/100)</f>
        <v>1</v>
      </c>
      <c r="AF298" s="49" t="e">
        <f ca="1">IF(ABS(IF(controls!$B$45=1,$AL$13,AD298*AC298/AE298)-AF297)&lt;0.00001,AF297,IF(controls!$B$45=1,$AL$13,AD298*AC298/AE298))</f>
        <v>#DIV/0!</v>
      </c>
      <c r="AG298" s="49">
        <f>IF(controls!$B$46=0,0,IF(controls!$B$33=2,B299-B298*V299-('normal case'!H299-D298*W299-'main page'!$K$27*'normal case'!M298+'main page'!$K$31*'normal case'!AB298)-(('main page'!$K$25*'main page'!$U$13*'main page'!$K$29)/(1+('main page'!$K$25^2)*'main page'!$U$13))*('normal case'!L298-'main page'!$U$8),B299-B298*V299-('normal case'!I299-D298*W299-'main page'!$K$27*'normal case'!M298+'main page'!$K$31*'normal case'!AB298)-(('main page'!$K$25*'main page'!$U$13*'main page'!$K$29)/(1+('main page'!$K$25^2)*'main page'!$U$13))*('normal case'!L298-'main page'!$U$8)))</f>
        <v>0</v>
      </c>
      <c r="AN298" s="40"/>
      <c r="AO298" s="40"/>
    </row>
    <row r="299" spans="1:41">
      <c r="A299" s="48">
        <v>297</v>
      </c>
      <c r="B299" s="75">
        <f ca="1">IF(controls!$B$33=1,B298*(1+V299)+T299,B298*(1+V299))</f>
        <v>100</v>
      </c>
      <c r="C299" s="80">
        <f t="shared" ca="1" si="32"/>
        <v>0</v>
      </c>
      <c r="D299" s="77">
        <f t="shared" ca="1" si="28"/>
        <v>100</v>
      </c>
      <c r="E299" s="77">
        <f ca="1">AG298+IF(controls!$B$33=1,G299,F299)</f>
        <v>100</v>
      </c>
      <c r="F299" s="94">
        <f ca="1">IF(controls!$B$44=0,H299-'main page'!$K$27*M298,H299-'main page'!$K$27*M298+'main page'!$K$31*AB298)</f>
        <v>100</v>
      </c>
      <c r="G299" s="75">
        <f ca="1">IF(controls!$B$44=0,I299-'main page'!$K$27*M298,I299-'main page'!$K$27*M298+'main page'!$K$31*'normal case'!AB298)</f>
        <v>100</v>
      </c>
      <c r="H299" s="75">
        <f t="shared" ca="1" si="33"/>
        <v>108</v>
      </c>
      <c r="I299" s="75">
        <f t="shared" ca="1" si="34"/>
        <v>108</v>
      </c>
      <c r="L299" s="75">
        <f ca="1">IF(ABS('main page'!$K$29*L298+(1-'main page'!$K$29)*(controls!$B$9/100)*100+'main page'!$K$25*(D299-B299)-L298)&lt;0.0000001,L298,'main page'!$K$29*L298+(1-'main page'!$K$29)*(controls!$B$9/100)*100+'main page'!$K$25*(D299-B299))</f>
        <v>2</v>
      </c>
      <c r="M299" s="96">
        <f ca="1">IF(controls!$B$10=1,M298,IF(SUM(controls!$B$44:$B$46)=2,N299-'main page'!$K$29*'normal case'!L299-(1-'main page'!$K$29)*'main page'!$K$32,N299-'main page'!$K$29*'normal case'!L299-(1-'main page'!$K$29)*controls!$B$9))</f>
        <v>4</v>
      </c>
      <c r="N299" s="208">
        <f ca="1">IF(controls!$B$45=1,IF(controls!$B$46=1,'main page'!$K$24+'main page'!$K$11+'main page'!$U$8,'main page'!$K$24+'main page'!$K$11+'main page'!$K$32),IF(controls!$B$44=1,IF(O299&lt;0,0,O299),IF(O299+'main page'!$K$11&lt;0,0,O299+'main page'!$K$11)))</f>
        <v>6</v>
      </c>
      <c r="O299" s="76">
        <f ca="1">IF(controls!$B$10=1,'normal case'!M299+'normal case'!L299,'normal case'!P299)</f>
        <v>6</v>
      </c>
      <c r="P299" s="74">
        <f t="shared" ca="1" si="29"/>
        <v>6</v>
      </c>
      <c r="Q299" s="210">
        <f ca="1">IF(controls!$B$44=0,R299+'main page'!$K$29*L299+(1-'main page'!$K$29)*controls!$B$9+(('main page'!$K$25*'main page'!$U$13*'main page'!$K$29)/('main page'!$K$27*(1+('main page'!$K$25^2)*'main page'!$U$13)))*(L299-controls!$B$9),R299+'main page'!$K$29*L299+(1-'main page'!$K$29)*controls!$B$9+(('main page'!$K$25*'main page'!$U$13*'normal case'!$AO$3)/'normal case'!$AO$4)*('normal case'!L299-controls!$B$9))</f>
        <v>6</v>
      </c>
      <c r="R299" s="98">
        <f ca="1">IF(controls!$B$44=1,'main page'!$K$24+'main page'!$K$11,IF(controls!$B$33=1,((I300-D299*W300-B300+B299*V300)/'main page'!$K$27)-'main page'!$K$11,((H300-D299*W300-B300+B299*V300)/'main page'!$K$27)-'main page'!$K$11))</f>
        <v>4</v>
      </c>
      <c r="T299" s="71">
        <f>IF(controls!$B$6=1,$AL$3*(1+('main page'!$K$35/100))^U299-$AL$3*(1+('main page'!$K$35/100))^U298,$AL$3*(1+('main page'!$G$8/100))*(1+('main page'!$K$35/100))^U299-$AL$3*(1+('main page'!$G$8/100))*(1+('main page'!$K$35/100))^U298)</f>
        <v>0</v>
      </c>
      <c r="U299" s="73">
        <v>292</v>
      </c>
      <c r="V299" s="161">
        <f ca="1">IF(controls!$B$4=1,IF(controls!$H298=1,controls!$B$34*V298+RAND()*('main page'!$K$16/100)-RAND()*('main page'!$K$16/100),0),0)</f>
        <v>0</v>
      </c>
      <c r="W299" s="40">
        <f ca="1">IF(controls!$B$4=1,IF(controls!$I298=1,controls!$B$34*W298+RAND()*('main page'!$K$16/100)-RAND()*('main page'!$K$16/100),0),0)</f>
        <v>0</v>
      </c>
      <c r="X299" s="49">
        <f ca="1">IF(controls!$B$33=1,D299-($I$3-'main page'!$K$27*2)*(1+('main page'!$K$35/100))^A298,D299-$AL$4)</f>
        <v>0</v>
      </c>
      <c r="Y299" s="49">
        <f ca="1">ABS(L299-(controls!$B$9/100)*100)</f>
        <v>0</v>
      </c>
      <c r="AA299" s="49" t="e">
        <f ca="1">IF(controls!$B$33=1,(B300-B299*V300-I300+D299*W300+'main page'!$K$27*('main page'!$K$24+'main page'!$K$11))/'main page'!$K$31,(B300-B299*V300+D299*W300-H300+'main page'!$K$27*('main page'!$K$24+'main page'!$K$11))/'main page'!$K$31)</f>
        <v>#DIV/0!</v>
      </c>
      <c r="AB299" s="49" t="e">
        <f ca="1">IF(controls!$B$45=1,LOG(AF299,1.01)+LOG(AE299,1.01)-LOG(AD299,1.01),-((M299-('main page'!$K$24+'main page'!$K$11))/(1-'normal case'!$AO$3))+'normal case'!AA299)</f>
        <v>#DIV/0!</v>
      </c>
      <c r="AC299" s="176" t="e">
        <f t="shared" ca="1" si="30"/>
        <v>#DIV/0!</v>
      </c>
      <c r="AD299" s="49">
        <f t="shared" ca="1" si="31"/>
        <v>351.27791109009144</v>
      </c>
      <c r="AE299" s="49">
        <f>AE298*(1+'main page'!$K$32/100)</f>
        <v>1</v>
      </c>
      <c r="AF299" s="49" t="e">
        <f ca="1">IF(ABS(IF(controls!$B$45=1,$AL$13,AD299*AC299/AE299)-AF298)&lt;0.00001,AF298,IF(controls!$B$45=1,$AL$13,AD299*AC299/AE299))</f>
        <v>#DIV/0!</v>
      </c>
      <c r="AG299" s="49">
        <f>IF(controls!$B$46=0,0,IF(controls!$B$33=2,B300-B299*V300-('normal case'!H300-D299*W300-'main page'!$K$27*'normal case'!M299+'main page'!$K$31*'normal case'!AB299)-(('main page'!$K$25*'main page'!$U$13*'main page'!$K$29)/(1+('main page'!$K$25^2)*'main page'!$U$13))*('normal case'!L299-'main page'!$U$8),B300-B299*V300-('normal case'!I300-D299*W300-'main page'!$K$27*'normal case'!M299+'main page'!$K$31*'normal case'!AB299)-(('main page'!$K$25*'main page'!$U$13*'main page'!$K$29)/(1+('main page'!$K$25^2)*'main page'!$U$13))*('normal case'!L299-'main page'!$U$8)))</f>
        <v>0</v>
      </c>
      <c r="AN299" s="40"/>
      <c r="AO299" s="40"/>
    </row>
    <row r="300" spans="1:41">
      <c r="A300" s="48">
        <v>298</v>
      </c>
      <c r="B300" s="75">
        <f ca="1">IF(controls!$B$33=1,B299*(1+V300)+T300,B299*(1+V300))</f>
        <v>100</v>
      </c>
      <c r="C300" s="80">
        <f t="shared" ca="1" si="32"/>
        <v>0</v>
      </c>
      <c r="D300" s="77">
        <f t="shared" ca="1" si="28"/>
        <v>100</v>
      </c>
      <c r="E300" s="77">
        <f ca="1">AG299+IF(controls!$B$33=1,G300,F300)</f>
        <v>100</v>
      </c>
      <c r="F300" s="94">
        <f ca="1">IF(controls!$B$44=0,H300-'main page'!$K$27*M299,H300-'main page'!$K$27*M299+'main page'!$K$31*AB299)</f>
        <v>100</v>
      </c>
      <c r="G300" s="75">
        <f ca="1">IF(controls!$B$44=0,I300-'main page'!$K$27*M299,I300-'main page'!$K$27*M299+'main page'!$K$31*'normal case'!AB299)</f>
        <v>100</v>
      </c>
      <c r="H300" s="75">
        <f t="shared" ca="1" si="33"/>
        <v>108</v>
      </c>
      <c r="I300" s="75">
        <f t="shared" ca="1" si="34"/>
        <v>108</v>
      </c>
      <c r="L300" s="75">
        <f ca="1">IF(ABS('main page'!$K$29*L299+(1-'main page'!$K$29)*(controls!$B$9/100)*100+'main page'!$K$25*(D300-B300)-L299)&lt;0.0000001,L299,'main page'!$K$29*L299+(1-'main page'!$K$29)*(controls!$B$9/100)*100+'main page'!$K$25*(D300-B300))</f>
        <v>2</v>
      </c>
      <c r="M300" s="96">
        <f ca="1">IF(controls!$B$10=1,M299,IF(SUM(controls!$B$44:$B$46)=2,N300-'main page'!$K$29*'normal case'!L300-(1-'main page'!$K$29)*'main page'!$K$32,N300-'main page'!$K$29*'normal case'!L300-(1-'main page'!$K$29)*controls!$B$9))</f>
        <v>4</v>
      </c>
      <c r="N300" s="208">
        <f ca="1">IF(controls!$B$45=1,IF(controls!$B$46=1,'main page'!$K$24+'main page'!$K$11+'main page'!$U$8,'main page'!$K$24+'main page'!$K$11+'main page'!$K$32),IF(controls!$B$44=1,IF(O300&lt;0,0,O300),IF(O300+'main page'!$K$11&lt;0,0,O300+'main page'!$K$11)))</f>
        <v>6</v>
      </c>
      <c r="O300" s="76">
        <f ca="1">IF(controls!$B$10=1,'normal case'!M300+'normal case'!L300,'normal case'!P300)</f>
        <v>6</v>
      </c>
      <c r="P300" s="74">
        <f t="shared" ca="1" si="29"/>
        <v>6</v>
      </c>
      <c r="Q300" s="210">
        <f ca="1">IF(controls!$B$44=0,R300+'main page'!$K$29*L300+(1-'main page'!$K$29)*controls!$B$9+(('main page'!$K$25*'main page'!$U$13*'main page'!$K$29)/('main page'!$K$27*(1+('main page'!$K$25^2)*'main page'!$U$13)))*(L300-controls!$B$9),R300+'main page'!$K$29*L300+(1-'main page'!$K$29)*controls!$B$9+(('main page'!$K$25*'main page'!$U$13*'normal case'!$AO$3)/'normal case'!$AO$4)*('normal case'!L300-controls!$B$9))</f>
        <v>6</v>
      </c>
      <c r="R300" s="98">
        <f ca="1">IF(controls!$B$44=1,'main page'!$K$24+'main page'!$K$11,IF(controls!$B$33=1,((I301-D300*W301-B301+B300*V301)/'main page'!$K$27)-'main page'!$K$11,((H301-D300*W301-B301+B300*V301)/'main page'!$K$27)-'main page'!$K$11))</f>
        <v>4</v>
      </c>
      <c r="T300" s="71">
        <f>IF(controls!$B$6=1,$AL$3*(1+('main page'!$K$35/100))^U300-$AL$3*(1+('main page'!$K$35/100))^U299,$AL$3*(1+('main page'!$G$8/100))*(1+('main page'!$K$35/100))^U300-$AL$3*(1+('main page'!$G$8/100))*(1+('main page'!$K$35/100))^U299)</f>
        <v>0</v>
      </c>
      <c r="U300" s="73">
        <v>293</v>
      </c>
      <c r="V300" s="161">
        <v>0</v>
      </c>
      <c r="W300" s="40">
        <v>0</v>
      </c>
      <c r="X300" s="49">
        <f ca="1">IF(controls!$B$33=1,D300-($I$3-'main page'!$K$27*2)*(1+('main page'!$K$35/100))^A299,D300-$AL$4)</f>
        <v>0</v>
      </c>
      <c r="Y300" s="49">
        <f ca="1">ABS(L300-(controls!$B$9/100)*100)</f>
        <v>0</v>
      </c>
      <c r="AA300" s="49" t="e">
        <f ca="1">IF(controls!$B$33=1,(B301-B300*V301-I301+D300*W301+'main page'!$K$27*('main page'!$K$24+'main page'!$K$11))/'main page'!$K$31,(B301-B300*V301+D300*W301-H301+'main page'!$K$27*('main page'!$K$24+'main page'!$K$11))/'main page'!$K$31)</f>
        <v>#DIV/0!</v>
      </c>
      <c r="AB300" s="49" t="e">
        <f ca="1">IF(controls!$B$45=1,LOG(AF300,1.01)+LOG(AE300,1.01)-LOG(AD300,1.01),-((M300-('main page'!$K$24+'main page'!$K$11))/(1-'normal case'!$AO$3))+'normal case'!AA300)</f>
        <v>#DIV/0!</v>
      </c>
      <c r="AC300" s="176" t="e">
        <f t="shared" ca="1" si="30"/>
        <v>#DIV/0!</v>
      </c>
      <c r="AD300" s="49">
        <f t="shared" ca="1" si="31"/>
        <v>358.30346931189325</v>
      </c>
      <c r="AE300" s="49">
        <f>AE299*(1+'main page'!$K$32/100)</f>
        <v>1</v>
      </c>
      <c r="AF300" s="49" t="e">
        <f ca="1">IF(ABS(IF(controls!$B$45=1,$AL$13,AD300*AC300/AE300)-AF299)&lt;0.00001,AF299,IF(controls!$B$45=1,$AL$13,AD300*AC300/AE300))</f>
        <v>#DIV/0!</v>
      </c>
      <c r="AG300" s="49">
        <f>IF(controls!$B$46=0,0,IF(controls!$B$33=2,B301-B300*V301-('normal case'!H301-D300*W301-'main page'!$K$27*'normal case'!M300+'main page'!$K$31*'normal case'!AB300)-(('main page'!$K$25*'main page'!$U$13*'main page'!$K$29)/(1+('main page'!$K$25^2)*'main page'!$U$13))*('normal case'!L300-'main page'!$U$8),B301-B300*V301-('normal case'!I301-D300*W301-'main page'!$K$27*'normal case'!M300+'main page'!$K$31*'normal case'!AB300)-(('main page'!$K$25*'main page'!$U$13*'main page'!$K$29)/(1+('main page'!$K$25^2)*'main page'!$U$13))*('normal case'!L300-'main page'!$U$8)))</f>
        <v>0</v>
      </c>
      <c r="AN300" s="40"/>
      <c r="AO300" s="40"/>
    </row>
    <row r="301" spans="1:41">
      <c r="A301" s="48">
        <v>299</v>
      </c>
      <c r="B301" s="75">
        <f ca="1">IF(controls!$B$33=1,B300*(1+V301)+T301,B300*(1+V301))</f>
        <v>100</v>
      </c>
      <c r="C301" s="80">
        <f t="shared" ca="1" si="32"/>
        <v>0</v>
      </c>
      <c r="D301" s="77">
        <f t="shared" ca="1" si="28"/>
        <v>100</v>
      </c>
      <c r="E301" s="77">
        <f ca="1">AG300+IF(controls!$B$33=1,G301,F301)</f>
        <v>100</v>
      </c>
      <c r="F301" s="94">
        <f ca="1">IF(controls!$B$44=0,H301-'main page'!$K$27*M300,H301-'main page'!$K$27*M300+'main page'!$K$31*AB300)</f>
        <v>100</v>
      </c>
      <c r="G301" s="75">
        <f ca="1">IF(controls!$B$44=0,I301-'main page'!$K$27*M300,I301-'main page'!$K$27*M300+'main page'!$K$31*'normal case'!AB300)</f>
        <v>100</v>
      </c>
      <c r="H301" s="75">
        <f t="shared" ca="1" si="33"/>
        <v>108</v>
      </c>
      <c r="I301" s="75">
        <f t="shared" ca="1" si="34"/>
        <v>108</v>
      </c>
      <c r="L301" s="75">
        <f ca="1">IF(ABS('main page'!$K$29*L300+(1-'main page'!$K$29)*(controls!$B$9/100)*100+'main page'!$K$25*(D301-B301)-L300)&lt;0.0000001,L300,'main page'!$K$29*L300+(1-'main page'!$K$29)*(controls!$B$9/100)*100+'main page'!$K$25*(D301-B301))</f>
        <v>2</v>
      </c>
      <c r="M301" s="96">
        <f ca="1">IF(controls!$B$10=1,M300,IF(SUM(controls!$B$44:$B$46)=2,N301-'main page'!$K$29*'normal case'!L301-(1-'main page'!$K$29)*'main page'!$K$32,N301-'main page'!$K$29*'normal case'!L301-(1-'main page'!$K$29)*controls!$B$9))</f>
        <v>4</v>
      </c>
      <c r="N301" s="208">
        <f ca="1">IF(controls!$B$45=1,IF(controls!$B$46=1,'main page'!$K$24+'main page'!$K$11+'main page'!$U$8,'main page'!$K$24+'main page'!$K$11+'main page'!$K$32),IF(controls!$B$44=1,IF(O301&lt;0,0,O301),IF(O301+'main page'!$K$11&lt;0,0,O301+'main page'!$K$11)))</f>
        <v>6</v>
      </c>
      <c r="O301" s="76">
        <f ca="1">IF(controls!$B$10=1,'normal case'!M301+'normal case'!L301,'normal case'!P301)</f>
        <v>6</v>
      </c>
      <c r="P301" s="74">
        <f t="shared" ca="1" si="29"/>
        <v>6</v>
      </c>
      <c r="Q301" s="210">
        <f ca="1">IF(controls!$B$44=0,R301+'main page'!$K$29*L301+(1-'main page'!$K$29)*controls!$B$9+(('main page'!$K$25*'main page'!$U$13*'main page'!$K$29)/('main page'!$K$27*(1+('main page'!$K$25^2)*'main page'!$U$13)))*(L301-controls!$B$9),R301+'main page'!$K$29*L301+(1-'main page'!$K$29)*controls!$B$9+(('main page'!$K$25*'main page'!$U$13*'normal case'!$AO$3)/'normal case'!$AO$4)*('normal case'!L301-controls!$B$9))</f>
        <v>6</v>
      </c>
      <c r="R301" s="98">
        <f ca="1">IF(controls!$B$44=1,'main page'!$K$24+'main page'!$K$11,IF(controls!$B$33=1,((I302-D301*W302-B302+B301*V302)/'main page'!$K$27)-'main page'!$K$11,((H302-D301*W302-B302+B301*V302)/'main page'!$K$27)-'main page'!$K$11))</f>
        <v>4</v>
      </c>
      <c r="T301" s="71">
        <f>IF(controls!$B$6=1,$AL$3*(1+('main page'!$K$35/100))^U301-$AL$3*(1+('main page'!$K$35/100))^U300,$AL$3*(1+('main page'!$G$8/100))*(1+('main page'!$K$35/100))^U301-$AL$3*(1+('main page'!$G$8/100))*(1+('main page'!$K$35/100))^U300)</f>
        <v>0</v>
      </c>
      <c r="U301" s="73">
        <v>294</v>
      </c>
      <c r="V301" s="161">
        <v>0</v>
      </c>
      <c r="W301" s="40">
        <v>0</v>
      </c>
      <c r="X301" s="49">
        <f ca="1">IF(controls!$B$33=1,D301-($I$3-'main page'!$K$27*2)*(1+('main page'!$K$35/100))^A300,D301-$AL$4)</f>
        <v>0</v>
      </c>
      <c r="Y301" s="49">
        <f ca="1">ABS(L301-(controls!$B$9/100)*100)</f>
        <v>0</v>
      </c>
      <c r="AA301" s="49" t="e">
        <f ca="1">IF(controls!$B$33=1,(B302-B301*V302-I302+D301*W302+'main page'!$K$27*('main page'!$K$24+'main page'!$K$11))/'main page'!$K$31,(B302-B301*V302+D301*W302-H302+'main page'!$K$27*('main page'!$K$24+'main page'!$K$11))/'main page'!$K$31)</f>
        <v>#DIV/0!</v>
      </c>
      <c r="AB301" s="49" t="e">
        <f ca="1">IF(controls!$B$45=1,LOG(AF301,1.01)+LOG(AE301,1.01)-LOG(AD301,1.01),-((M301-('main page'!$K$24+'main page'!$K$11))/(1-'normal case'!$AO$3))+'normal case'!AA301)</f>
        <v>#DIV/0!</v>
      </c>
      <c r="AC301" s="176" t="e">
        <f t="shared" ca="1" si="30"/>
        <v>#DIV/0!</v>
      </c>
      <c r="AD301" s="49">
        <f t="shared" ca="1" si="31"/>
        <v>365.46953869813115</v>
      </c>
      <c r="AE301" s="49">
        <f>AE300*(1+'main page'!$K$32/100)</f>
        <v>1</v>
      </c>
      <c r="AF301" s="49" t="e">
        <f ca="1">IF(ABS(IF(controls!$B$45=1,$AL$13,AD301*AC301/AE301)-AF300)&lt;0.00001,AF300,IF(controls!$B$45=1,$AL$13,AD301*AC301/AE301))</f>
        <v>#DIV/0!</v>
      </c>
      <c r="AG301" s="49">
        <f>IF(controls!$B$46=0,0,IF(controls!$B$33=2,B302-B301*V302-('normal case'!H302-D301*W302-'main page'!$K$27*'normal case'!M301+'main page'!$K$31*'normal case'!AB301)-(('main page'!$K$25*'main page'!$U$13*'main page'!$K$29)/(1+('main page'!$K$25^2)*'main page'!$U$13))*('normal case'!L301-'main page'!$U$8),B302-B301*V302-('normal case'!I302-D301*W302-'main page'!$K$27*'normal case'!M301+'main page'!$K$31*'normal case'!AB301)-(('main page'!$K$25*'main page'!$U$13*'main page'!$K$29)/(1+('main page'!$K$25^2)*'main page'!$U$13))*('normal case'!L301-'main page'!$U$8)))</f>
        <v>0</v>
      </c>
      <c r="AN301" s="40"/>
      <c r="AO301" s="40"/>
    </row>
    <row r="302" spans="1:41">
      <c r="A302" s="48">
        <v>300</v>
      </c>
      <c r="B302" s="75">
        <f ca="1">IF(controls!$B$33=1,B301*(1+V302)+T302,B301*(1+V302))</f>
        <v>100</v>
      </c>
      <c r="C302" s="80">
        <f t="shared" ca="1" si="32"/>
        <v>0</v>
      </c>
      <c r="D302" s="77">
        <f t="shared" ca="1" si="28"/>
        <v>100</v>
      </c>
      <c r="E302" s="77">
        <f ca="1">AG301+IF(controls!$B$33=1,G302,F302)</f>
        <v>100</v>
      </c>
      <c r="F302" s="94">
        <f ca="1">IF(controls!$B$44=0,H302-'main page'!$K$27*M301,H302-'main page'!$K$27*M301+'main page'!$K$31*AB301)</f>
        <v>100</v>
      </c>
      <c r="G302" s="75">
        <f ca="1">IF(controls!$B$44=0,I302-'main page'!$K$27*M301,I302-'main page'!$K$27*M301+'main page'!$K$31*'normal case'!AB301)</f>
        <v>100</v>
      </c>
      <c r="H302" s="75">
        <f t="shared" ca="1" si="33"/>
        <v>108</v>
      </c>
      <c r="I302" s="75">
        <f t="shared" ca="1" si="34"/>
        <v>108</v>
      </c>
      <c r="L302" s="75">
        <f ca="1">IF(ABS('main page'!$K$29*L301+(1-'main page'!$K$29)*(controls!$B$9/100)*100+'main page'!$K$25*(D302-B302)-L301)&lt;0.0000001,L301,'main page'!$K$29*L301+(1-'main page'!$K$29)*(controls!$B$9/100)*100+'main page'!$K$25*(D302-B302))</f>
        <v>2</v>
      </c>
      <c r="M302" s="96">
        <f ca="1">IF(controls!$B$10=1,M301,IF(SUM(controls!$B$44:$B$46)=2,N302-'main page'!$K$29*'normal case'!L302-(1-'main page'!$K$29)*'main page'!$K$32,N302-'main page'!$K$29*'normal case'!L302-(1-'main page'!$K$29)*controls!$B$9))</f>
        <v>4</v>
      </c>
      <c r="N302" s="208">
        <f ca="1">IF(controls!$B$45=1,IF(controls!$B$46=1,'main page'!$K$24+'main page'!$K$11+'main page'!$U$8,'main page'!$K$24+'main page'!$K$11+'main page'!$K$32),IF(controls!$B$44=1,IF(O302&lt;0,0,O302),IF(O302+'main page'!$K$11&lt;0,0,O302+'main page'!$K$11)))</f>
        <v>6</v>
      </c>
      <c r="O302" s="76">
        <f ca="1">IF(controls!$B$10=1,'normal case'!M302+'normal case'!L302,'normal case'!P302)</f>
        <v>6</v>
      </c>
      <c r="P302" s="74">
        <f t="shared" ca="1" si="29"/>
        <v>6</v>
      </c>
      <c r="Q302" s="210">
        <f ca="1">IF(controls!$B$44=0,R302+'main page'!$K$29*L302+(1-'main page'!$K$29)*controls!$B$9+(('main page'!$K$25*'main page'!$U$13*'main page'!$K$29)/('main page'!$K$27*(1+('main page'!$K$25^2)*'main page'!$U$13)))*(L302-controls!$B$9),R302+'main page'!$K$29*L302+(1-'main page'!$K$29)*controls!$B$9+(('main page'!$K$25*'main page'!$U$13*'normal case'!$AO$3)/'normal case'!$AO$4)*('normal case'!L302-controls!$B$9))</f>
        <v>6</v>
      </c>
      <c r="R302" s="98">
        <f ca="1">IF(controls!$B$44=1,'main page'!$K$24+'main page'!$K$11,IF(controls!$B$33=1,((I303-D302*W303-B303+B302*V303)/'main page'!$K$27)-'main page'!$K$11,((H303-D302*W303-B303+B302*V303)/'main page'!$K$27)-'main page'!$K$11))</f>
        <v>4</v>
      </c>
      <c r="T302" s="71">
        <f>IF(controls!$B$6=1,$AL$3*(1+('main page'!$K$35/100))^U302-$AL$3*(1+('main page'!$K$35/100))^U301,$AL$3*(1+('main page'!$G$8/100))*(1+('main page'!$K$35/100))^U302-$AL$3*(1+('main page'!$G$8/100))*(1+('main page'!$K$35/100))^U301)</f>
        <v>0</v>
      </c>
      <c r="U302" s="73">
        <v>295</v>
      </c>
      <c r="V302" s="161">
        <f ca="1">IF(controls!$B$4=1,IF(controls!$H301=1,controls!$B$34*V301+RAND()*('main page'!$K$16/100)-RAND()*('main page'!$K$16/100),0),0)</f>
        <v>0</v>
      </c>
      <c r="W302" s="40">
        <f ca="1">IF(controls!$B$4=1,IF(controls!$I301=1,controls!$B$34*W301+RAND()*('main page'!$K$16/100)-RAND()*('main page'!$K$16/100),0),0)</f>
        <v>0</v>
      </c>
      <c r="X302" s="49">
        <f ca="1">IF(controls!$B$33=1,D302-($I$3-'main page'!$K$27*2)*(1+('main page'!$K$35/100))^A301,D302-$AL$4)</f>
        <v>0</v>
      </c>
      <c r="Y302" s="49">
        <f ca="1">ABS(L302-(controls!$B$9/100)*100)</f>
        <v>0</v>
      </c>
      <c r="AA302" s="49" t="e">
        <f ca="1">IF(controls!$B$33=1,(B303-B302*V303-I303+D302*W303+'main page'!$K$27*('main page'!$K$24+'main page'!$K$11))/'main page'!$K$31,(B303-B302*V303+D302*W303-H303+'main page'!$K$27*('main page'!$K$24+'main page'!$K$11))/'main page'!$K$31)</f>
        <v>#DIV/0!</v>
      </c>
      <c r="AB302" s="49" t="e">
        <f ca="1">IF(controls!$B$45=1,LOG(AF302,1.01)+LOG(AE302,1.01)-LOG(AD302,1.01),-((M302-('main page'!$K$24+'main page'!$K$11))/(1-'normal case'!$AO$3))+'normal case'!AA302)</f>
        <v>#DIV/0!</v>
      </c>
      <c r="AC302" s="176" t="e">
        <f t="shared" ca="1" si="30"/>
        <v>#DIV/0!</v>
      </c>
      <c r="AD302" s="49">
        <f t="shared" ca="1" si="31"/>
        <v>372.77892947209375</v>
      </c>
      <c r="AE302" s="49">
        <f>AE301*(1+'main page'!$K$32/100)</f>
        <v>1</v>
      </c>
      <c r="AF302" s="49" t="e">
        <f ca="1">IF(ABS(IF(controls!$B$45=1,$AL$13,AD302*AC302/AE302)-AF301)&lt;0.00001,AF301,IF(controls!$B$45=1,$AL$13,AD302*AC302/AE302))</f>
        <v>#DIV/0!</v>
      </c>
      <c r="AG302" s="49">
        <f>IF(controls!$B$46=0,0,IF(controls!$B$33=2,B303-B302*V303-('normal case'!H303-D302*W303-'main page'!$K$27*'normal case'!M302+'main page'!$K$31*'normal case'!AB302)-(('main page'!$K$25*'main page'!$U$13*'main page'!$K$29)/(1+('main page'!$K$25^2)*'main page'!$U$13))*('normal case'!L302-'main page'!$U$8),B303-B302*V303-('normal case'!I303-D302*W303-'main page'!$K$27*'normal case'!M302+'main page'!$K$31*'normal case'!AB302)-(('main page'!$K$25*'main page'!$U$13*'main page'!$K$29)/(1+('main page'!$K$25^2)*'main page'!$U$13))*('normal case'!L302-'main page'!$U$8)))</f>
        <v>0</v>
      </c>
      <c r="AN302" s="40"/>
      <c r="AO302" s="40"/>
    </row>
    <row r="303" spans="1:41">
      <c r="A303" s="48">
        <v>301</v>
      </c>
      <c r="B303" s="75">
        <f ca="1">IF(controls!$B$33=1,B302*(1+V303)+T303,B302*(1+V303))</f>
        <v>100</v>
      </c>
      <c r="C303" s="80">
        <f t="shared" ca="1" si="32"/>
        <v>0</v>
      </c>
      <c r="D303" s="77">
        <f t="shared" ca="1" si="28"/>
        <v>100</v>
      </c>
      <c r="E303" s="77">
        <f ca="1">AG302+IF(controls!$B$33=1,G303,F303)</f>
        <v>100</v>
      </c>
      <c r="F303" s="94">
        <f ca="1">IF(controls!$B$44=0,H303-'main page'!$K$27*M302,H303-'main page'!$K$27*M302+'main page'!$K$31*AB302)</f>
        <v>100</v>
      </c>
      <c r="G303" s="75">
        <f ca="1">IF(controls!$B$44=0,I303-'main page'!$K$27*M302,I303-'main page'!$K$27*M302+'main page'!$K$31*'normal case'!AB302)</f>
        <v>100</v>
      </c>
      <c r="H303" s="75">
        <f t="shared" ca="1" si="33"/>
        <v>108</v>
      </c>
      <c r="I303" s="75">
        <f t="shared" ca="1" si="34"/>
        <v>108</v>
      </c>
      <c r="L303" s="75">
        <f ca="1">IF(ABS('main page'!$K$29*L302+(1-'main page'!$K$29)*(controls!$B$9/100)*100+'main page'!$K$25*(D303-B303)-L302)&lt;0.0000001,L302,'main page'!$K$29*L302+(1-'main page'!$K$29)*(controls!$B$9/100)*100+'main page'!$K$25*(D303-B303))</f>
        <v>2</v>
      </c>
      <c r="M303" s="96">
        <f ca="1">IF(controls!$B$10=1,M302,IF(SUM(controls!$B$44:$B$46)=2,N303-'main page'!$K$29*'normal case'!L303-(1-'main page'!$K$29)*'main page'!$K$32,N303-'main page'!$K$29*'normal case'!L303-(1-'main page'!$K$29)*controls!$B$9))</f>
        <v>4</v>
      </c>
      <c r="N303" s="208">
        <f ca="1">IF(controls!$B$45=1,IF(controls!$B$46=1,'main page'!$K$24+'main page'!$K$11+'main page'!$U$8,'main page'!$K$24+'main page'!$K$11+'main page'!$K$32),IF(controls!$B$44=1,IF(O303&lt;0,0,O303),IF(O303+'main page'!$K$11&lt;0,0,O303+'main page'!$K$11)))</f>
        <v>6</v>
      </c>
      <c r="O303" s="76">
        <f ca="1">IF(controls!$B$10=1,'normal case'!M303+'normal case'!L303,'normal case'!P303)</f>
        <v>6</v>
      </c>
      <c r="P303" s="74">
        <f t="shared" ca="1" si="29"/>
        <v>6</v>
      </c>
      <c r="Q303" s="210">
        <f ca="1">IF(controls!$B$44=0,R303+'main page'!$K$29*L303+(1-'main page'!$K$29)*controls!$B$9+(('main page'!$K$25*'main page'!$U$13*'main page'!$K$29)/('main page'!$K$27*(1+('main page'!$K$25^2)*'main page'!$U$13)))*(L303-controls!$B$9),R303+'main page'!$K$29*L303+(1-'main page'!$K$29)*controls!$B$9+(('main page'!$K$25*'main page'!$U$13*'normal case'!$AO$3)/'normal case'!$AO$4)*('normal case'!L303-controls!$B$9))</f>
        <v>6</v>
      </c>
      <c r="R303" s="98">
        <f ca="1">IF(controls!$B$44=1,'main page'!$K$24+'main page'!$K$11,IF(controls!$B$33=1,((I304-D303*W304-B304+B303*V304)/'main page'!$K$27)-'main page'!$K$11,((H304-D303*W304-B304+B303*V304)/'main page'!$K$27)-'main page'!$K$11))</f>
        <v>4</v>
      </c>
      <c r="T303" s="71">
        <f>IF(controls!$B$6=1,$AL$3*(1+('main page'!$K$35/100))^U303-$AL$3*(1+('main page'!$K$35/100))^U302,$AL$3*(1+('main page'!$G$8/100))*(1+('main page'!$K$35/100))^U303-$AL$3*(1+('main page'!$G$8/100))*(1+('main page'!$K$35/100))^U302)</f>
        <v>0</v>
      </c>
      <c r="U303" s="73">
        <v>296</v>
      </c>
      <c r="V303" s="161">
        <v>0</v>
      </c>
      <c r="W303" s="40">
        <v>0</v>
      </c>
      <c r="X303" s="49">
        <f ca="1">IF(controls!$B$33=1,D303-($I$3-'main page'!$K$27*2)*(1+('main page'!$K$35/100))^A302,D303-$AL$4)</f>
        <v>0</v>
      </c>
      <c r="Y303" s="49">
        <f ca="1">ABS(L303-(controls!$B$9/100)*100)</f>
        <v>0</v>
      </c>
      <c r="AA303" s="49" t="e">
        <f ca="1">IF(controls!$B$33=1,(B304-B303*V304-I304+D303*W304+'main page'!$K$27*('main page'!$K$24+'main page'!$K$11))/'main page'!$K$31,(B304-B303*V304+D303*W304-H304+'main page'!$K$27*('main page'!$K$24+'main page'!$K$11))/'main page'!$K$31)</f>
        <v>#DIV/0!</v>
      </c>
      <c r="AB303" s="49" t="e">
        <f ca="1">IF(controls!$B$45=1,LOG(AF303,1.01)+LOG(AE303,1.01)-LOG(AD303,1.01),-((M303-('main page'!$K$24+'main page'!$K$11))/(1-'normal case'!$AO$3))+'normal case'!AA303)</f>
        <v>#DIV/0!</v>
      </c>
      <c r="AC303" s="176" t="e">
        <f t="shared" ca="1" si="30"/>
        <v>#DIV/0!</v>
      </c>
      <c r="AD303" s="49">
        <f t="shared" ca="1" si="31"/>
        <v>380.23450806153562</v>
      </c>
      <c r="AE303" s="49">
        <f>AE302*(1+'main page'!$K$32/100)</f>
        <v>1</v>
      </c>
      <c r="AF303" s="49" t="e">
        <f ca="1">IF(ABS(IF(controls!$B$45=1,$AL$13,AD303*AC303/AE303)-AF302)&lt;0.00001,AF302,IF(controls!$B$45=1,$AL$13,AD303*AC303/AE303))</f>
        <v>#DIV/0!</v>
      </c>
      <c r="AG303" s="49">
        <f>IF(controls!$B$46=0,0,IF(controls!$B$33=2,B304-B303*V304-('normal case'!H304-D303*W304-'main page'!$K$27*'normal case'!M303+'main page'!$K$31*'normal case'!AB303)-(('main page'!$K$25*'main page'!$U$13*'main page'!$K$29)/(1+('main page'!$K$25^2)*'main page'!$U$13))*('normal case'!L303-'main page'!$U$8),B304-B303*V304-('normal case'!I304-D303*W304-'main page'!$K$27*'normal case'!M303+'main page'!$K$31*'normal case'!AB303)-(('main page'!$K$25*'main page'!$U$13*'main page'!$K$29)/(1+('main page'!$K$25^2)*'main page'!$U$13))*('normal case'!L303-'main page'!$U$8)))</f>
        <v>0</v>
      </c>
      <c r="AN303" s="40"/>
      <c r="AO303" s="40"/>
    </row>
    <row r="304" spans="1:41">
      <c r="A304" s="48">
        <v>302</v>
      </c>
      <c r="B304" s="75">
        <f ca="1">IF(controls!$B$33=1,B303*(1+V304)+T304,B303*(1+V304))</f>
        <v>100</v>
      </c>
      <c r="C304" s="80">
        <f t="shared" ca="1" si="32"/>
        <v>0</v>
      </c>
      <c r="D304" s="77">
        <f t="shared" ca="1" si="28"/>
        <v>100</v>
      </c>
      <c r="E304" s="77">
        <f ca="1">AG303+IF(controls!$B$33=1,G304,F304)</f>
        <v>100</v>
      </c>
      <c r="F304" s="94">
        <f ca="1">IF(controls!$B$44=0,H304-'main page'!$K$27*M303,H304-'main page'!$K$27*M303+'main page'!$K$31*AB303)</f>
        <v>100</v>
      </c>
      <c r="G304" s="75">
        <f ca="1">IF(controls!$B$44=0,I304-'main page'!$K$27*M303,I304-'main page'!$K$27*M303+'main page'!$K$31*'normal case'!AB303)</f>
        <v>100</v>
      </c>
      <c r="H304" s="75">
        <f t="shared" ca="1" si="33"/>
        <v>108</v>
      </c>
      <c r="I304" s="75">
        <f t="shared" ca="1" si="34"/>
        <v>108</v>
      </c>
      <c r="L304" s="75">
        <f ca="1">IF(ABS('main page'!$K$29*L303+(1-'main page'!$K$29)*(controls!$B$9/100)*100+'main page'!$K$25*(D304-B304)-L303)&lt;0.0000001,L303,'main page'!$K$29*L303+(1-'main page'!$K$29)*(controls!$B$9/100)*100+'main page'!$K$25*(D304-B304))</f>
        <v>2</v>
      </c>
      <c r="M304" s="96">
        <f ca="1">IF(controls!$B$10=1,M303,IF(SUM(controls!$B$44:$B$46)=2,N304-'main page'!$K$29*'normal case'!L304-(1-'main page'!$K$29)*'main page'!$K$32,N304-'main page'!$K$29*'normal case'!L304-(1-'main page'!$K$29)*controls!$B$9))</f>
        <v>4</v>
      </c>
      <c r="N304" s="208">
        <f ca="1">IF(controls!$B$45=1,IF(controls!$B$46=1,'main page'!$K$24+'main page'!$K$11+'main page'!$U$8,'main page'!$K$24+'main page'!$K$11+'main page'!$K$32),IF(controls!$B$44=1,IF(O304&lt;0,0,O304),IF(O304+'main page'!$K$11&lt;0,0,O304+'main page'!$K$11)))</f>
        <v>6</v>
      </c>
      <c r="O304" s="76">
        <f ca="1">IF(controls!$B$10=1,'normal case'!M304+'normal case'!L304,'normal case'!P304)</f>
        <v>6</v>
      </c>
      <c r="P304" s="74">
        <f t="shared" ca="1" si="29"/>
        <v>6</v>
      </c>
      <c r="Q304" s="210">
        <f ca="1">IF(controls!$B$44=0,R304+'main page'!$K$29*L304+(1-'main page'!$K$29)*controls!$B$9+(('main page'!$K$25*'main page'!$U$13*'main page'!$K$29)/('main page'!$K$27*(1+('main page'!$K$25^2)*'main page'!$U$13)))*(L304-controls!$B$9),R304+'main page'!$K$29*L304+(1-'main page'!$K$29)*controls!$B$9+(('main page'!$K$25*'main page'!$U$13*'normal case'!$AO$3)/'normal case'!$AO$4)*('normal case'!L304-controls!$B$9))</f>
        <v>6</v>
      </c>
      <c r="R304" s="98">
        <f ca="1">IF(controls!$B$44=1,'main page'!$K$24+'main page'!$K$11,IF(controls!$B$33=1,((I305-D304*W305-B305+B304*V305)/'main page'!$K$27)-'main page'!$K$11,((H305-D304*W305-B305+B304*V305)/'main page'!$K$27)-'main page'!$K$11))</f>
        <v>4</v>
      </c>
      <c r="T304" s="71">
        <f>IF(controls!$B$6=1,$AL$3*(1+('main page'!$K$35/100))^U304-$AL$3*(1+('main page'!$K$35/100))^U303,$AL$3*(1+('main page'!$G$8/100))*(1+('main page'!$K$35/100))^U304-$AL$3*(1+('main page'!$G$8/100))*(1+('main page'!$K$35/100))^U303)</f>
        <v>0</v>
      </c>
      <c r="U304" s="73">
        <v>297</v>
      </c>
      <c r="V304" s="161">
        <v>0</v>
      </c>
      <c r="W304" s="40">
        <v>0</v>
      </c>
      <c r="X304" s="49">
        <f ca="1">IF(controls!$B$33=1,D304-($I$3-'main page'!$K$27*2)*(1+('main page'!$K$35/100))^A303,D304-$AL$4)</f>
        <v>0</v>
      </c>
      <c r="Y304" s="49">
        <f ca="1">ABS(L304-(controls!$B$9/100)*100)</f>
        <v>0</v>
      </c>
      <c r="AA304" s="49" t="e">
        <f ca="1">IF(controls!$B$33=1,(B305-B304*V305-I305+D304*W305+'main page'!$K$27*('main page'!$K$24+'main page'!$K$11))/'main page'!$K$31,(B305-B304*V305+D304*W305-H305+'main page'!$K$27*('main page'!$K$24+'main page'!$K$11))/'main page'!$K$31)</f>
        <v>#DIV/0!</v>
      </c>
      <c r="AB304" s="49" t="e">
        <f ca="1">IF(controls!$B$45=1,LOG(AF304,1.01)+LOG(AE304,1.01)-LOG(AD304,1.01),-((M304-('main page'!$K$24+'main page'!$K$11))/(1-'normal case'!$AO$3))+'normal case'!AA304)</f>
        <v>#DIV/0!</v>
      </c>
      <c r="AC304" s="176" t="e">
        <f t="shared" ca="1" si="30"/>
        <v>#DIV/0!</v>
      </c>
      <c r="AD304" s="49">
        <f t="shared" ca="1" si="31"/>
        <v>387.83919822276636</v>
      </c>
      <c r="AE304" s="49">
        <f>AE303*(1+'main page'!$K$32/100)</f>
        <v>1</v>
      </c>
      <c r="AF304" s="49" t="e">
        <f ca="1">IF(ABS(IF(controls!$B$45=1,$AL$13,AD304*AC304/AE304)-AF303)&lt;0.00001,AF303,IF(controls!$B$45=1,$AL$13,AD304*AC304/AE304))</f>
        <v>#DIV/0!</v>
      </c>
      <c r="AG304" s="49">
        <f>IF(controls!$B$46=0,0,IF(controls!$B$33=2,B305-B304*V305-('normal case'!H305-D304*W305-'main page'!$K$27*'normal case'!M304+'main page'!$K$31*'normal case'!AB304)-(('main page'!$K$25*'main page'!$U$13*'main page'!$K$29)/(1+('main page'!$K$25^2)*'main page'!$U$13))*('normal case'!L304-'main page'!$U$8),B305-B304*V305-('normal case'!I305-D304*W305-'main page'!$K$27*'normal case'!M304+'main page'!$K$31*'normal case'!AB304)-(('main page'!$K$25*'main page'!$U$13*'main page'!$K$29)/(1+('main page'!$K$25^2)*'main page'!$U$13))*('normal case'!L304-'main page'!$U$8)))</f>
        <v>0</v>
      </c>
      <c r="AN304" s="40"/>
      <c r="AO304" s="40"/>
    </row>
    <row r="305" spans="1:41">
      <c r="A305" s="48">
        <v>303</v>
      </c>
      <c r="B305" s="75">
        <f ca="1">IF(controls!$B$33=1,B304*(1+V305)+T305,B304*(1+V305))</f>
        <v>100</v>
      </c>
      <c r="C305" s="80">
        <f t="shared" ca="1" si="32"/>
        <v>0</v>
      </c>
      <c r="D305" s="77">
        <f t="shared" ca="1" si="28"/>
        <v>100</v>
      </c>
      <c r="E305" s="77">
        <f ca="1">AG304+IF(controls!$B$33=1,G305,F305)</f>
        <v>100</v>
      </c>
      <c r="F305" s="94">
        <f ca="1">IF(controls!$B$44=0,H305-'main page'!$K$27*M304,H305-'main page'!$K$27*M304+'main page'!$K$31*AB304)</f>
        <v>100</v>
      </c>
      <c r="G305" s="75">
        <f ca="1">IF(controls!$B$44=0,I305-'main page'!$K$27*M304,I305-'main page'!$K$27*M304+'main page'!$K$31*'normal case'!AB304)</f>
        <v>100</v>
      </c>
      <c r="H305" s="75">
        <f t="shared" ca="1" si="33"/>
        <v>108</v>
      </c>
      <c r="I305" s="75">
        <f t="shared" ca="1" si="34"/>
        <v>108</v>
      </c>
      <c r="L305" s="75">
        <f ca="1">IF(ABS('main page'!$K$29*L304+(1-'main page'!$K$29)*(controls!$B$9/100)*100+'main page'!$K$25*(D305-B305)-L304)&lt;0.0000001,L304,'main page'!$K$29*L304+(1-'main page'!$K$29)*(controls!$B$9/100)*100+'main page'!$K$25*(D305-B305))</f>
        <v>2</v>
      </c>
      <c r="M305" s="96">
        <f ca="1">IF(controls!$B$10=1,M304,IF(SUM(controls!$B$44:$B$46)=2,N305-'main page'!$K$29*'normal case'!L305-(1-'main page'!$K$29)*'main page'!$K$32,N305-'main page'!$K$29*'normal case'!L305-(1-'main page'!$K$29)*controls!$B$9))</f>
        <v>4</v>
      </c>
      <c r="N305" s="208">
        <f ca="1">IF(controls!$B$45=1,IF(controls!$B$46=1,'main page'!$K$24+'main page'!$K$11+'main page'!$U$8,'main page'!$K$24+'main page'!$K$11+'main page'!$K$32),IF(controls!$B$44=1,IF(O305&lt;0,0,O305),IF(O305+'main page'!$K$11&lt;0,0,O305+'main page'!$K$11)))</f>
        <v>6</v>
      </c>
      <c r="O305" s="76">
        <f ca="1">IF(controls!$B$10=1,'normal case'!M305+'normal case'!L305,'normal case'!P305)</f>
        <v>6</v>
      </c>
      <c r="P305" s="74">
        <f t="shared" ca="1" si="29"/>
        <v>6</v>
      </c>
      <c r="Q305" s="210">
        <f ca="1">IF(controls!$B$44=0,R305+'main page'!$K$29*L305+(1-'main page'!$K$29)*controls!$B$9+(('main page'!$K$25*'main page'!$U$13*'main page'!$K$29)/('main page'!$K$27*(1+('main page'!$K$25^2)*'main page'!$U$13)))*(L305-controls!$B$9),R305+'main page'!$K$29*L305+(1-'main page'!$K$29)*controls!$B$9+(('main page'!$K$25*'main page'!$U$13*'normal case'!$AO$3)/'normal case'!$AO$4)*('normal case'!L305-controls!$B$9))</f>
        <v>6</v>
      </c>
      <c r="R305" s="98">
        <f ca="1">IF(controls!$B$44=1,'main page'!$K$24+'main page'!$K$11,IF(controls!$B$33=1,((I306-D305*W306-B306+B305*V306)/'main page'!$K$27)-'main page'!$K$11,((H306-D305*W306-B306+B305*V306)/'main page'!$K$27)-'main page'!$K$11))</f>
        <v>4</v>
      </c>
      <c r="T305" s="71">
        <f>IF(controls!$B$6=1,$AL$3*(1+('main page'!$K$35/100))^U305-$AL$3*(1+('main page'!$K$35/100))^U304,$AL$3*(1+('main page'!$G$8/100))*(1+('main page'!$K$35/100))^U305-$AL$3*(1+('main page'!$G$8/100))*(1+('main page'!$K$35/100))^U304)</f>
        <v>0</v>
      </c>
      <c r="U305" s="73">
        <v>298</v>
      </c>
      <c r="V305" s="161">
        <f ca="1">IF(controls!$B$4=1,IF(controls!$H304=1,controls!$B$34*V304+RAND()*('main page'!$K$16/100)-RAND()*('main page'!$K$16/100),0),0)</f>
        <v>0</v>
      </c>
      <c r="W305" s="40">
        <f ca="1">IF(controls!$B$4=1,IF(controls!$I304=1,controls!$B$34*W304+RAND()*('main page'!$K$16/100)-RAND()*('main page'!$K$16/100),0),0)</f>
        <v>0</v>
      </c>
      <c r="X305" s="49">
        <f ca="1">IF(controls!$B$33=1,D305-($I$3-'main page'!$K$27*2)*(1+('main page'!$K$35/100))^A304,D305-$AL$4)</f>
        <v>0</v>
      </c>
      <c r="Y305" s="49">
        <f ca="1">ABS(L305-(controls!$B$9/100)*100)</f>
        <v>0</v>
      </c>
      <c r="AA305" s="49" t="e">
        <f ca="1">IF(controls!$B$33=1,(B306-B305*V306-I306+D305*W306+'main page'!$K$27*('main page'!$K$24+'main page'!$K$11))/'main page'!$K$31,(B306-B305*V306+D305*W306-H306+'main page'!$K$27*('main page'!$K$24+'main page'!$K$11))/'main page'!$K$31)</f>
        <v>#DIV/0!</v>
      </c>
      <c r="AB305" s="49" t="e">
        <f ca="1">IF(controls!$B$45=1,LOG(AF305,1.01)+LOG(AE305,1.01)-LOG(AD305,1.01),-((M305-('main page'!$K$24+'main page'!$K$11))/(1-'normal case'!$AO$3))+'normal case'!AA305)</f>
        <v>#DIV/0!</v>
      </c>
      <c r="AC305" s="176" t="e">
        <f t="shared" ca="1" si="30"/>
        <v>#DIV/0!</v>
      </c>
      <c r="AD305" s="49">
        <f t="shared" ca="1" si="31"/>
        <v>395.59598218722169</v>
      </c>
      <c r="AE305" s="49">
        <f>AE304*(1+'main page'!$K$32/100)</f>
        <v>1</v>
      </c>
      <c r="AF305" s="49" t="e">
        <f ca="1">IF(ABS(IF(controls!$B$45=1,$AL$13,AD305*AC305/AE305)-AF304)&lt;0.00001,AF304,IF(controls!$B$45=1,$AL$13,AD305*AC305/AE305))</f>
        <v>#DIV/0!</v>
      </c>
      <c r="AG305" s="49">
        <f>IF(controls!$B$46=0,0,IF(controls!$B$33=2,B306-B305*V306-('normal case'!H306-D305*W306-'main page'!$K$27*'normal case'!M305+'main page'!$K$31*'normal case'!AB305)-(('main page'!$K$25*'main page'!$U$13*'main page'!$K$29)/(1+('main page'!$K$25^2)*'main page'!$U$13))*('normal case'!L305-'main page'!$U$8),B306-B305*V306-('normal case'!I306-D305*W306-'main page'!$K$27*'normal case'!M305+'main page'!$K$31*'normal case'!AB305)-(('main page'!$K$25*'main page'!$U$13*'main page'!$K$29)/(1+('main page'!$K$25^2)*'main page'!$U$13))*('normal case'!L305-'main page'!$U$8)))</f>
        <v>0</v>
      </c>
      <c r="AN305" s="40"/>
      <c r="AO305" s="40"/>
    </row>
    <row r="306" spans="1:41">
      <c r="A306" s="48">
        <v>304</v>
      </c>
      <c r="B306" s="75">
        <f ca="1">IF(controls!$B$33=1,B305*(1+V306)+T306,B305*(1+V306))</f>
        <v>100</v>
      </c>
      <c r="C306" s="80">
        <f t="shared" ca="1" si="32"/>
        <v>0</v>
      </c>
      <c r="D306" s="77">
        <f t="shared" ca="1" si="28"/>
        <v>100</v>
      </c>
      <c r="E306" s="77">
        <f ca="1">AG305+IF(controls!$B$33=1,G306,F306)</f>
        <v>100</v>
      </c>
      <c r="F306" s="94">
        <f ca="1">IF(controls!$B$44=0,H306-'main page'!$K$27*M305,H306-'main page'!$K$27*M305+'main page'!$K$31*AB305)</f>
        <v>100</v>
      </c>
      <c r="G306" s="75">
        <f ca="1">IF(controls!$B$44=0,I306-'main page'!$K$27*M305,I306-'main page'!$K$27*M305+'main page'!$K$31*'normal case'!AB305)</f>
        <v>100</v>
      </c>
      <c r="H306" s="75">
        <f t="shared" ca="1" si="33"/>
        <v>108</v>
      </c>
      <c r="I306" s="75">
        <f t="shared" ca="1" si="34"/>
        <v>108</v>
      </c>
      <c r="L306" s="75">
        <f ca="1">IF(ABS('main page'!$K$29*L305+(1-'main page'!$K$29)*(controls!$B$9/100)*100+'main page'!$K$25*(D306-B306)-L305)&lt;0.0000001,L305,'main page'!$K$29*L305+(1-'main page'!$K$29)*(controls!$B$9/100)*100+'main page'!$K$25*(D306-B306))</f>
        <v>2</v>
      </c>
      <c r="M306" s="96">
        <f ca="1">IF(controls!$B$10=1,M305,IF(SUM(controls!$B$44:$B$46)=2,N306-'main page'!$K$29*'normal case'!L306-(1-'main page'!$K$29)*'main page'!$K$32,N306-'main page'!$K$29*'normal case'!L306-(1-'main page'!$K$29)*controls!$B$9))</f>
        <v>4</v>
      </c>
      <c r="N306" s="208">
        <f ca="1">IF(controls!$B$45=1,IF(controls!$B$46=1,'main page'!$K$24+'main page'!$K$11+'main page'!$U$8,'main page'!$K$24+'main page'!$K$11+'main page'!$K$32),IF(controls!$B$44=1,IF(O306&lt;0,0,O306),IF(O306+'main page'!$K$11&lt;0,0,O306+'main page'!$K$11)))</f>
        <v>6</v>
      </c>
      <c r="O306" s="76">
        <f ca="1">IF(controls!$B$10=1,'normal case'!M306+'normal case'!L306,'normal case'!P306)</f>
        <v>6</v>
      </c>
      <c r="P306" s="74">
        <f t="shared" ca="1" si="29"/>
        <v>6</v>
      </c>
      <c r="Q306" s="210">
        <f ca="1">IF(controls!$B$44=0,R306+'main page'!$K$29*L306+(1-'main page'!$K$29)*controls!$B$9+(('main page'!$K$25*'main page'!$U$13*'main page'!$K$29)/('main page'!$K$27*(1+('main page'!$K$25^2)*'main page'!$U$13)))*(L306-controls!$B$9),R306+'main page'!$K$29*L306+(1-'main page'!$K$29)*controls!$B$9+(('main page'!$K$25*'main page'!$U$13*'normal case'!$AO$3)/'normal case'!$AO$4)*('normal case'!L306-controls!$B$9))</f>
        <v>6</v>
      </c>
      <c r="R306" s="98">
        <f ca="1">IF(controls!$B$44=1,'main page'!$K$24+'main page'!$K$11,IF(controls!$B$33=1,((I307-D306*W307-B307+B306*V307)/'main page'!$K$27)-'main page'!$K$11,((H307-D306*W307-B307+B306*V307)/'main page'!$K$27)-'main page'!$K$11))</f>
        <v>4</v>
      </c>
      <c r="T306" s="71">
        <f>IF(controls!$B$6=1,$AL$3*(1+('main page'!$K$35/100))^U306-$AL$3*(1+('main page'!$K$35/100))^U305,$AL$3*(1+('main page'!$G$8/100))*(1+('main page'!$K$35/100))^U306-$AL$3*(1+('main page'!$G$8/100))*(1+('main page'!$K$35/100))^U305)</f>
        <v>0</v>
      </c>
      <c r="U306" s="73">
        <v>299</v>
      </c>
      <c r="V306" s="161">
        <v>0</v>
      </c>
      <c r="W306" s="40">
        <v>0</v>
      </c>
      <c r="X306" s="49">
        <f ca="1">IF(controls!$B$33=1,D306-($I$3-'main page'!$K$27*2)*(1+('main page'!$K$35/100))^A305,D306-$AL$4)</f>
        <v>0</v>
      </c>
      <c r="Y306" s="49">
        <f ca="1">ABS(L306-(controls!$B$9/100)*100)</f>
        <v>0</v>
      </c>
      <c r="AA306" s="49" t="e">
        <f ca="1">IF(controls!$B$33=1,(B307-B306*V307-I307+D306*W307+'main page'!$K$27*('main page'!$K$24+'main page'!$K$11))/'main page'!$K$31,(B307-B306*V307+D306*W307-H307+'main page'!$K$27*('main page'!$K$24+'main page'!$K$11))/'main page'!$K$31)</f>
        <v>#DIV/0!</v>
      </c>
      <c r="AB306" s="49" t="e">
        <f ca="1">IF(controls!$B$45=1,LOG(AF306,1.01)+LOG(AE306,1.01)-LOG(AD306,1.01),-((M306-('main page'!$K$24+'main page'!$K$11))/(1-'normal case'!$AO$3))+'normal case'!AA306)</f>
        <v>#DIV/0!</v>
      </c>
      <c r="AC306" s="176" t="e">
        <f t="shared" ca="1" si="30"/>
        <v>#DIV/0!</v>
      </c>
      <c r="AD306" s="49">
        <f t="shared" ca="1" si="31"/>
        <v>403.50790183096615</v>
      </c>
      <c r="AE306" s="49">
        <f>AE305*(1+'main page'!$K$32/100)</f>
        <v>1</v>
      </c>
      <c r="AF306" s="49" t="e">
        <f ca="1">IF(ABS(IF(controls!$B$45=1,$AL$13,AD306*AC306/AE306)-AF305)&lt;0.00001,AF305,IF(controls!$B$45=1,$AL$13,AD306*AC306/AE306))</f>
        <v>#DIV/0!</v>
      </c>
      <c r="AG306" s="49">
        <f>IF(controls!$B$46=0,0,IF(controls!$B$33=2,B307-B306*V307-('normal case'!H307-D306*W307-'main page'!$K$27*'normal case'!M306+'main page'!$K$31*'normal case'!AB306)-(('main page'!$K$25*'main page'!$U$13*'main page'!$K$29)/(1+('main page'!$K$25^2)*'main page'!$U$13))*('normal case'!L306-'main page'!$U$8),B307-B306*V307-('normal case'!I307-D306*W307-'main page'!$K$27*'normal case'!M306+'main page'!$K$31*'normal case'!AB306)-(('main page'!$K$25*'main page'!$U$13*'main page'!$K$29)/(1+('main page'!$K$25^2)*'main page'!$U$13))*('normal case'!L306-'main page'!$U$8)))</f>
        <v>0</v>
      </c>
      <c r="AN306" s="40"/>
      <c r="AO306" s="40"/>
    </row>
    <row r="307" spans="1:41">
      <c r="A307" s="48">
        <v>305</v>
      </c>
      <c r="B307" s="75">
        <f ca="1">IF(controls!$B$33=1,B306*(1+V307)+T307,B306*(1+V307))</f>
        <v>100</v>
      </c>
      <c r="C307" s="80">
        <f t="shared" ca="1" si="32"/>
        <v>0</v>
      </c>
      <c r="D307" s="77">
        <f t="shared" ca="1" si="28"/>
        <v>100</v>
      </c>
      <c r="E307" s="77">
        <f ca="1">AG306+IF(controls!$B$33=1,G307,F307)</f>
        <v>100</v>
      </c>
      <c r="F307" s="94">
        <f ca="1">IF(controls!$B$44=0,H307-'main page'!$K$27*M306,H307-'main page'!$K$27*M306+'main page'!$K$31*AB306)</f>
        <v>100</v>
      </c>
      <c r="G307" s="75">
        <f ca="1">IF(controls!$B$44=0,I307-'main page'!$K$27*M306,I307-'main page'!$K$27*M306+'main page'!$K$31*'normal case'!AB306)</f>
        <v>100</v>
      </c>
      <c r="H307" s="75">
        <f t="shared" ca="1" si="33"/>
        <v>108</v>
      </c>
      <c r="I307" s="75">
        <f t="shared" ca="1" si="34"/>
        <v>108</v>
      </c>
      <c r="L307" s="75">
        <f ca="1">IF(ABS('main page'!$K$29*L306+(1-'main page'!$K$29)*(controls!$B$9/100)*100+'main page'!$K$25*(D307-B307)-L306)&lt;0.0000001,L306,'main page'!$K$29*L306+(1-'main page'!$K$29)*(controls!$B$9/100)*100+'main page'!$K$25*(D307-B307))</f>
        <v>2</v>
      </c>
      <c r="M307" s="96">
        <f ca="1">IF(controls!$B$10=1,M306,IF(SUM(controls!$B$44:$B$46)=2,N307-'main page'!$K$29*'normal case'!L307-(1-'main page'!$K$29)*'main page'!$K$32,N307-'main page'!$K$29*'normal case'!L307-(1-'main page'!$K$29)*controls!$B$9))</f>
        <v>4</v>
      </c>
      <c r="N307" s="208">
        <f ca="1">IF(controls!$B$45=1,IF(controls!$B$46=1,'main page'!$K$24+'main page'!$K$11+'main page'!$U$8,'main page'!$K$24+'main page'!$K$11+'main page'!$K$32),IF(controls!$B$44=1,IF(O307&lt;0,0,O307),IF(O307+'main page'!$K$11&lt;0,0,O307+'main page'!$K$11)))</f>
        <v>6</v>
      </c>
      <c r="O307" s="76">
        <f ca="1">IF(controls!$B$10=1,'normal case'!M307+'normal case'!L307,'normal case'!P307)</f>
        <v>6</v>
      </c>
      <c r="P307" s="74">
        <f t="shared" ca="1" si="29"/>
        <v>6</v>
      </c>
      <c r="Q307" s="210">
        <f ca="1">IF(controls!$B$44=0,R307+'main page'!$K$29*L307+(1-'main page'!$K$29)*controls!$B$9+(('main page'!$K$25*'main page'!$U$13*'main page'!$K$29)/('main page'!$K$27*(1+('main page'!$K$25^2)*'main page'!$U$13)))*(L307-controls!$B$9),R307+'main page'!$K$29*L307+(1-'main page'!$K$29)*controls!$B$9+(('main page'!$K$25*'main page'!$U$13*'normal case'!$AO$3)/'normal case'!$AO$4)*('normal case'!L307-controls!$B$9))</f>
        <v>6</v>
      </c>
      <c r="R307" s="98">
        <f ca="1">IF(controls!$B$44=1,'main page'!$K$24+'main page'!$K$11,IF(controls!$B$33=1,((I308-D307*W308-B308+B307*V308)/'main page'!$K$27)-'main page'!$K$11,((H308-D307*W308-B308+B307*V308)/'main page'!$K$27)-'main page'!$K$11))</f>
        <v>4</v>
      </c>
      <c r="T307" s="71">
        <f>IF(controls!$B$6=1,$AL$3*(1+('main page'!$K$35/100))^U307-$AL$3*(1+('main page'!$K$35/100))^U306,$AL$3*(1+('main page'!$G$8/100))*(1+('main page'!$K$35/100))^U307-$AL$3*(1+('main page'!$G$8/100))*(1+('main page'!$K$35/100))^U306)</f>
        <v>0</v>
      </c>
      <c r="U307" s="73">
        <v>300</v>
      </c>
      <c r="V307" s="161">
        <v>0</v>
      </c>
      <c r="W307" s="40">
        <v>0</v>
      </c>
      <c r="X307" s="49">
        <f ca="1">IF(controls!$B$33=1,D307-($I$3-'main page'!$K$27*2)*(1+('main page'!$K$35/100))^A306,D307-$AL$4)</f>
        <v>0</v>
      </c>
      <c r="Y307" s="49">
        <f ca="1">ABS(L307-(controls!$B$9/100)*100)</f>
        <v>0</v>
      </c>
      <c r="AA307" s="49" t="e">
        <f ca="1">IF(controls!$B$33=1,(B308-B307*V308-I308+D307*W308+'main page'!$K$27*('main page'!$K$24+'main page'!$K$11))/'main page'!$K$31,(B308-B307*V308+D307*W308-H308+'main page'!$K$27*('main page'!$K$24+'main page'!$K$11))/'main page'!$K$31)</f>
        <v>#DIV/0!</v>
      </c>
      <c r="AB307" s="49" t="e">
        <f ca="1">IF(controls!$B$45=1,LOG(AF307,1.01)+LOG(AE307,1.01)-LOG(AD307,1.01),-((M307-('main page'!$K$24+'main page'!$K$11))/(1-'normal case'!$AO$3))+'normal case'!AA307)</f>
        <v>#DIV/0!</v>
      </c>
      <c r="AC307" s="176" t="e">
        <f t="shared" ca="1" si="30"/>
        <v>#DIV/0!</v>
      </c>
      <c r="AD307" s="49">
        <f t="shared" ca="1" si="31"/>
        <v>411.57805986758547</v>
      </c>
      <c r="AE307" s="49">
        <f>AE306*(1+'main page'!$K$32/100)</f>
        <v>1</v>
      </c>
      <c r="AF307" s="49" t="e">
        <f ca="1">IF(ABS(IF(controls!$B$45=1,$AL$13,AD307*AC307/AE307)-AF306)&lt;0.00001,AF306,IF(controls!$B$45=1,$AL$13,AD307*AC307/AE307))</f>
        <v>#DIV/0!</v>
      </c>
      <c r="AG307" s="49">
        <f>IF(controls!$B$46=0,0,IF(controls!$B$33=2,B308-B307*V308-('normal case'!H308-D307*W308-'main page'!$K$27*'normal case'!M307+'main page'!$K$31*'normal case'!AB307)-(('main page'!$K$25*'main page'!$U$13*'main page'!$K$29)/(1+('main page'!$K$25^2)*'main page'!$U$13))*('normal case'!L307-'main page'!$U$8),B308-B307*V308-('normal case'!I308-D307*W308-'main page'!$K$27*'normal case'!M307+'main page'!$K$31*'normal case'!AB307)-(('main page'!$K$25*'main page'!$U$13*'main page'!$K$29)/(1+('main page'!$K$25^2)*'main page'!$U$13))*('normal case'!L307-'main page'!$U$8)))</f>
        <v>0</v>
      </c>
      <c r="AN307" s="40"/>
      <c r="AO307" s="40"/>
    </row>
    <row r="308" spans="1:41">
      <c r="A308" s="48">
        <v>306</v>
      </c>
      <c r="B308" s="75">
        <f ca="1">IF(controls!$B$33=1,B307*(1+V308)+T308,B307*(1+V308))</f>
        <v>100</v>
      </c>
      <c r="C308" s="80">
        <f t="shared" ca="1" si="32"/>
        <v>0</v>
      </c>
      <c r="D308" s="77">
        <f t="shared" ca="1" si="28"/>
        <v>100</v>
      </c>
      <c r="E308" s="77">
        <f ca="1">AG307+IF(controls!$B$33=1,G308,F308)</f>
        <v>100</v>
      </c>
      <c r="F308" s="94">
        <f ca="1">IF(controls!$B$44=0,H308-'main page'!$K$27*M307,H308-'main page'!$K$27*M307+'main page'!$K$31*AB307)</f>
        <v>100</v>
      </c>
      <c r="G308" s="75">
        <f ca="1">IF(controls!$B$44=0,I308-'main page'!$K$27*M307,I308-'main page'!$K$27*M307+'main page'!$K$31*'normal case'!AB307)</f>
        <v>100</v>
      </c>
      <c r="H308" s="75">
        <f t="shared" ca="1" si="33"/>
        <v>108</v>
      </c>
      <c r="I308" s="75">
        <f t="shared" ca="1" si="34"/>
        <v>108</v>
      </c>
      <c r="L308" s="75">
        <f ca="1">IF(ABS('main page'!$K$29*L307+(1-'main page'!$K$29)*(controls!$B$9/100)*100+'main page'!$K$25*(D308-B308)-L307)&lt;0.0000001,L307,'main page'!$K$29*L307+(1-'main page'!$K$29)*(controls!$B$9/100)*100+'main page'!$K$25*(D308-B308))</f>
        <v>2</v>
      </c>
      <c r="M308" s="96">
        <f ca="1">IF(controls!$B$10=1,M307,IF(SUM(controls!$B$44:$B$46)=2,N308-'main page'!$K$29*'normal case'!L308-(1-'main page'!$K$29)*'main page'!$K$32,N308-'main page'!$K$29*'normal case'!L308-(1-'main page'!$K$29)*controls!$B$9))</f>
        <v>4</v>
      </c>
      <c r="N308" s="208">
        <f ca="1">IF(controls!$B$45=1,IF(controls!$B$46=1,'main page'!$K$24+'main page'!$K$11+'main page'!$U$8,'main page'!$K$24+'main page'!$K$11+'main page'!$K$32),IF(controls!$B$44=1,IF(O308&lt;0,0,O308),IF(O308+'main page'!$K$11&lt;0,0,O308+'main page'!$K$11)))</f>
        <v>6</v>
      </c>
      <c r="O308" s="76">
        <f ca="1">IF(controls!$B$10=1,'normal case'!M308+'normal case'!L308,'normal case'!P308)</f>
        <v>6</v>
      </c>
      <c r="P308" s="74">
        <f t="shared" ca="1" si="29"/>
        <v>6</v>
      </c>
      <c r="Q308" s="210">
        <f ca="1">IF(controls!$B$44=0,R308+'main page'!$K$29*L308+(1-'main page'!$K$29)*controls!$B$9+(('main page'!$K$25*'main page'!$U$13*'main page'!$K$29)/('main page'!$K$27*(1+('main page'!$K$25^2)*'main page'!$U$13)))*(L308-controls!$B$9),R308+'main page'!$K$29*L308+(1-'main page'!$K$29)*controls!$B$9+(('main page'!$K$25*'main page'!$U$13*'normal case'!$AO$3)/'normal case'!$AO$4)*('normal case'!L308-controls!$B$9))</f>
        <v>6</v>
      </c>
      <c r="R308" s="98">
        <f ca="1">IF(controls!$B$44=1,'main page'!$K$24+'main page'!$K$11,IF(controls!$B$33=1,((I309-D308*W309-B309+B308*V309)/'main page'!$K$27)-'main page'!$K$11,((H309-D308*W309-B309+B308*V309)/'main page'!$K$27)-'main page'!$K$11))</f>
        <v>4</v>
      </c>
      <c r="T308" s="71">
        <f>IF(controls!$B$6=1,$AL$3*(1+('main page'!$K$35/100))^U308-$AL$3*(1+('main page'!$K$35/100))^U307,$AL$3*(1+('main page'!$G$8/100))*(1+('main page'!$K$35/100))^U308-$AL$3*(1+('main page'!$G$8/100))*(1+('main page'!$K$35/100))^U307)</f>
        <v>0</v>
      </c>
      <c r="U308" s="73">
        <v>301</v>
      </c>
      <c r="V308" s="161">
        <f ca="1">IF(controls!$B$4=1,IF(controls!$H307=1,controls!$B$34*V307+RAND()*('main page'!$K$16/100)-RAND()*('main page'!$K$16/100),0),0)</f>
        <v>0</v>
      </c>
      <c r="W308" s="40">
        <f ca="1">IF(controls!$B$4=1,IF(controls!$I307=1,controls!$B$34*W307+RAND()*('main page'!$K$16/100)-RAND()*('main page'!$K$16/100),0),0)</f>
        <v>0</v>
      </c>
      <c r="X308" s="49">
        <f ca="1">IF(controls!$B$33=1,D308-($I$3-'main page'!$K$27*2)*(1+('main page'!$K$35/100))^A307,D308-$AL$4)</f>
        <v>0</v>
      </c>
      <c r="Y308" s="49">
        <f ca="1">ABS(L308-(controls!$B$9/100)*100)</f>
        <v>0</v>
      </c>
      <c r="AA308" s="49" t="e">
        <f ca="1">IF(controls!$B$33=1,(B309-B308*V309-I309+D308*W309+'main page'!$K$27*('main page'!$K$24+'main page'!$K$11))/'main page'!$K$31,(B309-B308*V309+D308*W309-H309+'main page'!$K$27*('main page'!$K$24+'main page'!$K$11))/'main page'!$K$31)</f>
        <v>#DIV/0!</v>
      </c>
      <c r="AB308" s="49" t="e">
        <f ca="1">IF(controls!$B$45=1,LOG(AF308,1.01)+LOG(AE308,1.01)-LOG(AD308,1.01),-((M308-('main page'!$K$24+'main page'!$K$11))/(1-'normal case'!$AO$3))+'normal case'!AA308)</f>
        <v>#DIV/0!</v>
      </c>
      <c r="AC308" s="176" t="e">
        <f t="shared" ca="1" si="30"/>
        <v>#DIV/0!</v>
      </c>
      <c r="AD308" s="49">
        <f t="shared" ca="1" si="31"/>
        <v>419.80962106493718</v>
      </c>
      <c r="AE308" s="49">
        <f>AE307*(1+'main page'!$K$32/100)</f>
        <v>1</v>
      </c>
      <c r="AF308" s="49" t="e">
        <f ca="1">IF(ABS(IF(controls!$B$45=1,$AL$13,AD308*AC308/AE308)-AF307)&lt;0.00001,AF307,IF(controls!$B$45=1,$AL$13,AD308*AC308/AE308))</f>
        <v>#DIV/0!</v>
      </c>
      <c r="AG308" s="49">
        <f>IF(controls!$B$46=0,0,IF(controls!$B$33=2,B309-B308*V309-('normal case'!H309-D308*W309-'main page'!$K$27*'normal case'!M308+'main page'!$K$31*'normal case'!AB308)-(('main page'!$K$25*'main page'!$U$13*'main page'!$K$29)/(1+('main page'!$K$25^2)*'main page'!$U$13))*('normal case'!L308-'main page'!$U$8),B309-B308*V309-('normal case'!I309-D308*W309-'main page'!$K$27*'normal case'!M308+'main page'!$K$31*'normal case'!AB308)-(('main page'!$K$25*'main page'!$U$13*'main page'!$K$29)/(1+('main page'!$K$25^2)*'main page'!$U$13))*('normal case'!L308-'main page'!$U$8)))</f>
        <v>0</v>
      </c>
      <c r="AN308" s="40"/>
      <c r="AO308" s="40"/>
    </row>
    <row r="309" spans="1:41">
      <c r="A309" s="48">
        <v>307</v>
      </c>
      <c r="B309" s="75">
        <f ca="1">IF(controls!$B$33=1,B308*(1+V309)+T309,B308*(1+V309))</f>
        <v>100</v>
      </c>
      <c r="C309" s="80">
        <f t="shared" ca="1" si="32"/>
        <v>0</v>
      </c>
      <c r="D309" s="77">
        <f t="shared" ca="1" si="28"/>
        <v>100</v>
      </c>
      <c r="E309" s="77">
        <f ca="1">AG308+IF(controls!$B$33=1,G309,F309)</f>
        <v>100</v>
      </c>
      <c r="F309" s="94">
        <f ca="1">IF(controls!$B$44=0,H309-'main page'!$K$27*M308,H309-'main page'!$K$27*M308+'main page'!$K$31*AB308)</f>
        <v>100</v>
      </c>
      <c r="G309" s="75">
        <f ca="1">IF(controls!$B$44=0,I309-'main page'!$K$27*M308,I309-'main page'!$K$27*M308+'main page'!$K$31*'normal case'!AB308)</f>
        <v>100</v>
      </c>
      <c r="H309" s="75">
        <f t="shared" ca="1" si="33"/>
        <v>108</v>
      </c>
      <c r="I309" s="75">
        <f t="shared" ca="1" si="34"/>
        <v>108</v>
      </c>
      <c r="L309" s="75">
        <f ca="1">IF(ABS('main page'!$K$29*L308+(1-'main page'!$K$29)*(controls!$B$9/100)*100+'main page'!$K$25*(D309-B309)-L308)&lt;0.0000001,L308,'main page'!$K$29*L308+(1-'main page'!$K$29)*(controls!$B$9/100)*100+'main page'!$K$25*(D309-B309))</f>
        <v>2</v>
      </c>
      <c r="M309" s="96">
        <f ca="1">IF(controls!$B$10=1,M308,IF(SUM(controls!$B$44:$B$46)=2,N309-'main page'!$K$29*'normal case'!L309-(1-'main page'!$K$29)*'main page'!$K$32,N309-'main page'!$K$29*'normal case'!L309-(1-'main page'!$K$29)*controls!$B$9))</f>
        <v>4</v>
      </c>
      <c r="N309" s="208">
        <f ca="1">IF(controls!$B$45=1,IF(controls!$B$46=1,'main page'!$K$24+'main page'!$K$11+'main page'!$U$8,'main page'!$K$24+'main page'!$K$11+'main page'!$K$32),IF(controls!$B$44=1,IF(O309&lt;0,0,O309),IF(O309+'main page'!$K$11&lt;0,0,O309+'main page'!$K$11)))</f>
        <v>6</v>
      </c>
      <c r="O309" s="76">
        <f ca="1">IF(controls!$B$10=1,'normal case'!M309+'normal case'!L309,'normal case'!P309)</f>
        <v>6</v>
      </c>
      <c r="P309" s="74">
        <f t="shared" ca="1" si="29"/>
        <v>6</v>
      </c>
      <c r="Q309" s="210">
        <f ca="1">IF(controls!$B$44=0,R309+'main page'!$K$29*L309+(1-'main page'!$K$29)*controls!$B$9+(('main page'!$K$25*'main page'!$U$13*'main page'!$K$29)/('main page'!$K$27*(1+('main page'!$K$25^2)*'main page'!$U$13)))*(L309-controls!$B$9),R309+'main page'!$K$29*L309+(1-'main page'!$K$29)*controls!$B$9+(('main page'!$K$25*'main page'!$U$13*'normal case'!$AO$3)/'normal case'!$AO$4)*('normal case'!L309-controls!$B$9))</f>
        <v>6</v>
      </c>
      <c r="R309" s="98">
        <f ca="1">IF(controls!$B$44=1,'main page'!$K$24+'main page'!$K$11,IF(controls!$B$33=1,((I310-D309*W310-B310+B309*V310)/'main page'!$K$27)-'main page'!$K$11,((H310-D309*W310-B310+B309*V310)/'main page'!$K$27)-'main page'!$K$11))</f>
        <v>4</v>
      </c>
      <c r="T309" s="71">
        <f>IF(controls!$B$6=1,$AL$3*(1+('main page'!$K$35/100))^U309-$AL$3*(1+('main page'!$K$35/100))^U308,$AL$3*(1+('main page'!$G$8/100))*(1+('main page'!$K$35/100))^U309-$AL$3*(1+('main page'!$G$8/100))*(1+('main page'!$K$35/100))^U308)</f>
        <v>0</v>
      </c>
      <c r="U309" s="73">
        <v>302</v>
      </c>
      <c r="V309" s="161">
        <v>0</v>
      </c>
      <c r="W309" s="40">
        <v>0</v>
      </c>
      <c r="X309" s="49">
        <f ca="1">IF(controls!$B$33=1,D309-($I$3-'main page'!$K$27*2)*(1+('main page'!$K$35/100))^A308,D309-$AL$4)</f>
        <v>0</v>
      </c>
      <c r="Y309" s="49">
        <f ca="1">ABS(L309-(controls!$B$9/100)*100)</f>
        <v>0</v>
      </c>
      <c r="AA309" s="49" t="e">
        <f ca="1">IF(controls!$B$33=1,(B310-B309*V310-I310+D309*W310+'main page'!$K$27*('main page'!$K$24+'main page'!$K$11))/'main page'!$K$31,(B310-B309*V310+D309*W310-H310+'main page'!$K$27*('main page'!$K$24+'main page'!$K$11))/'main page'!$K$31)</f>
        <v>#DIV/0!</v>
      </c>
      <c r="AB309" s="49" t="e">
        <f ca="1">IF(controls!$B$45=1,LOG(AF309,1.01)+LOG(AE309,1.01)-LOG(AD309,1.01),-((M309-('main page'!$K$24+'main page'!$K$11))/(1-'normal case'!$AO$3))+'normal case'!AA309)</f>
        <v>#DIV/0!</v>
      </c>
      <c r="AC309" s="176" t="e">
        <f t="shared" ca="1" si="30"/>
        <v>#DIV/0!</v>
      </c>
      <c r="AD309" s="49">
        <f t="shared" ca="1" si="31"/>
        <v>428.20581348623591</v>
      </c>
      <c r="AE309" s="49">
        <f>AE308*(1+'main page'!$K$32/100)</f>
        <v>1</v>
      </c>
      <c r="AF309" s="49" t="e">
        <f ca="1">IF(ABS(IF(controls!$B$45=1,$AL$13,AD309*AC309/AE309)-AF308)&lt;0.00001,AF308,IF(controls!$B$45=1,$AL$13,AD309*AC309/AE309))</f>
        <v>#DIV/0!</v>
      </c>
      <c r="AG309" s="49">
        <f>IF(controls!$B$46=0,0,IF(controls!$B$33=2,B310-B309*V310-('normal case'!H310-D309*W310-'main page'!$K$27*'normal case'!M309+'main page'!$K$31*'normal case'!AB309)-(('main page'!$K$25*'main page'!$U$13*'main page'!$K$29)/(1+('main page'!$K$25^2)*'main page'!$U$13))*('normal case'!L309-'main page'!$U$8),B310-B309*V310-('normal case'!I310-D309*W310-'main page'!$K$27*'normal case'!M309+'main page'!$K$31*'normal case'!AB309)-(('main page'!$K$25*'main page'!$U$13*'main page'!$K$29)/(1+('main page'!$K$25^2)*'main page'!$U$13))*('normal case'!L309-'main page'!$U$8)))</f>
        <v>0</v>
      </c>
      <c r="AN309" s="40"/>
      <c r="AO309" s="40"/>
    </row>
    <row r="310" spans="1:41">
      <c r="A310" s="48">
        <v>308</v>
      </c>
      <c r="B310" s="75">
        <f ca="1">IF(controls!$B$33=1,B309*(1+V310)+T310,B309*(1+V310))</f>
        <v>100</v>
      </c>
      <c r="C310" s="80">
        <f t="shared" ca="1" si="32"/>
        <v>0</v>
      </c>
      <c r="D310" s="77">
        <f t="shared" ca="1" si="28"/>
        <v>100</v>
      </c>
      <c r="E310" s="77">
        <f ca="1">AG309+IF(controls!$B$33=1,G310,F310)</f>
        <v>100</v>
      </c>
      <c r="F310" s="94">
        <f ca="1">IF(controls!$B$44=0,H310-'main page'!$K$27*M309,H310-'main page'!$K$27*M309+'main page'!$K$31*AB309)</f>
        <v>100</v>
      </c>
      <c r="G310" s="75">
        <f ca="1">IF(controls!$B$44=0,I310-'main page'!$K$27*M309,I310-'main page'!$K$27*M309+'main page'!$K$31*'normal case'!AB309)</f>
        <v>100</v>
      </c>
      <c r="H310" s="75">
        <f t="shared" ca="1" si="33"/>
        <v>108</v>
      </c>
      <c r="I310" s="75">
        <f t="shared" ca="1" si="34"/>
        <v>108</v>
      </c>
      <c r="L310" s="75">
        <f ca="1">IF(ABS('main page'!$K$29*L309+(1-'main page'!$K$29)*(controls!$B$9/100)*100+'main page'!$K$25*(D310-B310)-L309)&lt;0.0000001,L309,'main page'!$K$29*L309+(1-'main page'!$K$29)*(controls!$B$9/100)*100+'main page'!$K$25*(D310-B310))</f>
        <v>2</v>
      </c>
      <c r="M310" s="96">
        <f ca="1">IF(controls!$B$10=1,M309,IF(SUM(controls!$B$44:$B$46)=2,N310-'main page'!$K$29*'normal case'!L310-(1-'main page'!$K$29)*'main page'!$K$32,N310-'main page'!$K$29*'normal case'!L310-(1-'main page'!$K$29)*controls!$B$9))</f>
        <v>4</v>
      </c>
      <c r="N310" s="208">
        <f ca="1">IF(controls!$B$45=1,IF(controls!$B$46=1,'main page'!$K$24+'main page'!$K$11+'main page'!$U$8,'main page'!$K$24+'main page'!$K$11+'main page'!$K$32),IF(controls!$B$44=1,IF(O310&lt;0,0,O310),IF(O310+'main page'!$K$11&lt;0,0,O310+'main page'!$K$11)))</f>
        <v>6</v>
      </c>
      <c r="O310" s="76">
        <f ca="1">IF(controls!$B$10=1,'normal case'!M310+'normal case'!L310,'normal case'!P310)</f>
        <v>6</v>
      </c>
      <c r="P310" s="74">
        <f t="shared" ca="1" si="29"/>
        <v>6</v>
      </c>
      <c r="Q310" s="210">
        <f ca="1">IF(controls!$B$44=0,R310+'main page'!$K$29*L310+(1-'main page'!$K$29)*controls!$B$9+(('main page'!$K$25*'main page'!$U$13*'main page'!$K$29)/('main page'!$K$27*(1+('main page'!$K$25^2)*'main page'!$U$13)))*(L310-controls!$B$9),R310+'main page'!$K$29*L310+(1-'main page'!$K$29)*controls!$B$9+(('main page'!$K$25*'main page'!$U$13*'normal case'!$AO$3)/'normal case'!$AO$4)*('normal case'!L310-controls!$B$9))</f>
        <v>6</v>
      </c>
      <c r="R310" s="98">
        <f ca="1">IF(controls!$B$44=1,'main page'!$K$24+'main page'!$K$11,IF(controls!$B$33=1,((I311-D310*W311-B311+B310*V311)/'main page'!$K$27)-'main page'!$K$11,((H311-D310*W311-B311+B310*V311)/'main page'!$K$27)-'main page'!$K$11))</f>
        <v>4</v>
      </c>
      <c r="T310" s="71">
        <f>IF(controls!$B$6=1,$AL$3*(1+('main page'!$K$35/100))^U310-$AL$3*(1+('main page'!$K$35/100))^U309,$AL$3*(1+('main page'!$G$8/100))*(1+('main page'!$K$35/100))^U310-$AL$3*(1+('main page'!$G$8/100))*(1+('main page'!$K$35/100))^U309)</f>
        <v>0</v>
      </c>
      <c r="U310" s="73">
        <v>303</v>
      </c>
      <c r="V310" s="161">
        <v>0</v>
      </c>
      <c r="W310" s="40">
        <v>0</v>
      </c>
      <c r="X310" s="49">
        <f ca="1">IF(controls!$B$33=1,D310-($I$3-'main page'!$K$27*2)*(1+('main page'!$K$35/100))^A309,D310-$AL$4)</f>
        <v>0</v>
      </c>
      <c r="Y310" s="49">
        <f ca="1">ABS(L310-(controls!$B$9/100)*100)</f>
        <v>0</v>
      </c>
      <c r="AA310" s="49" t="e">
        <f ca="1">IF(controls!$B$33=1,(B311-B310*V311-I311+D310*W311+'main page'!$K$27*('main page'!$K$24+'main page'!$K$11))/'main page'!$K$31,(B311-B310*V311+D310*W311-H311+'main page'!$K$27*('main page'!$K$24+'main page'!$K$11))/'main page'!$K$31)</f>
        <v>#DIV/0!</v>
      </c>
      <c r="AB310" s="49" t="e">
        <f ca="1">IF(controls!$B$45=1,LOG(AF310,1.01)+LOG(AE310,1.01)-LOG(AD310,1.01),-((M310-('main page'!$K$24+'main page'!$K$11))/(1-'normal case'!$AO$3))+'normal case'!AA310)</f>
        <v>#DIV/0!</v>
      </c>
      <c r="AC310" s="176" t="e">
        <f t="shared" ca="1" si="30"/>
        <v>#DIV/0!</v>
      </c>
      <c r="AD310" s="49">
        <f t="shared" ca="1" si="31"/>
        <v>436.76992975596062</v>
      </c>
      <c r="AE310" s="49">
        <f>AE309*(1+'main page'!$K$32/100)</f>
        <v>1</v>
      </c>
      <c r="AF310" s="49" t="e">
        <f ca="1">IF(ABS(IF(controls!$B$45=1,$AL$13,AD310*AC310/AE310)-AF309)&lt;0.00001,AF309,IF(controls!$B$45=1,$AL$13,AD310*AC310/AE310))</f>
        <v>#DIV/0!</v>
      </c>
      <c r="AG310" s="49">
        <f>IF(controls!$B$46=0,0,IF(controls!$B$33=2,B311-B310*V311-('normal case'!H311-D310*W311-'main page'!$K$27*'normal case'!M310+'main page'!$K$31*'normal case'!AB310)-(('main page'!$K$25*'main page'!$U$13*'main page'!$K$29)/(1+('main page'!$K$25^2)*'main page'!$U$13))*('normal case'!L310-'main page'!$U$8),B311-B310*V311-('normal case'!I311-D310*W311-'main page'!$K$27*'normal case'!M310+'main page'!$K$31*'normal case'!AB310)-(('main page'!$K$25*'main page'!$U$13*'main page'!$K$29)/(1+('main page'!$K$25^2)*'main page'!$U$13))*('normal case'!L310-'main page'!$U$8)))</f>
        <v>0</v>
      </c>
      <c r="AN310" s="40"/>
      <c r="AO310" s="40"/>
    </row>
    <row r="311" spans="1:41">
      <c r="A311" s="48">
        <v>309</v>
      </c>
      <c r="B311" s="75">
        <f ca="1">IF(controls!$B$33=1,B310*(1+V311)+T311,B310*(1+V311))</f>
        <v>100</v>
      </c>
      <c r="C311" s="80">
        <f t="shared" ca="1" si="32"/>
        <v>0</v>
      </c>
      <c r="D311" s="77">
        <f t="shared" ca="1" si="28"/>
        <v>100</v>
      </c>
      <c r="E311" s="77">
        <f ca="1">AG310+IF(controls!$B$33=1,G311,F311)</f>
        <v>100</v>
      </c>
      <c r="F311" s="94">
        <f ca="1">IF(controls!$B$44=0,H311-'main page'!$K$27*M310,H311-'main page'!$K$27*M310+'main page'!$K$31*AB310)</f>
        <v>100</v>
      </c>
      <c r="G311" s="75">
        <f ca="1">IF(controls!$B$44=0,I311-'main page'!$K$27*M310,I311-'main page'!$K$27*M310+'main page'!$K$31*'normal case'!AB310)</f>
        <v>100</v>
      </c>
      <c r="H311" s="75">
        <f t="shared" ca="1" si="33"/>
        <v>108</v>
      </c>
      <c r="I311" s="75">
        <f t="shared" ca="1" si="34"/>
        <v>108</v>
      </c>
      <c r="L311" s="75">
        <f ca="1">IF(ABS('main page'!$K$29*L310+(1-'main page'!$K$29)*(controls!$B$9/100)*100+'main page'!$K$25*(D311-B311)-L310)&lt;0.0000001,L310,'main page'!$K$29*L310+(1-'main page'!$K$29)*(controls!$B$9/100)*100+'main page'!$K$25*(D311-B311))</f>
        <v>2</v>
      </c>
      <c r="M311" s="96">
        <f ca="1">IF(controls!$B$10=1,M310,IF(SUM(controls!$B$44:$B$46)=2,N311-'main page'!$K$29*'normal case'!L311-(1-'main page'!$K$29)*'main page'!$K$32,N311-'main page'!$K$29*'normal case'!L311-(1-'main page'!$K$29)*controls!$B$9))</f>
        <v>4</v>
      </c>
      <c r="N311" s="208">
        <f ca="1">IF(controls!$B$45=1,IF(controls!$B$46=1,'main page'!$K$24+'main page'!$K$11+'main page'!$U$8,'main page'!$K$24+'main page'!$K$11+'main page'!$K$32),IF(controls!$B$44=1,IF(O311&lt;0,0,O311),IF(O311+'main page'!$K$11&lt;0,0,O311+'main page'!$K$11)))</f>
        <v>6</v>
      </c>
      <c r="O311" s="76">
        <f ca="1">IF(controls!$B$10=1,'normal case'!M311+'normal case'!L311,'normal case'!P311)</f>
        <v>6</v>
      </c>
      <c r="P311" s="74">
        <f t="shared" ca="1" si="29"/>
        <v>6</v>
      </c>
      <c r="Q311" s="210">
        <f ca="1">IF(controls!$B$44=0,R311+'main page'!$K$29*L311+(1-'main page'!$K$29)*controls!$B$9+(('main page'!$K$25*'main page'!$U$13*'main page'!$K$29)/('main page'!$K$27*(1+('main page'!$K$25^2)*'main page'!$U$13)))*(L311-controls!$B$9),R311+'main page'!$K$29*L311+(1-'main page'!$K$29)*controls!$B$9+(('main page'!$K$25*'main page'!$U$13*'normal case'!$AO$3)/'normal case'!$AO$4)*('normal case'!L311-controls!$B$9))</f>
        <v>6</v>
      </c>
      <c r="R311" s="98">
        <f ca="1">IF(controls!$B$44=1,'main page'!$K$24+'main page'!$K$11,IF(controls!$B$33=1,((I312-D311*W312-B312+B311*V312)/'main page'!$K$27)-'main page'!$K$11,((H312-D311*W312-B312+B311*V312)/'main page'!$K$27)-'main page'!$K$11))</f>
        <v>4</v>
      </c>
      <c r="T311" s="71">
        <f>IF(controls!$B$6=1,$AL$3*(1+('main page'!$K$35/100))^U311-$AL$3*(1+('main page'!$K$35/100))^U310,$AL$3*(1+('main page'!$G$8/100))*(1+('main page'!$K$35/100))^U311-$AL$3*(1+('main page'!$G$8/100))*(1+('main page'!$K$35/100))^U310)</f>
        <v>0</v>
      </c>
      <c r="U311" s="73">
        <v>304</v>
      </c>
      <c r="V311" s="161">
        <f ca="1">IF(controls!$B$4=1,IF(controls!$H310=1,controls!$B$34*V310+RAND()*('main page'!$K$16/100)-RAND()*('main page'!$K$16/100),0),0)</f>
        <v>0</v>
      </c>
      <c r="W311" s="40">
        <f ca="1">IF(controls!$B$4=1,IF(controls!$I310=1,controls!$B$34*W310+RAND()*('main page'!$K$16/100)-RAND()*('main page'!$K$16/100),0),0)</f>
        <v>0</v>
      </c>
      <c r="X311" s="49">
        <f ca="1">IF(controls!$B$33=1,D311-($I$3-'main page'!$K$27*2)*(1+('main page'!$K$35/100))^A310,D311-$AL$4)</f>
        <v>0</v>
      </c>
      <c r="Y311" s="49">
        <f ca="1">ABS(L311-(controls!$B$9/100)*100)</f>
        <v>0</v>
      </c>
      <c r="AA311" s="49" t="e">
        <f ca="1">IF(controls!$B$33=1,(B312-B311*V312-I312+D311*W312+'main page'!$K$27*('main page'!$K$24+'main page'!$K$11))/'main page'!$K$31,(B312-B311*V312+D311*W312-H312+'main page'!$K$27*('main page'!$K$24+'main page'!$K$11))/'main page'!$K$31)</f>
        <v>#DIV/0!</v>
      </c>
      <c r="AB311" s="49" t="e">
        <f ca="1">IF(controls!$B$45=1,LOG(AF311,1.01)+LOG(AE311,1.01)-LOG(AD311,1.01),-((M311-('main page'!$K$24+'main page'!$K$11))/(1-'normal case'!$AO$3))+'normal case'!AA311)</f>
        <v>#DIV/0!</v>
      </c>
      <c r="AC311" s="176" t="e">
        <f t="shared" ca="1" si="30"/>
        <v>#DIV/0!</v>
      </c>
      <c r="AD311" s="49">
        <f t="shared" ca="1" si="31"/>
        <v>445.50532835107981</v>
      </c>
      <c r="AE311" s="49">
        <f>AE310*(1+'main page'!$K$32/100)</f>
        <v>1</v>
      </c>
      <c r="AF311" s="49" t="e">
        <f ca="1">IF(ABS(IF(controls!$B$45=1,$AL$13,AD311*AC311/AE311)-AF310)&lt;0.00001,AF310,IF(controls!$B$45=1,$AL$13,AD311*AC311/AE311))</f>
        <v>#DIV/0!</v>
      </c>
      <c r="AG311" s="49">
        <f>IF(controls!$B$46=0,0,IF(controls!$B$33=2,B312-B311*V312-('normal case'!H312-D311*W312-'main page'!$K$27*'normal case'!M311+'main page'!$K$31*'normal case'!AB311)-(('main page'!$K$25*'main page'!$U$13*'main page'!$K$29)/(1+('main page'!$K$25^2)*'main page'!$U$13))*('normal case'!L311-'main page'!$U$8),B312-B311*V312-('normal case'!I312-D311*W312-'main page'!$K$27*'normal case'!M311+'main page'!$K$31*'normal case'!AB311)-(('main page'!$K$25*'main page'!$U$13*'main page'!$K$29)/(1+('main page'!$K$25^2)*'main page'!$U$13))*('normal case'!L311-'main page'!$U$8)))</f>
        <v>0</v>
      </c>
      <c r="AN311" s="40"/>
      <c r="AO311" s="40"/>
    </row>
    <row r="312" spans="1:41">
      <c r="A312" s="48">
        <v>310</v>
      </c>
      <c r="B312" s="75">
        <f ca="1">IF(controls!$B$33=1,B311*(1+V312)+T312,B311*(1+V312))</f>
        <v>100</v>
      </c>
      <c r="C312" s="80">
        <f t="shared" ca="1" si="32"/>
        <v>0</v>
      </c>
      <c r="D312" s="77">
        <f t="shared" ca="1" si="28"/>
        <v>100</v>
      </c>
      <c r="E312" s="77">
        <f ca="1">AG311+IF(controls!$B$33=1,G312,F312)</f>
        <v>100</v>
      </c>
      <c r="F312" s="94">
        <f ca="1">IF(controls!$B$44=0,H312-'main page'!$K$27*M311,H312-'main page'!$K$27*M311+'main page'!$K$31*AB311)</f>
        <v>100</v>
      </c>
      <c r="G312" s="75">
        <f ca="1">IF(controls!$B$44=0,I312-'main page'!$K$27*M311,I312-'main page'!$K$27*M311+'main page'!$K$31*'normal case'!AB311)</f>
        <v>100</v>
      </c>
      <c r="H312" s="75">
        <f t="shared" ca="1" si="33"/>
        <v>108</v>
      </c>
      <c r="I312" s="75">
        <f t="shared" ca="1" si="34"/>
        <v>108</v>
      </c>
      <c r="L312" s="75">
        <f ca="1">IF(ABS('main page'!$K$29*L311+(1-'main page'!$K$29)*(controls!$B$9/100)*100+'main page'!$K$25*(D312-B312)-L311)&lt;0.0000001,L311,'main page'!$K$29*L311+(1-'main page'!$K$29)*(controls!$B$9/100)*100+'main page'!$K$25*(D312-B312))</f>
        <v>2</v>
      </c>
      <c r="M312" s="96">
        <f ca="1">IF(controls!$B$10=1,M311,IF(SUM(controls!$B$44:$B$46)=2,N312-'main page'!$K$29*'normal case'!L312-(1-'main page'!$K$29)*'main page'!$K$32,N312-'main page'!$K$29*'normal case'!L312-(1-'main page'!$K$29)*controls!$B$9))</f>
        <v>4</v>
      </c>
      <c r="N312" s="208">
        <f ca="1">IF(controls!$B$45=1,IF(controls!$B$46=1,'main page'!$K$24+'main page'!$K$11+'main page'!$U$8,'main page'!$K$24+'main page'!$K$11+'main page'!$K$32),IF(controls!$B$44=1,IF(O312&lt;0,0,O312),IF(O312+'main page'!$K$11&lt;0,0,O312+'main page'!$K$11)))</f>
        <v>6</v>
      </c>
      <c r="O312" s="76">
        <f ca="1">IF(controls!$B$10=1,'normal case'!M312+'normal case'!L312,'normal case'!P312)</f>
        <v>6</v>
      </c>
      <c r="P312" s="74">
        <f t="shared" ca="1" si="29"/>
        <v>6</v>
      </c>
      <c r="Q312" s="210">
        <f ca="1">IF(controls!$B$44=0,R312+'main page'!$K$29*L312+(1-'main page'!$K$29)*controls!$B$9+(('main page'!$K$25*'main page'!$U$13*'main page'!$K$29)/('main page'!$K$27*(1+('main page'!$K$25^2)*'main page'!$U$13)))*(L312-controls!$B$9),R312+'main page'!$K$29*L312+(1-'main page'!$K$29)*controls!$B$9+(('main page'!$K$25*'main page'!$U$13*'normal case'!$AO$3)/'normal case'!$AO$4)*('normal case'!L312-controls!$B$9))</f>
        <v>6</v>
      </c>
      <c r="R312" s="98">
        <f ca="1">IF(controls!$B$44=1,'main page'!$K$24+'main page'!$K$11,IF(controls!$B$33=1,((I313-D312*W313-B313+B312*V313)/'main page'!$K$27)-'main page'!$K$11,((H313-D312*W313-B313+B312*V313)/'main page'!$K$27)-'main page'!$K$11))</f>
        <v>4</v>
      </c>
      <c r="T312" s="71">
        <f>IF(controls!$B$6=1,$AL$3*(1+('main page'!$K$35/100))^U312-$AL$3*(1+('main page'!$K$35/100))^U311,$AL$3*(1+('main page'!$G$8/100))*(1+('main page'!$K$35/100))^U312-$AL$3*(1+('main page'!$G$8/100))*(1+('main page'!$K$35/100))^U311)</f>
        <v>0</v>
      </c>
      <c r="U312" s="73">
        <v>305</v>
      </c>
      <c r="V312" s="161">
        <v>0</v>
      </c>
      <c r="W312" s="40">
        <v>0</v>
      </c>
      <c r="X312" s="49">
        <f ca="1">IF(controls!$B$33=1,D312-($I$3-'main page'!$K$27*2)*(1+('main page'!$K$35/100))^A311,D312-$AL$4)</f>
        <v>0</v>
      </c>
      <c r="Y312" s="49">
        <f ca="1">ABS(L312-(controls!$B$9/100)*100)</f>
        <v>0</v>
      </c>
      <c r="AA312" s="49" t="e">
        <f ca="1">IF(controls!$B$33=1,(B313-B312*V313-I313+D312*W313+'main page'!$K$27*('main page'!$K$24+'main page'!$K$11))/'main page'!$K$31,(B313-B312*V313+D312*W313-H313+'main page'!$K$27*('main page'!$K$24+'main page'!$K$11))/'main page'!$K$31)</f>
        <v>#DIV/0!</v>
      </c>
      <c r="AB312" s="49" t="e">
        <f ca="1">IF(controls!$B$45=1,LOG(AF312,1.01)+LOG(AE312,1.01)-LOG(AD312,1.01),-((M312-('main page'!$K$24+'main page'!$K$11))/(1-'normal case'!$AO$3))+'normal case'!AA312)</f>
        <v>#DIV/0!</v>
      </c>
      <c r="AC312" s="176" t="e">
        <f t="shared" ca="1" si="30"/>
        <v>#DIV/0!</v>
      </c>
      <c r="AD312" s="49">
        <f t="shared" ca="1" si="31"/>
        <v>454.41543491810143</v>
      </c>
      <c r="AE312" s="49">
        <f>AE311*(1+'main page'!$K$32/100)</f>
        <v>1</v>
      </c>
      <c r="AF312" s="49" t="e">
        <f ca="1">IF(ABS(IF(controls!$B$45=1,$AL$13,AD312*AC312/AE312)-AF311)&lt;0.00001,AF311,IF(controls!$B$45=1,$AL$13,AD312*AC312/AE312))</f>
        <v>#DIV/0!</v>
      </c>
      <c r="AG312" s="49">
        <f>IF(controls!$B$46=0,0,IF(controls!$B$33=2,B313-B312*V313-('normal case'!H313-D312*W313-'main page'!$K$27*'normal case'!M312+'main page'!$K$31*'normal case'!AB312)-(('main page'!$K$25*'main page'!$U$13*'main page'!$K$29)/(1+('main page'!$K$25^2)*'main page'!$U$13))*('normal case'!L312-'main page'!$U$8),B313-B312*V313-('normal case'!I313-D312*W313-'main page'!$K$27*'normal case'!M312+'main page'!$K$31*'normal case'!AB312)-(('main page'!$K$25*'main page'!$U$13*'main page'!$K$29)/(1+('main page'!$K$25^2)*'main page'!$U$13))*('normal case'!L312-'main page'!$U$8)))</f>
        <v>0</v>
      </c>
      <c r="AN312" s="40"/>
      <c r="AO312" s="40"/>
    </row>
    <row r="313" spans="1:41">
      <c r="A313" s="48">
        <v>311</v>
      </c>
      <c r="B313" s="75">
        <f ca="1">IF(controls!$B$33=1,B312*(1+V313)+T313,B312*(1+V313))</f>
        <v>100</v>
      </c>
      <c r="C313" s="80">
        <f t="shared" ca="1" si="32"/>
        <v>0</v>
      </c>
      <c r="D313" s="77">
        <f t="shared" ca="1" si="28"/>
        <v>100</v>
      </c>
      <c r="E313" s="77">
        <f ca="1">AG312+IF(controls!$B$33=1,G313,F313)</f>
        <v>100</v>
      </c>
      <c r="F313" s="94">
        <f ca="1">IF(controls!$B$44=0,H313-'main page'!$K$27*M312,H313-'main page'!$K$27*M312+'main page'!$K$31*AB312)</f>
        <v>100</v>
      </c>
      <c r="G313" s="75">
        <f ca="1">IF(controls!$B$44=0,I313-'main page'!$K$27*M312,I313-'main page'!$K$27*M312+'main page'!$K$31*'normal case'!AB312)</f>
        <v>100</v>
      </c>
      <c r="H313" s="75">
        <f t="shared" ca="1" si="33"/>
        <v>108</v>
      </c>
      <c r="I313" s="75">
        <f t="shared" ca="1" si="34"/>
        <v>108</v>
      </c>
      <c r="L313" s="75">
        <f ca="1">IF(ABS('main page'!$K$29*L312+(1-'main page'!$K$29)*(controls!$B$9/100)*100+'main page'!$K$25*(D313-B313)-L312)&lt;0.0000001,L312,'main page'!$K$29*L312+(1-'main page'!$K$29)*(controls!$B$9/100)*100+'main page'!$K$25*(D313-B313))</f>
        <v>2</v>
      </c>
      <c r="M313" s="96">
        <f ca="1">IF(controls!$B$10=1,M312,IF(SUM(controls!$B$44:$B$46)=2,N313-'main page'!$K$29*'normal case'!L313-(1-'main page'!$K$29)*'main page'!$K$32,N313-'main page'!$K$29*'normal case'!L313-(1-'main page'!$K$29)*controls!$B$9))</f>
        <v>4</v>
      </c>
      <c r="N313" s="208">
        <f ca="1">IF(controls!$B$45=1,IF(controls!$B$46=1,'main page'!$K$24+'main page'!$K$11+'main page'!$U$8,'main page'!$K$24+'main page'!$K$11+'main page'!$K$32),IF(controls!$B$44=1,IF(O313&lt;0,0,O313),IF(O313+'main page'!$K$11&lt;0,0,O313+'main page'!$K$11)))</f>
        <v>6</v>
      </c>
      <c r="O313" s="76">
        <f ca="1">IF(controls!$B$10=1,'normal case'!M313+'normal case'!L313,'normal case'!P313)</f>
        <v>6</v>
      </c>
      <c r="P313" s="74">
        <f t="shared" ca="1" si="29"/>
        <v>6</v>
      </c>
      <c r="Q313" s="210">
        <f ca="1">IF(controls!$B$44=0,R313+'main page'!$K$29*L313+(1-'main page'!$K$29)*controls!$B$9+(('main page'!$K$25*'main page'!$U$13*'main page'!$K$29)/('main page'!$K$27*(1+('main page'!$K$25^2)*'main page'!$U$13)))*(L313-controls!$B$9),R313+'main page'!$K$29*L313+(1-'main page'!$K$29)*controls!$B$9+(('main page'!$K$25*'main page'!$U$13*'normal case'!$AO$3)/'normal case'!$AO$4)*('normal case'!L313-controls!$B$9))</f>
        <v>6</v>
      </c>
      <c r="R313" s="98">
        <f ca="1">IF(controls!$B$44=1,'main page'!$K$24+'main page'!$K$11,IF(controls!$B$33=1,((I314-D313*W314-B314+B313*V314)/'main page'!$K$27)-'main page'!$K$11,((H314-D313*W314-B314+B313*V314)/'main page'!$K$27)-'main page'!$K$11))</f>
        <v>4</v>
      </c>
      <c r="T313" s="71">
        <f>IF(controls!$B$6=1,$AL$3*(1+('main page'!$K$35/100))^U313-$AL$3*(1+('main page'!$K$35/100))^U312,$AL$3*(1+('main page'!$G$8/100))*(1+('main page'!$K$35/100))^U313-$AL$3*(1+('main page'!$G$8/100))*(1+('main page'!$K$35/100))^U312)</f>
        <v>0</v>
      </c>
      <c r="U313" s="73">
        <v>306</v>
      </c>
      <c r="V313" s="161">
        <v>0</v>
      </c>
      <c r="W313" s="40">
        <v>0</v>
      </c>
      <c r="X313" s="49">
        <f ca="1">IF(controls!$B$33=1,D313-($I$3-'main page'!$K$27*2)*(1+('main page'!$K$35/100))^A312,D313-$AL$4)</f>
        <v>0</v>
      </c>
      <c r="Y313" s="49">
        <f ca="1">ABS(L313-(controls!$B$9/100)*100)</f>
        <v>0</v>
      </c>
      <c r="AA313" s="49" t="e">
        <f ca="1">IF(controls!$B$33=1,(B314-B313*V314-I314+D313*W314+'main page'!$K$27*('main page'!$K$24+'main page'!$K$11))/'main page'!$K$31,(B314-B313*V314+D313*W314-H314+'main page'!$K$27*('main page'!$K$24+'main page'!$K$11))/'main page'!$K$31)</f>
        <v>#DIV/0!</v>
      </c>
      <c r="AB313" s="49" t="e">
        <f ca="1">IF(controls!$B$45=1,LOG(AF313,1.01)+LOG(AE313,1.01)-LOG(AD313,1.01),-((M313-('main page'!$K$24+'main page'!$K$11))/(1-'normal case'!$AO$3))+'normal case'!AA313)</f>
        <v>#DIV/0!</v>
      </c>
      <c r="AC313" s="176" t="e">
        <f t="shared" ca="1" si="30"/>
        <v>#DIV/0!</v>
      </c>
      <c r="AD313" s="49">
        <f t="shared" ca="1" si="31"/>
        <v>463.50374361646345</v>
      </c>
      <c r="AE313" s="49">
        <f>AE312*(1+'main page'!$K$32/100)</f>
        <v>1</v>
      </c>
      <c r="AF313" s="49" t="e">
        <f ca="1">IF(ABS(IF(controls!$B$45=1,$AL$13,AD313*AC313/AE313)-AF312)&lt;0.00001,AF312,IF(controls!$B$45=1,$AL$13,AD313*AC313/AE313))</f>
        <v>#DIV/0!</v>
      </c>
      <c r="AG313" s="49">
        <f>IF(controls!$B$46=0,0,IF(controls!$B$33=2,B314-B313*V314-('normal case'!H314-D313*W314-'main page'!$K$27*'normal case'!M313+'main page'!$K$31*'normal case'!AB313)-(('main page'!$K$25*'main page'!$U$13*'main page'!$K$29)/(1+('main page'!$K$25^2)*'main page'!$U$13))*('normal case'!L313-'main page'!$U$8),B314-B313*V314-('normal case'!I314-D313*W314-'main page'!$K$27*'normal case'!M313+'main page'!$K$31*'normal case'!AB313)-(('main page'!$K$25*'main page'!$U$13*'main page'!$K$29)/(1+('main page'!$K$25^2)*'main page'!$U$13))*('normal case'!L313-'main page'!$U$8)))</f>
        <v>0</v>
      </c>
      <c r="AN313" s="40"/>
      <c r="AO313" s="40"/>
    </row>
    <row r="314" spans="1:41">
      <c r="A314" s="48">
        <v>312</v>
      </c>
      <c r="B314" s="75">
        <f ca="1">IF(controls!$B$33=1,B313*(1+V314)+T314,B313*(1+V314))</f>
        <v>100</v>
      </c>
      <c r="C314" s="80">
        <f t="shared" ca="1" si="32"/>
        <v>0</v>
      </c>
      <c r="D314" s="77">
        <f t="shared" ca="1" si="28"/>
        <v>100</v>
      </c>
      <c r="E314" s="77">
        <f ca="1">AG313+IF(controls!$B$33=1,G314,F314)</f>
        <v>100</v>
      </c>
      <c r="F314" s="94">
        <f ca="1">IF(controls!$B$44=0,H314-'main page'!$K$27*M313,H314-'main page'!$K$27*M313+'main page'!$K$31*AB313)</f>
        <v>100</v>
      </c>
      <c r="G314" s="75">
        <f ca="1">IF(controls!$B$44=0,I314-'main page'!$K$27*M313,I314-'main page'!$K$27*M313+'main page'!$K$31*'normal case'!AB313)</f>
        <v>100</v>
      </c>
      <c r="H314" s="75">
        <f t="shared" ca="1" si="33"/>
        <v>108</v>
      </c>
      <c r="I314" s="75">
        <f t="shared" ca="1" si="34"/>
        <v>108</v>
      </c>
      <c r="L314" s="75">
        <f ca="1">IF(ABS('main page'!$K$29*L313+(1-'main page'!$K$29)*(controls!$B$9/100)*100+'main page'!$K$25*(D314-B314)-L313)&lt;0.0000001,L313,'main page'!$K$29*L313+(1-'main page'!$K$29)*(controls!$B$9/100)*100+'main page'!$K$25*(D314-B314))</f>
        <v>2</v>
      </c>
      <c r="M314" s="96">
        <f ca="1">IF(controls!$B$10=1,M313,IF(SUM(controls!$B$44:$B$46)=2,N314-'main page'!$K$29*'normal case'!L314-(1-'main page'!$K$29)*'main page'!$K$32,N314-'main page'!$K$29*'normal case'!L314-(1-'main page'!$K$29)*controls!$B$9))</f>
        <v>4</v>
      </c>
      <c r="N314" s="208">
        <f ca="1">IF(controls!$B$45=1,IF(controls!$B$46=1,'main page'!$K$24+'main page'!$K$11+'main page'!$U$8,'main page'!$K$24+'main page'!$K$11+'main page'!$K$32),IF(controls!$B$44=1,IF(O314&lt;0,0,O314),IF(O314+'main page'!$K$11&lt;0,0,O314+'main page'!$K$11)))</f>
        <v>6</v>
      </c>
      <c r="O314" s="76">
        <f ca="1">IF(controls!$B$10=1,'normal case'!M314+'normal case'!L314,'normal case'!P314)</f>
        <v>6</v>
      </c>
      <c r="P314" s="74">
        <f t="shared" ca="1" si="29"/>
        <v>6</v>
      </c>
      <c r="Q314" s="210">
        <f ca="1">IF(controls!$B$44=0,R314+'main page'!$K$29*L314+(1-'main page'!$K$29)*controls!$B$9+(('main page'!$K$25*'main page'!$U$13*'main page'!$K$29)/('main page'!$K$27*(1+('main page'!$K$25^2)*'main page'!$U$13)))*(L314-controls!$B$9),R314+'main page'!$K$29*L314+(1-'main page'!$K$29)*controls!$B$9+(('main page'!$K$25*'main page'!$U$13*'normal case'!$AO$3)/'normal case'!$AO$4)*('normal case'!L314-controls!$B$9))</f>
        <v>6</v>
      </c>
      <c r="R314" s="98">
        <f ca="1">IF(controls!$B$44=1,'main page'!$K$24+'main page'!$K$11,IF(controls!$B$33=1,((I315-D314*W315-B315+B314*V315)/'main page'!$K$27)-'main page'!$K$11,((H315-D314*W315-B315+B314*V315)/'main page'!$K$27)-'main page'!$K$11))</f>
        <v>4</v>
      </c>
      <c r="T314" s="71">
        <f>IF(controls!$B$6=1,$AL$3*(1+('main page'!$K$35/100))^U314-$AL$3*(1+('main page'!$K$35/100))^U313,$AL$3*(1+('main page'!$G$8/100))*(1+('main page'!$K$35/100))^U314-$AL$3*(1+('main page'!$G$8/100))*(1+('main page'!$K$35/100))^U313)</f>
        <v>0</v>
      </c>
      <c r="U314" s="73">
        <v>307</v>
      </c>
      <c r="V314" s="161">
        <f ca="1">IF(controls!$B$4=1,IF(controls!$H313=1,controls!$B$34*V313+RAND()*('main page'!$K$16/100)-RAND()*('main page'!$K$16/100),0),0)</f>
        <v>0</v>
      </c>
      <c r="W314" s="40">
        <f ca="1">IF(controls!$B$4=1,IF(controls!$I313=1,controls!$B$34*W313+RAND()*('main page'!$K$16/100)-RAND()*('main page'!$K$16/100),0),0)</f>
        <v>0</v>
      </c>
      <c r="X314" s="49">
        <f ca="1">IF(controls!$B$33=1,D314-($I$3-'main page'!$K$27*2)*(1+('main page'!$K$35/100))^A313,D314-$AL$4)</f>
        <v>0</v>
      </c>
      <c r="Y314" s="49">
        <f ca="1">ABS(L314-(controls!$B$9/100)*100)</f>
        <v>0</v>
      </c>
      <c r="AA314" s="49" t="e">
        <f ca="1">IF(controls!$B$33=1,(B315-B314*V315-I315+D314*W315+'main page'!$K$27*('main page'!$K$24+'main page'!$K$11))/'main page'!$K$31,(B315-B314*V315+D314*W315-H315+'main page'!$K$27*('main page'!$K$24+'main page'!$K$11))/'main page'!$K$31)</f>
        <v>#DIV/0!</v>
      </c>
      <c r="AB314" s="49" t="e">
        <f ca="1">IF(controls!$B$45=1,LOG(AF314,1.01)+LOG(AE314,1.01)-LOG(AD314,1.01),-((M314-('main page'!$K$24+'main page'!$K$11))/(1-'normal case'!$AO$3))+'normal case'!AA314)</f>
        <v>#DIV/0!</v>
      </c>
      <c r="AC314" s="176" t="e">
        <f t="shared" ca="1" si="30"/>
        <v>#DIV/0!</v>
      </c>
      <c r="AD314" s="49">
        <f t="shared" ca="1" si="31"/>
        <v>472.77381848879276</v>
      </c>
      <c r="AE314" s="49">
        <f>AE313*(1+'main page'!$K$32/100)</f>
        <v>1</v>
      </c>
      <c r="AF314" s="49" t="e">
        <f ca="1">IF(ABS(IF(controls!$B$45=1,$AL$13,AD314*AC314/AE314)-AF313)&lt;0.00001,AF313,IF(controls!$B$45=1,$AL$13,AD314*AC314/AE314))</f>
        <v>#DIV/0!</v>
      </c>
      <c r="AG314" s="49">
        <f>IF(controls!$B$46=0,0,IF(controls!$B$33=2,B315-B314*V315-('normal case'!H315-D314*W315-'main page'!$K$27*'normal case'!M314+'main page'!$K$31*'normal case'!AB314)-(('main page'!$K$25*'main page'!$U$13*'main page'!$K$29)/(1+('main page'!$K$25^2)*'main page'!$U$13))*('normal case'!L314-'main page'!$U$8),B315-B314*V315-('normal case'!I315-D314*W315-'main page'!$K$27*'normal case'!M314+'main page'!$K$31*'normal case'!AB314)-(('main page'!$K$25*'main page'!$U$13*'main page'!$K$29)/(1+('main page'!$K$25^2)*'main page'!$U$13))*('normal case'!L314-'main page'!$U$8)))</f>
        <v>0</v>
      </c>
      <c r="AN314" s="40"/>
      <c r="AO314" s="40"/>
    </row>
    <row r="315" spans="1:41">
      <c r="A315" s="48">
        <v>313</v>
      </c>
      <c r="B315" s="75">
        <f ca="1">IF(controls!$B$33=1,B314*(1+V315)+T315,B314*(1+V315))</f>
        <v>100</v>
      </c>
      <c r="C315" s="80">
        <f t="shared" ca="1" si="32"/>
        <v>0</v>
      </c>
      <c r="D315" s="77">
        <f t="shared" ca="1" si="28"/>
        <v>100</v>
      </c>
      <c r="E315" s="77">
        <f ca="1">AG314+IF(controls!$B$33=1,G315,F315)</f>
        <v>100</v>
      </c>
      <c r="F315" s="94">
        <f ca="1">IF(controls!$B$44=0,H315-'main page'!$K$27*M314,H315-'main page'!$K$27*M314+'main page'!$K$31*AB314)</f>
        <v>100</v>
      </c>
      <c r="G315" s="75">
        <f ca="1">IF(controls!$B$44=0,I315-'main page'!$K$27*M314,I315-'main page'!$K$27*M314+'main page'!$K$31*'normal case'!AB314)</f>
        <v>100</v>
      </c>
      <c r="H315" s="75">
        <f t="shared" ca="1" si="33"/>
        <v>108</v>
      </c>
      <c r="I315" s="75">
        <f t="shared" ca="1" si="34"/>
        <v>108</v>
      </c>
      <c r="L315" s="75">
        <f ca="1">IF(ABS('main page'!$K$29*L314+(1-'main page'!$K$29)*(controls!$B$9/100)*100+'main page'!$K$25*(D315-B315)-L314)&lt;0.0000001,L314,'main page'!$K$29*L314+(1-'main page'!$K$29)*(controls!$B$9/100)*100+'main page'!$K$25*(D315-B315))</f>
        <v>2</v>
      </c>
      <c r="M315" s="96">
        <f ca="1">IF(controls!$B$10=1,M314,IF(SUM(controls!$B$44:$B$46)=2,N315-'main page'!$K$29*'normal case'!L315-(1-'main page'!$K$29)*'main page'!$K$32,N315-'main page'!$K$29*'normal case'!L315-(1-'main page'!$K$29)*controls!$B$9))</f>
        <v>4</v>
      </c>
      <c r="N315" s="208">
        <f ca="1">IF(controls!$B$45=1,IF(controls!$B$46=1,'main page'!$K$24+'main page'!$K$11+'main page'!$U$8,'main page'!$K$24+'main page'!$K$11+'main page'!$K$32),IF(controls!$B$44=1,IF(O315&lt;0,0,O315),IF(O315+'main page'!$K$11&lt;0,0,O315+'main page'!$K$11)))</f>
        <v>6</v>
      </c>
      <c r="O315" s="76">
        <f ca="1">IF(controls!$B$10=1,'normal case'!M315+'normal case'!L315,'normal case'!P315)</f>
        <v>6</v>
      </c>
      <c r="P315" s="74">
        <f t="shared" ca="1" si="29"/>
        <v>6</v>
      </c>
      <c r="Q315" s="210">
        <f ca="1">IF(controls!$B$44=0,R315+'main page'!$K$29*L315+(1-'main page'!$K$29)*controls!$B$9+(('main page'!$K$25*'main page'!$U$13*'main page'!$K$29)/('main page'!$K$27*(1+('main page'!$K$25^2)*'main page'!$U$13)))*(L315-controls!$B$9),R315+'main page'!$K$29*L315+(1-'main page'!$K$29)*controls!$B$9+(('main page'!$K$25*'main page'!$U$13*'normal case'!$AO$3)/'normal case'!$AO$4)*('normal case'!L315-controls!$B$9))</f>
        <v>6</v>
      </c>
      <c r="R315" s="98">
        <f ca="1">IF(controls!$B$44=1,'main page'!$K$24+'main page'!$K$11,IF(controls!$B$33=1,((I316-D315*W316-B316+B315*V316)/'main page'!$K$27)-'main page'!$K$11,((H316-D315*W316-B316+B315*V316)/'main page'!$K$27)-'main page'!$K$11))</f>
        <v>4</v>
      </c>
      <c r="T315" s="71">
        <f>IF(controls!$B$6=1,$AL$3*(1+('main page'!$K$35/100))^U315-$AL$3*(1+('main page'!$K$35/100))^U314,$AL$3*(1+('main page'!$G$8/100))*(1+('main page'!$K$35/100))^U315-$AL$3*(1+('main page'!$G$8/100))*(1+('main page'!$K$35/100))^U314)</f>
        <v>0</v>
      </c>
      <c r="U315" s="73">
        <v>308</v>
      </c>
      <c r="V315" s="161">
        <v>0</v>
      </c>
      <c r="W315" s="40">
        <v>0</v>
      </c>
      <c r="X315" s="49">
        <f ca="1">IF(controls!$B$33=1,D315-($I$3-'main page'!$K$27*2)*(1+('main page'!$K$35/100))^A314,D315-$AL$4)</f>
        <v>0</v>
      </c>
      <c r="Y315" s="49">
        <f ca="1">ABS(L315-(controls!$B$9/100)*100)</f>
        <v>0</v>
      </c>
      <c r="AA315" s="49" t="e">
        <f ca="1">IF(controls!$B$33=1,(B316-B315*V316-I316+D315*W316+'main page'!$K$27*('main page'!$K$24+'main page'!$K$11))/'main page'!$K$31,(B316-B315*V316+D315*W316-H316+'main page'!$K$27*('main page'!$K$24+'main page'!$K$11))/'main page'!$K$31)</f>
        <v>#DIV/0!</v>
      </c>
      <c r="AB315" s="49" t="e">
        <f ca="1">IF(controls!$B$45=1,LOG(AF315,1.01)+LOG(AE315,1.01)-LOG(AD315,1.01),-((M315-('main page'!$K$24+'main page'!$K$11))/(1-'normal case'!$AO$3))+'normal case'!AA315)</f>
        <v>#DIV/0!</v>
      </c>
      <c r="AC315" s="176" t="e">
        <f t="shared" ca="1" si="30"/>
        <v>#DIV/0!</v>
      </c>
      <c r="AD315" s="49">
        <f t="shared" ca="1" si="31"/>
        <v>482.22929485856861</v>
      </c>
      <c r="AE315" s="49">
        <f>AE314*(1+'main page'!$K$32/100)</f>
        <v>1</v>
      </c>
      <c r="AF315" s="49" t="e">
        <f ca="1">IF(ABS(IF(controls!$B$45=1,$AL$13,AD315*AC315/AE315)-AF314)&lt;0.00001,AF314,IF(controls!$B$45=1,$AL$13,AD315*AC315/AE315))</f>
        <v>#DIV/0!</v>
      </c>
      <c r="AG315" s="49">
        <f>IF(controls!$B$46=0,0,IF(controls!$B$33=2,B316-B315*V316-('normal case'!H316-D315*W316-'main page'!$K$27*'normal case'!M315+'main page'!$K$31*'normal case'!AB315)-(('main page'!$K$25*'main page'!$U$13*'main page'!$K$29)/(1+('main page'!$K$25^2)*'main page'!$U$13))*('normal case'!L315-'main page'!$U$8),B316-B315*V316-('normal case'!I316-D315*W316-'main page'!$K$27*'normal case'!M315+'main page'!$K$31*'normal case'!AB315)-(('main page'!$K$25*'main page'!$U$13*'main page'!$K$29)/(1+('main page'!$K$25^2)*'main page'!$U$13))*('normal case'!L315-'main page'!$U$8)))</f>
        <v>0</v>
      </c>
      <c r="AN315" s="40"/>
      <c r="AO315" s="40"/>
    </row>
    <row r="316" spans="1:41">
      <c r="A316" s="48">
        <v>314</v>
      </c>
      <c r="B316" s="75">
        <f ca="1">IF(controls!$B$33=1,B315*(1+V316)+T316,B315*(1+V316))</f>
        <v>100</v>
      </c>
      <c r="C316" s="80">
        <f t="shared" ca="1" si="32"/>
        <v>0</v>
      </c>
      <c r="D316" s="77">
        <f t="shared" ca="1" si="28"/>
        <v>100</v>
      </c>
      <c r="E316" s="77">
        <f ca="1">AG315+IF(controls!$B$33=1,G316,F316)</f>
        <v>100</v>
      </c>
      <c r="F316" s="94">
        <f ca="1">IF(controls!$B$44=0,H316-'main page'!$K$27*M315,H316-'main page'!$K$27*M315+'main page'!$K$31*AB315)</f>
        <v>100</v>
      </c>
      <c r="G316" s="75">
        <f ca="1">IF(controls!$B$44=0,I316-'main page'!$K$27*M315,I316-'main page'!$K$27*M315+'main page'!$K$31*'normal case'!AB315)</f>
        <v>100</v>
      </c>
      <c r="H316" s="75">
        <f t="shared" ca="1" si="33"/>
        <v>108</v>
      </c>
      <c r="I316" s="75">
        <f t="shared" ca="1" si="34"/>
        <v>108</v>
      </c>
      <c r="L316" s="75">
        <f ca="1">IF(ABS('main page'!$K$29*L315+(1-'main page'!$K$29)*(controls!$B$9/100)*100+'main page'!$K$25*(D316-B316)-L315)&lt;0.0000001,L315,'main page'!$K$29*L315+(1-'main page'!$K$29)*(controls!$B$9/100)*100+'main page'!$K$25*(D316-B316))</f>
        <v>2</v>
      </c>
      <c r="M316" s="96">
        <f ca="1">IF(controls!$B$10=1,M315,IF(SUM(controls!$B$44:$B$46)=2,N316-'main page'!$K$29*'normal case'!L316-(1-'main page'!$K$29)*'main page'!$K$32,N316-'main page'!$K$29*'normal case'!L316-(1-'main page'!$K$29)*controls!$B$9))</f>
        <v>4</v>
      </c>
      <c r="N316" s="208">
        <f ca="1">IF(controls!$B$45=1,IF(controls!$B$46=1,'main page'!$K$24+'main page'!$K$11+'main page'!$U$8,'main page'!$K$24+'main page'!$K$11+'main page'!$K$32),IF(controls!$B$44=1,IF(O316&lt;0,0,O316),IF(O316+'main page'!$K$11&lt;0,0,O316+'main page'!$K$11)))</f>
        <v>6</v>
      </c>
      <c r="O316" s="76">
        <f ca="1">IF(controls!$B$10=1,'normal case'!M316+'normal case'!L316,'normal case'!P316)</f>
        <v>6</v>
      </c>
      <c r="P316" s="74">
        <f t="shared" ca="1" si="29"/>
        <v>6</v>
      </c>
      <c r="Q316" s="210">
        <f ca="1">IF(controls!$B$44=0,R316+'main page'!$K$29*L316+(1-'main page'!$K$29)*controls!$B$9+(('main page'!$K$25*'main page'!$U$13*'main page'!$K$29)/('main page'!$K$27*(1+('main page'!$K$25^2)*'main page'!$U$13)))*(L316-controls!$B$9),R316+'main page'!$K$29*L316+(1-'main page'!$K$29)*controls!$B$9+(('main page'!$K$25*'main page'!$U$13*'normal case'!$AO$3)/'normal case'!$AO$4)*('normal case'!L316-controls!$B$9))</f>
        <v>6</v>
      </c>
      <c r="R316" s="98">
        <f ca="1">IF(controls!$B$44=1,'main page'!$K$24+'main page'!$K$11,IF(controls!$B$33=1,((I317-D316*W317-B317+B316*V317)/'main page'!$K$27)-'main page'!$K$11,((H317-D316*W317-B317+B316*V317)/'main page'!$K$27)-'main page'!$K$11))</f>
        <v>4</v>
      </c>
      <c r="T316" s="71">
        <f>IF(controls!$B$6=1,$AL$3*(1+('main page'!$K$35/100))^U316-$AL$3*(1+('main page'!$K$35/100))^U315,$AL$3*(1+('main page'!$G$8/100))*(1+('main page'!$K$35/100))^U316-$AL$3*(1+('main page'!$G$8/100))*(1+('main page'!$K$35/100))^U315)</f>
        <v>0</v>
      </c>
      <c r="U316" s="73">
        <v>309</v>
      </c>
      <c r="V316" s="161">
        <v>0</v>
      </c>
      <c r="W316" s="40">
        <v>0</v>
      </c>
      <c r="X316" s="49">
        <f ca="1">IF(controls!$B$33=1,D316-($I$3-'main page'!$K$27*2)*(1+('main page'!$K$35/100))^A315,D316-$AL$4)</f>
        <v>0</v>
      </c>
      <c r="Y316" s="49">
        <f ca="1">ABS(L316-(controls!$B$9/100)*100)</f>
        <v>0</v>
      </c>
      <c r="AA316" s="49" t="e">
        <f ca="1">IF(controls!$B$33=1,(B317-B316*V317-I317+D316*W317+'main page'!$K$27*('main page'!$K$24+'main page'!$K$11))/'main page'!$K$31,(B317-B316*V317+D316*W317-H317+'main page'!$K$27*('main page'!$K$24+'main page'!$K$11))/'main page'!$K$31)</f>
        <v>#DIV/0!</v>
      </c>
      <c r="AB316" s="49" t="e">
        <f ca="1">IF(controls!$B$45=1,LOG(AF316,1.01)+LOG(AE316,1.01)-LOG(AD316,1.01),-((M316-('main page'!$K$24+'main page'!$K$11))/(1-'normal case'!$AO$3))+'normal case'!AA316)</f>
        <v>#DIV/0!</v>
      </c>
      <c r="AC316" s="176" t="e">
        <f t="shared" ca="1" si="30"/>
        <v>#DIV/0!</v>
      </c>
      <c r="AD316" s="49">
        <f t="shared" ca="1" si="31"/>
        <v>491.87388075574</v>
      </c>
      <c r="AE316" s="49">
        <f>AE315*(1+'main page'!$K$32/100)</f>
        <v>1</v>
      </c>
      <c r="AF316" s="49" t="e">
        <f ca="1">IF(ABS(IF(controls!$B$45=1,$AL$13,AD316*AC316/AE316)-AF315)&lt;0.00001,AF315,IF(controls!$B$45=1,$AL$13,AD316*AC316/AE316))</f>
        <v>#DIV/0!</v>
      </c>
      <c r="AG316" s="49">
        <f>IF(controls!$B$46=0,0,IF(controls!$B$33=2,B317-B316*V317-('normal case'!H317-D316*W317-'main page'!$K$27*'normal case'!M316+'main page'!$K$31*'normal case'!AB316)-(('main page'!$K$25*'main page'!$U$13*'main page'!$K$29)/(1+('main page'!$K$25^2)*'main page'!$U$13))*('normal case'!L316-'main page'!$U$8),B317-B316*V317-('normal case'!I317-D316*W317-'main page'!$K$27*'normal case'!M316+'main page'!$K$31*'normal case'!AB316)-(('main page'!$K$25*'main page'!$U$13*'main page'!$K$29)/(1+('main page'!$K$25^2)*'main page'!$U$13))*('normal case'!L316-'main page'!$U$8)))</f>
        <v>0</v>
      </c>
      <c r="AN316" s="40"/>
      <c r="AO316" s="40"/>
    </row>
    <row r="317" spans="1:41">
      <c r="A317" s="48">
        <v>315</v>
      </c>
      <c r="B317" s="75">
        <f ca="1">IF(controls!$B$33=1,B316*(1+V317)+T317,B316*(1+V317))</f>
        <v>100</v>
      </c>
      <c r="C317" s="80">
        <f t="shared" ca="1" si="32"/>
        <v>0</v>
      </c>
      <c r="D317" s="77">
        <f t="shared" ca="1" si="28"/>
        <v>100</v>
      </c>
      <c r="E317" s="77">
        <f ca="1">AG316+IF(controls!$B$33=1,G317,F317)</f>
        <v>100</v>
      </c>
      <c r="F317" s="94">
        <f ca="1">IF(controls!$B$44=0,H317-'main page'!$K$27*M316,H317-'main page'!$K$27*M316+'main page'!$K$31*AB316)</f>
        <v>100</v>
      </c>
      <c r="G317" s="75">
        <f ca="1">IF(controls!$B$44=0,I317-'main page'!$K$27*M316,I317-'main page'!$K$27*M316+'main page'!$K$31*'normal case'!AB316)</f>
        <v>100</v>
      </c>
      <c r="H317" s="75">
        <f t="shared" ca="1" si="33"/>
        <v>108</v>
      </c>
      <c r="I317" s="75">
        <f t="shared" ca="1" si="34"/>
        <v>108</v>
      </c>
      <c r="L317" s="75">
        <f ca="1">IF(ABS('main page'!$K$29*L316+(1-'main page'!$K$29)*(controls!$B$9/100)*100+'main page'!$K$25*(D317-B317)-L316)&lt;0.0000001,L316,'main page'!$K$29*L316+(1-'main page'!$K$29)*(controls!$B$9/100)*100+'main page'!$K$25*(D317-B317))</f>
        <v>2</v>
      </c>
      <c r="M317" s="96">
        <f ca="1">IF(controls!$B$10=1,M316,IF(SUM(controls!$B$44:$B$46)=2,N317-'main page'!$K$29*'normal case'!L317-(1-'main page'!$K$29)*'main page'!$K$32,N317-'main page'!$K$29*'normal case'!L317-(1-'main page'!$K$29)*controls!$B$9))</f>
        <v>4</v>
      </c>
      <c r="N317" s="208">
        <f ca="1">IF(controls!$B$45=1,IF(controls!$B$46=1,'main page'!$K$24+'main page'!$K$11+'main page'!$U$8,'main page'!$K$24+'main page'!$K$11+'main page'!$K$32),IF(controls!$B$44=1,IF(O317&lt;0,0,O317),IF(O317+'main page'!$K$11&lt;0,0,O317+'main page'!$K$11)))</f>
        <v>6</v>
      </c>
      <c r="O317" s="76">
        <f ca="1">IF(controls!$B$10=1,'normal case'!M317+'normal case'!L317,'normal case'!P317)</f>
        <v>6</v>
      </c>
      <c r="P317" s="74">
        <f t="shared" ca="1" si="29"/>
        <v>6</v>
      </c>
      <c r="Q317" s="210">
        <f ca="1">IF(controls!$B$44=0,R317+'main page'!$K$29*L317+(1-'main page'!$K$29)*controls!$B$9+(('main page'!$K$25*'main page'!$U$13*'main page'!$K$29)/('main page'!$K$27*(1+('main page'!$K$25^2)*'main page'!$U$13)))*(L317-controls!$B$9),R317+'main page'!$K$29*L317+(1-'main page'!$K$29)*controls!$B$9+(('main page'!$K$25*'main page'!$U$13*'normal case'!$AO$3)/'normal case'!$AO$4)*('normal case'!L317-controls!$B$9))</f>
        <v>6</v>
      </c>
      <c r="R317" s="98">
        <f ca="1">IF(controls!$B$44=1,'main page'!$K$24+'main page'!$K$11,IF(controls!$B$33=1,((I318-D317*W318-B318+B317*V318)/'main page'!$K$27)-'main page'!$K$11,((H318-D317*W318-B318+B317*V318)/'main page'!$K$27)-'main page'!$K$11))</f>
        <v>4</v>
      </c>
      <c r="T317" s="71">
        <f>IF(controls!$B$6=1,$AL$3*(1+('main page'!$K$35/100))^U317-$AL$3*(1+('main page'!$K$35/100))^U316,$AL$3*(1+('main page'!$G$8/100))*(1+('main page'!$K$35/100))^U317-$AL$3*(1+('main page'!$G$8/100))*(1+('main page'!$K$35/100))^U316)</f>
        <v>0</v>
      </c>
      <c r="U317" s="73">
        <v>310</v>
      </c>
      <c r="V317" s="161">
        <f ca="1">IF(controls!$B$4=1,IF(controls!$H316=1,controls!$B$34*V316+RAND()*('main page'!$K$16/100)-RAND()*('main page'!$K$16/100),0),0)</f>
        <v>0</v>
      </c>
      <c r="W317" s="40">
        <f ca="1">IF(controls!$B$4=1,IF(controls!$I316=1,controls!$B$34*W316+RAND()*('main page'!$K$16/100)-RAND()*('main page'!$K$16/100),0),0)</f>
        <v>0</v>
      </c>
      <c r="X317" s="49">
        <f ca="1">IF(controls!$B$33=1,D317-($I$3-'main page'!$K$27*2)*(1+('main page'!$K$35/100))^A316,D317-$AL$4)</f>
        <v>0</v>
      </c>
      <c r="Y317" s="49">
        <f ca="1">ABS(L317-(controls!$B$9/100)*100)</f>
        <v>0</v>
      </c>
      <c r="AA317" s="49" t="e">
        <f ca="1">IF(controls!$B$33=1,(B318-B317*V318-I318+D317*W318+'main page'!$K$27*('main page'!$K$24+'main page'!$K$11))/'main page'!$K$31,(B318-B317*V318+D317*W318-H318+'main page'!$K$27*('main page'!$K$24+'main page'!$K$11))/'main page'!$K$31)</f>
        <v>#DIV/0!</v>
      </c>
      <c r="AB317" s="49" t="e">
        <f ca="1">IF(controls!$B$45=1,LOG(AF317,1.01)+LOG(AE317,1.01)-LOG(AD317,1.01),-((M317-('main page'!$K$24+'main page'!$K$11))/(1-'normal case'!$AO$3))+'normal case'!AA317)</f>
        <v>#DIV/0!</v>
      </c>
      <c r="AC317" s="176" t="e">
        <f t="shared" ca="1" si="30"/>
        <v>#DIV/0!</v>
      </c>
      <c r="AD317" s="49">
        <f t="shared" ca="1" si="31"/>
        <v>501.71135837085484</v>
      </c>
      <c r="AE317" s="49">
        <f>AE316*(1+'main page'!$K$32/100)</f>
        <v>1</v>
      </c>
      <c r="AF317" s="49" t="e">
        <f ca="1">IF(ABS(IF(controls!$B$45=1,$AL$13,AD317*AC317/AE317)-AF316)&lt;0.00001,AF316,IF(controls!$B$45=1,$AL$13,AD317*AC317/AE317))</f>
        <v>#DIV/0!</v>
      </c>
      <c r="AG317" s="49">
        <f>IF(controls!$B$46=0,0,IF(controls!$B$33=2,B318-B317*V318-('normal case'!H318-D317*W318-'main page'!$K$27*'normal case'!M317+'main page'!$K$31*'normal case'!AB317)-(('main page'!$K$25*'main page'!$U$13*'main page'!$K$29)/(1+('main page'!$K$25^2)*'main page'!$U$13))*('normal case'!L317-'main page'!$U$8),B318-B317*V318-('normal case'!I318-D317*W318-'main page'!$K$27*'normal case'!M317+'main page'!$K$31*'normal case'!AB317)-(('main page'!$K$25*'main page'!$U$13*'main page'!$K$29)/(1+('main page'!$K$25^2)*'main page'!$U$13))*('normal case'!L317-'main page'!$U$8)))</f>
        <v>0</v>
      </c>
      <c r="AN317" s="40"/>
      <c r="AO317" s="40"/>
    </row>
    <row r="318" spans="1:41">
      <c r="A318" s="48">
        <v>316</v>
      </c>
      <c r="B318" s="75">
        <f ca="1">IF(controls!$B$33=1,B317*(1+V318)+T318,B317*(1+V318))</f>
        <v>100</v>
      </c>
      <c r="C318" s="80">
        <f t="shared" ca="1" si="32"/>
        <v>0</v>
      </c>
      <c r="D318" s="77">
        <f t="shared" ca="1" si="28"/>
        <v>100</v>
      </c>
      <c r="E318" s="77">
        <f ca="1">AG317+IF(controls!$B$33=1,G318,F318)</f>
        <v>100</v>
      </c>
      <c r="F318" s="94">
        <f ca="1">IF(controls!$B$44=0,H318-'main page'!$K$27*M317,H318-'main page'!$K$27*M317+'main page'!$K$31*AB317)</f>
        <v>100</v>
      </c>
      <c r="G318" s="75">
        <f ca="1">IF(controls!$B$44=0,I318-'main page'!$K$27*M317,I318-'main page'!$K$27*M317+'main page'!$K$31*'normal case'!AB317)</f>
        <v>100</v>
      </c>
      <c r="H318" s="75">
        <f t="shared" ca="1" si="33"/>
        <v>108</v>
      </c>
      <c r="I318" s="75">
        <f t="shared" ca="1" si="34"/>
        <v>108</v>
      </c>
      <c r="L318" s="75">
        <f ca="1">IF(ABS('main page'!$K$29*L317+(1-'main page'!$K$29)*(controls!$B$9/100)*100+'main page'!$K$25*(D318-B318)-L317)&lt;0.0000001,L317,'main page'!$K$29*L317+(1-'main page'!$K$29)*(controls!$B$9/100)*100+'main page'!$K$25*(D318-B318))</f>
        <v>2</v>
      </c>
      <c r="M318" s="96">
        <f ca="1">IF(controls!$B$10=1,M317,IF(SUM(controls!$B$44:$B$46)=2,N318-'main page'!$K$29*'normal case'!L318-(1-'main page'!$K$29)*'main page'!$K$32,N318-'main page'!$K$29*'normal case'!L318-(1-'main page'!$K$29)*controls!$B$9))</f>
        <v>4</v>
      </c>
      <c r="N318" s="208">
        <f ca="1">IF(controls!$B$45=1,IF(controls!$B$46=1,'main page'!$K$24+'main page'!$K$11+'main page'!$U$8,'main page'!$K$24+'main page'!$K$11+'main page'!$K$32),IF(controls!$B$44=1,IF(O318&lt;0,0,O318),IF(O318+'main page'!$K$11&lt;0,0,O318+'main page'!$K$11)))</f>
        <v>6</v>
      </c>
      <c r="O318" s="76">
        <f ca="1">IF(controls!$B$10=1,'normal case'!M318+'normal case'!L318,'normal case'!P318)</f>
        <v>6</v>
      </c>
      <c r="P318" s="74">
        <f t="shared" ca="1" si="29"/>
        <v>6</v>
      </c>
      <c r="Q318" s="210">
        <f ca="1">IF(controls!$B$44=0,R318+'main page'!$K$29*L318+(1-'main page'!$K$29)*controls!$B$9+(('main page'!$K$25*'main page'!$U$13*'main page'!$K$29)/('main page'!$K$27*(1+('main page'!$K$25^2)*'main page'!$U$13)))*(L318-controls!$B$9),R318+'main page'!$K$29*L318+(1-'main page'!$K$29)*controls!$B$9+(('main page'!$K$25*'main page'!$U$13*'normal case'!$AO$3)/'normal case'!$AO$4)*('normal case'!L318-controls!$B$9))</f>
        <v>6</v>
      </c>
      <c r="R318" s="98">
        <f ca="1">IF(controls!$B$44=1,'main page'!$K$24+'main page'!$K$11,IF(controls!$B$33=1,((I319-D318*W319-B319+B318*V319)/'main page'!$K$27)-'main page'!$K$11,((H319-D318*W319-B319+B318*V319)/'main page'!$K$27)-'main page'!$K$11))</f>
        <v>4</v>
      </c>
      <c r="T318" s="71">
        <f>IF(controls!$B$6=1,$AL$3*(1+('main page'!$K$35/100))^U318-$AL$3*(1+('main page'!$K$35/100))^U317,$AL$3*(1+('main page'!$G$8/100))*(1+('main page'!$K$35/100))^U318-$AL$3*(1+('main page'!$G$8/100))*(1+('main page'!$K$35/100))^U317)</f>
        <v>0</v>
      </c>
      <c r="U318" s="73">
        <v>311</v>
      </c>
      <c r="V318" s="161">
        <v>0</v>
      </c>
      <c r="W318" s="40">
        <v>0</v>
      </c>
      <c r="X318" s="49">
        <f ca="1">IF(controls!$B$33=1,D318-($I$3-'main page'!$K$27*2)*(1+('main page'!$K$35/100))^A317,D318-$AL$4)</f>
        <v>0</v>
      </c>
      <c r="Y318" s="49">
        <f ca="1">ABS(L318-(controls!$B$9/100)*100)</f>
        <v>0</v>
      </c>
      <c r="AA318" s="49" t="e">
        <f ca="1">IF(controls!$B$33=1,(B319-B318*V319-I319+D318*W319+'main page'!$K$27*('main page'!$K$24+'main page'!$K$11))/'main page'!$K$31,(B319-B318*V319+D318*W319-H319+'main page'!$K$27*('main page'!$K$24+'main page'!$K$11))/'main page'!$K$31)</f>
        <v>#DIV/0!</v>
      </c>
      <c r="AB318" s="49" t="e">
        <f ca="1">IF(controls!$B$45=1,LOG(AF318,1.01)+LOG(AE318,1.01)-LOG(AD318,1.01),-((M318-('main page'!$K$24+'main page'!$K$11))/(1-'normal case'!$AO$3))+'normal case'!AA318)</f>
        <v>#DIV/0!</v>
      </c>
      <c r="AC318" s="176" t="e">
        <f t="shared" ca="1" si="30"/>
        <v>#DIV/0!</v>
      </c>
      <c r="AD318" s="49">
        <f t="shared" ca="1" si="31"/>
        <v>511.74558553827194</v>
      </c>
      <c r="AE318" s="49">
        <f>AE317*(1+'main page'!$K$32/100)</f>
        <v>1</v>
      </c>
      <c r="AF318" s="49" t="e">
        <f ca="1">IF(ABS(IF(controls!$B$45=1,$AL$13,AD318*AC318/AE318)-AF317)&lt;0.00001,AF317,IF(controls!$B$45=1,$AL$13,AD318*AC318/AE318))</f>
        <v>#DIV/0!</v>
      </c>
      <c r="AG318" s="49">
        <f>IF(controls!$B$46=0,0,IF(controls!$B$33=2,B319-B318*V319-('normal case'!H319-D318*W319-'main page'!$K$27*'normal case'!M318+'main page'!$K$31*'normal case'!AB318)-(('main page'!$K$25*'main page'!$U$13*'main page'!$K$29)/(1+('main page'!$K$25^2)*'main page'!$U$13))*('normal case'!L318-'main page'!$U$8),B319-B318*V319-('normal case'!I319-D318*W319-'main page'!$K$27*'normal case'!M318+'main page'!$K$31*'normal case'!AB318)-(('main page'!$K$25*'main page'!$U$13*'main page'!$K$29)/(1+('main page'!$K$25^2)*'main page'!$U$13))*('normal case'!L318-'main page'!$U$8)))</f>
        <v>0</v>
      </c>
      <c r="AN318" s="40"/>
      <c r="AO318" s="40"/>
    </row>
    <row r="319" spans="1:41">
      <c r="A319" s="48">
        <v>317</v>
      </c>
      <c r="B319" s="75">
        <f ca="1">IF(controls!$B$33=1,B318*(1+V319)+T319,B318*(1+V319))</f>
        <v>100</v>
      </c>
      <c r="C319" s="80">
        <f t="shared" ca="1" si="32"/>
        <v>0</v>
      </c>
      <c r="D319" s="77">
        <f t="shared" ca="1" si="28"/>
        <v>100</v>
      </c>
      <c r="E319" s="77">
        <f ca="1">AG318+IF(controls!$B$33=1,G319,F319)</f>
        <v>100</v>
      </c>
      <c r="F319" s="94">
        <f ca="1">IF(controls!$B$44=0,H319-'main page'!$K$27*M318,H319-'main page'!$K$27*M318+'main page'!$K$31*AB318)</f>
        <v>100</v>
      </c>
      <c r="G319" s="75">
        <f ca="1">IF(controls!$B$44=0,I319-'main page'!$K$27*M318,I319-'main page'!$K$27*M318+'main page'!$K$31*'normal case'!AB318)</f>
        <v>100</v>
      </c>
      <c r="H319" s="75">
        <f t="shared" ca="1" si="33"/>
        <v>108</v>
      </c>
      <c r="I319" s="75">
        <f t="shared" ca="1" si="34"/>
        <v>108</v>
      </c>
      <c r="L319" s="75">
        <f ca="1">IF(ABS('main page'!$K$29*L318+(1-'main page'!$K$29)*(controls!$B$9/100)*100+'main page'!$K$25*(D319-B319)-L318)&lt;0.0000001,L318,'main page'!$K$29*L318+(1-'main page'!$K$29)*(controls!$B$9/100)*100+'main page'!$K$25*(D319-B319))</f>
        <v>2</v>
      </c>
      <c r="M319" s="96">
        <f ca="1">IF(controls!$B$10=1,M318,IF(SUM(controls!$B$44:$B$46)=2,N319-'main page'!$K$29*'normal case'!L319-(1-'main page'!$K$29)*'main page'!$K$32,N319-'main page'!$K$29*'normal case'!L319-(1-'main page'!$K$29)*controls!$B$9))</f>
        <v>4</v>
      </c>
      <c r="N319" s="208">
        <f ca="1">IF(controls!$B$45=1,IF(controls!$B$46=1,'main page'!$K$24+'main page'!$K$11+'main page'!$U$8,'main page'!$K$24+'main page'!$K$11+'main page'!$K$32),IF(controls!$B$44=1,IF(O319&lt;0,0,O319),IF(O319+'main page'!$K$11&lt;0,0,O319+'main page'!$K$11)))</f>
        <v>6</v>
      </c>
      <c r="O319" s="76">
        <f ca="1">IF(controls!$B$10=1,'normal case'!M319+'normal case'!L319,'normal case'!P319)</f>
        <v>6</v>
      </c>
      <c r="P319" s="74">
        <f t="shared" ca="1" si="29"/>
        <v>6</v>
      </c>
      <c r="Q319" s="210">
        <f ca="1">IF(controls!$B$44=0,R319+'main page'!$K$29*L319+(1-'main page'!$K$29)*controls!$B$9+(('main page'!$K$25*'main page'!$U$13*'main page'!$K$29)/('main page'!$K$27*(1+('main page'!$K$25^2)*'main page'!$U$13)))*(L319-controls!$B$9),R319+'main page'!$K$29*L319+(1-'main page'!$K$29)*controls!$B$9+(('main page'!$K$25*'main page'!$U$13*'normal case'!$AO$3)/'normal case'!$AO$4)*('normal case'!L319-controls!$B$9))</f>
        <v>6</v>
      </c>
      <c r="R319" s="98">
        <f ca="1">IF(controls!$B$44=1,'main page'!$K$24+'main page'!$K$11,IF(controls!$B$33=1,((I320-D319*W320-B320+B319*V320)/'main page'!$K$27)-'main page'!$K$11,((H320-D319*W320-B320+B319*V320)/'main page'!$K$27)-'main page'!$K$11))</f>
        <v>4</v>
      </c>
      <c r="T319" s="71">
        <f>IF(controls!$B$6=1,$AL$3*(1+('main page'!$K$35/100))^U319-$AL$3*(1+('main page'!$K$35/100))^U318,$AL$3*(1+('main page'!$G$8/100))*(1+('main page'!$K$35/100))^U319-$AL$3*(1+('main page'!$G$8/100))*(1+('main page'!$K$35/100))^U318)</f>
        <v>0</v>
      </c>
      <c r="U319" s="73">
        <v>312</v>
      </c>
      <c r="V319" s="161">
        <v>0</v>
      </c>
      <c r="W319" s="40">
        <v>0</v>
      </c>
      <c r="X319" s="49">
        <f ca="1">IF(controls!$B$33=1,D319-($I$3-'main page'!$K$27*2)*(1+('main page'!$K$35/100))^A318,D319-$AL$4)</f>
        <v>0</v>
      </c>
      <c r="Y319" s="49">
        <f ca="1">ABS(L319-(controls!$B$9/100)*100)</f>
        <v>0</v>
      </c>
      <c r="AA319" s="49" t="e">
        <f ca="1">IF(controls!$B$33=1,(B320-B319*V320-I320+D319*W320+'main page'!$K$27*('main page'!$K$24+'main page'!$K$11))/'main page'!$K$31,(B320-B319*V320+D319*W320-H320+'main page'!$K$27*('main page'!$K$24+'main page'!$K$11))/'main page'!$K$31)</f>
        <v>#DIV/0!</v>
      </c>
      <c r="AB319" s="49" t="e">
        <f ca="1">IF(controls!$B$45=1,LOG(AF319,1.01)+LOG(AE319,1.01)-LOG(AD319,1.01),-((M319-('main page'!$K$24+'main page'!$K$11))/(1-'normal case'!$AO$3))+'normal case'!AA319)</f>
        <v>#DIV/0!</v>
      </c>
      <c r="AC319" s="176" t="e">
        <f t="shared" ca="1" si="30"/>
        <v>#DIV/0!</v>
      </c>
      <c r="AD319" s="49">
        <f t="shared" ca="1" si="31"/>
        <v>521.9804972490374</v>
      </c>
      <c r="AE319" s="49">
        <f>AE318*(1+'main page'!$K$32/100)</f>
        <v>1</v>
      </c>
      <c r="AF319" s="49" t="e">
        <f ca="1">IF(ABS(IF(controls!$B$45=1,$AL$13,AD319*AC319/AE319)-AF318)&lt;0.00001,AF318,IF(controls!$B$45=1,$AL$13,AD319*AC319/AE319))</f>
        <v>#DIV/0!</v>
      </c>
      <c r="AG319" s="49">
        <f>IF(controls!$B$46=0,0,IF(controls!$B$33=2,B320-B319*V320-('normal case'!H320-D319*W320-'main page'!$K$27*'normal case'!M319+'main page'!$K$31*'normal case'!AB319)-(('main page'!$K$25*'main page'!$U$13*'main page'!$K$29)/(1+('main page'!$K$25^2)*'main page'!$U$13))*('normal case'!L319-'main page'!$U$8),B320-B319*V320-('normal case'!I320-D319*W320-'main page'!$K$27*'normal case'!M319+'main page'!$K$31*'normal case'!AB319)-(('main page'!$K$25*'main page'!$U$13*'main page'!$K$29)/(1+('main page'!$K$25^2)*'main page'!$U$13))*('normal case'!L319-'main page'!$U$8)))</f>
        <v>0</v>
      </c>
      <c r="AN319" s="40"/>
      <c r="AO319" s="40"/>
    </row>
    <row r="320" spans="1:41">
      <c r="A320" s="48">
        <v>318</v>
      </c>
      <c r="B320" s="75">
        <f ca="1">IF(controls!$B$33=1,B319*(1+V320)+T320,B319*(1+V320))</f>
        <v>100</v>
      </c>
      <c r="C320" s="80">
        <f t="shared" ca="1" si="32"/>
        <v>0</v>
      </c>
      <c r="D320" s="77">
        <f t="shared" ca="1" si="28"/>
        <v>100</v>
      </c>
      <c r="E320" s="77">
        <f ca="1">AG319+IF(controls!$B$33=1,G320,F320)</f>
        <v>100</v>
      </c>
      <c r="F320" s="94">
        <f ca="1">IF(controls!$B$44=0,H320-'main page'!$K$27*M319,H320-'main page'!$K$27*M319+'main page'!$K$31*AB319)</f>
        <v>100</v>
      </c>
      <c r="G320" s="75">
        <f ca="1">IF(controls!$B$44=0,I320-'main page'!$K$27*M319,I320-'main page'!$K$27*M319+'main page'!$K$31*'normal case'!AB319)</f>
        <v>100</v>
      </c>
      <c r="H320" s="75">
        <f t="shared" ca="1" si="33"/>
        <v>108</v>
      </c>
      <c r="I320" s="75">
        <f t="shared" ca="1" si="34"/>
        <v>108</v>
      </c>
      <c r="L320" s="75">
        <f ca="1">IF(ABS('main page'!$K$29*L319+(1-'main page'!$K$29)*(controls!$B$9/100)*100+'main page'!$K$25*(D320-B320)-L319)&lt;0.0000001,L319,'main page'!$K$29*L319+(1-'main page'!$K$29)*(controls!$B$9/100)*100+'main page'!$K$25*(D320-B320))</f>
        <v>2</v>
      </c>
      <c r="M320" s="96">
        <f ca="1">IF(controls!$B$10=1,M319,IF(SUM(controls!$B$44:$B$46)=2,N320-'main page'!$K$29*'normal case'!L320-(1-'main page'!$K$29)*'main page'!$K$32,N320-'main page'!$K$29*'normal case'!L320-(1-'main page'!$K$29)*controls!$B$9))</f>
        <v>4</v>
      </c>
      <c r="N320" s="208">
        <f ca="1">IF(controls!$B$45=1,IF(controls!$B$46=1,'main page'!$K$24+'main page'!$K$11+'main page'!$U$8,'main page'!$K$24+'main page'!$K$11+'main page'!$K$32),IF(controls!$B$44=1,IF(O320&lt;0,0,O320),IF(O320+'main page'!$K$11&lt;0,0,O320+'main page'!$K$11)))</f>
        <v>6</v>
      </c>
      <c r="O320" s="76">
        <f ca="1">IF(controls!$B$10=1,'normal case'!M320+'normal case'!L320,'normal case'!P320)</f>
        <v>6</v>
      </c>
      <c r="P320" s="74">
        <f t="shared" ca="1" si="29"/>
        <v>6</v>
      </c>
      <c r="Q320" s="210">
        <f ca="1">IF(controls!$B$44=0,R320+'main page'!$K$29*L320+(1-'main page'!$K$29)*controls!$B$9+(('main page'!$K$25*'main page'!$U$13*'main page'!$K$29)/('main page'!$K$27*(1+('main page'!$K$25^2)*'main page'!$U$13)))*(L320-controls!$B$9),R320+'main page'!$K$29*L320+(1-'main page'!$K$29)*controls!$B$9+(('main page'!$K$25*'main page'!$U$13*'normal case'!$AO$3)/'normal case'!$AO$4)*('normal case'!L320-controls!$B$9))</f>
        <v>6</v>
      </c>
      <c r="R320" s="98">
        <f ca="1">IF(controls!$B$44=1,'main page'!$K$24+'main page'!$K$11,IF(controls!$B$33=1,((I321-D320*W321-B321+B320*V321)/'main page'!$K$27)-'main page'!$K$11,((H321-D320*W321-B321+B320*V321)/'main page'!$K$27)-'main page'!$K$11))</f>
        <v>4</v>
      </c>
      <c r="T320" s="71">
        <f>IF(controls!$B$6=1,$AL$3*(1+('main page'!$K$35/100))^U320-$AL$3*(1+('main page'!$K$35/100))^U319,$AL$3*(1+('main page'!$G$8/100))*(1+('main page'!$K$35/100))^U320-$AL$3*(1+('main page'!$G$8/100))*(1+('main page'!$K$35/100))^U319)</f>
        <v>0</v>
      </c>
      <c r="U320" s="73">
        <v>313</v>
      </c>
      <c r="V320" s="161">
        <f ca="1">IF(controls!$B$4=1,IF(controls!$H319=1,controls!$B$34*V319+RAND()*('main page'!$K$16/100)-RAND()*('main page'!$K$16/100),0),0)</f>
        <v>0</v>
      </c>
      <c r="W320" s="40">
        <f ca="1">IF(controls!$B$4=1,IF(controls!$I319=1,controls!$B$34*W319+RAND()*('main page'!$K$16/100)-RAND()*('main page'!$K$16/100),0),0)</f>
        <v>0</v>
      </c>
      <c r="X320" s="49">
        <f ca="1">IF(controls!$B$33=1,D320-($I$3-'main page'!$K$27*2)*(1+('main page'!$K$35/100))^A319,D320-$AL$4)</f>
        <v>0</v>
      </c>
      <c r="Y320" s="49">
        <f ca="1">ABS(L320-(controls!$B$9/100)*100)</f>
        <v>0</v>
      </c>
      <c r="AA320" s="49" t="e">
        <f ca="1">IF(controls!$B$33=1,(B321-B320*V321-I321+D320*W321+'main page'!$K$27*('main page'!$K$24+'main page'!$K$11))/'main page'!$K$31,(B321-B320*V321+D320*W321-H321+'main page'!$K$27*('main page'!$K$24+'main page'!$K$11))/'main page'!$K$31)</f>
        <v>#DIV/0!</v>
      </c>
      <c r="AB320" s="49" t="e">
        <f ca="1">IF(controls!$B$45=1,LOG(AF320,1.01)+LOG(AE320,1.01)-LOG(AD320,1.01),-((M320-('main page'!$K$24+'main page'!$K$11))/(1-'normal case'!$AO$3))+'normal case'!AA320)</f>
        <v>#DIV/0!</v>
      </c>
      <c r="AC320" s="176" t="e">
        <f t="shared" ca="1" si="30"/>
        <v>#DIV/0!</v>
      </c>
      <c r="AD320" s="49">
        <f t="shared" ca="1" si="31"/>
        <v>532.4201071940181</v>
      </c>
      <c r="AE320" s="49">
        <f>AE319*(1+'main page'!$K$32/100)</f>
        <v>1</v>
      </c>
      <c r="AF320" s="49" t="e">
        <f ca="1">IF(ABS(IF(controls!$B$45=1,$AL$13,AD320*AC320/AE320)-AF319)&lt;0.00001,AF319,IF(controls!$B$45=1,$AL$13,AD320*AC320/AE320))</f>
        <v>#DIV/0!</v>
      </c>
      <c r="AG320" s="49">
        <f>IF(controls!$B$46=0,0,IF(controls!$B$33=2,B321-B320*V321-('normal case'!H321-D320*W321-'main page'!$K$27*'normal case'!M320+'main page'!$K$31*'normal case'!AB320)-(('main page'!$K$25*'main page'!$U$13*'main page'!$K$29)/(1+('main page'!$K$25^2)*'main page'!$U$13))*('normal case'!L320-'main page'!$U$8),B321-B320*V321-('normal case'!I321-D320*W321-'main page'!$K$27*'normal case'!M320+'main page'!$K$31*'normal case'!AB320)-(('main page'!$K$25*'main page'!$U$13*'main page'!$K$29)/(1+('main page'!$K$25^2)*'main page'!$U$13))*('normal case'!L320-'main page'!$U$8)))</f>
        <v>0</v>
      </c>
      <c r="AN320" s="40"/>
      <c r="AO320" s="40"/>
    </row>
    <row r="321" spans="1:41">
      <c r="A321" s="48">
        <v>319</v>
      </c>
      <c r="B321" s="75">
        <f ca="1">IF(controls!$B$33=1,B320*(1+V321)+T321,B320*(1+V321))</f>
        <v>100</v>
      </c>
      <c r="C321" s="80">
        <f t="shared" ca="1" si="32"/>
        <v>0</v>
      </c>
      <c r="D321" s="77">
        <f t="shared" ca="1" si="28"/>
        <v>100</v>
      </c>
      <c r="E321" s="77">
        <f ca="1">AG320+IF(controls!$B$33=1,G321,F321)</f>
        <v>100</v>
      </c>
      <c r="F321" s="94">
        <f ca="1">IF(controls!$B$44=0,H321-'main page'!$K$27*M320,H321-'main page'!$K$27*M320+'main page'!$K$31*AB320)</f>
        <v>100</v>
      </c>
      <c r="G321" s="75">
        <f ca="1">IF(controls!$B$44=0,I321-'main page'!$K$27*M320,I321-'main page'!$K$27*M320+'main page'!$K$31*'normal case'!AB320)</f>
        <v>100</v>
      </c>
      <c r="H321" s="75">
        <f t="shared" ca="1" si="33"/>
        <v>108</v>
      </c>
      <c r="I321" s="75">
        <f t="shared" ca="1" si="34"/>
        <v>108</v>
      </c>
      <c r="L321" s="75">
        <f ca="1">IF(ABS('main page'!$K$29*L320+(1-'main page'!$K$29)*(controls!$B$9/100)*100+'main page'!$K$25*(D321-B321)-L320)&lt;0.0000001,L320,'main page'!$K$29*L320+(1-'main page'!$K$29)*(controls!$B$9/100)*100+'main page'!$K$25*(D321-B321))</f>
        <v>2</v>
      </c>
      <c r="M321" s="96">
        <f ca="1">IF(controls!$B$10=1,M320,IF(SUM(controls!$B$44:$B$46)=2,N321-'main page'!$K$29*'normal case'!L321-(1-'main page'!$K$29)*'main page'!$K$32,N321-'main page'!$K$29*'normal case'!L321-(1-'main page'!$K$29)*controls!$B$9))</f>
        <v>4</v>
      </c>
      <c r="N321" s="208">
        <f ca="1">IF(controls!$B$45=1,IF(controls!$B$46=1,'main page'!$K$24+'main page'!$K$11+'main page'!$U$8,'main page'!$K$24+'main page'!$K$11+'main page'!$K$32),IF(controls!$B$44=1,IF(O321&lt;0,0,O321),IF(O321+'main page'!$K$11&lt;0,0,O321+'main page'!$K$11)))</f>
        <v>6</v>
      </c>
      <c r="O321" s="76">
        <f ca="1">IF(controls!$B$10=1,'normal case'!M321+'normal case'!L321,'normal case'!P321)</f>
        <v>6</v>
      </c>
      <c r="P321" s="74">
        <f t="shared" ca="1" si="29"/>
        <v>6</v>
      </c>
      <c r="Q321" s="210">
        <f ca="1">IF(controls!$B$44=0,R321+'main page'!$K$29*L321+(1-'main page'!$K$29)*controls!$B$9+(('main page'!$K$25*'main page'!$U$13*'main page'!$K$29)/('main page'!$K$27*(1+('main page'!$K$25^2)*'main page'!$U$13)))*(L321-controls!$B$9),R321+'main page'!$K$29*L321+(1-'main page'!$K$29)*controls!$B$9+(('main page'!$K$25*'main page'!$U$13*'normal case'!$AO$3)/'normal case'!$AO$4)*('normal case'!L321-controls!$B$9))</f>
        <v>6</v>
      </c>
      <c r="R321" s="98">
        <f ca="1">IF(controls!$B$44=1,'main page'!$K$24+'main page'!$K$11,IF(controls!$B$33=1,((I322-D321*W322-B322+B321*V322)/'main page'!$K$27)-'main page'!$K$11,((H322-D321*W322-B322+B321*V322)/'main page'!$K$27)-'main page'!$K$11))</f>
        <v>4</v>
      </c>
      <c r="T321" s="71">
        <f>IF(controls!$B$6=1,$AL$3*(1+('main page'!$K$35/100))^U321-$AL$3*(1+('main page'!$K$35/100))^U320,$AL$3*(1+('main page'!$G$8/100))*(1+('main page'!$K$35/100))^U321-$AL$3*(1+('main page'!$G$8/100))*(1+('main page'!$K$35/100))^U320)</f>
        <v>0</v>
      </c>
      <c r="U321" s="73">
        <v>314</v>
      </c>
      <c r="V321" s="161">
        <v>0</v>
      </c>
      <c r="W321" s="40">
        <v>0</v>
      </c>
      <c r="X321" s="49">
        <f ca="1">IF(controls!$B$33=1,D321-($I$3-'main page'!$K$27*2)*(1+('main page'!$K$35/100))^A320,D321-$AL$4)</f>
        <v>0</v>
      </c>
      <c r="Y321" s="49">
        <f ca="1">ABS(L321-(controls!$B$9/100)*100)</f>
        <v>0</v>
      </c>
      <c r="AA321" s="49" t="e">
        <f ca="1">IF(controls!$B$33=1,(B322-B321*V322-I322+D321*W322+'main page'!$K$27*('main page'!$K$24+'main page'!$K$11))/'main page'!$K$31,(B322-B321*V322+D321*W322-H322+'main page'!$K$27*('main page'!$K$24+'main page'!$K$11))/'main page'!$K$31)</f>
        <v>#DIV/0!</v>
      </c>
      <c r="AB321" s="49" t="e">
        <f ca="1">IF(controls!$B$45=1,LOG(AF321,1.01)+LOG(AE321,1.01)-LOG(AD321,1.01),-((M321-('main page'!$K$24+'main page'!$K$11))/(1-'normal case'!$AO$3))+'normal case'!AA321)</f>
        <v>#DIV/0!</v>
      </c>
      <c r="AC321" s="176" t="e">
        <f t="shared" ca="1" si="30"/>
        <v>#DIV/0!</v>
      </c>
      <c r="AD321" s="49">
        <f t="shared" ca="1" si="31"/>
        <v>543.06850933789849</v>
      </c>
      <c r="AE321" s="49">
        <f>AE320*(1+'main page'!$K$32/100)</f>
        <v>1</v>
      </c>
      <c r="AF321" s="49" t="e">
        <f ca="1">IF(ABS(IF(controls!$B$45=1,$AL$13,AD321*AC321/AE321)-AF320)&lt;0.00001,AF320,IF(controls!$B$45=1,$AL$13,AD321*AC321/AE321))</f>
        <v>#DIV/0!</v>
      </c>
      <c r="AG321" s="49">
        <f>IF(controls!$B$46=0,0,IF(controls!$B$33=2,B322-B321*V322-('normal case'!H322-D321*W322-'main page'!$K$27*'normal case'!M321+'main page'!$K$31*'normal case'!AB321)-(('main page'!$K$25*'main page'!$U$13*'main page'!$K$29)/(1+('main page'!$K$25^2)*'main page'!$U$13))*('normal case'!L321-'main page'!$U$8),B322-B321*V322-('normal case'!I322-D321*W322-'main page'!$K$27*'normal case'!M321+'main page'!$K$31*'normal case'!AB321)-(('main page'!$K$25*'main page'!$U$13*'main page'!$K$29)/(1+('main page'!$K$25^2)*'main page'!$U$13))*('normal case'!L321-'main page'!$U$8)))</f>
        <v>0</v>
      </c>
      <c r="AN321" s="40"/>
      <c r="AO321" s="40"/>
    </row>
    <row r="322" spans="1:41">
      <c r="A322" s="48">
        <v>320</v>
      </c>
      <c r="B322" s="75">
        <f ca="1">IF(controls!$B$33=1,B321*(1+V322)+T322,B321*(1+V322))</f>
        <v>100</v>
      </c>
      <c r="C322" s="80">
        <f t="shared" ca="1" si="32"/>
        <v>0</v>
      </c>
      <c r="D322" s="77">
        <f t="shared" ca="1" si="28"/>
        <v>100</v>
      </c>
      <c r="E322" s="77">
        <f ca="1">AG321+IF(controls!$B$33=1,G322,F322)</f>
        <v>100</v>
      </c>
      <c r="F322" s="94">
        <f ca="1">IF(controls!$B$44=0,H322-'main page'!$K$27*M321,H322-'main page'!$K$27*M321+'main page'!$K$31*AB321)</f>
        <v>100</v>
      </c>
      <c r="G322" s="75">
        <f ca="1">IF(controls!$B$44=0,I322-'main page'!$K$27*M321,I322-'main page'!$K$27*M321+'main page'!$K$31*'normal case'!AB321)</f>
        <v>100</v>
      </c>
      <c r="H322" s="75">
        <f t="shared" ca="1" si="33"/>
        <v>108</v>
      </c>
      <c r="I322" s="75">
        <f t="shared" ca="1" si="34"/>
        <v>108</v>
      </c>
      <c r="L322" s="75">
        <f ca="1">IF(ABS('main page'!$K$29*L321+(1-'main page'!$K$29)*(controls!$B$9/100)*100+'main page'!$K$25*(D322-B322)-L321)&lt;0.0000001,L321,'main page'!$K$29*L321+(1-'main page'!$K$29)*(controls!$B$9/100)*100+'main page'!$K$25*(D322-B322))</f>
        <v>2</v>
      </c>
      <c r="M322" s="96">
        <f ca="1">IF(controls!$B$10=1,M321,IF(SUM(controls!$B$44:$B$46)=2,N322-'main page'!$K$29*'normal case'!L322-(1-'main page'!$K$29)*'main page'!$K$32,N322-'main page'!$K$29*'normal case'!L322-(1-'main page'!$K$29)*controls!$B$9))</f>
        <v>4</v>
      </c>
      <c r="N322" s="208">
        <f ca="1">IF(controls!$B$45=1,IF(controls!$B$46=1,'main page'!$K$24+'main page'!$K$11+'main page'!$U$8,'main page'!$K$24+'main page'!$K$11+'main page'!$K$32),IF(controls!$B$44=1,IF(O322&lt;0,0,O322),IF(O322+'main page'!$K$11&lt;0,0,O322+'main page'!$K$11)))</f>
        <v>6</v>
      </c>
      <c r="O322" s="76">
        <f ca="1">IF(controls!$B$10=1,'normal case'!M322+'normal case'!L322,'normal case'!P322)</f>
        <v>6</v>
      </c>
      <c r="P322" s="74">
        <f t="shared" ca="1" si="29"/>
        <v>6</v>
      </c>
      <c r="Q322" s="210">
        <f ca="1">IF(controls!$B$44=0,R322+'main page'!$K$29*L322+(1-'main page'!$K$29)*controls!$B$9+(('main page'!$K$25*'main page'!$U$13*'main page'!$K$29)/('main page'!$K$27*(1+('main page'!$K$25^2)*'main page'!$U$13)))*(L322-controls!$B$9),R322+'main page'!$K$29*L322+(1-'main page'!$K$29)*controls!$B$9+(('main page'!$K$25*'main page'!$U$13*'normal case'!$AO$3)/'normal case'!$AO$4)*('normal case'!L322-controls!$B$9))</f>
        <v>6</v>
      </c>
      <c r="R322" s="98">
        <f ca="1">IF(controls!$B$44=1,'main page'!$K$24+'main page'!$K$11,IF(controls!$B$33=1,((I323-D322*W323-B323+B322*V323)/'main page'!$K$27)-'main page'!$K$11,((H323-D322*W323-B323+B322*V323)/'main page'!$K$27)-'main page'!$K$11))</f>
        <v>4</v>
      </c>
      <c r="T322" s="71">
        <f>IF(controls!$B$6=1,$AL$3*(1+('main page'!$K$35/100))^U322-$AL$3*(1+('main page'!$K$35/100))^U321,$AL$3*(1+('main page'!$G$8/100))*(1+('main page'!$K$35/100))^U322-$AL$3*(1+('main page'!$G$8/100))*(1+('main page'!$K$35/100))^U321)</f>
        <v>0</v>
      </c>
      <c r="U322" s="73">
        <v>315</v>
      </c>
      <c r="V322" s="161">
        <v>0</v>
      </c>
      <c r="W322" s="40">
        <v>0</v>
      </c>
      <c r="X322" s="49">
        <f ca="1">IF(controls!$B$33=1,D322-($I$3-'main page'!$K$27*2)*(1+('main page'!$K$35/100))^A321,D322-$AL$4)</f>
        <v>0</v>
      </c>
      <c r="Y322" s="49">
        <f ca="1">ABS(L322-(controls!$B$9/100)*100)</f>
        <v>0</v>
      </c>
      <c r="AA322" s="49" t="e">
        <f ca="1">IF(controls!$B$33=1,(B323-B322*V323-I323+D322*W323+'main page'!$K$27*('main page'!$K$24+'main page'!$K$11))/'main page'!$K$31,(B323-B322*V323+D322*W323-H323+'main page'!$K$27*('main page'!$K$24+'main page'!$K$11))/'main page'!$K$31)</f>
        <v>#DIV/0!</v>
      </c>
      <c r="AB322" s="49" t="e">
        <f ca="1">IF(controls!$B$45=1,LOG(AF322,1.01)+LOG(AE322,1.01)-LOG(AD322,1.01),-((M322-('main page'!$K$24+'main page'!$K$11))/(1-'normal case'!$AO$3))+'normal case'!AA322)</f>
        <v>#DIV/0!</v>
      </c>
      <c r="AC322" s="176" t="e">
        <f t="shared" ca="1" si="30"/>
        <v>#DIV/0!</v>
      </c>
      <c r="AD322" s="49">
        <f t="shared" ca="1" si="31"/>
        <v>553.92987952465649</v>
      </c>
      <c r="AE322" s="49">
        <f>AE321*(1+'main page'!$K$32/100)</f>
        <v>1</v>
      </c>
      <c r="AF322" s="49" t="e">
        <f ca="1">IF(ABS(IF(controls!$B$45=1,$AL$13,AD322*AC322/AE322)-AF321)&lt;0.00001,AF321,IF(controls!$B$45=1,$AL$13,AD322*AC322/AE322))</f>
        <v>#DIV/0!</v>
      </c>
      <c r="AG322" s="49">
        <f>IF(controls!$B$46=0,0,IF(controls!$B$33=2,B323-B322*V323-('normal case'!H323-D322*W323-'main page'!$K$27*'normal case'!M322+'main page'!$K$31*'normal case'!AB322)-(('main page'!$K$25*'main page'!$U$13*'main page'!$K$29)/(1+('main page'!$K$25^2)*'main page'!$U$13))*('normal case'!L322-'main page'!$U$8),B323-B322*V323-('normal case'!I323-D322*W323-'main page'!$K$27*'normal case'!M322+'main page'!$K$31*'normal case'!AB322)-(('main page'!$K$25*'main page'!$U$13*'main page'!$K$29)/(1+('main page'!$K$25^2)*'main page'!$U$13))*('normal case'!L322-'main page'!$U$8)))</f>
        <v>0</v>
      </c>
      <c r="AN322" s="40"/>
      <c r="AO322" s="40"/>
    </row>
    <row r="323" spans="1:41">
      <c r="A323" s="48">
        <v>321</v>
      </c>
      <c r="B323" s="75">
        <f ca="1">IF(controls!$B$33=1,B322*(1+V323)+T323,B322*(1+V323))</f>
        <v>100</v>
      </c>
      <c r="C323" s="80">
        <f t="shared" ca="1" si="32"/>
        <v>0</v>
      </c>
      <c r="D323" s="77">
        <f t="shared" ca="1" si="28"/>
        <v>100</v>
      </c>
      <c r="E323" s="77">
        <f ca="1">AG322+IF(controls!$B$33=1,G323,F323)</f>
        <v>100</v>
      </c>
      <c r="F323" s="94">
        <f ca="1">IF(controls!$B$44=0,H323-'main page'!$K$27*M322,H323-'main page'!$K$27*M322+'main page'!$K$31*AB322)</f>
        <v>100</v>
      </c>
      <c r="G323" s="75">
        <f ca="1">IF(controls!$B$44=0,I323-'main page'!$K$27*M322,I323-'main page'!$K$27*M322+'main page'!$K$31*'normal case'!AB322)</f>
        <v>100</v>
      </c>
      <c r="H323" s="75">
        <f t="shared" ca="1" si="33"/>
        <v>108</v>
      </c>
      <c r="I323" s="75">
        <f t="shared" ca="1" si="34"/>
        <v>108</v>
      </c>
      <c r="L323" s="75">
        <f ca="1">IF(ABS('main page'!$K$29*L322+(1-'main page'!$K$29)*(controls!$B$9/100)*100+'main page'!$K$25*(D323-B323)-L322)&lt;0.0000001,L322,'main page'!$K$29*L322+(1-'main page'!$K$29)*(controls!$B$9/100)*100+'main page'!$K$25*(D323-B323))</f>
        <v>2</v>
      </c>
      <c r="M323" s="96">
        <f ca="1">IF(controls!$B$10=1,M322,IF(SUM(controls!$B$44:$B$46)=2,N323-'main page'!$K$29*'normal case'!L323-(1-'main page'!$K$29)*'main page'!$K$32,N323-'main page'!$K$29*'normal case'!L323-(1-'main page'!$K$29)*controls!$B$9))</f>
        <v>4</v>
      </c>
      <c r="N323" s="208">
        <f ca="1">IF(controls!$B$45=1,IF(controls!$B$46=1,'main page'!$K$24+'main page'!$K$11+'main page'!$U$8,'main page'!$K$24+'main page'!$K$11+'main page'!$K$32),IF(controls!$B$44=1,IF(O323&lt;0,0,O323),IF(O323+'main page'!$K$11&lt;0,0,O323+'main page'!$K$11)))</f>
        <v>6</v>
      </c>
      <c r="O323" s="76">
        <f ca="1">IF(controls!$B$10=1,'normal case'!M323+'normal case'!L323,'normal case'!P323)</f>
        <v>6</v>
      </c>
      <c r="P323" s="74">
        <f t="shared" ca="1" si="29"/>
        <v>6</v>
      </c>
      <c r="Q323" s="210">
        <f ca="1">IF(controls!$B$44=0,R323+'main page'!$K$29*L323+(1-'main page'!$K$29)*controls!$B$9+(('main page'!$K$25*'main page'!$U$13*'main page'!$K$29)/('main page'!$K$27*(1+('main page'!$K$25^2)*'main page'!$U$13)))*(L323-controls!$B$9),R323+'main page'!$K$29*L323+(1-'main page'!$K$29)*controls!$B$9+(('main page'!$K$25*'main page'!$U$13*'normal case'!$AO$3)/'normal case'!$AO$4)*('normal case'!L323-controls!$B$9))</f>
        <v>6</v>
      </c>
      <c r="R323" s="98">
        <f ca="1">IF(controls!$B$44=1,'main page'!$K$24+'main page'!$K$11,IF(controls!$B$33=1,((I324-D323*W324-B324+B323*V324)/'main page'!$K$27)-'main page'!$K$11,((H324-D323*W324-B324+B323*V324)/'main page'!$K$27)-'main page'!$K$11))</f>
        <v>4</v>
      </c>
      <c r="T323" s="71">
        <f>IF(controls!$B$6=1,$AL$3*(1+('main page'!$K$35/100))^U323-$AL$3*(1+('main page'!$K$35/100))^U322,$AL$3*(1+('main page'!$G$8/100))*(1+('main page'!$K$35/100))^U323-$AL$3*(1+('main page'!$G$8/100))*(1+('main page'!$K$35/100))^U322)</f>
        <v>0</v>
      </c>
      <c r="U323" s="73">
        <v>316</v>
      </c>
      <c r="V323" s="161">
        <f ca="1">IF(controls!$B$4=1,IF(controls!$H322=1,controls!$B$34*V322+RAND()*('main page'!$K$16/100)-RAND()*('main page'!$K$16/100),0),0)</f>
        <v>0</v>
      </c>
      <c r="W323" s="40">
        <f ca="1">IF(controls!$B$4=1,IF(controls!$I322=1,controls!$B$34*W322+RAND()*('main page'!$K$16/100)-RAND()*('main page'!$K$16/100),0),0)</f>
        <v>0</v>
      </c>
      <c r="X323" s="49">
        <f ca="1">IF(controls!$B$33=1,D323-($I$3-'main page'!$K$27*2)*(1+('main page'!$K$35/100))^A322,D323-$AL$4)</f>
        <v>0</v>
      </c>
      <c r="Y323" s="49">
        <f ca="1">ABS(L323-(controls!$B$9/100)*100)</f>
        <v>0</v>
      </c>
      <c r="AA323" s="49" t="e">
        <f ca="1">IF(controls!$B$33=1,(B324-B323*V324-I324+D323*W324+'main page'!$K$27*('main page'!$K$24+'main page'!$K$11))/'main page'!$K$31,(B324-B323*V324+D323*W324-H324+'main page'!$K$27*('main page'!$K$24+'main page'!$K$11))/'main page'!$K$31)</f>
        <v>#DIV/0!</v>
      </c>
      <c r="AB323" s="49" t="e">
        <f ca="1">IF(controls!$B$45=1,LOG(AF323,1.01)+LOG(AE323,1.01)-LOG(AD323,1.01),-((M323-('main page'!$K$24+'main page'!$K$11))/(1-'normal case'!$AO$3))+'normal case'!AA323)</f>
        <v>#DIV/0!</v>
      </c>
      <c r="AC323" s="176" t="e">
        <f t="shared" ca="1" si="30"/>
        <v>#DIV/0!</v>
      </c>
      <c r="AD323" s="49">
        <f t="shared" ca="1" si="31"/>
        <v>565.00847711514962</v>
      </c>
      <c r="AE323" s="49">
        <f>AE322*(1+'main page'!$K$32/100)</f>
        <v>1</v>
      </c>
      <c r="AF323" s="49" t="e">
        <f ca="1">IF(ABS(IF(controls!$B$45=1,$AL$13,AD323*AC323/AE323)-AF322)&lt;0.00001,AF322,IF(controls!$B$45=1,$AL$13,AD323*AC323/AE323))</f>
        <v>#DIV/0!</v>
      </c>
      <c r="AG323" s="49">
        <f>IF(controls!$B$46=0,0,IF(controls!$B$33=2,B324-B323*V324-('normal case'!H324-D323*W324-'main page'!$K$27*'normal case'!M323+'main page'!$K$31*'normal case'!AB323)-(('main page'!$K$25*'main page'!$U$13*'main page'!$K$29)/(1+('main page'!$K$25^2)*'main page'!$U$13))*('normal case'!L323-'main page'!$U$8),B324-B323*V324-('normal case'!I324-D323*W324-'main page'!$K$27*'normal case'!M323+'main page'!$K$31*'normal case'!AB323)-(('main page'!$K$25*'main page'!$U$13*'main page'!$K$29)/(1+('main page'!$K$25^2)*'main page'!$U$13))*('normal case'!L323-'main page'!$U$8)))</f>
        <v>0</v>
      </c>
      <c r="AN323" s="40"/>
      <c r="AO323" s="40"/>
    </row>
    <row r="324" spans="1:41">
      <c r="A324" s="48">
        <v>322</v>
      </c>
      <c r="B324" s="75">
        <f ca="1">IF(controls!$B$33=1,B323*(1+V324)+T324,B323*(1+V324))</f>
        <v>100</v>
      </c>
      <c r="C324" s="80">
        <f t="shared" ca="1" si="32"/>
        <v>0</v>
      </c>
      <c r="D324" s="77">
        <f t="shared" ref="D324:D387" ca="1" si="35">IF(E324&gt;0,E324,0.1)</f>
        <v>100</v>
      </c>
      <c r="E324" s="77">
        <f ca="1">AG323+IF(controls!$B$33=1,G324,F324)</f>
        <v>100</v>
      </c>
      <c r="F324" s="94">
        <f ca="1">IF(controls!$B$44=0,H324-'main page'!$K$27*M323,H324-'main page'!$K$27*M323+'main page'!$K$31*AB323)</f>
        <v>100</v>
      </c>
      <c r="G324" s="75">
        <f ca="1">IF(controls!$B$44=0,I324-'main page'!$K$27*M323,I324-'main page'!$K$27*M323+'main page'!$K$31*'normal case'!AB323)</f>
        <v>100</v>
      </c>
      <c r="H324" s="75">
        <f t="shared" ca="1" si="33"/>
        <v>108</v>
      </c>
      <c r="I324" s="75">
        <f t="shared" ca="1" si="34"/>
        <v>108</v>
      </c>
      <c r="L324" s="75">
        <f ca="1">IF(ABS('main page'!$K$29*L323+(1-'main page'!$K$29)*(controls!$B$9/100)*100+'main page'!$K$25*(D324-B324)-L323)&lt;0.0000001,L323,'main page'!$K$29*L323+(1-'main page'!$K$29)*(controls!$B$9/100)*100+'main page'!$K$25*(D324-B324))</f>
        <v>2</v>
      </c>
      <c r="M324" s="96">
        <f ca="1">IF(controls!$B$10=1,M323,IF(SUM(controls!$B$44:$B$46)=2,N324-'main page'!$K$29*'normal case'!L324-(1-'main page'!$K$29)*'main page'!$K$32,N324-'main page'!$K$29*'normal case'!L324-(1-'main page'!$K$29)*controls!$B$9))</f>
        <v>4</v>
      </c>
      <c r="N324" s="208">
        <f ca="1">IF(controls!$B$45=1,IF(controls!$B$46=1,'main page'!$K$24+'main page'!$K$11+'main page'!$U$8,'main page'!$K$24+'main page'!$K$11+'main page'!$K$32),IF(controls!$B$44=1,IF(O324&lt;0,0,O324),IF(O324+'main page'!$K$11&lt;0,0,O324+'main page'!$K$11)))</f>
        <v>6</v>
      </c>
      <c r="O324" s="76">
        <f ca="1">IF(controls!$B$10=1,'normal case'!M324+'normal case'!L324,'normal case'!P324)</f>
        <v>6</v>
      </c>
      <c r="P324" s="74">
        <f t="shared" ref="P324:P387" ca="1" si="36">IF(Q324&lt;0,0,Q324)</f>
        <v>6</v>
      </c>
      <c r="Q324" s="210">
        <f ca="1">IF(controls!$B$44=0,R324+'main page'!$K$29*L324+(1-'main page'!$K$29)*controls!$B$9+(('main page'!$K$25*'main page'!$U$13*'main page'!$K$29)/('main page'!$K$27*(1+('main page'!$K$25^2)*'main page'!$U$13)))*(L324-controls!$B$9),R324+'main page'!$K$29*L324+(1-'main page'!$K$29)*controls!$B$9+(('main page'!$K$25*'main page'!$U$13*'normal case'!$AO$3)/'normal case'!$AO$4)*('normal case'!L324-controls!$B$9))</f>
        <v>6</v>
      </c>
      <c r="R324" s="98">
        <f ca="1">IF(controls!$B$44=1,'main page'!$K$24+'main page'!$K$11,IF(controls!$B$33=1,((I325-D324*W325-B325+B324*V325)/'main page'!$K$27)-'main page'!$K$11,((H325-D324*W325-B325+B324*V325)/'main page'!$K$27)-'main page'!$K$11))</f>
        <v>4</v>
      </c>
      <c r="T324" s="71">
        <f>IF(controls!$B$6=1,$AL$3*(1+('main page'!$K$35/100))^U324-$AL$3*(1+('main page'!$K$35/100))^U323,$AL$3*(1+('main page'!$G$8/100))*(1+('main page'!$K$35/100))^U324-$AL$3*(1+('main page'!$G$8/100))*(1+('main page'!$K$35/100))^U323)</f>
        <v>0</v>
      </c>
      <c r="U324" s="73">
        <v>317</v>
      </c>
      <c r="V324" s="161">
        <v>0</v>
      </c>
      <c r="W324" s="40">
        <v>0</v>
      </c>
      <c r="X324" s="49">
        <f ca="1">IF(controls!$B$33=1,D324-($I$3-'main page'!$K$27*2)*(1+('main page'!$K$35/100))^A323,D324-$AL$4)</f>
        <v>0</v>
      </c>
      <c r="Y324" s="49">
        <f ca="1">ABS(L324-(controls!$B$9/100)*100)</f>
        <v>0</v>
      </c>
      <c r="AA324" s="49" t="e">
        <f ca="1">IF(controls!$B$33=1,(B325-B324*V325-I325+D324*W325+'main page'!$K$27*('main page'!$K$24+'main page'!$K$11))/'main page'!$K$31,(B325-B324*V325+D324*W325-H325+'main page'!$K$27*('main page'!$K$24+'main page'!$K$11))/'main page'!$K$31)</f>
        <v>#DIV/0!</v>
      </c>
      <c r="AB324" s="49" t="e">
        <f ca="1">IF(controls!$B$45=1,LOG(AF324,1.01)+LOG(AE324,1.01)-LOG(AD324,1.01),-((M324-('main page'!$K$24+'main page'!$K$11))/(1-'normal case'!$AO$3))+'normal case'!AA324)</f>
        <v>#DIV/0!</v>
      </c>
      <c r="AC324" s="176" t="e">
        <f t="shared" ref="AC324:AC387" ca="1" si="37">IF(ABS(1.025^AB324-1)&lt;0.000000000001,1,1.025^AB324)</f>
        <v>#DIV/0!</v>
      </c>
      <c r="AD324" s="49">
        <f t="shared" ref="AD324:AD387" ca="1" si="38">AD323*(1+L324/100)</f>
        <v>576.30864665745264</v>
      </c>
      <c r="AE324" s="49">
        <f>AE323*(1+'main page'!$K$32/100)</f>
        <v>1</v>
      </c>
      <c r="AF324" s="49" t="e">
        <f ca="1">IF(ABS(IF(controls!$B$45=1,$AL$13,AD324*AC324/AE324)-AF323)&lt;0.00001,AF323,IF(controls!$B$45=1,$AL$13,AD324*AC324/AE324))</f>
        <v>#DIV/0!</v>
      </c>
      <c r="AG324" s="49">
        <f>IF(controls!$B$46=0,0,IF(controls!$B$33=2,B325-B324*V325-('normal case'!H325-D324*W325-'main page'!$K$27*'normal case'!M324+'main page'!$K$31*'normal case'!AB324)-(('main page'!$K$25*'main page'!$U$13*'main page'!$K$29)/(1+('main page'!$K$25^2)*'main page'!$U$13))*('normal case'!L324-'main page'!$U$8),B325-B324*V325-('normal case'!I325-D324*W325-'main page'!$K$27*'normal case'!M324+'main page'!$K$31*'normal case'!AB324)-(('main page'!$K$25*'main page'!$U$13*'main page'!$K$29)/(1+('main page'!$K$25^2)*'main page'!$U$13))*('normal case'!L324-'main page'!$U$8)))</f>
        <v>0</v>
      </c>
      <c r="AN324" s="40"/>
      <c r="AO324" s="40"/>
    </row>
    <row r="325" spans="1:41">
      <c r="A325" s="48">
        <v>323</v>
      </c>
      <c r="B325" s="75">
        <f ca="1">IF(controls!$B$33=1,B324*(1+V325)+T325,B324*(1+V325))</f>
        <v>100</v>
      </c>
      <c r="C325" s="80">
        <f t="shared" ca="1" si="32"/>
        <v>0</v>
      </c>
      <c r="D325" s="77">
        <f t="shared" ca="1" si="35"/>
        <v>100</v>
      </c>
      <c r="E325" s="77">
        <f ca="1">AG324+IF(controls!$B$33=1,G325,F325)</f>
        <v>100</v>
      </c>
      <c r="F325" s="94">
        <f ca="1">IF(controls!$B$44=0,H325-'main page'!$K$27*M324,H325-'main page'!$K$27*M324+'main page'!$K$31*AB324)</f>
        <v>100</v>
      </c>
      <c r="G325" s="75">
        <f ca="1">IF(controls!$B$44=0,I325-'main page'!$K$27*M324,I325-'main page'!$K$27*M324+'main page'!$K$31*'normal case'!AB324)</f>
        <v>100</v>
      </c>
      <c r="H325" s="75">
        <f t="shared" ca="1" si="33"/>
        <v>108</v>
      </c>
      <c r="I325" s="75">
        <f t="shared" ca="1" si="34"/>
        <v>108</v>
      </c>
      <c r="L325" s="75">
        <f ca="1">IF(ABS('main page'!$K$29*L324+(1-'main page'!$K$29)*(controls!$B$9/100)*100+'main page'!$K$25*(D325-B325)-L324)&lt;0.0000001,L324,'main page'!$K$29*L324+(1-'main page'!$K$29)*(controls!$B$9/100)*100+'main page'!$K$25*(D325-B325))</f>
        <v>2</v>
      </c>
      <c r="M325" s="96">
        <f ca="1">IF(controls!$B$10=1,M324,IF(SUM(controls!$B$44:$B$46)=2,N325-'main page'!$K$29*'normal case'!L325-(1-'main page'!$K$29)*'main page'!$K$32,N325-'main page'!$K$29*'normal case'!L325-(1-'main page'!$K$29)*controls!$B$9))</f>
        <v>4</v>
      </c>
      <c r="N325" s="208">
        <f ca="1">IF(controls!$B$45=1,IF(controls!$B$46=1,'main page'!$K$24+'main page'!$K$11+'main page'!$U$8,'main page'!$K$24+'main page'!$K$11+'main page'!$K$32),IF(controls!$B$44=1,IF(O325&lt;0,0,O325),IF(O325+'main page'!$K$11&lt;0,0,O325+'main page'!$K$11)))</f>
        <v>6</v>
      </c>
      <c r="O325" s="76">
        <f ca="1">IF(controls!$B$10=1,'normal case'!M325+'normal case'!L325,'normal case'!P325)</f>
        <v>6</v>
      </c>
      <c r="P325" s="74">
        <f t="shared" ca="1" si="36"/>
        <v>6</v>
      </c>
      <c r="Q325" s="210">
        <f ca="1">IF(controls!$B$44=0,R325+'main page'!$K$29*L325+(1-'main page'!$K$29)*controls!$B$9+(('main page'!$K$25*'main page'!$U$13*'main page'!$K$29)/('main page'!$K$27*(1+('main page'!$K$25^2)*'main page'!$U$13)))*(L325-controls!$B$9),R325+'main page'!$K$29*L325+(1-'main page'!$K$29)*controls!$B$9+(('main page'!$K$25*'main page'!$U$13*'normal case'!$AO$3)/'normal case'!$AO$4)*('normal case'!L325-controls!$B$9))</f>
        <v>6</v>
      </c>
      <c r="R325" s="98">
        <f ca="1">IF(controls!$B$44=1,'main page'!$K$24+'main page'!$K$11,IF(controls!$B$33=1,((I326-D325*W326-B326+B325*V326)/'main page'!$K$27)-'main page'!$K$11,((H326-D325*W326-B326+B325*V326)/'main page'!$K$27)-'main page'!$K$11))</f>
        <v>4</v>
      </c>
      <c r="T325" s="71">
        <f>IF(controls!$B$6=1,$AL$3*(1+('main page'!$K$35/100))^U325-$AL$3*(1+('main page'!$K$35/100))^U324,$AL$3*(1+('main page'!$G$8/100))*(1+('main page'!$K$35/100))^U325-$AL$3*(1+('main page'!$G$8/100))*(1+('main page'!$K$35/100))^U324)</f>
        <v>0</v>
      </c>
      <c r="U325" s="73">
        <v>318</v>
      </c>
      <c r="V325" s="161">
        <v>0</v>
      </c>
      <c r="W325" s="40">
        <v>0</v>
      </c>
      <c r="X325" s="49">
        <f ca="1">IF(controls!$B$33=1,D325-($I$3-'main page'!$K$27*2)*(1+('main page'!$K$35/100))^A324,D325-$AL$4)</f>
        <v>0</v>
      </c>
      <c r="Y325" s="49">
        <f ca="1">ABS(L325-(controls!$B$9/100)*100)</f>
        <v>0</v>
      </c>
      <c r="AA325" s="49" t="e">
        <f ca="1">IF(controls!$B$33=1,(B326-B325*V326-I326+D325*W326+'main page'!$K$27*('main page'!$K$24+'main page'!$K$11))/'main page'!$K$31,(B326-B325*V326+D325*W326-H326+'main page'!$K$27*('main page'!$K$24+'main page'!$K$11))/'main page'!$K$31)</f>
        <v>#DIV/0!</v>
      </c>
      <c r="AB325" s="49" t="e">
        <f ca="1">IF(controls!$B$45=1,LOG(AF325,1.01)+LOG(AE325,1.01)-LOG(AD325,1.01),-((M325-('main page'!$K$24+'main page'!$K$11))/(1-'normal case'!$AO$3))+'normal case'!AA325)</f>
        <v>#DIV/0!</v>
      </c>
      <c r="AC325" s="176" t="e">
        <f t="shared" ca="1" si="37"/>
        <v>#DIV/0!</v>
      </c>
      <c r="AD325" s="49">
        <f t="shared" ca="1" si="38"/>
        <v>587.83481959060168</v>
      </c>
      <c r="AE325" s="49">
        <f>AE324*(1+'main page'!$K$32/100)</f>
        <v>1</v>
      </c>
      <c r="AF325" s="49" t="e">
        <f ca="1">IF(ABS(IF(controls!$B$45=1,$AL$13,AD325*AC325/AE325)-AF324)&lt;0.00001,AF324,IF(controls!$B$45=1,$AL$13,AD325*AC325/AE325))</f>
        <v>#DIV/0!</v>
      </c>
      <c r="AG325" s="49">
        <f>IF(controls!$B$46=0,0,IF(controls!$B$33=2,B326-B325*V326-('normal case'!H326-D325*W326-'main page'!$K$27*'normal case'!M325+'main page'!$K$31*'normal case'!AB325)-(('main page'!$K$25*'main page'!$U$13*'main page'!$K$29)/(1+('main page'!$K$25^2)*'main page'!$U$13))*('normal case'!L325-'main page'!$U$8),B326-B325*V326-('normal case'!I326-D325*W326-'main page'!$K$27*'normal case'!M325+'main page'!$K$31*'normal case'!AB325)-(('main page'!$K$25*'main page'!$U$13*'main page'!$K$29)/(1+('main page'!$K$25^2)*'main page'!$U$13))*('normal case'!L325-'main page'!$U$8)))</f>
        <v>0</v>
      </c>
      <c r="AN325" s="40"/>
      <c r="AO325" s="40"/>
    </row>
    <row r="326" spans="1:41">
      <c r="A326" s="48">
        <v>324</v>
      </c>
      <c r="B326" s="75">
        <f ca="1">IF(controls!$B$33=1,B325*(1+V326)+T326,B325*(1+V326))</f>
        <v>100</v>
      </c>
      <c r="C326" s="80">
        <f t="shared" ref="C326:C389" ca="1" si="39">IF(ABS((D326/D325-1)-C325)&lt;0.000001,C325,D326/D325-1)</f>
        <v>0</v>
      </c>
      <c r="D326" s="77">
        <f t="shared" ca="1" si="35"/>
        <v>100</v>
      </c>
      <c r="E326" s="77">
        <f ca="1">AG325+IF(controls!$B$33=1,G326,F326)</f>
        <v>100</v>
      </c>
      <c r="F326" s="94">
        <f ca="1">IF(controls!$B$44=0,H326-'main page'!$K$27*M325,H326-'main page'!$K$27*M325+'main page'!$K$31*AB325)</f>
        <v>100</v>
      </c>
      <c r="G326" s="75">
        <f ca="1">IF(controls!$B$44=0,I326-'main page'!$K$27*M325,I326-'main page'!$K$27*M325+'main page'!$K$31*'normal case'!AB325)</f>
        <v>100</v>
      </c>
      <c r="H326" s="75">
        <f t="shared" ca="1" si="33"/>
        <v>108</v>
      </c>
      <c r="I326" s="75">
        <f t="shared" ca="1" si="34"/>
        <v>108</v>
      </c>
      <c r="L326" s="75">
        <f ca="1">IF(ABS('main page'!$K$29*L325+(1-'main page'!$K$29)*(controls!$B$9/100)*100+'main page'!$K$25*(D326-B326)-L325)&lt;0.0000001,L325,'main page'!$K$29*L325+(1-'main page'!$K$29)*(controls!$B$9/100)*100+'main page'!$K$25*(D326-B326))</f>
        <v>2</v>
      </c>
      <c r="M326" s="96">
        <f ca="1">IF(controls!$B$10=1,M325,IF(SUM(controls!$B$44:$B$46)=2,N326-'main page'!$K$29*'normal case'!L326-(1-'main page'!$K$29)*'main page'!$K$32,N326-'main page'!$K$29*'normal case'!L326-(1-'main page'!$K$29)*controls!$B$9))</f>
        <v>4</v>
      </c>
      <c r="N326" s="208">
        <f ca="1">IF(controls!$B$45=1,IF(controls!$B$46=1,'main page'!$K$24+'main page'!$K$11+'main page'!$U$8,'main page'!$K$24+'main page'!$K$11+'main page'!$K$32),IF(controls!$B$44=1,IF(O326&lt;0,0,O326),IF(O326+'main page'!$K$11&lt;0,0,O326+'main page'!$K$11)))</f>
        <v>6</v>
      </c>
      <c r="O326" s="76">
        <f ca="1">IF(controls!$B$10=1,'normal case'!M326+'normal case'!L326,'normal case'!P326)</f>
        <v>6</v>
      </c>
      <c r="P326" s="74">
        <f t="shared" ca="1" si="36"/>
        <v>6</v>
      </c>
      <c r="Q326" s="210">
        <f ca="1">IF(controls!$B$44=0,R326+'main page'!$K$29*L326+(1-'main page'!$K$29)*controls!$B$9+(('main page'!$K$25*'main page'!$U$13*'main page'!$K$29)/('main page'!$K$27*(1+('main page'!$K$25^2)*'main page'!$U$13)))*(L326-controls!$B$9),R326+'main page'!$K$29*L326+(1-'main page'!$K$29)*controls!$B$9+(('main page'!$K$25*'main page'!$U$13*'normal case'!$AO$3)/'normal case'!$AO$4)*('normal case'!L326-controls!$B$9))</f>
        <v>6</v>
      </c>
      <c r="R326" s="98">
        <f ca="1">IF(controls!$B$44=1,'main page'!$K$24+'main page'!$K$11,IF(controls!$B$33=1,((I327-D326*W327-B327+B326*V327)/'main page'!$K$27)-'main page'!$K$11,((H327-D326*W327-B327+B326*V327)/'main page'!$K$27)-'main page'!$K$11))</f>
        <v>4</v>
      </c>
      <c r="T326" s="71">
        <f>IF(controls!$B$6=1,$AL$3*(1+('main page'!$K$35/100))^U326-$AL$3*(1+('main page'!$K$35/100))^U325,$AL$3*(1+('main page'!$G$8/100))*(1+('main page'!$K$35/100))^U326-$AL$3*(1+('main page'!$G$8/100))*(1+('main page'!$K$35/100))^U325)</f>
        <v>0</v>
      </c>
      <c r="U326" s="73">
        <v>319</v>
      </c>
      <c r="V326" s="161">
        <f ca="1">IF(controls!$B$4=1,IF(controls!$H325=1,controls!$B$34*V325+RAND()*('main page'!$K$16/100)-RAND()*('main page'!$K$16/100),0),0)</f>
        <v>0</v>
      </c>
      <c r="W326" s="40">
        <f ca="1">IF(controls!$B$4=1,IF(controls!$I325=1,controls!$B$34*W325+RAND()*('main page'!$K$16/100)-RAND()*('main page'!$K$16/100),0),0)</f>
        <v>0</v>
      </c>
      <c r="X326" s="49">
        <f ca="1">IF(controls!$B$33=1,D326-($I$3-'main page'!$K$27*2)*(1+('main page'!$K$35/100))^A325,D326-$AL$4)</f>
        <v>0</v>
      </c>
      <c r="Y326" s="49">
        <f ca="1">ABS(L326-(controls!$B$9/100)*100)</f>
        <v>0</v>
      </c>
      <c r="AA326" s="49" t="e">
        <f ca="1">IF(controls!$B$33=1,(B327-B326*V327-I327+D326*W327+'main page'!$K$27*('main page'!$K$24+'main page'!$K$11))/'main page'!$K$31,(B327-B326*V327+D326*W327-H327+'main page'!$K$27*('main page'!$K$24+'main page'!$K$11))/'main page'!$K$31)</f>
        <v>#DIV/0!</v>
      </c>
      <c r="AB326" s="49" t="e">
        <f ca="1">IF(controls!$B$45=1,LOG(AF326,1.01)+LOG(AE326,1.01)-LOG(AD326,1.01),-((M326-('main page'!$K$24+'main page'!$K$11))/(1-'normal case'!$AO$3))+'normal case'!AA326)</f>
        <v>#DIV/0!</v>
      </c>
      <c r="AC326" s="176" t="e">
        <f t="shared" ca="1" si="37"/>
        <v>#DIV/0!</v>
      </c>
      <c r="AD326" s="49">
        <f t="shared" ca="1" si="38"/>
        <v>599.59151598241374</v>
      </c>
      <c r="AE326" s="49">
        <f>AE325*(1+'main page'!$K$32/100)</f>
        <v>1</v>
      </c>
      <c r="AF326" s="49" t="e">
        <f ca="1">IF(ABS(IF(controls!$B$45=1,$AL$13,AD326*AC326/AE326)-AF325)&lt;0.00001,AF325,IF(controls!$B$45=1,$AL$13,AD326*AC326/AE326))</f>
        <v>#DIV/0!</v>
      </c>
      <c r="AG326" s="49">
        <f>IF(controls!$B$46=0,0,IF(controls!$B$33=2,B327-B326*V327-('normal case'!H327-D326*W327-'main page'!$K$27*'normal case'!M326+'main page'!$K$31*'normal case'!AB326)-(('main page'!$K$25*'main page'!$U$13*'main page'!$K$29)/(1+('main page'!$K$25^2)*'main page'!$U$13))*('normal case'!L326-'main page'!$U$8),B327-B326*V327-('normal case'!I327-D326*W327-'main page'!$K$27*'normal case'!M326+'main page'!$K$31*'normal case'!AB326)-(('main page'!$K$25*'main page'!$U$13*'main page'!$K$29)/(1+('main page'!$K$25^2)*'main page'!$U$13))*('normal case'!L326-'main page'!$U$8)))</f>
        <v>0</v>
      </c>
      <c r="AN326" s="40"/>
      <c r="AO326" s="40"/>
    </row>
    <row r="327" spans="1:41">
      <c r="A327" s="48">
        <v>325</v>
      </c>
      <c r="B327" s="75">
        <f ca="1">IF(controls!$B$33=1,B326*(1+V327)+T327,B326*(1+V327))</f>
        <v>100</v>
      </c>
      <c r="C327" s="80">
        <f t="shared" ca="1" si="39"/>
        <v>0</v>
      </c>
      <c r="D327" s="77">
        <f t="shared" ca="1" si="35"/>
        <v>100</v>
      </c>
      <c r="E327" s="77">
        <f ca="1">AG326+IF(controls!$B$33=1,G327,F327)</f>
        <v>100</v>
      </c>
      <c r="F327" s="94">
        <f ca="1">IF(controls!$B$44=0,H327-'main page'!$K$27*M326,H327-'main page'!$K$27*M326+'main page'!$K$31*AB326)</f>
        <v>100</v>
      </c>
      <c r="G327" s="75">
        <f ca="1">IF(controls!$B$44=0,I327-'main page'!$K$27*M326,I327-'main page'!$K$27*M326+'main page'!$K$31*'normal case'!AB326)</f>
        <v>100</v>
      </c>
      <c r="H327" s="75">
        <f t="shared" ca="1" si="33"/>
        <v>108</v>
      </c>
      <c r="I327" s="75">
        <f t="shared" ca="1" si="34"/>
        <v>108</v>
      </c>
      <c r="L327" s="75">
        <f ca="1">IF(ABS('main page'!$K$29*L326+(1-'main page'!$K$29)*(controls!$B$9/100)*100+'main page'!$K$25*(D327-B327)-L326)&lt;0.0000001,L326,'main page'!$K$29*L326+(1-'main page'!$K$29)*(controls!$B$9/100)*100+'main page'!$K$25*(D327-B327))</f>
        <v>2</v>
      </c>
      <c r="M327" s="96">
        <f ca="1">IF(controls!$B$10=1,M326,IF(SUM(controls!$B$44:$B$46)=2,N327-'main page'!$K$29*'normal case'!L327-(1-'main page'!$K$29)*'main page'!$K$32,N327-'main page'!$K$29*'normal case'!L327-(1-'main page'!$K$29)*controls!$B$9))</f>
        <v>4</v>
      </c>
      <c r="N327" s="208">
        <f ca="1">IF(controls!$B$45=1,IF(controls!$B$46=1,'main page'!$K$24+'main page'!$K$11+'main page'!$U$8,'main page'!$K$24+'main page'!$K$11+'main page'!$K$32),IF(controls!$B$44=1,IF(O327&lt;0,0,O327),IF(O327+'main page'!$K$11&lt;0,0,O327+'main page'!$K$11)))</f>
        <v>6</v>
      </c>
      <c r="O327" s="76">
        <f ca="1">IF(controls!$B$10=1,'normal case'!M327+'normal case'!L327,'normal case'!P327)</f>
        <v>6</v>
      </c>
      <c r="P327" s="74">
        <f t="shared" ca="1" si="36"/>
        <v>6</v>
      </c>
      <c r="Q327" s="210">
        <f ca="1">IF(controls!$B$44=0,R327+'main page'!$K$29*L327+(1-'main page'!$K$29)*controls!$B$9+(('main page'!$K$25*'main page'!$U$13*'main page'!$K$29)/('main page'!$K$27*(1+('main page'!$K$25^2)*'main page'!$U$13)))*(L327-controls!$B$9),R327+'main page'!$K$29*L327+(1-'main page'!$K$29)*controls!$B$9+(('main page'!$K$25*'main page'!$U$13*'normal case'!$AO$3)/'normal case'!$AO$4)*('normal case'!L327-controls!$B$9))</f>
        <v>6</v>
      </c>
      <c r="R327" s="98">
        <f ca="1">IF(controls!$B$44=1,'main page'!$K$24+'main page'!$K$11,IF(controls!$B$33=1,((I328-D327*W328-B328+B327*V328)/'main page'!$K$27)-'main page'!$K$11,((H328-D327*W328-B328+B327*V328)/'main page'!$K$27)-'main page'!$K$11))</f>
        <v>4</v>
      </c>
      <c r="T327" s="71">
        <f>IF(controls!$B$6=1,$AL$3*(1+('main page'!$K$35/100))^U327-$AL$3*(1+('main page'!$K$35/100))^U326,$AL$3*(1+('main page'!$G$8/100))*(1+('main page'!$K$35/100))^U327-$AL$3*(1+('main page'!$G$8/100))*(1+('main page'!$K$35/100))^U326)</f>
        <v>0</v>
      </c>
      <c r="U327" s="73">
        <v>320</v>
      </c>
      <c r="V327" s="161">
        <v>0</v>
      </c>
      <c r="W327" s="40">
        <v>0</v>
      </c>
      <c r="X327" s="49">
        <f ca="1">IF(controls!$B$33=1,D327-($I$3-'main page'!$K$27*2)*(1+('main page'!$K$35/100))^A326,D327-$AL$4)</f>
        <v>0</v>
      </c>
      <c r="Y327" s="49">
        <f ca="1">ABS(L327-(controls!$B$9/100)*100)</f>
        <v>0</v>
      </c>
      <c r="AA327" s="49" t="e">
        <f ca="1">IF(controls!$B$33=1,(B328-B327*V328-I328+D327*W328+'main page'!$K$27*('main page'!$K$24+'main page'!$K$11))/'main page'!$K$31,(B328-B327*V328+D327*W328-H328+'main page'!$K$27*('main page'!$K$24+'main page'!$K$11))/'main page'!$K$31)</f>
        <v>#DIV/0!</v>
      </c>
      <c r="AB327" s="49" t="e">
        <f ca="1">IF(controls!$B$45=1,LOG(AF327,1.01)+LOG(AE327,1.01)-LOG(AD327,1.01),-((M327-('main page'!$K$24+'main page'!$K$11))/(1-'normal case'!$AO$3))+'normal case'!AA327)</f>
        <v>#DIV/0!</v>
      </c>
      <c r="AC327" s="176" t="e">
        <f t="shared" ca="1" si="37"/>
        <v>#DIV/0!</v>
      </c>
      <c r="AD327" s="49">
        <f t="shared" ca="1" si="38"/>
        <v>611.58334630206207</v>
      </c>
      <c r="AE327" s="49">
        <f>AE326*(1+'main page'!$K$32/100)</f>
        <v>1</v>
      </c>
      <c r="AF327" s="49" t="e">
        <f ca="1">IF(ABS(IF(controls!$B$45=1,$AL$13,AD327*AC327/AE327)-AF326)&lt;0.00001,AF326,IF(controls!$B$45=1,$AL$13,AD327*AC327/AE327))</f>
        <v>#DIV/0!</v>
      </c>
      <c r="AG327" s="49">
        <f>IF(controls!$B$46=0,0,IF(controls!$B$33=2,B328-B327*V328-('normal case'!H328-D327*W328-'main page'!$K$27*'normal case'!M327+'main page'!$K$31*'normal case'!AB327)-(('main page'!$K$25*'main page'!$U$13*'main page'!$K$29)/(1+('main page'!$K$25^2)*'main page'!$U$13))*('normal case'!L327-'main page'!$U$8),B328-B327*V328-('normal case'!I328-D327*W328-'main page'!$K$27*'normal case'!M327+'main page'!$K$31*'normal case'!AB327)-(('main page'!$K$25*'main page'!$U$13*'main page'!$K$29)/(1+('main page'!$K$25^2)*'main page'!$U$13))*('normal case'!L327-'main page'!$U$8)))</f>
        <v>0</v>
      </c>
      <c r="AN327" s="40"/>
      <c r="AO327" s="40"/>
    </row>
    <row r="328" spans="1:41">
      <c r="A328" s="48">
        <v>326</v>
      </c>
      <c r="B328" s="75">
        <f ca="1">IF(controls!$B$33=1,B327*(1+V328)+T328,B327*(1+V328))</f>
        <v>100</v>
      </c>
      <c r="C328" s="80">
        <f t="shared" ca="1" si="39"/>
        <v>0</v>
      </c>
      <c r="D328" s="77">
        <f t="shared" ca="1" si="35"/>
        <v>100</v>
      </c>
      <c r="E328" s="77">
        <f ca="1">AG327+IF(controls!$B$33=1,G328,F328)</f>
        <v>100</v>
      </c>
      <c r="F328" s="94">
        <f ca="1">IF(controls!$B$44=0,H328-'main page'!$K$27*M327,H328-'main page'!$K$27*M327+'main page'!$K$31*AB327)</f>
        <v>100</v>
      </c>
      <c r="G328" s="75">
        <f ca="1">IF(controls!$B$44=0,I328-'main page'!$K$27*M327,I328-'main page'!$K$27*M327+'main page'!$K$31*'normal case'!AB327)</f>
        <v>100</v>
      </c>
      <c r="H328" s="75">
        <f t="shared" ca="1" si="33"/>
        <v>108</v>
      </c>
      <c r="I328" s="75">
        <f t="shared" ca="1" si="34"/>
        <v>108</v>
      </c>
      <c r="L328" s="75">
        <f ca="1">IF(ABS('main page'!$K$29*L327+(1-'main page'!$K$29)*(controls!$B$9/100)*100+'main page'!$K$25*(D328-B328)-L327)&lt;0.0000001,L327,'main page'!$K$29*L327+(1-'main page'!$K$29)*(controls!$B$9/100)*100+'main page'!$K$25*(D328-B328))</f>
        <v>2</v>
      </c>
      <c r="M328" s="96">
        <f ca="1">IF(controls!$B$10=1,M327,IF(SUM(controls!$B$44:$B$46)=2,N328-'main page'!$K$29*'normal case'!L328-(1-'main page'!$K$29)*'main page'!$K$32,N328-'main page'!$K$29*'normal case'!L328-(1-'main page'!$K$29)*controls!$B$9))</f>
        <v>4</v>
      </c>
      <c r="N328" s="208">
        <f ca="1">IF(controls!$B$45=1,IF(controls!$B$46=1,'main page'!$K$24+'main page'!$K$11+'main page'!$U$8,'main page'!$K$24+'main page'!$K$11+'main page'!$K$32),IF(controls!$B$44=1,IF(O328&lt;0,0,O328),IF(O328+'main page'!$K$11&lt;0,0,O328+'main page'!$K$11)))</f>
        <v>6</v>
      </c>
      <c r="O328" s="76">
        <f ca="1">IF(controls!$B$10=1,'normal case'!M328+'normal case'!L328,'normal case'!P328)</f>
        <v>6</v>
      </c>
      <c r="P328" s="74">
        <f t="shared" ca="1" si="36"/>
        <v>6</v>
      </c>
      <c r="Q328" s="210">
        <f ca="1">IF(controls!$B$44=0,R328+'main page'!$K$29*L328+(1-'main page'!$K$29)*controls!$B$9+(('main page'!$K$25*'main page'!$U$13*'main page'!$K$29)/('main page'!$K$27*(1+('main page'!$K$25^2)*'main page'!$U$13)))*(L328-controls!$B$9),R328+'main page'!$K$29*L328+(1-'main page'!$K$29)*controls!$B$9+(('main page'!$K$25*'main page'!$U$13*'normal case'!$AO$3)/'normal case'!$AO$4)*('normal case'!L328-controls!$B$9))</f>
        <v>6</v>
      </c>
      <c r="R328" s="98">
        <f ca="1">IF(controls!$B$44=1,'main page'!$K$24+'main page'!$K$11,IF(controls!$B$33=1,((I329-D328*W329-B329+B328*V329)/'main page'!$K$27)-'main page'!$K$11,((H329-D328*W329-B329+B328*V329)/'main page'!$K$27)-'main page'!$K$11))</f>
        <v>4</v>
      </c>
      <c r="T328" s="71">
        <f>IF(controls!$B$6=1,$AL$3*(1+('main page'!$K$35/100))^U328-$AL$3*(1+('main page'!$K$35/100))^U327,$AL$3*(1+('main page'!$G$8/100))*(1+('main page'!$K$35/100))^U328-$AL$3*(1+('main page'!$G$8/100))*(1+('main page'!$K$35/100))^U327)</f>
        <v>0</v>
      </c>
      <c r="U328" s="73">
        <v>321</v>
      </c>
      <c r="V328" s="161">
        <v>0</v>
      </c>
      <c r="W328" s="40">
        <v>0</v>
      </c>
      <c r="X328" s="49">
        <f ca="1">IF(controls!$B$33=1,D328-($I$3-'main page'!$K$27*2)*(1+('main page'!$K$35/100))^A327,D328-$AL$4)</f>
        <v>0</v>
      </c>
      <c r="Y328" s="49">
        <f ca="1">ABS(L328-(controls!$B$9/100)*100)</f>
        <v>0</v>
      </c>
      <c r="AA328" s="49" t="e">
        <f ca="1">IF(controls!$B$33=1,(B329-B328*V329-I329+D328*W329+'main page'!$K$27*('main page'!$K$24+'main page'!$K$11))/'main page'!$K$31,(B329-B328*V329+D328*W329-H329+'main page'!$K$27*('main page'!$K$24+'main page'!$K$11))/'main page'!$K$31)</f>
        <v>#DIV/0!</v>
      </c>
      <c r="AB328" s="49" t="e">
        <f ca="1">IF(controls!$B$45=1,LOG(AF328,1.01)+LOG(AE328,1.01)-LOG(AD328,1.01),-((M328-('main page'!$K$24+'main page'!$K$11))/(1-'normal case'!$AO$3))+'normal case'!AA328)</f>
        <v>#DIV/0!</v>
      </c>
      <c r="AC328" s="176" t="e">
        <f t="shared" ca="1" si="37"/>
        <v>#DIV/0!</v>
      </c>
      <c r="AD328" s="49">
        <f t="shared" ca="1" si="38"/>
        <v>623.81501322810334</v>
      </c>
      <c r="AE328" s="49">
        <f>AE327*(1+'main page'!$K$32/100)</f>
        <v>1</v>
      </c>
      <c r="AF328" s="49" t="e">
        <f ca="1">IF(ABS(IF(controls!$B$45=1,$AL$13,AD328*AC328/AE328)-AF327)&lt;0.00001,AF327,IF(controls!$B$45=1,$AL$13,AD328*AC328/AE328))</f>
        <v>#DIV/0!</v>
      </c>
      <c r="AG328" s="49">
        <f>IF(controls!$B$46=0,0,IF(controls!$B$33=2,B329-B328*V329-('normal case'!H329-D328*W329-'main page'!$K$27*'normal case'!M328+'main page'!$K$31*'normal case'!AB328)-(('main page'!$K$25*'main page'!$U$13*'main page'!$K$29)/(1+('main page'!$K$25^2)*'main page'!$U$13))*('normal case'!L328-'main page'!$U$8),B329-B328*V329-('normal case'!I329-D328*W329-'main page'!$K$27*'normal case'!M328+'main page'!$K$31*'normal case'!AB328)-(('main page'!$K$25*'main page'!$U$13*'main page'!$K$29)/(1+('main page'!$K$25^2)*'main page'!$U$13))*('normal case'!L328-'main page'!$U$8)))</f>
        <v>0</v>
      </c>
      <c r="AN328" s="40"/>
      <c r="AO328" s="40"/>
    </row>
    <row r="329" spans="1:41">
      <c r="A329" s="48">
        <v>327</v>
      </c>
      <c r="B329" s="75">
        <f ca="1">IF(controls!$B$33=1,B328*(1+V329)+T329,B328*(1+V329))</f>
        <v>100</v>
      </c>
      <c r="C329" s="80">
        <f t="shared" ca="1" si="39"/>
        <v>0</v>
      </c>
      <c r="D329" s="77">
        <f t="shared" ca="1" si="35"/>
        <v>100</v>
      </c>
      <c r="E329" s="77">
        <f ca="1">AG328+IF(controls!$B$33=1,G329,F329)</f>
        <v>100</v>
      </c>
      <c r="F329" s="94">
        <f ca="1">IF(controls!$B$44=0,H329-'main page'!$K$27*M328,H329-'main page'!$K$27*M328+'main page'!$K$31*AB328)</f>
        <v>100</v>
      </c>
      <c r="G329" s="75">
        <f ca="1">IF(controls!$B$44=0,I329-'main page'!$K$27*M328,I329-'main page'!$K$27*M328+'main page'!$K$31*'normal case'!AB328)</f>
        <v>100</v>
      </c>
      <c r="H329" s="75">
        <f t="shared" ca="1" si="33"/>
        <v>108</v>
      </c>
      <c r="I329" s="75">
        <f t="shared" ca="1" si="34"/>
        <v>108</v>
      </c>
      <c r="L329" s="75">
        <f ca="1">IF(ABS('main page'!$K$29*L328+(1-'main page'!$K$29)*(controls!$B$9/100)*100+'main page'!$K$25*(D329-B329)-L328)&lt;0.0000001,L328,'main page'!$K$29*L328+(1-'main page'!$K$29)*(controls!$B$9/100)*100+'main page'!$K$25*(D329-B329))</f>
        <v>2</v>
      </c>
      <c r="M329" s="96">
        <f ca="1">IF(controls!$B$10=1,M328,IF(SUM(controls!$B$44:$B$46)=2,N329-'main page'!$K$29*'normal case'!L329-(1-'main page'!$K$29)*'main page'!$K$32,N329-'main page'!$K$29*'normal case'!L329-(1-'main page'!$K$29)*controls!$B$9))</f>
        <v>4</v>
      </c>
      <c r="N329" s="208">
        <f ca="1">IF(controls!$B$45=1,IF(controls!$B$46=1,'main page'!$K$24+'main page'!$K$11+'main page'!$U$8,'main page'!$K$24+'main page'!$K$11+'main page'!$K$32),IF(controls!$B$44=1,IF(O329&lt;0,0,O329),IF(O329+'main page'!$K$11&lt;0,0,O329+'main page'!$K$11)))</f>
        <v>6</v>
      </c>
      <c r="O329" s="76">
        <f ca="1">IF(controls!$B$10=1,'normal case'!M329+'normal case'!L329,'normal case'!P329)</f>
        <v>6</v>
      </c>
      <c r="P329" s="74">
        <f t="shared" ca="1" si="36"/>
        <v>6</v>
      </c>
      <c r="Q329" s="210">
        <f ca="1">IF(controls!$B$44=0,R329+'main page'!$K$29*L329+(1-'main page'!$K$29)*controls!$B$9+(('main page'!$K$25*'main page'!$U$13*'main page'!$K$29)/('main page'!$K$27*(1+('main page'!$K$25^2)*'main page'!$U$13)))*(L329-controls!$B$9),R329+'main page'!$K$29*L329+(1-'main page'!$K$29)*controls!$B$9+(('main page'!$K$25*'main page'!$U$13*'normal case'!$AO$3)/'normal case'!$AO$4)*('normal case'!L329-controls!$B$9))</f>
        <v>6</v>
      </c>
      <c r="R329" s="98">
        <f ca="1">IF(controls!$B$44=1,'main page'!$K$24+'main page'!$K$11,IF(controls!$B$33=1,((I330-D329*W330-B330+B329*V330)/'main page'!$K$27)-'main page'!$K$11,((H330-D329*W330-B330+B329*V330)/'main page'!$K$27)-'main page'!$K$11))</f>
        <v>4</v>
      </c>
      <c r="T329" s="71">
        <f>IF(controls!$B$6=1,$AL$3*(1+('main page'!$K$35/100))^U329-$AL$3*(1+('main page'!$K$35/100))^U328,$AL$3*(1+('main page'!$G$8/100))*(1+('main page'!$K$35/100))^U329-$AL$3*(1+('main page'!$G$8/100))*(1+('main page'!$K$35/100))^U328)</f>
        <v>0</v>
      </c>
      <c r="U329" s="73">
        <v>322</v>
      </c>
      <c r="V329" s="161">
        <f ca="1">IF(controls!$B$4=1,IF(controls!$H328=1,controls!$B$34*V328+RAND()*('main page'!$K$16/100)-RAND()*('main page'!$K$16/100),0),0)</f>
        <v>0</v>
      </c>
      <c r="W329" s="40">
        <f ca="1">IF(controls!$B$4=1,IF(controls!$I328=1,controls!$B$34*W328+RAND()*('main page'!$K$16/100)-RAND()*('main page'!$K$16/100),0),0)</f>
        <v>0</v>
      </c>
      <c r="X329" s="49">
        <f ca="1">IF(controls!$B$33=1,D329-($I$3-'main page'!$K$27*2)*(1+('main page'!$K$35/100))^A328,D329-$AL$4)</f>
        <v>0</v>
      </c>
      <c r="Y329" s="49">
        <f ca="1">ABS(L329-(controls!$B$9/100)*100)</f>
        <v>0</v>
      </c>
      <c r="AA329" s="49" t="e">
        <f ca="1">IF(controls!$B$33=1,(B330-B329*V330-I330+D329*W330+'main page'!$K$27*('main page'!$K$24+'main page'!$K$11))/'main page'!$K$31,(B330-B329*V330+D329*W330-H330+'main page'!$K$27*('main page'!$K$24+'main page'!$K$11))/'main page'!$K$31)</f>
        <v>#DIV/0!</v>
      </c>
      <c r="AB329" s="49" t="e">
        <f ca="1">IF(controls!$B$45=1,LOG(AF329,1.01)+LOG(AE329,1.01)-LOG(AD329,1.01),-((M329-('main page'!$K$24+'main page'!$K$11))/(1-'normal case'!$AO$3))+'normal case'!AA329)</f>
        <v>#DIV/0!</v>
      </c>
      <c r="AC329" s="176" t="e">
        <f t="shared" ca="1" si="37"/>
        <v>#DIV/0!</v>
      </c>
      <c r="AD329" s="49">
        <f t="shared" ca="1" si="38"/>
        <v>636.29131349266538</v>
      </c>
      <c r="AE329" s="49">
        <f>AE328*(1+'main page'!$K$32/100)</f>
        <v>1</v>
      </c>
      <c r="AF329" s="49" t="e">
        <f ca="1">IF(ABS(IF(controls!$B$45=1,$AL$13,AD329*AC329/AE329)-AF328)&lt;0.00001,AF328,IF(controls!$B$45=1,$AL$13,AD329*AC329/AE329))</f>
        <v>#DIV/0!</v>
      </c>
      <c r="AG329" s="49">
        <f>IF(controls!$B$46=0,0,IF(controls!$B$33=2,B330-B329*V330-('normal case'!H330-D329*W330-'main page'!$K$27*'normal case'!M329+'main page'!$K$31*'normal case'!AB329)-(('main page'!$K$25*'main page'!$U$13*'main page'!$K$29)/(1+('main page'!$K$25^2)*'main page'!$U$13))*('normal case'!L329-'main page'!$U$8),B330-B329*V330-('normal case'!I330-D329*W330-'main page'!$K$27*'normal case'!M329+'main page'!$K$31*'normal case'!AB329)-(('main page'!$K$25*'main page'!$U$13*'main page'!$K$29)/(1+('main page'!$K$25^2)*'main page'!$U$13))*('normal case'!L329-'main page'!$U$8)))</f>
        <v>0</v>
      </c>
      <c r="AN329" s="40"/>
      <c r="AO329" s="40"/>
    </row>
    <row r="330" spans="1:41">
      <c r="A330" s="48">
        <v>328</v>
      </c>
      <c r="B330" s="75">
        <f ca="1">IF(controls!$B$33=1,B329*(1+V330)+T330,B329*(1+V330))</f>
        <v>100</v>
      </c>
      <c r="C330" s="80">
        <f t="shared" ca="1" si="39"/>
        <v>0</v>
      </c>
      <c r="D330" s="77">
        <f t="shared" ca="1" si="35"/>
        <v>100</v>
      </c>
      <c r="E330" s="77">
        <f ca="1">AG329+IF(controls!$B$33=1,G330,F330)</f>
        <v>100</v>
      </c>
      <c r="F330" s="94">
        <f ca="1">IF(controls!$B$44=0,H330-'main page'!$K$27*M329,H330-'main page'!$K$27*M329+'main page'!$K$31*AB329)</f>
        <v>100</v>
      </c>
      <c r="G330" s="75">
        <f ca="1">IF(controls!$B$44=0,I330-'main page'!$K$27*M329,I330-'main page'!$K$27*M329+'main page'!$K$31*'normal case'!AB329)</f>
        <v>100</v>
      </c>
      <c r="H330" s="75">
        <f t="shared" ca="1" si="33"/>
        <v>108</v>
      </c>
      <c r="I330" s="75">
        <f t="shared" ca="1" si="34"/>
        <v>108</v>
      </c>
      <c r="L330" s="75">
        <f ca="1">IF(ABS('main page'!$K$29*L329+(1-'main page'!$K$29)*(controls!$B$9/100)*100+'main page'!$K$25*(D330-B330)-L329)&lt;0.0000001,L329,'main page'!$K$29*L329+(1-'main page'!$K$29)*(controls!$B$9/100)*100+'main page'!$K$25*(D330-B330))</f>
        <v>2</v>
      </c>
      <c r="M330" s="96">
        <f ca="1">IF(controls!$B$10=1,M329,IF(SUM(controls!$B$44:$B$46)=2,N330-'main page'!$K$29*'normal case'!L330-(1-'main page'!$K$29)*'main page'!$K$32,N330-'main page'!$K$29*'normal case'!L330-(1-'main page'!$K$29)*controls!$B$9))</f>
        <v>4</v>
      </c>
      <c r="N330" s="208">
        <f ca="1">IF(controls!$B$45=1,IF(controls!$B$46=1,'main page'!$K$24+'main page'!$K$11+'main page'!$U$8,'main page'!$K$24+'main page'!$K$11+'main page'!$K$32),IF(controls!$B$44=1,IF(O330&lt;0,0,O330),IF(O330+'main page'!$K$11&lt;0,0,O330+'main page'!$K$11)))</f>
        <v>6</v>
      </c>
      <c r="O330" s="76">
        <f ca="1">IF(controls!$B$10=1,'normal case'!M330+'normal case'!L330,'normal case'!P330)</f>
        <v>6</v>
      </c>
      <c r="P330" s="74">
        <f t="shared" ca="1" si="36"/>
        <v>6</v>
      </c>
      <c r="Q330" s="210">
        <f ca="1">IF(controls!$B$44=0,R330+'main page'!$K$29*L330+(1-'main page'!$K$29)*controls!$B$9+(('main page'!$K$25*'main page'!$U$13*'main page'!$K$29)/('main page'!$K$27*(1+('main page'!$K$25^2)*'main page'!$U$13)))*(L330-controls!$B$9),R330+'main page'!$K$29*L330+(1-'main page'!$K$29)*controls!$B$9+(('main page'!$K$25*'main page'!$U$13*'normal case'!$AO$3)/'normal case'!$AO$4)*('normal case'!L330-controls!$B$9))</f>
        <v>6</v>
      </c>
      <c r="R330" s="98">
        <f ca="1">IF(controls!$B$44=1,'main page'!$K$24+'main page'!$K$11,IF(controls!$B$33=1,((I331-D330*W331-B331+B330*V331)/'main page'!$K$27)-'main page'!$K$11,((H331-D330*W331-B331+B330*V331)/'main page'!$K$27)-'main page'!$K$11))</f>
        <v>4</v>
      </c>
      <c r="T330" s="71">
        <f>IF(controls!$B$6=1,$AL$3*(1+('main page'!$K$35/100))^U330-$AL$3*(1+('main page'!$K$35/100))^U329,$AL$3*(1+('main page'!$G$8/100))*(1+('main page'!$K$35/100))^U330-$AL$3*(1+('main page'!$G$8/100))*(1+('main page'!$K$35/100))^U329)</f>
        <v>0</v>
      </c>
      <c r="U330" s="73">
        <v>323</v>
      </c>
      <c r="V330" s="161">
        <v>0</v>
      </c>
      <c r="W330" s="40">
        <v>0</v>
      </c>
      <c r="X330" s="49">
        <f ca="1">IF(controls!$B$33=1,D330-($I$3-'main page'!$K$27*2)*(1+('main page'!$K$35/100))^A329,D330-$AL$4)</f>
        <v>0</v>
      </c>
      <c r="Y330" s="49">
        <f ca="1">ABS(L330-(controls!$B$9/100)*100)</f>
        <v>0</v>
      </c>
      <c r="AA330" s="49" t="e">
        <f ca="1">IF(controls!$B$33=1,(B331-B330*V331-I331+D330*W331+'main page'!$K$27*('main page'!$K$24+'main page'!$K$11))/'main page'!$K$31,(B331-B330*V331+D330*W331-H331+'main page'!$K$27*('main page'!$K$24+'main page'!$K$11))/'main page'!$K$31)</f>
        <v>#DIV/0!</v>
      </c>
      <c r="AB330" s="49" t="e">
        <f ca="1">IF(controls!$B$45=1,LOG(AF330,1.01)+LOG(AE330,1.01)-LOG(AD330,1.01),-((M330-('main page'!$K$24+'main page'!$K$11))/(1-'normal case'!$AO$3))+'normal case'!AA330)</f>
        <v>#DIV/0!</v>
      </c>
      <c r="AC330" s="176" t="e">
        <f t="shared" ca="1" si="37"/>
        <v>#DIV/0!</v>
      </c>
      <c r="AD330" s="49">
        <f t="shared" ca="1" si="38"/>
        <v>649.0171397625187</v>
      </c>
      <c r="AE330" s="49">
        <f>AE329*(1+'main page'!$K$32/100)</f>
        <v>1</v>
      </c>
      <c r="AF330" s="49" t="e">
        <f ca="1">IF(ABS(IF(controls!$B$45=1,$AL$13,AD330*AC330/AE330)-AF329)&lt;0.00001,AF329,IF(controls!$B$45=1,$AL$13,AD330*AC330/AE330))</f>
        <v>#DIV/0!</v>
      </c>
      <c r="AG330" s="49">
        <f>IF(controls!$B$46=0,0,IF(controls!$B$33=2,B331-B330*V331-('normal case'!H331-D330*W331-'main page'!$K$27*'normal case'!M330+'main page'!$K$31*'normal case'!AB330)-(('main page'!$K$25*'main page'!$U$13*'main page'!$K$29)/(1+('main page'!$K$25^2)*'main page'!$U$13))*('normal case'!L330-'main page'!$U$8),B331-B330*V331-('normal case'!I331-D330*W331-'main page'!$K$27*'normal case'!M330+'main page'!$K$31*'normal case'!AB330)-(('main page'!$K$25*'main page'!$U$13*'main page'!$K$29)/(1+('main page'!$K$25^2)*'main page'!$U$13))*('normal case'!L330-'main page'!$U$8)))</f>
        <v>0</v>
      </c>
      <c r="AN330" s="40"/>
      <c r="AO330" s="40"/>
    </row>
    <row r="331" spans="1:41">
      <c r="A331" s="48">
        <v>329</v>
      </c>
      <c r="B331" s="75">
        <f ca="1">IF(controls!$B$33=1,B330*(1+V331)+T331,B330*(1+V331))</f>
        <v>100</v>
      </c>
      <c r="C331" s="80">
        <f t="shared" ca="1" si="39"/>
        <v>0</v>
      </c>
      <c r="D331" s="77">
        <f t="shared" ca="1" si="35"/>
        <v>100</v>
      </c>
      <c r="E331" s="77">
        <f ca="1">AG330+IF(controls!$B$33=1,G331,F331)</f>
        <v>100</v>
      </c>
      <c r="F331" s="94">
        <f ca="1">IF(controls!$B$44=0,H331-'main page'!$K$27*M330,H331-'main page'!$K$27*M330+'main page'!$K$31*AB330)</f>
        <v>100</v>
      </c>
      <c r="G331" s="75">
        <f ca="1">IF(controls!$B$44=0,I331-'main page'!$K$27*M330,I331-'main page'!$K$27*M330+'main page'!$K$31*'normal case'!AB330)</f>
        <v>100</v>
      </c>
      <c r="H331" s="75">
        <f t="shared" ca="1" si="33"/>
        <v>108</v>
      </c>
      <c r="I331" s="75">
        <f t="shared" ca="1" si="34"/>
        <v>108</v>
      </c>
      <c r="L331" s="75">
        <f ca="1">IF(ABS('main page'!$K$29*L330+(1-'main page'!$K$29)*(controls!$B$9/100)*100+'main page'!$K$25*(D331-B331)-L330)&lt;0.0000001,L330,'main page'!$K$29*L330+(1-'main page'!$K$29)*(controls!$B$9/100)*100+'main page'!$K$25*(D331-B331))</f>
        <v>2</v>
      </c>
      <c r="M331" s="96">
        <f ca="1">IF(controls!$B$10=1,M330,IF(SUM(controls!$B$44:$B$46)=2,N331-'main page'!$K$29*'normal case'!L331-(1-'main page'!$K$29)*'main page'!$K$32,N331-'main page'!$K$29*'normal case'!L331-(1-'main page'!$K$29)*controls!$B$9))</f>
        <v>4</v>
      </c>
      <c r="N331" s="208">
        <f ca="1">IF(controls!$B$45=1,IF(controls!$B$46=1,'main page'!$K$24+'main page'!$K$11+'main page'!$U$8,'main page'!$K$24+'main page'!$K$11+'main page'!$K$32),IF(controls!$B$44=1,IF(O331&lt;0,0,O331),IF(O331+'main page'!$K$11&lt;0,0,O331+'main page'!$K$11)))</f>
        <v>6</v>
      </c>
      <c r="O331" s="76">
        <f ca="1">IF(controls!$B$10=1,'normal case'!M331+'normal case'!L331,'normal case'!P331)</f>
        <v>6</v>
      </c>
      <c r="P331" s="74">
        <f t="shared" ca="1" si="36"/>
        <v>6</v>
      </c>
      <c r="Q331" s="210">
        <f ca="1">IF(controls!$B$44=0,R331+'main page'!$K$29*L331+(1-'main page'!$K$29)*controls!$B$9+(('main page'!$K$25*'main page'!$U$13*'main page'!$K$29)/('main page'!$K$27*(1+('main page'!$K$25^2)*'main page'!$U$13)))*(L331-controls!$B$9),R331+'main page'!$K$29*L331+(1-'main page'!$K$29)*controls!$B$9+(('main page'!$K$25*'main page'!$U$13*'normal case'!$AO$3)/'normal case'!$AO$4)*('normal case'!L331-controls!$B$9))</f>
        <v>6</v>
      </c>
      <c r="R331" s="98">
        <f ca="1">IF(controls!$B$44=1,'main page'!$K$24+'main page'!$K$11,IF(controls!$B$33=1,((I332-D331*W332-B332+B331*V332)/'main page'!$K$27)-'main page'!$K$11,((H332-D331*W332-B332+B331*V332)/'main page'!$K$27)-'main page'!$K$11))</f>
        <v>4</v>
      </c>
      <c r="T331" s="71">
        <f>IF(controls!$B$6=1,$AL$3*(1+('main page'!$K$35/100))^U331-$AL$3*(1+('main page'!$K$35/100))^U330,$AL$3*(1+('main page'!$G$8/100))*(1+('main page'!$K$35/100))^U331-$AL$3*(1+('main page'!$G$8/100))*(1+('main page'!$K$35/100))^U330)</f>
        <v>0</v>
      </c>
      <c r="U331" s="73">
        <v>324</v>
      </c>
      <c r="V331" s="161">
        <v>0</v>
      </c>
      <c r="W331" s="40">
        <v>0</v>
      </c>
      <c r="X331" s="49">
        <f ca="1">IF(controls!$B$33=1,D331-($I$3-'main page'!$K$27*2)*(1+('main page'!$K$35/100))^A330,D331-$AL$4)</f>
        <v>0</v>
      </c>
      <c r="Y331" s="49">
        <f ca="1">ABS(L331-(controls!$B$9/100)*100)</f>
        <v>0</v>
      </c>
      <c r="AA331" s="49" t="e">
        <f ca="1">IF(controls!$B$33=1,(B332-B331*V332-I332+D331*W332+'main page'!$K$27*('main page'!$K$24+'main page'!$K$11))/'main page'!$K$31,(B332-B331*V332+D331*W332-H332+'main page'!$K$27*('main page'!$K$24+'main page'!$K$11))/'main page'!$K$31)</f>
        <v>#DIV/0!</v>
      </c>
      <c r="AB331" s="49" t="e">
        <f ca="1">IF(controls!$B$45=1,LOG(AF331,1.01)+LOG(AE331,1.01)-LOG(AD331,1.01),-((M331-('main page'!$K$24+'main page'!$K$11))/(1-'normal case'!$AO$3))+'normal case'!AA331)</f>
        <v>#DIV/0!</v>
      </c>
      <c r="AC331" s="176" t="e">
        <f t="shared" ca="1" si="37"/>
        <v>#DIV/0!</v>
      </c>
      <c r="AD331" s="49">
        <f t="shared" ca="1" si="38"/>
        <v>661.9974825577691</v>
      </c>
      <c r="AE331" s="49">
        <f>AE330*(1+'main page'!$K$32/100)</f>
        <v>1</v>
      </c>
      <c r="AF331" s="49" t="e">
        <f ca="1">IF(ABS(IF(controls!$B$45=1,$AL$13,AD331*AC331/AE331)-AF330)&lt;0.00001,AF330,IF(controls!$B$45=1,$AL$13,AD331*AC331/AE331))</f>
        <v>#DIV/0!</v>
      </c>
      <c r="AG331" s="49">
        <f>IF(controls!$B$46=0,0,IF(controls!$B$33=2,B332-B331*V332-('normal case'!H332-D331*W332-'main page'!$K$27*'normal case'!M331+'main page'!$K$31*'normal case'!AB331)-(('main page'!$K$25*'main page'!$U$13*'main page'!$K$29)/(1+('main page'!$K$25^2)*'main page'!$U$13))*('normal case'!L331-'main page'!$U$8),B332-B331*V332-('normal case'!I332-D331*W332-'main page'!$K$27*'normal case'!M331+'main page'!$K$31*'normal case'!AB331)-(('main page'!$K$25*'main page'!$U$13*'main page'!$K$29)/(1+('main page'!$K$25^2)*'main page'!$U$13))*('normal case'!L331-'main page'!$U$8)))</f>
        <v>0</v>
      </c>
      <c r="AN331" s="40"/>
      <c r="AO331" s="40"/>
    </row>
    <row r="332" spans="1:41">
      <c r="A332" s="48">
        <v>330</v>
      </c>
      <c r="B332" s="75">
        <f ca="1">IF(controls!$B$33=1,B331*(1+V332)+T332,B331*(1+V332))</f>
        <v>100</v>
      </c>
      <c r="C332" s="80">
        <f t="shared" ca="1" si="39"/>
        <v>0</v>
      </c>
      <c r="D332" s="77">
        <f t="shared" ca="1" si="35"/>
        <v>100</v>
      </c>
      <c r="E332" s="77">
        <f ca="1">AG331+IF(controls!$B$33=1,G332,F332)</f>
        <v>100</v>
      </c>
      <c r="F332" s="94">
        <f ca="1">IF(controls!$B$44=0,H332-'main page'!$K$27*M331,H332-'main page'!$K$27*M331+'main page'!$K$31*AB331)</f>
        <v>100</v>
      </c>
      <c r="G332" s="75">
        <f ca="1">IF(controls!$B$44=0,I332-'main page'!$K$27*M331,I332-'main page'!$K$27*M331+'main page'!$K$31*'normal case'!AB331)</f>
        <v>100</v>
      </c>
      <c r="H332" s="75">
        <f t="shared" ca="1" si="33"/>
        <v>108</v>
      </c>
      <c r="I332" s="75">
        <f t="shared" ca="1" si="34"/>
        <v>108</v>
      </c>
      <c r="L332" s="75">
        <f ca="1">IF(ABS('main page'!$K$29*L331+(1-'main page'!$K$29)*(controls!$B$9/100)*100+'main page'!$K$25*(D332-B332)-L331)&lt;0.0000001,L331,'main page'!$K$29*L331+(1-'main page'!$K$29)*(controls!$B$9/100)*100+'main page'!$K$25*(D332-B332))</f>
        <v>2</v>
      </c>
      <c r="M332" s="96">
        <f ca="1">IF(controls!$B$10=1,M331,IF(SUM(controls!$B$44:$B$46)=2,N332-'main page'!$K$29*'normal case'!L332-(1-'main page'!$K$29)*'main page'!$K$32,N332-'main page'!$K$29*'normal case'!L332-(1-'main page'!$K$29)*controls!$B$9))</f>
        <v>4</v>
      </c>
      <c r="N332" s="208">
        <f ca="1">IF(controls!$B$45=1,IF(controls!$B$46=1,'main page'!$K$24+'main page'!$K$11+'main page'!$U$8,'main page'!$K$24+'main page'!$K$11+'main page'!$K$32),IF(controls!$B$44=1,IF(O332&lt;0,0,O332),IF(O332+'main page'!$K$11&lt;0,0,O332+'main page'!$K$11)))</f>
        <v>6</v>
      </c>
      <c r="O332" s="76">
        <f ca="1">IF(controls!$B$10=1,'normal case'!M332+'normal case'!L332,'normal case'!P332)</f>
        <v>6</v>
      </c>
      <c r="P332" s="74">
        <f t="shared" ca="1" si="36"/>
        <v>6</v>
      </c>
      <c r="Q332" s="210">
        <f ca="1">IF(controls!$B$44=0,R332+'main page'!$K$29*L332+(1-'main page'!$K$29)*controls!$B$9+(('main page'!$K$25*'main page'!$U$13*'main page'!$K$29)/('main page'!$K$27*(1+('main page'!$K$25^2)*'main page'!$U$13)))*(L332-controls!$B$9),R332+'main page'!$K$29*L332+(1-'main page'!$K$29)*controls!$B$9+(('main page'!$K$25*'main page'!$U$13*'normal case'!$AO$3)/'normal case'!$AO$4)*('normal case'!L332-controls!$B$9))</f>
        <v>6</v>
      </c>
      <c r="R332" s="98">
        <f ca="1">IF(controls!$B$44=1,'main page'!$K$24+'main page'!$K$11,IF(controls!$B$33=1,((I333-D332*W333-B333+B332*V333)/'main page'!$K$27)-'main page'!$K$11,((H333-D332*W333-B333+B332*V333)/'main page'!$K$27)-'main page'!$K$11))</f>
        <v>4</v>
      </c>
      <c r="T332" s="71">
        <f>IF(controls!$B$6=1,$AL$3*(1+('main page'!$K$35/100))^U332-$AL$3*(1+('main page'!$K$35/100))^U331,$AL$3*(1+('main page'!$G$8/100))*(1+('main page'!$K$35/100))^U332-$AL$3*(1+('main page'!$G$8/100))*(1+('main page'!$K$35/100))^U331)</f>
        <v>0</v>
      </c>
      <c r="U332" s="73">
        <v>325</v>
      </c>
      <c r="V332" s="161">
        <f ca="1">IF(controls!$B$4=1,IF(controls!$H331=1,controls!$B$34*V331+RAND()*('main page'!$K$16/100)-RAND()*('main page'!$K$16/100),0),0)</f>
        <v>0</v>
      </c>
      <c r="W332" s="40">
        <f ca="1">IF(controls!$B$4=1,IF(controls!$I331=1,controls!$B$34*W331+RAND()*('main page'!$K$16/100)-RAND()*('main page'!$K$16/100),0),0)</f>
        <v>0</v>
      </c>
      <c r="X332" s="49">
        <f ca="1">IF(controls!$B$33=1,D332-($I$3-'main page'!$K$27*2)*(1+('main page'!$K$35/100))^A331,D332-$AL$4)</f>
        <v>0</v>
      </c>
      <c r="Y332" s="49">
        <f ca="1">ABS(L332-(controls!$B$9/100)*100)</f>
        <v>0</v>
      </c>
      <c r="AA332" s="49" t="e">
        <f ca="1">IF(controls!$B$33=1,(B333-B332*V333-I333+D332*W333+'main page'!$K$27*('main page'!$K$24+'main page'!$K$11))/'main page'!$K$31,(B333-B332*V333+D332*W333-H333+'main page'!$K$27*('main page'!$K$24+'main page'!$K$11))/'main page'!$K$31)</f>
        <v>#DIV/0!</v>
      </c>
      <c r="AB332" s="49" t="e">
        <f ca="1">IF(controls!$B$45=1,LOG(AF332,1.01)+LOG(AE332,1.01)-LOG(AD332,1.01),-((M332-('main page'!$K$24+'main page'!$K$11))/(1-'normal case'!$AO$3))+'normal case'!AA332)</f>
        <v>#DIV/0!</v>
      </c>
      <c r="AC332" s="176" t="e">
        <f t="shared" ca="1" si="37"/>
        <v>#DIV/0!</v>
      </c>
      <c r="AD332" s="49">
        <f t="shared" ca="1" si="38"/>
        <v>675.23743220892447</v>
      </c>
      <c r="AE332" s="49">
        <f>AE331*(1+'main page'!$K$32/100)</f>
        <v>1</v>
      </c>
      <c r="AF332" s="49" t="e">
        <f ca="1">IF(ABS(IF(controls!$B$45=1,$AL$13,AD332*AC332/AE332)-AF331)&lt;0.00001,AF331,IF(controls!$B$45=1,$AL$13,AD332*AC332/AE332))</f>
        <v>#DIV/0!</v>
      </c>
      <c r="AG332" s="49">
        <f>IF(controls!$B$46=0,0,IF(controls!$B$33=2,B333-B332*V333-('normal case'!H333-D332*W333-'main page'!$K$27*'normal case'!M332+'main page'!$K$31*'normal case'!AB332)-(('main page'!$K$25*'main page'!$U$13*'main page'!$K$29)/(1+('main page'!$K$25^2)*'main page'!$U$13))*('normal case'!L332-'main page'!$U$8),B333-B332*V333-('normal case'!I333-D332*W333-'main page'!$K$27*'normal case'!M332+'main page'!$K$31*'normal case'!AB332)-(('main page'!$K$25*'main page'!$U$13*'main page'!$K$29)/(1+('main page'!$K$25^2)*'main page'!$U$13))*('normal case'!L332-'main page'!$U$8)))</f>
        <v>0</v>
      </c>
      <c r="AN332" s="40"/>
      <c r="AO332" s="40"/>
    </row>
    <row r="333" spans="1:41">
      <c r="A333" s="48">
        <v>331</v>
      </c>
      <c r="B333" s="75">
        <f ca="1">IF(controls!$B$33=1,B332*(1+V333)+T333,B332*(1+V333))</f>
        <v>100</v>
      </c>
      <c r="C333" s="80">
        <f t="shared" ca="1" si="39"/>
        <v>0</v>
      </c>
      <c r="D333" s="77">
        <f t="shared" ca="1" si="35"/>
        <v>100</v>
      </c>
      <c r="E333" s="77">
        <f ca="1">AG332+IF(controls!$B$33=1,G333,F333)</f>
        <v>100</v>
      </c>
      <c r="F333" s="94">
        <f ca="1">IF(controls!$B$44=0,H333-'main page'!$K$27*M332,H333-'main page'!$K$27*M332+'main page'!$K$31*AB332)</f>
        <v>100</v>
      </c>
      <c r="G333" s="75">
        <f ca="1">IF(controls!$B$44=0,I333-'main page'!$K$27*M332,I333-'main page'!$K$27*M332+'main page'!$K$31*'normal case'!AB332)</f>
        <v>100</v>
      </c>
      <c r="H333" s="75">
        <f t="shared" ca="1" si="33"/>
        <v>108</v>
      </c>
      <c r="I333" s="75">
        <f t="shared" ca="1" si="34"/>
        <v>108</v>
      </c>
      <c r="L333" s="75">
        <f ca="1">IF(ABS('main page'!$K$29*L332+(1-'main page'!$K$29)*(controls!$B$9/100)*100+'main page'!$K$25*(D333-B333)-L332)&lt;0.0000001,L332,'main page'!$K$29*L332+(1-'main page'!$K$29)*(controls!$B$9/100)*100+'main page'!$K$25*(D333-B333))</f>
        <v>2</v>
      </c>
      <c r="M333" s="96">
        <f ca="1">IF(controls!$B$10=1,M332,IF(SUM(controls!$B$44:$B$46)=2,N333-'main page'!$K$29*'normal case'!L333-(1-'main page'!$K$29)*'main page'!$K$32,N333-'main page'!$K$29*'normal case'!L333-(1-'main page'!$K$29)*controls!$B$9))</f>
        <v>4</v>
      </c>
      <c r="N333" s="208">
        <f ca="1">IF(controls!$B$45=1,IF(controls!$B$46=1,'main page'!$K$24+'main page'!$K$11+'main page'!$U$8,'main page'!$K$24+'main page'!$K$11+'main page'!$K$32),IF(controls!$B$44=1,IF(O333&lt;0,0,O333),IF(O333+'main page'!$K$11&lt;0,0,O333+'main page'!$K$11)))</f>
        <v>6</v>
      </c>
      <c r="O333" s="76">
        <f ca="1">IF(controls!$B$10=1,'normal case'!M333+'normal case'!L333,'normal case'!P333)</f>
        <v>6</v>
      </c>
      <c r="P333" s="74">
        <f t="shared" ca="1" si="36"/>
        <v>6</v>
      </c>
      <c r="Q333" s="210">
        <f ca="1">IF(controls!$B$44=0,R333+'main page'!$K$29*L333+(1-'main page'!$K$29)*controls!$B$9+(('main page'!$K$25*'main page'!$U$13*'main page'!$K$29)/('main page'!$K$27*(1+('main page'!$K$25^2)*'main page'!$U$13)))*(L333-controls!$B$9),R333+'main page'!$K$29*L333+(1-'main page'!$K$29)*controls!$B$9+(('main page'!$K$25*'main page'!$U$13*'normal case'!$AO$3)/'normal case'!$AO$4)*('normal case'!L333-controls!$B$9))</f>
        <v>6</v>
      </c>
      <c r="R333" s="98">
        <f ca="1">IF(controls!$B$44=1,'main page'!$K$24+'main page'!$K$11,IF(controls!$B$33=1,((I334-D333*W334-B334+B333*V334)/'main page'!$K$27)-'main page'!$K$11,((H334-D333*W334-B334+B333*V334)/'main page'!$K$27)-'main page'!$K$11))</f>
        <v>4</v>
      </c>
      <c r="T333" s="71">
        <f>IF(controls!$B$6=1,$AL$3*(1+('main page'!$K$35/100))^U333-$AL$3*(1+('main page'!$K$35/100))^U332,$AL$3*(1+('main page'!$G$8/100))*(1+('main page'!$K$35/100))^U333-$AL$3*(1+('main page'!$G$8/100))*(1+('main page'!$K$35/100))^U332)</f>
        <v>0</v>
      </c>
      <c r="U333" s="73">
        <v>326</v>
      </c>
      <c r="V333" s="161">
        <v>0</v>
      </c>
      <c r="W333" s="40">
        <v>0</v>
      </c>
      <c r="X333" s="49">
        <f ca="1">IF(controls!$B$33=1,D333-($I$3-'main page'!$K$27*2)*(1+('main page'!$K$35/100))^A332,D333-$AL$4)</f>
        <v>0</v>
      </c>
      <c r="Y333" s="49">
        <f ca="1">ABS(L333-(controls!$B$9/100)*100)</f>
        <v>0</v>
      </c>
      <c r="AA333" s="49" t="e">
        <f ca="1">IF(controls!$B$33=1,(B334-B333*V334-I334+D333*W334+'main page'!$K$27*('main page'!$K$24+'main page'!$K$11))/'main page'!$K$31,(B334-B333*V334+D333*W334-H334+'main page'!$K$27*('main page'!$K$24+'main page'!$K$11))/'main page'!$K$31)</f>
        <v>#DIV/0!</v>
      </c>
      <c r="AB333" s="49" t="e">
        <f ca="1">IF(controls!$B$45=1,LOG(AF333,1.01)+LOG(AE333,1.01)-LOG(AD333,1.01),-((M333-('main page'!$K$24+'main page'!$K$11))/(1-'normal case'!$AO$3))+'normal case'!AA333)</f>
        <v>#DIV/0!</v>
      </c>
      <c r="AC333" s="176" t="e">
        <f t="shared" ca="1" si="37"/>
        <v>#DIV/0!</v>
      </c>
      <c r="AD333" s="49">
        <f t="shared" ca="1" si="38"/>
        <v>688.74218085310292</v>
      </c>
      <c r="AE333" s="49">
        <f>AE332*(1+'main page'!$K$32/100)</f>
        <v>1</v>
      </c>
      <c r="AF333" s="49" t="e">
        <f ca="1">IF(ABS(IF(controls!$B$45=1,$AL$13,AD333*AC333/AE333)-AF332)&lt;0.00001,AF332,IF(controls!$B$45=1,$AL$13,AD333*AC333/AE333))</f>
        <v>#DIV/0!</v>
      </c>
      <c r="AG333" s="49">
        <f>IF(controls!$B$46=0,0,IF(controls!$B$33=2,B334-B333*V334-('normal case'!H334-D333*W334-'main page'!$K$27*'normal case'!M333+'main page'!$K$31*'normal case'!AB333)-(('main page'!$K$25*'main page'!$U$13*'main page'!$K$29)/(1+('main page'!$K$25^2)*'main page'!$U$13))*('normal case'!L333-'main page'!$U$8),B334-B333*V334-('normal case'!I334-D333*W334-'main page'!$K$27*'normal case'!M333+'main page'!$K$31*'normal case'!AB333)-(('main page'!$K$25*'main page'!$U$13*'main page'!$K$29)/(1+('main page'!$K$25^2)*'main page'!$U$13))*('normal case'!L333-'main page'!$U$8)))</f>
        <v>0</v>
      </c>
      <c r="AN333" s="40"/>
      <c r="AO333" s="40"/>
    </row>
    <row r="334" spans="1:41">
      <c r="A334" s="48">
        <v>332</v>
      </c>
      <c r="B334" s="75">
        <f ca="1">IF(controls!$B$33=1,B333*(1+V334)+T334,B333*(1+V334))</f>
        <v>100</v>
      </c>
      <c r="C334" s="80">
        <f t="shared" ca="1" si="39"/>
        <v>0</v>
      </c>
      <c r="D334" s="77">
        <f t="shared" ca="1" si="35"/>
        <v>100</v>
      </c>
      <c r="E334" s="77">
        <f ca="1">AG333+IF(controls!$B$33=1,G334,F334)</f>
        <v>100</v>
      </c>
      <c r="F334" s="94">
        <f ca="1">IF(controls!$B$44=0,H334-'main page'!$K$27*M333,H334-'main page'!$K$27*M333+'main page'!$K$31*AB333)</f>
        <v>100</v>
      </c>
      <c r="G334" s="75">
        <f ca="1">IF(controls!$B$44=0,I334-'main page'!$K$27*M333,I334-'main page'!$K$27*M333+'main page'!$K$31*'normal case'!AB333)</f>
        <v>100</v>
      </c>
      <c r="H334" s="75">
        <f t="shared" ca="1" si="33"/>
        <v>108</v>
      </c>
      <c r="I334" s="75">
        <f t="shared" ca="1" si="34"/>
        <v>108</v>
      </c>
      <c r="L334" s="75">
        <f ca="1">IF(ABS('main page'!$K$29*L333+(1-'main page'!$K$29)*(controls!$B$9/100)*100+'main page'!$K$25*(D334-B334)-L333)&lt;0.0000001,L333,'main page'!$K$29*L333+(1-'main page'!$K$29)*(controls!$B$9/100)*100+'main page'!$K$25*(D334-B334))</f>
        <v>2</v>
      </c>
      <c r="M334" s="96">
        <f ca="1">IF(controls!$B$10=1,M333,IF(SUM(controls!$B$44:$B$46)=2,N334-'main page'!$K$29*'normal case'!L334-(1-'main page'!$K$29)*'main page'!$K$32,N334-'main page'!$K$29*'normal case'!L334-(1-'main page'!$K$29)*controls!$B$9))</f>
        <v>4</v>
      </c>
      <c r="N334" s="208">
        <f ca="1">IF(controls!$B$45=1,IF(controls!$B$46=1,'main page'!$K$24+'main page'!$K$11+'main page'!$U$8,'main page'!$K$24+'main page'!$K$11+'main page'!$K$32),IF(controls!$B$44=1,IF(O334&lt;0,0,O334),IF(O334+'main page'!$K$11&lt;0,0,O334+'main page'!$K$11)))</f>
        <v>6</v>
      </c>
      <c r="O334" s="76">
        <f ca="1">IF(controls!$B$10=1,'normal case'!M334+'normal case'!L334,'normal case'!P334)</f>
        <v>6</v>
      </c>
      <c r="P334" s="74">
        <f t="shared" ca="1" si="36"/>
        <v>6</v>
      </c>
      <c r="Q334" s="210">
        <f ca="1">IF(controls!$B$44=0,R334+'main page'!$K$29*L334+(1-'main page'!$K$29)*controls!$B$9+(('main page'!$K$25*'main page'!$U$13*'main page'!$K$29)/('main page'!$K$27*(1+('main page'!$K$25^2)*'main page'!$U$13)))*(L334-controls!$B$9),R334+'main page'!$K$29*L334+(1-'main page'!$K$29)*controls!$B$9+(('main page'!$K$25*'main page'!$U$13*'normal case'!$AO$3)/'normal case'!$AO$4)*('normal case'!L334-controls!$B$9))</f>
        <v>6</v>
      </c>
      <c r="R334" s="98">
        <f ca="1">IF(controls!$B$44=1,'main page'!$K$24+'main page'!$K$11,IF(controls!$B$33=1,((I335-D334*W335-B335+B334*V335)/'main page'!$K$27)-'main page'!$K$11,((H335-D334*W335-B335+B334*V335)/'main page'!$K$27)-'main page'!$K$11))</f>
        <v>4</v>
      </c>
      <c r="T334" s="71">
        <f>IF(controls!$B$6=1,$AL$3*(1+('main page'!$K$35/100))^U334-$AL$3*(1+('main page'!$K$35/100))^U333,$AL$3*(1+('main page'!$G$8/100))*(1+('main page'!$K$35/100))^U334-$AL$3*(1+('main page'!$G$8/100))*(1+('main page'!$K$35/100))^U333)</f>
        <v>0</v>
      </c>
      <c r="U334" s="73">
        <v>327</v>
      </c>
      <c r="V334" s="161">
        <v>0</v>
      </c>
      <c r="W334" s="40">
        <v>0</v>
      </c>
      <c r="X334" s="49">
        <f ca="1">IF(controls!$B$33=1,D334-($I$3-'main page'!$K$27*2)*(1+('main page'!$K$35/100))^A333,D334-$AL$4)</f>
        <v>0</v>
      </c>
      <c r="Y334" s="49">
        <f ca="1">ABS(L334-(controls!$B$9/100)*100)</f>
        <v>0</v>
      </c>
      <c r="AA334" s="49" t="e">
        <f ca="1">IF(controls!$B$33=1,(B335-B334*V335-I335+D334*W335+'main page'!$K$27*('main page'!$K$24+'main page'!$K$11))/'main page'!$K$31,(B335-B334*V335+D334*W335-H335+'main page'!$K$27*('main page'!$K$24+'main page'!$K$11))/'main page'!$K$31)</f>
        <v>#DIV/0!</v>
      </c>
      <c r="AB334" s="49" t="e">
        <f ca="1">IF(controls!$B$45=1,LOG(AF334,1.01)+LOG(AE334,1.01)-LOG(AD334,1.01),-((M334-('main page'!$K$24+'main page'!$K$11))/(1-'normal case'!$AO$3))+'normal case'!AA334)</f>
        <v>#DIV/0!</v>
      </c>
      <c r="AC334" s="176" t="e">
        <f t="shared" ca="1" si="37"/>
        <v>#DIV/0!</v>
      </c>
      <c r="AD334" s="49">
        <f t="shared" ca="1" si="38"/>
        <v>702.51702447016498</v>
      </c>
      <c r="AE334" s="49">
        <f>AE333*(1+'main page'!$K$32/100)</f>
        <v>1</v>
      </c>
      <c r="AF334" s="49" t="e">
        <f ca="1">IF(ABS(IF(controls!$B$45=1,$AL$13,AD334*AC334/AE334)-AF333)&lt;0.00001,AF333,IF(controls!$B$45=1,$AL$13,AD334*AC334/AE334))</f>
        <v>#DIV/0!</v>
      </c>
      <c r="AG334" s="49">
        <f>IF(controls!$B$46=0,0,IF(controls!$B$33=2,B335-B334*V335-('normal case'!H335-D334*W335-'main page'!$K$27*'normal case'!M334+'main page'!$K$31*'normal case'!AB334)-(('main page'!$K$25*'main page'!$U$13*'main page'!$K$29)/(1+('main page'!$K$25^2)*'main page'!$U$13))*('normal case'!L334-'main page'!$U$8),B335-B334*V335-('normal case'!I335-D334*W335-'main page'!$K$27*'normal case'!M334+'main page'!$K$31*'normal case'!AB334)-(('main page'!$K$25*'main page'!$U$13*'main page'!$K$29)/(1+('main page'!$K$25^2)*'main page'!$U$13))*('normal case'!L334-'main page'!$U$8)))</f>
        <v>0</v>
      </c>
      <c r="AN334" s="40"/>
      <c r="AO334" s="40"/>
    </row>
    <row r="335" spans="1:41">
      <c r="A335" s="48">
        <v>333</v>
      </c>
      <c r="B335" s="75">
        <f ca="1">IF(controls!$B$33=1,B334*(1+V335)+T335,B334*(1+V335))</f>
        <v>100</v>
      </c>
      <c r="C335" s="80">
        <f t="shared" ca="1" si="39"/>
        <v>0</v>
      </c>
      <c r="D335" s="77">
        <f t="shared" ca="1" si="35"/>
        <v>100</v>
      </c>
      <c r="E335" s="77">
        <f ca="1">AG334+IF(controls!$B$33=1,G335,F335)</f>
        <v>100</v>
      </c>
      <c r="F335" s="94">
        <f ca="1">IF(controls!$B$44=0,H335-'main page'!$K$27*M334,H335-'main page'!$K$27*M334+'main page'!$K$31*AB334)</f>
        <v>100</v>
      </c>
      <c r="G335" s="75">
        <f ca="1">IF(controls!$B$44=0,I335-'main page'!$K$27*M334,I335-'main page'!$K$27*M334+'main page'!$K$31*'normal case'!AB334)</f>
        <v>100</v>
      </c>
      <c r="H335" s="75">
        <f t="shared" ca="1" si="33"/>
        <v>108</v>
      </c>
      <c r="I335" s="75">
        <f t="shared" ca="1" si="34"/>
        <v>108</v>
      </c>
      <c r="L335" s="75">
        <f ca="1">IF(ABS('main page'!$K$29*L334+(1-'main page'!$K$29)*(controls!$B$9/100)*100+'main page'!$K$25*(D335-B335)-L334)&lt;0.0000001,L334,'main page'!$K$29*L334+(1-'main page'!$K$29)*(controls!$B$9/100)*100+'main page'!$K$25*(D335-B335))</f>
        <v>2</v>
      </c>
      <c r="M335" s="96">
        <f ca="1">IF(controls!$B$10=1,M334,IF(SUM(controls!$B$44:$B$46)=2,N335-'main page'!$K$29*'normal case'!L335-(1-'main page'!$K$29)*'main page'!$K$32,N335-'main page'!$K$29*'normal case'!L335-(1-'main page'!$K$29)*controls!$B$9))</f>
        <v>4</v>
      </c>
      <c r="N335" s="208">
        <f ca="1">IF(controls!$B$45=1,IF(controls!$B$46=1,'main page'!$K$24+'main page'!$K$11+'main page'!$U$8,'main page'!$K$24+'main page'!$K$11+'main page'!$K$32),IF(controls!$B$44=1,IF(O335&lt;0,0,O335),IF(O335+'main page'!$K$11&lt;0,0,O335+'main page'!$K$11)))</f>
        <v>6</v>
      </c>
      <c r="O335" s="76">
        <f ca="1">IF(controls!$B$10=1,'normal case'!M335+'normal case'!L335,'normal case'!P335)</f>
        <v>6</v>
      </c>
      <c r="P335" s="74">
        <f t="shared" ca="1" si="36"/>
        <v>6</v>
      </c>
      <c r="Q335" s="210">
        <f ca="1">IF(controls!$B$44=0,R335+'main page'!$K$29*L335+(1-'main page'!$K$29)*controls!$B$9+(('main page'!$K$25*'main page'!$U$13*'main page'!$K$29)/('main page'!$K$27*(1+('main page'!$K$25^2)*'main page'!$U$13)))*(L335-controls!$B$9),R335+'main page'!$K$29*L335+(1-'main page'!$K$29)*controls!$B$9+(('main page'!$K$25*'main page'!$U$13*'normal case'!$AO$3)/'normal case'!$AO$4)*('normal case'!L335-controls!$B$9))</f>
        <v>6</v>
      </c>
      <c r="R335" s="98">
        <f ca="1">IF(controls!$B$44=1,'main page'!$K$24+'main page'!$K$11,IF(controls!$B$33=1,((I336-D335*W336-B336+B335*V336)/'main page'!$K$27)-'main page'!$K$11,((H336-D335*W336-B336+B335*V336)/'main page'!$K$27)-'main page'!$K$11))</f>
        <v>4</v>
      </c>
      <c r="T335" s="71">
        <f>IF(controls!$B$6=1,$AL$3*(1+('main page'!$K$35/100))^U335-$AL$3*(1+('main page'!$K$35/100))^U334,$AL$3*(1+('main page'!$G$8/100))*(1+('main page'!$K$35/100))^U335-$AL$3*(1+('main page'!$G$8/100))*(1+('main page'!$K$35/100))^U334)</f>
        <v>0</v>
      </c>
      <c r="U335" s="73">
        <v>328</v>
      </c>
      <c r="V335" s="161">
        <f ca="1">IF(controls!$B$4=1,IF(controls!$H334=1,controls!$B$34*V334+RAND()*('main page'!$K$16/100)-RAND()*('main page'!$K$16/100),0),0)</f>
        <v>0</v>
      </c>
      <c r="W335" s="40">
        <f ca="1">IF(controls!$B$4=1,IF(controls!$I334=1,controls!$B$34*W334+RAND()*('main page'!$K$16/100)-RAND()*('main page'!$K$16/100),0),0)</f>
        <v>0</v>
      </c>
      <c r="X335" s="49">
        <f ca="1">IF(controls!$B$33=1,D335-($I$3-'main page'!$K$27*2)*(1+('main page'!$K$35/100))^A334,D335-$AL$4)</f>
        <v>0</v>
      </c>
      <c r="Y335" s="49">
        <f ca="1">ABS(L335-(controls!$B$9/100)*100)</f>
        <v>0</v>
      </c>
      <c r="AA335" s="49" t="e">
        <f ca="1">IF(controls!$B$33=1,(B336-B335*V336-I336+D335*W336+'main page'!$K$27*('main page'!$K$24+'main page'!$K$11))/'main page'!$K$31,(B336-B335*V336+D335*W336-H336+'main page'!$K$27*('main page'!$K$24+'main page'!$K$11))/'main page'!$K$31)</f>
        <v>#DIV/0!</v>
      </c>
      <c r="AB335" s="49" t="e">
        <f ca="1">IF(controls!$B$45=1,LOG(AF335,1.01)+LOG(AE335,1.01)-LOG(AD335,1.01),-((M335-('main page'!$K$24+'main page'!$K$11))/(1-'normal case'!$AO$3))+'normal case'!AA335)</f>
        <v>#DIV/0!</v>
      </c>
      <c r="AC335" s="176" t="e">
        <f t="shared" ca="1" si="37"/>
        <v>#DIV/0!</v>
      </c>
      <c r="AD335" s="49">
        <f t="shared" ca="1" si="38"/>
        <v>716.56736495956829</v>
      </c>
      <c r="AE335" s="49">
        <f>AE334*(1+'main page'!$K$32/100)</f>
        <v>1</v>
      </c>
      <c r="AF335" s="49" t="e">
        <f ca="1">IF(ABS(IF(controls!$B$45=1,$AL$13,AD335*AC335/AE335)-AF334)&lt;0.00001,AF334,IF(controls!$B$45=1,$AL$13,AD335*AC335/AE335))</f>
        <v>#DIV/0!</v>
      </c>
      <c r="AG335" s="49">
        <f>IF(controls!$B$46=0,0,IF(controls!$B$33=2,B336-B335*V336-('normal case'!H336-D335*W336-'main page'!$K$27*'normal case'!M335+'main page'!$K$31*'normal case'!AB335)-(('main page'!$K$25*'main page'!$U$13*'main page'!$K$29)/(1+('main page'!$K$25^2)*'main page'!$U$13))*('normal case'!L335-'main page'!$U$8),B336-B335*V336-('normal case'!I336-D335*W336-'main page'!$K$27*'normal case'!M335+'main page'!$K$31*'normal case'!AB335)-(('main page'!$K$25*'main page'!$U$13*'main page'!$K$29)/(1+('main page'!$K$25^2)*'main page'!$U$13))*('normal case'!L335-'main page'!$U$8)))</f>
        <v>0</v>
      </c>
      <c r="AN335" s="40"/>
      <c r="AO335" s="40"/>
    </row>
    <row r="336" spans="1:41">
      <c r="A336" s="48">
        <v>334</v>
      </c>
      <c r="B336" s="75">
        <f ca="1">IF(controls!$B$33=1,B335*(1+V336)+T336,B335*(1+V336))</f>
        <v>100</v>
      </c>
      <c r="C336" s="80">
        <f t="shared" ca="1" si="39"/>
        <v>0</v>
      </c>
      <c r="D336" s="77">
        <f t="shared" ca="1" si="35"/>
        <v>100</v>
      </c>
      <c r="E336" s="77">
        <f ca="1">AG335+IF(controls!$B$33=1,G336,F336)</f>
        <v>100</v>
      </c>
      <c r="F336" s="94">
        <f ca="1">IF(controls!$B$44=0,H336-'main page'!$K$27*M335,H336-'main page'!$K$27*M335+'main page'!$K$31*AB335)</f>
        <v>100</v>
      </c>
      <c r="G336" s="75">
        <f ca="1">IF(controls!$B$44=0,I336-'main page'!$K$27*M335,I336-'main page'!$K$27*M335+'main page'!$K$31*'normal case'!AB335)</f>
        <v>100</v>
      </c>
      <c r="H336" s="75">
        <f t="shared" ca="1" si="33"/>
        <v>108</v>
      </c>
      <c r="I336" s="75">
        <f t="shared" ca="1" si="34"/>
        <v>108</v>
      </c>
      <c r="L336" s="75">
        <f ca="1">IF(ABS('main page'!$K$29*L335+(1-'main page'!$K$29)*(controls!$B$9/100)*100+'main page'!$K$25*(D336-B336)-L335)&lt;0.0000001,L335,'main page'!$K$29*L335+(1-'main page'!$K$29)*(controls!$B$9/100)*100+'main page'!$K$25*(D336-B336))</f>
        <v>2</v>
      </c>
      <c r="M336" s="96">
        <f ca="1">IF(controls!$B$10=1,M335,IF(SUM(controls!$B$44:$B$46)=2,N336-'main page'!$K$29*'normal case'!L336-(1-'main page'!$K$29)*'main page'!$K$32,N336-'main page'!$K$29*'normal case'!L336-(1-'main page'!$K$29)*controls!$B$9))</f>
        <v>4</v>
      </c>
      <c r="N336" s="208">
        <f ca="1">IF(controls!$B$45=1,IF(controls!$B$46=1,'main page'!$K$24+'main page'!$K$11+'main page'!$U$8,'main page'!$K$24+'main page'!$K$11+'main page'!$K$32),IF(controls!$B$44=1,IF(O336&lt;0,0,O336),IF(O336+'main page'!$K$11&lt;0,0,O336+'main page'!$K$11)))</f>
        <v>6</v>
      </c>
      <c r="O336" s="76">
        <f ca="1">IF(controls!$B$10=1,'normal case'!M336+'normal case'!L336,'normal case'!P336)</f>
        <v>6</v>
      </c>
      <c r="P336" s="74">
        <f t="shared" ca="1" si="36"/>
        <v>6</v>
      </c>
      <c r="Q336" s="210">
        <f ca="1">IF(controls!$B$44=0,R336+'main page'!$K$29*L336+(1-'main page'!$K$29)*controls!$B$9+(('main page'!$K$25*'main page'!$U$13*'main page'!$K$29)/('main page'!$K$27*(1+('main page'!$K$25^2)*'main page'!$U$13)))*(L336-controls!$B$9),R336+'main page'!$K$29*L336+(1-'main page'!$K$29)*controls!$B$9+(('main page'!$K$25*'main page'!$U$13*'normal case'!$AO$3)/'normal case'!$AO$4)*('normal case'!L336-controls!$B$9))</f>
        <v>6</v>
      </c>
      <c r="R336" s="98">
        <f ca="1">IF(controls!$B$44=1,'main page'!$K$24+'main page'!$K$11,IF(controls!$B$33=1,((I337-D336*W337-B337+B336*V337)/'main page'!$K$27)-'main page'!$K$11,((H337-D336*W337-B337+B336*V337)/'main page'!$K$27)-'main page'!$K$11))</f>
        <v>4</v>
      </c>
      <c r="T336" s="71">
        <f>IF(controls!$B$6=1,$AL$3*(1+('main page'!$K$35/100))^U336-$AL$3*(1+('main page'!$K$35/100))^U335,$AL$3*(1+('main page'!$G$8/100))*(1+('main page'!$K$35/100))^U336-$AL$3*(1+('main page'!$G$8/100))*(1+('main page'!$K$35/100))^U335)</f>
        <v>0</v>
      </c>
      <c r="U336" s="73">
        <v>329</v>
      </c>
      <c r="V336" s="161">
        <v>0</v>
      </c>
      <c r="W336" s="40">
        <v>0</v>
      </c>
      <c r="X336" s="49">
        <f ca="1">IF(controls!$B$33=1,D336-($I$3-'main page'!$K$27*2)*(1+('main page'!$K$35/100))^A335,D336-$AL$4)</f>
        <v>0</v>
      </c>
      <c r="Y336" s="49">
        <f ca="1">ABS(L336-(controls!$B$9/100)*100)</f>
        <v>0</v>
      </c>
      <c r="AA336" s="49" t="e">
        <f ca="1">IF(controls!$B$33=1,(B337-B336*V337-I337+D336*W337+'main page'!$K$27*('main page'!$K$24+'main page'!$K$11))/'main page'!$K$31,(B337-B336*V337+D336*W337-H337+'main page'!$K$27*('main page'!$K$24+'main page'!$K$11))/'main page'!$K$31)</f>
        <v>#DIV/0!</v>
      </c>
      <c r="AB336" s="49" t="e">
        <f ca="1">IF(controls!$B$45=1,LOG(AF336,1.01)+LOG(AE336,1.01)-LOG(AD336,1.01),-((M336-('main page'!$K$24+'main page'!$K$11))/(1-'normal case'!$AO$3))+'normal case'!AA336)</f>
        <v>#DIV/0!</v>
      </c>
      <c r="AC336" s="176" t="e">
        <f t="shared" ca="1" si="37"/>
        <v>#DIV/0!</v>
      </c>
      <c r="AD336" s="49">
        <f t="shared" ca="1" si="38"/>
        <v>730.8987122587597</v>
      </c>
      <c r="AE336" s="49">
        <f>AE335*(1+'main page'!$K$32/100)</f>
        <v>1</v>
      </c>
      <c r="AF336" s="49" t="e">
        <f ca="1">IF(ABS(IF(controls!$B$45=1,$AL$13,AD336*AC336/AE336)-AF335)&lt;0.00001,AF335,IF(controls!$B$45=1,$AL$13,AD336*AC336/AE336))</f>
        <v>#DIV/0!</v>
      </c>
      <c r="AG336" s="49">
        <f>IF(controls!$B$46=0,0,IF(controls!$B$33=2,B337-B336*V337-('normal case'!H337-D336*W337-'main page'!$K$27*'normal case'!M336+'main page'!$K$31*'normal case'!AB336)-(('main page'!$K$25*'main page'!$U$13*'main page'!$K$29)/(1+('main page'!$K$25^2)*'main page'!$U$13))*('normal case'!L336-'main page'!$U$8),B337-B336*V337-('normal case'!I337-D336*W337-'main page'!$K$27*'normal case'!M336+'main page'!$K$31*'normal case'!AB336)-(('main page'!$K$25*'main page'!$U$13*'main page'!$K$29)/(1+('main page'!$K$25^2)*'main page'!$U$13))*('normal case'!L336-'main page'!$U$8)))</f>
        <v>0</v>
      </c>
      <c r="AN336" s="40"/>
      <c r="AO336" s="40"/>
    </row>
    <row r="337" spans="1:41">
      <c r="A337" s="48">
        <v>335</v>
      </c>
      <c r="B337" s="75">
        <f ca="1">IF(controls!$B$33=1,B336*(1+V337)+T337,B336*(1+V337))</f>
        <v>100</v>
      </c>
      <c r="C337" s="80">
        <f t="shared" ca="1" si="39"/>
        <v>0</v>
      </c>
      <c r="D337" s="77">
        <f t="shared" ca="1" si="35"/>
        <v>100</v>
      </c>
      <c r="E337" s="77">
        <f ca="1">AG336+IF(controls!$B$33=1,G337,F337)</f>
        <v>100</v>
      </c>
      <c r="F337" s="94">
        <f ca="1">IF(controls!$B$44=0,H337-'main page'!$K$27*M336,H337-'main page'!$K$27*M336+'main page'!$K$31*AB336)</f>
        <v>100</v>
      </c>
      <c r="G337" s="75">
        <f ca="1">IF(controls!$B$44=0,I337-'main page'!$K$27*M336,I337-'main page'!$K$27*M336+'main page'!$K$31*'normal case'!AB336)</f>
        <v>100</v>
      </c>
      <c r="H337" s="75">
        <f t="shared" ca="1" si="33"/>
        <v>108</v>
      </c>
      <c r="I337" s="75">
        <f t="shared" ca="1" si="34"/>
        <v>108</v>
      </c>
      <c r="L337" s="75">
        <f ca="1">IF(ABS('main page'!$K$29*L336+(1-'main page'!$K$29)*(controls!$B$9/100)*100+'main page'!$K$25*(D337-B337)-L336)&lt;0.0000001,L336,'main page'!$K$29*L336+(1-'main page'!$K$29)*(controls!$B$9/100)*100+'main page'!$K$25*(D337-B337))</f>
        <v>2</v>
      </c>
      <c r="M337" s="96">
        <f ca="1">IF(controls!$B$10=1,M336,IF(SUM(controls!$B$44:$B$46)=2,N337-'main page'!$K$29*'normal case'!L337-(1-'main page'!$K$29)*'main page'!$K$32,N337-'main page'!$K$29*'normal case'!L337-(1-'main page'!$K$29)*controls!$B$9))</f>
        <v>4</v>
      </c>
      <c r="N337" s="208">
        <f ca="1">IF(controls!$B$45=1,IF(controls!$B$46=1,'main page'!$K$24+'main page'!$K$11+'main page'!$U$8,'main page'!$K$24+'main page'!$K$11+'main page'!$K$32),IF(controls!$B$44=1,IF(O337&lt;0,0,O337),IF(O337+'main page'!$K$11&lt;0,0,O337+'main page'!$K$11)))</f>
        <v>6</v>
      </c>
      <c r="O337" s="76">
        <f ca="1">IF(controls!$B$10=1,'normal case'!M337+'normal case'!L337,'normal case'!P337)</f>
        <v>6</v>
      </c>
      <c r="P337" s="74">
        <f t="shared" ca="1" si="36"/>
        <v>6</v>
      </c>
      <c r="Q337" s="210">
        <f ca="1">IF(controls!$B$44=0,R337+'main page'!$K$29*L337+(1-'main page'!$K$29)*controls!$B$9+(('main page'!$K$25*'main page'!$U$13*'main page'!$K$29)/('main page'!$K$27*(1+('main page'!$K$25^2)*'main page'!$U$13)))*(L337-controls!$B$9),R337+'main page'!$K$29*L337+(1-'main page'!$K$29)*controls!$B$9+(('main page'!$K$25*'main page'!$U$13*'normal case'!$AO$3)/'normal case'!$AO$4)*('normal case'!L337-controls!$B$9))</f>
        <v>6</v>
      </c>
      <c r="R337" s="98">
        <f ca="1">IF(controls!$B$44=1,'main page'!$K$24+'main page'!$K$11,IF(controls!$B$33=1,((I338-D337*W338-B338+B337*V338)/'main page'!$K$27)-'main page'!$K$11,((H338-D337*W338-B338+B337*V338)/'main page'!$K$27)-'main page'!$K$11))</f>
        <v>4</v>
      </c>
      <c r="T337" s="71">
        <f>IF(controls!$B$6=1,$AL$3*(1+('main page'!$K$35/100))^U337-$AL$3*(1+('main page'!$K$35/100))^U336,$AL$3*(1+('main page'!$G$8/100))*(1+('main page'!$K$35/100))^U337-$AL$3*(1+('main page'!$G$8/100))*(1+('main page'!$K$35/100))^U336)</f>
        <v>0</v>
      </c>
      <c r="U337" s="73">
        <v>330</v>
      </c>
      <c r="V337" s="161">
        <v>0</v>
      </c>
      <c r="W337" s="40">
        <v>0</v>
      </c>
      <c r="X337" s="49">
        <f ca="1">IF(controls!$B$33=1,D337-($I$3-'main page'!$K$27*2)*(1+('main page'!$K$35/100))^A336,D337-$AL$4)</f>
        <v>0</v>
      </c>
      <c r="Y337" s="49">
        <f ca="1">ABS(L337-(controls!$B$9/100)*100)</f>
        <v>0</v>
      </c>
      <c r="AA337" s="49" t="e">
        <f ca="1">IF(controls!$B$33=1,(B338-B337*V338-I338+D337*W338+'main page'!$K$27*('main page'!$K$24+'main page'!$K$11))/'main page'!$K$31,(B338-B337*V338+D337*W338-H338+'main page'!$K$27*('main page'!$K$24+'main page'!$K$11))/'main page'!$K$31)</f>
        <v>#DIV/0!</v>
      </c>
      <c r="AB337" s="49" t="e">
        <f ca="1">IF(controls!$B$45=1,LOG(AF337,1.01)+LOG(AE337,1.01)-LOG(AD337,1.01),-((M337-('main page'!$K$24+'main page'!$K$11))/(1-'normal case'!$AO$3))+'normal case'!AA337)</f>
        <v>#DIV/0!</v>
      </c>
      <c r="AC337" s="176" t="e">
        <f t="shared" ca="1" si="37"/>
        <v>#DIV/0!</v>
      </c>
      <c r="AD337" s="49">
        <f t="shared" ca="1" si="38"/>
        <v>745.51668650393492</v>
      </c>
      <c r="AE337" s="49">
        <f>AE336*(1+'main page'!$K$32/100)</f>
        <v>1</v>
      </c>
      <c r="AF337" s="49" t="e">
        <f ca="1">IF(ABS(IF(controls!$B$45=1,$AL$13,AD337*AC337/AE337)-AF336)&lt;0.00001,AF336,IF(controls!$B$45=1,$AL$13,AD337*AC337/AE337))</f>
        <v>#DIV/0!</v>
      </c>
      <c r="AG337" s="49">
        <f>IF(controls!$B$46=0,0,IF(controls!$B$33=2,B338-B337*V338-('normal case'!H338-D337*W338-'main page'!$K$27*'normal case'!M337+'main page'!$K$31*'normal case'!AB337)-(('main page'!$K$25*'main page'!$U$13*'main page'!$K$29)/(1+('main page'!$K$25^2)*'main page'!$U$13))*('normal case'!L337-'main page'!$U$8),B338-B337*V338-('normal case'!I338-D337*W338-'main page'!$K$27*'normal case'!M337+'main page'!$K$31*'normal case'!AB337)-(('main page'!$K$25*'main page'!$U$13*'main page'!$K$29)/(1+('main page'!$K$25^2)*'main page'!$U$13))*('normal case'!L337-'main page'!$U$8)))</f>
        <v>0</v>
      </c>
      <c r="AN337" s="40"/>
      <c r="AO337" s="40"/>
    </row>
    <row r="338" spans="1:41">
      <c r="A338" s="48">
        <v>336</v>
      </c>
      <c r="B338" s="75">
        <f ca="1">IF(controls!$B$33=1,B337*(1+V338)+T338,B337*(1+V338))</f>
        <v>100</v>
      </c>
      <c r="C338" s="80">
        <f t="shared" ca="1" si="39"/>
        <v>0</v>
      </c>
      <c r="D338" s="77">
        <f t="shared" ca="1" si="35"/>
        <v>100</v>
      </c>
      <c r="E338" s="77">
        <f ca="1">AG337+IF(controls!$B$33=1,G338,F338)</f>
        <v>100</v>
      </c>
      <c r="F338" s="94">
        <f ca="1">IF(controls!$B$44=0,H338-'main page'!$K$27*M337,H338-'main page'!$K$27*M337+'main page'!$K$31*AB337)</f>
        <v>100</v>
      </c>
      <c r="G338" s="75">
        <f ca="1">IF(controls!$B$44=0,I338-'main page'!$K$27*M337,I338-'main page'!$K$27*M337+'main page'!$K$31*'normal case'!AB337)</f>
        <v>100</v>
      </c>
      <c r="H338" s="75">
        <f t="shared" ca="1" si="33"/>
        <v>108</v>
      </c>
      <c r="I338" s="75">
        <f t="shared" ca="1" si="34"/>
        <v>108</v>
      </c>
      <c r="L338" s="75">
        <f ca="1">IF(ABS('main page'!$K$29*L337+(1-'main page'!$K$29)*(controls!$B$9/100)*100+'main page'!$K$25*(D338-B338)-L337)&lt;0.0000001,L337,'main page'!$K$29*L337+(1-'main page'!$K$29)*(controls!$B$9/100)*100+'main page'!$K$25*(D338-B338))</f>
        <v>2</v>
      </c>
      <c r="M338" s="96">
        <f ca="1">IF(controls!$B$10=1,M337,IF(SUM(controls!$B$44:$B$46)=2,N338-'main page'!$K$29*'normal case'!L338-(1-'main page'!$K$29)*'main page'!$K$32,N338-'main page'!$K$29*'normal case'!L338-(1-'main page'!$K$29)*controls!$B$9))</f>
        <v>4</v>
      </c>
      <c r="N338" s="208">
        <f ca="1">IF(controls!$B$45=1,IF(controls!$B$46=1,'main page'!$K$24+'main page'!$K$11+'main page'!$U$8,'main page'!$K$24+'main page'!$K$11+'main page'!$K$32),IF(controls!$B$44=1,IF(O338&lt;0,0,O338),IF(O338+'main page'!$K$11&lt;0,0,O338+'main page'!$K$11)))</f>
        <v>6</v>
      </c>
      <c r="O338" s="76">
        <f ca="1">IF(controls!$B$10=1,'normal case'!M338+'normal case'!L338,'normal case'!P338)</f>
        <v>6</v>
      </c>
      <c r="P338" s="74">
        <f t="shared" ca="1" si="36"/>
        <v>6</v>
      </c>
      <c r="Q338" s="210">
        <f ca="1">IF(controls!$B$44=0,R338+'main page'!$K$29*L338+(1-'main page'!$K$29)*controls!$B$9+(('main page'!$K$25*'main page'!$U$13*'main page'!$K$29)/('main page'!$K$27*(1+('main page'!$K$25^2)*'main page'!$U$13)))*(L338-controls!$B$9),R338+'main page'!$K$29*L338+(1-'main page'!$K$29)*controls!$B$9+(('main page'!$K$25*'main page'!$U$13*'normal case'!$AO$3)/'normal case'!$AO$4)*('normal case'!L338-controls!$B$9))</f>
        <v>6</v>
      </c>
      <c r="R338" s="98">
        <f ca="1">IF(controls!$B$44=1,'main page'!$K$24+'main page'!$K$11,IF(controls!$B$33=1,((I339-D338*W339-B339+B338*V339)/'main page'!$K$27)-'main page'!$K$11,((H339-D338*W339-B339+B338*V339)/'main page'!$K$27)-'main page'!$K$11))</f>
        <v>4</v>
      </c>
      <c r="T338" s="71">
        <f>IF(controls!$B$6=1,$AL$3*(1+('main page'!$K$35/100))^U338-$AL$3*(1+('main page'!$K$35/100))^U337,$AL$3*(1+('main page'!$G$8/100))*(1+('main page'!$K$35/100))^U338-$AL$3*(1+('main page'!$G$8/100))*(1+('main page'!$K$35/100))^U337)</f>
        <v>0</v>
      </c>
      <c r="U338" s="73">
        <v>331</v>
      </c>
      <c r="V338" s="161">
        <f ca="1">IF(controls!$B$4=1,IF(controls!$H337=1,controls!$B$34*V337+RAND()*('main page'!$K$16/100)-RAND()*('main page'!$K$16/100),0),0)</f>
        <v>0</v>
      </c>
      <c r="W338" s="40">
        <f ca="1">IF(controls!$B$4=1,IF(controls!$I337=1,controls!$B$34*W337+RAND()*('main page'!$K$16/100)-RAND()*('main page'!$K$16/100),0),0)</f>
        <v>0</v>
      </c>
      <c r="X338" s="49">
        <f ca="1">IF(controls!$B$33=1,D338-($I$3-'main page'!$K$27*2)*(1+('main page'!$K$35/100))^A337,D338-$AL$4)</f>
        <v>0</v>
      </c>
      <c r="Y338" s="49">
        <f ca="1">ABS(L338-(controls!$B$9/100)*100)</f>
        <v>0</v>
      </c>
      <c r="AA338" s="49" t="e">
        <f ca="1">IF(controls!$B$33=1,(B339-B338*V339-I339+D338*W339+'main page'!$K$27*('main page'!$K$24+'main page'!$K$11))/'main page'!$K$31,(B339-B338*V339+D338*W339-H339+'main page'!$K$27*('main page'!$K$24+'main page'!$K$11))/'main page'!$K$31)</f>
        <v>#DIV/0!</v>
      </c>
      <c r="AB338" s="49" t="e">
        <f ca="1">IF(controls!$B$45=1,LOG(AF338,1.01)+LOG(AE338,1.01)-LOG(AD338,1.01),-((M338-('main page'!$K$24+'main page'!$K$11))/(1-'normal case'!$AO$3))+'normal case'!AA338)</f>
        <v>#DIV/0!</v>
      </c>
      <c r="AC338" s="176" t="e">
        <f t="shared" ca="1" si="37"/>
        <v>#DIV/0!</v>
      </c>
      <c r="AD338" s="49">
        <f t="shared" ca="1" si="38"/>
        <v>760.42702023401364</v>
      </c>
      <c r="AE338" s="49">
        <f>AE337*(1+'main page'!$K$32/100)</f>
        <v>1</v>
      </c>
      <c r="AF338" s="49" t="e">
        <f ca="1">IF(ABS(IF(controls!$B$45=1,$AL$13,AD338*AC338/AE338)-AF337)&lt;0.00001,AF337,IF(controls!$B$45=1,$AL$13,AD338*AC338/AE338))</f>
        <v>#DIV/0!</v>
      </c>
      <c r="AG338" s="49">
        <f>IF(controls!$B$46=0,0,IF(controls!$B$33=2,B339-B338*V339-('normal case'!H339-D338*W339-'main page'!$K$27*'normal case'!M338+'main page'!$K$31*'normal case'!AB338)-(('main page'!$K$25*'main page'!$U$13*'main page'!$K$29)/(1+('main page'!$K$25^2)*'main page'!$U$13))*('normal case'!L338-'main page'!$U$8),B339-B338*V339-('normal case'!I339-D338*W339-'main page'!$K$27*'normal case'!M338+'main page'!$K$31*'normal case'!AB338)-(('main page'!$K$25*'main page'!$U$13*'main page'!$K$29)/(1+('main page'!$K$25^2)*'main page'!$U$13))*('normal case'!L338-'main page'!$U$8)))</f>
        <v>0</v>
      </c>
      <c r="AN338" s="40"/>
      <c r="AO338" s="40"/>
    </row>
    <row r="339" spans="1:41">
      <c r="A339" s="48">
        <v>337</v>
      </c>
      <c r="B339" s="75">
        <f ca="1">IF(controls!$B$33=1,B338*(1+V339)+T339,B338*(1+V339))</f>
        <v>100</v>
      </c>
      <c r="C339" s="80">
        <f t="shared" ca="1" si="39"/>
        <v>0</v>
      </c>
      <c r="D339" s="77">
        <f t="shared" ca="1" si="35"/>
        <v>100</v>
      </c>
      <c r="E339" s="77">
        <f ca="1">AG338+IF(controls!$B$33=1,G339,F339)</f>
        <v>100</v>
      </c>
      <c r="F339" s="94">
        <f ca="1">IF(controls!$B$44=0,H339-'main page'!$K$27*M338,H339-'main page'!$K$27*M338+'main page'!$K$31*AB338)</f>
        <v>100</v>
      </c>
      <c r="G339" s="75">
        <f ca="1">IF(controls!$B$44=0,I339-'main page'!$K$27*M338,I339-'main page'!$K$27*M338+'main page'!$K$31*'normal case'!AB338)</f>
        <v>100</v>
      </c>
      <c r="H339" s="75">
        <f t="shared" ca="1" si="33"/>
        <v>108</v>
      </c>
      <c r="I339" s="75">
        <f t="shared" ca="1" si="34"/>
        <v>108</v>
      </c>
      <c r="L339" s="75">
        <f ca="1">IF(ABS('main page'!$K$29*L338+(1-'main page'!$K$29)*(controls!$B$9/100)*100+'main page'!$K$25*(D339-B339)-L338)&lt;0.0000001,L338,'main page'!$K$29*L338+(1-'main page'!$K$29)*(controls!$B$9/100)*100+'main page'!$K$25*(D339-B339))</f>
        <v>2</v>
      </c>
      <c r="M339" s="96">
        <f ca="1">IF(controls!$B$10=1,M338,IF(SUM(controls!$B$44:$B$46)=2,N339-'main page'!$K$29*'normal case'!L339-(1-'main page'!$K$29)*'main page'!$K$32,N339-'main page'!$K$29*'normal case'!L339-(1-'main page'!$K$29)*controls!$B$9))</f>
        <v>4</v>
      </c>
      <c r="N339" s="208">
        <f ca="1">IF(controls!$B$45=1,IF(controls!$B$46=1,'main page'!$K$24+'main page'!$K$11+'main page'!$U$8,'main page'!$K$24+'main page'!$K$11+'main page'!$K$32),IF(controls!$B$44=1,IF(O339&lt;0,0,O339),IF(O339+'main page'!$K$11&lt;0,0,O339+'main page'!$K$11)))</f>
        <v>6</v>
      </c>
      <c r="O339" s="76">
        <f ca="1">IF(controls!$B$10=1,'normal case'!M339+'normal case'!L339,'normal case'!P339)</f>
        <v>6</v>
      </c>
      <c r="P339" s="74">
        <f t="shared" ca="1" si="36"/>
        <v>6</v>
      </c>
      <c r="Q339" s="210">
        <f ca="1">IF(controls!$B$44=0,R339+'main page'!$K$29*L339+(1-'main page'!$K$29)*controls!$B$9+(('main page'!$K$25*'main page'!$U$13*'main page'!$K$29)/('main page'!$K$27*(1+('main page'!$K$25^2)*'main page'!$U$13)))*(L339-controls!$B$9),R339+'main page'!$K$29*L339+(1-'main page'!$K$29)*controls!$B$9+(('main page'!$K$25*'main page'!$U$13*'normal case'!$AO$3)/'normal case'!$AO$4)*('normal case'!L339-controls!$B$9))</f>
        <v>6</v>
      </c>
      <c r="R339" s="98">
        <f ca="1">IF(controls!$B$44=1,'main page'!$K$24+'main page'!$K$11,IF(controls!$B$33=1,((I340-D339*W340-B340+B339*V340)/'main page'!$K$27)-'main page'!$K$11,((H340-D339*W340-B340+B339*V340)/'main page'!$K$27)-'main page'!$K$11))</f>
        <v>4</v>
      </c>
      <c r="T339" s="71">
        <f>IF(controls!$B$6=1,$AL$3*(1+('main page'!$K$35/100))^U339-$AL$3*(1+('main page'!$K$35/100))^U338,$AL$3*(1+('main page'!$G$8/100))*(1+('main page'!$K$35/100))^U339-$AL$3*(1+('main page'!$G$8/100))*(1+('main page'!$K$35/100))^U338)</f>
        <v>0</v>
      </c>
      <c r="U339" s="73">
        <v>332</v>
      </c>
      <c r="V339" s="161">
        <v>0</v>
      </c>
      <c r="W339" s="40">
        <v>0</v>
      </c>
      <c r="X339" s="49">
        <f ca="1">IF(controls!$B$33=1,D339-($I$3-'main page'!$K$27*2)*(1+('main page'!$K$35/100))^A338,D339-$AL$4)</f>
        <v>0</v>
      </c>
      <c r="Y339" s="49">
        <f ca="1">ABS(L339-(controls!$B$9/100)*100)</f>
        <v>0</v>
      </c>
      <c r="AA339" s="49" t="e">
        <f ca="1">IF(controls!$B$33=1,(B340-B339*V340-I340+D339*W340+'main page'!$K$27*('main page'!$K$24+'main page'!$K$11))/'main page'!$K$31,(B340-B339*V340+D339*W340-H340+'main page'!$K$27*('main page'!$K$24+'main page'!$K$11))/'main page'!$K$31)</f>
        <v>#DIV/0!</v>
      </c>
      <c r="AB339" s="49" t="e">
        <f ca="1">IF(controls!$B$45=1,LOG(AF339,1.01)+LOG(AE339,1.01)-LOG(AD339,1.01),-((M339-('main page'!$K$24+'main page'!$K$11))/(1-'normal case'!$AO$3))+'normal case'!AA339)</f>
        <v>#DIV/0!</v>
      </c>
      <c r="AC339" s="176" t="e">
        <f t="shared" ca="1" si="37"/>
        <v>#DIV/0!</v>
      </c>
      <c r="AD339" s="49">
        <f t="shared" ca="1" si="38"/>
        <v>775.63556063869396</v>
      </c>
      <c r="AE339" s="49">
        <f>AE338*(1+'main page'!$K$32/100)</f>
        <v>1</v>
      </c>
      <c r="AF339" s="49" t="e">
        <f ca="1">IF(ABS(IF(controls!$B$45=1,$AL$13,AD339*AC339/AE339)-AF338)&lt;0.00001,AF338,IF(controls!$B$45=1,$AL$13,AD339*AC339/AE339))</f>
        <v>#DIV/0!</v>
      </c>
      <c r="AG339" s="49">
        <f>IF(controls!$B$46=0,0,IF(controls!$B$33=2,B340-B339*V340-('normal case'!H340-D339*W340-'main page'!$K$27*'normal case'!M339+'main page'!$K$31*'normal case'!AB339)-(('main page'!$K$25*'main page'!$U$13*'main page'!$K$29)/(1+('main page'!$K$25^2)*'main page'!$U$13))*('normal case'!L339-'main page'!$U$8),B340-B339*V340-('normal case'!I340-D339*W340-'main page'!$K$27*'normal case'!M339+'main page'!$K$31*'normal case'!AB339)-(('main page'!$K$25*'main page'!$U$13*'main page'!$K$29)/(1+('main page'!$K$25^2)*'main page'!$U$13))*('normal case'!L339-'main page'!$U$8)))</f>
        <v>0</v>
      </c>
      <c r="AN339" s="40"/>
      <c r="AO339" s="40"/>
    </row>
    <row r="340" spans="1:41">
      <c r="A340" s="48">
        <v>338</v>
      </c>
      <c r="B340" s="75">
        <f ca="1">IF(controls!$B$33=1,B339*(1+V340)+T340,B339*(1+V340))</f>
        <v>100</v>
      </c>
      <c r="C340" s="80">
        <f t="shared" ca="1" si="39"/>
        <v>0</v>
      </c>
      <c r="D340" s="77">
        <f t="shared" ca="1" si="35"/>
        <v>100</v>
      </c>
      <c r="E340" s="77">
        <f ca="1">AG339+IF(controls!$B$33=1,G340,F340)</f>
        <v>100</v>
      </c>
      <c r="F340" s="94">
        <f ca="1">IF(controls!$B$44=0,H340-'main page'!$K$27*M339,H340-'main page'!$K$27*M339+'main page'!$K$31*AB339)</f>
        <v>100</v>
      </c>
      <c r="G340" s="75">
        <f ca="1">IF(controls!$B$44=0,I340-'main page'!$K$27*M339,I340-'main page'!$K$27*M339+'main page'!$K$31*'normal case'!AB339)</f>
        <v>100</v>
      </c>
      <c r="H340" s="75">
        <f t="shared" ca="1" si="33"/>
        <v>108</v>
      </c>
      <c r="I340" s="75">
        <f t="shared" ca="1" si="34"/>
        <v>108</v>
      </c>
      <c r="L340" s="75">
        <f ca="1">IF(ABS('main page'!$K$29*L339+(1-'main page'!$K$29)*(controls!$B$9/100)*100+'main page'!$K$25*(D340-B340)-L339)&lt;0.0000001,L339,'main page'!$K$29*L339+(1-'main page'!$K$29)*(controls!$B$9/100)*100+'main page'!$K$25*(D340-B340))</f>
        <v>2</v>
      </c>
      <c r="M340" s="96">
        <f ca="1">IF(controls!$B$10=1,M339,IF(SUM(controls!$B$44:$B$46)=2,N340-'main page'!$K$29*'normal case'!L340-(1-'main page'!$K$29)*'main page'!$K$32,N340-'main page'!$K$29*'normal case'!L340-(1-'main page'!$K$29)*controls!$B$9))</f>
        <v>4</v>
      </c>
      <c r="N340" s="208">
        <f ca="1">IF(controls!$B$45=1,IF(controls!$B$46=1,'main page'!$K$24+'main page'!$K$11+'main page'!$U$8,'main page'!$K$24+'main page'!$K$11+'main page'!$K$32),IF(controls!$B$44=1,IF(O340&lt;0,0,O340),IF(O340+'main page'!$K$11&lt;0,0,O340+'main page'!$K$11)))</f>
        <v>6</v>
      </c>
      <c r="O340" s="76">
        <f ca="1">IF(controls!$B$10=1,'normal case'!M340+'normal case'!L340,'normal case'!P340)</f>
        <v>6</v>
      </c>
      <c r="P340" s="74">
        <f t="shared" ca="1" si="36"/>
        <v>6</v>
      </c>
      <c r="Q340" s="210">
        <f ca="1">IF(controls!$B$44=0,R340+'main page'!$K$29*L340+(1-'main page'!$K$29)*controls!$B$9+(('main page'!$K$25*'main page'!$U$13*'main page'!$K$29)/('main page'!$K$27*(1+('main page'!$K$25^2)*'main page'!$U$13)))*(L340-controls!$B$9),R340+'main page'!$K$29*L340+(1-'main page'!$K$29)*controls!$B$9+(('main page'!$K$25*'main page'!$U$13*'normal case'!$AO$3)/'normal case'!$AO$4)*('normal case'!L340-controls!$B$9))</f>
        <v>6</v>
      </c>
      <c r="R340" s="98">
        <f ca="1">IF(controls!$B$44=1,'main page'!$K$24+'main page'!$K$11,IF(controls!$B$33=1,((I341-D340*W341-B341+B340*V341)/'main page'!$K$27)-'main page'!$K$11,((H341-D340*W341-B341+B340*V341)/'main page'!$K$27)-'main page'!$K$11))</f>
        <v>4</v>
      </c>
      <c r="T340" s="71">
        <f>IF(controls!$B$6=1,$AL$3*(1+('main page'!$K$35/100))^U340-$AL$3*(1+('main page'!$K$35/100))^U339,$AL$3*(1+('main page'!$G$8/100))*(1+('main page'!$K$35/100))^U340-$AL$3*(1+('main page'!$G$8/100))*(1+('main page'!$K$35/100))^U339)</f>
        <v>0</v>
      </c>
      <c r="U340" s="73">
        <v>333</v>
      </c>
      <c r="V340" s="161">
        <v>0</v>
      </c>
      <c r="W340" s="40">
        <v>0</v>
      </c>
      <c r="X340" s="49">
        <f ca="1">IF(controls!$B$33=1,D340-($I$3-'main page'!$K$27*2)*(1+('main page'!$K$35/100))^A339,D340-$AL$4)</f>
        <v>0</v>
      </c>
      <c r="Y340" s="49">
        <f ca="1">ABS(L340-(controls!$B$9/100)*100)</f>
        <v>0</v>
      </c>
      <c r="AA340" s="49" t="e">
        <f ca="1">IF(controls!$B$33=1,(B341-B340*V341-I341+D340*W341+'main page'!$K$27*('main page'!$K$24+'main page'!$K$11))/'main page'!$K$31,(B341-B340*V341+D340*W341-H341+'main page'!$K$27*('main page'!$K$24+'main page'!$K$11))/'main page'!$K$31)</f>
        <v>#DIV/0!</v>
      </c>
      <c r="AB340" s="49" t="e">
        <f ca="1">IF(controls!$B$45=1,LOG(AF340,1.01)+LOG(AE340,1.01)-LOG(AD340,1.01),-((M340-('main page'!$K$24+'main page'!$K$11))/(1-'normal case'!$AO$3))+'normal case'!AA340)</f>
        <v>#DIV/0!</v>
      </c>
      <c r="AC340" s="176" t="e">
        <f t="shared" ca="1" si="37"/>
        <v>#DIV/0!</v>
      </c>
      <c r="AD340" s="49">
        <f t="shared" ca="1" si="38"/>
        <v>791.14827185146783</v>
      </c>
      <c r="AE340" s="49">
        <f>AE339*(1+'main page'!$K$32/100)</f>
        <v>1</v>
      </c>
      <c r="AF340" s="49" t="e">
        <f ca="1">IF(ABS(IF(controls!$B$45=1,$AL$13,AD340*AC340/AE340)-AF339)&lt;0.00001,AF339,IF(controls!$B$45=1,$AL$13,AD340*AC340/AE340))</f>
        <v>#DIV/0!</v>
      </c>
      <c r="AG340" s="49">
        <f>IF(controls!$B$46=0,0,IF(controls!$B$33=2,B341-B340*V341-('normal case'!H341-D340*W341-'main page'!$K$27*'normal case'!M340+'main page'!$K$31*'normal case'!AB340)-(('main page'!$K$25*'main page'!$U$13*'main page'!$K$29)/(1+('main page'!$K$25^2)*'main page'!$U$13))*('normal case'!L340-'main page'!$U$8),B341-B340*V341-('normal case'!I341-D340*W341-'main page'!$K$27*'normal case'!M340+'main page'!$K$31*'normal case'!AB340)-(('main page'!$K$25*'main page'!$U$13*'main page'!$K$29)/(1+('main page'!$K$25^2)*'main page'!$U$13))*('normal case'!L340-'main page'!$U$8)))</f>
        <v>0</v>
      </c>
      <c r="AN340" s="40"/>
      <c r="AO340" s="40"/>
    </row>
    <row r="341" spans="1:41">
      <c r="A341" s="48">
        <v>339</v>
      </c>
      <c r="B341" s="75">
        <f ca="1">IF(controls!$B$33=1,B340*(1+V341)+T341,B340*(1+V341))</f>
        <v>100</v>
      </c>
      <c r="C341" s="80">
        <f t="shared" ca="1" si="39"/>
        <v>0</v>
      </c>
      <c r="D341" s="77">
        <f t="shared" ca="1" si="35"/>
        <v>100</v>
      </c>
      <c r="E341" s="77">
        <f ca="1">AG340+IF(controls!$B$33=1,G341,F341)</f>
        <v>100</v>
      </c>
      <c r="F341" s="94">
        <f ca="1">IF(controls!$B$44=0,H341-'main page'!$K$27*M340,H341-'main page'!$K$27*M340+'main page'!$K$31*AB340)</f>
        <v>100</v>
      </c>
      <c r="G341" s="75">
        <f ca="1">IF(controls!$B$44=0,I341-'main page'!$K$27*M340,I341-'main page'!$K$27*M340+'main page'!$K$31*'normal case'!AB340)</f>
        <v>100</v>
      </c>
      <c r="H341" s="75">
        <f t="shared" ca="1" si="33"/>
        <v>108</v>
      </c>
      <c r="I341" s="75">
        <f t="shared" ca="1" si="34"/>
        <v>108</v>
      </c>
      <c r="L341" s="75">
        <f ca="1">IF(ABS('main page'!$K$29*L340+(1-'main page'!$K$29)*(controls!$B$9/100)*100+'main page'!$K$25*(D341-B341)-L340)&lt;0.0000001,L340,'main page'!$K$29*L340+(1-'main page'!$K$29)*(controls!$B$9/100)*100+'main page'!$K$25*(D341-B341))</f>
        <v>2</v>
      </c>
      <c r="M341" s="96">
        <f ca="1">IF(controls!$B$10=1,M340,IF(SUM(controls!$B$44:$B$46)=2,N341-'main page'!$K$29*'normal case'!L341-(1-'main page'!$K$29)*'main page'!$K$32,N341-'main page'!$K$29*'normal case'!L341-(1-'main page'!$K$29)*controls!$B$9))</f>
        <v>4</v>
      </c>
      <c r="N341" s="208">
        <f ca="1">IF(controls!$B$45=1,IF(controls!$B$46=1,'main page'!$K$24+'main page'!$K$11+'main page'!$U$8,'main page'!$K$24+'main page'!$K$11+'main page'!$K$32),IF(controls!$B$44=1,IF(O341&lt;0,0,O341),IF(O341+'main page'!$K$11&lt;0,0,O341+'main page'!$K$11)))</f>
        <v>6</v>
      </c>
      <c r="O341" s="76">
        <f ca="1">IF(controls!$B$10=1,'normal case'!M341+'normal case'!L341,'normal case'!P341)</f>
        <v>6</v>
      </c>
      <c r="P341" s="74">
        <f t="shared" ca="1" si="36"/>
        <v>6</v>
      </c>
      <c r="Q341" s="210">
        <f ca="1">IF(controls!$B$44=0,R341+'main page'!$K$29*L341+(1-'main page'!$K$29)*controls!$B$9+(('main page'!$K$25*'main page'!$U$13*'main page'!$K$29)/('main page'!$K$27*(1+('main page'!$K$25^2)*'main page'!$U$13)))*(L341-controls!$B$9),R341+'main page'!$K$29*L341+(1-'main page'!$K$29)*controls!$B$9+(('main page'!$K$25*'main page'!$U$13*'normal case'!$AO$3)/'normal case'!$AO$4)*('normal case'!L341-controls!$B$9))</f>
        <v>6</v>
      </c>
      <c r="R341" s="98">
        <f ca="1">IF(controls!$B$44=1,'main page'!$K$24+'main page'!$K$11,IF(controls!$B$33=1,((I342-D341*W342-B342+B341*V342)/'main page'!$K$27)-'main page'!$K$11,((H342-D341*W342-B342+B341*V342)/'main page'!$K$27)-'main page'!$K$11))</f>
        <v>4</v>
      </c>
      <c r="T341" s="71">
        <f>IF(controls!$B$6=1,$AL$3*(1+('main page'!$K$35/100))^U341-$AL$3*(1+('main page'!$K$35/100))^U340,$AL$3*(1+('main page'!$G$8/100))*(1+('main page'!$K$35/100))^U341-$AL$3*(1+('main page'!$G$8/100))*(1+('main page'!$K$35/100))^U340)</f>
        <v>0</v>
      </c>
      <c r="U341" s="73">
        <v>334</v>
      </c>
      <c r="V341" s="161">
        <f ca="1">IF(controls!$B$4=1,IF(controls!$H340=1,controls!$B$34*V340+RAND()*('main page'!$K$16/100)-RAND()*('main page'!$K$16/100),0),0)</f>
        <v>0</v>
      </c>
      <c r="W341" s="40">
        <f ca="1">IF(controls!$B$4=1,IF(controls!$I340=1,controls!$B$34*W340+RAND()*('main page'!$K$16/100)-RAND()*('main page'!$K$16/100),0),0)</f>
        <v>0</v>
      </c>
      <c r="X341" s="49">
        <f ca="1">IF(controls!$B$33=1,D341-($I$3-'main page'!$K$27*2)*(1+('main page'!$K$35/100))^A340,D341-$AL$4)</f>
        <v>0</v>
      </c>
      <c r="Y341" s="49">
        <f ca="1">ABS(L341-(controls!$B$9/100)*100)</f>
        <v>0</v>
      </c>
      <c r="AA341" s="49" t="e">
        <f ca="1">IF(controls!$B$33=1,(B342-B341*V342-I342+D341*W342+'main page'!$K$27*('main page'!$K$24+'main page'!$K$11))/'main page'!$K$31,(B342-B341*V342+D341*W342-H342+'main page'!$K$27*('main page'!$K$24+'main page'!$K$11))/'main page'!$K$31)</f>
        <v>#DIV/0!</v>
      </c>
      <c r="AB341" s="49" t="e">
        <f ca="1">IF(controls!$B$45=1,LOG(AF341,1.01)+LOG(AE341,1.01)-LOG(AD341,1.01),-((M341-('main page'!$K$24+'main page'!$K$11))/(1-'normal case'!$AO$3))+'normal case'!AA341)</f>
        <v>#DIV/0!</v>
      </c>
      <c r="AC341" s="176" t="e">
        <f t="shared" ca="1" si="37"/>
        <v>#DIV/0!</v>
      </c>
      <c r="AD341" s="49">
        <f t="shared" ca="1" si="38"/>
        <v>806.97123728849715</v>
      </c>
      <c r="AE341" s="49">
        <f>AE340*(1+'main page'!$K$32/100)</f>
        <v>1</v>
      </c>
      <c r="AF341" s="49" t="e">
        <f ca="1">IF(ABS(IF(controls!$B$45=1,$AL$13,AD341*AC341/AE341)-AF340)&lt;0.00001,AF340,IF(controls!$B$45=1,$AL$13,AD341*AC341/AE341))</f>
        <v>#DIV/0!</v>
      </c>
      <c r="AG341" s="49">
        <f>IF(controls!$B$46=0,0,IF(controls!$B$33=2,B342-B341*V342-('normal case'!H342-D341*W342-'main page'!$K$27*'normal case'!M341+'main page'!$K$31*'normal case'!AB341)-(('main page'!$K$25*'main page'!$U$13*'main page'!$K$29)/(1+('main page'!$K$25^2)*'main page'!$U$13))*('normal case'!L341-'main page'!$U$8),B342-B341*V342-('normal case'!I342-D341*W342-'main page'!$K$27*'normal case'!M341+'main page'!$K$31*'normal case'!AB341)-(('main page'!$K$25*'main page'!$U$13*'main page'!$K$29)/(1+('main page'!$K$25^2)*'main page'!$U$13))*('normal case'!L341-'main page'!$U$8)))</f>
        <v>0</v>
      </c>
      <c r="AN341" s="40"/>
      <c r="AO341" s="40"/>
    </row>
    <row r="342" spans="1:41">
      <c r="A342" s="48">
        <v>340</v>
      </c>
      <c r="B342" s="75">
        <f ca="1">IF(controls!$B$33=1,B341*(1+V342)+T342,B341*(1+V342))</f>
        <v>100</v>
      </c>
      <c r="C342" s="80">
        <f t="shared" ca="1" si="39"/>
        <v>0</v>
      </c>
      <c r="D342" s="77">
        <f t="shared" ca="1" si="35"/>
        <v>100</v>
      </c>
      <c r="E342" s="77">
        <f ca="1">AG341+IF(controls!$B$33=1,G342,F342)</f>
        <v>100</v>
      </c>
      <c r="F342" s="94">
        <f ca="1">IF(controls!$B$44=0,H342-'main page'!$K$27*M341,H342-'main page'!$K$27*M341+'main page'!$K$31*AB341)</f>
        <v>100</v>
      </c>
      <c r="G342" s="75">
        <f ca="1">IF(controls!$B$44=0,I342-'main page'!$K$27*M341,I342-'main page'!$K$27*M341+'main page'!$K$31*'normal case'!AB341)</f>
        <v>100</v>
      </c>
      <c r="H342" s="75">
        <f t="shared" ca="1" si="33"/>
        <v>108</v>
      </c>
      <c r="I342" s="75">
        <f t="shared" ca="1" si="34"/>
        <v>108</v>
      </c>
      <c r="L342" s="75">
        <f ca="1">IF(ABS('main page'!$K$29*L341+(1-'main page'!$K$29)*(controls!$B$9/100)*100+'main page'!$K$25*(D342-B342)-L341)&lt;0.0000001,L341,'main page'!$K$29*L341+(1-'main page'!$K$29)*(controls!$B$9/100)*100+'main page'!$K$25*(D342-B342))</f>
        <v>2</v>
      </c>
      <c r="M342" s="96">
        <f ca="1">IF(controls!$B$10=1,M341,IF(SUM(controls!$B$44:$B$46)=2,N342-'main page'!$K$29*'normal case'!L342-(1-'main page'!$K$29)*'main page'!$K$32,N342-'main page'!$K$29*'normal case'!L342-(1-'main page'!$K$29)*controls!$B$9))</f>
        <v>4</v>
      </c>
      <c r="N342" s="208">
        <f ca="1">IF(controls!$B$45=1,IF(controls!$B$46=1,'main page'!$K$24+'main page'!$K$11+'main page'!$U$8,'main page'!$K$24+'main page'!$K$11+'main page'!$K$32),IF(controls!$B$44=1,IF(O342&lt;0,0,O342),IF(O342+'main page'!$K$11&lt;0,0,O342+'main page'!$K$11)))</f>
        <v>6</v>
      </c>
      <c r="O342" s="76">
        <f ca="1">IF(controls!$B$10=1,'normal case'!M342+'normal case'!L342,'normal case'!P342)</f>
        <v>6</v>
      </c>
      <c r="P342" s="74">
        <f t="shared" ca="1" si="36"/>
        <v>6</v>
      </c>
      <c r="Q342" s="210">
        <f ca="1">IF(controls!$B$44=0,R342+'main page'!$K$29*L342+(1-'main page'!$K$29)*controls!$B$9+(('main page'!$K$25*'main page'!$U$13*'main page'!$K$29)/('main page'!$K$27*(1+('main page'!$K$25^2)*'main page'!$U$13)))*(L342-controls!$B$9),R342+'main page'!$K$29*L342+(1-'main page'!$K$29)*controls!$B$9+(('main page'!$K$25*'main page'!$U$13*'normal case'!$AO$3)/'normal case'!$AO$4)*('normal case'!L342-controls!$B$9))</f>
        <v>6</v>
      </c>
      <c r="R342" s="98">
        <f ca="1">IF(controls!$B$44=1,'main page'!$K$24+'main page'!$K$11,IF(controls!$B$33=1,((I343-D342*W343-B343+B342*V343)/'main page'!$K$27)-'main page'!$K$11,((H343-D342*W343-B343+B342*V343)/'main page'!$K$27)-'main page'!$K$11))</f>
        <v>4</v>
      </c>
      <c r="T342" s="71">
        <f>IF(controls!$B$6=1,$AL$3*(1+('main page'!$K$35/100))^U342-$AL$3*(1+('main page'!$K$35/100))^U341,$AL$3*(1+('main page'!$G$8/100))*(1+('main page'!$K$35/100))^U342-$AL$3*(1+('main page'!$G$8/100))*(1+('main page'!$K$35/100))^U341)</f>
        <v>0</v>
      </c>
      <c r="U342" s="73">
        <v>335</v>
      </c>
      <c r="V342" s="161">
        <v>0</v>
      </c>
      <c r="W342" s="40">
        <v>0</v>
      </c>
      <c r="X342" s="49">
        <f ca="1">IF(controls!$B$33=1,D342-($I$3-'main page'!$K$27*2)*(1+('main page'!$K$35/100))^A341,D342-$AL$4)</f>
        <v>0</v>
      </c>
      <c r="Y342" s="49">
        <f ca="1">ABS(L342-(controls!$B$9/100)*100)</f>
        <v>0</v>
      </c>
      <c r="AA342" s="49" t="e">
        <f ca="1">IF(controls!$B$33=1,(B343-B342*V343-I343+D342*W343+'main page'!$K$27*('main page'!$K$24+'main page'!$K$11))/'main page'!$K$31,(B343-B342*V343+D342*W343-H343+'main page'!$K$27*('main page'!$K$24+'main page'!$K$11))/'main page'!$K$31)</f>
        <v>#DIV/0!</v>
      </c>
      <c r="AB342" s="49" t="e">
        <f ca="1">IF(controls!$B$45=1,LOG(AF342,1.01)+LOG(AE342,1.01)-LOG(AD342,1.01),-((M342-('main page'!$K$24+'main page'!$K$11))/(1-'normal case'!$AO$3))+'normal case'!AA342)</f>
        <v>#DIV/0!</v>
      </c>
      <c r="AC342" s="176" t="e">
        <f t="shared" ca="1" si="37"/>
        <v>#DIV/0!</v>
      </c>
      <c r="AD342" s="49">
        <f t="shared" ca="1" si="38"/>
        <v>823.11066203426708</v>
      </c>
      <c r="AE342" s="49">
        <f>AE341*(1+'main page'!$K$32/100)</f>
        <v>1</v>
      </c>
      <c r="AF342" s="49" t="e">
        <f ca="1">IF(ABS(IF(controls!$B$45=1,$AL$13,AD342*AC342/AE342)-AF341)&lt;0.00001,AF341,IF(controls!$B$45=1,$AL$13,AD342*AC342/AE342))</f>
        <v>#DIV/0!</v>
      </c>
      <c r="AG342" s="49">
        <f>IF(controls!$B$46=0,0,IF(controls!$B$33=2,B343-B342*V343-('normal case'!H343-D342*W343-'main page'!$K$27*'normal case'!M342+'main page'!$K$31*'normal case'!AB342)-(('main page'!$K$25*'main page'!$U$13*'main page'!$K$29)/(1+('main page'!$K$25^2)*'main page'!$U$13))*('normal case'!L342-'main page'!$U$8),B343-B342*V343-('normal case'!I343-D342*W343-'main page'!$K$27*'normal case'!M342+'main page'!$K$31*'normal case'!AB342)-(('main page'!$K$25*'main page'!$U$13*'main page'!$K$29)/(1+('main page'!$K$25^2)*'main page'!$U$13))*('normal case'!L342-'main page'!$U$8)))</f>
        <v>0</v>
      </c>
      <c r="AN342" s="40"/>
      <c r="AO342" s="40"/>
    </row>
    <row r="343" spans="1:41">
      <c r="A343" s="48">
        <v>341</v>
      </c>
      <c r="B343" s="75">
        <f ca="1">IF(controls!$B$33=1,B342*(1+V343)+T343,B342*(1+V343))</f>
        <v>100</v>
      </c>
      <c r="C343" s="80">
        <f t="shared" ca="1" si="39"/>
        <v>0</v>
      </c>
      <c r="D343" s="77">
        <f t="shared" ca="1" si="35"/>
        <v>100</v>
      </c>
      <c r="E343" s="77">
        <f ca="1">AG342+IF(controls!$B$33=1,G343,F343)</f>
        <v>100</v>
      </c>
      <c r="F343" s="94">
        <f ca="1">IF(controls!$B$44=0,H343-'main page'!$K$27*M342,H343-'main page'!$K$27*M342+'main page'!$K$31*AB342)</f>
        <v>100</v>
      </c>
      <c r="G343" s="75">
        <f ca="1">IF(controls!$B$44=0,I343-'main page'!$K$27*M342,I343-'main page'!$K$27*M342+'main page'!$K$31*'normal case'!AB342)</f>
        <v>100</v>
      </c>
      <c r="H343" s="75">
        <f t="shared" ca="1" si="33"/>
        <v>108</v>
      </c>
      <c r="I343" s="75">
        <f t="shared" ca="1" si="34"/>
        <v>108</v>
      </c>
      <c r="L343" s="75">
        <f ca="1">IF(ABS('main page'!$K$29*L342+(1-'main page'!$K$29)*(controls!$B$9/100)*100+'main page'!$K$25*(D343-B343)-L342)&lt;0.0000001,L342,'main page'!$K$29*L342+(1-'main page'!$K$29)*(controls!$B$9/100)*100+'main page'!$K$25*(D343-B343))</f>
        <v>2</v>
      </c>
      <c r="M343" s="96">
        <f ca="1">IF(controls!$B$10=1,M342,IF(SUM(controls!$B$44:$B$46)=2,N343-'main page'!$K$29*'normal case'!L343-(1-'main page'!$K$29)*'main page'!$K$32,N343-'main page'!$K$29*'normal case'!L343-(1-'main page'!$K$29)*controls!$B$9))</f>
        <v>4</v>
      </c>
      <c r="N343" s="208">
        <f ca="1">IF(controls!$B$45=1,IF(controls!$B$46=1,'main page'!$K$24+'main page'!$K$11+'main page'!$U$8,'main page'!$K$24+'main page'!$K$11+'main page'!$K$32),IF(controls!$B$44=1,IF(O343&lt;0,0,O343),IF(O343+'main page'!$K$11&lt;0,0,O343+'main page'!$K$11)))</f>
        <v>6</v>
      </c>
      <c r="O343" s="76">
        <f ca="1">IF(controls!$B$10=1,'normal case'!M343+'normal case'!L343,'normal case'!P343)</f>
        <v>6</v>
      </c>
      <c r="P343" s="74">
        <f t="shared" ca="1" si="36"/>
        <v>6</v>
      </c>
      <c r="Q343" s="210">
        <f ca="1">IF(controls!$B$44=0,R343+'main page'!$K$29*L343+(1-'main page'!$K$29)*controls!$B$9+(('main page'!$K$25*'main page'!$U$13*'main page'!$K$29)/('main page'!$K$27*(1+('main page'!$K$25^2)*'main page'!$U$13)))*(L343-controls!$B$9),R343+'main page'!$K$29*L343+(1-'main page'!$K$29)*controls!$B$9+(('main page'!$K$25*'main page'!$U$13*'normal case'!$AO$3)/'normal case'!$AO$4)*('normal case'!L343-controls!$B$9))</f>
        <v>6</v>
      </c>
      <c r="R343" s="98">
        <f ca="1">IF(controls!$B$44=1,'main page'!$K$24+'main page'!$K$11,IF(controls!$B$33=1,((I344-D343*W344-B344+B343*V344)/'main page'!$K$27)-'main page'!$K$11,((H344-D343*W344-B344+B343*V344)/'main page'!$K$27)-'main page'!$K$11))</f>
        <v>4</v>
      </c>
      <c r="T343" s="71">
        <f>IF(controls!$B$6=1,$AL$3*(1+('main page'!$K$35/100))^U343-$AL$3*(1+('main page'!$K$35/100))^U342,$AL$3*(1+('main page'!$G$8/100))*(1+('main page'!$K$35/100))^U343-$AL$3*(1+('main page'!$G$8/100))*(1+('main page'!$K$35/100))^U342)</f>
        <v>0</v>
      </c>
      <c r="U343" s="73">
        <v>336</v>
      </c>
      <c r="V343" s="161">
        <v>0</v>
      </c>
      <c r="W343" s="40">
        <v>0</v>
      </c>
      <c r="X343" s="49">
        <f ca="1">IF(controls!$B$33=1,D343-($I$3-'main page'!$K$27*2)*(1+('main page'!$K$35/100))^A342,D343-$AL$4)</f>
        <v>0</v>
      </c>
      <c r="Y343" s="49">
        <f ca="1">ABS(L343-(controls!$B$9/100)*100)</f>
        <v>0</v>
      </c>
      <c r="AA343" s="49" t="e">
        <f ca="1">IF(controls!$B$33=1,(B344-B343*V344-I344+D343*W344+'main page'!$K$27*('main page'!$K$24+'main page'!$K$11))/'main page'!$K$31,(B344-B343*V344+D343*W344-H344+'main page'!$K$27*('main page'!$K$24+'main page'!$K$11))/'main page'!$K$31)</f>
        <v>#DIV/0!</v>
      </c>
      <c r="AB343" s="49" t="e">
        <f ca="1">IF(controls!$B$45=1,LOG(AF343,1.01)+LOG(AE343,1.01)-LOG(AD343,1.01),-((M343-('main page'!$K$24+'main page'!$K$11))/(1-'normal case'!$AO$3))+'normal case'!AA343)</f>
        <v>#DIV/0!</v>
      </c>
      <c r="AC343" s="176" t="e">
        <f t="shared" ca="1" si="37"/>
        <v>#DIV/0!</v>
      </c>
      <c r="AD343" s="49">
        <f t="shared" ca="1" si="38"/>
        <v>839.57287527495248</v>
      </c>
      <c r="AE343" s="49">
        <f>AE342*(1+'main page'!$K$32/100)</f>
        <v>1</v>
      </c>
      <c r="AF343" s="49" t="e">
        <f ca="1">IF(ABS(IF(controls!$B$45=1,$AL$13,AD343*AC343/AE343)-AF342)&lt;0.00001,AF342,IF(controls!$B$45=1,$AL$13,AD343*AC343/AE343))</f>
        <v>#DIV/0!</v>
      </c>
      <c r="AG343" s="49">
        <f>IF(controls!$B$46=0,0,IF(controls!$B$33=2,B344-B343*V344-('normal case'!H344-D343*W344-'main page'!$K$27*'normal case'!M343+'main page'!$K$31*'normal case'!AB343)-(('main page'!$K$25*'main page'!$U$13*'main page'!$K$29)/(1+('main page'!$K$25^2)*'main page'!$U$13))*('normal case'!L343-'main page'!$U$8),B344-B343*V344-('normal case'!I344-D343*W344-'main page'!$K$27*'normal case'!M343+'main page'!$K$31*'normal case'!AB343)-(('main page'!$K$25*'main page'!$U$13*'main page'!$K$29)/(1+('main page'!$K$25^2)*'main page'!$U$13))*('normal case'!L343-'main page'!$U$8)))</f>
        <v>0</v>
      </c>
      <c r="AN343" s="40"/>
      <c r="AO343" s="40"/>
    </row>
    <row r="344" spans="1:41">
      <c r="A344" s="48">
        <v>342</v>
      </c>
      <c r="B344" s="75">
        <f ca="1">IF(controls!$B$33=1,B343*(1+V344)+T344,B343*(1+V344))</f>
        <v>100</v>
      </c>
      <c r="C344" s="80">
        <f t="shared" ca="1" si="39"/>
        <v>0</v>
      </c>
      <c r="D344" s="77">
        <f t="shared" ca="1" si="35"/>
        <v>100</v>
      </c>
      <c r="E344" s="77">
        <f ca="1">AG343+IF(controls!$B$33=1,G344,F344)</f>
        <v>100</v>
      </c>
      <c r="F344" s="94">
        <f ca="1">IF(controls!$B$44=0,H344-'main page'!$K$27*M343,H344-'main page'!$K$27*M343+'main page'!$K$31*AB343)</f>
        <v>100</v>
      </c>
      <c r="G344" s="75">
        <f ca="1">IF(controls!$B$44=0,I344-'main page'!$K$27*M343,I344-'main page'!$K$27*M343+'main page'!$K$31*'normal case'!AB343)</f>
        <v>100</v>
      </c>
      <c r="H344" s="75">
        <f t="shared" ref="H344:H407" ca="1" si="40">H343+D343*W344</f>
        <v>108</v>
      </c>
      <c r="I344" s="75">
        <f t="shared" ref="I344:I407" ca="1" si="41">I343+D343*W344+T344</f>
        <v>108</v>
      </c>
      <c r="L344" s="75">
        <f ca="1">IF(ABS('main page'!$K$29*L343+(1-'main page'!$K$29)*(controls!$B$9/100)*100+'main page'!$K$25*(D344-B344)-L343)&lt;0.0000001,L343,'main page'!$K$29*L343+(1-'main page'!$K$29)*(controls!$B$9/100)*100+'main page'!$K$25*(D344-B344))</f>
        <v>2</v>
      </c>
      <c r="M344" s="96">
        <f ca="1">IF(controls!$B$10=1,M343,IF(SUM(controls!$B$44:$B$46)=2,N344-'main page'!$K$29*'normal case'!L344-(1-'main page'!$K$29)*'main page'!$K$32,N344-'main page'!$K$29*'normal case'!L344-(1-'main page'!$K$29)*controls!$B$9))</f>
        <v>4</v>
      </c>
      <c r="N344" s="208">
        <f ca="1">IF(controls!$B$45=1,IF(controls!$B$46=1,'main page'!$K$24+'main page'!$K$11+'main page'!$U$8,'main page'!$K$24+'main page'!$K$11+'main page'!$K$32),IF(controls!$B$44=1,IF(O344&lt;0,0,O344),IF(O344+'main page'!$K$11&lt;0,0,O344+'main page'!$K$11)))</f>
        <v>6</v>
      </c>
      <c r="O344" s="76">
        <f ca="1">IF(controls!$B$10=1,'normal case'!M344+'normal case'!L344,'normal case'!P344)</f>
        <v>6</v>
      </c>
      <c r="P344" s="74">
        <f t="shared" ca="1" si="36"/>
        <v>6</v>
      </c>
      <c r="Q344" s="210">
        <f ca="1">IF(controls!$B$44=0,R344+'main page'!$K$29*L344+(1-'main page'!$K$29)*controls!$B$9+(('main page'!$K$25*'main page'!$U$13*'main page'!$K$29)/('main page'!$K$27*(1+('main page'!$K$25^2)*'main page'!$U$13)))*(L344-controls!$B$9),R344+'main page'!$K$29*L344+(1-'main page'!$K$29)*controls!$B$9+(('main page'!$K$25*'main page'!$U$13*'normal case'!$AO$3)/'normal case'!$AO$4)*('normal case'!L344-controls!$B$9))</f>
        <v>6</v>
      </c>
      <c r="R344" s="98">
        <f ca="1">IF(controls!$B$44=1,'main page'!$K$24+'main page'!$K$11,IF(controls!$B$33=1,((I345-D344*W345-B345+B344*V345)/'main page'!$K$27)-'main page'!$K$11,((H345-D344*W345-B345+B344*V345)/'main page'!$K$27)-'main page'!$K$11))</f>
        <v>4</v>
      </c>
      <c r="T344" s="71">
        <f>IF(controls!$B$6=1,$AL$3*(1+('main page'!$K$35/100))^U344-$AL$3*(1+('main page'!$K$35/100))^U343,$AL$3*(1+('main page'!$G$8/100))*(1+('main page'!$K$35/100))^U344-$AL$3*(1+('main page'!$G$8/100))*(1+('main page'!$K$35/100))^U343)</f>
        <v>0</v>
      </c>
      <c r="U344" s="73">
        <v>337</v>
      </c>
      <c r="V344" s="161">
        <f ca="1">IF(controls!$B$4=1,IF(controls!$H343=1,controls!$B$34*V343+RAND()*('main page'!$K$16/100)-RAND()*('main page'!$K$16/100),0),0)</f>
        <v>0</v>
      </c>
      <c r="W344" s="40">
        <f ca="1">IF(controls!$B$4=1,IF(controls!$I343=1,controls!$B$34*W343+RAND()*('main page'!$K$16/100)-RAND()*('main page'!$K$16/100),0),0)</f>
        <v>0</v>
      </c>
      <c r="X344" s="49">
        <f ca="1">IF(controls!$B$33=1,D344-($I$3-'main page'!$K$27*2)*(1+('main page'!$K$35/100))^A343,D344-$AL$4)</f>
        <v>0</v>
      </c>
      <c r="Y344" s="49">
        <f ca="1">ABS(L344-(controls!$B$9/100)*100)</f>
        <v>0</v>
      </c>
      <c r="AA344" s="49" t="e">
        <f ca="1">IF(controls!$B$33=1,(B345-B344*V345-I345+D344*W345+'main page'!$K$27*('main page'!$K$24+'main page'!$K$11))/'main page'!$K$31,(B345-B344*V345+D344*W345-H345+'main page'!$K$27*('main page'!$K$24+'main page'!$K$11))/'main page'!$K$31)</f>
        <v>#DIV/0!</v>
      </c>
      <c r="AB344" s="49" t="e">
        <f ca="1">IF(controls!$B$45=1,LOG(AF344,1.01)+LOG(AE344,1.01)-LOG(AD344,1.01),-((M344-('main page'!$K$24+'main page'!$K$11))/(1-'normal case'!$AO$3))+'normal case'!AA344)</f>
        <v>#DIV/0!</v>
      </c>
      <c r="AC344" s="176" t="e">
        <f t="shared" ca="1" si="37"/>
        <v>#DIV/0!</v>
      </c>
      <c r="AD344" s="49">
        <f t="shared" ca="1" si="38"/>
        <v>856.36433278045149</v>
      </c>
      <c r="AE344" s="49">
        <f>AE343*(1+'main page'!$K$32/100)</f>
        <v>1</v>
      </c>
      <c r="AF344" s="49" t="e">
        <f ca="1">IF(ABS(IF(controls!$B$45=1,$AL$13,AD344*AC344/AE344)-AF343)&lt;0.00001,AF343,IF(controls!$B$45=1,$AL$13,AD344*AC344/AE344))</f>
        <v>#DIV/0!</v>
      </c>
      <c r="AG344" s="49">
        <f>IF(controls!$B$46=0,0,IF(controls!$B$33=2,B345-B344*V345-('normal case'!H345-D344*W345-'main page'!$K$27*'normal case'!M344+'main page'!$K$31*'normal case'!AB344)-(('main page'!$K$25*'main page'!$U$13*'main page'!$K$29)/(1+('main page'!$K$25^2)*'main page'!$U$13))*('normal case'!L344-'main page'!$U$8),B345-B344*V345-('normal case'!I345-D344*W345-'main page'!$K$27*'normal case'!M344+'main page'!$K$31*'normal case'!AB344)-(('main page'!$K$25*'main page'!$U$13*'main page'!$K$29)/(1+('main page'!$K$25^2)*'main page'!$U$13))*('normal case'!L344-'main page'!$U$8)))</f>
        <v>0</v>
      </c>
      <c r="AN344" s="40"/>
      <c r="AO344" s="40"/>
    </row>
    <row r="345" spans="1:41">
      <c r="A345" s="48">
        <v>343</v>
      </c>
      <c r="B345" s="75">
        <f ca="1">IF(controls!$B$33=1,B344*(1+V345)+T345,B344*(1+V345))</f>
        <v>100</v>
      </c>
      <c r="C345" s="80">
        <f t="shared" ca="1" si="39"/>
        <v>0</v>
      </c>
      <c r="D345" s="77">
        <f t="shared" ca="1" si="35"/>
        <v>100</v>
      </c>
      <c r="E345" s="77">
        <f ca="1">AG344+IF(controls!$B$33=1,G345,F345)</f>
        <v>100</v>
      </c>
      <c r="F345" s="94">
        <f ca="1">IF(controls!$B$44=0,H345-'main page'!$K$27*M344,H345-'main page'!$K$27*M344+'main page'!$K$31*AB344)</f>
        <v>100</v>
      </c>
      <c r="G345" s="75">
        <f ca="1">IF(controls!$B$44=0,I345-'main page'!$K$27*M344,I345-'main page'!$K$27*M344+'main page'!$K$31*'normal case'!AB344)</f>
        <v>100</v>
      </c>
      <c r="H345" s="75">
        <f t="shared" ca="1" si="40"/>
        <v>108</v>
      </c>
      <c r="I345" s="75">
        <f t="shared" ca="1" si="41"/>
        <v>108</v>
      </c>
      <c r="L345" s="75">
        <f ca="1">IF(ABS('main page'!$K$29*L344+(1-'main page'!$K$29)*(controls!$B$9/100)*100+'main page'!$K$25*(D345-B345)-L344)&lt;0.0000001,L344,'main page'!$K$29*L344+(1-'main page'!$K$29)*(controls!$B$9/100)*100+'main page'!$K$25*(D345-B345))</f>
        <v>2</v>
      </c>
      <c r="M345" s="96">
        <f ca="1">IF(controls!$B$10=1,M344,IF(SUM(controls!$B$44:$B$46)=2,N345-'main page'!$K$29*'normal case'!L345-(1-'main page'!$K$29)*'main page'!$K$32,N345-'main page'!$K$29*'normal case'!L345-(1-'main page'!$K$29)*controls!$B$9))</f>
        <v>4</v>
      </c>
      <c r="N345" s="208">
        <f ca="1">IF(controls!$B$45=1,IF(controls!$B$46=1,'main page'!$K$24+'main page'!$K$11+'main page'!$U$8,'main page'!$K$24+'main page'!$K$11+'main page'!$K$32),IF(controls!$B$44=1,IF(O345&lt;0,0,O345),IF(O345+'main page'!$K$11&lt;0,0,O345+'main page'!$K$11)))</f>
        <v>6</v>
      </c>
      <c r="O345" s="76">
        <f ca="1">IF(controls!$B$10=1,'normal case'!M345+'normal case'!L345,'normal case'!P345)</f>
        <v>6</v>
      </c>
      <c r="P345" s="74">
        <f t="shared" ca="1" si="36"/>
        <v>6</v>
      </c>
      <c r="Q345" s="210">
        <f ca="1">IF(controls!$B$44=0,R345+'main page'!$K$29*L345+(1-'main page'!$K$29)*controls!$B$9+(('main page'!$K$25*'main page'!$U$13*'main page'!$K$29)/('main page'!$K$27*(1+('main page'!$K$25^2)*'main page'!$U$13)))*(L345-controls!$B$9),R345+'main page'!$K$29*L345+(1-'main page'!$K$29)*controls!$B$9+(('main page'!$K$25*'main page'!$U$13*'normal case'!$AO$3)/'normal case'!$AO$4)*('normal case'!L345-controls!$B$9))</f>
        <v>6</v>
      </c>
      <c r="R345" s="98">
        <f ca="1">IF(controls!$B$44=1,'main page'!$K$24+'main page'!$K$11,IF(controls!$B$33=1,((I346-D345*W346-B346+B345*V346)/'main page'!$K$27)-'main page'!$K$11,((H346-D345*W346-B346+B345*V346)/'main page'!$K$27)-'main page'!$K$11))</f>
        <v>4</v>
      </c>
      <c r="T345" s="71">
        <f>IF(controls!$B$6=1,$AL$3*(1+('main page'!$K$35/100))^U345-$AL$3*(1+('main page'!$K$35/100))^U344,$AL$3*(1+('main page'!$G$8/100))*(1+('main page'!$K$35/100))^U345-$AL$3*(1+('main page'!$G$8/100))*(1+('main page'!$K$35/100))^U344)</f>
        <v>0</v>
      </c>
      <c r="U345" s="73">
        <v>338</v>
      </c>
      <c r="V345" s="161">
        <v>0</v>
      </c>
      <c r="W345" s="40">
        <v>0</v>
      </c>
      <c r="X345" s="49">
        <f ca="1">IF(controls!$B$33=1,D345-($I$3-'main page'!$K$27*2)*(1+('main page'!$K$35/100))^A344,D345-$AL$4)</f>
        <v>0</v>
      </c>
      <c r="Y345" s="49">
        <f ca="1">ABS(L345-(controls!$B$9/100)*100)</f>
        <v>0</v>
      </c>
      <c r="AA345" s="49" t="e">
        <f ca="1">IF(controls!$B$33=1,(B346-B345*V346-I346+D345*W346+'main page'!$K$27*('main page'!$K$24+'main page'!$K$11))/'main page'!$K$31,(B346-B345*V346+D345*W346-H346+'main page'!$K$27*('main page'!$K$24+'main page'!$K$11))/'main page'!$K$31)</f>
        <v>#DIV/0!</v>
      </c>
      <c r="AB345" s="49" t="e">
        <f ca="1">IF(controls!$B$45=1,LOG(AF345,1.01)+LOG(AE345,1.01)-LOG(AD345,1.01),-((M345-('main page'!$K$24+'main page'!$K$11))/(1-'normal case'!$AO$3))+'normal case'!AA345)</f>
        <v>#DIV/0!</v>
      </c>
      <c r="AC345" s="176" t="e">
        <f t="shared" ca="1" si="37"/>
        <v>#DIV/0!</v>
      </c>
      <c r="AD345" s="49">
        <f t="shared" ca="1" si="38"/>
        <v>873.49161943606055</v>
      </c>
      <c r="AE345" s="49">
        <f>AE344*(1+'main page'!$K$32/100)</f>
        <v>1</v>
      </c>
      <c r="AF345" s="49" t="e">
        <f ca="1">IF(ABS(IF(controls!$B$45=1,$AL$13,AD345*AC345/AE345)-AF344)&lt;0.00001,AF344,IF(controls!$B$45=1,$AL$13,AD345*AC345/AE345))</f>
        <v>#DIV/0!</v>
      </c>
      <c r="AG345" s="49">
        <f>IF(controls!$B$46=0,0,IF(controls!$B$33=2,B346-B345*V346-('normal case'!H346-D345*W346-'main page'!$K$27*'normal case'!M345+'main page'!$K$31*'normal case'!AB345)-(('main page'!$K$25*'main page'!$U$13*'main page'!$K$29)/(1+('main page'!$K$25^2)*'main page'!$U$13))*('normal case'!L345-'main page'!$U$8),B346-B345*V346-('normal case'!I346-D345*W346-'main page'!$K$27*'normal case'!M345+'main page'!$K$31*'normal case'!AB345)-(('main page'!$K$25*'main page'!$U$13*'main page'!$K$29)/(1+('main page'!$K$25^2)*'main page'!$U$13))*('normal case'!L345-'main page'!$U$8)))</f>
        <v>0</v>
      </c>
      <c r="AN345" s="40"/>
      <c r="AO345" s="40"/>
    </row>
    <row r="346" spans="1:41">
      <c r="A346" s="48">
        <v>344</v>
      </c>
      <c r="B346" s="75">
        <f ca="1">IF(controls!$B$33=1,B345*(1+V346)+T346,B345*(1+V346))</f>
        <v>100</v>
      </c>
      <c r="C346" s="80">
        <f t="shared" ca="1" si="39"/>
        <v>0</v>
      </c>
      <c r="D346" s="77">
        <f t="shared" ca="1" si="35"/>
        <v>100</v>
      </c>
      <c r="E346" s="77">
        <f ca="1">AG345+IF(controls!$B$33=1,G346,F346)</f>
        <v>100</v>
      </c>
      <c r="F346" s="94">
        <f ca="1">IF(controls!$B$44=0,H346-'main page'!$K$27*M345,H346-'main page'!$K$27*M345+'main page'!$K$31*AB345)</f>
        <v>100</v>
      </c>
      <c r="G346" s="75">
        <f ca="1">IF(controls!$B$44=0,I346-'main page'!$K$27*M345,I346-'main page'!$K$27*M345+'main page'!$K$31*'normal case'!AB345)</f>
        <v>100</v>
      </c>
      <c r="H346" s="75">
        <f t="shared" ca="1" si="40"/>
        <v>108</v>
      </c>
      <c r="I346" s="75">
        <f t="shared" ca="1" si="41"/>
        <v>108</v>
      </c>
      <c r="L346" s="75">
        <f ca="1">IF(ABS('main page'!$K$29*L345+(1-'main page'!$K$29)*(controls!$B$9/100)*100+'main page'!$K$25*(D346-B346)-L345)&lt;0.0000001,L345,'main page'!$K$29*L345+(1-'main page'!$K$29)*(controls!$B$9/100)*100+'main page'!$K$25*(D346-B346))</f>
        <v>2</v>
      </c>
      <c r="M346" s="96">
        <f ca="1">IF(controls!$B$10=1,M345,IF(SUM(controls!$B$44:$B$46)=2,N346-'main page'!$K$29*'normal case'!L346-(1-'main page'!$K$29)*'main page'!$K$32,N346-'main page'!$K$29*'normal case'!L346-(1-'main page'!$K$29)*controls!$B$9))</f>
        <v>4</v>
      </c>
      <c r="N346" s="208">
        <f ca="1">IF(controls!$B$45=1,IF(controls!$B$46=1,'main page'!$K$24+'main page'!$K$11+'main page'!$U$8,'main page'!$K$24+'main page'!$K$11+'main page'!$K$32),IF(controls!$B$44=1,IF(O346&lt;0,0,O346),IF(O346+'main page'!$K$11&lt;0,0,O346+'main page'!$K$11)))</f>
        <v>6</v>
      </c>
      <c r="O346" s="76">
        <f ca="1">IF(controls!$B$10=1,'normal case'!M346+'normal case'!L346,'normal case'!P346)</f>
        <v>6</v>
      </c>
      <c r="P346" s="74">
        <f t="shared" ca="1" si="36"/>
        <v>6</v>
      </c>
      <c r="Q346" s="210">
        <f ca="1">IF(controls!$B$44=0,R346+'main page'!$K$29*L346+(1-'main page'!$K$29)*controls!$B$9+(('main page'!$K$25*'main page'!$U$13*'main page'!$K$29)/('main page'!$K$27*(1+('main page'!$K$25^2)*'main page'!$U$13)))*(L346-controls!$B$9),R346+'main page'!$K$29*L346+(1-'main page'!$K$29)*controls!$B$9+(('main page'!$K$25*'main page'!$U$13*'normal case'!$AO$3)/'normal case'!$AO$4)*('normal case'!L346-controls!$B$9))</f>
        <v>6</v>
      </c>
      <c r="R346" s="98">
        <f ca="1">IF(controls!$B$44=1,'main page'!$K$24+'main page'!$K$11,IF(controls!$B$33=1,((I347-D346*W347-B347+B346*V347)/'main page'!$K$27)-'main page'!$K$11,((H347-D346*W347-B347+B346*V347)/'main page'!$K$27)-'main page'!$K$11))</f>
        <v>4</v>
      </c>
      <c r="T346" s="71">
        <f>IF(controls!$B$6=1,$AL$3*(1+('main page'!$K$35/100))^U346-$AL$3*(1+('main page'!$K$35/100))^U345,$AL$3*(1+('main page'!$G$8/100))*(1+('main page'!$K$35/100))^U346-$AL$3*(1+('main page'!$G$8/100))*(1+('main page'!$K$35/100))^U345)</f>
        <v>0</v>
      </c>
      <c r="U346" s="73">
        <v>339</v>
      </c>
      <c r="V346" s="161">
        <v>0</v>
      </c>
      <c r="W346" s="40">
        <v>0</v>
      </c>
      <c r="X346" s="49">
        <f ca="1">IF(controls!$B$33=1,D346-($I$3-'main page'!$K$27*2)*(1+('main page'!$K$35/100))^A345,D346-$AL$4)</f>
        <v>0</v>
      </c>
      <c r="Y346" s="49">
        <f ca="1">ABS(L346-(controls!$B$9/100)*100)</f>
        <v>0</v>
      </c>
      <c r="AA346" s="49" t="e">
        <f ca="1">IF(controls!$B$33=1,(B347-B346*V347-I347+D346*W347+'main page'!$K$27*('main page'!$K$24+'main page'!$K$11))/'main page'!$K$31,(B347-B346*V347+D346*W347-H347+'main page'!$K$27*('main page'!$K$24+'main page'!$K$11))/'main page'!$K$31)</f>
        <v>#DIV/0!</v>
      </c>
      <c r="AB346" s="49" t="e">
        <f ca="1">IF(controls!$B$45=1,LOG(AF346,1.01)+LOG(AE346,1.01)-LOG(AD346,1.01),-((M346-('main page'!$K$24+'main page'!$K$11))/(1-'normal case'!$AO$3))+'normal case'!AA346)</f>
        <v>#DIV/0!</v>
      </c>
      <c r="AC346" s="176" t="e">
        <f t="shared" ca="1" si="37"/>
        <v>#DIV/0!</v>
      </c>
      <c r="AD346" s="49">
        <f t="shared" ca="1" si="38"/>
        <v>890.96145182478176</v>
      </c>
      <c r="AE346" s="49">
        <f>AE345*(1+'main page'!$K$32/100)</f>
        <v>1</v>
      </c>
      <c r="AF346" s="49" t="e">
        <f ca="1">IF(ABS(IF(controls!$B$45=1,$AL$13,AD346*AC346/AE346)-AF345)&lt;0.00001,AF345,IF(controls!$B$45=1,$AL$13,AD346*AC346/AE346))</f>
        <v>#DIV/0!</v>
      </c>
      <c r="AG346" s="49">
        <f>IF(controls!$B$46=0,0,IF(controls!$B$33=2,B347-B346*V347-('normal case'!H347-D346*W347-'main page'!$K$27*'normal case'!M346+'main page'!$K$31*'normal case'!AB346)-(('main page'!$K$25*'main page'!$U$13*'main page'!$K$29)/(1+('main page'!$K$25^2)*'main page'!$U$13))*('normal case'!L346-'main page'!$U$8),B347-B346*V347-('normal case'!I347-D346*W347-'main page'!$K$27*'normal case'!M346+'main page'!$K$31*'normal case'!AB346)-(('main page'!$K$25*'main page'!$U$13*'main page'!$K$29)/(1+('main page'!$K$25^2)*'main page'!$U$13))*('normal case'!L346-'main page'!$U$8)))</f>
        <v>0</v>
      </c>
      <c r="AN346" s="40"/>
      <c r="AO346" s="40"/>
    </row>
    <row r="347" spans="1:41">
      <c r="A347" s="48">
        <v>345</v>
      </c>
      <c r="B347" s="75">
        <f ca="1">IF(controls!$B$33=1,B346*(1+V347)+T347,B346*(1+V347))</f>
        <v>100</v>
      </c>
      <c r="C347" s="80">
        <f t="shared" ca="1" si="39"/>
        <v>0</v>
      </c>
      <c r="D347" s="77">
        <f t="shared" ca="1" si="35"/>
        <v>100</v>
      </c>
      <c r="E347" s="77">
        <f ca="1">AG346+IF(controls!$B$33=1,G347,F347)</f>
        <v>100</v>
      </c>
      <c r="F347" s="94">
        <f ca="1">IF(controls!$B$44=0,H347-'main page'!$K$27*M346,H347-'main page'!$K$27*M346+'main page'!$K$31*AB346)</f>
        <v>100</v>
      </c>
      <c r="G347" s="75">
        <f ca="1">IF(controls!$B$44=0,I347-'main page'!$K$27*M346,I347-'main page'!$K$27*M346+'main page'!$K$31*'normal case'!AB346)</f>
        <v>100</v>
      </c>
      <c r="H347" s="75">
        <f t="shared" ca="1" si="40"/>
        <v>108</v>
      </c>
      <c r="I347" s="75">
        <f t="shared" ca="1" si="41"/>
        <v>108</v>
      </c>
      <c r="L347" s="75">
        <f ca="1">IF(ABS('main page'!$K$29*L346+(1-'main page'!$K$29)*(controls!$B$9/100)*100+'main page'!$K$25*(D347-B347)-L346)&lt;0.0000001,L346,'main page'!$K$29*L346+(1-'main page'!$K$29)*(controls!$B$9/100)*100+'main page'!$K$25*(D347-B347))</f>
        <v>2</v>
      </c>
      <c r="M347" s="96">
        <f ca="1">IF(controls!$B$10=1,M346,IF(SUM(controls!$B$44:$B$46)=2,N347-'main page'!$K$29*'normal case'!L347-(1-'main page'!$K$29)*'main page'!$K$32,N347-'main page'!$K$29*'normal case'!L347-(1-'main page'!$K$29)*controls!$B$9))</f>
        <v>4</v>
      </c>
      <c r="N347" s="208">
        <f ca="1">IF(controls!$B$45=1,IF(controls!$B$46=1,'main page'!$K$24+'main page'!$K$11+'main page'!$U$8,'main page'!$K$24+'main page'!$K$11+'main page'!$K$32),IF(controls!$B$44=1,IF(O347&lt;0,0,O347),IF(O347+'main page'!$K$11&lt;0,0,O347+'main page'!$K$11)))</f>
        <v>6</v>
      </c>
      <c r="O347" s="76">
        <f ca="1">IF(controls!$B$10=1,'normal case'!M347+'normal case'!L347,'normal case'!P347)</f>
        <v>6</v>
      </c>
      <c r="P347" s="74">
        <f t="shared" ca="1" si="36"/>
        <v>6</v>
      </c>
      <c r="Q347" s="210">
        <f ca="1">IF(controls!$B$44=0,R347+'main page'!$K$29*L347+(1-'main page'!$K$29)*controls!$B$9+(('main page'!$K$25*'main page'!$U$13*'main page'!$K$29)/('main page'!$K$27*(1+('main page'!$K$25^2)*'main page'!$U$13)))*(L347-controls!$B$9),R347+'main page'!$K$29*L347+(1-'main page'!$K$29)*controls!$B$9+(('main page'!$K$25*'main page'!$U$13*'normal case'!$AO$3)/'normal case'!$AO$4)*('normal case'!L347-controls!$B$9))</f>
        <v>6</v>
      </c>
      <c r="R347" s="98">
        <f ca="1">IF(controls!$B$44=1,'main page'!$K$24+'main page'!$K$11,IF(controls!$B$33=1,((I348-D347*W348-B348+B347*V348)/'main page'!$K$27)-'main page'!$K$11,((H348-D347*W348-B348+B347*V348)/'main page'!$K$27)-'main page'!$K$11))</f>
        <v>4</v>
      </c>
      <c r="T347" s="71">
        <f>IF(controls!$B$6=1,$AL$3*(1+('main page'!$K$35/100))^U347-$AL$3*(1+('main page'!$K$35/100))^U346,$AL$3*(1+('main page'!$G$8/100))*(1+('main page'!$K$35/100))^U347-$AL$3*(1+('main page'!$G$8/100))*(1+('main page'!$K$35/100))^U346)</f>
        <v>0</v>
      </c>
      <c r="U347" s="73">
        <v>340</v>
      </c>
      <c r="V347" s="161">
        <f ca="1">IF(controls!$B$4=1,IF(controls!$H346=1,controls!$B$34*V346+RAND()*('main page'!$K$16/100)-RAND()*('main page'!$K$16/100),0),0)</f>
        <v>0</v>
      </c>
      <c r="W347" s="40">
        <f ca="1">IF(controls!$B$4=1,IF(controls!$I346=1,controls!$B$34*W346+RAND()*('main page'!$K$16/100)-RAND()*('main page'!$K$16/100),0),0)</f>
        <v>0</v>
      </c>
      <c r="X347" s="49">
        <f ca="1">IF(controls!$B$33=1,D347-($I$3-'main page'!$K$27*2)*(1+('main page'!$K$35/100))^A346,D347-$AL$4)</f>
        <v>0</v>
      </c>
      <c r="Y347" s="49">
        <f ca="1">ABS(L347-(controls!$B$9/100)*100)</f>
        <v>0</v>
      </c>
      <c r="AA347" s="49" t="e">
        <f ca="1">IF(controls!$B$33=1,(B348-B347*V348-I348+D347*W348+'main page'!$K$27*('main page'!$K$24+'main page'!$K$11))/'main page'!$K$31,(B348-B347*V348+D347*W348-H348+'main page'!$K$27*('main page'!$K$24+'main page'!$K$11))/'main page'!$K$31)</f>
        <v>#DIV/0!</v>
      </c>
      <c r="AB347" s="49" t="e">
        <f ca="1">IF(controls!$B$45=1,LOG(AF347,1.01)+LOG(AE347,1.01)-LOG(AD347,1.01),-((M347-('main page'!$K$24+'main page'!$K$11))/(1-'normal case'!$AO$3))+'normal case'!AA347)</f>
        <v>#DIV/0!</v>
      </c>
      <c r="AC347" s="176" t="e">
        <f t="shared" ca="1" si="37"/>
        <v>#DIV/0!</v>
      </c>
      <c r="AD347" s="49">
        <f t="shared" ca="1" si="38"/>
        <v>908.78068086127746</v>
      </c>
      <c r="AE347" s="49">
        <f>AE346*(1+'main page'!$K$32/100)</f>
        <v>1</v>
      </c>
      <c r="AF347" s="49" t="e">
        <f ca="1">IF(ABS(IF(controls!$B$45=1,$AL$13,AD347*AC347/AE347)-AF346)&lt;0.00001,AF346,IF(controls!$B$45=1,$AL$13,AD347*AC347/AE347))</f>
        <v>#DIV/0!</v>
      </c>
      <c r="AG347" s="49">
        <f>IF(controls!$B$46=0,0,IF(controls!$B$33=2,B348-B347*V348-('normal case'!H348-D347*W348-'main page'!$K$27*'normal case'!M347+'main page'!$K$31*'normal case'!AB347)-(('main page'!$K$25*'main page'!$U$13*'main page'!$K$29)/(1+('main page'!$K$25^2)*'main page'!$U$13))*('normal case'!L347-'main page'!$U$8),B348-B347*V348-('normal case'!I348-D347*W348-'main page'!$K$27*'normal case'!M347+'main page'!$K$31*'normal case'!AB347)-(('main page'!$K$25*'main page'!$U$13*'main page'!$K$29)/(1+('main page'!$K$25^2)*'main page'!$U$13))*('normal case'!L347-'main page'!$U$8)))</f>
        <v>0</v>
      </c>
      <c r="AN347" s="40"/>
      <c r="AO347" s="40"/>
    </row>
    <row r="348" spans="1:41">
      <c r="A348" s="48">
        <v>346</v>
      </c>
      <c r="B348" s="75">
        <f ca="1">IF(controls!$B$33=1,B347*(1+V348)+T348,B347*(1+V348))</f>
        <v>100</v>
      </c>
      <c r="C348" s="80">
        <f t="shared" ca="1" si="39"/>
        <v>0</v>
      </c>
      <c r="D348" s="77">
        <f t="shared" ca="1" si="35"/>
        <v>100</v>
      </c>
      <c r="E348" s="77">
        <f ca="1">AG347+IF(controls!$B$33=1,G348,F348)</f>
        <v>100</v>
      </c>
      <c r="F348" s="94">
        <f ca="1">IF(controls!$B$44=0,H348-'main page'!$K$27*M347,H348-'main page'!$K$27*M347+'main page'!$K$31*AB347)</f>
        <v>100</v>
      </c>
      <c r="G348" s="75">
        <f ca="1">IF(controls!$B$44=0,I348-'main page'!$K$27*M347,I348-'main page'!$K$27*M347+'main page'!$K$31*'normal case'!AB347)</f>
        <v>100</v>
      </c>
      <c r="H348" s="75">
        <f t="shared" ca="1" si="40"/>
        <v>108</v>
      </c>
      <c r="I348" s="75">
        <f t="shared" ca="1" si="41"/>
        <v>108</v>
      </c>
      <c r="L348" s="75">
        <f ca="1">IF(ABS('main page'!$K$29*L347+(1-'main page'!$K$29)*(controls!$B$9/100)*100+'main page'!$K$25*(D348-B348)-L347)&lt;0.0000001,L347,'main page'!$K$29*L347+(1-'main page'!$K$29)*(controls!$B$9/100)*100+'main page'!$K$25*(D348-B348))</f>
        <v>2</v>
      </c>
      <c r="M348" s="96">
        <f ca="1">IF(controls!$B$10=1,M347,IF(SUM(controls!$B$44:$B$46)=2,N348-'main page'!$K$29*'normal case'!L348-(1-'main page'!$K$29)*'main page'!$K$32,N348-'main page'!$K$29*'normal case'!L348-(1-'main page'!$K$29)*controls!$B$9))</f>
        <v>4</v>
      </c>
      <c r="N348" s="208">
        <f ca="1">IF(controls!$B$45=1,IF(controls!$B$46=1,'main page'!$K$24+'main page'!$K$11+'main page'!$U$8,'main page'!$K$24+'main page'!$K$11+'main page'!$K$32),IF(controls!$B$44=1,IF(O348&lt;0,0,O348),IF(O348+'main page'!$K$11&lt;0,0,O348+'main page'!$K$11)))</f>
        <v>6</v>
      </c>
      <c r="O348" s="76">
        <f ca="1">IF(controls!$B$10=1,'normal case'!M348+'normal case'!L348,'normal case'!P348)</f>
        <v>6</v>
      </c>
      <c r="P348" s="74">
        <f t="shared" ca="1" si="36"/>
        <v>6</v>
      </c>
      <c r="Q348" s="210">
        <f ca="1">IF(controls!$B$44=0,R348+'main page'!$K$29*L348+(1-'main page'!$K$29)*controls!$B$9+(('main page'!$K$25*'main page'!$U$13*'main page'!$K$29)/('main page'!$K$27*(1+('main page'!$K$25^2)*'main page'!$U$13)))*(L348-controls!$B$9),R348+'main page'!$K$29*L348+(1-'main page'!$K$29)*controls!$B$9+(('main page'!$K$25*'main page'!$U$13*'normal case'!$AO$3)/'normal case'!$AO$4)*('normal case'!L348-controls!$B$9))</f>
        <v>6</v>
      </c>
      <c r="R348" s="98">
        <f ca="1">IF(controls!$B$44=1,'main page'!$K$24+'main page'!$K$11,IF(controls!$B$33=1,((I349-D348*W349-B349+B348*V349)/'main page'!$K$27)-'main page'!$K$11,((H349-D348*W349-B349+B348*V349)/'main page'!$K$27)-'main page'!$K$11))</f>
        <v>4</v>
      </c>
      <c r="T348" s="71">
        <f>IF(controls!$B$6=1,$AL$3*(1+('main page'!$K$35/100))^U348-$AL$3*(1+('main page'!$K$35/100))^U347,$AL$3*(1+('main page'!$G$8/100))*(1+('main page'!$K$35/100))^U348-$AL$3*(1+('main page'!$G$8/100))*(1+('main page'!$K$35/100))^U347)</f>
        <v>0</v>
      </c>
      <c r="U348" s="73">
        <v>341</v>
      </c>
      <c r="V348" s="161">
        <v>0</v>
      </c>
      <c r="W348" s="40">
        <v>0</v>
      </c>
      <c r="X348" s="49">
        <f ca="1">IF(controls!$B$33=1,D348-($I$3-'main page'!$K$27*2)*(1+('main page'!$K$35/100))^A347,D348-$AL$4)</f>
        <v>0</v>
      </c>
      <c r="Y348" s="49">
        <f ca="1">ABS(L348-(controls!$B$9/100)*100)</f>
        <v>0</v>
      </c>
      <c r="AA348" s="49" t="e">
        <f ca="1">IF(controls!$B$33=1,(B349-B348*V349-I349+D348*W349+'main page'!$K$27*('main page'!$K$24+'main page'!$K$11))/'main page'!$K$31,(B349-B348*V349+D348*W349-H349+'main page'!$K$27*('main page'!$K$24+'main page'!$K$11))/'main page'!$K$31)</f>
        <v>#DIV/0!</v>
      </c>
      <c r="AB348" s="49" t="e">
        <f ca="1">IF(controls!$B$45=1,LOG(AF348,1.01)+LOG(AE348,1.01)-LOG(AD348,1.01),-((M348-('main page'!$K$24+'main page'!$K$11))/(1-'normal case'!$AO$3))+'normal case'!AA348)</f>
        <v>#DIV/0!</v>
      </c>
      <c r="AC348" s="176" t="e">
        <f t="shared" ca="1" si="37"/>
        <v>#DIV/0!</v>
      </c>
      <c r="AD348" s="49">
        <f t="shared" ca="1" si="38"/>
        <v>926.95629447850308</v>
      </c>
      <c r="AE348" s="49">
        <f>AE347*(1+'main page'!$K$32/100)</f>
        <v>1</v>
      </c>
      <c r="AF348" s="49" t="e">
        <f ca="1">IF(ABS(IF(controls!$B$45=1,$AL$13,AD348*AC348/AE348)-AF347)&lt;0.00001,AF347,IF(controls!$B$45=1,$AL$13,AD348*AC348/AE348))</f>
        <v>#DIV/0!</v>
      </c>
      <c r="AG348" s="49">
        <f>IF(controls!$B$46=0,0,IF(controls!$B$33=2,B349-B348*V349-('normal case'!H349-D348*W349-'main page'!$K$27*'normal case'!M348+'main page'!$K$31*'normal case'!AB348)-(('main page'!$K$25*'main page'!$U$13*'main page'!$K$29)/(1+('main page'!$K$25^2)*'main page'!$U$13))*('normal case'!L348-'main page'!$U$8),B349-B348*V349-('normal case'!I349-D348*W349-'main page'!$K$27*'normal case'!M348+'main page'!$K$31*'normal case'!AB348)-(('main page'!$K$25*'main page'!$U$13*'main page'!$K$29)/(1+('main page'!$K$25^2)*'main page'!$U$13))*('normal case'!L348-'main page'!$U$8)))</f>
        <v>0</v>
      </c>
      <c r="AN348" s="40"/>
      <c r="AO348" s="40"/>
    </row>
    <row r="349" spans="1:41">
      <c r="A349" s="48">
        <v>347</v>
      </c>
      <c r="B349" s="75">
        <f ca="1">IF(controls!$B$33=1,B348*(1+V349)+T349,B348*(1+V349))</f>
        <v>100</v>
      </c>
      <c r="C349" s="80">
        <f t="shared" ca="1" si="39"/>
        <v>0</v>
      </c>
      <c r="D349" s="77">
        <f t="shared" ca="1" si="35"/>
        <v>100</v>
      </c>
      <c r="E349" s="77">
        <f ca="1">AG348+IF(controls!$B$33=1,G349,F349)</f>
        <v>100</v>
      </c>
      <c r="F349" s="94">
        <f ca="1">IF(controls!$B$44=0,H349-'main page'!$K$27*M348,H349-'main page'!$K$27*M348+'main page'!$K$31*AB348)</f>
        <v>100</v>
      </c>
      <c r="G349" s="75">
        <f ca="1">IF(controls!$B$44=0,I349-'main page'!$K$27*M348,I349-'main page'!$K$27*M348+'main page'!$K$31*'normal case'!AB348)</f>
        <v>100</v>
      </c>
      <c r="H349" s="75">
        <f t="shared" ca="1" si="40"/>
        <v>108</v>
      </c>
      <c r="I349" s="75">
        <f t="shared" ca="1" si="41"/>
        <v>108</v>
      </c>
      <c r="L349" s="75">
        <f ca="1">IF(ABS('main page'!$K$29*L348+(1-'main page'!$K$29)*(controls!$B$9/100)*100+'main page'!$K$25*(D349-B349)-L348)&lt;0.0000001,L348,'main page'!$K$29*L348+(1-'main page'!$K$29)*(controls!$B$9/100)*100+'main page'!$K$25*(D349-B349))</f>
        <v>2</v>
      </c>
      <c r="M349" s="96">
        <f ca="1">IF(controls!$B$10=1,M348,IF(SUM(controls!$B$44:$B$46)=2,N349-'main page'!$K$29*'normal case'!L349-(1-'main page'!$K$29)*'main page'!$K$32,N349-'main page'!$K$29*'normal case'!L349-(1-'main page'!$K$29)*controls!$B$9))</f>
        <v>4</v>
      </c>
      <c r="N349" s="208">
        <f ca="1">IF(controls!$B$45=1,IF(controls!$B$46=1,'main page'!$K$24+'main page'!$K$11+'main page'!$U$8,'main page'!$K$24+'main page'!$K$11+'main page'!$K$32),IF(controls!$B$44=1,IF(O349&lt;0,0,O349),IF(O349+'main page'!$K$11&lt;0,0,O349+'main page'!$K$11)))</f>
        <v>6</v>
      </c>
      <c r="O349" s="76">
        <f ca="1">IF(controls!$B$10=1,'normal case'!M349+'normal case'!L349,'normal case'!P349)</f>
        <v>6</v>
      </c>
      <c r="P349" s="74">
        <f t="shared" ca="1" si="36"/>
        <v>6</v>
      </c>
      <c r="Q349" s="210">
        <f ca="1">IF(controls!$B$44=0,R349+'main page'!$K$29*L349+(1-'main page'!$K$29)*controls!$B$9+(('main page'!$K$25*'main page'!$U$13*'main page'!$K$29)/('main page'!$K$27*(1+('main page'!$K$25^2)*'main page'!$U$13)))*(L349-controls!$B$9),R349+'main page'!$K$29*L349+(1-'main page'!$K$29)*controls!$B$9+(('main page'!$K$25*'main page'!$U$13*'normal case'!$AO$3)/'normal case'!$AO$4)*('normal case'!L349-controls!$B$9))</f>
        <v>6</v>
      </c>
      <c r="R349" s="98">
        <f ca="1">IF(controls!$B$44=1,'main page'!$K$24+'main page'!$K$11,IF(controls!$B$33=1,((I350-D349*W350-B350+B349*V350)/'main page'!$K$27)-'main page'!$K$11,((H350-D349*W350-B350+B349*V350)/'main page'!$K$27)-'main page'!$K$11))</f>
        <v>4</v>
      </c>
      <c r="T349" s="71">
        <f>IF(controls!$B$6=1,$AL$3*(1+('main page'!$K$35/100))^U349-$AL$3*(1+('main page'!$K$35/100))^U348,$AL$3*(1+('main page'!$G$8/100))*(1+('main page'!$K$35/100))^U349-$AL$3*(1+('main page'!$G$8/100))*(1+('main page'!$K$35/100))^U348)</f>
        <v>0</v>
      </c>
      <c r="U349" s="73">
        <v>342</v>
      </c>
      <c r="V349" s="161">
        <v>0</v>
      </c>
      <c r="W349" s="40">
        <v>0</v>
      </c>
      <c r="X349" s="49">
        <f ca="1">IF(controls!$B$33=1,D349-($I$3-'main page'!$K$27*2)*(1+('main page'!$K$35/100))^A348,D349-$AL$4)</f>
        <v>0</v>
      </c>
      <c r="Y349" s="49">
        <f ca="1">ABS(L349-(controls!$B$9/100)*100)</f>
        <v>0</v>
      </c>
      <c r="AA349" s="49" t="e">
        <f ca="1">IF(controls!$B$33=1,(B350-B349*V350-I350+D349*W350+'main page'!$K$27*('main page'!$K$24+'main page'!$K$11))/'main page'!$K$31,(B350-B349*V350+D349*W350-H350+'main page'!$K$27*('main page'!$K$24+'main page'!$K$11))/'main page'!$K$31)</f>
        <v>#DIV/0!</v>
      </c>
      <c r="AB349" s="49" t="e">
        <f ca="1">IF(controls!$B$45=1,LOG(AF349,1.01)+LOG(AE349,1.01)-LOG(AD349,1.01),-((M349-('main page'!$K$24+'main page'!$K$11))/(1-'normal case'!$AO$3))+'normal case'!AA349)</f>
        <v>#DIV/0!</v>
      </c>
      <c r="AC349" s="176" t="e">
        <f t="shared" ca="1" si="37"/>
        <v>#DIV/0!</v>
      </c>
      <c r="AD349" s="49">
        <f t="shared" ca="1" si="38"/>
        <v>945.49542036807316</v>
      </c>
      <c r="AE349" s="49">
        <f>AE348*(1+'main page'!$K$32/100)</f>
        <v>1</v>
      </c>
      <c r="AF349" s="49" t="e">
        <f ca="1">IF(ABS(IF(controls!$B$45=1,$AL$13,AD349*AC349/AE349)-AF348)&lt;0.00001,AF348,IF(controls!$B$45=1,$AL$13,AD349*AC349/AE349))</f>
        <v>#DIV/0!</v>
      </c>
      <c r="AG349" s="49">
        <f>IF(controls!$B$46=0,0,IF(controls!$B$33=2,B350-B349*V350-('normal case'!H350-D349*W350-'main page'!$K$27*'normal case'!M349+'main page'!$K$31*'normal case'!AB349)-(('main page'!$K$25*'main page'!$U$13*'main page'!$K$29)/(1+('main page'!$K$25^2)*'main page'!$U$13))*('normal case'!L349-'main page'!$U$8),B350-B349*V350-('normal case'!I350-D349*W350-'main page'!$K$27*'normal case'!M349+'main page'!$K$31*'normal case'!AB349)-(('main page'!$K$25*'main page'!$U$13*'main page'!$K$29)/(1+('main page'!$K$25^2)*'main page'!$U$13))*('normal case'!L349-'main page'!$U$8)))</f>
        <v>0</v>
      </c>
      <c r="AN349" s="40"/>
      <c r="AO349" s="40"/>
    </row>
    <row r="350" spans="1:41">
      <c r="A350" s="48">
        <v>348</v>
      </c>
      <c r="B350" s="75">
        <f ca="1">IF(controls!$B$33=1,B349*(1+V350)+T350,B349*(1+V350))</f>
        <v>100</v>
      </c>
      <c r="C350" s="80">
        <f t="shared" ca="1" si="39"/>
        <v>0</v>
      </c>
      <c r="D350" s="77">
        <f t="shared" ca="1" si="35"/>
        <v>100</v>
      </c>
      <c r="E350" s="77">
        <f ca="1">AG349+IF(controls!$B$33=1,G350,F350)</f>
        <v>100</v>
      </c>
      <c r="F350" s="94">
        <f ca="1">IF(controls!$B$44=0,H350-'main page'!$K$27*M349,H350-'main page'!$K$27*M349+'main page'!$K$31*AB349)</f>
        <v>100</v>
      </c>
      <c r="G350" s="75">
        <f ca="1">IF(controls!$B$44=0,I350-'main page'!$K$27*M349,I350-'main page'!$K$27*M349+'main page'!$K$31*'normal case'!AB349)</f>
        <v>100</v>
      </c>
      <c r="H350" s="75">
        <f t="shared" ca="1" si="40"/>
        <v>108</v>
      </c>
      <c r="I350" s="75">
        <f t="shared" ca="1" si="41"/>
        <v>108</v>
      </c>
      <c r="L350" s="75">
        <f ca="1">IF(ABS('main page'!$K$29*L349+(1-'main page'!$K$29)*(controls!$B$9/100)*100+'main page'!$K$25*(D350-B350)-L349)&lt;0.0000001,L349,'main page'!$K$29*L349+(1-'main page'!$K$29)*(controls!$B$9/100)*100+'main page'!$K$25*(D350-B350))</f>
        <v>2</v>
      </c>
      <c r="M350" s="96">
        <f ca="1">IF(controls!$B$10=1,M349,IF(SUM(controls!$B$44:$B$46)=2,N350-'main page'!$K$29*'normal case'!L350-(1-'main page'!$K$29)*'main page'!$K$32,N350-'main page'!$K$29*'normal case'!L350-(1-'main page'!$K$29)*controls!$B$9))</f>
        <v>4</v>
      </c>
      <c r="N350" s="208">
        <f ca="1">IF(controls!$B$45=1,IF(controls!$B$46=1,'main page'!$K$24+'main page'!$K$11+'main page'!$U$8,'main page'!$K$24+'main page'!$K$11+'main page'!$K$32),IF(controls!$B$44=1,IF(O350&lt;0,0,O350),IF(O350+'main page'!$K$11&lt;0,0,O350+'main page'!$K$11)))</f>
        <v>6</v>
      </c>
      <c r="O350" s="76">
        <f ca="1">IF(controls!$B$10=1,'normal case'!M350+'normal case'!L350,'normal case'!P350)</f>
        <v>6</v>
      </c>
      <c r="P350" s="74">
        <f t="shared" ca="1" si="36"/>
        <v>6</v>
      </c>
      <c r="Q350" s="210">
        <f ca="1">IF(controls!$B$44=0,R350+'main page'!$K$29*L350+(1-'main page'!$K$29)*controls!$B$9+(('main page'!$K$25*'main page'!$U$13*'main page'!$K$29)/('main page'!$K$27*(1+('main page'!$K$25^2)*'main page'!$U$13)))*(L350-controls!$B$9),R350+'main page'!$K$29*L350+(1-'main page'!$K$29)*controls!$B$9+(('main page'!$K$25*'main page'!$U$13*'normal case'!$AO$3)/'normal case'!$AO$4)*('normal case'!L350-controls!$B$9))</f>
        <v>6</v>
      </c>
      <c r="R350" s="98">
        <f ca="1">IF(controls!$B$44=1,'main page'!$K$24+'main page'!$K$11,IF(controls!$B$33=1,((I351-D350*W351-B351+B350*V351)/'main page'!$K$27)-'main page'!$K$11,((H351-D350*W351-B351+B350*V351)/'main page'!$K$27)-'main page'!$K$11))</f>
        <v>4</v>
      </c>
      <c r="T350" s="71">
        <f>IF(controls!$B$6=1,$AL$3*(1+('main page'!$K$35/100))^U350-$AL$3*(1+('main page'!$K$35/100))^U349,$AL$3*(1+('main page'!$G$8/100))*(1+('main page'!$K$35/100))^U350-$AL$3*(1+('main page'!$G$8/100))*(1+('main page'!$K$35/100))^U349)</f>
        <v>0</v>
      </c>
      <c r="U350" s="73">
        <v>343</v>
      </c>
      <c r="V350" s="161">
        <f ca="1">IF(controls!$B$4=1,IF(controls!$H349=1,controls!$B$34*V349+RAND()*('main page'!$K$16/100)-RAND()*('main page'!$K$16/100),0),0)</f>
        <v>0</v>
      </c>
      <c r="W350" s="40">
        <f ca="1">IF(controls!$B$4=1,IF(controls!$I349=1,controls!$B$34*W349+RAND()*('main page'!$K$16/100)-RAND()*('main page'!$K$16/100),0),0)</f>
        <v>0</v>
      </c>
      <c r="X350" s="49">
        <f ca="1">IF(controls!$B$33=1,D350-($I$3-'main page'!$K$27*2)*(1+('main page'!$K$35/100))^A349,D350-$AL$4)</f>
        <v>0</v>
      </c>
      <c r="Y350" s="49">
        <f ca="1">ABS(L350-(controls!$B$9/100)*100)</f>
        <v>0</v>
      </c>
      <c r="AA350" s="49" t="e">
        <f ca="1">IF(controls!$B$33=1,(B351-B350*V351-I351+D350*W351+'main page'!$K$27*('main page'!$K$24+'main page'!$K$11))/'main page'!$K$31,(B351-B350*V351+D350*W351-H351+'main page'!$K$27*('main page'!$K$24+'main page'!$K$11))/'main page'!$K$31)</f>
        <v>#DIV/0!</v>
      </c>
      <c r="AB350" s="49" t="e">
        <f ca="1">IF(controls!$B$45=1,LOG(AF350,1.01)+LOG(AE350,1.01)-LOG(AD350,1.01),-((M350-('main page'!$K$24+'main page'!$K$11))/(1-'normal case'!$AO$3))+'normal case'!AA350)</f>
        <v>#DIV/0!</v>
      </c>
      <c r="AC350" s="176" t="e">
        <f t="shared" ca="1" si="37"/>
        <v>#DIV/0!</v>
      </c>
      <c r="AD350" s="49">
        <f t="shared" ca="1" si="38"/>
        <v>964.40532877543467</v>
      </c>
      <c r="AE350" s="49">
        <f>AE349*(1+'main page'!$K$32/100)</f>
        <v>1</v>
      </c>
      <c r="AF350" s="49" t="e">
        <f ca="1">IF(ABS(IF(controls!$B$45=1,$AL$13,AD350*AC350/AE350)-AF349)&lt;0.00001,AF349,IF(controls!$B$45=1,$AL$13,AD350*AC350/AE350))</f>
        <v>#DIV/0!</v>
      </c>
      <c r="AG350" s="49">
        <f>IF(controls!$B$46=0,0,IF(controls!$B$33=2,B351-B350*V351-('normal case'!H351-D350*W351-'main page'!$K$27*'normal case'!M350+'main page'!$K$31*'normal case'!AB350)-(('main page'!$K$25*'main page'!$U$13*'main page'!$K$29)/(1+('main page'!$K$25^2)*'main page'!$U$13))*('normal case'!L350-'main page'!$U$8),B351-B350*V351-('normal case'!I351-D350*W351-'main page'!$K$27*'normal case'!M350+'main page'!$K$31*'normal case'!AB350)-(('main page'!$K$25*'main page'!$U$13*'main page'!$K$29)/(1+('main page'!$K$25^2)*'main page'!$U$13))*('normal case'!L350-'main page'!$U$8)))</f>
        <v>0</v>
      </c>
      <c r="AN350" s="40"/>
      <c r="AO350" s="40"/>
    </row>
    <row r="351" spans="1:41">
      <c r="A351" s="48">
        <v>349</v>
      </c>
      <c r="B351" s="75">
        <f ca="1">IF(controls!$B$33=1,B350*(1+V351)+T351,B350*(1+V351))</f>
        <v>100</v>
      </c>
      <c r="C351" s="80">
        <f t="shared" ca="1" si="39"/>
        <v>0</v>
      </c>
      <c r="D351" s="77">
        <f t="shared" ca="1" si="35"/>
        <v>100</v>
      </c>
      <c r="E351" s="77">
        <f ca="1">AG350+IF(controls!$B$33=1,G351,F351)</f>
        <v>100</v>
      </c>
      <c r="F351" s="94">
        <f ca="1">IF(controls!$B$44=0,H351-'main page'!$K$27*M350,H351-'main page'!$K$27*M350+'main page'!$K$31*AB350)</f>
        <v>100</v>
      </c>
      <c r="G351" s="75">
        <f ca="1">IF(controls!$B$44=0,I351-'main page'!$K$27*M350,I351-'main page'!$K$27*M350+'main page'!$K$31*'normal case'!AB350)</f>
        <v>100</v>
      </c>
      <c r="H351" s="75">
        <f t="shared" ca="1" si="40"/>
        <v>108</v>
      </c>
      <c r="I351" s="75">
        <f t="shared" ca="1" si="41"/>
        <v>108</v>
      </c>
      <c r="L351" s="75">
        <f ca="1">IF(ABS('main page'!$K$29*L350+(1-'main page'!$K$29)*(controls!$B$9/100)*100+'main page'!$K$25*(D351-B351)-L350)&lt;0.0000001,L350,'main page'!$K$29*L350+(1-'main page'!$K$29)*(controls!$B$9/100)*100+'main page'!$K$25*(D351-B351))</f>
        <v>2</v>
      </c>
      <c r="M351" s="96">
        <f ca="1">IF(controls!$B$10=1,M350,IF(SUM(controls!$B$44:$B$46)=2,N351-'main page'!$K$29*'normal case'!L351-(1-'main page'!$K$29)*'main page'!$K$32,N351-'main page'!$K$29*'normal case'!L351-(1-'main page'!$K$29)*controls!$B$9))</f>
        <v>4</v>
      </c>
      <c r="N351" s="208">
        <f ca="1">IF(controls!$B$45=1,IF(controls!$B$46=1,'main page'!$K$24+'main page'!$K$11+'main page'!$U$8,'main page'!$K$24+'main page'!$K$11+'main page'!$K$32),IF(controls!$B$44=1,IF(O351&lt;0,0,O351),IF(O351+'main page'!$K$11&lt;0,0,O351+'main page'!$K$11)))</f>
        <v>6</v>
      </c>
      <c r="O351" s="76">
        <f ca="1">IF(controls!$B$10=1,'normal case'!M351+'normal case'!L351,'normal case'!P351)</f>
        <v>6</v>
      </c>
      <c r="P351" s="74">
        <f t="shared" ca="1" si="36"/>
        <v>6</v>
      </c>
      <c r="Q351" s="210">
        <f ca="1">IF(controls!$B$44=0,R351+'main page'!$K$29*L351+(1-'main page'!$K$29)*controls!$B$9+(('main page'!$K$25*'main page'!$U$13*'main page'!$K$29)/('main page'!$K$27*(1+('main page'!$K$25^2)*'main page'!$U$13)))*(L351-controls!$B$9),R351+'main page'!$K$29*L351+(1-'main page'!$K$29)*controls!$B$9+(('main page'!$K$25*'main page'!$U$13*'normal case'!$AO$3)/'normal case'!$AO$4)*('normal case'!L351-controls!$B$9))</f>
        <v>6</v>
      </c>
      <c r="R351" s="98">
        <f ca="1">IF(controls!$B$44=1,'main page'!$K$24+'main page'!$K$11,IF(controls!$B$33=1,((I352-D351*W352-B352+B351*V352)/'main page'!$K$27)-'main page'!$K$11,((H352-D351*W352-B352+B351*V352)/'main page'!$K$27)-'main page'!$K$11))</f>
        <v>4</v>
      </c>
      <c r="T351" s="71">
        <f>IF(controls!$B$6=1,$AL$3*(1+('main page'!$K$35/100))^U351-$AL$3*(1+('main page'!$K$35/100))^U350,$AL$3*(1+('main page'!$G$8/100))*(1+('main page'!$K$35/100))^U351-$AL$3*(1+('main page'!$G$8/100))*(1+('main page'!$K$35/100))^U350)</f>
        <v>0</v>
      </c>
      <c r="U351" s="73">
        <v>344</v>
      </c>
      <c r="V351" s="161">
        <v>0</v>
      </c>
      <c r="W351" s="40">
        <v>0</v>
      </c>
      <c r="X351" s="49">
        <f ca="1">IF(controls!$B$33=1,D351-($I$3-'main page'!$K$27*2)*(1+('main page'!$K$35/100))^A350,D351-$AL$4)</f>
        <v>0</v>
      </c>
      <c r="Y351" s="49">
        <f ca="1">ABS(L351-(controls!$B$9/100)*100)</f>
        <v>0</v>
      </c>
      <c r="AA351" s="49" t="e">
        <f ca="1">IF(controls!$B$33=1,(B352-B351*V352-I352+D351*W352+'main page'!$K$27*('main page'!$K$24+'main page'!$K$11))/'main page'!$K$31,(B352-B351*V352+D351*W352-H352+'main page'!$K$27*('main page'!$K$24+'main page'!$K$11))/'main page'!$K$31)</f>
        <v>#DIV/0!</v>
      </c>
      <c r="AB351" s="49" t="e">
        <f ca="1">IF(controls!$B$45=1,LOG(AF351,1.01)+LOG(AE351,1.01)-LOG(AD351,1.01),-((M351-('main page'!$K$24+'main page'!$K$11))/(1-'normal case'!$AO$3))+'normal case'!AA351)</f>
        <v>#DIV/0!</v>
      </c>
      <c r="AC351" s="176" t="e">
        <f t="shared" ca="1" si="37"/>
        <v>#DIV/0!</v>
      </c>
      <c r="AD351" s="49">
        <f t="shared" ca="1" si="38"/>
        <v>983.69343535094333</v>
      </c>
      <c r="AE351" s="49">
        <f>AE350*(1+'main page'!$K$32/100)</f>
        <v>1</v>
      </c>
      <c r="AF351" s="49" t="e">
        <f ca="1">IF(ABS(IF(controls!$B$45=1,$AL$13,AD351*AC351/AE351)-AF350)&lt;0.00001,AF350,IF(controls!$B$45=1,$AL$13,AD351*AC351/AE351))</f>
        <v>#DIV/0!</v>
      </c>
      <c r="AG351" s="49">
        <f>IF(controls!$B$46=0,0,IF(controls!$B$33=2,B352-B351*V352-('normal case'!H352-D351*W352-'main page'!$K$27*'normal case'!M351+'main page'!$K$31*'normal case'!AB351)-(('main page'!$K$25*'main page'!$U$13*'main page'!$K$29)/(1+('main page'!$K$25^2)*'main page'!$U$13))*('normal case'!L351-'main page'!$U$8),B352-B351*V352-('normal case'!I352-D351*W352-'main page'!$K$27*'normal case'!M351+'main page'!$K$31*'normal case'!AB351)-(('main page'!$K$25*'main page'!$U$13*'main page'!$K$29)/(1+('main page'!$K$25^2)*'main page'!$U$13))*('normal case'!L351-'main page'!$U$8)))</f>
        <v>0</v>
      </c>
      <c r="AN351" s="40"/>
      <c r="AO351" s="40"/>
    </row>
    <row r="352" spans="1:41">
      <c r="A352" s="48">
        <v>350</v>
      </c>
      <c r="B352" s="75">
        <f ca="1">IF(controls!$B$33=1,B351*(1+V352)+T352,B351*(1+V352))</f>
        <v>100</v>
      </c>
      <c r="C352" s="80">
        <f t="shared" ca="1" si="39"/>
        <v>0</v>
      </c>
      <c r="D352" s="77">
        <f t="shared" ca="1" si="35"/>
        <v>100</v>
      </c>
      <c r="E352" s="77">
        <f ca="1">AG351+IF(controls!$B$33=1,G352,F352)</f>
        <v>100</v>
      </c>
      <c r="F352" s="94">
        <f ca="1">IF(controls!$B$44=0,H352-'main page'!$K$27*M351,H352-'main page'!$K$27*M351+'main page'!$K$31*AB351)</f>
        <v>100</v>
      </c>
      <c r="G352" s="75">
        <f ca="1">IF(controls!$B$44=0,I352-'main page'!$K$27*M351,I352-'main page'!$K$27*M351+'main page'!$K$31*'normal case'!AB351)</f>
        <v>100</v>
      </c>
      <c r="H352" s="75">
        <f t="shared" ca="1" si="40"/>
        <v>108</v>
      </c>
      <c r="I352" s="75">
        <f t="shared" ca="1" si="41"/>
        <v>108</v>
      </c>
      <c r="L352" s="75">
        <f ca="1">IF(ABS('main page'!$K$29*L351+(1-'main page'!$K$29)*(controls!$B$9/100)*100+'main page'!$K$25*(D352-B352)-L351)&lt;0.0000001,L351,'main page'!$K$29*L351+(1-'main page'!$K$29)*(controls!$B$9/100)*100+'main page'!$K$25*(D352-B352))</f>
        <v>2</v>
      </c>
      <c r="M352" s="96">
        <f ca="1">IF(controls!$B$10=1,M351,IF(SUM(controls!$B$44:$B$46)=2,N352-'main page'!$K$29*'normal case'!L352-(1-'main page'!$K$29)*'main page'!$K$32,N352-'main page'!$K$29*'normal case'!L352-(1-'main page'!$K$29)*controls!$B$9))</f>
        <v>4</v>
      </c>
      <c r="N352" s="208">
        <f ca="1">IF(controls!$B$45=1,IF(controls!$B$46=1,'main page'!$K$24+'main page'!$K$11+'main page'!$U$8,'main page'!$K$24+'main page'!$K$11+'main page'!$K$32),IF(controls!$B$44=1,IF(O352&lt;0,0,O352),IF(O352+'main page'!$K$11&lt;0,0,O352+'main page'!$K$11)))</f>
        <v>6</v>
      </c>
      <c r="O352" s="76">
        <f ca="1">IF(controls!$B$10=1,'normal case'!M352+'normal case'!L352,'normal case'!P352)</f>
        <v>6</v>
      </c>
      <c r="P352" s="74">
        <f t="shared" ca="1" si="36"/>
        <v>6</v>
      </c>
      <c r="Q352" s="210">
        <f ca="1">IF(controls!$B$44=0,R352+'main page'!$K$29*L352+(1-'main page'!$K$29)*controls!$B$9+(('main page'!$K$25*'main page'!$U$13*'main page'!$K$29)/('main page'!$K$27*(1+('main page'!$K$25^2)*'main page'!$U$13)))*(L352-controls!$B$9),R352+'main page'!$K$29*L352+(1-'main page'!$K$29)*controls!$B$9+(('main page'!$K$25*'main page'!$U$13*'normal case'!$AO$3)/'normal case'!$AO$4)*('normal case'!L352-controls!$B$9))</f>
        <v>6</v>
      </c>
      <c r="R352" s="98">
        <f ca="1">IF(controls!$B$44=1,'main page'!$K$24+'main page'!$K$11,IF(controls!$B$33=1,((I353-D352*W353-B353+B352*V353)/'main page'!$K$27)-'main page'!$K$11,((H353-D352*W353-B353+B352*V353)/'main page'!$K$27)-'main page'!$K$11))</f>
        <v>4</v>
      </c>
      <c r="T352" s="71">
        <f>IF(controls!$B$6=1,$AL$3*(1+('main page'!$K$35/100))^U352-$AL$3*(1+('main page'!$K$35/100))^U351,$AL$3*(1+('main page'!$G$8/100))*(1+('main page'!$K$35/100))^U352-$AL$3*(1+('main page'!$G$8/100))*(1+('main page'!$K$35/100))^U351)</f>
        <v>0</v>
      </c>
      <c r="U352" s="73">
        <v>345</v>
      </c>
      <c r="V352" s="161">
        <v>0</v>
      </c>
      <c r="W352" s="40">
        <v>0</v>
      </c>
      <c r="X352" s="49">
        <f ca="1">IF(controls!$B$33=1,D352-($I$3-'main page'!$K$27*2)*(1+('main page'!$K$35/100))^A351,D352-$AL$4)</f>
        <v>0</v>
      </c>
      <c r="Y352" s="49">
        <f ca="1">ABS(L352-(controls!$B$9/100)*100)</f>
        <v>0</v>
      </c>
      <c r="AA352" s="49" t="e">
        <f ca="1">IF(controls!$B$33=1,(B353-B352*V353-I353+D352*W353+'main page'!$K$27*('main page'!$K$24+'main page'!$K$11))/'main page'!$K$31,(B353-B352*V353+D352*W353-H353+'main page'!$K$27*('main page'!$K$24+'main page'!$K$11))/'main page'!$K$31)</f>
        <v>#DIV/0!</v>
      </c>
      <c r="AB352" s="49" t="e">
        <f ca="1">IF(controls!$B$45=1,LOG(AF352,1.01)+LOG(AE352,1.01)-LOG(AD352,1.01),-((M352-('main page'!$K$24+'main page'!$K$11))/(1-'normal case'!$AO$3))+'normal case'!AA352)</f>
        <v>#DIV/0!</v>
      </c>
      <c r="AC352" s="176" t="e">
        <f t="shared" ca="1" si="37"/>
        <v>#DIV/0!</v>
      </c>
      <c r="AD352" s="49">
        <f t="shared" ca="1" si="38"/>
        <v>1003.3673040579622</v>
      </c>
      <c r="AE352" s="49">
        <f>AE351*(1+'main page'!$K$32/100)</f>
        <v>1</v>
      </c>
      <c r="AF352" s="49" t="e">
        <f ca="1">IF(ABS(IF(controls!$B$45=1,$AL$13,AD352*AC352/AE352)-AF351)&lt;0.00001,AF351,IF(controls!$B$45=1,$AL$13,AD352*AC352/AE352))</f>
        <v>#DIV/0!</v>
      </c>
      <c r="AG352" s="49">
        <f>IF(controls!$B$46=0,0,IF(controls!$B$33=2,B353-B352*V353-('normal case'!H353-D352*W353-'main page'!$K$27*'normal case'!M352+'main page'!$K$31*'normal case'!AB352)-(('main page'!$K$25*'main page'!$U$13*'main page'!$K$29)/(1+('main page'!$K$25^2)*'main page'!$U$13))*('normal case'!L352-'main page'!$U$8),B353-B352*V353-('normal case'!I353-D352*W353-'main page'!$K$27*'normal case'!M352+'main page'!$K$31*'normal case'!AB352)-(('main page'!$K$25*'main page'!$U$13*'main page'!$K$29)/(1+('main page'!$K$25^2)*'main page'!$U$13))*('normal case'!L352-'main page'!$U$8)))</f>
        <v>0</v>
      </c>
      <c r="AN352" s="40"/>
      <c r="AO352" s="40"/>
    </row>
    <row r="353" spans="1:41">
      <c r="A353" s="48">
        <v>351</v>
      </c>
      <c r="B353" s="75">
        <f ca="1">IF(controls!$B$33=1,B352*(1+V353)+T353,B352*(1+V353))</f>
        <v>100</v>
      </c>
      <c r="C353" s="80">
        <f t="shared" ca="1" si="39"/>
        <v>0</v>
      </c>
      <c r="D353" s="77">
        <f t="shared" ca="1" si="35"/>
        <v>100</v>
      </c>
      <c r="E353" s="77">
        <f ca="1">AG352+IF(controls!$B$33=1,G353,F353)</f>
        <v>100</v>
      </c>
      <c r="F353" s="94">
        <f ca="1">IF(controls!$B$44=0,H353-'main page'!$K$27*M352,H353-'main page'!$K$27*M352+'main page'!$K$31*AB352)</f>
        <v>100</v>
      </c>
      <c r="G353" s="75">
        <f ca="1">IF(controls!$B$44=0,I353-'main page'!$K$27*M352,I353-'main page'!$K$27*M352+'main page'!$K$31*'normal case'!AB352)</f>
        <v>100</v>
      </c>
      <c r="H353" s="75">
        <f t="shared" ca="1" si="40"/>
        <v>108</v>
      </c>
      <c r="I353" s="75">
        <f t="shared" ca="1" si="41"/>
        <v>108</v>
      </c>
      <c r="L353" s="75">
        <f ca="1">IF(ABS('main page'!$K$29*L352+(1-'main page'!$K$29)*(controls!$B$9/100)*100+'main page'!$K$25*(D353-B353)-L352)&lt;0.0000001,L352,'main page'!$K$29*L352+(1-'main page'!$K$29)*(controls!$B$9/100)*100+'main page'!$K$25*(D353-B353))</f>
        <v>2</v>
      </c>
      <c r="M353" s="96">
        <f ca="1">IF(controls!$B$10=1,M352,IF(SUM(controls!$B$44:$B$46)=2,N353-'main page'!$K$29*'normal case'!L353-(1-'main page'!$K$29)*'main page'!$K$32,N353-'main page'!$K$29*'normal case'!L353-(1-'main page'!$K$29)*controls!$B$9))</f>
        <v>4</v>
      </c>
      <c r="N353" s="208">
        <f ca="1">IF(controls!$B$45=1,IF(controls!$B$46=1,'main page'!$K$24+'main page'!$K$11+'main page'!$U$8,'main page'!$K$24+'main page'!$K$11+'main page'!$K$32),IF(controls!$B$44=1,IF(O353&lt;0,0,O353),IF(O353+'main page'!$K$11&lt;0,0,O353+'main page'!$K$11)))</f>
        <v>6</v>
      </c>
      <c r="O353" s="76">
        <f ca="1">IF(controls!$B$10=1,'normal case'!M353+'normal case'!L353,'normal case'!P353)</f>
        <v>6</v>
      </c>
      <c r="P353" s="74">
        <f t="shared" ca="1" si="36"/>
        <v>6</v>
      </c>
      <c r="Q353" s="210">
        <f ca="1">IF(controls!$B$44=0,R353+'main page'!$K$29*L353+(1-'main page'!$K$29)*controls!$B$9+(('main page'!$K$25*'main page'!$U$13*'main page'!$K$29)/('main page'!$K$27*(1+('main page'!$K$25^2)*'main page'!$U$13)))*(L353-controls!$B$9),R353+'main page'!$K$29*L353+(1-'main page'!$K$29)*controls!$B$9+(('main page'!$K$25*'main page'!$U$13*'normal case'!$AO$3)/'normal case'!$AO$4)*('normal case'!L353-controls!$B$9))</f>
        <v>6</v>
      </c>
      <c r="R353" s="98">
        <f ca="1">IF(controls!$B$44=1,'main page'!$K$24+'main page'!$K$11,IF(controls!$B$33=1,((I354-D353*W354-B354+B353*V354)/'main page'!$K$27)-'main page'!$K$11,((H354-D353*W354-B354+B353*V354)/'main page'!$K$27)-'main page'!$K$11))</f>
        <v>4</v>
      </c>
      <c r="T353" s="71">
        <f>IF(controls!$B$6=1,$AL$3*(1+('main page'!$K$35/100))^U353-$AL$3*(1+('main page'!$K$35/100))^U352,$AL$3*(1+('main page'!$G$8/100))*(1+('main page'!$K$35/100))^U353-$AL$3*(1+('main page'!$G$8/100))*(1+('main page'!$K$35/100))^U352)</f>
        <v>0</v>
      </c>
      <c r="U353" s="73">
        <v>346</v>
      </c>
      <c r="V353" s="161">
        <f ca="1">IF(controls!$B$4=1,IF(controls!$H352=1,controls!$B$34*V352+RAND()*('main page'!$K$16/100)-RAND()*('main page'!$K$16/100),0),0)</f>
        <v>0</v>
      </c>
      <c r="W353" s="40">
        <f ca="1">IF(controls!$B$4=1,IF(controls!$I352=1,controls!$B$34*W352+RAND()*('main page'!$K$16/100)-RAND()*('main page'!$K$16/100),0),0)</f>
        <v>0</v>
      </c>
      <c r="X353" s="49">
        <f ca="1">IF(controls!$B$33=1,D353-($I$3-'main page'!$K$27*2)*(1+('main page'!$K$35/100))^A352,D353-$AL$4)</f>
        <v>0</v>
      </c>
      <c r="Y353" s="49">
        <f ca="1">ABS(L353-(controls!$B$9/100)*100)</f>
        <v>0</v>
      </c>
      <c r="AA353" s="49" t="e">
        <f ca="1">IF(controls!$B$33=1,(B354-B353*V354-I354+D353*W354+'main page'!$K$27*('main page'!$K$24+'main page'!$K$11))/'main page'!$K$31,(B354-B353*V354+D353*W354-H354+'main page'!$K$27*('main page'!$K$24+'main page'!$K$11))/'main page'!$K$31)</f>
        <v>#DIV/0!</v>
      </c>
      <c r="AB353" s="49" t="e">
        <f ca="1">IF(controls!$B$45=1,LOG(AF353,1.01)+LOG(AE353,1.01)-LOG(AD353,1.01),-((M353-('main page'!$K$24+'main page'!$K$11))/(1-'normal case'!$AO$3))+'normal case'!AA353)</f>
        <v>#DIV/0!</v>
      </c>
      <c r="AC353" s="176" t="e">
        <f t="shared" ca="1" si="37"/>
        <v>#DIV/0!</v>
      </c>
      <c r="AD353" s="49">
        <f t="shared" ca="1" si="38"/>
        <v>1023.4346501391215</v>
      </c>
      <c r="AE353" s="49">
        <f>AE352*(1+'main page'!$K$32/100)</f>
        <v>1</v>
      </c>
      <c r="AF353" s="49" t="e">
        <f ca="1">IF(ABS(IF(controls!$B$45=1,$AL$13,AD353*AC353/AE353)-AF352)&lt;0.00001,AF352,IF(controls!$B$45=1,$AL$13,AD353*AC353/AE353))</f>
        <v>#DIV/0!</v>
      </c>
      <c r="AG353" s="49">
        <f>IF(controls!$B$46=0,0,IF(controls!$B$33=2,B354-B353*V354-('normal case'!H354-D353*W354-'main page'!$K$27*'normal case'!M353+'main page'!$K$31*'normal case'!AB353)-(('main page'!$K$25*'main page'!$U$13*'main page'!$K$29)/(1+('main page'!$K$25^2)*'main page'!$U$13))*('normal case'!L353-'main page'!$U$8),B354-B353*V354-('normal case'!I354-D353*W354-'main page'!$K$27*'normal case'!M353+'main page'!$K$31*'normal case'!AB353)-(('main page'!$K$25*'main page'!$U$13*'main page'!$K$29)/(1+('main page'!$K$25^2)*'main page'!$U$13))*('normal case'!L353-'main page'!$U$8)))</f>
        <v>0</v>
      </c>
      <c r="AN353" s="40"/>
      <c r="AO353" s="40"/>
    </row>
    <row r="354" spans="1:41">
      <c r="A354" s="48">
        <v>352</v>
      </c>
      <c r="B354" s="75">
        <f ca="1">IF(controls!$B$33=1,B353*(1+V354)+T354,B353*(1+V354))</f>
        <v>100</v>
      </c>
      <c r="C354" s="80">
        <f t="shared" ca="1" si="39"/>
        <v>0</v>
      </c>
      <c r="D354" s="77">
        <f t="shared" ca="1" si="35"/>
        <v>100</v>
      </c>
      <c r="E354" s="77">
        <f ca="1">AG353+IF(controls!$B$33=1,G354,F354)</f>
        <v>100</v>
      </c>
      <c r="F354" s="94">
        <f ca="1">IF(controls!$B$44=0,H354-'main page'!$K$27*M353,H354-'main page'!$K$27*M353+'main page'!$K$31*AB353)</f>
        <v>100</v>
      </c>
      <c r="G354" s="75">
        <f ca="1">IF(controls!$B$44=0,I354-'main page'!$K$27*M353,I354-'main page'!$K$27*M353+'main page'!$K$31*'normal case'!AB353)</f>
        <v>100</v>
      </c>
      <c r="H354" s="75">
        <f t="shared" ca="1" si="40"/>
        <v>108</v>
      </c>
      <c r="I354" s="75">
        <f t="shared" ca="1" si="41"/>
        <v>108</v>
      </c>
      <c r="L354" s="75">
        <f ca="1">IF(ABS('main page'!$K$29*L353+(1-'main page'!$K$29)*(controls!$B$9/100)*100+'main page'!$K$25*(D354-B354)-L353)&lt;0.0000001,L353,'main page'!$K$29*L353+(1-'main page'!$K$29)*(controls!$B$9/100)*100+'main page'!$K$25*(D354-B354))</f>
        <v>2</v>
      </c>
      <c r="M354" s="96">
        <f ca="1">IF(controls!$B$10=1,M353,IF(SUM(controls!$B$44:$B$46)=2,N354-'main page'!$K$29*'normal case'!L354-(1-'main page'!$K$29)*'main page'!$K$32,N354-'main page'!$K$29*'normal case'!L354-(1-'main page'!$K$29)*controls!$B$9))</f>
        <v>4</v>
      </c>
      <c r="N354" s="208">
        <f ca="1">IF(controls!$B$45=1,IF(controls!$B$46=1,'main page'!$K$24+'main page'!$K$11+'main page'!$U$8,'main page'!$K$24+'main page'!$K$11+'main page'!$K$32),IF(controls!$B$44=1,IF(O354&lt;0,0,O354),IF(O354+'main page'!$K$11&lt;0,0,O354+'main page'!$K$11)))</f>
        <v>6</v>
      </c>
      <c r="O354" s="76">
        <f ca="1">IF(controls!$B$10=1,'normal case'!M354+'normal case'!L354,'normal case'!P354)</f>
        <v>6</v>
      </c>
      <c r="P354" s="74">
        <f t="shared" ca="1" si="36"/>
        <v>6</v>
      </c>
      <c r="Q354" s="210">
        <f ca="1">IF(controls!$B$44=0,R354+'main page'!$K$29*L354+(1-'main page'!$K$29)*controls!$B$9+(('main page'!$K$25*'main page'!$U$13*'main page'!$K$29)/('main page'!$K$27*(1+('main page'!$K$25^2)*'main page'!$U$13)))*(L354-controls!$B$9),R354+'main page'!$K$29*L354+(1-'main page'!$K$29)*controls!$B$9+(('main page'!$K$25*'main page'!$U$13*'normal case'!$AO$3)/'normal case'!$AO$4)*('normal case'!L354-controls!$B$9))</f>
        <v>6</v>
      </c>
      <c r="R354" s="98">
        <f ca="1">IF(controls!$B$44=1,'main page'!$K$24+'main page'!$K$11,IF(controls!$B$33=1,((I355-D354*W355-B355+B354*V355)/'main page'!$K$27)-'main page'!$K$11,((H355-D354*W355-B355+B354*V355)/'main page'!$K$27)-'main page'!$K$11))</f>
        <v>4</v>
      </c>
      <c r="T354" s="71">
        <f>IF(controls!$B$6=1,$AL$3*(1+('main page'!$K$35/100))^U354-$AL$3*(1+('main page'!$K$35/100))^U353,$AL$3*(1+('main page'!$G$8/100))*(1+('main page'!$K$35/100))^U354-$AL$3*(1+('main page'!$G$8/100))*(1+('main page'!$K$35/100))^U353)</f>
        <v>0</v>
      </c>
      <c r="U354" s="73">
        <v>347</v>
      </c>
      <c r="V354" s="161">
        <v>0</v>
      </c>
      <c r="W354" s="40">
        <v>0</v>
      </c>
      <c r="X354" s="49">
        <f ca="1">IF(controls!$B$33=1,D354-($I$3-'main page'!$K$27*2)*(1+('main page'!$K$35/100))^A353,D354-$AL$4)</f>
        <v>0</v>
      </c>
      <c r="Y354" s="49">
        <f ca="1">ABS(L354-(controls!$B$9/100)*100)</f>
        <v>0</v>
      </c>
      <c r="AA354" s="49" t="e">
        <f ca="1">IF(controls!$B$33=1,(B355-B354*V355-I355+D354*W355+'main page'!$K$27*('main page'!$K$24+'main page'!$K$11))/'main page'!$K$31,(B355-B354*V355+D354*W355-H355+'main page'!$K$27*('main page'!$K$24+'main page'!$K$11))/'main page'!$K$31)</f>
        <v>#DIV/0!</v>
      </c>
      <c r="AB354" s="49" t="e">
        <f ca="1">IF(controls!$B$45=1,LOG(AF354,1.01)+LOG(AE354,1.01)-LOG(AD354,1.01),-((M354-('main page'!$K$24+'main page'!$K$11))/(1-'normal case'!$AO$3))+'normal case'!AA354)</f>
        <v>#DIV/0!</v>
      </c>
      <c r="AC354" s="176" t="e">
        <f t="shared" ca="1" si="37"/>
        <v>#DIV/0!</v>
      </c>
      <c r="AD354" s="49">
        <f t="shared" ca="1" si="38"/>
        <v>1043.9033431419039</v>
      </c>
      <c r="AE354" s="49">
        <f>AE353*(1+'main page'!$K$32/100)</f>
        <v>1</v>
      </c>
      <c r="AF354" s="49" t="e">
        <f ca="1">IF(ABS(IF(controls!$B$45=1,$AL$13,AD354*AC354/AE354)-AF353)&lt;0.00001,AF353,IF(controls!$B$45=1,$AL$13,AD354*AC354/AE354))</f>
        <v>#DIV/0!</v>
      </c>
      <c r="AG354" s="49">
        <f>IF(controls!$B$46=0,0,IF(controls!$B$33=2,B355-B354*V355-('normal case'!H355-D354*W355-'main page'!$K$27*'normal case'!M354+'main page'!$K$31*'normal case'!AB354)-(('main page'!$K$25*'main page'!$U$13*'main page'!$K$29)/(1+('main page'!$K$25^2)*'main page'!$U$13))*('normal case'!L354-'main page'!$U$8),B355-B354*V355-('normal case'!I355-D354*W355-'main page'!$K$27*'normal case'!M354+'main page'!$K$31*'normal case'!AB354)-(('main page'!$K$25*'main page'!$U$13*'main page'!$K$29)/(1+('main page'!$K$25^2)*'main page'!$U$13))*('normal case'!L354-'main page'!$U$8)))</f>
        <v>0</v>
      </c>
      <c r="AN354" s="40"/>
      <c r="AO354" s="40"/>
    </row>
    <row r="355" spans="1:41">
      <c r="A355" s="48">
        <v>353</v>
      </c>
      <c r="B355" s="75">
        <f ca="1">IF(controls!$B$33=1,B354*(1+V355)+T355,B354*(1+V355))</f>
        <v>100</v>
      </c>
      <c r="C355" s="80">
        <f t="shared" ca="1" si="39"/>
        <v>0</v>
      </c>
      <c r="D355" s="77">
        <f t="shared" ca="1" si="35"/>
        <v>100</v>
      </c>
      <c r="E355" s="77">
        <f ca="1">AG354+IF(controls!$B$33=1,G355,F355)</f>
        <v>100</v>
      </c>
      <c r="F355" s="94">
        <f ca="1">IF(controls!$B$44=0,H355-'main page'!$K$27*M354,H355-'main page'!$K$27*M354+'main page'!$K$31*AB354)</f>
        <v>100</v>
      </c>
      <c r="G355" s="75">
        <f ca="1">IF(controls!$B$44=0,I355-'main page'!$K$27*M354,I355-'main page'!$K$27*M354+'main page'!$K$31*'normal case'!AB354)</f>
        <v>100</v>
      </c>
      <c r="H355" s="75">
        <f t="shared" ca="1" si="40"/>
        <v>108</v>
      </c>
      <c r="I355" s="75">
        <f t="shared" ca="1" si="41"/>
        <v>108</v>
      </c>
      <c r="L355" s="75">
        <f ca="1">IF(ABS('main page'!$K$29*L354+(1-'main page'!$K$29)*(controls!$B$9/100)*100+'main page'!$K$25*(D355-B355)-L354)&lt;0.0000001,L354,'main page'!$K$29*L354+(1-'main page'!$K$29)*(controls!$B$9/100)*100+'main page'!$K$25*(D355-B355))</f>
        <v>2</v>
      </c>
      <c r="M355" s="96">
        <f ca="1">IF(controls!$B$10=1,M354,IF(SUM(controls!$B$44:$B$46)=2,N355-'main page'!$K$29*'normal case'!L355-(1-'main page'!$K$29)*'main page'!$K$32,N355-'main page'!$K$29*'normal case'!L355-(1-'main page'!$K$29)*controls!$B$9))</f>
        <v>4</v>
      </c>
      <c r="N355" s="208">
        <f ca="1">IF(controls!$B$45=1,IF(controls!$B$46=1,'main page'!$K$24+'main page'!$K$11+'main page'!$U$8,'main page'!$K$24+'main page'!$K$11+'main page'!$K$32),IF(controls!$B$44=1,IF(O355&lt;0,0,O355),IF(O355+'main page'!$K$11&lt;0,0,O355+'main page'!$K$11)))</f>
        <v>6</v>
      </c>
      <c r="O355" s="76">
        <f ca="1">IF(controls!$B$10=1,'normal case'!M355+'normal case'!L355,'normal case'!P355)</f>
        <v>6</v>
      </c>
      <c r="P355" s="74">
        <f t="shared" ca="1" si="36"/>
        <v>6</v>
      </c>
      <c r="Q355" s="210">
        <f ca="1">IF(controls!$B$44=0,R355+'main page'!$K$29*L355+(1-'main page'!$K$29)*controls!$B$9+(('main page'!$K$25*'main page'!$U$13*'main page'!$K$29)/('main page'!$K$27*(1+('main page'!$K$25^2)*'main page'!$U$13)))*(L355-controls!$B$9),R355+'main page'!$K$29*L355+(1-'main page'!$K$29)*controls!$B$9+(('main page'!$K$25*'main page'!$U$13*'normal case'!$AO$3)/'normal case'!$AO$4)*('normal case'!L355-controls!$B$9))</f>
        <v>6</v>
      </c>
      <c r="R355" s="98">
        <f ca="1">IF(controls!$B$44=1,'main page'!$K$24+'main page'!$K$11,IF(controls!$B$33=1,((I356-D355*W356-B356+B355*V356)/'main page'!$K$27)-'main page'!$K$11,((H356-D355*W356-B356+B355*V356)/'main page'!$K$27)-'main page'!$K$11))</f>
        <v>4</v>
      </c>
      <c r="T355" s="71">
        <f>IF(controls!$B$6=1,$AL$3*(1+('main page'!$K$35/100))^U355-$AL$3*(1+('main page'!$K$35/100))^U354,$AL$3*(1+('main page'!$G$8/100))*(1+('main page'!$K$35/100))^U355-$AL$3*(1+('main page'!$G$8/100))*(1+('main page'!$K$35/100))^U354)</f>
        <v>0</v>
      </c>
      <c r="U355" s="73">
        <v>348</v>
      </c>
      <c r="V355" s="161">
        <v>0</v>
      </c>
      <c r="W355" s="40">
        <v>0</v>
      </c>
      <c r="X355" s="49">
        <f ca="1">IF(controls!$B$33=1,D355-($I$3-'main page'!$K$27*2)*(1+('main page'!$K$35/100))^A354,D355-$AL$4)</f>
        <v>0</v>
      </c>
      <c r="Y355" s="49">
        <f ca="1">ABS(L355-(controls!$B$9/100)*100)</f>
        <v>0</v>
      </c>
      <c r="AA355" s="49" t="e">
        <f ca="1">IF(controls!$B$33=1,(B356-B355*V356-I356+D355*W356+'main page'!$K$27*('main page'!$K$24+'main page'!$K$11))/'main page'!$K$31,(B356-B355*V356+D355*W356-H356+'main page'!$K$27*('main page'!$K$24+'main page'!$K$11))/'main page'!$K$31)</f>
        <v>#DIV/0!</v>
      </c>
      <c r="AB355" s="49" t="e">
        <f ca="1">IF(controls!$B$45=1,LOG(AF355,1.01)+LOG(AE355,1.01)-LOG(AD355,1.01),-((M355-('main page'!$K$24+'main page'!$K$11))/(1-'normal case'!$AO$3))+'normal case'!AA355)</f>
        <v>#DIV/0!</v>
      </c>
      <c r="AC355" s="176" t="e">
        <f t="shared" ca="1" si="37"/>
        <v>#DIV/0!</v>
      </c>
      <c r="AD355" s="49">
        <f t="shared" ca="1" si="38"/>
        <v>1064.7814100047419</v>
      </c>
      <c r="AE355" s="49">
        <f>AE354*(1+'main page'!$K$32/100)</f>
        <v>1</v>
      </c>
      <c r="AF355" s="49" t="e">
        <f ca="1">IF(ABS(IF(controls!$B$45=1,$AL$13,AD355*AC355/AE355)-AF354)&lt;0.00001,AF354,IF(controls!$B$45=1,$AL$13,AD355*AC355/AE355))</f>
        <v>#DIV/0!</v>
      </c>
      <c r="AG355" s="49">
        <f>IF(controls!$B$46=0,0,IF(controls!$B$33=2,B356-B355*V356-('normal case'!H356-D355*W356-'main page'!$K$27*'normal case'!M355+'main page'!$K$31*'normal case'!AB355)-(('main page'!$K$25*'main page'!$U$13*'main page'!$K$29)/(1+('main page'!$K$25^2)*'main page'!$U$13))*('normal case'!L355-'main page'!$U$8),B356-B355*V356-('normal case'!I356-D355*W356-'main page'!$K$27*'normal case'!M355+'main page'!$K$31*'normal case'!AB355)-(('main page'!$K$25*'main page'!$U$13*'main page'!$K$29)/(1+('main page'!$K$25^2)*'main page'!$U$13))*('normal case'!L355-'main page'!$U$8)))</f>
        <v>0</v>
      </c>
      <c r="AN355" s="40"/>
      <c r="AO355" s="40"/>
    </row>
    <row r="356" spans="1:41">
      <c r="A356" s="48">
        <v>354</v>
      </c>
      <c r="B356" s="75">
        <f ca="1">IF(controls!$B$33=1,B355*(1+V356)+T356,B355*(1+V356))</f>
        <v>100</v>
      </c>
      <c r="C356" s="80">
        <f t="shared" ca="1" si="39"/>
        <v>0</v>
      </c>
      <c r="D356" s="77">
        <f t="shared" ca="1" si="35"/>
        <v>100</v>
      </c>
      <c r="E356" s="77">
        <f ca="1">AG355+IF(controls!$B$33=1,G356,F356)</f>
        <v>100</v>
      </c>
      <c r="F356" s="94">
        <f ca="1">IF(controls!$B$44=0,H356-'main page'!$K$27*M355,H356-'main page'!$K$27*M355+'main page'!$K$31*AB355)</f>
        <v>100</v>
      </c>
      <c r="G356" s="75">
        <f ca="1">IF(controls!$B$44=0,I356-'main page'!$K$27*M355,I356-'main page'!$K$27*M355+'main page'!$K$31*'normal case'!AB355)</f>
        <v>100</v>
      </c>
      <c r="H356" s="75">
        <f t="shared" ca="1" si="40"/>
        <v>108</v>
      </c>
      <c r="I356" s="75">
        <f t="shared" ca="1" si="41"/>
        <v>108</v>
      </c>
      <c r="L356" s="75">
        <f ca="1">IF(ABS('main page'!$K$29*L355+(1-'main page'!$K$29)*(controls!$B$9/100)*100+'main page'!$K$25*(D356-B356)-L355)&lt;0.0000001,L355,'main page'!$K$29*L355+(1-'main page'!$K$29)*(controls!$B$9/100)*100+'main page'!$K$25*(D356-B356))</f>
        <v>2</v>
      </c>
      <c r="M356" s="96">
        <f ca="1">IF(controls!$B$10=1,M355,IF(SUM(controls!$B$44:$B$46)=2,N356-'main page'!$K$29*'normal case'!L356-(1-'main page'!$K$29)*'main page'!$K$32,N356-'main page'!$K$29*'normal case'!L356-(1-'main page'!$K$29)*controls!$B$9))</f>
        <v>4</v>
      </c>
      <c r="N356" s="208">
        <f ca="1">IF(controls!$B$45=1,IF(controls!$B$46=1,'main page'!$K$24+'main page'!$K$11+'main page'!$U$8,'main page'!$K$24+'main page'!$K$11+'main page'!$K$32),IF(controls!$B$44=1,IF(O356&lt;0,0,O356),IF(O356+'main page'!$K$11&lt;0,0,O356+'main page'!$K$11)))</f>
        <v>6</v>
      </c>
      <c r="O356" s="76">
        <f ca="1">IF(controls!$B$10=1,'normal case'!M356+'normal case'!L356,'normal case'!P356)</f>
        <v>6</v>
      </c>
      <c r="P356" s="74">
        <f t="shared" ca="1" si="36"/>
        <v>6</v>
      </c>
      <c r="Q356" s="210">
        <f ca="1">IF(controls!$B$44=0,R356+'main page'!$K$29*L356+(1-'main page'!$K$29)*controls!$B$9+(('main page'!$K$25*'main page'!$U$13*'main page'!$K$29)/('main page'!$K$27*(1+('main page'!$K$25^2)*'main page'!$U$13)))*(L356-controls!$B$9),R356+'main page'!$K$29*L356+(1-'main page'!$K$29)*controls!$B$9+(('main page'!$K$25*'main page'!$U$13*'normal case'!$AO$3)/'normal case'!$AO$4)*('normal case'!L356-controls!$B$9))</f>
        <v>6</v>
      </c>
      <c r="R356" s="98">
        <f ca="1">IF(controls!$B$44=1,'main page'!$K$24+'main page'!$K$11,IF(controls!$B$33=1,((I357-D356*W357-B357+B356*V357)/'main page'!$K$27)-'main page'!$K$11,((H357-D356*W357-B357+B356*V357)/'main page'!$K$27)-'main page'!$K$11))</f>
        <v>4</v>
      </c>
      <c r="T356" s="71">
        <f>IF(controls!$B$6=1,$AL$3*(1+('main page'!$K$35/100))^U356-$AL$3*(1+('main page'!$K$35/100))^U355,$AL$3*(1+('main page'!$G$8/100))*(1+('main page'!$K$35/100))^U356-$AL$3*(1+('main page'!$G$8/100))*(1+('main page'!$K$35/100))^U355)</f>
        <v>0</v>
      </c>
      <c r="U356" s="73">
        <v>349</v>
      </c>
      <c r="V356" s="161">
        <f ca="1">IF(controls!$B$4=1,IF(controls!$H355=1,controls!$B$34*V355+RAND()*('main page'!$K$16/100)-RAND()*('main page'!$K$16/100),0),0)</f>
        <v>0</v>
      </c>
      <c r="W356" s="40">
        <f ca="1">IF(controls!$B$4=1,IF(controls!$I355=1,controls!$B$34*W355+RAND()*('main page'!$K$16/100)-RAND()*('main page'!$K$16/100),0),0)</f>
        <v>0</v>
      </c>
      <c r="X356" s="49">
        <f ca="1">IF(controls!$B$33=1,D356-($I$3-'main page'!$K$27*2)*(1+('main page'!$K$35/100))^A355,D356-$AL$4)</f>
        <v>0</v>
      </c>
      <c r="Y356" s="49">
        <f ca="1">ABS(L356-(controls!$B$9/100)*100)</f>
        <v>0</v>
      </c>
      <c r="AA356" s="49" t="e">
        <f ca="1">IF(controls!$B$33=1,(B357-B356*V357-I357+D356*W357+'main page'!$K$27*('main page'!$K$24+'main page'!$K$11))/'main page'!$K$31,(B357-B356*V357+D356*W357-H357+'main page'!$K$27*('main page'!$K$24+'main page'!$K$11))/'main page'!$K$31)</f>
        <v>#DIV/0!</v>
      </c>
      <c r="AB356" s="49" t="e">
        <f ca="1">IF(controls!$B$45=1,LOG(AF356,1.01)+LOG(AE356,1.01)-LOG(AD356,1.01),-((M356-('main page'!$K$24+'main page'!$K$11))/(1-'normal case'!$AO$3))+'normal case'!AA356)</f>
        <v>#DIV/0!</v>
      </c>
      <c r="AC356" s="176" t="e">
        <f t="shared" ca="1" si="37"/>
        <v>#DIV/0!</v>
      </c>
      <c r="AD356" s="49">
        <f t="shared" ca="1" si="38"/>
        <v>1086.0770382048368</v>
      </c>
      <c r="AE356" s="49">
        <f>AE355*(1+'main page'!$K$32/100)</f>
        <v>1</v>
      </c>
      <c r="AF356" s="49" t="e">
        <f ca="1">IF(ABS(IF(controls!$B$45=1,$AL$13,AD356*AC356/AE356)-AF355)&lt;0.00001,AF355,IF(controls!$B$45=1,$AL$13,AD356*AC356/AE356))</f>
        <v>#DIV/0!</v>
      </c>
      <c r="AG356" s="49">
        <f>IF(controls!$B$46=0,0,IF(controls!$B$33=2,B357-B356*V357-('normal case'!H357-D356*W357-'main page'!$K$27*'normal case'!M356+'main page'!$K$31*'normal case'!AB356)-(('main page'!$K$25*'main page'!$U$13*'main page'!$K$29)/(1+('main page'!$K$25^2)*'main page'!$U$13))*('normal case'!L356-'main page'!$U$8),B357-B356*V357-('normal case'!I357-D356*W357-'main page'!$K$27*'normal case'!M356+'main page'!$K$31*'normal case'!AB356)-(('main page'!$K$25*'main page'!$U$13*'main page'!$K$29)/(1+('main page'!$K$25^2)*'main page'!$U$13))*('normal case'!L356-'main page'!$U$8)))</f>
        <v>0</v>
      </c>
      <c r="AN356" s="40"/>
      <c r="AO356" s="40"/>
    </row>
    <row r="357" spans="1:41">
      <c r="A357" s="48">
        <v>355</v>
      </c>
      <c r="B357" s="75">
        <f ca="1">IF(controls!$B$33=1,B356*(1+V357)+T357,B356*(1+V357))</f>
        <v>100</v>
      </c>
      <c r="C357" s="80">
        <f t="shared" ca="1" si="39"/>
        <v>0</v>
      </c>
      <c r="D357" s="77">
        <f t="shared" ca="1" si="35"/>
        <v>100</v>
      </c>
      <c r="E357" s="77">
        <f ca="1">AG356+IF(controls!$B$33=1,G357,F357)</f>
        <v>100</v>
      </c>
      <c r="F357" s="94">
        <f ca="1">IF(controls!$B$44=0,H357-'main page'!$K$27*M356,H357-'main page'!$K$27*M356+'main page'!$K$31*AB356)</f>
        <v>100</v>
      </c>
      <c r="G357" s="75">
        <f ca="1">IF(controls!$B$44=0,I357-'main page'!$K$27*M356,I357-'main page'!$K$27*M356+'main page'!$K$31*'normal case'!AB356)</f>
        <v>100</v>
      </c>
      <c r="H357" s="75">
        <f t="shared" ca="1" si="40"/>
        <v>108</v>
      </c>
      <c r="I357" s="75">
        <f t="shared" ca="1" si="41"/>
        <v>108</v>
      </c>
      <c r="L357" s="75">
        <f ca="1">IF(ABS('main page'!$K$29*L356+(1-'main page'!$K$29)*(controls!$B$9/100)*100+'main page'!$K$25*(D357-B357)-L356)&lt;0.0000001,L356,'main page'!$K$29*L356+(1-'main page'!$K$29)*(controls!$B$9/100)*100+'main page'!$K$25*(D357-B357))</f>
        <v>2</v>
      </c>
      <c r="M357" s="96">
        <f ca="1">IF(controls!$B$10=1,M356,IF(SUM(controls!$B$44:$B$46)=2,N357-'main page'!$K$29*'normal case'!L357-(1-'main page'!$K$29)*'main page'!$K$32,N357-'main page'!$K$29*'normal case'!L357-(1-'main page'!$K$29)*controls!$B$9))</f>
        <v>4</v>
      </c>
      <c r="N357" s="208">
        <f ca="1">IF(controls!$B$45=1,IF(controls!$B$46=1,'main page'!$K$24+'main page'!$K$11+'main page'!$U$8,'main page'!$K$24+'main page'!$K$11+'main page'!$K$32),IF(controls!$B$44=1,IF(O357&lt;0,0,O357),IF(O357+'main page'!$K$11&lt;0,0,O357+'main page'!$K$11)))</f>
        <v>6</v>
      </c>
      <c r="O357" s="76">
        <f ca="1">IF(controls!$B$10=1,'normal case'!M357+'normal case'!L357,'normal case'!P357)</f>
        <v>6</v>
      </c>
      <c r="P357" s="74">
        <f t="shared" ca="1" si="36"/>
        <v>6</v>
      </c>
      <c r="Q357" s="210">
        <f ca="1">IF(controls!$B$44=0,R357+'main page'!$K$29*L357+(1-'main page'!$K$29)*controls!$B$9+(('main page'!$K$25*'main page'!$U$13*'main page'!$K$29)/('main page'!$K$27*(1+('main page'!$K$25^2)*'main page'!$U$13)))*(L357-controls!$B$9),R357+'main page'!$K$29*L357+(1-'main page'!$K$29)*controls!$B$9+(('main page'!$K$25*'main page'!$U$13*'normal case'!$AO$3)/'normal case'!$AO$4)*('normal case'!L357-controls!$B$9))</f>
        <v>6</v>
      </c>
      <c r="R357" s="98">
        <f ca="1">IF(controls!$B$44=1,'main page'!$K$24+'main page'!$K$11,IF(controls!$B$33=1,((I358-D357*W358-B358+B357*V358)/'main page'!$K$27)-'main page'!$K$11,((H358-D357*W358-B358+B357*V358)/'main page'!$K$27)-'main page'!$K$11))</f>
        <v>4</v>
      </c>
      <c r="T357" s="71">
        <f>IF(controls!$B$6=1,$AL$3*(1+('main page'!$K$35/100))^U357-$AL$3*(1+('main page'!$K$35/100))^U356,$AL$3*(1+('main page'!$G$8/100))*(1+('main page'!$K$35/100))^U357-$AL$3*(1+('main page'!$G$8/100))*(1+('main page'!$K$35/100))^U356)</f>
        <v>0</v>
      </c>
      <c r="U357" s="73">
        <v>350</v>
      </c>
      <c r="V357" s="161">
        <v>0</v>
      </c>
      <c r="W357" s="40">
        <v>0</v>
      </c>
      <c r="X357" s="49">
        <f ca="1">IF(controls!$B$33=1,D357-($I$3-'main page'!$K$27*2)*(1+('main page'!$K$35/100))^A356,D357-$AL$4)</f>
        <v>0</v>
      </c>
      <c r="Y357" s="49">
        <f ca="1">ABS(L357-(controls!$B$9/100)*100)</f>
        <v>0</v>
      </c>
      <c r="AA357" s="49" t="e">
        <f ca="1">IF(controls!$B$33=1,(B358-B357*V358-I358+D357*W358+'main page'!$K$27*('main page'!$K$24+'main page'!$K$11))/'main page'!$K$31,(B358-B357*V358+D357*W358-H358+'main page'!$K$27*('main page'!$K$24+'main page'!$K$11))/'main page'!$K$31)</f>
        <v>#DIV/0!</v>
      </c>
      <c r="AB357" s="49" t="e">
        <f ca="1">IF(controls!$B$45=1,LOG(AF357,1.01)+LOG(AE357,1.01)-LOG(AD357,1.01),-((M357-('main page'!$K$24+'main page'!$K$11))/(1-'normal case'!$AO$3))+'normal case'!AA357)</f>
        <v>#DIV/0!</v>
      </c>
      <c r="AC357" s="176" t="e">
        <f t="shared" ca="1" si="37"/>
        <v>#DIV/0!</v>
      </c>
      <c r="AD357" s="49">
        <f t="shared" ca="1" si="38"/>
        <v>1107.7985789689335</v>
      </c>
      <c r="AE357" s="49">
        <f>AE356*(1+'main page'!$K$32/100)</f>
        <v>1</v>
      </c>
      <c r="AF357" s="49" t="e">
        <f ca="1">IF(ABS(IF(controls!$B$45=1,$AL$13,AD357*AC357/AE357)-AF356)&lt;0.00001,AF356,IF(controls!$B$45=1,$AL$13,AD357*AC357/AE357))</f>
        <v>#DIV/0!</v>
      </c>
      <c r="AG357" s="49">
        <f>IF(controls!$B$46=0,0,IF(controls!$B$33=2,B358-B357*V358-('normal case'!H358-D357*W358-'main page'!$K$27*'normal case'!M357+'main page'!$K$31*'normal case'!AB357)-(('main page'!$K$25*'main page'!$U$13*'main page'!$K$29)/(1+('main page'!$K$25^2)*'main page'!$U$13))*('normal case'!L357-'main page'!$U$8),B358-B357*V358-('normal case'!I358-D357*W358-'main page'!$K$27*'normal case'!M357+'main page'!$K$31*'normal case'!AB357)-(('main page'!$K$25*'main page'!$U$13*'main page'!$K$29)/(1+('main page'!$K$25^2)*'main page'!$U$13))*('normal case'!L357-'main page'!$U$8)))</f>
        <v>0</v>
      </c>
      <c r="AN357" s="40"/>
      <c r="AO357" s="40"/>
    </row>
    <row r="358" spans="1:41">
      <c r="A358" s="48">
        <v>356</v>
      </c>
      <c r="B358" s="75">
        <f ca="1">IF(controls!$B$33=1,B357*(1+V358)+T358,B357*(1+V358))</f>
        <v>100</v>
      </c>
      <c r="C358" s="80">
        <f t="shared" ca="1" si="39"/>
        <v>0</v>
      </c>
      <c r="D358" s="77">
        <f t="shared" ca="1" si="35"/>
        <v>100</v>
      </c>
      <c r="E358" s="77">
        <f ca="1">AG357+IF(controls!$B$33=1,G358,F358)</f>
        <v>100</v>
      </c>
      <c r="F358" s="94">
        <f ca="1">IF(controls!$B$44=0,H358-'main page'!$K$27*M357,H358-'main page'!$K$27*M357+'main page'!$K$31*AB357)</f>
        <v>100</v>
      </c>
      <c r="G358" s="75">
        <f ca="1">IF(controls!$B$44=0,I358-'main page'!$K$27*M357,I358-'main page'!$K$27*M357+'main page'!$K$31*'normal case'!AB357)</f>
        <v>100</v>
      </c>
      <c r="H358" s="75">
        <f t="shared" ca="1" si="40"/>
        <v>108</v>
      </c>
      <c r="I358" s="75">
        <f t="shared" ca="1" si="41"/>
        <v>108</v>
      </c>
      <c r="L358" s="75">
        <f ca="1">IF(ABS('main page'!$K$29*L357+(1-'main page'!$K$29)*(controls!$B$9/100)*100+'main page'!$K$25*(D358-B358)-L357)&lt;0.0000001,L357,'main page'!$K$29*L357+(1-'main page'!$K$29)*(controls!$B$9/100)*100+'main page'!$K$25*(D358-B358))</f>
        <v>2</v>
      </c>
      <c r="M358" s="96">
        <f ca="1">IF(controls!$B$10=1,M357,IF(SUM(controls!$B$44:$B$46)=2,N358-'main page'!$K$29*'normal case'!L358-(1-'main page'!$K$29)*'main page'!$K$32,N358-'main page'!$K$29*'normal case'!L358-(1-'main page'!$K$29)*controls!$B$9))</f>
        <v>4</v>
      </c>
      <c r="N358" s="208">
        <f ca="1">IF(controls!$B$45=1,IF(controls!$B$46=1,'main page'!$K$24+'main page'!$K$11+'main page'!$U$8,'main page'!$K$24+'main page'!$K$11+'main page'!$K$32),IF(controls!$B$44=1,IF(O358&lt;0,0,O358),IF(O358+'main page'!$K$11&lt;0,0,O358+'main page'!$K$11)))</f>
        <v>6</v>
      </c>
      <c r="O358" s="76">
        <f ca="1">IF(controls!$B$10=1,'normal case'!M358+'normal case'!L358,'normal case'!P358)</f>
        <v>6</v>
      </c>
      <c r="P358" s="74">
        <f t="shared" ca="1" si="36"/>
        <v>6</v>
      </c>
      <c r="Q358" s="210">
        <f ca="1">IF(controls!$B$44=0,R358+'main page'!$K$29*L358+(1-'main page'!$K$29)*controls!$B$9+(('main page'!$K$25*'main page'!$U$13*'main page'!$K$29)/('main page'!$K$27*(1+('main page'!$K$25^2)*'main page'!$U$13)))*(L358-controls!$B$9),R358+'main page'!$K$29*L358+(1-'main page'!$K$29)*controls!$B$9+(('main page'!$K$25*'main page'!$U$13*'normal case'!$AO$3)/'normal case'!$AO$4)*('normal case'!L358-controls!$B$9))</f>
        <v>6</v>
      </c>
      <c r="R358" s="98">
        <f ca="1">IF(controls!$B$44=1,'main page'!$K$24+'main page'!$K$11,IF(controls!$B$33=1,((I359-D358*W359-B359+B358*V359)/'main page'!$K$27)-'main page'!$K$11,((H359-D358*W359-B359+B358*V359)/'main page'!$K$27)-'main page'!$K$11))</f>
        <v>4</v>
      </c>
      <c r="T358" s="71">
        <f>IF(controls!$B$6=1,$AL$3*(1+('main page'!$K$35/100))^U358-$AL$3*(1+('main page'!$K$35/100))^U357,$AL$3*(1+('main page'!$G$8/100))*(1+('main page'!$K$35/100))^U358-$AL$3*(1+('main page'!$G$8/100))*(1+('main page'!$K$35/100))^U357)</f>
        <v>0</v>
      </c>
      <c r="U358" s="73">
        <v>351</v>
      </c>
      <c r="V358" s="161">
        <v>0</v>
      </c>
      <c r="W358" s="40">
        <v>0</v>
      </c>
      <c r="X358" s="49">
        <f ca="1">IF(controls!$B$33=1,D358-($I$3-'main page'!$K$27*2)*(1+('main page'!$K$35/100))^A357,D358-$AL$4)</f>
        <v>0</v>
      </c>
      <c r="Y358" s="49">
        <f ca="1">ABS(L358-(controls!$B$9/100)*100)</f>
        <v>0</v>
      </c>
      <c r="AA358" s="49" t="e">
        <f ca="1">IF(controls!$B$33=1,(B359-B358*V359-I359+D358*W359+'main page'!$K$27*('main page'!$K$24+'main page'!$K$11))/'main page'!$K$31,(B359-B358*V359+D358*W359-H359+'main page'!$K$27*('main page'!$K$24+'main page'!$K$11))/'main page'!$K$31)</f>
        <v>#DIV/0!</v>
      </c>
      <c r="AB358" s="49" t="e">
        <f ca="1">IF(controls!$B$45=1,LOG(AF358,1.01)+LOG(AE358,1.01)-LOG(AD358,1.01),-((M358-('main page'!$K$24+'main page'!$K$11))/(1-'normal case'!$AO$3))+'normal case'!AA358)</f>
        <v>#DIV/0!</v>
      </c>
      <c r="AC358" s="176" t="e">
        <f t="shared" ca="1" si="37"/>
        <v>#DIV/0!</v>
      </c>
      <c r="AD358" s="49">
        <f t="shared" ca="1" si="38"/>
        <v>1129.9545505483122</v>
      </c>
      <c r="AE358" s="49">
        <f>AE357*(1+'main page'!$K$32/100)</f>
        <v>1</v>
      </c>
      <c r="AF358" s="49" t="e">
        <f ca="1">IF(ABS(IF(controls!$B$45=1,$AL$13,AD358*AC358/AE358)-AF357)&lt;0.00001,AF357,IF(controls!$B$45=1,$AL$13,AD358*AC358/AE358))</f>
        <v>#DIV/0!</v>
      </c>
      <c r="AG358" s="49">
        <f>IF(controls!$B$46=0,0,IF(controls!$B$33=2,B359-B358*V359-('normal case'!H359-D358*W359-'main page'!$K$27*'normal case'!M358+'main page'!$K$31*'normal case'!AB358)-(('main page'!$K$25*'main page'!$U$13*'main page'!$K$29)/(1+('main page'!$K$25^2)*'main page'!$U$13))*('normal case'!L358-'main page'!$U$8),B359-B358*V359-('normal case'!I359-D358*W359-'main page'!$K$27*'normal case'!M358+'main page'!$K$31*'normal case'!AB358)-(('main page'!$K$25*'main page'!$U$13*'main page'!$K$29)/(1+('main page'!$K$25^2)*'main page'!$U$13))*('normal case'!L358-'main page'!$U$8)))</f>
        <v>0</v>
      </c>
      <c r="AN358" s="40"/>
      <c r="AO358" s="40"/>
    </row>
    <row r="359" spans="1:41">
      <c r="A359" s="48">
        <v>357</v>
      </c>
      <c r="B359" s="75">
        <f ca="1">IF(controls!$B$33=1,B358*(1+V359)+T359,B358*(1+V359))</f>
        <v>100</v>
      </c>
      <c r="C359" s="80">
        <f t="shared" ca="1" si="39"/>
        <v>0</v>
      </c>
      <c r="D359" s="77">
        <f t="shared" ca="1" si="35"/>
        <v>100</v>
      </c>
      <c r="E359" s="77">
        <f ca="1">AG358+IF(controls!$B$33=1,G359,F359)</f>
        <v>100</v>
      </c>
      <c r="F359" s="94">
        <f ca="1">IF(controls!$B$44=0,H359-'main page'!$K$27*M358,H359-'main page'!$K$27*M358+'main page'!$K$31*AB358)</f>
        <v>100</v>
      </c>
      <c r="G359" s="75">
        <f ca="1">IF(controls!$B$44=0,I359-'main page'!$K$27*M358,I359-'main page'!$K$27*M358+'main page'!$K$31*'normal case'!AB358)</f>
        <v>100</v>
      </c>
      <c r="H359" s="75">
        <f t="shared" ca="1" si="40"/>
        <v>108</v>
      </c>
      <c r="I359" s="75">
        <f t="shared" ca="1" si="41"/>
        <v>108</v>
      </c>
      <c r="L359" s="75">
        <f ca="1">IF(ABS('main page'!$K$29*L358+(1-'main page'!$K$29)*(controls!$B$9/100)*100+'main page'!$K$25*(D359-B359)-L358)&lt;0.0000001,L358,'main page'!$K$29*L358+(1-'main page'!$K$29)*(controls!$B$9/100)*100+'main page'!$K$25*(D359-B359))</f>
        <v>2</v>
      </c>
      <c r="M359" s="96">
        <f ca="1">IF(controls!$B$10=1,M358,IF(SUM(controls!$B$44:$B$46)=2,N359-'main page'!$K$29*'normal case'!L359-(1-'main page'!$K$29)*'main page'!$K$32,N359-'main page'!$K$29*'normal case'!L359-(1-'main page'!$K$29)*controls!$B$9))</f>
        <v>4</v>
      </c>
      <c r="N359" s="208">
        <f ca="1">IF(controls!$B$45=1,IF(controls!$B$46=1,'main page'!$K$24+'main page'!$K$11+'main page'!$U$8,'main page'!$K$24+'main page'!$K$11+'main page'!$K$32),IF(controls!$B$44=1,IF(O359&lt;0,0,O359),IF(O359+'main page'!$K$11&lt;0,0,O359+'main page'!$K$11)))</f>
        <v>6</v>
      </c>
      <c r="O359" s="76">
        <f ca="1">IF(controls!$B$10=1,'normal case'!M359+'normal case'!L359,'normal case'!P359)</f>
        <v>6</v>
      </c>
      <c r="P359" s="74">
        <f t="shared" ca="1" si="36"/>
        <v>6</v>
      </c>
      <c r="Q359" s="210">
        <f ca="1">IF(controls!$B$44=0,R359+'main page'!$K$29*L359+(1-'main page'!$K$29)*controls!$B$9+(('main page'!$K$25*'main page'!$U$13*'main page'!$K$29)/('main page'!$K$27*(1+('main page'!$K$25^2)*'main page'!$U$13)))*(L359-controls!$B$9),R359+'main page'!$K$29*L359+(1-'main page'!$K$29)*controls!$B$9+(('main page'!$K$25*'main page'!$U$13*'normal case'!$AO$3)/'normal case'!$AO$4)*('normal case'!L359-controls!$B$9))</f>
        <v>6</v>
      </c>
      <c r="R359" s="98">
        <f ca="1">IF(controls!$B$44=1,'main page'!$K$24+'main page'!$K$11,IF(controls!$B$33=1,((I360-D359*W360-B360+B359*V360)/'main page'!$K$27)-'main page'!$K$11,((H360-D359*W360-B360+B359*V360)/'main page'!$K$27)-'main page'!$K$11))</f>
        <v>4</v>
      </c>
      <c r="T359" s="71">
        <f>IF(controls!$B$6=1,$AL$3*(1+('main page'!$K$35/100))^U359-$AL$3*(1+('main page'!$K$35/100))^U358,$AL$3*(1+('main page'!$G$8/100))*(1+('main page'!$K$35/100))^U359-$AL$3*(1+('main page'!$G$8/100))*(1+('main page'!$K$35/100))^U358)</f>
        <v>0</v>
      </c>
      <c r="U359" s="73">
        <v>352</v>
      </c>
      <c r="V359" s="161">
        <f ca="1">IF(controls!$B$4=1,IF(controls!$H358=1,controls!$B$34*V358+RAND()*('main page'!$K$16/100)-RAND()*('main page'!$K$16/100),0),0)</f>
        <v>0</v>
      </c>
      <c r="W359" s="40">
        <f ca="1">IF(controls!$B$4=1,IF(controls!$I358=1,controls!$B$34*W358+RAND()*('main page'!$K$16/100)-RAND()*('main page'!$K$16/100),0),0)</f>
        <v>0</v>
      </c>
      <c r="X359" s="49">
        <f ca="1">IF(controls!$B$33=1,D359-($I$3-'main page'!$K$27*2)*(1+('main page'!$K$35/100))^A358,D359-$AL$4)</f>
        <v>0</v>
      </c>
      <c r="Y359" s="49">
        <f ca="1">ABS(L359-(controls!$B$9/100)*100)</f>
        <v>0</v>
      </c>
      <c r="AA359" s="49" t="e">
        <f ca="1">IF(controls!$B$33=1,(B360-B359*V360-I360+D359*W360+'main page'!$K$27*('main page'!$K$24+'main page'!$K$11))/'main page'!$K$31,(B360-B359*V360+D359*W360-H360+'main page'!$K$27*('main page'!$K$24+'main page'!$K$11))/'main page'!$K$31)</f>
        <v>#DIV/0!</v>
      </c>
      <c r="AB359" s="49" t="e">
        <f ca="1">IF(controls!$B$45=1,LOG(AF359,1.01)+LOG(AE359,1.01)-LOG(AD359,1.01),-((M359-('main page'!$K$24+'main page'!$K$11))/(1-'normal case'!$AO$3))+'normal case'!AA359)</f>
        <v>#DIV/0!</v>
      </c>
      <c r="AC359" s="176" t="e">
        <f t="shared" ca="1" si="37"/>
        <v>#DIV/0!</v>
      </c>
      <c r="AD359" s="49">
        <f t="shared" ca="1" si="38"/>
        <v>1152.5536415592785</v>
      </c>
      <c r="AE359" s="49">
        <f>AE358*(1+'main page'!$K$32/100)</f>
        <v>1</v>
      </c>
      <c r="AF359" s="49" t="e">
        <f ca="1">IF(ABS(IF(controls!$B$45=1,$AL$13,AD359*AC359/AE359)-AF358)&lt;0.00001,AF358,IF(controls!$B$45=1,$AL$13,AD359*AC359/AE359))</f>
        <v>#DIV/0!</v>
      </c>
      <c r="AG359" s="49">
        <f>IF(controls!$B$46=0,0,IF(controls!$B$33=2,B360-B359*V360-('normal case'!H360-D359*W360-'main page'!$K$27*'normal case'!M359+'main page'!$K$31*'normal case'!AB359)-(('main page'!$K$25*'main page'!$U$13*'main page'!$K$29)/(1+('main page'!$K$25^2)*'main page'!$U$13))*('normal case'!L359-'main page'!$U$8),B360-B359*V360-('normal case'!I360-D359*W360-'main page'!$K$27*'normal case'!M359+'main page'!$K$31*'normal case'!AB359)-(('main page'!$K$25*'main page'!$U$13*'main page'!$K$29)/(1+('main page'!$K$25^2)*'main page'!$U$13))*('normal case'!L359-'main page'!$U$8)))</f>
        <v>0</v>
      </c>
      <c r="AN359" s="40"/>
      <c r="AO359" s="40"/>
    </row>
    <row r="360" spans="1:41">
      <c r="A360" s="48">
        <v>358</v>
      </c>
      <c r="B360" s="75">
        <f ca="1">IF(controls!$B$33=1,B359*(1+V360)+T360,B359*(1+V360))</f>
        <v>100</v>
      </c>
      <c r="C360" s="80">
        <f t="shared" ca="1" si="39"/>
        <v>0</v>
      </c>
      <c r="D360" s="77">
        <f t="shared" ca="1" si="35"/>
        <v>100</v>
      </c>
      <c r="E360" s="77">
        <f ca="1">AG359+IF(controls!$B$33=1,G360,F360)</f>
        <v>100</v>
      </c>
      <c r="F360" s="94">
        <f ca="1">IF(controls!$B$44=0,H360-'main page'!$K$27*M359,H360-'main page'!$K$27*M359+'main page'!$K$31*AB359)</f>
        <v>100</v>
      </c>
      <c r="G360" s="75">
        <f ca="1">IF(controls!$B$44=0,I360-'main page'!$K$27*M359,I360-'main page'!$K$27*M359+'main page'!$K$31*'normal case'!AB359)</f>
        <v>100</v>
      </c>
      <c r="H360" s="75">
        <f t="shared" ca="1" si="40"/>
        <v>108</v>
      </c>
      <c r="I360" s="75">
        <f t="shared" ca="1" si="41"/>
        <v>108</v>
      </c>
      <c r="L360" s="75">
        <f ca="1">IF(ABS('main page'!$K$29*L359+(1-'main page'!$K$29)*(controls!$B$9/100)*100+'main page'!$K$25*(D360-B360)-L359)&lt;0.0000001,L359,'main page'!$K$29*L359+(1-'main page'!$K$29)*(controls!$B$9/100)*100+'main page'!$K$25*(D360-B360))</f>
        <v>2</v>
      </c>
      <c r="M360" s="96">
        <f ca="1">IF(controls!$B$10=1,M359,IF(SUM(controls!$B$44:$B$46)=2,N360-'main page'!$K$29*'normal case'!L360-(1-'main page'!$K$29)*'main page'!$K$32,N360-'main page'!$K$29*'normal case'!L360-(1-'main page'!$K$29)*controls!$B$9))</f>
        <v>4</v>
      </c>
      <c r="N360" s="208">
        <f ca="1">IF(controls!$B$45=1,IF(controls!$B$46=1,'main page'!$K$24+'main page'!$K$11+'main page'!$U$8,'main page'!$K$24+'main page'!$K$11+'main page'!$K$32),IF(controls!$B$44=1,IF(O360&lt;0,0,O360),IF(O360+'main page'!$K$11&lt;0,0,O360+'main page'!$K$11)))</f>
        <v>6</v>
      </c>
      <c r="O360" s="76">
        <f ca="1">IF(controls!$B$10=1,'normal case'!M360+'normal case'!L360,'normal case'!P360)</f>
        <v>6</v>
      </c>
      <c r="P360" s="74">
        <f t="shared" ca="1" si="36"/>
        <v>6</v>
      </c>
      <c r="Q360" s="210">
        <f ca="1">IF(controls!$B$44=0,R360+'main page'!$K$29*L360+(1-'main page'!$K$29)*controls!$B$9+(('main page'!$K$25*'main page'!$U$13*'main page'!$K$29)/('main page'!$K$27*(1+('main page'!$K$25^2)*'main page'!$U$13)))*(L360-controls!$B$9),R360+'main page'!$K$29*L360+(1-'main page'!$K$29)*controls!$B$9+(('main page'!$K$25*'main page'!$U$13*'normal case'!$AO$3)/'normal case'!$AO$4)*('normal case'!L360-controls!$B$9))</f>
        <v>6</v>
      </c>
      <c r="R360" s="98">
        <f ca="1">IF(controls!$B$44=1,'main page'!$K$24+'main page'!$K$11,IF(controls!$B$33=1,((I361-D360*W361-B361+B360*V361)/'main page'!$K$27)-'main page'!$K$11,((H361-D360*W361-B361+B360*V361)/'main page'!$K$27)-'main page'!$K$11))</f>
        <v>4</v>
      </c>
      <c r="T360" s="71">
        <f>IF(controls!$B$6=1,$AL$3*(1+('main page'!$K$35/100))^U360-$AL$3*(1+('main page'!$K$35/100))^U359,$AL$3*(1+('main page'!$G$8/100))*(1+('main page'!$K$35/100))^U360-$AL$3*(1+('main page'!$G$8/100))*(1+('main page'!$K$35/100))^U359)</f>
        <v>0</v>
      </c>
      <c r="U360" s="73">
        <v>353</v>
      </c>
      <c r="V360" s="161">
        <v>0</v>
      </c>
      <c r="W360" s="40">
        <v>0</v>
      </c>
      <c r="X360" s="49">
        <f ca="1">IF(controls!$B$33=1,D360-($I$3-'main page'!$K$27*2)*(1+('main page'!$K$35/100))^A359,D360-$AL$4)</f>
        <v>0</v>
      </c>
      <c r="Y360" s="49">
        <f ca="1">ABS(L360-(controls!$B$9/100)*100)</f>
        <v>0</v>
      </c>
      <c r="AA360" s="49" t="e">
        <f ca="1">IF(controls!$B$33=1,(B361-B360*V361-I361+D360*W361+'main page'!$K$27*('main page'!$K$24+'main page'!$K$11))/'main page'!$K$31,(B361-B360*V361+D360*W361-H361+'main page'!$K$27*('main page'!$K$24+'main page'!$K$11))/'main page'!$K$31)</f>
        <v>#DIV/0!</v>
      </c>
      <c r="AB360" s="49" t="e">
        <f ca="1">IF(controls!$B$45=1,LOG(AF360,1.01)+LOG(AE360,1.01)-LOG(AD360,1.01),-((M360-('main page'!$K$24+'main page'!$K$11))/(1-'normal case'!$AO$3))+'normal case'!AA360)</f>
        <v>#DIV/0!</v>
      </c>
      <c r="AC360" s="176" t="e">
        <f t="shared" ca="1" si="37"/>
        <v>#DIV/0!</v>
      </c>
      <c r="AD360" s="49">
        <f t="shared" ca="1" si="38"/>
        <v>1175.6047143904641</v>
      </c>
      <c r="AE360" s="49">
        <f>AE359*(1+'main page'!$K$32/100)</f>
        <v>1</v>
      </c>
      <c r="AF360" s="49" t="e">
        <f ca="1">IF(ABS(IF(controls!$B$45=1,$AL$13,AD360*AC360/AE360)-AF359)&lt;0.00001,AF359,IF(controls!$B$45=1,$AL$13,AD360*AC360/AE360))</f>
        <v>#DIV/0!</v>
      </c>
      <c r="AG360" s="49">
        <f>IF(controls!$B$46=0,0,IF(controls!$B$33=2,B361-B360*V361-('normal case'!H361-D360*W361-'main page'!$K$27*'normal case'!M360+'main page'!$K$31*'normal case'!AB360)-(('main page'!$K$25*'main page'!$U$13*'main page'!$K$29)/(1+('main page'!$K$25^2)*'main page'!$U$13))*('normal case'!L360-'main page'!$U$8),B361-B360*V361-('normal case'!I361-D360*W361-'main page'!$K$27*'normal case'!M360+'main page'!$K$31*'normal case'!AB360)-(('main page'!$K$25*'main page'!$U$13*'main page'!$K$29)/(1+('main page'!$K$25^2)*'main page'!$U$13))*('normal case'!L360-'main page'!$U$8)))</f>
        <v>0</v>
      </c>
      <c r="AN360" s="40"/>
      <c r="AO360" s="40"/>
    </row>
    <row r="361" spans="1:41">
      <c r="A361" s="48">
        <v>359</v>
      </c>
      <c r="B361" s="75">
        <f ca="1">IF(controls!$B$33=1,B360*(1+V361)+T361,B360*(1+V361))</f>
        <v>100</v>
      </c>
      <c r="C361" s="80">
        <f t="shared" ca="1" si="39"/>
        <v>0</v>
      </c>
      <c r="D361" s="77">
        <f t="shared" ca="1" si="35"/>
        <v>100</v>
      </c>
      <c r="E361" s="77">
        <f ca="1">AG360+IF(controls!$B$33=1,G361,F361)</f>
        <v>100</v>
      </c>
      <c r="F361" s="94">
        <f ca="1">IF(controls!$B$44=0,H361-'main page'!$K$27*M360,H361-'main page'!$K$27*M360+'main page'!$K$31*AB360)</f>
        <v>100</v>
      </c>
      <c r="G361" s="75">
        <f ca="1">IF(controls!$B$44=0,I361-'main page'!$K$27*M360,I361-'main page'!$K$27*M360+'main page'!$K$31*'normal case'!AB360)</f>
        <v>100</v>
      </c>
      <c r="H361" s="75">
        <f t="shared" ca="1" si="40"/>
        <v>108</v>
      </c>
      <c r="I361" s="75">
        <f t="shared" ca="1" si="41"/>
        <v>108</v>
      </c>
      <c r="L361" s="75">
        <f ca="1">IF(ABS('main page'!$K$29*L360+(1-'main page'!$K$29)*(controls!$B$9/100)*100+'main page'!$K$25*(D361-B361)-L360)&lt;0.0000001,L360,'main page'!$K$29*L360+(1-'main page'!$K$29)*(controls!$B$9/100)*100+'main page'!$K$25*(D361-B361))</f>
        <v>2</v>
      </c>
      <c r="M361" s="96">
        <f ca="1">IF(controls!$B$10=1,M360,IF(SUM(controls!$B$44:$B$46)=2,N361-'main page'!$K$29*'normal case'!L361-(1-'main page'!$K$29)*'main page'!$K$32,N361-'main page'!$K$29*'normal case'!L361-(1-'main page'!$K$29)*controls!$B$9))</f>
        <v>4</v>
      </c>
      <c r="N361" s="208">
        <f ca="1">IF(controls!$B$45=1,IF(controls!$B$46=1,'main page'!$K$24+'main page'!$K$11+'main page'!$U$8,'main page'!$K$24+'main page'!$K$11+'main page'!$K$32),IF(controls!$B$44=1,IF(O361&lt;0,0,O361),IF(O361+'main page'!$K$11&lt;0,0,O361+'main page'!$K$11)))</f>
        <v>6</v>
      </c>
      <c r="O361" s="76">
        <f ca="1">IF(controls!$B$10=1,'normal case'!M361+'normal case'!L361,'normal case'!P361)</f>
        <v>6</v>
      </c>
      <c r="P361" s="74">
        <f t="shared" ca="1" si="36"/>
        <v>6</v>
      </c>
      <c r="Q361" s="210">
        <f ca="1">IF(controls!$B$44=0,R361+'main page'!$K$29*L361+(1-'main page'!$K$29)*controls!$B$9+(('main page'!$K$25*'main page'!$U$13*'main page'!$K$29)/('main page'!$K$27*(1+('main page'!$K$25^2)*'main page'!$U$13)))*(L361-controls!$B$9),R361+'main page'!$K$29*L361+(1-'main page'!$K$29)*controls!$B$9+(('main page'!$K$25*'main page'!$U$13*'normal case'!$AO$3)/'normal case'!$AO$4)*('normal case'!L361-controls!$B$9))</f>
        <v>6</v>
      </c>
      <c r="R361" s="98">
        <f ca="1">IF(controls!$B$44=1,'main page'!$K$24+'main page'!$K$11,IF(controls!$B$33=1,((I362-D361*W362-B362+B361*V362)/'main page'!$K$27)-'main page'!$K$11,((H362-D361*W362-B362+B361*V362)/'main page'!$K$27)-'main page'!$K$11))</f>
        <v>4</v>
      </c>
      <c r="T361" s="71">
        <f>IF(controls!$B$6=1,$AL$3*(1+('main page'!$K$35/100))^U361-$AL$3*(1+('main page'!$K$35/100))^U360,$AL$3*(1+('main page'!$G$8/100))*(1+('main page'!$K$35/100))^U361-$AL$3*(1+('main page'!$G$8/100))*(1+('main page'!$K$35/100))^U360)</f>
        <v>0</v>
      </c>
      <c r="U361" s="73">
        <v>354</v>
      </c>
      <c r="V361" s="161">
        <v>0</v>
      </c>
      <c r="W361" s="40">
        <v>0</v>
      </c>
      <c r="X361" s="49">
        <f ca="1">IF(controls!$B$33=1,D361-($I$3-'main page'!$K$27*2)*(1+('main page'!$K$35/100))^A360,D361-$AL$4)</f>
        <v>0</v>
      </c>
      <c r="Y361" s="49">
        <f ca="1">ABS(L361-(controls!$B$9/100)*100)</f>
        <v>0</v>
      </c>
      <c r="AA361" s="49" t="e">
        <f ca="1">IF(controls!$B$33=1,(B362-B361*V362-I362+D361*W362+'main page'!$K$27*('main page'!$K$24+'main page'!$K$11))/'main page'!$K$31,(B362-B361*V362+D361*W362-H362+'main page'!$K$27*('main page'!$K$24+'main page'!$K$11))/'main page'!$K$31)</f>
        <v>#DIV/0!</v>
      </c>
      <c r="AB361" s="49" t="e">
        <f ca="1">IF(controls!$B$45=1,LOG(AF361,1.01)+LOG(AE361,1.01)-LOG(AD361,1.01),-((M361-('main page'!$K$24+'main page'!$K$11))/(1-'normal case'!$AO$3))+'normal case'!AA361)</f>
        <v>#DIV/0!</v>
      </c>
      <c r="AC361" s="176" t="e">
        <f t="shared" ca="1" si="37"/>
        <v>#DIV/0!</v>
      </c>
      <c r="AD361" s="49">
        <f t="shared" ca="1" si="38"/>
        <v>1199.1168086782734</v>
      </c>
      <c r="AE361" s="49">
        <f>AE360*(1+'main page'!$K$32/100)</f>
        <v>1</v>
      </c>
      <c r="AF361" s="49" t="e">
        <f ca="1">IF(ABS(IF(controls!$B$45=1,$AL$13,AD361*AC361/AE361)-AF360)&lt;0.00001,AF360,IF(controls!$B$45=1,$AL$13,AD361*AC361/AE361))</f>
        <v>#DIV/0!</v>
      </c>
      <c r="AG361" s="49">
        <f>IF(controls!$B$46=0,0,IF(controls!$B$33=2,B362-B361*V362-('normal case'!H362-D361*W362-'main page'!$K$27*'normal case'!M361+'main page'!$K$31*'normal case'!AB361)-(('main page'!$K$25*'main page'!$U$13*'main page'!$K$29)/(1+('main page'!$K$25^2)*'main page'!$U$13))*('normal case'!L361-'main page'!$U$8),B362-B361*V362-('normal case'!I362-D361*W362-'main page'!$K$27*'normal case'!M361+'main page'!$K$31*'normal case'!AB361)-(('main page'!$K$25*'main page'!$U$13*'main page'!$K$29)/(1+('main page'!$K$25^2)*'main page'!$U$13))*('normal case'!L361-'main page'!$U$8)))</f>
        <v>0</v>
      </c>
      <c r="AN361" s="40"/>
      <c r="AO361" s="40"/>
    </row>
    <row r="362" spans="1:41">
      <c r="A362" s="48">
        <v>360</v>
      </c>
      <c r="B362" s="75">
        <f ca="1">IF(controls!$B$33=1,B361*(1+V362)+T362,B361*(1+V362))</f>
        <v>100</v>
      </c>
      <c r="C362" s="80">
        <f t="shared" ca="1" si="39"/>
        <v>0</v>
      </c>
      <c r="D362" s="77">
        <f t="shared" ca="1" si="35"/>
        <v>100</v>
      </c>
      <c r="E362" s="77">
        <f ca="1">AG361+IF(controls!$B$33=1,G362,F362)</f>
        <v>100</v>
      </c>
      <c r="F362" s="94">
        <f ca="1">IF(controls!$B$44=0,H362-'main page'!$K$27*M361,H362-'main page'!$K$27*M361+'main page'!$K$31*AB361)</f>
        <v>100</v>
      </c>
      <c r="G362" s="75">
        <f ca="1">IF(controls!$B$44=0,I362-'main page'!$K$27*M361,I362-'main page'!$K$27*M361+'main page'!$K$31*'normal case'!AB361)</f>
        <v>100</v>
      </c>
      <c r="H362" s="75">
        <f t="shared" ca="1" si="40"/>
        <v>108</v>
      </c>
      <c r="I362" s="75">
        <f t="shared" ca="1" si="41"/>
        <v>108</v>
      </c>
      <c r="L362" s="75">
        <f ca="1">IF(ABS('main page'!$K$29*L361+(1-'main page'!$K$29)*(controls!$B$9/100)*100+'main page'!$K$25*(D362-B362)-L361)&lt;0.0000001,L361,'main page'!$K$29*L361+(1-'main page'!$K$29)*(controls!$B$9/100)*100+'main page'!$K$25*(D362-B362))</f>
        <v>2</v>
      </c>
      <c r="M362" s="96">
        <f ca="1">IF(controls!$B$10=1,M361,IF(SUM(controls!$B$44:$B$46)=2,N362-'main page'!$K$29*'normal case'!L362-(1-'main page'!$K$29)*'main page'!$K$32,N362-'main page'!$K$29*'normal case'!L362-(1-'main page'!$K$29)*controls!$B$9))</f>
        <v>4</v>
      </c>
      <c r="N362" s="208">
        <f ca="1">IF(controls!$B$45=1,IF(controls!$B$46=1,'main page'!$K$24+'main page'!$K$11+'main page'!$U$8,'main page'!$K$24+'main page'!$K$11+'main page'!$K$32),IF(controls!$B$44=1,IF(O362&lt;0,0,O362),IF(O362+'main page'!$K$11&lt;0,0,O362+'main page'!$K$11)))</f>
        <v>6</v>
      </c>
      <c r="O362" s="76">
        <f ca="1">IF(controls!$B$10=1,'normal case'!M362+'normal case'!L362,'normal case'!P362)</f>
        <v>6</v>
      </c>
      <c r="P362" s="74">
        <f t="shared" ca="1" si="36"/>
        <v>6</v>
      </c>
      <c r="Q362" s="210">
        <f ca="1">IF(controls!$B$44=0,R362+'main page'!$K$29*L362+(1-'main page'!$K$29)*controls!$B$9+(('main page'!$K$25*'main page'!$U$13*'main page'!$K$29)/('main page'!$K$27*(1+('main page'!$K$25^2)*'main page'!$U$13)))*(L362-controls!$B$9),R362+'main page'!$K$29*L362+(1-'main page'!$K$29)*controls!$B$9+(('main page'!$K$25*'main page'!$U$13*'normal case'!$AO$3)/'normal case'!$AO$4)*('normal case'!L362-controls!$B$9))</f>
        <v>6</v>
      </c>
      <c r="R362" s="98">
        <f ca="1">IF(controls!$B$44=1,'main page'!$K$24+'main page'!$K$11,IF(controls!$B$33=1,((I363-D362*W363-B363+B362*V363)/'main page'!$K$27)-'main page'!$K$11,((H363-D362*W363-B363+B362*V363)/'main page'!$K$27)-'main page'!$K$11))</f>
        <v>4</v>
      </c>
      <c r="T362" s="71">
        <f>IF(controls!$B$6=1,$AL$3*(1+('main page'!$K$35/100))^U362-$AL$3*(1+('main page'!$K$35/100))^U361,$AL$3*(1+('main page'!$G$8/100))*(1+('main page'!$K$35/100))^U362-$AL$3*(1+('main page'!$G$8/100))*(1+('main page'!$K$35/100))^U361)</f>
        <v>0</v>
      </c>
      <c r="U362" s="73">
        <v>355</v>
      </c>
      <c r="V362" s="161">
        <f ca="1">IF(controls!$B$4=1,IF(controls!$H361=1,controls!$B$34*V361+RAND()*('main page'!$K$16/100)-RAND()*('main page'!$K$16/100),0),0)</f>
        <v>0</v>
      </c>
      <c r="W362" s="40">
        <f ca="1">IF(controls!$B$4=1,IF(controls!$I361=1,controls!$B$34*W361+RAND()*('main page'!$K$16/100)-RAND()*('main page'!$K$16/100),0),0)</f>
        <v>0</v>
      </c>
      <c r="X362" s="49">
        <f ca="1">IF(controls!$B$33=1,D362-($I$3-'main page'!$K$27*2)*(1+('main page'!$K$35/100))^A361,D362-$AL$4)</f>
        <v>0</v>
      </c>
      <c r="Y362" s="49">
        <f ca="1">ABS(L362-(controls!$B$9/100)*100)</f>
        <v>0</v>
      </c>
      <c r="AA362" s="49" t="e">
        <f ca="1">IF(controls!$B$33=1,(B363-B362*V363-I363+D362*W363+'main page'!$K$27*('main page'!$K$24+'main page'!$K$11))/'main page'!$K$31,(B363-B362*V363+D362*W363-H363+'main page'!$K$27*('main page'!$K$24+'main page'!$K$11))/'main page'!$K$31)</f>
        <v>#DIV/0!</v>
      </c>
      <c r="AB362" s="49" t="e">
        <f ca="1">IF(controls!$B$45=1,LOG(AF362,1.01)+LOG(AE362,1.01)-LOG(AD362,1.01),-((M362-('main page'!$K$24+'main page'!$K$11))/(1-'normal case'!$AO$3))+'normal case'!AA362)</f>
        <v>#DIV/0!</v>
      </c>
      <c r="AC362" s="176" t="e">
        <f t="shared" ca="1" si="37"/>
        <v>#DIV/0!</v>
      </c>
      <c r="AD362" s="49">
        <f t="shared" ca="1" si="38"/>
        <v>1223.0991448518389</v>
      </c>
      <c r="AE362" s="49">
        <f>AE361*(1+'main page'!$K$32/100)</f>
        <v>1</v>
      </c>
      <c r="AF362" s="49" t="e">
        <f ca="1">IF(ABS(IF(controls!$B$45=1,$AL$13,AD362*AC362/AE362)-AF361)&lt;0.00001,AF361,IF(controls!$B$45=1,$AL$13,AD362*AC362/AE362))</f>
        <v>#DIV/0!</v>
      </c>
      <c r="AG362" s="49">
        <f>IF(controls!$B$46=0,0,IF(controls!$B$33=2,B363-B362*V363-('normal case'!H363-D362*W363-'main page'!$K$27*'normal case'!M362+'main page'!$K$31*'normal case'!AB362)-(('main page'!$K$25*'main page'!$U$13*'main page'!$K$29)/(1+('main page'!$K$25^2)*'main page'!$U$13))*('normal case'!L362-'main page'!$U$8),B363-B362*V363-('normal case'!I363-D362*W363-'main page'!$K$27*'normal case'!M362+'main page'!$K$31*'normal case'!AB362)-(('main page'!$K$25*'main page'!$U$13*'main page'!$K$29)/(1+('main page'!$K$25^2)*'main page'!$U$13))*('normal case'!L362-'main page'!$U$8)))</f>
        <v>0</v>
      </c>
      <c r="AN362" s="40"/>
      <c r="AO362" s="40"/>
    </row>
    <row r="363" spans="1:41">
      <c r="A363" s="48">
        <v>361</v>
      </c>
      <c r="B363" s="75">
        <f ca="1">IF(controls!$B$33=1,B362*(1+V363)+T363,B362*(1+V363))</f>
        <v>100</v>
      </c>
      <c r="C363" s="80">
        <f t="shared" ca="1" si="39"/>
        <v>0</v>
      </c>
      <c r="D363" s="77">
        <f t="shared" ca="1" si="35"/>
        <v>100</v>
      </c>
      <c r="E363" s="77">
        <f ca="1">AG362+IF(controls!$B$33=1,G363,F363)</f>
        <v>100</v>
      </c>
      <c r="F363" s="94">
        <f ca="1">IF(controls!$B$44=0,H363-'main page'!$K$27*M362,H363-'main page'!$K$27*M362+'main page'!$K$31*AB362)</f>
        <v>100</v>
      </c>
      <c r="G363" s="75">
        <f ca="1">IF(controls!$B$44=0,I363-'main page'!$K$27*M362,I363-'main page'!$K$27*M362+'main page'!$K$31*'normal case'!AB362)</f>
        <v>100</v>
      </c>
      <c r="H363" s="75">
        <f t="shared" ca="1" si="40"/>
        <v>108</v>
      </c>
      <c r="I363" s="75">
        <f t="shared" ca="1" si="41"/>
        <v>108</v>
      </c>
      <c r="L363" s="75">
        <f ca="1">IF(ABS('main page'!$K$29*L362+(1-'main page'!$K$29)*(controls!$B$9/100)*100+'main page'!$K$25*(D363-B363)-L362)&lt;0.0000001,L362,'main page'!$K$29*L362+(1-'main page'!$K$29)*(controls!$B$9/100)*100+'main page'!$K$25*(D363-B363))</f>
        <v>2</v>
      </c>
      <c r="M363" s="96">
        <f ca="1">IF(controls!$B$10=1,M362,IF(SUM(controls!$B$44:$B$46)=2,N363-'main page'!$K$29*'normal case'!L363-(1-'main page'!$K$29)*'main page'!$K$32,N363-'main page'!$K$29*'normal case'!L363-(1-'main page'!$K$29)*controls!$B$9))</f>
        <v>4</v>
      </c>
      <c r="N363" s="208">
        <f ca="1">IF(controls!$B$45=1,IF(controls!$B$46=1,'main page'!$K$24+'main page'!$K$11+'main page'!$U$8,'main page'!$K$24+'main page'!$K$11+'main page'!$K$32),IF(controls!$B$44=1,IF(O363&lt;0,0,O363),IF(O363+'main page'!$K$11&lt;0,0,O363+'main page'!$K$11)))</f>
        <v>6</v>
      </c>
      <c r="O363" s="76">
        <f ca="1">IF(controls!$B$10=1,'normal case'!M363+'normal case'!L363,'normal case'!P363)</f>
        <v>6</v>
      </c>
      <c r="P363" s="74">
        <f t="shared" ca="1" si="36"/>
        <v>6</v>
      </c>
      <c r="Q363" s="210">
        <f ca="1">IF(controls!$B$44=0,R363+'main page'!$K$29*L363+(1-'main page'!$K$29)*controls!$B$9+(('main page'!$K$25*'main page'!$U$13*'main page'!$K$29)/('main page'!$K$27*(1+('main page'!$K$25^2)*'main page'!$U$13)))*(L363-controls!$B$9),R363+'main page'!$K$29*L363+(1-'main page'!$K$29)*controls!$B$9+(('main page'!$K$25*'main page'!$U$13*'normal case'!$AO$3)/'normal case'!$AO$4)*('normal case'!L363-controls!$B$9))</f>
        <v>6</v>
      </c>
      <c r="R363" s="98">
        <f ca="1">IF(controls!$B$44=1,'main page'!$K$24+'main page'!$K$11,IF(controls!$B$33=1,((I364-D363*W364-B364+B363*V364)/'main page'!$K$27)-'main page'!$K$11,((H364-D363*W364-B364+B363*V364)/'main page'!$K$27)-'main page'!$K$11))</f>
        <v>4</v>
      </c>
      <c r="T363" s="71">
        <f>IF(controls!$B$6=1,$AL$3*(1+('main page'!$K$35/100))^U363-$AL$3*(1+('main page'!$K$35/100))^U362,$AL$3*(1+('main page'!$G$8/100))*(1+('main page'!$K$35/100))^U363-$AL$3*(1+('main page'!$G$8/100))*(1+('main page'!$K$35/100))^U362)</f>
        <v>0</v>
      </c>
      <c r="U363" s="73">
        <v>356</v>
      </c>
      <c r="V363" s="161">
        <v>0</v>
      </c>
      <c r="W363" s="40">
        <v>0</v>
      </c>
      <c r="X363" s="49">
        <f ca="1">IF(controls!$B$33=1,D363-($I$3-'main page'!$K$27*2)*(1+('main page'!$K$35/100))^A362,D363-$AL$4)</f>
        <v>0</v>
      </c>
      <c r="Y363" s="49">
        <f ca="1">ABS(L363-(controls!$B$9/100)*100)</f>
        <v>0</v>
      </c>
      <c r="AA363" s="49" t="e">
        <f ca="1">IF(controls!$B$33=1,(B364-B363*V364-I364+D363*W364+'main page'!$K$27*('main page'!$K$24+'main page'!$K$11))/'main page'!$K$31,(B364-B363*V364+D363*W364-H364+'main page'!$K$27*('main page'!$K$24+'main page'!$K$11))/'main page'!$K$31)</f>
        <v>#DIV/0!</v>
      </c>
      <c r="AB363" s="49" t="e">
        <f ca="1">IF(controls!$B$45=1,LOG(AF363,1.01)+LOG(AE363,1.01)-LOG(AD363,1.01),-((M363-('main page'!$K$24+'main page'!$K$11))/(1-'normal case'!$AO$3))+'normal case'!AA363)</f>
        <v>#DIV/0!</v>
      </c>
      <c r="AC363" s="176" t="e">
        <f t="shared" ca="1" si="37"/>
        <v>#DIV/0!</v>
      </c>
      <c r="AD363" s="49">
        <f t="shared" ca="1" si="38"/>
        <v>1247.5611277488756</v>
      </c>
      <c r="AE363" s="49">
        <f>AE362*(1+'main page'!$K$32/100)</f>
        <v>1</v>
      </c>
      <c r="AF363" s="49" t="e">
        <f ca="1">IF(ABS(IF(controls!$B$45=1,$AL$13,AD363*AC363/AE363)-AF362)&lt;0.00001,AF362,IF(controls!$B$45=1,$AL$13,AD363*AC363/AE363))</f>
        <v>#DIV/0!</v>
      </c>
      <c r="AG363" s="49">
        <f>IF(controls!$B$46=0,0,IF(controls!$B$33=2,B364-B363*V364-('normal case'!H364-D363*W364-'main page'!$K$27*'normal case'!M363+'main page'!$K$31*'normal case'!AB363)-(('main page'!$K$25*'main page'!$U$13*'main page'!$K$29)/(1+('main page'!$K$25^2)*'main page'!$U$13))*('normal case'!L363-'main page'!$U$8),B364-B363*V364-('normal case'!I364-D363*W364-'main page'!$K$27*'normal case'!M363+'main page'!$K$31*'normal case'!AB363)-(('main page'!$K$25*'main page'!$U$13*'main page'!$K$29)/(1+('main page'!$K$25^2)*'main page'!$U$13))*('normal case'!L363-'main page'!$U$8)))</f>
        <v>0</v>
      </c>
      <c r="AN363" s="40"/>
      <c r="AO363" s="40"/>
    </row>
    <row r="364" spans="1:41">
      <c r="A364" s="48">
        <v>362</v>
      </c>
      <c r="B364" s="75">
        <f ca="1">IF(controls!$B$33=1,B363*(1+V364)+T364,B363*(1+V364))</f>
        <v>100</v>
      </c>
      <c r="C364" s="80">
        <f t="shared" ca="1" si="39"/>
        <v>0</v>
      </c>
      <c r="D364" s="77">
        <f t="shared" ca="1" si="35"/>
        <v>100</v>
      </c>
      <c r="E364" s="77">
        <f ca="1">AG363+IF(controls!$B$33=1,G364,F364)</f>
        <v>100</v>
      </c>
      <c r="F364" s="94">
        <f ca="1">IF(controls!$B$44=0,H364-'main page'!$K$27*M363,H364-'main page'!$K$27*M363+'main page'!$K$31*AB363)</f>
        <v>100</v>
      </c>
      <c r="G364" s="75">
        <f ca="1">IF(controls!$B$44=0,I364-'main page'!$K$27*M363,I364-'main page'!$K$27*M363+'main page'!$K$31*'normal case'!AB363)</f>
        <v>100</v>
      </c>
      <c r="H364" s="75">
        <f t="shared" ca="1" si="40"/>
        <v>108</v>
      </c>
      <c r="I364" s="75">
        <f t="shared" ca="1" si="41"/>
        <v>108</v>
      </c>
      <c r="L364" s="75">
        <f ca="1">IF(ABS('main page'!$K$29*L363+(1-'main page'!$K$29)*(controls!$B$9/100)*100+'main page'!$K$25*(D364-B364)-L363)&lt;0.0000001,L363,'main page'!$K$29*L363+(1-'main page'!$K$29)*(controls!$B$9/100)*100+'main page'!$K$25*(D364-B364))</f>
        <v>2</v>
      </c>
      <c r="M364" s="96">
        <f ca="1">IF(controls!$B$10=1,M363,IF(SUM(controls!$B$44:$B$46)=2,N364-'main page'!$K$29*'normal case'!L364-(1-'main page'!$K$29)*'main page'!$K$32,N364-'main page'!$K$29*'normal case'!L364-(1-'main page'!$K$29)*controls!$B$9))</f>
        <v>4</v>
      </c>
      <c r="N364" s="208">
        <f ca="1">IF(controls!$B$45=1,IF(controls!$B$46=1,'main page'!$K$24+'main page'!$K$11+'main page'!$U$8,'main page'!$K$24+'main page'!$K$11+'main page'!$K$32),IF(controls!$B$44=1,IF(O364&lt;0,0,O364),IF(O364+'main page'!$K$11&lt;0,0,O364+'main page'!$K$11)))</f>
        <v>6</v>
      </c>
      <c r="O364" s="76">
        <f ca="1">IF(controls!$B$10=1,'normal case'!M364+'normal case'!L364,'normal case'!P364)</f>
        <v>6</v>
      </c>
      <c r="P364" s="74">
        <f t="shared" ca="1" si="36"/>
        <v>6</v>
      </c>
      <c r="Q364" s="210">
        <f ca="1">IF(controls!$B$44=0,R364+'main page'!$K$29*L364+(1-'main page'!$K$29)*controls!$B$9+(('main page'!$K$25*'main page'!$U$13*'main page'!$K$29)/('main page'!$K$27*(1+('main page'!$K$25^2)*'main page'!$U$13)))*(L364-controls!$B$9),R364+'main page'!$K$29*L364+(1-'main page'!$K$29)*controls!$B$9+(('main page'!$K$25*'main page'!$U$13*'normal case'!$AO$3)/'normal case'!$AO$4)*('normal case'!L364-controls!$B$9))</f>
        <v>6</v>
      </c>
      <c r="R364" s="98">
        <f ca="1">IF(controls!$B$44=1,'main page'!$K$24+'main page'!$K$11,IF(controls!$B$33=1,((I365-D364*W365-B365+B364*V365)/'main page'!$K$27)-'main page'!$K$11,((H365-D364*W365-B365+B364*V365)/'main page'!$K$27)-'main page'!$K$11))</f>
        <v>4</v>
      </c>
      <c r="T364" s="71">
        <f>IF(controls!$B$6=1,$AL$3*(1+('main page'!$K$35/100))^U364-$AL$3*(1+('main page'!$K$35/100))^U363,$AL$3*(1+('main page'!$G$8/100))*(1+('main page'!$K$35/100))^U364-$AL$3*(1+('main page'!$G$8/100))*(1+('main page'!$K$35/100))^U363)</f>
        <v>0</v>
      </c>
      <c r="U364" s="73">
        <v>357</v>
      </c>
      <c r="V364" s="161">
        <v>0</v>
      </c>
      <c r="W364" s="40">
        <v>0</v>
      </c>
      <c r="X364" s="49">
        <f ca="1">IF(controls!$B$33=1,D364-($I$3-'main page'!$K$27*2)*(1+('main page'!$K$35/100))^A363,D364-$AL$4)</f>
        <v>0</v>
      </c>
      <c r="Y364" s="49">
        <f ca="1">ABS(L364-(controls!$B$9/100)*100)</f>
        <v>0</v>
      </c>
      <c r="AA364" s="49" t="e">
        <f ca="1">IF(controls!$B$33=1,(B365-B364*V365-I365+D364*W365+'main page'!$K$27*('main page'!$K$24+'main page'!$K$11))/'main page'!$K$31,(B365-B364*V365+D364*W365-H365+'main page'!$K$27*('main page'!$K$24+'main page'!$K$11))/'main page'!$K$31)</f>
        <v>#DIV/0!</v>
      </c>
      <c r="AB364" s="49" t="e">
        <f ca="1">IF(controls!$B$45=1,LOG(AF364,1.01)+LOG(AE364,1.01)-LOG(AD364,1.01),-((M364-('main page'!$K$24+'main page'!$K$11))/(1-'normal case'!$AO$3))+'normal case'!AA364)</f>
        <v>#DIV/0!</v>
      </c>
      <c r="AC364" s="176" t="e">
        <f t="shared" ca="1" si="37"/>
        <v>#DIV/0!</v>
      </c>
      <c r="AD364" s="49">
        <f t="shared" ca="1" si="38"/>
        <v>1272.5123503038531</v>
      </c>
      <c r="AE364" s="49">
        <f>AE363*(1+'main page'!$K$32/100)</f>
        <v>1</v>
      </c>
      <c r="AF364" s="49" t="e">
        <f ca="1">IF(ABS(IF(controls!$B$45=1,$AL$13,AD364*AC364/AE364)-AF363)&lt;0.00001,AF363,IF(controls!$B$45=1,$AL$13,AD364*AC364/AE364))</f>
        <v>#DIV/0!</v>
      </c>
      <c r="AG364" s="49">
        <f>IF(controls!$B$46=0,0,IF(controls!$B$33=2,B365-B364*V365-('normal case'!H365-D364*W365-'main page'!$K$27*'normal case'!M364+'main page'!$K$31*'normal case'!AB364)-(('main page'!$K$25*'main page'!$U$13*'main page'!$K$29)/(1+('main page'!$K$25^2)*'main page'!$U$13))*('normal case'!L364-'main page'!$U$8),B365-B364*V365-('normal case'!I365-D364*W365-'main page'!$K$27*'normal case'!M364+'main page'!$K$31*'normal case'!AB364)-(('main page'!$K$25*'main page'!$U$13*'main page'!$K$29)/(1+('main page'!$K$25^2)*'main page'!$U$13))*('normal case'!L364-'main page'!$U$8)))</f>
        <v>0</v>
      </c>
      <c r="AN364" s="40"/>
      <c r="AO364" s="40"/>
    </row>
    <row r="365" spans="1:41">
      <c r="A365" s="48">
        <v>363</v>
      </c>
      <c r="B365" s="75">
        <f ca="1">IF(controls!$B$33=1,B364*(1+V365)+T365,B364*(1+V365))</f>
        <v>100</v>
      </c>
      <c r="C365" s="80">
        <f t="shared" ca="1" si="39"/>
        <v>0</v>
      </c>
      <c r="D365" s="77">
        <f t="shared" ca="1" si="35"/>
        <v>100</v>
      </c>
      <c r="E365" s="77">
        <f ca="1">AG364+IF(controls!$B$33=1,G365,F365)</f>
        <v>100</v>
      </c>
      <c r="F365" s="94">
        <f ca="1">IF(controls!$B$44=0,H365-'main page'!$K$27*M364,H365-'main page'!$K$27*M364+'main page'!$K$31*AB364)</f>
        <v>100</v>
      </c>
      <c r="G365" s="75">
        <f ca="1">IF(controls!$B$44=0,I365-'main page'!$K$27*M364,I365-'main page'!$K$27*M364+'main page'!$K$31*'normal case'!AB364)</f>
        <v>100</v>
      </c>
      <c r="H365" s="75">
        <f t="shared" ca="1" si="40"/>
        <v>108</v>
      </c>
      <c r="I365" s="75">
        <f t="shared" ca="1" si="41"/>
        <v>108</v>
      </c>
      <c r="L365" s="75">
        <f ca="1">IF(ABS('main page'!$K$29*L364+(1-'main page'!$K$29)*(controls!$B$9/100)*100+'main page'!$K$25*(D365-B365)-L364)&lt;0.0000001,L364,'main page'!$K$29*L364+(1-'main page'!$K$29)*(controls!$B$9/100)*100+'main page'!$K$25*(D365-B365))</f>
        <v>2</v>
      </c>
      <c r="M365" s="96">
        <f ca="1">IF(controls!$B$10=1,M364,IF(SUM(controls!$B$44:$B$46)=2,N365-'main page'!$K$29*'normal case'!L365-(1-'main page'!$K$29)*'main page'!$K$32,N365-'main page'!$K$29*'normal case'!L365-(1-'main page'!$K$29)*controls!$B$9))</f>
        <v>4</v>
      </c>
      <c r="N365" s="208">
        <f ca="1">IF(controls!$B$45=1,IF(controls!$B$46=1,'main page'!$K$24+'main page'!$K$11+'main page'!$U$8,'main page'!$K$24+'main page'!$K$11+'main page'!$K$32),IF(controls!$B$44=1,IF(O365&lt;0,0,O365),IF(O365+'main page'!$K$11&lt;0,0,O365+'main page'!$K$11)))</f>
        <v>6</v>
      </c>
      <c r="O365" s="76">
        <f ca="1">IF(controls!$B$10=1,'normal case'!M365+'normal case'!L365,'normal case'!P365)</f>
        <v>6</v>
      </c>
      <c r="P365" s="74">
        <f t="shared" ca="1" si="36"/>
        <v>6</v>
      </c>
      <c r="Q365" s="210">
        <f ca="1">IF(controls!$B$44=0,R365+'main page'!$K$29*L365+(1-'main page'!$K$29)*controls!$B$9+(('main page'!$K$25*'main page'!$U$13*'main page'!$K$29)/('main page'!$K$27*(1+('main page'!$K$25^2)*'main page'!$U$13)))*(L365-controls!$B$9),R365+'main page'!$K$29*L365+(1-'main page'!$K$29)*controls!$B$9+(('main page'!$K$25*'main page'!$U$13*'normal case'!$AO$3)/'normal case'!$AO$4)*('normal case'!L365-controls!$B$9))</f>
        <v>6</v>
      </c>
      <c r="R365" s="98">
        <f ca="1">IF(controls!$B$44=1,'main page'!$K$24+'main page'!$K$11,IF(controls!$B$33=1,((I366-D365*W366-B366+B365*V366)/'main page'!$K$27)-'main page'!$K$11,((H366-D365*W366-B366+B365*V366)/'main page'!$K$27)-'main page'!$K$11))</f>
        <v>4</v>
      </c>
      <c r="T365" s="71">
        <f>IF(controls!$B$6=1,$AL$3*(1+('main page'!$K$35/100))^U365-$AL$3*(1+('main page'!$K$35/100))^U364,$AL$3*(1+('main page'!$G$8/100))*(1+('main page'!$K$35/100))^U365-$AL$3*(1+('main page'!$G$8/100))*(1+('main page'!$K$35/100))^U364)</f>
        <v>0</v>
      </c>
      <c r="U365" s="73">
        <v>358</v>
      </c>
      <c r="V365" s="161">
        <f ca="1">IF(controls!$B$4=1,IF(controls!$H364=1,controls!$B$34*V364+RAND()*('main page'!$K$16/100)-RAND()*('main page'!$K$16/100),0),0)</f>
        <v>0</v>
      </c>
      <c r="W365" s="40">
        <f ca="1">IF(controls!$B$4=1,IF(controls!$I364=1,controls!$B$34*W364+RAND()*('main page'!$K$16/100)-RAND()*('main page'!$K$16/100),0),0)</f>
        <v>0</v>
      </c>
      <c r="X365" s="49">
        <f ca="1">IF(controls!$B$33=1,D365-($I$3-'main page'!$K$27*2)*(1+('main page'!$K$35/100))^A364,D365-$AL$4)</f>
        <v>0</v>
      </c>
      <c r="Y365" s="49">
        <f ca="1">ABS(L365-(controls!$B$9/100)*100)</f>
        <v>0</v>
      </c>
      <c r="AA365" s="49" t="e">
        <f ca="1">IF(controls!$B$33=1,(B366-B365*V366-I366+D365*W366+'main page'!$K$27*('main page'!$K$24+'main page'!$K$11))/'main page'!$K$31,(B366-B365*V366+D365*W366-H366+'main page'!$K$27*('main page'!$K$24+'main page'!$K$11))/'main page'!$K$31)</f>
        <v>#DIV/0!</v>
      </c>
      <c r="AB365" s="49" t="e">
        <f ca="1">IF(controls!$B$45=1,LOG(AF365,1.01)+LOG(AE365,1.01)-LOG(AD365,1.01),-((M365-('main page'!$K$24+'main page'!$K$11))/(1-'normal case'!$AO$3))+'normal case'!AA365)</f>
        <v>#DIV/0!</v>
      </c>
      <c r="AC365" s="176" t="e">
        <f t="shared" ca="1" si="37"/>
        <v>#DIV/0!</v>
      </c>
      <c r="AD365" s="49">
        <f t="shared" ca="1" si="38"/>
        <v>1297.9625973099301</v>
      </c>
      <c r="AE365" s="49">
        <f>AE364*(1+'main page'!$K$32/100)</f>
        <v>1</v>
      </c>
      <c r="AF365" s="49" t="e">
        <f ca="1">IF(ABS(IF(controls!$B$45=1,$AL$13,AD365*AC365/AE365)-AF364)&lt;0.00001,AF364,IF(controls!$B$45=1,$AL$13,AD365*AC365/AE365))</f>
        <v>#DIV/0!</v>
      </c>
      <c r="AG365" s="49">
        <f>IF(controls!$B$46=0,0,IF(controls!$B$33=2,B366-B365*V366-('normal case'!H366-D365*W366-'main page'!$K$27*'normal case'!M365+'main page'!$K$31*'normal case'!AB365)-(('main page'!$K$25*'main page'!$U$13*'main page'!$K$29)/(1+('main page'!$K$25^2)*'main page'!$U$13))*('normal case'!L365-'main page'!$U$8),B366-B365*V366-('normal case'!I366-D365*W366-'main page'!$K$27*'normal case'!M365+'main page'!$K$31*'normal case'!AB365)-(('main page'!$K$25*'main page'!$U$13*'main page'!$K$29)/(1+('main page'!$K$25^2)*'main page'!$U$13))*('normal case'!L365-'main page'!$U$8)))</f>
        <v>0</v>
      </c>
      <c r="AN365" s="40"/>
      <c r="AO365" s="40"/>
    </row>
    <row r="366" spans="1:41">
      <c r="A366" s="48">
        <v>364</v>
      </c>
      <c r="B366" s="75">
        <f ca="1">IF(controls!$B$33=1,B365*(1+V366)+T366,B365*(1+V366))</f>
        <v>100</v>
      </c>
      <c r="C366" s="80">
        <f t="shared" ca="1" si="39"/>
        <v>0</v>
      </c>
      <c r="D366" s="77">
        <f t="shared" ca="1" si="35"/>
        <v>100</v>
      </c>
      <c r="E366" s="77">
        <f ca="1">AG365+IF(controls!$B$33=1,G366,F366)</f>
        <v>100</v>
      </c>
      <c r="F366" s="94">
        <f ca="1">IF(controls!$B$44=0,H366-'main page'!$K$27*M365,H366-'main page'!$K$27*M365+'main page'!$K$31*AB365)</f>
        <v>100</v>
      </c>
      <c r="G366" s="75">
        <f ca="1">IF(controls!$B$44=0,I366-'main page'!$K$27*M365,I366-'main page'!$K$27*M365+'main page'!$K$31*'normal case'!AB365)</f>
        <v>100</v>
      </c>
      <c r="H366" s="75">
        <f t="shared" ca="1" si="40"/>
        <v>108</v>
      </c>
      <c r="I366" s="75">
        <f t="shared" ca="1" si="41"/>
        <v>108</v>
      </c>
      <c r="L366" s="75">
        <f ca="1">IF(ABS('main page'!$K$29*L365+(1-'main page'!$K$29)*(controls!$B$9/100)*100+'main page'!$K$25*(D366-B366)-L365)&lt;0.0000001,L365,'main page'!$K$29*L365+(1-'main page'!$K$29)*(controls!$B$9/100)*100+'main page'!$K$25*(D366-B366))</f>
        <v>2</v>
      </c>
      <c r="M366" s="96">
        <f ca="1">IF(controls!$B$10=1,M365,IF(SUM(controls!$B$44:$B$46)=2,N366-'main page'!$K$29*'normal case'!L366-(1-'main page'!$K$29)*'main page'!$K$32,N366-'main page'!$K$29*'normal case'!L366-(1-'main page'!$K$29)*controls!$B$9))</f>
        <v>4</v>
      </c>
      <c r="N366" s="208">
        <f ca="1">IF(controls!$B$45=1,IF(controls!$B$46=1,'main page'!$K$24+'main page'!$K$11+'main page'!$U$8,'main page'!$K$24+'main page'!$K$11+'main page'!$K$32),IF(controls!$B$44=1,IF(O366&lt;0,0,O366),IF(O366+'main page'!$K$11&lt;0,0,O366+'main page'!$K$11)))</f>
        <v>6</v>
      </c>
      <c r="O366" s="76">
        <f ca="1">IF(controls!$B$10=1,'normal case'!M366+'normal case'!L366,'normal case'!P366)</f>
        <v>6</v>
      </c>
      <c r="P366" s="74">
        <f t="shared" ca="1" si="36"/>
        <v>6</v>
      </c>
      <c r="Q366" s="210">
        <f ca="1">IF(controls!$B$44=0,R366+'main page'!$K$29*L366+(1-'main page'!$K$29)*controls!$B$9+(('main page'!$K$25*'main page'!$U$13*'main page'!$K$29)/('main page'!$K$27*(1+('main page'!$K$25^2)*'main page'!$U$13)))*(L366-controls!$B$9),R366+'main page'!$K$29*L366+(1-'main page'!$K$29)*controls!$B$9+(('main page'!$K$25*'main page'!$U$13*'normal case'!$AO$3)/'normal case'!$AO$4)*('normal case'!L366-controls!$B$9))</f>
        <v>6</v>
      </c>
      <c r="R366" s="98">
        <f ca="1">IF(controls!$B$44=1,'main page'!$K$24+'main page'!$K$11,IF(controls!$B$33=1,((I367-D366*W367-B367+B366*V367)/'main page'!$K$27)-'main page'!$K$11,((H367-D366*W367-B367+B366*V367)/'main page'!$K$27)-'main page'!$K$11))</f>
        <v>4</v>
      </c>
      <c r="T366" s="71">
        <f>IF(controls!$B$6=1,$AL$3*(1+('main page'!$K$35/100))^U366-$AL$3*(1+('main page'!$K$35/100))^U365,$AL$3*(1+('main page'!$G$8/100))*(1+('main page'!$K$35/100))^U366-$AL$3*(1+('main page'!$G$8/100))*(1+('main page'!$K$35/100))^U365)</f>
        <v>0</v>
      </c>
      <c r="U366" s="73">
        <v>359</v>
      </c>
      <c r="V366" s="161">
        <v>0</v>
      </c>
      <c r="W366" s="40">
        <v>0</v>
      </c>
      <c r="X366" s="49">
        <f ca="1">IF(controls!$B$33=1,D366-($I$3-'main page'!$K$27*2)*(1+('main page'!$K$35/100))^A365,D366-$AL$4)</f>
        <v>0</v>
      </c>
      <c r="Y366" s="49">
        <f ca="1">ABS(L366-(controls!$B$9/100)*100)</f>
        <v>0</v>
      </c>
      <c r="AA366" s="49" t="e">
        <f ca="1">IF(controls!$B$33=1,(B367-B366*V367-I367+D366*W367+'main page'!$K$27*('main page'!$K$24+'main page'!$K$11))/'main page'!$K$31,(B367-B366*V367+D366*W367-H367+'main page'!$K$27*('main page'!$K$24+'main page'!$K$11))/'main page'!$K$31)</f>
        <v>#DIV/0!</v>
      </c>
      <c r="AB366" s="49" t="e">
        <f ca="1">IF(controls!$B$45=1,LOG(AF366,1.01)+LOG(AE366,1.01)-LOG(AD366,1.01),-((M366-('main page'!$K$24+'main page'!$K$11))/(1-'normal case'!$AO$3))+'normal case'!AA366)</f>
        <v>#DIV/0!</v>
      </c>
      <c r="AC366" s="176" t="e">
        <f t="shared" ca="1" si="37"/>
        <v>#DIV/0!</v>
      </c>
      <c r="AD366" s="49">
        <f t="shared" ca="1" si="38"/>
        <v>1323.9218492561288</v>
      </c>
      <c r="AE366" s="49">
        <f>AE365*(1+'main page'!$K$32/100)</f>
        <v>1</v>
      </c>
      <c r="AF366" s="49" t="e">
        <f ca="1">IF(ABS(IF(controls!$B$45=1,$AL$13,AD366*AC366/AE366)-AF365)&lt;0.00001,AF365,IF(controls!$B$45=1,$AL$13,AD366*AC366/AE366))</f>
        <v>#DIV/0!</v>
      </c>
      <c r="AG366" s="49">
        <f>IF(controls!$B$46=0,0,IF(controls!$B$33=2,B367-B366*V367-('normal case'!H367-D366*W367-'main page'!$K$27*'normal case'!M366+'main page'!$K$31*'normal case'!AB366)-(('main page'!$K$25*'main page'!$U$13*'main page'!$K$29)/(1+('main page'!$K$25^2)*'main page'!$U$13))*('normal case'!L366-'main page'!$U$8),B367-B366*V367-('normal case'!I367-D366*W367-'main page'!$K$27*'normal case'!M366+'main page'!$K$31*'normal case'!AB366)-(('main page'!$K$25*'main page'!$U$13*'main page'!$K$29)/(1+('main page'!$K$25^2)*'main page'!$U$13))*('normal case'!L366-'main page'!$U$8)))</f>
        <v>0</v>
      </c>
      <c r="AN366" s="40"/>
      <c r="AO366" s="40"/>
    </row>
    <row r="367" spans="1:41">
      <c r="A367" s="48">
        <v>365</v>
      </c>
      <c r="B367" s="75">
        <f ca="1">IF(controls!$B$33=1,B366*(1+V367)+T367,B366*(1+V367))</f>
        <v>100</v>
      </c>
      <c r="C367" s="80">
        <f t="shared" ca="1" si="39"/>
        <v>0</v>
      </c>
      <c r="D367" s="77">
        <f t="shared" ca="1" si="35"/>
        <v>100</v>
      </c>
      <c r="E367" s="77">
        <f ca="1">AG366+IF(controls!$B$33=1,G367,F367)</f>
        <v>100</v>
      </c>
      <c r="F367" s="94">
        <f ca="1">IF(controls!$B$44=0,H367-'main page'!$K$27*M366,H367-'main page'!$K$27*M366+'main page'!$K$31*AB366)</f>
        <v>100</v>
      </c>
      <c r="G367" s="75">
        <f ca="1">IF(controls!$B$44=0,I367-'main page'!$K$27*M366,I367-'main page'!$K$27*M366+'main page'!$K$31*'normal case'!AB366)</f>
        <v>100</v>
      </c>
      <c r="H367" s="75">
        <f t="shared" ca="1" si="40"/>
        <v>108</v>
      </c>
      <c r="I367" s="75">
        <f t="shared" ca="1" si="41"/>
        <v>108</v>
      </c>
      <c r="L367" s="75">
        <f ca="1">IF(ABS('main page'!$K$29*L366+(1-'main page'!$K$29)*(controls!$B$9/100)*100+'main page'!$K$25*(D367-B367)-L366)&lt;0.0000001,L366,'main page'!$K$29*L366+(1-'main page'!$K$29)*(controls!$B$9/100)*100+'main page'!$K$25*(D367-B367))</f>
        <v>2</v>
      </c>
      <c r="M367" s="96">
        <f ca="1">IF(controls!$B$10=1,M366,IF(SUM(controls!$B$44:$B$46)=2,N367-'main page'!$K$29*'normal case'!L367-(1-'main page'!$K$29)*'main page'!$K$32,N367-'main page'!$K$29*'normal case'!L367-(1-'main page'!$K$29)*controls!$B$9))</f>
        <v>4</v>
      </c>
      <c r="N367" s="208">
        <f ca="1">IF(controls!$B$45=1,IF(controls!$B$46=1,'main page'!$K$24+'main page'!$K$11+'main page'!$U$8,'main page'!$K$24+'main page'!$K$11+'main page'!$K$32),IF(controls!$B$44=1,IF(O367&lt;0,0,O367),IF(O367+'main page'!$K$11&lt;0,0,O367+'main page'!$K$11)))</f>
        <v>6</v>
      </c>
      <c r="O367" s="76">
        <f ca="1">IF(controls!$B$10=1,'normal case'!M367+'normal case'!L367,'normal case'!P367)</f>
        <v>6</v>
      </c>
      <c r="P367" s="74">
        <f t="shared" ca="1" si="36"/>
        <v>6</v>
      </c>
      <c r="Q367" s="210">
        <f ca="1">IF(controls!$B$44=0,R367+'main page'!$K$29*L367+(1-'main page'!$K$29)*controls!$B$9+(('main page'!$K$25*'main page'!$U$13*'main page'!$K$29)/('main page'!$K$27*(1+('main page'!$K$25^2)*'main page'!$U$13)))*(L367-controls!$B$9),R367+'main page'!$K$29*L367+(1-'main page'!$K$29)*controls!$B$9+(('main page'!$K$25*'main page'!$U$13*'normal case'!$AO$3)/'normal case'!$AO$4)*('normal case'!L367-controls!$B$9))</f>
        <v>6</v>
      </c>
      <c r="R367" s="98">
        <f ca="1">IF(controls!$B$44=1,'main page'!$K$24+'main page'!$K$11,IF(controls!$B$33=1,((I368-D367*W368-B368+B367*V368)/'main page'!$K$27)-'main page'!$K$11,((H368-D367*W368-B368+B367*V368)/'main page'!$K$27)-'main page'!$K$11))</f>
        <v>4</v>
      </c>
      <c r="T367" s="71">
        <f>IF(controls!$B$6=1,$AL$3*(1+('main page'!$K$35/100))^U367-$AL$3*(1+('main page'!$K$35/100))^U366,$AL$3*(1+('main page'!$G$8/100))*(1+('main page'!$K$35/100))^U367-$AL$3*(1+('main page'!$G$8/100))*(1+('main page'!$K$35/100))^U366)</f>
        <v>0</v>
      </c>
      <c r="U367" s="73">
        <v>360</v>
      </c>
      <c r="V367" s="161">
        <v>0</v>
      </c>
      <c r="W367" s="40">
        <v>0</v>
      </c>
      <c r="X367" s="49">
        <f ca="1">IF(controls!$B$33=1,D367-($I$3-'main page'!$K$27*2)*(1+('main page'!$K$35/100))^A366,D367-$AL$4)</f>
        <v>0</v>
      </c>
      <c r="Y367" s="49">
        <f ca="1">ABS(L367-(controls!$B$9/100)*100)</f>
        <v>0</v>
      </c>
      <c r="AA367" s="49" t="e">
        <f ca="1">IF(controls!$B$33=1,(B368-B367*V368-I368+D367*W368+'main page'!$K$27*('main page'!$K$24+'main page'!$K$11))/'main page'!$K$31,(B368-B367*V368+D367*W368-H368+'main page'!$K$27*('main page'!$K$24+'main page'!$K$11))/'main page'!$K$31)</f>
        <v>#DIV/0!</v>
      </c>
      <c r="AB367" s="49" t="e">
        <f ca="1">IF(controls!$B$45=1,LOG(AF367,1.01)+LOG(AE367,1.01)-LOG(AD367,1.01),-((M367-('main page'!$K$24+'main page'!$K$11))/(1-'normal case'!$AO$3))+'normal case'!AA367)</f>
        <v>#DIV/0!</v>
      </c>
      <c r="AC367" s="176" t="e">
        <f t="shared" ca="1" si="37"/>
        <v>#DIV/0!</v>
      </c>
      <c r="AD367" s="49">
        <f t="shared" ca="1" si="38"/>
        <v>1350.4002862412515</v>
      </c>
      <c r="AE367" s="49">
        <f>AE366*(1+'main page'!$K$32/100)</f>
        <v>1</v>
      </c>
      <c r="AF367" s="49" t="e">
        <f ca="1">IF(ABS(IF(controls!$B$45=1,$AL$13,AD367*AC367/AE367)-AF366)&lt;0.00001,AF366,IF(controls!$B$45=1,$AL$13,AD367*AC367/AE367))</f>
        <v>#DIV/0!</v>
      </c>
      <c r="AG367" s="49">
        <f>IF(controls!$B$46=0,0,IF(controls!$B$33=2,B368-B367*V368-('normal case'!H368-D367*W368-'main page'!$K$27*'normal case'!M367+'main page'!$K$31*'normal case'!AB367)-(('main page'!$K$25*'main page'!$U$13*'main page'!$K$29)/(1+('main page'!$K$25^2)*'main page'!$U$13))*('normal case'!L367-'main page'!$U$8),B368-B367*V368-('normal case'!I368-D367*W368-'main page'!$K$27*'normal case'!M367+'main page'!$K$31*'normal case'!AB367)-(('main page'!$K$25*'main page'!$U$13*'main page'!$K$29)/(1+('main page'!$K$25^2)*'main page'!$U$13))*('normal case'!L367-'main page'!$U$8)))</f>
        <v>0</v>
      </c>
      <c r="AN367" s="40"/>
      <c r="AO367" s="40"/>
    </row>
    <row r="368" spans="1:41">
      <c r="A368" s="48">
        <v>366</v>
      </c>
      <c r="B368" s="75">
        <f ca="1">IF(controls!$B$33=1,B367*(1+V368)+T368,B367*(1+V368))</f>
        <v>100</v>
      </c>
      <c r="C368" s="80">
        <f t="shared" ca="1" si="39"/>
        <v>0</v>
      </c>
      <c r="D368" s="77">
        <f t="shared" ca="1" si="35"/>
        <v>100</v>
      </c>
      <c r="E368" s="77">
        <f ca="1">AG367+IF(controls!$B$33=1,G368,F368)</f>
        <v>100</v>
      </c>
      <c r="F368" s="94">
        <f ca="1">IF(controls!$B$44=0,H368-'main page'!$K$27*M367,H368-'main page'!$K$27*M367+'main page'!$K$31*AB367)</f>
        <v>100</v>
      </c>
      <c r="G368" s="75">
        <f ca="1">IF(controls!$B$44=0,I368-'main page'!$K$27*M367,I368-'main page'!$K$27*M367+'main page'!$K$31*'normal case'!AB367)</f>
        <v>100</v>
      </c>
      <c r="H368" s="75">
        <f t="shared" ca="1" si="40"/>
        <v>108</v>
      </c>
      <c r="I368" s="75">
        <f t="shared" ca="1" si="41"/>
        <v>108</v>
      </c>
      <c r="L368" s="75">
        <f ca="1">IF(ABS('main page'!$K$29*L367+(1-'main page'!$K$29)*(controls!$B$9/100)*100+'main page'!$K$25*(D368-B368)-L367)&lt;0.0000001,L367,'main page'!$K$29*L367+(1-'main page'!$K$29)*(controls!$B$9/100)*100+'main page'!$K$25*(D368-B368))</f>
        <v>2</v>
      </c>
      <c r="M368" s="96">
        <f ca="1">IF(controls!$B$10=1,M367,IF(SUM(controls!$B$44:$B$46)=2,N368-'main page'!$K$29*'normal case'!L368-(1-'main page'!$K$29)*'main page'!$K$32,N368-'main page'!$K$29*'normal case'!L368-(1-'main page'!$K$29)*controls!$B$9))</f>
        <v>4</v>
      </c>
      <c r="N368" s="208">
        <f ca="1">IF(controls!$B$45=1,IF(controls!$B$46=1,'main page'!$K$24+'main page'!$K$11+'main page'!$U$8,'main page'!$K$24+'main page'!$K$11+'main page'!$K$32),IF(controls!$B$44=1,IF(O368&lt;0,0,O368),IF(O368+'main page'!$K$11&lt;0,0,O368+'main page'!$K$11)))</f>
        <v>6</v>
      </c>
      <c r="O368" s="76">
        <f ca="1">IF(controls!$B$10=1,'normal case'!M368+'normal case'!L368,'normal case'!P368)</f>
        <v>6</v>
      </c>
      <c r="P368" s="74">
        <f t="shared" ca="1" si="36"/>
        <v>6</v>
      </c>
      <c r="Q368" s="210">
        <f ca="1">IF(controls!$B$44=0,R368+'main page'!$K$29*L368+(1-'main page'!$K$29)*controls!$B$9+(('main page'!$K$25*'main page'!$U$13*'main page'!$K$29)/('main page'!$K$27*(1+('main page'!$K$25^2)*'main page'!$U$13)))*(L368-controls!$B$9),R368+'main page'!$K$29*L368+(1-'main page'!$K$29)*controls!$B$9+(('main page'!$K$25*'main page'!$U$13*'normal case'!$AO$3)/'normal case'!$AO$4)*('normal case'!L368-controls!$B$9))</f>
        <v>6</v>
      </c>
      <c r="R368" s="98">
        <f ca="1">IF(controls!$B$44=1,'main page'!$K$24+'main page'!$K$11,IF(controls!$B$33=1,((I369-D368*W369-B369+B368*V369)/'main page'!$K$27)-'main page'!$K$11,((H369-D368*W369-B369+B368*V369)/'main page'!$K$27)-'main page'!$K$11))</f>
        <v>4</v>
      </c>
      <c r="T368" s="71">
        <f>IF(controls!$B$6=1,$AL$3*(1+('main page'!$K$35/100))^U368-$AL$3*(1+('main page'!$K$35/100))^U367,$AL$3*(1+('main page'!$G$8/100))*(1+('main page'!$K$35/100))^U368-$AL$3*(1+('main page'!$G$8/100))*(1+('main page'!$K$35/100))^U367)</f>
        <v>0</v>
      </c>
      <c r="U368" s="73">
        <v>361</v>
      </c>
      <c r="V368" s="161">
        <f ca="1">IF(controls!$B$4=1,IF(controls!$H367=1,controls!$B$34*V367+RAND()*('main page'!$K$16/100)-RAND()*('main page'!$K$16/100),0),0)</f>
        <v>0</v>
      </c>
      <c r="W368" s="40">
        <f ca="1">IF(controls!$B$4=1,IF(controls!$I367=1,controls!$B$34*W367+RAND()*('main page'!$K$16/100)-RAND()*('main page'!$K$16/100),0),0)</f>
        <v>0</v>
      </c>
      <c r="X368" s="49">
        <f ca="1">IF(controls!$B$33=1,D368-($I$3-'main page'!$K$27*2)*(1+('main page'!$K$35/100))^A367,D368-$AL$4)</f>
        <v>0</v>
      </c>
      <c r="Y368" s="49">
        <f ca="1">ABS(L368-(controls!$B$9/100)*100)</f>
        <v>0</v>
      </c>
      <c r="AA368" s="49" t="e">
        <f ca="1">IF(controls!$B$33=1,(B369-B368*V369-I369+D368*W369+'main page'!$K$27*('main page'!$K$24+'main page'!$K$11))/'main page'!$K$31,(B369-B368*V369+D368*W369-H369+'main page'!$K$27*('main page'!$K$24+'main page'!$K$11))/'main page'!$K$31)</f>
        <v>#DIV/0!</v>
      </c>
      <c r="AB368" s="49" t="e">
        <f ca="1">IF(controls!$B$45=1,LOG(AF368,1.01)+LOG(AE368,1.01)-LOG(AD368,1.01),-((M368-('main page'!$K$24+'main page'!$K$11))/(1-'normal case'!$AO$3))+'normal case'!AA368)</f>
        <v>#DIV/0!</v>
      </c>
      <c r="AC368" s="176" t="e">
        <f t="shared" ca="1" si="37"/>
        <v>#DIV/0!</v>
      </c>
      <c r="AD368" s="49">
        <f t="shared" ca="1" si="38"/>
        <v>1377.4082919660766</v>
      </c>
      <c r="AE368" s="49">
        <f>AE367*(1+'main page'!$K$32/100)</f>
        <v>1</v>
      </c>
      <c r="AF368" s="49" t="e">
        <f ca="1">IF(ABS(IF(controls!$B$45=1,$AL$13,AD368*AC368/AE368)-AF367)&lt;0.00001,AF367,IF(controls!$B$45=1,$AL$13,AD368*AC368/AE368))</f>
        <v>#DIV/0!</v>
      </c>
      <c r="AG368" s="49">
        <f>IF(controls!$B$46=0,0,IF(controls!$B$33=2,B369-B368*V369-('normal case'!H369-D368*W369-'main page'!$K$27*'normal case'!M368+'main page'!$K$31*'normal case'!AB368)-(('main page'!$K$25*'main page'!$U$13*'main page'!$K$29)/(1+('main page'!$K$25^2)*'main page'!$U$13))*('normal case'!L368-'main page'!$U$8),B369-B368*V369-('normal case'!I369-D368*W369-'main page'!$K$27*'normal case'!M368+'main page'!$K$31*'normal case'!AB368)-(('main page'!$K$25*'main page'!$U$13*'main page'!$K$29)/(1+('main page'!$K$25^2)*'main page'!$U$13))*('normal case'!L368-'main page'!$U$8)))</f>
        <v>0</v>
      </c>
      <c r="AN368" s="40"/>
      <c r="AO368" s="40"/>
    </row>
    <row r="369" spans="1:41">
      <c r="A369" s="48">
        <v>367</v>
      </c>
      <c r="B369" s="75">
        <f ca="1">IF(controls!$B$33=1,B368*(1+V369)+T369,B368*(1+V369))</f>
        <v>100</v>
      </c>
      <c r="C369" s="80">
        <f t="shared" ca="1" si="39"/>
        <v>0</v>
      </c>
      <c r="D369" s="77">
        <f t="shared" ca="1" si="35"/>
        <v>100</v>
      </c>
      <c r="E369" s="77">
        <f ca="1">AG368+IF(controls!$B$33=1,G369,F369)</f>
        <v>100</v>
      </c>
      <c r="F369" s="94">
        <f ca="1">IF(controls!$B$44=0,H369-'main page'!$K$27*M368,H369-'main page'!$K$27*M368+'main page'!$K$31*AB368)</f>
        <v>100</v>
      </c>
      <c r="G369" s="75">
        <f ca="1">IF(controls!$B$44=0,I369-'main page'!$K$27*M368,I369-'main page'!$K$27*M368+'main page'!$K$31*'normal case'!AB368)</f>
        <v>100</v>
      </c>
      <c r="H369" s="75">
        <f t="shared" ca="1" si="40"/>
        <v>108</v>
      </c>
      <c r="I369" s="75">
        <f t="shared" ca="1" si="41"/>
        <v>108</v>
      </c>
      <c r="L369" s="75">
        <f ca="1">IF(ABS('main page'!$K$29*L368+(1-'main page'!$K$29)*(controls!$B$9/100)*100+'main page'!$K$25*(D369-B369)-L368)&lt;0.0000001,L368,'main page'!$K$29*L368+(1-'main page'!$K$29)*(controls!$B$9/100)*100+'main page'!$K$25*(D369-B369))</f>
        <v>2</v>
      </c>
      <c r="M369" s="96">
        <f ca="1">IF(controls!$B$10=1,M368,IF(SUM(controls!$B$44:$B$46)=2,N369-'main page'!$K$29*'normal case'!L369-(1-'main page'!$K$29)*'main page'!$K$32,N369-'main page'!$K$29*'normal case'!L369-(1-'main page'!$K$29)*controls!$B$9))</f>
        <v>4</v>
      </c>
      <c r="N369" s="208">
        <f ca="1">IF(controls!$B$45=1,IF(controls!$B$46=1,'main page'!$K$24+'main page'!$K$11+'main page'!$U$8,'main page'!$K$24+'main page'!$K$11+'main page'!$K$32),IF(controls!$B$44=1,IF(O369&lt;0,0,O369),IF(O369+'main page'!$K$11&lt;0,0,O369+'main page'!$K$11)))</f>
        <v>6</v>
      </c>
      <c r="O369" s="76">
        <f ca="1">IF(controls!$B$10=1,'normal case'!M369+'normal case'!L369,'normal case'!P369)</f>
        <v>6</v>
      </c>
      <c r="P369" s="74">
        <f t="shared" ca="1" si="36"/>
        <v>6</v>
      </c>
      <c r="Q369" s="210">
        <f ca="1">IF(controls!$B$44=0,R369+'main page'!$K$29*L369+(1-'main page'!$K$29)*controls!$B$9+(('main page'!$K$25*'main page'!$U$13*'main page'!$K$29)/('main page'!$K$27*(1+('main page'!$K$25^2)*'main page'!$U$13)))*(L369-controls!$B$9),R369+'main page'!$K$29*L369+(1-'main page'!$K$29)*controls!$B$9+(('main page'!$K$25*'main page'!$U$13*'normal case'!$AO$3)/'normal case'!$AO$4)*('normal case'!L369-controls!$B$9))</f>
        <v>6</v>
      </c>
      <c r="R369" s="98">
        <f ca="1">IF(controls!$B$44=1,'main page'!$K$24+'main page'!$K$11,IF(controls!$B$33=1,((I370-D369*W370-B370+B369*V370)/'main page'!$K$27)-'main page'!$K$11,((H370-D369*W370-B370+B369*V370)/'main page'!$K$27)-'main page'!$K$11))</f>
        <v>4</v>
      </c>
      <c r="T369" s="71">
        <f>IF(controls!$B$6=1,$AL$3*(1+('main page'!$K$35/100))^U369-$AL$3*(1+('main page'!$K$35/100))^U368,$AL$3*(1+('main page'!$G$8/100))*(1+('main page'!$K$35/100))^U369-$AL$3*(1+('main page'!$G$8/100))*(1+('main page'!$K$35/100))^U368)</f>
        <v>0</v>
      </c>
      <c r="U369" s="73">
        <v>362</v>
      </c>
      <c r="V369" s="161">
        <v>0</v>
      </c>
      <c r="W369" s="40">
        <v>0</v>
      </c>
      <c r="X369" s="49">
        <f ca="1">IF(controls!$B$33=1,D369-($I$3-'main page'!$K$27*2)*(1+('main page'!$K$35/100))^A368,D369-$AL$4)</f>
        <v>0</v>
      </c>
      <c r="Y369" s="49">
        <f ca="1">ABS(L369-(controls!$B$9/100)*100)</f>
        <v>0</v>
      </c>
      <c r="AA369" s="49" t="e">
        <f ca="1">IF(controls!$B$33=1,(B370-B369*V370-I370+D369*W370+'main page'!$K$27*('main page'!$K$24+'main page'!$K$11))/'main page'!$K$31,(B370-B369*V370+D369*W370-H370+'main page'!$K$27*('main page'!$K$24+'main page'!$K$11))/'main page'!$K$31)</f>
        <v>#DIV/0!</v>
      </c>
      <c r="AB369" s="49" t="e">
        <f ca="1">IF(controls!$B$45=1,LOG(AF369,1.01)+LOG(AE369,1.01)-LOG(AD369,1.01),-((M369-('main page'!$K$24+'main page'!$K$11))/(1-'normal case'!$AO$3))+'normal case'!AA369)</f>
        <v>#DIV/0!</v>
      </c>
      <c r="AC369" s="176" t="e">
        <f t="shared" ca="1" si="37"/>
        <v>#DIV/0!</v>
      </c>
      <c r="AD369" s="49">
        <f t="shared" ca="1" si="38"/>
        <v>1404.9564578053983</v>
      </c>
      <c r="AE369" s="49">
        <f>AE368*(1+'main page'!$K$32/100)</f>
        <v>1</v>
      </c>
      <c r="AF369" s="49" t="e">
        <f ca="1">IF(ABS(IF(controls!$B$45=1,$AL$13,AD369*AC369/AE369)-AF368)&lt;0.00001,AF368,IF(controls!$B$45=1,$AL$13,AD369*AC369/AE369))</f>
        <v>#DIV/0!</v>
      </c>
      <c r="AG369" s="49">
        <f>IF(controls!$B$46=0,0,IF(controls!$B$33=2,B370-B369*V370-('normal case'!H370-D369*W370-'main page'!$K$27*'normal case'!M369+'main page'!$K$31*'normal case'!AB369)-(('main page'!$K$25*'main page'!$U$13*'main page'!$K$29)/(1+('main page'!$K$25^2)*'main page'!$U$13))*('normal case'!L369-'main page'!$U$8),B370-B369*V370-('normal case'!I370-D369*W370-'main page'!$K$27*'normal case'!M369+'main page'!$K$31*'normal case'!AB369)-(('main page'!$K$25*'main page'!$U$13*'main page'!$K$29)/(1+('main page'!$K$25^2)*'main page'!$U$13))*('normal case'!L369-'main page'!$U$8)))</f>
        <v>0</v>
      </c>
      <c r="AN369" s="40"/>
      <c r="AO369" s="40"/>
    </row>
    <row r="370" spans="1:41">
      <c r="A370" s="48">
        <v>368</v>
      </c>
      <c r="B370" s="75">
        <f ca="1">IF(controls!$B$33=1,B369*(1+V370)+T370,B369*(1+V370))</f>
        <v>100</v>
      </c>
      <c r="C370" s="80">
        <f t="shared" ca="1" si="39"/>
        <v>0</v>
      </c>
      <c r="D370" s="77">
        <f t="shared" ca="1" si="35"/>
        <v>100</v>
      </c>
      <c r="E370" s="77">
        <f ca="1">AG369+IF(controls!$B$33=1,G370,F370)</f>
        <v>100</v>
      </c>
      <c r="F370" s="94">
        <f ca="1">IF(controls!$B$44=0,H370-'main page'!$K$27*M369,H370-'main page'!$K$27*M369+'main page'!$K$31*AB369)</f>
        <v>100</v>
      </c>
      <c r="G370" s="75">
        <f ca="1">IF(controls!$B$44=0,I370-'main page'!$K$27*M369,I370-'main page'!$K$27*M369+'main page'!$K$31*'normal case'!AB369)</f>
        <v>100</v>
      </c>
      <c r="H370" s="75">
        <f t="shared" ca="1" si="40"/>
        <v>108</v>
      </c>
      <c r="I370" s="75">
        <f t="shared" ca="1" si="41"/>
        <v>108</v>
      </c>
      <c r="L370" s="75">
        <f ca="1">IF(ABS('main page'!$K$29*L369+(1-'main page'!$K$29)*(controls!$B$9/100)*100+'main page'!$K$25*(D370-B370)-L369)&lt;0.0000001,L369,'main page'!$K$29*L369+(1-'main page'!$K$29)*(controls!$B$9/100)*100+'main page'!$K$25*(D370-B370))</f>
        <v>2</v>
      </c>
      <c r="M370" s="96">
        <f ca="1">IF(controls!$B$10=1,M369,IF(SUM(controls!$B$44:$B$46)=2,N370-'main page'!$K$29*'normal case'!L370-(1-'main page'!$K$29)*'main page'!$K$32,N370-'main page'!$K$29*'normal case'!L370-(1-'main page'!$K$29)*controls!$B$9))</f>
        <v>4</v>
      </c>
      <c r="N370" s="208">
        <f ca="1">IF(controls!$B$45=1,IF(controls!$B$46=1,'main page'!$K$24+'main page'!$K$11+'main page'!$U$8,'main page'!$K$24+'main page'!$K$11+'main page'!$K$32),IF(controls!$B$44=1,IF(O370&lt;0,0,O370),IF(O370+'main page'!$K$11&lt;0,0,O370+'main page'!$K$11)))</f>
        <v>6</v>
      </c>
      <c r="O370" s="76">
        <f ca="1">IF(controls!$B$10=1,'normal case'!M370+'normal case'!L370,'normal case'!P370)</f>
        <v>6</v>
      </c>
      <c r="P370" s="74">
        <f t="shared" ca="1" si="36"/>
        <v>6</v>
      </c>
      <c r="Q370" s="210">
        <f ca="1">IF(controls!$B$44=0,R370+'main page'!$K$29*L370+(1-'main page'!$K$29)*controls!$B$9+(('main page'!$K$25*'main page'!$U$13*'main page'!$K$29)/('main page'!$K$27*(1+('main page'!$K$25^2)*'main page'!$U$13)))*(L370-controls!$B$9),R370+'main page'!$K$29*L370+(1-'main page'!$K$29)*controls!$B$9+(('main page'!$K$25*'main page'!$U$13*'normal case'!$AO$3)/'normal case'!$AO$4)*('normal case'!L370-controls!$B$9))</f>
        <v>6</v>
      </c>
      <c r="R370" s="98">
        <f ca="1">IF(controls!$B$44=1,'main page'!$K$24+'main page'!$K$11,IF(controls!$B$33=1,((I371-D370*W371-B371+B370*V371)/'main page'!$K$27)-'main page'!$K$11,((H371-D370*W371-B371+B370*V371)/'main page'!$K$27)-'main page'!$K$11))</f>
        <v>4</v>
      </c>
      <c r="T370" s="71">
        <f>IF(controls!$B$6=1,$AL$3*(1+('main page'!$K$35/100))^U370-$AL$3*(1+('main page'!$K$35/100))^U369,$AL$3*(1+('main page'!$G$8/100))*(1+('main page'!$K$35/100))^U370-$AL$3*(1+('main page'!$G$8/100))*(1+('main page'!$K$35/100))^U369)</f>
        <v>0</v>
      </c>
      <c r="U370" s="73">
        <v>363</v>
      </c>
      <c r="V370" s="161">
        <v>0</v>
      </c>
      <c r="W370" s="40">
        <v>0</v>
      </c>
      <c r="X370" s="49">
        <f ca="1">IF(controls!$B$33=1,D370-($I$3-'main page'!$K$27*2)*(1+('main page'!$K$35/100))^A369,D370-$AL$4)</f>
        <v>0</v>
      </c>
      <c r="Y370" s="49">
        <f ca="1">ABS(L370-(controls!$B$9/100)*100)</f>
        <v>0</v>
      </c>
      <c r="AA370" s="49" t="e">
        <f ca="1">IF(controls!$B$33=1,(B371-B370*V371-I371+D370*W371+'main page'!$K$27*('main page'!$K$24+'main page'!$K$11))/'main page'!$K$31,(B371-B370*V371+D370*W371-H371+'main page'!$K$27*('main page'!$K$24+'main page'!$K$11))/'main page'!$K$31)</f>
        <v>#DIV/0!</v>
      </c>
      <c r="AB370" s="49" t="e">
        <f ca="1">IF(controls!$B$45=1,LOG(AF370,1.01)+LOG(AE370,1.01)-LOG(AD370,1.01),-((M370-('main page'!$K$24+'main page'!$K$11))/(1-'normal case'!$AO$3))+'normal case'!AA370)</f>
        <v>#DIV/0!</v>
      </c>
      <c r="AC370" s="176" t="e">
        <f t="shared" ca="1" si="37"/>
        <v>#DIV/0!</v>
      </c>
      <c r="AD370" s="49">
        <f t="shared" ca="1" si="38"/>
        <v>1433.0555869615062</v>
      </c>
      <c r="AE370" s="49">
        <f>AE369*(1+'main page'!$K$32/100)</f>
        <v>1</v>
      </c>
      <c r="AF370" s="49" t="e">
        <f ca="1">IF(ABS(IF(controls!$B$45=1,$AL$13,AD370*AC370/AE370)-AF369)&lt;0.00001,AF369,IF(controls!$B$45=1,$AL$13,AD370*AC370/AE370))</f>
        <v>#DIV/0!</v>
      </c>
      <c r="AG370" s="49">
        <f>IF(controls!$B$46=0,0,IF(controls!$B$33=2,B371-B370*V371-('normal case'!H371-D370*W371-'main page'!$K$27*'normal case'!M370+'main page'!$K$31*'normal case'!AB370)-(('main page'!$K$25*'main page'!$U$13*'main page'!$K$29)/(1+('main page'!$K$25^2)*'main page'!$U$13))*('normal case'!L370-'main page'!$U$8),B371-B370*V371-('normal case'!I371-D370*W371-'main page'!$K$27*'normal case'!M370+'main page'!$K$31*'normal case'!AB370)-(('main page'!$K$25*'main page'!$U$13*'main page'!$K$29)/(1+('main page'!$K$25^2)*'main page'!$U$13))*('normal case'!L370-'main page'!$U$8)))</f>
        <v>0</v>
      </c>
      <c r="AN370" s="40"/>
      <c r="AO370" s="40"/>
    </row>
    <row r="371" spans="1:41">
      <c r="A371" s="48">
        <v>369</v>
      </c>
      <c r="B371" s="75">
        <f ca="1">IF(controls!$B$33=1,B370*(1+V371)+T371,B370*(1+V371))</f>
        <v>100</v>
      </c>
      <c r="C371" s="80">
        <f t="shared" ca="1" si="39"/>
        <v>0</v>
      </c>
      <c r="D371" s="77">
        <f t="shared" ca="1" si="35"/>
        <v>100</v>
      </c>
      <c r="E371" s="77">
        <f ca="1">AG370+IF(controls!$B$33=1,G371,F371)</f>
        <v>100</v>
      </c>
      <c r="F371" s="94">
        <f ca="1">IF(controls!$B$44=0,H371-'main page'!$K$27*M370,H371-'main page'!$K$27*M370+'main page'!$K$31*AB370)</f>
        <v>100</v>
      </c>
      <c r="G371" s="75">
        <f ca="1">IF(controls!$B$44=0,I371-'main page'!$K$27*M370,I371-'main page'!$K$27*M370+'main page'!$K$31*'normal case'!AB370)</f>
        <v>100</v>
      </c>
      <c r="H371" s="75">
        <f t="shared" ca="1" si="40"/>
        <v>108</v>
      </c>
      <c r="I371" s="75">
        <f t="shared" ca="1" si="41"/>
        <v>108</v>
      </c>
      <c r="L371" s="75">
        <f ca="1">IF(ABS('main page'!$K$29*L370+(1-'main page'!$K$29)*(controls!$B$9/100)*100+'main page'!$K$25*(D371-B371)-L370)&lt;0.0000001,L370,'main page'!$K$29*L370+(1-'main page'!$K$29)*(controls!$B$9/100)*100+'main page'!$K$25*(D371-B371))</f>
        <v>2</v>
      </c>
      <c r="M371" s="96">
        <f ca="1">IF(controls!$B$10=1,M370,IF(SUM(controls!$B$44:$B$46)=2,N371-'main page'!$K$29*'normal case'!L371-(1-'main page'!$K$29)*'main page'!$K$32,N371-'main page'!$K$29*'normal case'!L371-(1-'main page'!$K$29)*controls!$B$9))</f>
        <v>4</v>
      </c>
      <c r="N371" s="208">
        <f ca="1">IF(controls!$B$45=1,IF(controls!$B$46=1,'main page'!$K$24+'main page'!$K$11+'main page'!$U$8,'main page'!$K$24+'main page'!$K$11+'main page'!$K$32),IF(controls!$B$44=1,IF(O371&lt;0,0,O371),IF(O371+'main page'!$K$11&lt;0,0,O371+'main page'!$K$11)))</f>
        <v>6</v>
      </c>
      <c r="O371" s="76">
        <f ca="1">IF(controls!$B$10=1,'normal case'!M371+'normal case'!L371,'normal case'!P371)</f>
        <v>6</v>
      </c>
      <c r="P371" s="74">
        <f t="shared" ca="1" si="36"/>
        <v>6</v>
      </c>
      <c r="Q371" s="210">
        <f ca="1">IF(controls!$B$44=0,R371+'main page'!$K$29*L371+(1-'main page'!$K$29)*controls!$B$9+(('main page'!$K$25*'main page'!$U$13*'main page'!$K$29)/('main page'!$K$27*(1+('main page'!$K$25^2)*'main page'!$U$13)))*(L371-controls!$B$9),R371+'main page'!$K$29*L371+(1-'main page'!$K$29)*controls!$B$9+(('main page'!$K$25*'main page'!$U$13*'normal case'!$AO$3)/'normal case'!$AO$4)*('normal case'!L371-controls!$B$9))</f>
        <v>6</v>
      </c>
      <c r="R371" s="98">
        <f ca="1">IF(controls!$B$44=1,'main page'!$K$24+'main page'!$K$11,IF(controls!$B$33=1,((I372-D371*W372-B372+B371*V372)/'main page'!$K$27)-'main page'!$K$11,((H372-D371*W372-B372+B371*V372)/'main page'!$K$27)-'main page'!$K$11))</f>
        <v>4</v>
      </c>
      <c r="T371" s="71">
        <f>IF(controls!$B$6=1,$AL$3*(1+('main page'!$K$35/100))^U371-$AL$3*(1+('main page'!$K$35/100))^U370,$AL$3*(1+('main page'!$G$8/100))*(1+('main page'!$K$35/100))^U371-$AL$3*(1+('main page'!$G$8/100))*(1+('main page'!$K$35/100))^U370)</f>
        <v>0</v>
      </c>
      <c r="U371" s="73">
        <v>364</v>
      </c>
      <c r="V371" s="161">
        <f ca="1">IF(controls!$B$4=1,IF(controls!$H370=1,controls!$B$34*V370+RAND()*('main page'!$K$16/100)-RAND()*('main page'!$K$16/100),0),0)</f>
        <v>0</v>
      </c>
      <c r="W371" s="40">
        <f ca="1">IF(controls!$B$4=1,IF(controls!$I370=1,controls!$B$34*W370+RAND()*('main page'!$K$16/100)-RAND()*('main page'!$K$16/100),0),0)</f>
        <v>0</v>
      </c>
      <c r="X371" s="49">
        <f ca="1">IF(controls!$B$33=1,D371-($I$3-'main page'!$K$27*2)*(1+('main page'!$K$35/100))^A370,D371-$AL$4)</f>
        <v>0</v>
      </c>
      <c r="Y371" s="49">
        <f ca="1">ABS(L371-(controls!$B$9/100)*100)</f>
        <v>0</v>
      </c>
      <c r="AA371" s="49" t="e">
        <f ca="1">IF(controls!$B$33=1,(B372-B371*V372-I372+D371*W372+'main page'!$K$27*('main page'!$K$24+'main page'!$K$11))/'main page'!$K$31,(B372-B371*V372+D371*W372-H372+'main page'!$K$27*('main page'!$K$24+'main page'!$K$11))/'main page'!$K$31)</f>
        <v>#DIV/0!</v>
      </c>
      <c r="AB371" s="49" t="e">
        <f ca="1">IF(controls!$B$45=1,LOG(AF371,1.01)+LOG(AE371,1.01)-LOG(AD371,1.01),-((M371-('main page'!$K$24+'main page'!$K$11))/(1-'normal case'!$AO$3))+'normal case'!AA371)</f>
        <v>#DIV/0!</v>
      </c>
      <c r="AC371" s="176" t="e">
        <f t="shared" ca="1" si="37"/>
        <v>#DIV/0!</v>
      </c>
      <c r="AD371" s="49">
        <f t="shared" ca="1" si="38"/>
        <v>1461.7166987007363</v>
      </c>
      <c r="AE371" s="49">
        <f>AE370*(1+'main page'!$K$32/100)</f>
        <v>1</v>
      </c>
      <c r="AF371" s="49" t="e">
        <f ca="1">IF(ABS(IF(controls!$B$45=1,$AL$13,AD371*AC371/AE371)-AF370)&lt;0.00001,AF370,IF(controls!$B$45=1,$AL$13,AD371*AC371/AE371))</f>
        <v>#DIV/0!</v>
      </c>
      <c r="AG371" s="49">
        <f>IF(controls!$B$46=0,0,IF(controls!$B$33=2,B372-B371*V372-('normal case'!H372-D371*W372-'main page'!$K$27*'normal case'!M371+'main page'!$K$31*'normal case'!AB371)-(('main page'!$K$25*'main page'!$U$13*'main page'!$K$29)/(1+('main page'!$K$25^2)*'main page'!$U$13))*('normal case'!L371-'main page'!$U$8),B372-B371*V372-('normal case'!I372-D371*W372-'main page'!$K$27*'normal case'!M371+'main page'!$K$31*'normal case'!AB371)-(('main page'!$K$25*'main page'!$U$13*'main page'!$K$29)/(1+('main page'!$K$25^2)*'main page'!$U$13))*('normal case'!L371-'main page'!$U$8)))</f>
        <v>0</v>
      </c>
      <c r="AN371" s="40"/>
      <c r="AO371" s="40"/>
    </row>
    <row r="372" spans="1:41">
      <c r="A372" s="48">
        <v>370</v>
      </c>
      <c r="B372" s="75">
        <f ca="1">IF(controls!$B$33=1,B371*(1+V372)+T372,B371*(1+V372))</f>
        <v>100</v>
      </c>
      <c r="C372" s="80">
        <f t="shared" ca="1" si="39"/>
        <v>0</v>
      </c>
      <c r="D372" s="77">
        <f t="shared" ca="1" si="35"/>
        <v>100</v>
      </c>
      <c r="E372" s="77">
        <f ca="1">AG371+IF(controls!$B$33=1,G372,F372)</f>
        <v>100</v>
      </c>
      <c r="F372" s="94">
        <f ca="1">IF(controls!$B$44=0,H372-'main page'!$K$27*M371,H372-'main page'!$K$27*M371+'main page'!$K$31*AB371)</f>
        <v>100</v>
      </c>
      <c r="G372" s="75">
        <f ca="1">IF(controls!$B$44=0,I372-'main page'!$K$27*M371,I372-'main page'!$K$27*M371+'main page'!$K$31*'normal case'!AB371)</f>
        <v>100</v>
      </c>
      <c r="H372" s="75">
        <f t="shared" ca="1" si="40"/>
        <v>108</v>
      </c>
      <c r="I372" s="75">
        <f t="shared" ca="1" si="41"/>
        <v>108</v>
      </c>
      <c r="L372" s="75">
        <f ca="1">IF(ABS('main page'!$K$29*L371+(1-'main page'!$K$29)*(controls!$B$9/100)*100+'main page'!$K$25*(D372-B372)-L371)&lt;0.0000001,L371,'main page'!$K$29*L371+(1-'main page'!$K$29)*(controls!$B$9/100)*100+'main page'!$K$25*(D372-B372))</f>
        <v>2</v>
      </c>
      <c r="M372" s="96">
        <f ca="1">IF(controls!$B$10=1,M371,IF(SUM(controls!$B$44:$B$46)=2,N372-'main page'!$K$29*'normal case'!L372-(1-'main page'!$K$29)*'main page'!$K$32,N372-'main page'!$K$29*'normal case'!L372-(1-'main page'!$K$29)*controls!$B$9))</f>
        <v>4</v>
      </c>
      <c r="N372" s="208">
        <f ca="1">IF(controls!$B$45=1,IF(controls!$B$46=1,'main page'!$K$24+'main page'!$K$11+'main page'!$U$8,'main page'!$K$24+'main page'!$K$11+'main page'!$K$32),IF(controls!$B$44=1,IF(O372&lt;0,0,O372),IF(O372+'main page'!$K$11&lt;0,0,O372+'main page'!$K$11)))</f>
        <v>6</v>
      </c>
      <c r="O372" s="76">
        <f ca="1">IF(controls!$B$10=1,'normal case'!M372+'normal case'!L372,'normal case'!P372)</f>
        <v>6</v>
      </c>
      <c r="P372" s="74">
        <f t="shared" ca="1" si="36"/>
        <v>6</v>
      </c>
      <c r="Q372" s="210">
        <f ca="1">IF(controls!$B$44=0,R372+'main page'!$K$29*L372+(1-'main page'!$K$29)*controls!$B$9+(('main page'!$K$25*'main page'!$U$13*'main page'!$K$29)/('main page'!$K$27*(1+('main page'!$K$25^2)*'main page'!$U$13)))*(L372-controls!$B$9),R372+'main page'!$K$29*L372+(1-'main page'!$K$29)*controls!$B$9+(('main page'!$K$25*'main page'!$U$13*'normal case'!$AO$3)/'normal case'!$AO$4)*('normal case'!L372-controls!$B$9))</f>
        <v>6</v>
      </c>
      <c r="R372" s="98">
        <f ca="1">IF(controls!$B$44=1,'main page'!$K$24+'main page'!$K$11,IF(controls!$B$33=1,((I373-D372*W373-B373+B372*V373)/'main page'!$K$27)-'main page'!$K$11,((H373-D372*W373-B373+B372*V373)/'main page'!$K$27)-'main page'!$K$11))</f>
        <v>4</v>
      </c>
      <c r="T372" s="71">
        <f>IF(controls!$B$6=1,$AL$3*(1+('main page'!$K$35/100))^U372-$AL$3*(1+('main page'!$K$35/100))^U371,$AL$3*(1+('main page'!$G$8/100))*(1+('main page'!$K$35/100))^U372-$AL$3*(1+('main page'!$G$8/100))*(1+('main page'!$K$35/100))^U371)</f>
        <v>0</v>
      </c>
      <c r="U372" s="73">
        <v>365</v>
      </c>
      <c r="V372" s="161">
        <v>0</v>
      </c>
      <c r="W372" s="40">
        <v>0</v>
      </c>
      <c r="X372" s="49">
        <f ca="1">IF(controls!$B$33=1,D372-($I$3-'main page'!$K$27*2)*(1+('main page'!$K$35/100))^A371,D372-$AL$4)</f>
        <v>0</v>
      </c>
      <c r="Y372" s="49">
        <f ca="1">ABS(L372-(controls!$B$9/100)*100)</f>
        <v>0</v>
      </c>
      <c r="AA372" s="49" t="e">
        <f ca="1">IF(controls!$B$33=1,(B373-B372*V373-I373+D372*W373+'main page'!$K$27*('main page'!$K$24+'main page'!$K$11))/'main page'!$K$31,(B373-B372*V373+D372*W373-H373+'main page'!$K$27*('main page'!$K$24+'main page'!$K$11))/'main page'!$K$31)</f>
        <v>#DIV/0!</v>
      </c>
      <c r="AB372" s="49" t="e">
        <f ca="1">IF(controls!$B$45=1,LOG(AF372,1.01)+LOG(AE372,1.01)-LOG(AD372,1.01),-((M372-('main page'!$K$24+'main page'!$K$11))/(1-'normal case'!$AO$3))+'normal case'!AA372)</f>
        <v>#DIV/0!</v>
      </c>
      <c r="AC372" s="176" t="e">
        <f t="shared" ca="1" si="37"/>
        <v>#DIV/0!</v>
      </c>
      <c r="AD372" s="49">
        <f t="shared" ca="1" si="38"/>
        <v>1490.9510326747511</v>
      </c>
      <c r="AE372" s="49">
        <f>AE371*(1+'main page'!$K$32/100)</f>
        <v>1</v>
      </c>
      <c r="AF372" s="49" t="e">
        <f ca="1">IF(ABS(IF(controls!$B$45=1,$AL$13,AD372*AC372/AE372)-AF371)&lt;0.00001,AF371,IF(controls!$B$45=1,$AL$13,AD372*AC372/AE372))</f>
        <v>#DIV/0!</v>
      </c>
      <c r="AG372" s="49">
        <f>IF(controls!$B$46=0,0,IF(controls!$B$33=2,B373-B372*V373-('normal case'!H373-D372*W373-'main page'!$K$27*'normal case'!M372+'main page'!$K$31*'normal case'!AB372)-(('main page'!$K$25*'main page'!$U$13*'main page'!$K$29)/(1+('main page'!$K$25^2)*'main page'!$U$13))*('normal case'!L372-'main page'!$U$8),B373-B372*V373-('normal case'!I373-D372*W373-'main page'!$K$27*'normal case'!M372+'main page'!$K$31*'normal case'!AB372)-(('main page'!$K$25*'main page'!$U$13*'main page'!$K$29)/(1+('main page'!$K$25^2)*'main page'!$U$13))*('normal case'!L372-'main page'!$U$8)))</f>
        <v>0</v>
      </c>
      <c r="AN372" s="40"/>
      <c r="AO372" s="40"/>
    </row>
    <row r="373" spans="1:41">
      <c r="A373" s="48">
        <v>371</v>
      </c>
      <c r="B373" s="75">
        <f ca="1">IF(controls!$B$33=1,B372*(1+V373)+T373,B372*(1+V373))</f>
        <v>100</v>
      </c>
      <c r="C373" s="80">
        <f t="shared" ca="1" si="39"/>
        <v>0</v>
      </c>
      <c r="D373" s="77">
        <f t="shared" ca="1" si="35"/>
        <v>100</v>
      </c>
      <c r="E373" s="77">
        <f ca="1">AG372+IF(controls!$B$33=1,G373,F373)</f>
        <v>100</v>
      </c>
      <c r="F373" s="94">
        <f ca="1">IF(controls!$B$44=0,H373-'main page'!$K$27*M372,H373-'main page'!$K$27*M372+'main page'!$K$31*AB372)</f>
        <v>100</v>
      </c>
      <c r="G373" s="75">
        <f ca="1">IF(controls!$B$44=0,I373-'main page'!$K$27*M372,I373-'main page'!$K$27*M372+'main page'!$K$31*'normal case'!AB372)</f>
        <v>100</v>
      </c>
      <c r="H373" s="75">
        <f t="shared" ca="1" si="40"/>
        <v>108</v>
      </c>
      <c r="I373" s="75">
        <f t="shared" ca="1" si="41"/>
        <v>108</v>
      </c>
      <c r="L373" s="75">
        <f ca="1">IF(ABS('main page'!$K$29*L372+(1-'main page'!$K$29)*(controls!$B$9/100)*100+'main page'!$K$25*(D373-B373)-L372)&lt;0.0000001,L372,'main page'!$K$29*L372+(1-'main page'!$K$29)*(controls!$B$9/100)*100+'main page'!$K$25*(D373-B373))</f>
        <v>2</v>
      </c>
      <c r="M373" s="96">
        <f ca="1">IF(controls!$B$10=1,M372,IF(SUM(controls!$B$44:$B$46)=2,N373-'main page'!$K$29*'normal case'!L373-(1-'main page'!$K$29)*'main page'!$K$32,N373-'main page'!$K$29*'normal case'!L373-(1-'main page'!$K$29)*controls!$B$9))</f>
        <v>4</v>
      </c>
      <c r="N373" s="208">
        <f ca="1">IF(controls!$B$45=1,IF(controls!$B$46=1,'main page'!$K$24+'main page'!$K$11+'main page'!$U$8,'main page'!$K$24+'main page'!$K$11+'main page'!$K$32),IF(controls!$B$44=1,IF(O373&lt;0,0,O373),IF(O373+'main page'!$K$11&lt;0,0,O373+'main page'!$K$11)))</f>
        <v>6</v>
      </c>
      <c r="O373" s="76">
        <f ca="1">IF(controls!$B$10=1,'normal case'!M373+'normal case'!L373,'normal case'!P373)</f>
        <v>6</v>
      </c>
      <c r="P373" s="74">
        <f t="shared" ca="1" si="36"/>
        <v>6</v>
      </c>
      <c r="Q373" s="210">
        <f ca="1">IF(controls!$B$44=0,R373+'main page'!$K$29*L373+(1-'main page'!$K$29)*controls!$B$9+(('main page'!$K$25*'main page'!$U$13*'main page'!$K$29)/('main page'!$K$27*(1+('main page'!$K$25^2)*'main page'!$U$13)))*(L373-controls!$B$9),R373+'main page'!$K$29*L373+(1-'main page'!$K$29)*controls!$B$9+(('main page'!$K$25*'main page'!$U$13*'normal case'!$AO$3)/'normal case'!$AO$4)*('normal case'!L373-controls!$B$9))</f>
        <v>6</v>
      </c>
      <c r="R373" s="98">
        <f ca="1">IF(controls!$B$44=1,'main page'!$K$24+'main page'!$K$11,IF(controls!$B$33=1,((I374-D373*W374-B374+B373*V374)/'main page'!$K$27)-'main page'!$K$11,((H374-D373*W374-B374+B373*V374)/'main page'!$K$27)-'main page'!$K$11))</f>
        <v>4</v>
      </c>
      <c r="T373" s="71">
        <f>IF(controls!$B$6=1,$AL$3*(1+('main page'!$K$35/100))^U373-$AL$3*(1+('main page'!$K$35/100))^U372,$AL$3*(1+('main page'!$G$8/100))*(1+('main page'!$K$35/100))^U373-$AL$3*(1+('main page'!$G$8/100))*(1+('main page'!$K$35/100))^U372)</f>
        <v>0</v>
      </c>
      <c r="U373" s="73">
        <v>366</v>
      </c>
      <c r="V373" s="161">
        <v>0</v>
      </c>
      <c r="W373" s="40">
        <v>0</v>
      </c>
      <c r="X373" s="49">
        <f ca="1">IF(controls!$B$33=1,D373-($I$3-'main page'!$K$27*2)*(1+('main page'!$K$35/100))^A372,D373-$AL$4)</f>
        <v>0</v>
      </c>
      <c r="Y373" s="49">
        <f ca="1">ABS(L373-(controls!$B$9/100)*100)</f>
        <v>0</v>
      </c>
      <c r="AA373" s="49" t="e">
        <f ca="1">IF(controls!$B$33=1,(B374-B373*V374-I374+D373*W374+'main page'!$K$27*('main page'!$K$24+'main page'!$K$11))/'main page'!$K$31,(B374-B373*V374+D373*W374-H374+'main page'!$K$27*('main page'!$K$24+'main page'!$K$11))/'main page'!$K$31)</f>
        <v>#DIV/0!</v>
      </c>
      <c r="AB373" s="49" t="e">
        <f ca="1">IF(controls!$B$45=1,LOG(AF373,1.01)+LOG(AE373,1.01)-LOG(AD373,1.01),-((M373-('main page'!$K$24+'main page'!$K$11))/(1-'normal case'!$AO$3))+'normal case'!AA373)</f>
        <v>#DIV/0!</v>
      </c>
      <c r="AC373" s="176" t="e">
        <f t="shared" ca="1" si="37"/>
        <v>#DIV/0!</v>
      </c>
      <c r="AD373" s="49">
        <f t="shared" ca="1" si="38"/>
        <v>1520.7700533282461</v>
      </c>
      <c r="AE373" s="49">
        <f>AE372*(1+'main page'!$K$32/100)</f>
        <v>1</v>
      </c>
      <c r="AF373" s="49" t="e">
        <f ca="1">IF(ABS(IF(controls!$B$45=1,$AL$13,AD373*AC373/AE373)-AF372)&lt;0.00001,AF372,IF(controls!$B$45=1,$AL$13,AD373*AC373/AE373))</f>
        <v>#DIV/0!</v>
      </c>
      <c r="AG373" s="49">
        <f>IF(controls!$B$46=0,0,IF(controls!$B$33=2,B374-B373*V374-('normal case'!H374-D373*W374-'main page'!$K$27*'normal case'!M373+'main page'!$K$31*'normal case'!AB373)-(('main page'!$K$25*'main page'!$U$13*'main page'!$K$29)/(1+('main page'!$K$25^2)*'main page'!$U$13))*('normal case'!L373-'main page'!$U$8),B374-B373*V374-('normal case'!I374-D373*W374-'main page'!$K$27*'normal case'!M373+'main page'!$K$31*'normal case'!AB373)-(('main page'!$K$25*'main page'!$U$13*'main page'!$K$29)/(1+('main page'!$K$25^2)*'main page'!$U$13))*('normal case'!L373-'main page'!$U$8)))</f>
        <v>0</v>
      </c>
      <c r="AN373" s="40"/>
      <c r="AO373" s="40"/>
    </row>
    <row r="374" spans="1:41">
      <c r="A374" s="48">
        <v>372</v>
      </c>
      <c r="B374" s="75">
        <f ca="1">IF(controls!$B$33=1,B373*(1+V374)+T374,B373*(1+V374))</f>
        <v>100</v>
      </c>
      <c r="C374" s="80">
        <f t="shared" ca="1" si="39"/>
        <v>0</v>
      </c>
      <c r="D374" s="77">
        <f t="shared" ca="1" si="35"/>
        <v>100</v>
      </c>
      <c r="E374" s="77">
        <f ca="1">AG373+IF(controls!$B$33=1,G374,F374)</f>
        <v>100</v>
      </c>
      <c r="F374" s="94">
        <f ca="1">IF(controls!$B$44=0,H374-'main page'!$K$27*M373,H374-'main page'!$K$27*M373+'main page'!$K$31*AB373)</f>
        <v>100</v>
      </c>
      <c r="G374" s="75">
        <f ca="1">IF(controls!$B$44=0,I374-'main page'!$K$27*M373,I374-'main page'!$K$27*M373+'main page'!$K$31*'normal case'!AB373)</f>
        <v>100</v>
      </c>
      <c r="H374" s="75">
        <f t="shared" ca="1" si="40"/>
        <v>108</v>
      </c>
      <c r="I374" s="75">
        <f t="shared" ca="1" si="41"/>
        <v>108</v>
      </c>
      <c r="L374" s="75">
        <f ca="1">IF(ABS('main page'!$K$29*L373+(1-'main page'!$K$29)*(controls!$B$9/100)*100+'main page'!$K$25*(D374-B374)-L373)&lt;0.0000001,L373,'main page'!$K$29*L373+(1-'main page'!$K$29)*(controls!$B$9/100)*100+'main page'!$K$25*(D374-B374))</f>
        <v>2</v>
      </c>
      <c r="M374" s="96">
        <f ca="1">IF(controls!$B$10=1,M373,IF(SUM(controls!$B$44:$B$46)=2,N374-'main page'!$K$29*'normal case'!L374-(1-'main page'!$K$29)*'main page'!$K$32,N374-'main page'!$K$29*'normal case'!L374-(1-'main page'!$K$29)*controls!$B$9))</f>
        <v>4</v>
      </c>
      <c r="N374" s="208">
        <f ca="1">IF(controls!$B$45=1,IF(controls!$B$46=1,'main page'!$K$24+'main page'!$K$11+'main page'!$U$8,'main page'!$K$24+'main page'!$K$11+'main page'!$K$32),IF(controls!$B$44=1,IF(O374&lt;0,0,O374),IF(O374+'main page'!$K$11&lt;0,0,O374+'main page'!$K$11)))</f>
        <v>6</v>
      </c>
      <c r="O374" s="76">
        <f ca="1">IF(controls!$B$10=1,'normal case'!M374+'normal case'!L374,'normal case'!P374)</f>
        <v>6</v>
      </c>
      <c r="P374" s="74">
        <f t="shared" ca="1" si="36"/>
        <v>6</v>
      </c>
      <c r="Q374" s="210">
        <f ca="1">IF(controls!$B$44=0,R374+'main page'!$K$29*L374+(1-'main page'!$K$29)*controls!$B$9+(('main page'!$K$25*'main page'!$U$13*'main page'!$K$29)/('main page'!$K$27*(1+('main page'!$K$25^2)*'main page'!$U$13)))*(L374-controls!$B$9),R374+'main page'!$K$29*L374+(1-'main page'!$K$29)*controls!$B$9+(('main page'!$K$25*'main page'!$U$13*'normal case'!$AO$3)/'normal case'!$AO$4)*('normal case'!L374-controls!$B$9))</f>
        <v>6</v>
      </c>
      <c r="R374" s="98">
        <f ca="1">IF(controls!$B$44=1,'main page'!$K$24+'main page'!$K$11,IF(controls!$B$33=1,((I375-D374*W375-B375+B374*V375)/'main page'!$K$27)-'main page'!$K$11,((H375-D374*W375-B375+B374*V375)/'main page'!$K$27)-'main page'!$K$11))</f>
        <v>4</v>
      </c>
      <c r="T374" s="71">
        <f>IF(controls!$B$6=1,$AL$3*(1+('main page'!$K$35/100))^U374-$AL$3*(1+('main page'!$K$35/100))^U373,$AL$3*(1+('main page'!$G$8/100))*(1+('main page'!$K$35/100))^U374-$AL$3*(1+('main page'!$G$8/100))*(1+('main page'!$K$35/100))^U373)</f>
        <v>0</v>
      </c>
      <c r="U374" s="73">
        <v>367</v>
      </c>
      <c r="V374" s="161">
        <f ca="1">IF(controls!$B$4=1,IF(controls!$H373=1,controls!$B$34*V373+RAND()*('main page'!$K$16/100)-RAND()*('main page'!$K$16/100),0),0)</f>
        <v>0</v>
      </c>
      <c r="W374" s="40">
        <f ca="1">IF(controls!$B$4=1,IF(controls!$I373=1,controls!$B$34*W373+RAND()*('main page'!$K$16/100)-RAND()*('main page'!$K$16/100),0),0)</f>
        <v>0</v>
      </c>
      <c r="X374" s="49">
        <f ca="1">IF(controls!$B$33=1,D374-($I$3-'main page'!$K$27*2)*(1+('main page'!$K$35/100))^A373,D374-$AL$4)</f>
        <v>0</v>
      </c>
      <c r="Y374" s="49">
        <f ca="1">ABS(L374-(controls!$B$9/100)*100)</f>
        <v>0</v>
      </c>
      <c r="AA374" s="49" t="e">
        <f ca="1">IF(controls!$B$33=1,(B375-B374*V375-I375+D374*W375+'main page'!$K$27*('main page'!$K$24+'main page'!$K$11))/'main page'!$K$31,(B375-B374*V375+D374*W375-H375+'main page'!$K$27*('main page'!$K$24+'main page'!$K$11))/'main page'!$K$31)</f>
        <v>#DIV/0!</v>
      </c>
      <c r="AB374" s="49" t="e">
        <f ca="1">IF(controls!$B$45=1,LOG(AF374,1.01)+LOG(AE374,1.01)-LOG(AD374,1.01),-((M374-('main page'!$K$24+'main page'!$K$11))/(1-'normal case'!$AO$3))+'normal case'!AA374)</f>
        <v>#DIV/0!</v>
      </c>
      <c r="AC374" s="176" t="e">
        <f t="shared" ca="1" si="37"/>
        <v>#DIV/0!</v>
      </c>
      <c r="AD374" s="49">
        <f t="shared" ca="1" si="38"/>
        <v>1551.1854543948111</v>
      </c>
      <c r="AE374" s="49">
        <f>AE373*(1+'main page'!$K$32/100)</f>
        <v>1</v>
      </c>
      <c r="AF374" s="49" t="e">
        <f ca="1">IF(ABS(IF(controls!$B$45=1,$AL$13,AD374*AC374/AE374)-AF373)&lt;0.00001,AF373,IF(controls!$B$45=1,$AL$13,AD374*AC374/AE374))</f>
        <v>#DIV/0!</v>
      </c>
      <c r="AG374" s="49">
        <f>IF(controls!$B$46=0,0,IF(controls!$B$33=2,B375-B374*V375-('normal case'!H375-D374*W375-'main page'!$K$27*'normal case'!M374+'main page'!$K$31*'normal case'!AB374)-(('main page'!$K$25*'main page'!$U$13*'main page'!$K$29)/(1+('main page'!$K$25^2)*'main page'!$U$13))*('normal case'!L374-'main page'!$U$8),B375-B374*V375-('normal case'!I375-D374*W375-'main page'!$K$27*'normal case'!M374+'main page'!$K$31*'normal case'!AB374)-(('main page'!$K$25*'main page'!$U$13*'main page'!$K$29)/(1+('main page'!$K$25^2)*'main page'!$U$13))*('normal case'!L374-'main page'!$U$8)))</f>
        <v>0</v>
      </c>
      <c r="AN374" s="40"/>
      <c r="AO374" s="40"/>
    </row>
    <row r="375" spans="1:41">
      <c r="A375" s="48">
        <v>373</v>
      </c>
      <c r="B375" s="75">
        <f ca="1">IF(controls!$B$33=1,B374*(1+V375)+T375,B374*(1+V375))</f>
        <v>100</v>
      </c>
      <c r="C375" s="80">
        <f t="shared" ca="1" si="39"/>
        <v>0</v>
      </c>
      <c r="D375" s="77">
        <f t="shared" ca="1" si="35"/>
        <v>100</v>
      </c>
      <c r="E375" s="77">
        <f ca="1">AG374+IF(controls!$B$33=1,G375,F375)</f>
        <v>100</v>
      </c>
      <c r="F375" s="94">
        <f ca="1">IF(controls!$B$44=0,H375-'main page'!$K$27*M374,H375-'main page'!$K$27*M374+'main page'!$K$31*AB374)</f>
        <v>100</v>
      </c>
      <c r="G375" s="75">
        <f ca="1">IF(controls!$B$44=0,I375-'main page'!$K$27*M374,I375-'main page'!$K$27*M374+'main page'!$K$31*'normal case'!AB374)</f>
        <v>100</v>
      </c>
      <c r="H375" s="75">
        <f t="shared" ca="1" si="40"/>
        <v>108</v>
      </c>
      <c r="I375" s="75">
        <f t="shared" ca="1" si="41"/>
        <v>108</v>
      </c>
      <c r="L375" s="75">
        <f ca="1">IF(ABS('main page'!$K$29*L374+(1-'main page'!$K$29)*(controls!$B$9/100)*100+'main page'!$K$25*(D375-B375)-L374)&lt;0.0000001,L374,'main page'!$K$29*L374+(1-'main page'!$K$29)*(controls!$B$9/100)*100+'main page'!$K$25*(D375-B375))</f>
        <v>2</v>
      </c>
      <c r="M375" s="96">
        <f ca="1">IF(controls!$B$10=1,M374,IF(SUM(controls!$B$44:$B$46)=2,N375-'main page'!$K$29*'normal case'!L375-(1-'main page'!$K$29)*'main page'!$K$32,N375-'main page'!$K$29*'normal case'!L375-(1-'main page'!$K$29)*controls!$B$9))</f>
        <v>4</v>
      </c>
      <c r="N375" s="208">
        <f ca="1">IF(controls!$B$45=1,IF(controls!$B$46=1,'main page'!$K$24+'main page'!$K$11+'main page'!$U$8,'main page'!$K$24+'main page'!$K$11+'main page'!$K$32),IF(controls!$B$44=1,IF(O375&lt;0,0,O375),IF(O375+'main page'!$K$11&lt;0,0,O375+'main page'!$K$11)))</f>
        <v>6</v>
      </c>
      <c r="O375" s="76">
        <f ca="1">IF(controls!$B$10=1,'normal case'!M375+'normal case'!L375,'normal case'!P375)</f>
        <v>6</v>
      </c>
      <c r="P375" s="74">
        <f t="shared" ca="1" si="36"/>
        <v>6</v>
      </c>
      <c r="Q375" s="210">
        <f ca="1">IF(controls!$B$44=0,R375+'main page'!$K$29*L375+(1-'main page'!$K$29)*controls!$B$9+(('main page'!$K$25*'main page'!$U$13*'main page'!$K$29)/('main page'!$K$27*(1+('main page'!$K$25^2)*'main page'!$U$13)))*(L375-controls!$B$9),R375+'main page'!$K$29*L375+(1-'main page'!$K$29)*controls!$B$9+(('main page'!$K$25*'main page'!$U$13*'normal case'!$AO$3)/'normal case'!$AO$4)*('normal case'!L375-controls!$B$9))</f>
        <v>6</v>
      </c>
      <c r="R375" s="98">
        <f ca="1">IF(controls!$B$44=1,'main page'!$K$24+'main page'!$K$11,IF(controls!$B$33=1,((I376-D375*W376-B376+B375*V376)/'main page'!$K$27)-'main page'!$K$11,((H376-D375*W376-B376+B375*V376)/'main page'!$K$27)-'main page'!$K$11))</f>
        <v>4</v>
      </c>
      <c r="T375" s="71">
        <f>IF(controls!$B$6=1,$AL$3*(1+('main page'!$K$35/100))^U375-$AL$3*(1+('main page'!$K$35/100))^U374,$AL$3*(1+('main page'!$G$8/100))*(1+('main page'!$K$35/100))^U375-$AL$3*(1+('main page'!$G$8/100))*(1+('main page'!$K$35/100))^U374)</f>
        <v>0</v>
      </c>
      <c r="U375" s="73">
        <v>368</v>
      </c>
      <c r="V375" s="161">
        <v>0</v>
      </c>
      <c r="W375" s="40">
        <v>0</v>
      </c>
      <c r="X375" s="49">
        <f ca="1">IF(controls!$B$33=1,D375-($I$3-'main page'!$K$27*2)*(1+('main page'!$K$35/100))^A374,D375-$AL$4)</f>
        <v>0</v>
      </c>
      <c r="Y375" s="49">
        <f ca="1">ABS(L375-(controls!$B$9/100)*100)</f>
        <v>0</v>
      </c>
      <c r="AA375" s="49" t="e">
        <f ca="1">IF(controls!$B$33=1,(B376-B375*V376-I376+D375*W376+'main page'!$K$27*('main page'!$K$24+'main page'!$K$11))/'main page'!$K$31,(B376-B375*V376+D375*W376-H376+'main page'!$K$27*('main page'!$K$24+'main page'!$K$11))/'main page'!$K$31)</f>
        <v>#DIV/0!</v>
      </c>
      <c r="AB375" s="49" t="e">
        <f ca="1">IF(controls!$B$45=1,LOG(AF375,1.01)+LOG(AE375,1.01)-LOG(AD375,1.01),-((M375-('main page'!$K$24+'main page'!$K$11))/(1-'normal case'!$AO$3))+'normal case'!AA375)</f>
        <v>#DIV/0!</v>
      </c>
      <c r="AC375" s="176" t="e">
        <f t="shared" ca="1" si="37"/>
        <v>#DIV/0!</v>
      </c>
      <c r="AD375" s="49">
        <f t="shared" ca="1" si="38"/>
        <v>1582.2091634827075</v>
      </c>
      <c r="AE375" s="49">
        <f>AE374*(1+'main page'!$K$32/100)</f>
        <v>1</v>
      </c>
      <c r="AF375" s="49" t="e">
        <f ca="1">IF(ABS(IF(controls!$B$45=1,$AL$13,AD375*AC375/AE375)-AF374)&lt;0.00001,AF374,IF(controls!$B$45=1,$AL$13,AD375*AC375/AE375))</f>
        <v>#DIV/0!</v>
      </c>
      <c r="AG375" s="49">
        <f>IF(controls!$B$46=0,0,IF(controls!$B$33=2,B376-B375*V376-('normal case'!H376-D375*W376-'main page'!$K$27*'normal case'!M375+'main page'!$K$31*'normal case'!AB375)-(('main page'!$K$25*'main page'!$U$13*'main page'!$K$29)/(1+('main page'!$K$25^2)*'main page'!$U$13))*('normal case'!L375-'main page'!$U$8),B376-B375*V376-('normal case'!I376-D375*W376-'main page'!$K$27*'normal case'!M375+'main page'!$K$31*'normal case'!AB375)-(('main page'!$K$25*'main page'!$U$13*'main page'!$K$29)/(1+('main page'!$K$25^2)*'main page'!$U$13))*('normal case'!L375-'main page'!$U$8)))</f>
        <v>0</v>
      </c>
      <c r="AN375" s="40"/>
      <c r="AO375" s="40"/>
    </row>
    <row r="376" spans="1:41">
      <c r="A376" s="48">
        <v>374</v>
      </c>
      <c r="B376" s="75">
        <f ca="1">IF(controls!$B$33=1,B375*(1+V376)+T376,B375*(1+V376))</f>
        <v>100</v>
      </c>
      <c r="C376" s="80">
        <f t="shared" ca="1" si="39"/>
        <v>0</v>
      </c>
      <c r="D376" s="77">
        <f t="shared" ca="1" si="35"/>
        <v>100</v>
      </c>
      <c r="E376" s="77">
        <f ca="1">AG375+IF(controls!$B$33=1,G376,F376)</f>
        <v>100</v>
      </c>
      <c r="F376" s="94">
        <f ca="1">IF(controls!$B$44=0,H376-'main page'!$K$27*M375,H376-'main page'!$K$27*M375+'main page'!$K$31*AB375)</f>
        <v>100</v>
      </c>
      <c r="G376" s="75">
        <f ca="1">IF(controls!$B$44=0,I376-'main page'!$K$27*M375,I376-'main page'!$K$27*M375+'main page'!$K$31*'normal case'!AB375)</f>
        <v>100</v>
      </c>
      <c r="H376" s="75">
        <f t="shared" ca="1" si="40"/>
        <v>108</v>
      </c>
      <c r="I376" s="75">
        <f t="shared" ca="1" si="41"/>
        <v>108</v>
      </c>
      <c r="L376" s="75">
        <f ca="1">IF(ABS('main page'!$K$29*L375+(1-'main page'!$K$29)*(controls!$B$9/100)*100+'main page'!$K$25*(D376-B376)-L375)&lt;0.0000001,L375,'main page'!$K$29*L375+(1-'main page'!$K$29)*(controls!$B$9/100)*100+'main page'!$K$25*(D376-B376))</f>
        <v>2</v>
      </c>
      <c r="M376" s="96">
        <f ca="1">IF(controls!$B$10=1,M375,IF(SUM(controls!$B$44:$B$46)=2,N376-'main page'!$K$29*'normal case'!L376-(1-'main page'!$K$29)*'main page'!$K$32,N376-'main page'!$K$29*'normal case'!L376-(1-'main page'!$K$29)*controls!$B$9))</f>
        <v>4</v>
      </c>
      <c r="N376" s="208">
        <f ca="1">IF(controls!$B$45=1,IF(controls!$B$46=1,'main page'!$K$24+'main page'!$K$11+'main page'!$U$8,'main page'!$K$24+'main page'!$K$11+'main page'!$K$32),IF(controls!$B$44=1,IF(O376&lt;0,0,O376),IF(O376+'main page'!$K$11&lt;0,0,O376+'main page'!$K$11)))</f>
        <v>6</v>
      </c>
      <c r="O376" s="76">
        <f ca="1">IF(controls!$B$10=1,'normal case'!M376+'normal case'!L376,'normal case'!P376)</f>
        <v>6</v>
      </c>
      <c r="P376" s="74">
        <f t="shared" ca="1" si="36"/>
        <v>6</v>
      </c>
      <c r="Q376" s="210">
        <f ca="1">IF(controls!$B$44=0,R376+'main page'!$K$29*L376+(1-'main page'!$K$29)*controls!$B$9+(('main page'!$K$25*'main page'!$U$13*'main page'!$K$29)/('main page'!$K$27*(1+('main page'!$K$25^2)*'main page'!$U$13)))*(L376-controls!$B$9),R376+'main page'!$K$29*L376+(1-'main page'!$K$29)*controls!$B$9+(('main page'!$K$25*'main page'!$U$13*'normal case'!$AO$3)/'normal case'!$AO$4)*('normal case'!L376-controls!$B$9))</f>
        <v>6</v>
      </c>
      <c r="R376" s="98">
        <f ca="1">IF(controls!$B$44=1,'main page'!$K$24+'main page'!$K$11,IF(controls!$B$33=1,((I377-D376*W377-B377+B376*V377)/'main page'!$K$27)-'main page'!$K$11,((H377-D376*W377-B377+B376*V377)/'main page'!$K$27)-'main page'!$K$11))</f>
        <v>4</v>
      </c>
      <c r="T376" s="71">
        <f>IF(controls!$B$6=1,$AL$3*(1+('main page'!$K$35/100))^U376-$AL$3*(1+('main page'!$K$35/100))^U375,$AL$3*(1+('main page'!$G$8/100))*(1+('main page'!$K$35/100))^U376-$AL$3*(1+('main page'!$G$8/100))*(1+('main page'!$K$35/100))^U375)</f>
        <v>0</v>
      </c>
      <c r="U376" s="73">
        <v>369</v>
      </c>
      <c r="V376" s="161">
        <v>0</v>
      </c>
      <c r="W376" s="40">
        <v>0</v>
      </c>
      <c r="X376" s="49">
        <f ca="1">IF(controls!$B$33=1,D376-($I$3-'main page'!$K$27*2)*(1+('main page'!$K$35/100))^A375,D376-$AL$4)</f>
        <v>0</v>
      </c>
      <c r="Y376" s="49">
        <f ca="1">ABS(L376-(controls!$B$9/100)*100)</f>
        <v>0</v>
      </c>
      <c r="AA376" s="49" t="e">
        <f ca="1">IF(controls!$B$33=1,(B377-B376*V377-I377+D376*W377+'main page'!$K$27*('main page'!$K$24+'main page'!$K$11))/'main page'!$K$31,(B377-B376*V377+D376*W377-H377+'main page'!$K$27*('main page'!$K$24+'main page'!$K$11))/'main page'!$K$31)</f>
        <v>#DIV/0!</v>
      </c>
      <c r="AB376" s="49" t="e">
        <f ca="1">IF(controls!$B$45=1,LOG(AF376,1.01)+LOG(AE376,1.01)-LOG(AD376,1.01),-((M376-('main page'!$K$24+'main page'!$K$11))/(1-'normal case'!$AO$3))+'normal case'!AA376)</f>
        <v>#DIV/0!</v>
      </c>
      <c r="AC376" s="176" t="e">
        <f t="shared" ca="1" si="37"/>
        <v>#DIV/0!</v>
      </c>
      <c r="AD376" s="49">
        <f t="shared" ca="1" si="38"/>
        <v>1613.8533467523616</v>
      </c>
      <c r="AE376" s="49">
        <f>AE375*(1+'main page'!$K$32/100)</f>
        <v>1</v>
      </c>
      <c r="AF376" s="49" t="e">
        <f ca="1">IF(ABS(IF(controls!$B$45=1,$AL$13,AD376*AC376/AE376)-AF375)&lt;0.00001,AF375,IF(controls!$B$45=1,$AL$13,AD376*AC376/AE376))</f>
        <v>#DIV/0!</v>
      </c>
      <c r="AG376" s="49">
        <f>IF(controls!$B$46=0,0,IF(controls!$B$33=2,B377-B376*V377-('normal case'!H377-D376*W377-'main page'!$K$27*'normal case'!M376+'main page'!$K$31*'normal case'!AB376)-(('main page'!$K$25*'main page'!$U$13*'main page'!$K$29)/(1+('main page'!$K$25^2)*'main page'!$U$13))*('normal case'!L376-'main page'!$U$8),B377-B376*V377-('normal case'!I377-D376*W377-'main page'!$K$27*'normal case'!M376+'main page'!$K$31*'normal case'!AB376)-(('main page'!$K$25*'main page'!$U$13*'main page'!$K$29)/(1+('main page'!$K$25^2)*'main page'!$U$13))*('normal case'!L376-'main page'!$U$8)))</f>
        <v>0</v>
      </c>
      <c r="AN376" s="40"/>
      <c r="AO376" s="40"/>
    </row>
    <row r="377" spans="1:41">
      <c r="A377" s="48">
        <v>375</v>
      </c>
      <c r="B377" s="75">
        <f ca="1">IF(controls!$B$33=1,B376*(1+V377)+T377,B376*(1+V377))</f>
        <v>100</v>
      </c>
      <c r="C377" s="80">
        <f t="shared" ca="1" si="39"/>
        <v>0</v>
      </c>
      <c r="D377" s="77">
        <f t="shared" ca="1" si="35"/>
        <v>100</v>
      </c>
      <c r="E377" s="77">
        <f ca="1">AG376+IF(controls!$B$33=1,G377,F377)</f>
        <v>100</v>
      </c>
      <c r="F377" s="94">
        <f ca="1">IF(controls!$B$44=0,H377-'main page'!$K$27*M376,H377-'main page'!$K$27*M376+'main page'!$K$31*AB376)</f>
        <v>100</v>
      </c>
      <c r="G377" s="75">
        <f ca="1">IF(controls!$B$44=0,I377-'main page'!$K$27*M376,I377-'main page'!$K$27*M376+'main page'!$K$31*'normal case'!AB376)</f>
        <v>100</v>
      </c>
      <c r="H377" s="75">
        <f t="shared" ca="1" si="40"/>
        <v>108</v>
      </c>
      <c r="I377" s="75">
        <f t="shared" ca="1" si="41"/>
        <v>108</v>
      </c>
      <c r="L377" s="75">
        <f ca="1">IF(ABS('main page'!$K$29*L376+(1-'main page'!$K$29)*(controls!$B$9/100)*100+'main page'!$K$25*(D377-B377)-L376)&lt;0.0000001,L376,'main page'!$K$29*L376+(1-'main page'!$K$29)*(controls!$B$9/100)*100+'main page'!$K$25*(D377-B377))</f>
        <v>2</v>
      </c>
      <c r="M377" s="96">
        <f ca="1">IF(controls!$B$10=1,M376,IF(SUM(controls!$B$44:$B$46)=2,N377-'main page'!$K$29*'normal case'!L377-(1-'main page'!$K$29)*'main page'!$K$32,N377-'main page'!$K$29*'normal case'!L377-(1-'main page'!$K$29)*controls!$B$9))</f>
        <v>4</v>
      </c>
      <c r="N377" s="208">
        <f ca="1">IF(controls!$B$45=1,IF(controls!$B$46=1,'main page'!$K$24+'main page'!$K$11+'main page'!$U$8,'main page'!$K$24+'main page'!$K$11+'main page'!$K$32),IF(controls!$B$44=1,IF(O377&lt;0,0,O377),IF(O377+'main page'!$K$11&lt;0,0,O377+'main page'!$K$11)))</f>
        <v>6</v>
      </c>
      <c r="O377" s="76">
        <f ca="1">IF(controls!$B$10=1,'normal case'!M377+'normal case'!L377,'normal case'!P377)</f>
        <v>6</v>
      </c>
      <c r="P377" s="74">
        <f t="shared" ca="1" si="36"/>
        <v>6</v>
      </c>
      <c r="Q377" s="210">
        <f ca="1">IF(controls!$B$44=0,R377+'main page'!$K$29*L377+(1-'main page'!$K$29)*controls!$B$9+(('main page'!$K$25*'main page'!$U$13*'main page'!$K$29)/('main page'!$K$27*(1+('main page'!$K$25^2)*'main page'!$U$13)))*(L377-controls!$B$9),R377+'main page'!$K$29*L377+(1-'main page'!$K$29)*controls!$B$9+(('main page'!$K$25*'main page'!$U$13*'normal case'!$AO$3)/'normal case'!$AO$4)*('normal case'!L377-controls!$B$9))</f>
        <v>6</v>
      </c>
      <c r="R377" s="98">
        <f ca="1">IF(controls!$B$44=1,'main page'!$K$24+'main page'!$K$11,IF(controls!$B$33=1,((I378-D377*W378-B378+B377*V378)/'main page'!$K$27)-'main page'!$K$11,((H378-D377*W378-B378+B377*V378)/'main page'!$K$27)-'main page'!$K$11))</f>
        <v>4</v>
      </c>
      <c r="T377" s="71">
        <f>IF(controls!$B$6=1,$AL$3*(1+('main page'!$K$35/100))^U377-$AL$3*(1+('main page'!$K$35/100))^U376,$AL$3*(1+('main page'!$G$8/100))*(1+('main page'!$K$35/100))^U377-$AL$3*(1+('main page'!$G$8/100))*(1+('main page'!$K$35/100))^U376)</f>
        <v>0</v>
      </c>
      <c r="U377" s="73">
        <v>370</v>
      </c>
      <c r="V377" s="161">
        <f ca="1">IF(controls!$B$4=1,IF(controls!$H376=1,controls!$B$34*V376+RAND()*('main page'!$K$16/100)-RAND()*('main page'!$K$16/100),0),0)</f>
        <v>0</v>
      </c>
      <c r="W377" s="40">
        <f ca="1">IF(controls!$B$4=1,IF(controls!$I376=1,controls!$B$34*W376+RAND()*('main page'!$K$16/100)-RAND()*('main page'!$K$16/100),0),0)</f>
        <v>0</v>
      </c>
      <c r="X377" s="49">
        <f ca="1">IF(controls!$B$33=1,D377-($I$3-'main page'!$K$27*2)*(1+('main page'!$K$35/100))^A376,D377-$AL$4)</f>
        <v>0</v>
      </c>
      <c r="Y377" s="49">
        <f ca="1">ABS(L377-(controls!$B$9/100)*100)</f>
        <v>0</v>
      </c>
      <c r="AA377" s="49" t="e">
        <f ca="1">IF(controls!$B$33=1,(B378-B377*V378-I378+D377*W378+'main page'!$K$27*('main page'!$K$24+'main page'!$K$11))/'main page'!$K$31,(B378-B377*V378+D377*W378-H378+'main page'!$K$27*('main page'!$K$24+'main page'!$K$11))/'main page'!$K$31)</f>
        <v>#DIV/0!</v>
      </c>
      <c r="AB377" s="49" t="e">
        <f ca="1">IF(controls!$B$45=1,LOG(AF377,1.01)+LOG(AE377,1.01)-LOG(AD377,1.01),-((M377-('main page'!$K$24+'main page'!$K$11))/(1-'normal case'!$AO$3))+'normal case'!AA377)</f>
        <v>#DIV/0!</v>
      </c>
      <c r="AC377" s="176" t="e">
        <f t="shared" ca="1" si="37"/>
        <v>#DIV/0!</v>
      </c>
      <c r="AD377" s="49">
        <f t="shared" ca="1" si="38"/>
        <v>1646.1304136874089</v>
      </c>
      <c r="AE377" s="49">
        <f>AE376*(1+'main page'!$K$32/100)</f>
        <v>1</v>
      </c>
      <c r="AF377" s="49" t="e">
        <f ca="1">IF(ABS(IF(controls!$B$45=1,$AL$13,AD377*AC377/AE377)-AF376)&lt;0.00001,AF376,IF(controls!$B$45=1,$AL$13,AD377*AC377/AE377))</f>
        <v>#DIV/0!</v>
      </c>
      <c r="AG377" s="49">
        <f>IF(controls!$B$46=0,0,IF(controls!$B$33=2,B378-B377*V378-('normal case'!H378-D377*W378-'main page'!$K$27*'normal case'!M377+'main page'!$K$31*'normal case'!AB377)-(('main page'!$K$25*'main page'!$U$13*'main page'!$K$29)/(1+('main page'!$K$25^2)*'main page'!$U$13))*('normal case'!L377-'main page'!$U$8),B378-B377*V378-('normal case'!I378-D377*W378-'main page'!$K$27*'normal case'!M377+'main page'!$K$31*'normal case'!AB377)-(('main page'!$K$25*'main page'!$U$13*'main page'!$K$29)/(1+('main page'!$K$25^2)*'main page'!$U$13))*('normal case'!L377-'main page'!$U$8)))</f>
        <v>0</v>
      </c>
      <c r="AN377" s="40"/>
      <c r="AO377" s="40"/>
    </row>
    <row r="378" spans="1:41">
      <c r="A378" s="48">
        <v>376</v>
      </c>
      <c r="B378" s="75">
        <f ca="1">IF(controls!$B$33=1,B377*(1+V378)+T378,B377*(1+V378))</f>
        <v>100</v>
      </c>
      <c r="C378" s="80">
        <f t="shared" ca="1" si="39"/>
        <v>0</v>
      </c>
      <c r="D378" s="77">
        <f t="shared" ca="1" si="35"/>
        <v>100</v>
      </c>
      <c r="E378" s="77">
        <f ca="1">AG377+IF(controls!$B$33=1,G378,F378)</f>
        <v>100</v>
      </c>
      <c r="F378" s="94">
        <f ca="1">IF(controls!$B$44=0,H378-'main page'!$K$27*M377,H378-'main page'!$K$27*M377+'main page'!$K$31*AB377)</f>
        <v>100</v>
      </c>
      <c r="G378" s="75">
        <f ca="1">IF(controls!$B$44=0,I378-'main page'!$K$27*M377,I378-'main page'!$K$27*M377+'main page'!$K$31*'normal case'!AB377)</f>
        <v>100</v>
      </c>
      <c r="H378" s="75">
        <f t="shared" ca="1" si="40"/>
        <v>108</v>
      </c>
      <c r="I378" s="75">
        <f t="shared" ca="1" si="41"/>
        <v>108</v>
      </c>
      <c r="L378" s="75">
        <f ca="1">IF(ABS('main page'!$K$29*L377+(1-'main page'!$K$29)*(controls!$B$9/100)*100+'main page'!$K$25*(D378-B378)-L377)&lt;0.0000001,L377,'main page'!$K$29*L377+(1-'main page'!$K$29)*(controls!$B$9/100)*100+'main page'!$K$25*(D378-B378))</f>
        <v>2</v>
      </c>
      <c r="M378" s="96">
        <f ca="1">IF(controls!$B$10=1,M377,IF(SUM(controls!$B$44:$B$46)=2,N378-'main page'!$K$29*'normal case'!L378-(1-'main page'!$K$29)*'main page'!$K$32,N378-'main page'!$K$29*'normal case'!L378-(1-'main page'!$K$29)*controls!$B$9))</f>
        <v>4</v>
      </c>
      <c r="N378" s="208">
        <f ca="1">IF(controls!$B$45=1,IF(controls!$B$46=1,'main page'!$K$24+'main page'!$K$11+'main page'!$U$8,'main page'!$K$24+'main page'!$K$11+'main page'!$K$32),IF(controls!$B$44=1,IF(O378&lt;0,0,O378),IF(O378+'main page'!$K$11&lt;0,0,O378+'main page'!$K$11)))</f>
        <v>6</v>
      </c>
      <c r="O378" s="76">
        <f ca="1">IF(controls!$B$10=1,'normal case'!M378+'normal case'!L378,'normal case'!P378)</f>
        <v>6</v>
      </c>
      <c r="P378" s="74">
        <f t="shared" ca="1" si="36"/>
        <v>6</v>
      </c>
      <c r="Q378" s="210">
        <f ca="1">IF(controls!$B$44=0,R378+'main page'!$K$29*L378+(1-'main page'!$K$29)*controls!$B$9+(('main page'!$K$25*'main page'!$U$13*'main page'!$K$29)/('main page'!$K$27*(1+('main page'!$K$25^2)*'main page'!$U$13)))*(L378-controls!$B$9),R378+'main page'!$K$29*L378+(1-'main page'!$K$29)*controls!$B$9+(('main page'!$K$25*'main page'!$U$13*'normal case'!$AO$3)/'normal case'!$AO$4)*('normal case'!L378-controls!$B$9))</f>
        <v>6</v>
      </c>
      <c r="R378" s="98">
        <f ca="1">IF(controls!$B$44=1,'main page'!$K$24+'main page'!$K$11,IF(controls!$B$33=1,((I379-D378*W379-B379+B378*V379)/'main page'!$K$27)-'main page'!$K$11,((H379-D378*W379-B379+B378*V379)/'main page'!$K$27)-'main page'!$K$11))</f>
        <v>4</v>
      </c>
      <c r="T378" s="71">
        <f>IF(controls!$B$6=1,$AL$3*(1+('main page'!$K$35/100))^U378-$AL$3*(1+('main page'!$K$35/100))^U377,$AL$3*(1+('main page'!$G$8/100))*(1+('main page'!$K$35/100))^U378-$AL$3*(1+('main page'!$G$8/100))*(1+('main page'!$K$35/100))^U377)</f>
        <v>0</v>
      </c>
      <c r="U378" s="73">
        <v>371</v>
      </c>
      <c r="V378" s="161">
        <v>0</v>
      </c>
      <c r="W378" s="40">
        <v>0</v>
      </c>
      <c r="X378" s="49">
        <f ca="1">IF(controls!$B$33=1,D378-($I$3-'main page'!$K$27*2)*(1+('main page'!$K$35/100))^A377,D378-$AL$4)</f>
        <v>0</v>
      </c>
      <c r="Y378" s="49">
        <f ca="1">ABS(L378-(controls!$B$9/100)*100)</f>
        <v>0</v>
      </c>
      <c r="AA378" s="49" t="e">
        <f ca="1">IF(controls!$B$33=1,(B379-B378*V379-I379+D378*W379+'main page'!$K$27*('main page'!$K$24+'main page'!$K$11))/'main page'!$K$31,(B379-B378*V379+D378*W379-H379+'main page'!$K$27*('main page'!$K$24+'main page'!$K$11))/'main page'!$K$31)</f>
        <v>#DIV/0!</v>
      </c>
      <c r="AB378" s="49" t="e">
        <f ca="1">IF(controls!$B$45=1,LOG(AF378,1.01)+LOG(AE378,1.01)-LOG(AD378,1.01),-((M378-('main page'!$K$24+'main page'!$K$11))/(1-'normal case'!$AO$3))+'normal case'!AA378)</f>
        <v>#DIV/0!</v>
      </c>
      <c r="AC378" s="176" t="e">
        <f t="shared" ca="1" si="37"/>
        <v>#DIV/0!</v>
      </c>
      <c r="AD378" s="49">
        <f t="shared" ca="1" si="38"/>
        <v>1679.0530219611571</v>
      </c>
      <c r="AE378" s="49">
        <f>AE377*(1+'main page'!$K$32/100)</f>
        <v>1</v>
      </c>
      <c r="AF378" s="49" t="e">
        <f ca="1">IF(ABS(IF(controls!$B$45=1,$AL$13,AD378*AC378/AE378)-AF377)&lt;0.00001,AF377,IF(controls!$B$45=1,$AL$13,AD378*AC378/AE378))</f>
        <v>#DIV/0!</v>
      </c>
      <c r="AG378" s="49">
        <f>IF(controls!$B$46=0,0,IF(controls!$B$33=2,B379-B378*V379-('normal case'!H379-D378*W379-'main page'!$K$27*'normal case'!M378+'main page'!$K$31*'normal case'!AB378)-(('main page'!$K$25*'main page'!$U$13*'main page'!$K$29)/(1+('main page'!$K$25^2)*'main page'!$U$13))*('normal case'!L378-'main page'!$U$8),B379-B378*V379-('normal case'!I379-D378*W379-'main page'!$K$27*'normal case'!M378+'main page'!$K$31*'normal case'!AB378)-(('main page'!$K$25*'main page'!$U$13*'main page'!$K$29)/(1+('main page'!$K$25^2)*'main page'!$U$13))*('normal case'!L378-'main page'!$U$8)))</f>
        <v>0</v>
      </c>
      <c r="AN378" s="40"/>
      <c r="AO378" s="40"/>
    </row>
    <row r="379" spans="1:41">
      <c r="A379" s="48">
        <v>377</v>
      </c>
      <c r="B379" s="75">
        <f ca="1">IF(controls!$B$33=1,B378*(1+V379)+T379,B378*(1+V379))</f>
        <v>100</v>
      </c>
      <c r="C379" s="80">
        <f t="shared" ca="1" si="39"/>
        <v>0</v>
      </c>
      <c r="D379" s="77">
        <f t="shared" ca="1" si="35"/>
        <v>100</v>
      </c>
      <c r="E379" s="77">
        <f ca="1">AG378+IF(controls!$B$33=1,G379,F379)</f>
        <v>100</v>
      </c>
      <c r="F379" s="94">
        <f ca="1">IF(controls!$B$44=0,H379-'main page'!$K$27*M378,H379-'main page'!$K$27*M378+'main page'!$K$31*AB378)</f>
        <v>100</v>
      </c>
      <c r="G379" s="75">
        <f ca="1">IF(controls!$B$44=0,I379-'main page'!$K$27*M378,I379-'main page'!$K$27*M378+'main page'!$K$31*'normal case'!AB378)</f>
        <v>100</v>
      </c>
      <c r="H379" s="75">
        <f t="shared" ca="1" si="40"/>
        <v>108</v>
      </c>
      <c r="I379" s="75">
        <f t="shared" ca="1" si="41"/>
        <v>108</v>
      </c>
      <c r="L379" s="75">
        <f ca="1">IF(ABS('main page'!$K$29*L378+(1-'main page'!$K$29)*(controls!$B$9/100)*100+'main page'!$K$25*(D379-B379)-L378)&lt;0.0000001,L378,'main page'!$K$29*L378+(1-'main page'!$K$29)*(controls!$B$9/100)*100+'main page'!$K$25*(D379-B379))</f>
        <v>2</v>
      </c>
      <c r="M379" s="96">
        <f ca="1">IF(controls!$B$10=1,M378,IF(SUM(controls!$B$44:$B$46)=2,N379-'main page'!$K$29*'normal case'!L379-(1-'main page'!$K$29)*'main page'!$K$32,N379-'main page'!$K$29*'normal case'!L379-(1-'main page'!$K$29)*controls!$B$9))</f>
        <v>4</v>
      </c>
      <c r="N379" s="208">
        <f ca="1">IF(controls!$B$45=1,IF(controls!$B$46=1,'main page'!$K$24+'main page'!$K$11+'main page'!$U$8,'main page'!$K$24+'main page'!$K$11+'main page'!$K$32),IF(controls!$B$44=1,IF(O379&lt;0,0,O379),IF(O379+'main page'!$K$11&lt;0,0,O379+'main page'!$K$11)))</f>
        <v>6</v>
      </c>
      <c r="O379" s="76">
        <f ca="1">IF(controls!$B$10=1,'normal case'!M379+'normal case'!L379,'normal case'!P379)</f>
        <v>6</v>
      </c>
      <c r="P379" s="74">
        <f t="shared" ca="1" si="36"/>
        <v>6</v>
      </c>
      <c r="Q379" s="210">
        <f ca="1">IF(controls!$B$44=0,R379+'main page'!$K$29*L379+(1-'main page'!$K$29)*controls!$B$9+(('main page'!$K$25*'main page'!$U$13*'main page'!$K$29)/('main page'!$K$27*(1+('main page'!$K$25^2)*'main page'!$U$13)))*(L379-controls!$B$9),R379+'main page'!$K$29*L379+(1-'main page'!$K$29)*controls!$B$9+(('main page'!$K$25*'main page'!$U$13*'normal case'!$AO$3)/'normal case'!$AO$4)*('normal case'!L379-controls!$B$9))</f>
        <v>6</v>
      </c>
      <c r="R379" s="98">
        <f ca="1">IF(controls!$B$44=1,'main page'!$K$24+'main page'!$K$11,IF(controls!$B$33=1,((I380-D379*W380-B380+B379*V380)/'main page'!$K$27)-'main page'!$K$11,((H380-D379*W380-B380+B379*V380)/'main page'!$K$27)-'main page'!$K$11))</f>
        <v>4</v>
      </c>
      <c r="T379" s="71">
        <f>IF(controls!$B$6=1,$AL$3*(1+('main page'!$K$35/100))^U379-$AL$3*(1+('main page'!$K$35/100))^U378,$AL$3*(1+('main page'!$G$8/100))*(1+('main page'!$K$35/100))^U379-$AL$3*(1+('main page'!$G$8/100))*(1+('main page'!$K$35/100))^U378)</f>
        <v>0</v>
      </c>
      <c r="U379" s="73">
        <v>372</v>
      </c>
      <c r="V379" s="161">
        <v>0</v>
      </c>
      <c r="W379" s="40">
        <v>0</v>
      </c>
      <c r="X379" s="49">
        <f ca="1">IF(controls!$B$33=1,D379-($I$3-'main page'!$K$27*2)*(1+('main page'!$K$35/100))^A378,D379-$AL$4)</f>
        <v>0</v>
      </c>
      <c r="Y379" s="49">
        <f ca="1">ABS(L379-(controls!$B$9/100)*100)</f>
        <v>0</v>
      </c>
      <c r="AA379" s="49" t="e">
        <f ca="1">IF(controls!$B$33=1,(B380-B379*V380-I380+D379*W380+'main page'!$K$27*('main page'!$K$24+'main page'!$K$11))/'main page'!$K$31,(B380-B379*V380+D379*W380-H380+'main page'!$K$27*('main page'!$K$24+'main page'!$K$11))/'main page'!$K$31)</f>
        <v>#DIV/0!</v>
      </c>
      <c r="AB379" s="49" t="e">
        <f ca="1">IF(controls!$B$45=1,LOG(AF379,1.01)+LOG(AE379,1.01)-LOG(AD379,1.01),-((M379-('main page'!$K$24+'main page'!$K$11))/(1-'normal case'!$AO$3))+'normal case'!AA379)</f>
        <v>#DIV/0!</v>
      </c>
      <c r="AC379" s="176" t="e">
        <f t="shared" ca="1" si="37"/>
        <v>#DIV/0!</v>
      </c>
      <c r="AD379" s="49">
        <f t="shared" ca="1" si="38"/>
        <v>1712.6340824003803</v>
      </c>
      <c r="AE379" s="49">
        <f>AE378*(1+'main page'!$K$32/100)</f>
        <v>1</v>
      </c>
      <c r="AF379" s="49" t="e">
        <f ca="1">IF(ABS(IF(controls!$B$45=1,$AL$13,AD379*AC379/AE379)-AF378)&lt;0.00001,AF378,IF(controls!$B$45=1,$AL$13,AD379*AC379/AE379))</f>
        <v>#DIV/0!</v>
      </c>
      <c r="AG379" s="49">
        <f>IF(controls!$B$46=0,0,IF(controls!$B$33=2,B380-B379*V380-('normal case'!H380-D379*W380-'main page'!$K$27*'normal case'!M379+'main page'!$K$31*'normal case'!AB379)-(('main page'!$K$25*'main page'!$U$13*'main page'!$K$29)/(1+('main page'!$K$25^2)*'main page'!$U$13))*('normal case'!L379-'main page'!$U$8),B380-B379*V380-('normal case'!I380-D379*W380-'main page'!$K$27*'normal case'!M379+'main page'!$K$31*'normal case'!AB379)-(('main page'!$K$25*'main page'!$U$13*'main page'!$K$29)/(1+('main page'!$K$25^2)*'main page'!$U$13))*('normal case'!L379-'main page'!$U$8)))</f>
        <v>0</v>
      </c>
      <c r="AN379" s="40"/>
      <c r="AO379" s="40"/>
    </row>
    <row r="380" spans="1:41">
      <c r="A380" s="48">
        <v>378</v>
      </c>
      <c r="B380" s="75">
        <f ca="1">IF(controls!$B$33=1,B379*(1+V380)+T380,B379*(1+V380))</f>
        <v>100</v>
      </c>
      <c r="C380" s="80">
        <f t="shared" ca="1" si="39"/>
        <v>0</v>
      </c>
      <c r="D380" s="77">
        <f t="shared" ca="1" si="35"/>
        <v>100</v>
      </c>
      <c r="E380" s="77">
        <f ca="1">AG379+IF(controls!$B$33=1,G380,F380)</f>
        <v>100</v>
      </c>
      <c r="F380" s="94">
        <f ca="1">IF(controls!$B$44=0,H380-'main page'!$K$27*M379,H380-'main page'!$K$27*M379+'main page'!$K$31*AB379)</f>
        <v>100</v>
      </c>
      <c r="G380" s="75">
        <f ca="1">IF(controls!$B$44=0,I380-'main page'!$K$27*M379,I380-'main page'!$K$27*M379+'main page'!$K$31*'normal case'!AB379)</f>
        <v>100</v>
      </c>
      <c r="H380" s="75">
        <f t="shared" ca="1" si="40"/>
        <v>108</v>
      </c>
      <c r="I380" s="75">
        <f t="shared" ca="1" si="41"/>
        <v>108</v>
      </c>
      <c r="L380" s="75">
        <f ca="1">IF(ABS('main page'!$K$29*L379+(1-'main page'!$K$29)*(controls!$B$9/100)*100+'main page'!$K$25*(D380-B380)-L379)&lt;0.0000001,L379,'main page'!$K$29*L379+(1-'main page'!$K$29)*(controls!$B$9/100)*100+'main page'!$K$25*(D380-B380))</f>
        <v>2</v>
      </c>
      <c r="M380" s="96">
        <f ca="1">IF(controls!$B$10=1,M379,IF(SUM(controls!$B$44:$B$46)=2,N380-'main page'!$K$29*'normal case'!L380-(1-'main page'!$K$29)*'main page'!$K$32,N380-'main page'!$K$29*'normal case'!L380-(1-'main page'!$K$29)*controls!$B$9))</f>
        <v>4</v>
      </c>
      <c r="N380" s="208">
        <f ca="1">IF(controls!$B$45=1,IF(controls!$B$46=1,'main page'!$K$24+'main page'!$K$11+'main page'!$U$8,'main page'!$K$24+'main page'!$K$11+'main page'!$K$32),IF(controls!$B$44=1,IF(O380&lt;0,0,O380),IF(O380+'main page'!$K$11&lt;0,0,O380+'main page'!$K$11)))</f>
        <v>6</v>
      </c>
      <c r="O380" s="76">
        <f ca="1">IF(controls!$B$10=1,'normal case'!M380+'normal case'!L380,'normal case'!P380)</f>
        <v>6</v>
      </c>
      <c r="P380" s="74">
        <f t="shared" ca="1" si="36"/>
        <v>6</v>
      </c>
      <c r="Q380" s="210">
        <f ca="1">IF(controls!$B$44=0,R380+'main page'!$K$29*L380+(1-'main page'!$K$29)*controls!$B$9+(('main page'!$K$25*'main page'!$U$13*'main page'!$K$29)/('main page'!$K$27*(1+('main page'!$K$25^2)*'main page'!$U$13)))*(L380-controls!$B$9),R380+'main page'!$K$29*L380+(1-'main page'!$K$29)*controls!$B$9+(('main page'!$K$25*'main page'!$U$13*'normal case'!$AO$3)/'normal case'!$AO$4)*('normal case'!L380-controls!$B$9))</f>
        <v>6</v>
      </c>
      <c r="R380" s="98">
        <f ca="1">IF(controls!$B$44=1,'main page'!$K$24+'main page'!$K$11,IF(controls!$B$33=1,((I381-D380*W381-B381+B380*V381)/'main page'!$K$27)-'main page'!$K$11,((H381-D380*W381-B381+B380*V381)/'main page'!$K$27)-'main page'!$K$11))</f>
        <v>4</v>
      </c>
      <c r="T380" s="71">
        <f>IF(controls!$B$6=1,$AL$3*(1+('main page'!$K$35/100))^U380-$AL$3*(1+('main page'!$K$35/100))^U379,$AL$3*(1+('main page'!$G$8/100))*(1+('main page'!$K$35/100))^U380-$AL$3*(1+('main page'!$G$8/100))*(1+('main page'!$K$35/100))^U379)</f>
        <v>0</v>
      </c>
      <c r="U380" s="73">
        <v>373</v>
      </c>
      <c r="V380" s="161">
        <f ca="1">IF(controls!$B$4=1,IF(controls!$H379=1,controls!$B$34*V379+RAND()*('main page'!$K$16/100)-RAND()*('main page'!$K$16/100),0),0)</f>
        <v>0</v>
      </c>
      <c r="W380" s="40">
        <f ca="1">IF(controls!$B$4=1,IF(controls!$I379=1,controls!$B$34*W379+RAND()*('main page'!$K$16/100)-RAND()*('main page'!$K$16/100),0),0)</f>
        <v>0</v>
      </c>
      <c r="X380" s="49">
        <f ca="1">IF(controls!$B$33=1,D380-($I$3-'main page'!$K$27*2)*(1+('main page'!$K$35/100))^A379,D380-$AL$4)</f>
        <v>0</v>
      </c>
      <c r="Y380" s="49">
        <f ca="1">ABS(L380-(controls!$B$9/100)*100)</f>
        <v>0</v>
      </c>
      <c r="AA380" s="49" t="e">
        <f ca="1">IF(controls!$B$33=1,(B381-B380*V381-I381+D380*W381+'main page'!$K$27*('main page'!$K$24+'main page'!$K$11))/'main page'!$K$31,(B381-B380*V381+D380*W381-H381+'main page'!$K$27*('main page'!$K$24+'main page'!$K$11))/'main page'!$K$31)</f>
        <v>#DIV/0!</v>
      </c>
      <c r="AB380" s="49" t="e">
        <f ca="1">IF(controls!$B$45=1,LOG(AF380,1.01)+LOG(AE380,1.01)-LOG(AD380,1.01),-((M380-('main page'!$K$24+'main page'!$K$11))/(1-'normal case'!$AO$3))+'normal case'!AA380)</f>
        <v>#DIV/0!</v>
      </c>
      <c r="AC380" s="176" t="e">
        <f t="shared" ca="1" si="37"/>
        <v>#DIV/0!</v>
      </c>
      <c r="AD380" s="49">
        <f t="shared" ca="1" si="38"/>
        <v>1746.8867640483879</v>
      </c>
      <c r="AE380" s="49">
        <f>AE379*(1+'main page'!$K$32/100)</f>
        <v>1</v>
      </c>
      <c r="AF380" s="49" t="e">
        <f ca="1">IF(ABS(IF(controls!$B$45=1,$AL$13,AD380*AC380/AE380)-AF379)&lt;0.00001,AF379,IF(controls!$B$45=1,$AL$13,AD380*AC380/AE380))</f>
        <v>#DIV/0!</v>
      </c>
      <c r="AG380" s="49">
        <f>IF(controls!$B$46=0,0,IF(controls!$B$33=2,B381-B380*V381-('normal case'!H381-D380*W381-'main page'!$K$27*'normal case'!M380+'main page'!$K$31*'normal case'!AB380)-(('main page'!$K$25*'main page'!$U$13*'main page'!$K$29)/(1+('main page'!$K$25^2)*'main page'!$U$13))*('normal case'!L380-'main page'!$U$8),B381-B380*V381-('normal case'!I381-D380*W381-'main page'!$K$27*'normal case'!M380+'main page'!$K$31*'normal case'!AB380)-(('main page'!$K$25*'main page'!$U$13*'main page'!$K$29)/(1+('main page'!$K$25^2)*'main page'!$U$13))*('normal case'!L380-'main page'!$U$8)))</f>
        <v>0</v>
      </c>
      <c r="AN380" s="40"/>
      <c r="AO380" s="40"/>
    </row>
    <row r="381" spans="1:41">
      <c r="A381" s="48">
        <v>379</v>
      </c>
      <c r="B381" s="75">
        <f ca="1">IF(controls!$B$33=1,B380*(1+V381)+T381,B380*(1+V381))</f>
        <v>100</v>
      </c>
      <c r="C381" s="80">
        <f t="shared" ca="1" si="39"/>
        <v>0</v>
      </c>
      <c r="D381" s="77">
        <f t="shared" ca="1" si="35"/>
        <v>100</v>
      </c>
      <c r="E381" s="77">
        <f ca="1">AG380+IF(controls!$B$33=1,G381,F381)</f>
        <v>100</v>
      </c>
      <c r="F381" s="94">
        <f ca="1">IF(controls!$B$44=0,H381-'main page'!$K$27*M380,H381-'main page'!$K$27*M380+'main page'!$K$31*AB380)</f>
        <v>100</v>
      </c>
      <c r="G381" s="75">
        <f ca="1">IF(controls!$B$44=0,I381-'main page'!$K$27*M380,I381-'main page'!$K$27*M380+'main page'!$K$31*'normal case'!AB380)</f>
        <v>100</v>
      </c>
      <c r="H381" s="75">
        <f t="shared" ca="1" si="40"/>
        <v>108</v>
      </c>
      <c r="I381" s="75">
        <f t="shared" ca="1" si="41"/>
        <v>108</v>
      </c>
      <c r="L381" s="75">
        <f ca="1">IF(ABS('main page'!$K$29*L380+(1-'main page'!$K$29)*(controls!$B$9/100)*100+'main page'!$K$25*(D381-B381)-L380)&lt;0.0000001,L380,'main page'!$K$29*L380+(1-'main page'!$K$29)*(controls!$B$9/100)*100+'main page'!$K$25*(D381-B381))</f>
        <v>2</v>
      </c>
      <c r="M381" s="96">
        <f ca="1">IF(controls!$B$10=1,M380,IF(SUM(controls!$B$44:$B$46)=2,N381-'main page'!$K$29*'normal case'!L381-(1-'main page'!$K$29)*'main page'!$K$32,N381-'main page'!$K$29*'normal case'!L381-(1-'main page'!$K$29)*controls!$B$9))</f>
        <v>4</v>
      </c>
      <c r="N381" s="208">
        <f ca="1">IF(controls!$B$45=1,IF(controls!$B$46=1,'main page'!$K$24+'main page'!$K$11+'main page'!$U$8,'main page'!$K$24+'main page'!$K$11+'main page'!$K$32),IF(controls!$B$44=1,IF(O381&lt;0,0,O381),IF(O381+'main page'!$K$11&lt;0,0,O381+'main page'!$K$11)))</f>
        <v>6</v>
      </c>
      <c r="O381" s="76">
        <f ca="1">IF(controls!$B$10=1,'normal case'!M381+'normal case'!L381,'normal case'!P381)</f>
        <v>6</v>
      </c>
      <c r="P381" s="74">
        <f t="shared" ca="1" si="36"/>
        <v>6</v>
      </c>
      <c r="Q381" s="210">
        <f ca="1">IF(controls!$B$44=0,R381+'main page'!$K$29*L381+(1-'main page'!$K$29)*controls!$B$9+(('main page'!$K$25*'main page'!$U$13*'main page'!$K$29)/('main page'!$K$27*(1+('main page'!$K$25^2)*'main page'!$U$13)))*(L381-controls!$B$9),R381+'main page'!$K$29*L381+(1-'main page'!$K$29)*controls!$B$9+(('main page'!$K$25*'main page'!$U$13*'normal case'!$AO$3)/'normal case'!$AO$4)*('normal case'!L381-controls!$B$9))</f>
        <v>6</v>
      </c>
      <c r="R381" s="98">
        <f ca="1">IF(controls!$B$44=1,'main page'!$K$24+'main page'!$K$11,IF(controls!$B$33=1,((I382-D381*W382-B382+B381*V382)/'main page'!$K$27)-'main page'!$K$11,((H382-D381*W382-B382+B381*V382)/'main page'!$K$27)-'main page'!$K$11))</f>
        <v>4</v>
      </c>
      <c r="T381" s="71">
        <f>IF(controls!$B$6=1,$AL$3*(1+('main page'!$K$35/100))^U381-$AL$3*(1+('main page'!$K$35/100))^U380,$AL$3*(1+('main page'!$G$8/100))*(1+('main page'!$K$35/100))^U381-$AL$3*(1+('main page'!$G$8/100))*(1+('main page'!$K$35/100))^U380)</f>
        <v>0</v>
      </c>
      <c r="U381" s="73">
        <v>374</v>
      </c>
      <c r="V381" s="161">
        <v>0</v>
      </c>
      <c r="W381" s="40">
        <v>0</v>
      </c>
      <c r="X381" s="49">
        <f ca="1">IF(controls!$B$33=1,D381-($I$3-'main page'!$K$27*2)*(1+('main page'!$K$35/100))^A380,D381-$AL$4)</f>
        <v>0</v>
      </c>
      <c r="Y381" s="49">
        <f ca="1">ABS(L381-(controls!$B$9/100)*100)</f>
        <v>0</v>
      </c>
      <c r="AA381" s="49" t="e">
        <f ca="1">IF(controls!$B$33=1,(B382-B381*V382-I382+D381*W382+'main page'!$K$27*('main page'!$K$24+'main page'!$K$11))/'main page'!$K$31,(B382-B381*V382+D381*W382-H382+'main page'!$K$27*('main page'!$K$24+'main page'!$K$11))/'main page'!$K$31)</f>
        <v>#DIV/0!</v>
      </c>
      <c r="AB381" s="49" t="e">
        <f ca="1">IF(controls!$B$45=1,LOG(AF381,1.01)+LOG(AE381,1.01)-LOG(AD381,1.01),-((M381-('main page'!$K$24+'main page'!$K$11))/(1-'normal case'!$AO$3))+'normal case'!AA381)</f>
        <v>#DIV/0!</v>
      </c>
      <c r="AC381" s="176" t="e">
        <f t="shared" ca="1" si="37"/>
        <v>#DIV/0!</v>
      </c>
      <c r="AD381" s="49">
        <f t="shared" ca="1" si="38"/>
        <v>1781.8244993293558</v>
      </c>
      <c r="AE381" s="49">
        <f>AE380*(1+'main page'!$K$32/100)</f>
        <v>1</v>
      </c>
      <c r="AF381" s="49" t="e">
        <f ca="1">IF(ABS(IF(controls!$B$45=1,$AL$13,AD381*AC381/AE381)-AF380)&lt;0.00001,AF380,IF(controls!$B$45=1,$AL$13,AD381*AC381/AE381))</f>
        <v>#DIV/0!</v>
      </c>
      <c r="AG381" s="49">
        <f>IF(controls!$B$46=0,0,IF(controls!$B$33=2,B382-B381*V382-('normal case'!H382-D381*W382-'main page'!$K$27*'normal case'!M381+'main page'!$K$31*'normal case'!AB381)-(('main page'!$K$25*'main page'!$U$13*'main page'!$K$29)/(1+('main page'!$K$25^2)*'main page'!$U$13))*('normal case'!L381-'main page'!$U$8),B382-B381*V382-('normal case'!I382-D381*W382-'main page'!$K$27*'normal case'!M381+'main page'!$K$31*'normal case'!AB381)-(('main page'!$K$25*'main page'!$U$13*'main page'!$K$29)/(1+('main page'!$K$25^2)*'main page'!$U$13))*('normal case'!L381-'main page'!$U$8)))</f>
        <v>0</v>
      </c>
      <c r="AN381" s="40"/>
      <c r="AO381" s="40"/>
    </row>
    <row r="382" spans="1:41">
      <c r="A382" s="48">
        <v>380</v>
      </c>
      <c r="B382" s="75">
        <f ca="1">IF(controls!$B$33=1,B381*(1+V382)+T382,B381*(1+V382))</f>
        <v>100</v>
      </c>
      <c r="C382" s="80">
        <f t="shared" ca="1" si="39"/>
        <v>0</v>
      </c>
      <c r="D382" s="77">
        <f t="shared" ca="1" si="35"/>
        <v>100</v>
      </c>
      <c r="E382" s="77">
        <f ca="1">AG381+IF(controls!$B$33=1,G382,F382)</f>
        <v>100</v>
      </c>
      <c r="F382" s="94">
        <f ca="1">IF(controls!$B$44=0,H382-'main page'!$K$27*M381,H382-'main page'!$K$27*M381+'main page'!$K$31*AB381)</f>
        <v>100</v>
      </c>
      <c r="G382" s="75">
        <f ca="1">IF(controls!$B$44=0,I382-'main page'!$K$27*M381,I382-'main page'!$K$27*M381+'main page'!$K$31*'normal case'!AB381)</f>
        <v>100</v>
      </c>
      <c r="H382" s="75">
        <f t="shared" ca="1" si="40"/>
        <v>108</v>
      </c>
      <c r="I382" s="75">
        <f t="shared" ca="1" si="41"/>
        <v>108</v>
      </c>
      <c r="L382" s="75">
        <f ca="1">IF(ABS('main page'!$K$29*L381+(1-'main page'!$K$29)*(controls!$B$9/100)*100+'main page'!$K$25*(D382-B382)-L381)&lt;0.0000001,L381,'main page'!$K$29*L381+(1-'main page'!$K$29)*(controls!$B$9/100)*100+'main page'!$K$25*(D382-B382))</f>
        <v>2</v>
      </c>
      <c r="M382" s="96">
        <f ca="1">IF(controls!$B$10=1,M381,IF(SUM(controls!$B$44:$B$46)=2,N382-'main page'!$K$29*'normal case'!L382-(1-'main page'!$K$29)*'main page'!$K$32,N382-'main page'!$K$29*'normal case'!L382-(1-'main page'!$K$29)*controls!$B$9))</f>
        <v>4</v>
      </c>
      <c r="N382" s="208">
        <f ca="1">IF(controls!$B$45=1,IF(controls!$B$46=1,'main page'!$K$24+'main page'!$K$11+'main page'!$U$8,'main page'!$K$24+'main page'!$K$11+'main page'!$K$32),IF(controls!$B$44=1,IF(O382&lt;0,0,O382),IF(O382+'main page'!$K$11&lt;0,0,O382+'main page'!$K$11)))</f>
        <v>6</v>
      </c>
      <c r="O382" s="76">
        <f ca="1">IF(controls!$B$10=1,'normal case'!M382+'normal case'!L382,'normal case'!P382)</f>
        <v>6</v>
      </c>
      <c r="P382" s="74">
        <f t="shared" ca="1" si="36"/>
        <v>6</v>
      </c>
      <c r="Q382" s="210">
        <f ca="1">IF(controls!$B$44=0,R382+'main page'!$K$29*L382+(1-'main page'!$K$29)*controls!$B$9+(('main page'!$K$25*'main page'!$U$13*'main page'!$K$29)/('main page'!$K$27*(1+('main page'!$K$25^2)*'main page'!$U$13)))*(L382-controls!$B$9),R382+'main page'!$K$29*L382+(1-'main page'!$K$29)*controls!$B$9+(('main page'!$K$25*'main page'!$U$13*'normal case'!$AO$3)/'normal case'!$AO$4)*('normal case'!L382-controls!$B$9))</f>
        <v>6</v>
      </c>
      <c r="R382" s="98">
        <f ca="1">IF(controls!$B$44=1,'main page'!$K$24+'main page'!$K$11,IF(controls!$B$33=1,((I383-D382*W383-B383+B382*V383)/'main page'!$K$27)-'main page'!$K$11,((H383-D382*W383-B383+B382*V383)/'main page'!$K$27)-'main page'!$K$11))</f>
        <v>4</v>
      </c>
      <c r="T382" s="71">
        <f>IF(controls!$B$6=1,$AL$3*(1+('main page'!$K$35/100))^U382-$AL$3*(1+('main page'!$K$35/100))^U381,$AL$3*(1+('main page'!$G$8/100))*(1+('main page'!$K$35/100))^U382-$AL$3*(1+('main page'!$G$8/100))*(1+('main page'!$K$35/100))^U381)</f>
        <v>0</v>
      </c>
      <c r="U382" s="73">
        <v>375</v>
      </c>
      <c r="V382" s="161">
        <v>0</v>
      </c>
      <c r="W382" s="40">
        <v>0</v>
      </c>
      <c r="X382" s="49">
        <f ca="1">IF(controls!$B$33=1,D382-($I$3-'main page'!$K$27*2)*(1+('main page'!$K$35/100))^A381,D382-$AL$4)</f>
        <v>0</v>
      </c>
      <c r="Y382" s="49">
        <f ca="1">ABS(L382-(controls!$B$9/100)*100)</f>
        <v>0</v>
      </c>
      <c r="AA382" s="49" t="e">
        <f ca="1">IF(controls!$B$33=1,(B383-B382*V383-I383+D382*W383+'main page'!$K$27*('main page'!$K$24+'main page'!$K$11))/'main page'!$K$31,(B383-B382*V383+D382*W383-H383+'main page'!$K$27*('main page'!$K$24+'main page'!$K$11))/'main page'!$K$31)</f>
        <v>#DIV/0!</v>
      </c>
      <c r="AB382" s="49" t="e">
        <f ca="1">IF(controls!$B$45=1,LOG(AF382,1.01)+LOG(AE382,1.01)-LOG(AD382,1.01),-((M382-('main page'!$K$24+'main page'!$K$11))/(1-'normal case'!$AO$3))+'normal case'!AA382)</f>
        <v>#DIV/0!</v>
      </c>
      <c r="AC382" s="176" t="e">
        <f t="shared" ca="1" si="37"/>
        <v>#DIV/0!</v>
      </c>
      <c r="AD382" s="49">
        <f t="shared" ca="1" si="38"/>
        <v>1817.4609893159429</v>
      </c>
      <c r="AE382" s="49">
        <f>AE381*(1+'main page'!$K$32/100)</f>
        <v>1</v>
      </c>
      <c r="AF382" s="49" t="e">
        <f ca="1">IF(ABS(IF(controls!$B$45=1,$AL$13,AD382*AC382/AE382)-AF381)&lt;0.00001,AF381,IF(controls!$B$45=1,$AL$13,AD382*AC382/AE382))</f>
        <v>#DIV/0!</v>
      </c>
      <c r="AG382" s="49">
        <f>IF(controls!$B$46=0,0,IF(controls!$B$33=2,B383-B382*V383-('normal case'!H383-D382*W383-'main page'!$K$27*'normal case'!M382+'main page'!$K$31*'normal case'!AB382)-(('main page'!$K$25*'main page'!$U$13*'main page'!$K$29)/(1+('main page'!$K$25^2)*'main page'!$U$13))*('normal case'!L382-'main page'!$U$8),B383-B382*V383-('normal case'!I383-D382*W383-'main page'!$K$27*'normal case'!M382+'main page'!$K$31*'normal case'!AB382)-(('main page'!$K$25*'main page'!$U$13*'main page'!$K$29)/(1+('main page'!$K$25^2)*'main page'!$U$13))*('normal case'!L382-'main page'!$U$8)))</f>
        <v>0</v>
      </c>
      <c r="AN382" s="40"/>
      <c r="AO382" s="40"/>
    </row>
    <row r="383" spans="1:41">
      <c r="A383" s="48">
        <v>381</v>
      </c>
      <c r="B383" s="75">
        <f ca="1">IF(controls!$B$33=1,B382*(1+V383)+T383,B382*(1+V383))</f>
        <v>100</v>
      </c>
      <c r="C383" s="80">
        <f t="shared" ca="1" si="39"/>
        <v>0</v>
      </c>
      <c r="D383" s="77">
        <f t="shared" ca="1" si="35"/>
        <v>100</v>
      </c>
      <c r="E383" s="77">
        <f ca="1">AG382+IF(controls!$B$33=1,G383,F383)</f>
        <v>100</v>
      </c>
      <c r="F383" s="94">
        <f ca="1">IF(controls!$B$44=0,H383-'main page'!$K$27*M382,H383-'main page'!$K$27*M382+'main page'!$K$31*AB382)</f>
        <v>100</v>
      </c>
      <c r="G383" s="75">
        <f ca="1">IF(controls!$B$44=0,I383-'main page'!$K$27*M382,I383-'main page'!$K$27*M382+'main page'!$K$31*'normal case'!AB382)</f>
        <v>100</v>
      </c>
      <c r="H383" s="75">
        <f t="shared" ca="1" si="40"/>
        <v>108</v>
      </c>
      <c r="I383" s="75">
        <f t="shared" ca="1" si="41"/>
        <v>108</v>
      </c>
      <c r="L383" s="75">
        <f ca="1">IF(ABS('main page'!$K$29*L382+(1-'main page'!$K$29)*(controls!$B$9/100)*100+'main page'!$K$25*(D383-B383)-L382)&lt;0.0000001,L382,'main page'!$K$29*L382+(1-'main page'!$K$29)*(controls!$B$9/100)*100+'main page'!$K$25*(D383-B383))</f>
        <v>2</v>
      </c>
      <c r="M383" s="96">
        <f ca="1">IF(controls!$B$10=1,M382,IF(SUM(controls!$B$44:$B$46)=2,N383-'main page'!$K$29*'normal case'!L383-(1-'main page'!$K$29)*'main page'!$K$32,N383-'main page'!$K$29*'normal case'!L383-(1-'main page'!$K$29)*controls!$B$9))</f>
        <v>4</v>
      </c>
      <c r="N383" s="208">
        <f ca="1">IF(controls!$B$45=1,IF(controls!$B$46=1,'main page'!$K$24+'main page'!$K$11+'main page'!$U$8,'main page'!$K$24+'main page'!$K$11+'main page'!$K$32),IF(controls!$B$44=1,IF(O383&lt;0,0,O383),IF(O383+'main page'!$K$11&lt;0,0,O383+'main page'!$K$11)))</f>
        <v>6</v>
      </c>
      <c r="O383" s="76">
        <f ca="1">IF(controls!$B$10=1,'normal case'!M383+'normal case'!L383,'normal case'!P383)</f>
        <v>6</v>
      </c>
      <c r="P383" s="74">
        <f t="shared" ca="1" si="36"/>
        <v>6</v>
      </c>
      <c r="Q383" s="210">
        <f ca="1">IF(controls!$B$44=0,R383+'main page'!$K$29*L383+(1-'main page'!$K$29)*controls!$B$9+(('main page'!$K$25*'main page'!$U$13*'main page'!$K$29)/('main page'!$K$27*(1+('main page'!$K$25^2)*'main page'!$U$13)))*(L383-controls!$B$9),R383+'main page'!$K$29*L383+(1-'main page'!$K$29)*controls!$B$9+(('main page'!$K$25*'main page'!$U$13*'normal case'!$AO$3)/'normal case'!$AO$4)*('normal case'!L383-controls!$B$9))</f>
        <v>6</v>
      </c>
      <c r="R383" s="98">
        <f ca="1">IF(controls!$B$44=1,'main page'!$K$24+'main page'!$K$11,IF(controls!$B$33=1,((I384-D383*W384-B384+B383*V384)/'main page'!$K$27)-'main page'!$K$11,((H384-D383*W384-B384+B383*V384)/'main page'!$K$27)-'main page'!$K$11))</f>
        <v>4</v>
      </c>
      <c r="T383" s="71">
        <f>IF(controls!$B$6=1,$AL$3*(1+('main page'!$K$35/100))^U383-$AL$3*(1+('main page'!$K$35/100))^U382,$AL$3*(1+('main page'!$G$8/100))*(1+('main page'!$K$35/100))^U383-$AL$3*(1+('main page'!$G$8/100))*(1+('main page'!$K$35/100))^U382)</f>
        <v>0</v>
      </c>
      <c r="U383" s="73">
        <v>376</v>
      </c>
      <c r="V383" s="161">
        <f ca="1">IF(controls!$B$4=1,IF(controls!$H382=1,controls!$B$34*V382+RAND()*('main page'!$K$16/100)-RAND()*('main page'!$K$16/100),0),0)</f>
        <v>0</v>
      </c>
      <c r="W383" s="40">
        <f ca="1">IF(controls!$B$4=1,IF(controls!$I382=1,controls!$B$34*W382+RAND()*('main page'!$K$16/100)-RAND()*('main page'!$K$16/100),0),0)</f>
        <v>0</v>
      </c>
      <c r="X383" s="49">
        <f ca="1">IF(controls!$B$33=1,D383-($I$3-'main page'!$K$27*2)*(1+('main page'!$K$35/100))^A382,D383-$AL$4)</f>
        <v>0</v>
      </c>
      <c r="Y383" s="49">
        <f ca="1">ABS(L383-(controls!$B$9/100)*100)</f>
        <v>0</v>
      </c>
      <c r="AA383" s="49" t="e">
        <f ca="1">IF(controls!$B$33=1,(B384-B383*V384-I384+D383*W384+'main page'!$K$27*('main page'!$K$24+'main page'!$K$11))/'main page'!$K$31,(B384-B383*V384+D383*W384-H384+'main page'!$K$27*('main page'!$K$24+'main page'!$K$11))/'main page'!$K$31)</f>
        <v>#DIV/0!</v>
      </c>
      <c r="AB383" s="49" t="e">
        <f ca="1">IF(controls!$B$45=1,LOG(AF383,1.01)+LOG(AE383,1.01)-LOG(AD383,1.01),-((M383-('main page'!$K$24+'main page'!$K$11))/(1-'normal case'!$AO$3))+'normal case'!AA383)</f>
        <v>#DIV/0!</v>
      </c>
      <c r="AC383" s="176" t="e">
        <f t="shared" ca="1" si="37"/>
        <v>#DIV/0!</v>
      </c>
      <c r="AD383" s="49">
        <f t="shared" ca="1" si="38"/>
        <v>1853.8102091022618</v>
      </c>
      <c r="AE383" s="49">
        <f>AE382*(1+'main page'!$K$32/100)</f>
        <v>1</v>
      </c>
      <c r="AF383" s="49" t="e">
        <f ca="1">IF(ABS(IF(controls!$B$45=1,$AL$13,AD383*AC383/AE383)-AF382)&lt;0.00001,AF382,IF(controls!$B$45=1,$AL$13,AD383*AC383/AE383))</f>
        <v>#DIV/0!</v>
      </c>
      <c r="AG383" s="49">
        <f>IF(controls!$B$46=0,0,IF(controls!$B$33=2,B384-B383*V384-('normal case'!H384-D383*W384-'main page'!$K$27*'normal case'!M383+'main page'!$K$31*'normal case'!AB383)-(('main page'!$K$25*'main page'!$U$13*'main page'!$K$29)/(1+('main page'!$K$25^2)*'main page'!$U$13))*('normal case'!L383-'main page'!$U$8),B384-B383*V384-('normal case'!I384-D383*W384-'main page'!$K$27*'normal case'!M383+'main page'!$K$31*'normal case'!AB383)-(('main page'!$K$25*'main page'!$U$13*'main page'!$K$29)/(1+('main page'!$K$25^2)*'main page'!$U$13))*('normal case'!L383-'main page'!$U$8)))</f>
        <v>0</v>
      </c>
      <c r="AN383" s="40"/>
      <c r="AO383" s="40"/>
    </row>
    <row r="384" spans="1:41">
      <c r="A384" s="48">
        <v>382</v>
      </c>
      <c r="B384" s="75">
        <f ca="1">IF(controls!$B$33=1,B383*(1+V384)+T384,B383*(1+V384))</f>
        <v>100</v>
      </c>
      <c r="C384" s="80">
        <f t="shared" ca="1" si="39"/>
        <v>0</v>
      </c>
      <c r="D384" s="77">
        <f t="shared" ca="1" si="35"/>
        <v>100</v>
      </c>
      <c r="E384" s="77">
        <f ca="1">AG383+IF(controls!$B$33=1,G384,F384)</f>
        <v>100</v>
      </c>
      <c r="F384" s="94">
        <f ca="1">IF(controls!$B$44=0,H384-'main page'!$K$27*M383,H384-'main page'!$K$27*M383+'main page'!$K$31*AB383)</f>
        <v>100</v>
      </c>
      <c r="G384" s="75">
        <f ca="1">IF(controls!$B$44=0,I384-'main page'!$K$27*M383,I384-'main page'!$K$27*M383+'main page'!$K$31*'normal case'!AB383)</f>
        <v>100</v>
      </c>
      <c r="H384" s="75">
        <f t="shared" ca="1" si="40"/>
        <v>108</v>
      </c>
      <c r="I384" s="75">
        <f t="shared" ca="1" si="41"/>
        <v>108</v>
      </c>
      <c r="L384" s="75">
        <f ca="1">IF(ABS('main page'!$K$29*L383+(1-'main page'!$K$29)*(controls!$B$9/100)*100+'main page'!$K$25*(D384-B384)-L383)&lt;0.0000001,L383,'main page'!$K$29*L383+(1-'main page'!$K$29)*(controls!$B$9/100)*100+'main page'!$K$25*(D384-B384))</f>
        <v>2</v>
      </c>
      <c r="M384" s="96">
        <f ca="1">IF(controls!$B$10=1,M383,IF(SUM(controls!$B$44:$B$46)=2,N384-'main page'!$K$29*'normal case'!L384-(1-'main page'!$K$29)*'main page'!$K$32,N384-'main page'!$K$29*'normal case'!L384-(1-'main page'!$K$29)*controls!$B$9))</f>
        <v>4</v>
      </c>
      <c r="N384" s="208">
        <f ca="1">IF(controls!$B$45=1,IF(controls!$B$46=1,'main page'!$K$24+'main page'!$K$11+'main page'!$U$8,'main page'!$K$24+'main page'!$K$11+'main page'!$K$32),IF(controls!$B$44=1,IF(O384&lt;0,0,O384),IF(O384+'main page'!$K$11&lt;0,0,O384+'main page'!$K$11)))</f>
        <v>6</v>
      </c>
      <c r="O384" s="76">
        <f ca="1">IF(controls!$B$10=1,'normal case'!M384+'normal case'!L384,'normal case'!P384)</f>
        <v>6</v>
      </c>
      <c r="P384" s="74">
        <f t="shared" ca="1" si="36"/>
        <v>6</v>
      </c>
      <c r="Q384" s="210">
        <f ca="1">IF(controls!$B$44=0,R384+'main page'!$K$29*L384+(1-'main page'!$K$29)*controls!$B$9+(('main page'!$K$25*'main page'!$U$13*'main page'!$K$29)/('main page'!$K$27*(1+('main page'!$K$25^2)*'main page'!$U$13)))*(L384-controls!$B$9),R384+'main page'!$K$29*L384+(1-'main page'!$K$29)*controls!$B$9+(('main page'!$K$25*'main page'!$U$13*'normal case'!$AO$3)/'normal case'!$AO$4)*('normal case'!L384-controls!$B$9))</f>
        <v>6</v>
      </c>
      <c r="R384" s="98">
        <f ca="1">IF(controls!$B$44=1,'main page'!$K$24+'main page'!$K$11,IF(controls!$B$33=1,((I385-D384*W385-B385+B384*V385)/'main page'!$K$27)-'main page'!$K$11,((H385-D384*W385-B385+B384*V385)/'main page'!$K$27)-'main page'!$K$11))</f>
        <v>4</v>
      </c>
      <c r="T384" s="71">
        <f>IF(controls!$B$6=1,$AL$3*(1+('main page'!$K$35/100))^U384-$AL$3*(1+('main page'!$K$35/100))^U383,$AL$3*(1+('main page'!$G$8/100))*(1+('main page'!$K$35/100))^U384-$AL$3*(1+('main page'!$G$8/100))*(1+('main page'!$K$35/100))^U383)</f>
        <v>0</v>
      </c>
      <c r="U384" s="73">
        <v>377</v>
      </c>
      <c r="V384" s="161">
        <v>0</v>
      </c>
      <c r="W384" s="40">
        <v>0</v>
      </c>
      <c r="X384" s="49">
        <f ca="1">IF(controls!$B$33=1,D384-($I$3-'main page'!$K$27*2)*(1+('main page'!$K$35/100))^A383,D384-$AL$4)</f>
        <v>0</v>
      </c>
      <c r="Y384" s="49">
        <f ca="1">ABS(L384-(controls!$B$9/100)*100)</f>
        <v>0</v>
      </c>
      <c r="AA384" s="49" t="e">
        <f ca="1">IF(controls!$B$33=1,(B385-B384*V385-I385+D384*W385+'main page'!$K$27*('main page'!$K$24+'main page'!$K$11))/'main page'!$K$31,(B385-B384*V385+D384*W385-H385+'main page'!$K$27*('main page'!$K$24+'main page'!$K$11))/'main page'!$K$31)</f>
        <v>#DIV/0!</v>
      </c>
      <c r="AB384" s="49" t="e">
        <f ca="1">IF(controls!$B$45=1,LOG(AF384,1.01)+LOG(AE384,1.01)-LOG(AD384,1.01),-((M384-('main page'!$K$24+'main page'!$K$11))/(1-'normal case'!$AO$3))+'normal case'!AA384)</f>
        <v>#DIV/0!</v>
      </c>
      <c r="AC384" s="176" t="e">
        <f t="shared" ca="1" si="37"/>
        <v>#DIV/0!</v>
      </c>
      <c r="AD384" s="49">
        <f t="shared" ca="1" si="38"/>
        <v>1890.8864132843071</v>
      </c>
      <c r="AE384" s="49">
        <f>AE383*(1+'main page'!$K$32/100)</f>
        <v>1</v>
      </c>
      <c r="AF384" s="49" t="e">
        <f ca="1">IF(ABS(IF(controls!$B$45=1,$AL$13,AD384*AC384/AE384)-AF383)&lt;0.00001,AF383,IF(controls!$B$45=1,$AL$13,AD384*AC384/AE384))</f>
        <v>#DIV/0!</v>
      </c>
      <c r="AG384" s="49">
        <f>IF(controls!$B$46=0,0,IF(controls!$B$33=2,B385-B384*V385-('normal case'!H385-D384*W385-'main page'!$K$27*'normal case'!M384+'main page'!$K$31*'normal case'!AB384)-(('main page'!$K$25*'main page'!$U$13*'main page'!$K$29)/(1+('main page'!$K$25^2)*'main page'!$U$13))*('normal case'!L384-'main page'!$U$8),B385-B384*V385-('normal case'!I385-D384*W385-'main page'!$K$27*'normal case'!M384+'main page'!$K$31*'normal case'!AB384)-(('main page'!$K$25*'main page'!$U$13*'main page'!$K$29)/(1+('main page'!$K$25^2)*'main page'!$U$13))*('normal case'!L384-'main page'!$U$8)))</f>
        <v>0</v>
      </c>
      <c r="AN384" s="40"/>
      <c r="AO384" s="40"/>
    </row>
    <row r="385" spans="1:41">
      <c r="A385" s="48">
        <v>383</v>
      </c>
      <c r="B385" s="75">
        <f ca="1">IF(controls!$B$33=1,B384*(1+V385)+T385,B384*(1+V385))</f>
        <v>100</v>
      </c>
      <c r="C385" s="80">
        <f t="shared" ca="1" si="39"/>
        <v>0</v>
      </c>
      <c r="D385" s="77">
        <f t="shared" ca="1" si="35"/>
        <v>100</v>
      </c>
      <c r="E385" s="77">
        <f ca="1">AG384+IF(controls!$B$33=1,G385,F385)</f>
        <v>100</v>
      </c>
      <c r="F385" s="94">
        <f ca="1">IF(controls!$B$44=0,H385-'main page'!$K$27*M384,H385-'main page'!$K$27*M384+'main page'!$K$31*AB384)</f>
        <v>100</v>
      </c>
      <c r="G385" s="75">
        <f ca="1">IF(controls!$B$44=0,I385-'main page'!$K$27*M384,I385-'main page'!$K$27*M384+'main page'!$K$31*'normal case'!AB384)</f>
        <v>100</v>
      </c>
      <c r="H385" s="75">
        <f t="shared" ca="1" si="40"/>
        <v>108</v>
      </c>
      <c r="I385" s="75">
        <f t="shared" ca="1" si="41"/>
        <v>108</v>
      </c>
      <c r="L385" s="75">
        <f ca="1">IF(ABS('main page'!$K$29*L384+(1-'main page'!$K$29)*(controls!$B$9/100)*100+'main page'!$K$25*(D385-B385)-L384)&lt;0.0000001,L384,'main page'!$K$29*L384+(1-'main page'!$K$29)*(controls!$B$9/100)*100+'main page'!$K$25*(D385-B385))</f>
        <v>2</v>
      </c>
      <c r="M385" s="96">
        <f ca="1">IF(controls!$B$10=1,M384,IF(SUM(controls!$B$44:$B$46)=2,N385-'main page'!$K$29*'normal case'!L385-(1-'main page'!$K$29)*'main page'!$K$32,N385-'main page'!$K$29*'normal case'!L385-(1-'main page'!$K$29)*controls!$B$9))</f>
        <v>4</v>
      </c>
      <c r="N385" s="208">
        <f ca="1">IF(controls!$B$45=1,IF(controls!$B$46=1,'main page'!$K$24+'main page'!$K$11+'main page'!$U$8,'main page'!$K$24+'main page'!$K$11+'main page'!$K$32),IF(controls!$B$44=1,IF(O385&lt;0,0,O385),IF(O385+'main page'!$K$11&lt;0,0,O385+'main page'!$K$11)))</f>
        <v>6</v>
      </c>
      <c r="O385" s="76">
        <f ca="1">IF(controls!$B$10=1,'normal case'!M385+'normal case'!L385,'normal case'!P385)</f>
        <v>6</v>
      </c>
      <c r="P385" s="74">
        <f t="shared" ca="1" si="36"/>
        <v>6</v>
      </c>
      <c r="Q385" s="210">
        <f ca="1">IF(controls!$B$44=0,R385+'main page'!$K$29*L385+(1-'main page'!$K$29)*controls!$B$9+(('main page'!$K$25*'main page'!$U$13*'main page'!$K$29)/('main page'!$K$27*(1+('main page'!$K$25^2)*'main page'!$U$13)))*(L385-controls!$B$9),R385+'main page'!$K$29*L385+(1-'main page'!$K$29)*controls!$B$9+(('main page'!$K$25*'main page'!$U$13*'normal case'!$AO$3)/'normal case'!$AO$4)*('normal case'!L385-controls!$B$9))</f>
        <v>6</v>
      </c>
      <c r="R385" s="98">
        <f ca="1">IF(controls!$B$44=1,'main page'!$K$24+'main page'!$K$11,IF(controls!$B$33=1,((I386-D385*W386-B386+B385*V386)/'main page'!$K$27)-'main page'!$K$11,((H386-D385*W386-B386+B385*V386)/'main page'!$K$27)-'main page'!$K$11))</f>
        <v>4</v>
      </c>
      <c r="T385" s="71">
        <f>IF(controls!$B$6=1,$AL$3*(1+('main page'!$K$35/100))^U385-$AL$3*(1+('main page'!$K$35/100))^U384,$AL$3*(1+('main page'!$G$8/100))*(1+('main page'!$K$35/100))^U385-$AL$3*(1+('main page'!$G$8/100))*(1+('main page'!$K$35/100))^U384)</f>
        <v>0</v>
      </c>
      <c r="U385" s="73">
        <v>378</v>
      </c>
      <c r="V385" s="161">
        <v>0</v>
      </c>
      <c r="W385" s="40">
        <v>0</v>
      </c>
      <c r="X385" s="49">
        <f ca="1">IF(controls!$B$33=1,D385-($I$3-'main page'!$K$27*2)*(1+('main page'!$K$35/100))^A384,D385-$AL$4)</f>
        <v>0</v>
      </c>
      <c r="Y385" s="49">
        <f ca="1">ABS(L385-(controls!$B$9/100)*100)</f>
        <v>0</v>
      </c>
      <c r="AA385" s="49" t="e">
        <f ca="1">IF(controls!$B$33=1,(B386-B385*V386-I386+D385*W386+'main page'!$K$27*('main page'!$K$24+'main page'!$K$11))/'main page'!$K$31,(B386-B385*V386+D385*W386-H386+'main page'!$K$27*('main page'!$K$24+'main page'!$K$11))/'main page'!$K$31)</f>
        <v>#DIV/0!</v>
      </c>
      <c r="AB385" s="49" t="e">
        <f ca="1">IF(controls!$B$45=1,LOG(AF385,1.01)+LOG(AE385,1.01)-LOG(AD385,1.01),-((M385-('main page'!$K$24+'main page'!$K$11))/(1-'normal case'!$AO$3))+'normal case'!AA385)</f>
        <v>#DIV/0!</v>
      </c>
      <c r="AC385" s="176" t="e">
        <f t="shared" ca="1" si="37"/>
        <v>#DIV/0!</v>
      </c>
      <c r="AD385" s="49">
        <f t="shared" ca="1" si="38"/>
        <v>1928.7041415499932</v>
      </c>
      <c r="AE385" s="49">
        <f>AE384*(1+'main page'!$K$32/100)</f>
        <v>1</v>
      </c>
      <c r="AF385" s="49" t="e">
        <f ca="1">IF(ABS(IF(controls!$B$45=1,$AL$13,AD385*AC385/AE385)-AF384)&lt;0.00001,AF384,IF(controls!$B$45=1,$AL$13,AD385*AC385/AE385))</f>
        <v>#DIV/0!</v>
      </c>
      <c r="AG385" s="49">
        <f>IF(controls!$B$46=0,0,IF(controls!$B$33=2,B386-B385*V386-('normal case'!H386-D385*W386-'main page'!$K$27*'normal case'!M385+'main page'!$K$31*'normal case'!AB385)-(('main page'!$K$25*'main page'!$U$13*'main page'!$K$29)/(1+('main page'!$K$25^2)*'main page'!$U$13))*('normal case'!L385-'main page'!$U$8),B386-B385*V386-('normal case'!I386-D385*W386-'main page'!$K$27*'normal case'!M385+'main page'!$K$31*'normal case'!AB385)-(('main page'!$K$25*'main page'!$U$13*'main page'!$K$29)/(1+('main page'!$K$25^2)*'main page'!$U$13))*('normal case'!L385-'main page'!$U$8)))</f>
        <v>0</v>
      </c>
      <c r="AN385" s="40"/>
      <c r="AO385" s="40"/>
    </row>
    <row r="386" spans="1:41">
      <c r="A386" s="48">
        <v>384</v>
      </c>
      <c r="B386" s="75">
        <f ca="1">IF(controls!$B$33=1,B385*(1+V386)+T386,B385*(1+V386))</f>
        <v>100</v>
      </c>
      <c r="C386" s="80">
        <f t="shared" ca="1" si="39"/>
        <v>0</v>
      </c>
      <c r="D386" s="77">
        <f t="shared" ca="1" si="35"/>
        <v>100</v>
      </c>
      <c r="E386" s="77">
        <f ca="1">AG385+IF(controls!$B$33=1,G386,F386)</f>
        <v>100</v>
      </c>
      <c r="F386" s="94">
        <f ca="1">IF(controls!$B$44=0,H386-'main page'!$K$27*M385,H386-'main page'!$K$27*M385+'main page'!$K$31*AB385)</f>
        <v>100</v>
      </c>
      <c r="G386" s="75">
        <f ca="1">IF(controls!$B$44=0,I386-'main page'!$K$27*M385,I386-'main page'!$K$27*M385+'main page'!$K$31*'normal case'!AB385)</f>
        <v>100</v>
      </c>
      <c r="H386" s="75">
        <f t="shared" ca="1" si="40"/>
        <v>108</v>
      </c>
      <c r="I386" s="75">
        <f t="shared" ca="1" si="41"/>
        <v>108</v>
      </c>
      <c r="L386" s="75">
        <f ca="1">IF(ABS('main page'!$K$29*L385+(1-'main page'!$K$29)*(controls!$B$9/100)*100+'main page'!$K$25*(D386-B386)-L385)&lt;0.0000001,L385,'main page'!$K$29*L385+(1-'main page'!$K$29)*(controls!$B$9/100)*100+'main page'!$K$25*(D386-B386))</f>
        <v>2</v>
      </c>
      <c r="M386" s="96">
        <f ca="1">IF(controls!$B$10=1,M385,IF(SUM(controls!$B$44:$B$46)=2,N386-'main page'!$K$29*'normal case'!L386-(1-'main page'!$K$29)*'main page'!$K$32,N386-'main page'!$K$29*'normal case'!L386-(1-'main page'!$K$29)*controls!$B$9))</f>
        <v>4</v>
      </c>
      <c r="N386" s="208">
        <f ca="1">IF(controls!$B$45=1,IF(controls!$B$46=1,'main page'!$K$24+'main page'!$K$11+'main page'!$U$8,'main page'!$K$24+'main page'!$K$11+'main page'!$K$32),IF(controls!$B$44=1,IF(O386&lt;0,0,O386),IF(O386+'main page'!$K$11&lt;0,0,O386+'main page'!$K$11)))</f>
        <v>6</v>
      </c>
      <c r="O386" s="76">
        <f ca="1">IF(controls!$B$10=1,'normal case'!M386+'normal case'!L386,'normal case'!P386)</f>
        <v>6</v>
      </c>
      <c r="P386" s="74">
        <f t="shared" ca="1" si="36"/>
        <v>6</v>
      </c>
      <c r="Q386" s="210">
        <f ca="1">IF(controls!$B$44=0,R386+'main page'!$K$29*L386+(1-'main page'!$K$29)*controls!$B$9+(('main page'!$K$25*'main page'!$U$13*'main page'!$K$29)/('main page'!$K$27*(1+('main page'!$K$25^2)*'main page'!$U$13)))*(L386-controls!$B$9),R386+'main page'!$K$29*L386+(1-'main page'!$K$29)*controls!$B$9+(('main page'!$K$25*'main page'!$U$13*'normal case'!$AO$3)/'normal case'!$AO$4)*('normal case'!L386-controls!$B$9))</f>
        <v>6</v>
      </c>
      <c r="R386" s="98">
        <f ca="1">IF(controls!$B$44=1,'main page'!$K$24+'main page'!$K$11,IF(controls!$B$33=1,((I387-D386*W387-B387+B386*V387)/'main page'!$K$27)-'main page'!$K$11,((H387-D386*W387-B387+B386*V387)/'main page'!$K$27)-'main page'!$K$11))</f>
        <v>4</v>
      </c>
      <c r="T386" s="71">
        <f>IF(controls!$B$6=1,$AL$3*(1+('main page'!$K$35/100))^U386-$AL$3*(1+('main page'!$K$35/100))^U385,$AL$3*(1+('main page'!$G$8/100))*(1+('main page'!$K$35/100))^U386-$AL$3*(1+('main page'!$G$8/100))*(1+('main page'!$K$35/100))^U385)</f>
        <v>0</v>
      </c>
      <c r="U386" s="73">
        <v>379</v>
      </c>
      <c r="V386" s="161">
        <f ca="1">IF(controls!$B$4=1,IF(controls!$H385=1,controls!$B$34*V385+RAND()*('main page'!$K$16/100)-RAND()*('main page'!$K$16/100),0),0)</f>
        <v>0</v>
      </c>
      <c r="W386" s="40">
        <f ca="1">IF(controls!$B$4=1,IF(controls!$I385=1,controls!$B$34*W385+RAND()*('main page'!$K$16/100)-RAND()*('main page'!$K$16/100),0),0)</f>
        <v>0</v>
      </c>
      <c r="X386" s="49">
        <f ca="1">IF(controls!$B$33=1,D386-($I$3-'main page'!$K$27*2)*(1+('main page'!$K$35/100))^A385,D386-$AL$4)</f>
        <v>0</v>
      </c>
      <c r="Y386" s="49">
        <f ca="1">ABS(L386-(controls!$B$9/100)*100)</f>
        <v>0</v>
      </c>
      <c r="AA386" s="49" t="e">
        <f ca="1">IF(controls!$B$33=1,(B387-B386*V387-I387+D386*W387+'main page'!$K$27*('main page'!$K$24+'main page'!$K$11))/'main page'!$K$31,(B387-B386*V387+D386*W387-H387+'main page'!$K$27*('main page'!$K$24+'main page'!$K$11))/'main page'!$K$31)</f>
        <v>#DIV/0!</v>
      </c>
      <c r="AB386" s="49" t="e">
        <f ca="1">IF(controls!$B$45=1,LOG(AF386,1.01)+LOG(AE386,1.01)-LOG(AD386,1.01),-((M386-('main page'!$K$24+'main page'!$K$11))/(1-'normal case'!$AO$3))+'normal case'!AA386)</f>
        <v>#DIV/0!</v>
      </c>
      <c r="AC386" s="176" t="e">
        <f t="shared" ca="1" si="37"/>
        <v>#DIV/0!</v>
      </c>
      <c r="AD386" s="49">
        <f t="shared" ca="1" si="38"/>
        <v>1967.2782243809932</v>
      </c>
      <c r="AE386" s="49">
        <f>AE385*(1+'main page'!$K$32/100)</f>
        <v>1</v>
      </c>
      <c r="AF386" s="49" t="e">
        <f ca="1">IF(ABS(IF(controls!$B$45=1,$AL$13,AD386*AC386/AE386)-AF385)&lt;0.00001,AF385,IF(controls!$B$45=1,$AL$13,AD386*AC386/AE386))</f>
        <v>#DIV/0!</v>
      </c>
      <c r="AG386" s="49">
        <f>IF(controls!$B$46=0,0,IF(controls!$B$33=2,B387-B386*V387-('normal case'!H387-D386*W387-'main page'!$K$27*'normal case'!M386+'main page'!$K$31*'normal case'!AB386)-(('main page'!$K$25*'main page'!$U$13*'main page'!$K$29)/(1+('main page'!$K$25^2)*'main page'!$U$13))*('normal case'!L386-'main page'!$U$8),B387-B386*V387-('normal case'!I387-D386*W387-'main page'!$K$27*'normal case'!M386+'main page'!$K$31*'normal case'!AB386)-(('main page'!$K$25*'main page'!$U$13*'main page'!$K$29)/(1+('main page'!$K$25^2)*'main page'!$U$13))*('normal case'!L386-'main page'!$U$8)))</f>
        <v>0</v>
      </c>
      <c r="AN386" s="40"/>
      <c r="AO386" s="40"/>
    </row>
    <row r="387" spans="1:41">
      <c r="A387" s="48">
        <v>385</v>
      </c>
      <c r="B387" s="75">
        <f ca="1">IF(controls!$B$33=1,B386*(1+V387)+T387,B386*(1+V387))</f>
        <v>100</v>
      </c>
      <c r="C387" s="80">
        <f t="shared" ca="1" si="39"/>
        <v>0</v>
      </c>
      <c r="D387" s="77">
        <f t="shared" ca="1" si="35"/>
        <v>100</v>
      </c>
      <c r="E387" s="77">
        <f ca="1">AG386+IF(controls!$B$33=1,G387,F387)</f>
        <v>100</v>
      </c>
      <c r="F387" s="94">
        <f ca="1">IF(controls!$B$44=0,H387-'main page'!$K$27*M386,H387-'main page'!$K$27*M386+'main page'!$K$31*AB386)</f>
        <v>100</v>
      </c>
      <c r="G387" s="75">
        <f ca="1">IF(controls!$B$44=0,I387-'main page'!$K$27*M386,I387-'main page'!$K$27*M386+'main page'!$K$31*'normal case'!AB386)</f>
        <v>100</v>
      </c>
      <c r="H387" s="75">
        <f t="shared" ca="1" si="40"/>
        <v>108</v>
      </c>
      <c r="I387" s="75">
        <f t="shared" ca="1" si="41"/>
        <v>108</v>
      </c>
      <c r="L387" s="75">
        <f ca="1">IF(ABS('main page'!$K$29*L386+(1-'main page'!$K$29)*(controls!$B$9/100)*100+'main page'!$K$25*(D387-B387)-L386)&lt;0.0000001,L386,'main page'!$K$29*L386+(1-'main page'!$K$29)*(controls!$B$9/100)*100+'main page'!$K$25*(D387-B387))</f>
        <v>2</v>
      </c>
      <c r="M387" s="96">
        <f ca="1">IF(controls!$B$10=1,M386,IF(SUM(controls!$B$44:$B$46)=2,N387-'main page'!$K$29*'normal case'!L387-(1-'main page'!$K$29)*'main page'!$K$32,N387-'main page'!$K$29*'normal case'!L387-(1-'main page'!$K$29)*controls!$B$9))</f>
        <v>4</v>
      </c>
      <c r="N387" s="208">
        <f ca="1">IF(controls!$B$45=1,IF(controls!$B$46=1,'main page'!$K$24+'main page'!$K$11+'main page'!$U$8,'main page'!$K$24+'main page'!$K$11+'main page'!$K$32),IF(controls!$B$44=1,IF(O387&lt;0,0,O387),IF(O387+'main page'!$K$11&lt;0,0,O387+'main page'!$K$11)))</f>
        <v>6</v>
      </c>
      <c r="O387" s="76">
        <f ca="1">IF(controls!$B$10=1,'normal case'!M387+'normal case'!L387,'normal case'!P387)</f>
        <v>6</v>
      </c>
      <c r="P387" s="74">
        <f t="shared" ca="1" si="36"/>
        <v>6</v>
      </c>
      <c r="Q387" s="210">
        <f ca="1">IF(controls!$B$44=0,R387+'main page'!$K$29*L387+(1-'main page'!$K$29)*controls!$B$9+(('main page'!$K$25*'main page'!$U$13*'main page'!$K$29)/('main page'!$K$27*(1+('main page'!$K$25^2)*'main page'!$U$13)))*(L387-controls!$B$9),R387+'main page'!$K$29*L387+(1-'main page'!$K$29)*controls!$B$9+(('main page'!$K$25*'main page'!$U$13*'normal case'!$AO$3)/'normal case'!$AO$4)*('normal case'!L387-controls!$B$9))</f>
        <v>6</v>
      </c>
      <c r="R387" s="98">
        <f ca="1">IF(controls!$B$44=1,'main page'!$K$24+'main page'!$K$11,IF(controls!$B$33=1,((I388-D387*W388-B388+B387*V388)/'main page'!$K$27)-'main page'!$K$11,((H388-D387*W388-B388+B387*V388)/'main page'!$K$27)-'main page'!$K$11))</f>
        <v>4</v>
      </c>
      <c r="T387" s="71">
        <f>IF(controls!$B$6=1,$AL$3*(1+('main page'!$K$35/100))^U387-$AL$3*(1+('main page'!$K$35/100))^U386,$AL$3*(1+('main page'!$G$8/100))*(1+('main page'!$K$35/100))^U387-$AL$3*(1+('main page'!$G$8/100))*(1+('main page'!$K$35/100))^U386)</f>
        <v>0</v>
      </c>
      <c r="U387" s="73">
        <v>380</v>
      </c>
      <c r="V387" s="161">
        <v>0</v>
      </c>
      <c r="W387" s="40">
        <v>0</v>
      </c>
      <c r="X387" s="49">
        <f ca="1">IF(controls!$B$33=1,D387-($I$3-'main page'!$K$27*2)*(1+('main page'!$K$35/100))^A386,D387-$AL$4)</f>
        <v>0</v>
      </c>
      <c r="Y387" s="49">
        <f ca="1">ABS(L387-(controls!$B$9/100)*100)</f>
        <v>0</v>
      </c>
      <c r="AA387" s="49" t="e">
        <f ca="1">IF(controls!$B$33=1,(B388-B387*V388-I388+D387*W388+'main page'!$K$27*('main page'!$K$24+'main page'!$K$11))/'main page'!$K$31,(B388-B387*V388+D387*W388-H388+'main page'!$K$27*('main page'!$K$24+'main page'!$K$11))/'main page'!$K$31)</f>
        <v>#DIV/0!</v>
      </c>
      <c r="AB387" s="49" t="e">
        <f ca="1">IF(controls!$B$45=1,LOG(AF387,1.01)+LOG(AE387,1.01)-LOG(AD387,1.01),-((M387-('main page'!$K$24+'main page'!$K$11))/(1-'normal case'!$AO$3))+'normal case'!AA387)</f>
        <v>#DIV/0!</v>
      </c>
      <c r="AC387" s="176" t="e">
        <f t="shared" ca="1" si="37"/>
        <v>#DIV/0!</v>
      </c>
      <c r="AD387" s="49">
        <f t="shared" ca="1" si="38"/>
        <v>2006.623788868613</v>
      </c>
      <c r="AE387" s="49">
        <f>AE386*(1+'main page'!$K$32/100)</f>
        <v>1</v>
      </c>
      <c r="AF387" s="49" t="e">
        <f ca="1">IF(ABS(IF(controls!$B$45=1,$AL$13,AD387*AC387/AE387)-AF386)&lt;0.00001,AF386,IF(controls!$B$45=1,$AL$13,AD387*AC387/AE387))</f>
        <v>#DIV/0!</v>
      </c>
      <c r="AG387" s="49">
        <f>IF(controls!$B$46=0,0,IF(controls!$B$33=2,B388-B387*V388-('normal case'!H388-D387*W388-'main page'!$K$27*'normal case'!M387+'main page'!$K$31*'normal case'!AB387)-(('main page'!$K$25*'main page'!$U$13*'main page'!$K$29)/(1+('main page'!$K$25^2)*'main page'!$U$13))*('normal case'!L387-'main page'!$U$8),B388-B387*V388-('normal case'!I388-D387*W388-'main page'!$K$27*'normal case'!M387+'main page'!$K$31*'normal case'!AB387)-(('main page'!$K$25*'main page'!$U$13*'main page'!$K$29)/(1+('main page'!$K$25^2)*'main page'!$U$13))*('normal case'!L387-'main page'!$U$8)))</f>
        <v>0</v>
      </c>
      <c r="AN387" s="40"/>
      <c r="AO387" s="40"/>
    </row>
    <row r="388" spans="1:41">
      <c r="A388" s="48">
        <v>386</v>
      </c>
      <c r="B388" s="75">
        <f ca="1">IF(controls!$B$33=1,B387*(1+V388)+T388,B387*(1+V388))</f>
        <v>100</v>
      </c>
      <c r="C388" s="80">
        <f t="shared" ca="1" si="39"/>
        <v>0</v>
      </c>
      <c r="D388" s="77">
        <f t="shared" ref="D388:D451" ca="1" si="42">IF(E388&gt;0,E388,0.1)</f>
        <v>100</v>
      </c>
      <c r="E388" s="77">
        <f ca="1">AG387+IF(controls!$B$33=1,G388,F388)</f>
        <v>100</v>
      </c>
      <c r="F388" s="94">
        <f ca="1">IF(controls!$B$44=0,H388-'main page'!$K$27*M387,H388-'main page'!$K$27*M387+'main page'!$K$31*AB387)</f>
        <v>100</v>
      </c>
      <c r="G388" s="75">
        <f ca="1">IF(controls!$B$44=0,I388-'main page'!$K$27*M387,I388-'main page'!$K$27*M387+'main page'!$K$31*'normal case'!AB387)</f>
        <v>100</v>
      </c>
      <c r="H388" s="75">
        <f t="shared" ca="1" si="40"/>
        <v>108</v>
      </c>
      <c r="I388" s="75">
        <f t="shared" ca="1" si="41"/>
        <v>108</v>
      </c>
      <c r="L388" s="75">
        <f ca="1">IF(ABS('main page'!$K$29*L387+(1-'main page'!$K$29)*(controls!$B$9/100)*100+'main page'!$K$25*(D388-B388)-L387)&lt;0.0000001,L387,'main page'!$K$29*L387+(1-'main page'!$K$29)*(controls!$B$9/100)*100+'main page'!$K$25*(D388-B388))</f>
        <v>2</v>
      </c>
      <c r="M388" s="96">
        <f ca="1">IF(controls!$B$10=1,M387,IF(SUM(controls!$B$44:$B$46)=2,N388-'main page'!$K$29*'normal case'!L388-(1-'main page'!$K$29)*'main page'!$K$32,N388-'main page'!$K$29*'normal case'!L388-(1-'main page'!$K$29)*controls!$B$9))</f>
        <v>4</v>
      </c>
      <c r="N388" s="208">
        <f ca="1">IF(controls!$B$45=1,IF(controls!$B$46=1,'main page'!$K$24+'main page'!$K$11+'main page'!$U$8,'main page'!$K$24+'main page'!$K$11+'main page'!$K$32),IF(controls!$B$44=1,IF(O388&lt;0,0,O388),IF(O388+'main page'!$K$11&lt;0,0,O388+'main page'!$K$11)))</f>
        <v>6</v>
      </c>
      <c r="O388" s="76">
        <f ca="1">IF(controls!$B$10=1,'normal case'!M388+'normal case'!L388,'normal case'!P388)</f>
        <v>6</v>
      </c>
      <c r="P388" s="74">
        <f t="shared" ref="P388:P451" ca="1" si="43">IF(Q388&lt;0,0,Q388)</f>
        <v>6</v>
      </c>
      <c r="Q388" s="210">
        <f ca="1">IF(controls!$B$44=0,R388+'main page'!$K$29*L388+(1-'main page'!$K$29)*controls!$B$9+(('main page'!$K$25*'main page'!$U$13*'main page'!$K$29)/('main page'!$K$27*(1+('main page'!$K$25^2)*'main page'!$U$13)))*(L388-controls!$B$9),R388+'main page'!$K$29*L388+(1-'main page'!$K$29)*controls!$B$9+(('main page'!$K$25*'main page'!$U$13*'normal case'!$AO$3)/'normal case'!$AO$4)*('normal case'!L388-controls!$B$9))</f>
        <v>6</v>
      </c>
      <c r="R388" s="98">
        <f ca="1">IF(controls!$B$44=1,'main page'!$K$24+'main page'!$K$11,IF(controls!$B$33=1,((I389-D388*W389-B389+B388*V389)/'main page'!$K$27)-'main page'!$K$11,((H389-D388*W389-B389+B388*V389)/'main page'!$K$27)-'main page'!$K$11))</f>
        <v>4</v>
      </c>
      <c r="T388" s="71">
        <f>IF(controls!$B$6=1,$AL$3*(1+('main page'!$K$35/100))^U388-$AL$3*(1+('main page'!$K$35/100))^U387,$AL$3*(1+('main page'!$G$8/100))*(1+('main page'!$K$35/100))^U388-$AL$3*(1+('main page'!$G$8/100))*(1+('main page'!$K$35/100))^U387)</f>
        <v>0</v>
      </c>
      <c r="U388" s="73">
        <v>381</v>
      </c>
      <c r="V388" s="161">
        <v>0</v>
      </c>
      <c r="W388" s="40">
        <v>0</v>
      </c>
      <c r="X388" s="49">
        <f ca="1">IF(controls!$B$33=1,D388-($I$3-'main page'!$K$27*2)*(1+('main page'!$K$35/100))^A387,D388-$AL$4)</f>
        <v>0</v>
      </c>
      <c r="Y388" s="49">
        <f ca="1">ABS(L388-(controls!$B$9/100)*100)</f>
        <v>0</v>
      </c>
      <c r="AA388" s="49" t="e">
        <f ca="1">IF(controls!$B$33=1,(B389-B388*V389-I389+D388*W389+'main page'!$K$27*('main page'!$K$24+'main page'!$K$11))/'main page'!$K$31,(B389-B388*V389+D388*W389-H389+'main page'!$K$27*('main page'!$K$24+'main page'!$K$11))/'main page'!$K$31)</f>
        <v>#DIV/0!</v>
      </c>
      <c r="AB388" s="49" t="e">
        <f ca="1">IF(controls!$B$45=1,LOG(AF388,1.01)+LOG(AE388,1.01)-LOG(AD388,1.01),-((M388-('main page'!$K$24+'main page'!$K$11))/(1-'normal case'!$AO$3))+'normal case'!AA388)</f>
        <v>#DIV/0!</v>
      </c>
      <c r="AC388" s="176" t="e">
        <f t="shared" ref="AC388:AC451" ca="1" si="44">IF(ABS(1.025^AB388-1)&lt;0.000000000001,1,1.025^AB388)</f>
        <v>#DIV/0!</v>
      </c>
      <c r="AD388" s="49">
        <f t="shared" ref="AD388:AD451" ca="1" si="45">AD387*(1+L388/100)</f>
        <v>2046.7562646459853</v>
      </c>
      <c r="AE388" s="49">
        <f>AE387*(1+'main page'!$K$32/100)</f>
        <v>1</v>
      </c>
      <c r="AF388" s="49" t="e">
        <f ca="1">IF(ABS(IF(controls!$B$45=1,$AL$13,AD388*AC388/AE388)-AF387)&lt;0.00001,AF387,IF(controls!$B$45=1,$AL$13,AD388*AC388/AE388))</f>
        <v>#DIV/0!</v>
      </c>
      <c r="AG388" s="49">
        <f>IF(controls!$B$46=0,0,IF(controls!$B$33=2,B389-B388*V389-('normal case'!H389-D388*W389-'main page'!$K$27*'normal case'!M388+'main page'!$K$31*'normal case'!AB388)-(('main page'!$K$25*'main page'!$U$13*'main page'!$K$29)/(1+('main page'!$K$25^2)*'main page'!$U$13))*('normal case'!L388-'main page'!$U$8),B389-B388*V389-('normal case'!I389-D388*W389-'main page'!$K$27*'normal case'!M388+'main page'!$K$31*'normal case'!AB388)-(('main page'!$K$25*'main page'!$U$13*'main page'!$K$29)/(1+('main page'!$K$25^2)*'main page'!$U$13))*('normal case'!L388-'main page'!$U$8)))</f>
        <v>0</v>
      </c>
      <c r="AN388" s="40"/>
      <c r="AO388" s="40"/>
    </row>
    <row r="389" spans="1:41">
      <c r="A389" s="48">
        <v>387</v>
      </c>
      <c r="B389" s="75">
        <f ca="1">IF(controls!$B$33=1,B388*(1+V389)+T389,B388*(1+V389))</f>
        <v>100</v>
      </c>
      <c r="C389" s="80">
        <f t="shared" ca="1" si="39"/>
        <v>0</v>
      </c>
      <c r="D389" s="77">
        <f t="shared" ca="1" si="42"/>
        <v>100</v>
      </c>
      <c r="E389" s="77">
        <f ca="1">AG388+IF(controls!$B$33=1,G389,F389)</f>
        <v>100</v>
      </c>
      <c r="F389" s="94">
        <f ca="1">IF(controls!$B$44=0,H389-'main page'!$K$27*M388,H389-'main page'!$K$27*M388+'main page'!$K$31*AB388)</f>
        <v>100</v>
      </c>
      <c r="G389" s="75">
        <f ca="1">IF(controls!$B$44=0,I389-'main page'!$K$27*M388,I389-'main page'!$K$27*M388+'main page'!$K$31*'normal case'!AB388)</f>
        <v>100</v>
      </c>
      <c r="H389" s="75">
        <f t="shared" ca="1" si="40"/>
        <v>108</v>
      </c>
      <c r="I389" s="75">
        <f t="shared" ca="1" si="41"/>
        <v>108</v>
      </c>
      <c r="L389" s="75">
        <f ca="1">IF(ABS('main page'!$K$29*L388+(1-'main page'!$K$29)*(controls!$B$9/100)*100+'main page'!$K$25*(D389-B389)-L388)&lt;0.0000001,L388,'main page'!$K$29*L388+(1-'main page'!$K$29)*(controls!$B$9/100)*100+'main page'!$K$25*(D389-B389))</f>
        <v>2</v>
      </c>
      <c r="M389" s="96">
        <f ca="1">IF(controls!$B$10=1,M388,IF(SUM(controls!$B$44:$B$46)=2,N389-'main page'!$K$29*'normal case'!L389-(1-'main page'!$K$29)*'main page'!$K$32,N389-'main page'!$K$29*'normal case'!L389-(1-'main page'!$K$29)*controls!$B$9))</f>
        <v>4</v>
      </c>
      <c r="N389" s="208">
        <f ca="1">IF(controls!$B$45=1,IF(controls!$B$46=1,'main page'!$K$24+'main page'!$K$11+'main page'!$U$8,'main page'!$K$24+'main page'!$K$11+'main page'!$K$32),IF(controls!$B$44=1,IF(O389&lt;0,0,O389),IF(O389+'main page'!$K$11&lt;0,0,O389+'main page'!$K$11)))</f>
        <v>6</v>
      </c>
      <c r="O389" s="76">
        <f ca="1">IF(controls!$B$10=1,'normal case'!M389+'normal case'!L389,'normal case'!P389)</f>
        <v>6</v>
      </c>
      <c r="P389" s="74">
        <f t="shared" ca="1" si="43"/>
        <v>6</v>
      </c>
      <c r="Q389" s="210">
        <f ca="1">IF(controls!$B$44=0,R389+'main page'!$K$29*L389+(1-'main page'!$K$29)*controls!$B$9+(('main page'!$K$25*'main page'!$U$13*'main page'!$K$29)/('main page'!$K$27*(1+('main page'!$K$25^2)*'main page'!$U$13)))*(L389-controls!$B$9),R389+'main page'!$K$29*L389+(1-'main page'!$K$29)*controls!$B$9+(('main page'!$K$25*'main page'!$U$13*'normal case'!$AO$3)/'normal case'!$AO$4)*('normal case'!L389-controls!$B$9))</f>
        <v>6</v>
      </c>
      <c r="R389" s="98">
        <f ca="1">IF(controls!$B$44=1,'main page'!$K$24+'main page'!$K$11,IF(controls!$B$33=1,((I390-D389*W390-B390+B389*V390)/'main page'!$K$27)-'main page'!$K$11,((H390-D389*W390-B390+B389*V390)/'main page'!$K$27)-'main page'!$K$11))</f>
        <v>4</v>
      </c>
      <c r="T389" s="71">
        <f>IF(controls!$B$6=1,$AL$3*(1+('main page'!$K$35/100))^U389-$AL$3*(1+('main page'!$K$35/100))^U388,$AL$3*(1+('main page'!$G$8/100))*(1+('main page'!$K$35/100))^U389-$AL$3*(1+('main page'!$G$8/100))*(1+('main page'!$K$35/100))^U388)</f>
        <v>0</v>
      </c>
      <c r="U389" s="73">
        <v>382</v>
      </c>
      <c r="V389" s="161">
        <f ca="1">IF(controls!$B$4=1,IF(controls!$H388=1,controls!$B$34*V388+RAND()*('main page'!$K$16/100)-RAND()*('main page'!$K$16/100),0),0)</f>
        <v>0</v>
      </c>
      <c r="W389" s="40">
        <f ca="1">IF(controls!$B$4=1,IF(controls!$I388=1,controls!$B$34*W388+RAND()*('main page'!$K$16/100)-RAND()*('main page'!$K$16/100),0),0)</f>
        <v>0</v>
      </c>
      <c r="X389" s="49">
        <f ca="1">IF(controls!$B$33=1,D389-($I$3-'main page'!$K$27*2)*(1+('main page'!$K$35/100))^A388,D389-$AL$4)</f>
        <v>0</v>
      </c>
      <c r="Y389" s="49">
        <f ca="1">ABS(L389-(controls!$B$9/100)*100)</f>
        <v>0</v>
      </c>
      <c r="AA389" s="49" t="e">
        <f ca="1">IF(controls!$B$33=1,(B390-B389*V390-I390+D389*W390+'main page'!$K$27*('main page'!$K$24+'main page'!$K$11))/'main page'!$K$31,(B390-B389*V390+D389*W390-H390+'main page'!$K$27*('main page'!$K$24+'main page'!$K$11))/'main page'!$K$31)</f>
        <v>#DIV/0!</v>
      </c>
      <c r="AB389" s="49" t="e">
        <f ca="1">IF(controls!$B$45=1,LOG(AF389,1.01)+LOG(AE389,1.01)-LOG(AD389,1.01),-((M389-('main page'!$K$24+'main page'!$K$11))/(1-'normal case'!$AO$3))+'normal case'!AA389)</f>
        <v>#DIV/0!</v>
      </c>
      <c r="AC389" s="176" t="e">
        <f t="shared" ca="1" si="44"/>
        <v>#DIV/0!</v>
      </c>
      <c r="AD389" s="49">
        <f t="shared" ca="1" si="45"/>
        <v>2087.6913899389051</v>
      </c>
      <c r="AE389" s="49">
        <f>AE388*(1+'main page'!$K$32/100)</f>
        <v>1</v>
      </c>
      <c r="AF389" s="49" t="e">
        <f ca="1">IF(ABS(IF(controls!$B$45=1,$AL$13,AD389*AC389/AE389)-AF388)&lt;0.00001,AF388,IF(controls!$B$45=1,$AL$13,AD389*AC389/AE389))</f>
        <v>#DIV/0!</v>
      </c>
      <c r="AG389" s="49">
        <f>IF(controls!$B$46=0,0,IF(controls!$B$33=2,B390-B389*V390-('normal case'!H390-D389*W390-'main page'!$K$27*'normal case'!M389+'main page'!$K$31*'normal case'!AB389)-(('main page'!$K$25*'main page'!$U$13*'main page'!$K$29)/(1+('main page'!$K$25^2)*'main page'!$U$13))*('normal case'!L389-'main page'!$U$8),B390-B389*V390-('normal case'!I390-D389*W390-'main page'!$K$27*'normal case'!M389+'main page'!$K$31*'normal case'!AB389)-(('main page'!$K$25*'main page'!$U$13*'main page'!$K$29)/(1+('main page'!$K$25^2)*'main page'!$U$13))*('normal case'!L389-'main page'!$U$8)))</f>
        <v>0</v>
      </c>
      <c r="AN389" s="40"/>
      <c r="AO389" s="40"/>
    </row>
    <row r="390" spans="1:41">
      <c r="A390" s="48">
        <v>388</v>
      </c>
      <c r="B390" s="75">
        <f ca="1">IF(controls!$B$33=1,B389*(1+V390)+T390,B389*(1+V390))</f>
        <v>100</v>
      </c>
      <c r="C390" s="80">
        <f t="shared" ref="C390:C453" ca="1" si="46">IF(ABS((D390/D389-1)-C389)&lt;0.000001,C389,D390/D389-1)</f>
        <v>0</v>
      </c>
      <c r="D390" s="77">
        <f t="shared" ca="1" si="42"/>
        <v>100</v>
      </c>
      <c r="E390" s="77">
        <f ca="1">AG389+IF(controls!$B$33=1,G390,F390)</f>
        <v>100</v>
      </c>
      <c r="F390" s="94">
        <f ca="1">IF(controls!$B$44=0,H390-'main page'!$K$27*M389,H390-'main page'!$K$27*M389+'main page'!$K$31*AB389)</f>
        <v>100</v>
      </c>
      <c r="G390" s="75">
        <f ca="1">IF(controls!$B$44=0,I390-'main page'!$K$27*M389,I390-'main page'!$K$27*M389+'main page'!$K$31*'normal case'!AB389)</f>
        <v>100</v>
      </c>
      <c r="H390" s="75">
        <f t="shared" ca="1" si="40"/>
        <v>108</v>
      </c>
      <c r="I390" s="75">
        <f t="shared" ca="1" si="41"/>
        <v>108</v>
      </c>
      <c r="L390" s="75">
        <f ca="1">IF(ABS('main page'!$K$29*L389+(1-'main page'!$K$29)*(controls!$B$9/100)*100+'main page'!$K$25*(D390-B390)-L389)&lt;0.0000001,L389,'main page'!$K$29*L389+(1-'main page'!$K$29)*(controls!$B$9/100)*100+'main page'!$K$25*(D390-B390))</f>
        <v>2</v>
      </c>
      <c r="M390" s="96">
        <f ca="1">IF(controls!$B$10=1,M389,IF(SUM(controls!$B$44:$B$46)=2,N390-'main page'!$K$29*'normal case'!L390-(1-'main page'!$K$29)*'main page'!$K$32,N390-'main page'!$K$29*'normal case'!L390-(1-'main page'!$K$29)*controls!$B$9))</f>
        <v>4</v>
      </c>
      <c r="N390" s="208">
        <f ca="1">IF(controls!$B$45=1,IF(controls!$B$46=1,'main page'!$K$24+'main page'!$K$11+'main page'!$U$8,'main page'!$K$24+'main page'!$K$11+'main page'!$K$32),IF(controls!$B$44=1,IF(O390&lt;0,0,O390),IF(O390+'main page'!$K$11&lt;0,0,O390+'main page'!$K$11)))</f>
        <v>6</v>
      </c>
      <c r="O390" s="76">
        <f ca="1">IF(controls!$B$10=1,'normal case'!M390+'normal case'!L390,'normal case'!P390)</f>
        <v>6</v>
      </c>
      <c r="P390" s="74">
        <f t="shared" ca="1" si="43"/>
        <v>6</v>
      </c>
      <c r="Q390" s="210">
        <f ca="1">IF(controls!$B$44=0,R390+'main page'!$K$29*L390+(1-'main page'!$K$29)*controls!$B$9+(('main page'!$K$25*'main page'!$U$13*'main page'!$K$29)/('main page'!$K$27*(1+('main page'!$K$25^2)*'main page'!$U$13)))*(L390-controls!$B$9),R390+'main page'!$K$29*L390+(1-'main page'!$K$29)*controls!$B$9+(('main page'!$K$25*'main page'!$U$13*'normal case'!$AO$3)/'normal case'!$AO$4)*('normal case'!L390-controls!$B$9))</f>
        <v>6</v>
      </c>
      <c r="R390" s="98">
        <f ca="1">IF(controls!$B$44=1,'main page'!$K$24+'main page'!$K$11,IF(controls!$B$33=1,((I391-D390*W391-B391+B390*V391)/'main page'!$K$27)-'main page'!$K$11,((H391-D390*W391-B391+B390*V391)/'main page'!$K$27)-'main page'!$K$11))</f>
        <v>4</v>
      </c>
      <c r="T390" s="71">
        <f>IF(controls!$B$6=1,$AL$3*(1+('main page'!$K$35/100))^U390-$AL$3*(1+('main page'!$K$35/100))^U389,$AL$3*(1+('main page'!$G$8/100))*(1+('main page'!$K$35/100))^U390-$AL$3*(1+('main page'!$G$8/100))*(1+('main page'!$K$35/100))^U389)</f>
        <v>0</v>
      </c>
      <c r="U390" s="73">
        <v>383</v>
      </c>
      <c r="V390" s="161">
        <v>0</v>
      </c>
      <c r="W390" s="40">
        <v>0</v>
      </c>
      <c r="X390" s="49">
        <f ca="1">IF(controls!$B$33=1,D390-($I$3-'main page'!$K$27*2)*(1+('main page'!$K$35/100))^A389,D390-$AL$4)</f>
        <v>0</v>
      </c>
      <c r="Y390" s="49">
        <f ca="1">ABS(L390-(controls!$B$9/100)*100)</f>
        <v>0</v>
      </c>
      <c r="AA390" s="49" t="e">
        <f ca="1">IF(controls!$B$33=1,(B391-B390*V391-I391+D390*W391+'main page'!$K$27*('main page'!$K$24+'main page'!$K$11))/'main page'!$K$31,(B391-B390*V391+D390*W391-H391+'main page'!$K$27*('main page'!$K$24+'main page'!$K$11))/'main page'!$K$31)</f>
        <v>#DIV/0!</v>
      </c>
      <c r="AB390" s="49" t="e">
        <f ca="1">IF(controls!$B$45=1,LOG(AF390,1.01)+LOG(AE390,1.01)-LOG(AD390,1.01),-((M390-('main page'!$K$24+'main page'!$K$11))/(1-'normal case'!$AO$3))+'normal case'!AA390)</f>
        <v>#DIV/0!</v>
      </c>
      <c r="AC390" s="176" t="e">
        <f t="shared" ca="1" si="44"/>
        <v>#DIV/0!</v>
      </c>
      <c r="AD390" s="49">
        <f t="shared" ca="1" si="45"/>
        <v>2129.4452177376834</v>
      </c>
      <c r="AE390" s="49">
        <f>AE389*(1+'main page'!$K$32/100)</f>
        <v>1</v>
      </c>
      <c r="AF390" s="49" t="e">
        <f ca="1">IF(ABS(IF(controls!$B$45=1,$AL$13,AD390*AC390/AE390)-AF389)&lt;0.00001,AF389,IF(controls!$B$45=1,$AL$13,AD390*AC390/AE390))</f>
        <v>#DIV/0!</v>
      </c>
      <c r="AG390" s="49">
        <f>IF(controls!$B$46=0,0,IF(controls!$B$33=2,B391-B390*V391-('normal case'!H391-D390*W391-'main page'!$K$27*'normal case'!M390+'main page'!$K$31*'normal case'!AB390)-(('main page'!$K$25*'main page'!$U$13*'main page'!$K$29)/(1+('main page'!$K$25^2)*'main page'!$U$13))*('normal case'!L390-'main page'!$U$8),B391-B390*V391-('normal case'!I391-D390*W391-'main page'!$K$27*'normal case'!M390+'main page'!$K$31*'normal case'!AB390)-(('main page'!$K$25*'main page'!$U$13*'main page'!$K$29)/(1+('main page'!$K$25^2)*'main page'!$U$13))*('normal case'!L390-'main page'!$U$8)))</f>
        <v>0</v>
      </c>
      <c r="AN390" s="40"/>
      <c r="AO390" s="40"/>
    </row>
    <row r="391" spans="1:41">
      <c r="A391" s="48">
        <v>389</v>
      </c>
      <c r="B391" s="75">
        <f ca="1">IF(controls!$B$33=1,B390*(1+V391)+T391,B390*(1+V391))</f>
        <v>100</v>
      </c>
      <c r="C391" s="80">
        <f t="shared" ca="1" si="46"/>
        <v>0</v>
      </c>
      <c r="D391" s="77">
        <f t="shared" ca="1" si="42"/>
        <v>100</v>
      </c>
      <c r="E391" s="77">
        <f ca="1">AG390+IF(controls!$B$33=1,G391,F391)</f>
        <v>100</v>
      </c>
      <c r="F391" s="94">
        <f ca="1">IF(controls!$B$44=0,H391-'main page'!$K$27*M390,H391-'main page'!$K$27*M390+'main page'!$K$31*AB390)</f>
        <v>100</v>
      </c>
      <c r="G391" s="75">
        <f ca="1">IF(controls!$B$44=0,I391-'main page'!$K$27*M390,I391-'main page'!$K$27*M390+'main page'!$K$31*'normal case'!AB390)</f>
        <v>100</v>
      </c>
      <c r="H391" s="75">
        <f t="shared" ca="1" si="40"/>
        <v>108</v>
      </c>
      <c r="I391" s="75">
        <f t="shared" ca="1" si="41"/>
        <v>108</v>
      </c>
      <c r="L391" s="75">
        <f ca="1">IF(ABS('main page'!$K$29*L390+(1-'main page'!$K$29)*(controls!$B$9/100)*100+'main page'!$K$25*(D391-B391)-L390)&lt;0.0000001,L390,'main page'!$K$29*L390+(1-'main page'!$K$29)*(controls!$B$9/100)*100+'main page'!$K$25*(D391-B391))</f>
        <v>2</v>
      </c>
      <c r="M391" s="96">
        <f ca="1">IF(controls!$B$10=1,M390,IF(SUM(controls!$B$44:$B$46)=2,N391-'main page'!$K$29*'normal case'!L391-(1-'main page'!$K$29)*'main page'!$K$32,N391-'main page'!$K$29*'normal case'!L391-(1-'main page'!$K$29)*controls!$B$9))</f>
        <v>4</v>
      </c>
      <c r="N391" s="208">
        <f ca="1">IF(controls!$B$45=1,IF(controls!$B$46=1,'main page'!$K$24+'main page'!$K$11+'main page'!$U$8,'main page'!$K$24+'main page'!$K$11+'main page'!$K$32),IF(controls!$B$44=1,IF(O391&lt;0,0,O391),IF(O391+'main page'!$K$11&lt;0,0,O391+'main page'!$K$11)))</f>
        <v>6</v>
      </c>
      <c r="O391" s="76">
        <f ca="1">IF(controls!$B$10=1,'normal case'!M391+'normal case'!L391,'normal case'!P391)</f>
        <v>6</v>
      </c>
      <c r="P391" s="74">
        <f t="shared" ca="1" si="43"/>
        <v>6</v>
      </c>
      <c r="Q391" s="210">
        <f ca="1">IF(controls!$B$44=0,R391+'main page'!$K$29*L391+(1-'main page'!$K$29)*controls!$B$9+(('main page'!$K$25*'main page'!$U$13*'main page'!$K$29)/('main page'!$K$27*(1+('main page'!$K$25^2)*'main page'!$U$13)))*(L391-controls!$B$9),R391+'main page'!$K$29*L391+(1-'main page'!$K$29)*controls!$B$9+(('main page'!$K$25*'main page'!$U$13*'normal case'!$AO$3)/'normal case'!$AO$4)*('normal case'!L391-controls!$B$9))</f>
        <v>6</v>
      </c>
      <c r="R391" s="98">
        <f ca="1">IF(controls!$B$44=1,'main page'!$K$24+'main page'!$K$11,IF(controls!$B$33=1,((I392-D391*W392-B392+B391*V392)/'main page'!$K$27)-'main page'!$K$11,((H392-D391*W392-B392+B391*V392)/'main page'!$K$27)-'main page'!$K$11))</f>
        <v>4</v>
      </c>
      <c r="T391" s="71">
        <f>IF(controls!$B$6=1,$AL$3*(1+('main page'!$K$35/100))^U391-$AL$3*(1+('main page'!$K$35/100))^U390,$AL$3*(1+('main page'!$G$8/100))*(1+('main page'!$K$35/100))^U391-$AL$3*(1+('main page'!$G$8/100))*(1+('main page'!$K$35/100))^U390)</f>
        <v>0</v>
      </c>
      <c r="U391" s="73">
        <v>384</v>
      </c>
      <c r="V391" s="161">
        <v>0</v>
      </c>
      <c r="W391" s="40">
        <v>0</v>
      </c>
      <c r="X391" s="49">
        <f ca="1">IF(controls!$B$33=1,D391-($I$3-'main page'!$K$27*2)*(1+('main page'!$K$35/100))^A390,D391-$AL$4)</f>
        <v>0</v>
      </c>
      <c r="Y391" s="49">
        <f ca="1">ABS(L391-(controls!$B$9/100)*100)</f>
        <v>0</v>
      </c>
      <c r="AA391" s="49" t="e">
        <f ca="1">IF(controls!$B$33=1,(B392-B391*V392-I392+D391*W392+'main page'!$K$27*('main page'!$K$24+'main page'!$K$11))/'main page'!$K$31,(B392-B391*V392+D391*W392-H392+'main page'!$K$27*('main page'!$K$24+'main page'!$K$11))/'main page'!$K$31)</f>
        <v>#DIV/0!</v>
      </c>
      <c r="AB391" s="49" t="e">
        <f ca="1">IF(controls!$B$45=1,LOG(AF391,1.01)+LOG(AE391,1.01)-LOG(AD391,1.01),-((M391-('main page'!$K$24+'main page'!$K$11))/(1-'normal case'!$AO$3))+'normal case'!AA391)</f>
        <v>#DIV/0!</v>
      </c>
      <c r="AC391" s="176" t="e">
        <f t="shared" ca="1" si="44"/>
        <v>#DIV/0!</v>
      </c>
      <c r="AD391" s="49">
        <f t="shared" ca="1" si="45"/>
        <v>2172.034122092437</v>
      </c>
      <c r="AE391" s="49">
        <f>AE390*(1+'main page'!$K$32/100)</f>
        <v>1</v>
      </c>
      <c r="AF391" s="49" t="e">
        <f ca="1">IF(ABS(IF(controls!$B$45=1,$AL$13,AD391*AC391/AE391)-AF390)&lt;0.00001,AF390,IF(controls!$B$45=1,$AL$13,AD391*AC391/AE391))</f>
        <v>#DIV/0!</v>
      </c>
      <c r="AG391" s="49">
        <f>IF(controls!$B$46=0,0,IF(controls!$B$33=2,B392-B391*V392-('normal case'!H392-D391*W392-'main page'!$K$27*'normal case'!M391+'main page'!$K$31*'normal case'!AB391)-(('main page'!$K$25*'main page'!$U$13*'main page'!$K$29)/(1+('main page'!$K$25^2)*'main page'!$U$13))*('normal case'!L391-'main page'!$U$8),B392-B391*V392-('normal case'!I392-D391*W392-'main page'!$K$27*'normal case'!M391+'main page'!$K$31*'normal case'!AB391)-(('main page'!$K$25*'main page'!$U$13*'main page'!$K$29)/(1+('main page'!$K$25^2)*'main page'!$U$13))*('normal case'!L391-'main page'!$U$8)))</f>
        <v>0</v>
      </c>
      <c r="AN391" s="40"/>
      <c r="AO391" s="40"/>
    </row>
    <row r="392" spans="1:41">
      <c r="A392" s="48">
        <v>390</v>
      </c>
      <c r="B392" s="75">
        <f ca="1">IF(controls!$B$33=1,B391*(1+V392)+T392,B391*(1+V392))</f>
        <v>100</v>
      </c>
      <c r="C392" s="80">
        <f t="shared" ca="1" si="46"/>
        <v>0</v>
      </c>
      <c r="D392" s="77">
        <f t="shared" ca="1" si="42"/>
        <v>100</v>
      </c>
      <c r="E392" s="77">
        <f ca="1">AG391+IF(controls!$B$33=1,G392,F392)</f>
        <v>100</v>
      </c>
      <c r="F392" s="94">
        <f ca="1">IF(controls!$B$44=0,H392-'main page'!$K$27*M391,H392-'main page'!$K$27*M391+'main page'!$K$31*AB391)</f>
        <v>100</v>
      </c>
      <c r="G392" s="75">
        <f ca="1">IF(controls!$B$44=0,I392-'main page'!$K$27*M391,I392-'main page'!$K$27*M391+'main page'!$K$31*'normal case'!AB391)</f>
        <v>100</v>
      </c>
      <c r="H392" s="75">
        <f t="shared" ca="1" si="40"/>
        <v>108</v>
      </c>
      <c r="I392" s="75">
        <f t="shared" ca="1" si="41"/>
        <v>108</v>
      </c>
      <c r="L392" s="75">
        <f ca="1">IF(ABS('main page'!$K$29*L391+(1-'main page'!$K$29)*(controls!$B$9/100)*100+'main page'!$K$25*(D392-B392)-L391)&lt;0.0000001,L391,'main page'!$K$29*L391+(1-'main page'!$K$29)*(controls!$B$9/100)*100+'main page'!$K$25*(D392-B392))</f>
        <v>2</v>
      </c>
      <c r="M392" s="96">
        <f ca="1">IF(controls!$B$10=1,M391,IF(SUM(controls!$B$44:$B$46)=2,N392-'main page'!$K$29*'normal case'!L392-(1-'main page'!$K$29)*'main page'!$K$32,N392-'main page'!$K$29*'normal case'!L392-(1-'main page'!$K$29)*controls!$B$9))</f>
        <v>4</v>
      </c>
      <c r="N392" s="208">
        <f ca="1">IF(controls!$B$45=1,IF(controls!$B$46=1,'main page'!$K$24+'main page'!$K$11+'main page'!$U$8,'main page'!$K$24+'main page'!$K$11+'main page'!$K$32),IF(controls!$B$44=1,IF(O392&lt;0,0,O392),IF(O392+'main page'!$K$11&lt;0,0,O392+'main page'!$K$11)))</f>
        <v>6</v>
      </c>
      <c r="O392" s="76">
        <f ca="1">IF(controls!$B$10=1,'normal case'!M392+'normal case'!L392,'normal case'!P392)</f>
        <v>6</v>
      </c>
      <c r="P392" s="74">
        <f t="shared" ca="1" si="43"/>
        <v>6</v>
      </c>
      <c r="Q392" s="210">
        <f ca="1">IF(controls!$B$44=0,R392+'main page'!$K$29*L392+(1-'main page'!$K$29)*controls!$B$9+(('main page'!$K$25*'main page'!$U$13*'main page'!$K$29)/('main page'!$K$27*(1+('main page'!$K$25^2)*'main page'!$U$13)))*(L392-controls!$B$9),R392+'main page'!$K$29*L392+(1-'main page'!$K$29)*controls!$B$9+(('main page'!$K$25*'main page'!$U$13*'normal case'!$AO$3)/'normal case'!$AO$4)*('normal case'!L392-controls!$B$9))</f>
        <v>6</v>
      </c>
      <c r="R392" s="98">
        <f ca="1">IF(controls!$B$44=1,'main page'!$K$24+'main page'!$K$11,IF(controls!$B$33=1,((I393-D392*W393-B393+B392*V393)/'main page'!$K$27)-'main page'!$K$11,((H393-D392*W393-B393+B392*V393)/'main page'!$K$27)-'main page'!$K$11))</f>
        <v>4</v>
      </c>
      <c r="T392" s="71">
        <f>IF(controls!$B$6=1,$AL$3*(1+('main page'!$K$35/100))^U392-$AL$3*(1+('main page'!$K$35/100))^U391,$AL$3*(1+('main page'!$G$8/100))*(1+('main page'!$K$35/100))^U392-$AL$3*(1+('main page'!$G$8/100))*(1+('main page'!$K$35/100))^U391)</f>
        <v>0</v>
      </c>
      <c r="U392" s="73">
        <v>385</v>
      </c>
      <c r="V392" s="161">
        <f ca="1">IF(controls!$B$4=1,IF(controls!$H391=1,controls!$B$34*V391+RAND()*('main page'!$K$16/100)-RAND()*('main page'!$K$16/100),0),0)</f>
        <v>0</v>
      </c>
      <c r="W392" s="40">
        <f ca="1">IF(controls!$B$4=1,IF(controls!$I391=1,controls!$B$34*W391+RAND()*('main page'!$K$16/100)-RAND()*('main page'!$K$16/100),0),0)</f>
        <v>0</v>
      </c>
      <c r="X392" s="49">
        <f ca="1">IF(controls!$B$33=1,D392-($I$3-'main page'!$K$27*2)*(1+('main page'!$K$35/100))^A391,D392-$AL$4)</f>
        <v>0</v>
      </c>
      <c r="Y392" s="49">
        <f ca="1">ABS(L392-(controls!$B$9/100)*100)</f>
        <v>0</v>
      </c>
      <c r="AA392" s="49" t="e">
        <f ca="1">IF(controls!$B$33=1,(B393-B392*V393-I393+D392*W393+'main page'!$K$27*('main page'!$K$24+'main page'!$K$11))/'main page'!$K$31,(B393-B392*V393+D392*W393-H393+'main page'!$K$27*('main page'!$K$24+'main page'!$K$11))/'main page'!$K$31)</f>
        <v>#DIV/0!</v>
      </c>
      <c r="AB392" s="49" t="e">
        <f ca="1">IF(controls!$B$45=1,LOG(AF392,1.01)+LOG(AE392,1.01)-LOG(AD392,1.01),-((M392-('main page'!$K$24+'main page'!$K$11))/(1-'normal case'!$AO$3))+'normal case'!AA392)</f>
        <v>#DIV/0!</v>
      </c>
      <c r="AC392" s="176" t="e">
        <f t="shared" ca="1" si="44"/>
        <v>#DIV/0!</v>
      </c>
      <c r="AD392" s="49">
        <f t="shared" ca="1" si="45"/>
        <v>2215.4748045342858</v>
      </c>
      <c r="AE392" s="49">
        <f>AE391*(1+'main page'!$K$32/100)</f>
        <v>1</v>
      </c>
      <c r="AF392" s="49" t="e">
        <f ca="1">IF(ABS(IF(controls!$B$45=1,$AL$13,AD392*AC392/AE392)-AF391)&lt;0.00001,AF391,IF(controls!$B$45=1,$AL$13,AD392*AC392/AE392))</f>
        <v>#DIV/0!</v>
      </c>
      <c r="AG392" s="49">
        <f>IF(controls!$B$46=0,0,IF(controls!$B$33=2,B393-B392*V393-('normal case'!H393-D392*W393-'main page'!$K$27*'normal case'!M392+'main page'!$K$31*'normal case'!AB392)-(('main page'!$K$25*'main page'!$U$13*'main page'!$K$29)/(1+('main page'!$K$25^2)*'main page'!$U$13))*('normal case'!L392-'main page'!$U$8),B393-B392*V393-('normal case'!I393-D392*W393-'main page'!$K$27*'normal case'!M392+'main page'!$K$31*'normal case'!AB392)-(('main page'!$K$25*'main page'!$U$13*'main page'!$K$29)/(1+('main page'!$K$25^2)*'main page'!$U$13))*('normal case'!L392-'main page'!$U$8)))</f>
        <v>0</v>
      </c>
      <c r="AN392" s="40"/>
      <c r="AO392" s="40"/>
    </row>
    <row r="393" spans="1:41">
      <c r="A393" s="48">
        <v>391</v>
      </c>
      <c r="B393" s="75">
        <f ca="1">IF(controls!$B$33=1,B392*(1+V393)+T393,B392*(1+V393))</f>
        <v>100</v>
      </c>
      <c r="C393" s="80">
        <f t="shared" ca="1" si="46"/>
        <v>0</v>
      </c>
      <c r="D393" s="77">
        <f t="shared" ca="1" si="42"/>
        <v>100</v>
      </c>
      <c r="E393" s="77">
        <f ca="1">AG392+IF(controls!$B$33=1,G393,F393)</f>
        <v>100</v>
      </c>
      <c r="F393" s="94">
        <f ca="1">IF(controls!$B$44=0,H393-'main page'!$K$27*M392,H393-'main page'!$K$27*M392+'main page'!$K$31*AB392)</f>
        <v>100</v>
      </c>
      <c r="G393" s="75">
        <f ca="1">IF(controls!$B$44=0,I393-'main page'!$K$27*M392,I393-'main page'!$K$27*M392+'main page'!$K$31*'normal case'!AB392)</f>
        <v>100</v>
      </c>
      <c r="H393" s="75">
        <f t="shared" ca="1" si="40"/>
        <v>108</v>
      </c>
      <c r="I393" s="75">
        <f t="shared" ca="1" si="41"/>
        <v>108</v>
      </c>
      <c r="L393" s="75">
        <f ca="1">IF(ABS('main page'!$K$29*L392+(1-'main page'!$K$29)*(controls!$B$9/100)*100+'main page'!$K$25*(D393-B393)-L392)&lt;0.0000001,L392,'main page'!$K$29*L392+(1-'main page'!$K$29)*(controls!$B$9/100)*100+'main page'!$K$25*(D393-B393))</f>
        <v>2</v>
      </c>
      <c r="M393" s="96">
        <f ca="1">IF(controls!$B$10=1,M392,IF(SUM(controls!$B$44:$B$46)=2,N393-'main page'!$K$29*'normal case'!L393-(1-'main page'!$K$29)*'main page'!$K$32,N393-'main page'!$K$29*'normal case'!L393-(1-'main page'!$K$29)*controls!$B$9))</f>
        <v>4</v>
      </c>
      <c r="N393" s="208">
        <f ca="1">IF(controls!$B$45=1,IF(controls!$B$46=1,'main page'!$K$24+'main page'!$K$11+'main page'!$U$8,'main page'!$K$24+'main page'!$K$11+'main page'!$K$32),IF(controls!$B$44=1,IF(O393&lt;0,0,O393),IF(O393+'main page'!$K$11&lt;0,0,O393+'main page'!$K$11)))</f>
        <v>6</v>
      </c>
      <c r="O393" s="76">
        <f ca="1">IF(controls!$B$10=1,'normal case'!M393+'normal case'!L393,'normal case'!P393)</f>
        <v>6</v>
      </c>
      <c r="P393" s="74">
        <f t="shared" ca="1" si="43"/>
        <v>6</v>
      </c>
      <c r="Q393" s="210">
        <f ca="1">IF(controls!$B$44=0,R393+'main page'!$K$29*L393+(1-'main page'!$K$29)*controls!$B$9+(('main page'!$K$25*'main page'!$U$13*'main page'!$K$29)/('main page'!$K$27*(1+('main page'!$K$25^2)*'main page'!$U$13)))*(L393-controls!$B$9),R393+'main page'!$K$29*L393+(1-'main page'!$K$29)*controls!$B$9+(('main page'!$K$25*'main page'!$U$13*'normal case'!$AO$3)/'normal case'!$AO$4)*('normal case'!L393-controls!$B$9))</f>
        <v>6</v>
      </c>
      <c r="R393" s="98">
        <f ca="1">IF(controls!$B$44=1,'main page'!$K$24+'main page'!$K$11,IF(controls!$B$33=1,((I394-D393*W394-B394+B393*V394)/'main page'!$K$27)-'main page'!$K$11,((H394-D393*W394-B394+B393*V394)/'main page'!$K$27)-'main page'!$K$11))</f>
        <v>4</v>
      </c>
      <c r="T393" s="71">
        <f>IF(controls!$B$6=1,$AL$3*(1+('main page'!$K$35/100))^U393-$AL$3*(1+('main page'!$K$35/100))^U392,$AL$3*(1+('main page'!$G$8/100))*(1+('main page'!$K$35/100))^U393-$AL$3*(1+('main page'!$G$8/100))*(1+('main page'!$K$35/100))^U392)</f>
        <v>0</v>
      </c>
      <c r="U393" s="73">
        <v>386</v>
      </c>
      <c r="V393" s="161">
        <v>0</v>
      </c>
      <c r="W393" s="40">
        <v>0</v>
      </c>
      <c r="X393" s="49">
        <f ca="1">IF(controls!$B$33=1,D393-($I$3-'main page'!$K$27*2)*(1+('main page'!$K$35/100))^A392,D393-$AL$4)</f>
        <v>0</v>
      </c>
      <c r="Y393" s="49">
        <f ca="1">ABS(L393-(controls!$B$9/100)*100)</f>
        <v>0</v>
      </c>
      <c r="AA393" s="49" t="e">
        <f ca="1">IF(controls!$B$33=1,(B394-B393*V394-I394+D393*W394+'main page'!$K$27*('main page'!$K$24+'main page'!$K$11))/'main page'!$K$31,(B394-B393*V394+D393*W394-H394+'main page'!$K$27*('main page'!$K$24+'main page'!$K$11))/'main page'!$K$31)</f>
        <v>#DIV/0!</v>
      </c>
      <c r="AB393" s="49" t="e">
        <f ca="1">IF(controls!$B$45=1,LOG(AF393,1.01)+LOG(AE393,1.01)-LOG(AD393,1.01),-((M393-('main page'!$K$24+'main page'!$K$11))/(1-'normal case'!$AO$3))+'normal case'!AA393)</f>
        <v>#DIV/0!</v>
      </c>
      <c r="AC393" s="176" t="e">
        <f t="shared" ca="1" si="44"/>
        <v>#DIV/0!</v>
      </c>
      <c r="AD393" s="49">
        <f t="shared" ca="1" si="45"/>
        <v>2259.7843006249714</v>
      </c>
      <c r="AE393" s="49">
        <f>AE392*(1+'main page'!$K$32/100)</f>
        <v>1</v>
      </c>
      <c r="AF393" s="49" t="e">
        <f ca="1">IF(ABS(IF(controls!$B$45=1,$AL$13,AD393*AC393/AE393)-AF392)&lt;0.00001,AF392,IF(controls!$B$45=1,$AL$13,AD393*AC393/AE393))</f>
        <v>#DIV/0!</v>
      </c>
      <c r="AG393" s="49">
        <f>IF(controls!$B$46=0,0,IF(controls!$B$33=2,B394-B393*V394-('normal case'!H394-D393*W394-'main page'!$K$27*'normal case'!M393+'main page'!$K$31*'normal case'!AB393)-(('main page'!$K$25*'main page'!$U$13*'main page'!$K$29)/(1+('main page'!$K$25^2)*'main page'!$U$13))*('normal case'!L393-'main page'!$U$8),B394-B393*V394-('normal case'!I394-D393*W394-'main page'!$K$27*'normal case'!M393+'main page'!$K$31*'normal case'!AB393)-(('main page'!$K$25*'main page'!$U$13*'main page'!$K$29)/(1+('main page'!$K$25^2)*'main page'!$U$13))*('normal case'!L393-'main page'!$U$8)))</f>
        <v>0</v>
      </c>
      <c r="AN393" s="40"/>
      <c r="AO393" s="40"/>
    </row>
    <row r="394" spans="1:41">
      <c r="A394" s="48">
        <v>392</v>
      </c>
      <c r="B394" s="75">
        <f ca="1">IF(controls!$B$33=1,B393*(1+V394)+T394,B393*(1+V394))</f>
        <v>100</v>
      </c>
      <c r="C394" s="80">
        <f t="shared" ca="1" si="46"/>
        <v>0</v>
      </c>
      <c r="D394" s="77">
        <f t="shared" ca="1" si="42"/>
        <v>100</v>
      </c>
      <c r="E394" s="77">
        <f ca="1">AG393+IF(controls!$B$33=1,G394,F394)</f>
        <v>100</v>
      </c>
      <c r="F394" s="94">
        <f ca="1">IF(controls!$B$44=0,H394-'main page'!$K$27*M393,H394-'main page'!$K$27*M393+'main page'!$K$31*AB393)</f>
        <v>100</v>
      </c>
      <c r="G394" s="75">
        <f ca="1">IF(controls!$B$44=0,I394-'main page'!$K$27*M393,I394-'main page'!$K$27*M393+'main page'!$K$31*'normal case'!AB393)</f>
        <v>100</v>
      </c>
      <c r="H394" s="75">
        <f t="shared" ca="1" si="40"/>
        <v>108</v>
      </c>
      <c r="I394" s="75">
        <f t="shared" ca="1" si="41"/>
        <v>108</v>
      </c>
      <c r="L394" s="75">
        <f ca="1">IF(ABS('main page'!$K$29*L393+(1-'main page'!$K$29)*(controls!$B$9/100)*100+'main page'!$K$25*(D394-B394)-L393)&lt;0.0000001,L393,'main page'!$K$29*L393+(1-'main page'!$K$29)*(controls!$B$9/100)*100+'main page'!$K$25*(D394-B394))</f>
        <v>2</v>
      </c>
      <c r="M394" s="96">
        <f ca="1">IF(controls!$B$10=1,M393,IF(SUM(controls!$B$44:$B$46)=2,N394-'main page'!$K$29*'normal case'!L394-(1-'main page'!$K$29)*'main page'!$K$32,N394-'main page'!$K$29*'normal case'!L394-(1-'main page'!$K$29)*controls!$B$9))</f>
        <v>4</v>
      </c>
      <c r="N394" s="208">
        <f ca="1">IF(controls!$B$45=1,IF(controls!$B$46=1,'main page'!$K$24+'main page'!$K$11+'main page'!$U$8,'main page'!$K$24+'main page'!$K$11+'main page'!$K$32),IF(controls!$B$44=1,IF(O394&lt;0,0,O394),IF(O394+'main page'!$K$11&lt;0,0,O394+'main page'!$K$11)))</f>
        <v>6</v>
      </c>
      <c r="O394" s="76">
        <f ca="1">IF(controls!$B$10=1,'normal case'!M394+'normal case'!L394,'normal case'!P394)</f>
        <v>6</v>
      </c>
      <c r="P394" s="74">
        <f t="shared" ca="1" si="43"/>
        <v>6</v>
      </c>
      <c r="Q394" s="210">
        <f ca="1">IF(controls!$B$44=0,R394+'main page'!$K$29*L394+(1-'main page'!$K$29)*controls!$B$9+(('main page'!$K$25*'main page'!$U$13*'main page'!$K$29)/('main page'!$K$27*(1+('main page'!$K$25^2)*'main page'!$U$13)))*(L394-controls!$B$9),R394+'main page'!$K$29*L394+(1-'main page'!$K$29)*controls!$B$9+(('main page'!$K$25*'main page'!$U$13*'normal case'!$AO$3)/'normal case'!$AO$4)*('normal case'!L394-controls!$B$9))</f>
        <v>6</v>
      </c>
      <c r="R394" s="98">
        <f ca="1">IF(controls!$B$44=1,'main page'!$K$24+'main page'!$K$11,IF(controls!$B$33=1,((I395-D394*W395-B395+B394*V395)/'main page'!$K$27)-'main page'!$K$11,((H395-D394*W395-B395+B394*V395)/'main page'!$K$27)-'main page'!$K$11))</f>
        <v>4</v>
      </c>
      <c r="T394" s="71">
        <f>IF(controls!$B$6=1,$AL$3*(1+('main page'!$K$35/100))^U394-$AL$3*(1+('main page'!$K$35/100))^U393,$AL$3*(1+('main page'!$G$8/100))*(1+('main page'!$K$35/100))^U394-$AL$3*(1+('main page'!$G$8/100))*(1+('main page'!$K$35/100))^U393)</f>
        <v>0</v>
      </c>
      <c r="U394" s="73">
        <v>387</v>
      </c>
      <c r="V394" s="161">
        <v>0</v>
      </c>
      <c r="W394" s="40">
        <v>0</v>
      </c>
      <c r="X394" s="49">
        <f ca="1">IF(controls!$B$33=1,D394-($I$3-'main page'!$K$27*2)*(1+('main page'!$K$35/100))^A393,D394-$AL$4)</f>
        <v>0</v>
      </c>
      <c r="Y394" s="49">
        <f ca="1">ABS(L394-(controls!$B$9/100)*100)</f>
        <v>0</v>
      </c>
      <c r="AA394" s="49" t="e">
        <f ca="1">IF(controls!$B$33=1,(B395-B394*V395-I395+D394*W395+'main page'!$K$27*('main page'!$K$24+'main page'!$K$11))/'main page'!$K$31,(B395-B394*V395+D394*W395-H395+'main page'!$K$27*('main page'!$K$24+'main page'!$K$11))/'main page'!$K$31)</f>
        <v>#DIV/0!</v>
      </c>
      <c r="AB394" s="49" t="e">
        <f ca="1">IF(controls!$B$45=1,LOG(AF394,1.01)+LOG(AE394,1.01)-LOG(AD394,1.01),-((M394-('main page'!$K$24+'main page'!$K$11))/(1-'normal case'!$AO$3))+'normal case'!AA394)</f>
        <v>#DIV/0!</v>
      </c>
      <c r="AC394" s="176" t="e">
        <f t="shared" ca="1" si="44"/>
        <v>#DIV/0!</v>
      </c>
      <c r="AD394" s="49">
        <f t="shared" ca="1" si="45"/>
        <v>2304.979986637471</v>
      </c>
      <c r="AE394" s="49">
        <f>AE393*(1+'main page'!$K$32/100)</f>
        <v>1</v>
      </c>
      <c r="AF394" s="49" t="e">
        <f ca="1">IF(ABS(IF(controls!$B$45=1,$AL$13,AD394*AC394/AE394)-AF393)&lt;0.00001,AF393,IF(controls!$B$45=1,$AL$13,AD394*AC394/AE394))</f>
        <v>#DIV/0!</v>
      </c>
      <c r="AG394" s="49">
        <f>IF(controls!$B$46=0,0,IF(controls!$B$33=2,B395-B394*V395-('normal case'!H395-D394*W395-'main page'!$K$27*'normal case'!M394+'main page'!$K$31*'normal case'!AB394)-(('main page'!$K$25*'main page'!$U$13*'main page'!$K$29)/(1+('main page'!$K$25^2)*'main page'!$U$13))*('normal case'!L394-'main page'!$U$8),B395-B394*V395-('normal case'!I395-D394*W395-'main page'!$K$27*'normal case'!M394+'main page'!$K$31*'normal case'!AB394)-(('main page'!$K$25*'main page'!$U$13*'main page'!$K$29)/(1+('main page'!$K$25^2)*'main page'!$U$13))*('normal case'!L394-'main page'!$U$8)))</f>
        <v>0</v>
      </c>
      <c r="AN394" s="40"/>
      <c r="AO394" s="40"/>
    </row>
    <row r="395" spans="1:41">
      <c r="A395" s="48">
        <v>393</v>
      </c>
      <c r="B395" s="75">
        <f ca="1">IF(controls!$B$33=1,B394*(1+V395)+T395,B394*(1+V395))</f>
        <v>100</v>
      </c>
      <c r="C395" s="80">
        <f t="shared" ca="1" si="46"/>
        <v>0</v>
      </c>
      <c r="D395" s="77">
        <f t="shared" ca="1" si="42"/>
        <v>100</v>
      </c>
      <c r="E395" s="77">
        <f ca="1">AG394+IF(controls!$B$33=1,G395,F395)</f>
        <v>100</v>
      </c>
      <c r="F395" s="94">
        <f ca="1">IF(controls!$B$44=0,H395-'main page'!$K$27*M394,H395-'main page'!$K$27*M394+'main page'!$K$31*AB394)</f>
        <v>100</v>
      </c>
      <c r="G395" s="75">
        <f ca="1">IF(controls!$B$44=0,I395-'main page'!$K$27*M394,I395-'main page'!$K$27*M394+'main page'!$K$31*'normal case'!AB394)</f>
        <v>100</v>
      </c>
      <c r="H395" s="75">
        <f t="shared" ca="1" si="40"/>
        <v>108</v>
      </c>
      <c r="I395" s="75">
        <f t="shared" ca="1" si="41"/>
        <v>108</v>
      </c>
      <c r="L395" s="75">
        <f ca="1">IF(ABS('main page'!$K$29*L394+(1-'main page'!$K$29)*(controls!$B$9/100)*100+'main page'!$K$25*(D395-B395)-L394)&lt;0.0000001,L394,'main page'!$K$29*L394+(1-'main page'!$K$29)*(controls!$B$9/100)*100+'main page'!$K$25*(D395-B395))</f>
        <v>2</v>
      </c>
      <c r="M395" s="96">
        <f ca="1">IF(controls!$B$10=1,M394,IF(SUM(controls!$B$44:$B$46)=2,N395-'main page'!$K$29*'normal case'!L395-(1-'main page'!$K$29)*'main page'!$K$32,N395-'main page'!$K$29*'normal case'!L395-(1-'main page'!$K$29)*controls!$B$9))</f>
        <v>4</v>
      </c>
      <c r="N395" s="208">
        <f ca="1">IF(controls!$B$45=1,IF(controls!$B$46=1,'main page'!$K$24+'main page'!$K$11+'main page'!$U$8,'main page'!$K$24+'main page'!$K$11+'main page'!$K$32),IF(controls!$B$44=1,IF(O395&lt;0,0,O395),IF(O395+'main page'!$K$11&lt;0,0,O395+'main page'!$K$11)))</f>
        <v>6</v>
      </c>
      <c r="O395" s="76">
        <f ca="1">IF(controls!$B$10=1,'normal case'!M395+'normal case'!L395,'normal case'!P395)</f>
        <v>6</v>
      </c>
      <c r="P395" s="74">
        <f t="shared" ca="1" si="43"/>
        <v>6</v>
      </c>
      <c r="Q395" s="210">
        <f ca="1">IF(controls!$B$44=0,R395+'main page'!$K$29*L395+(1-'main page'!$K$29)*controls!$B$9+(('main page'!$K$25*'main page'!$U$13*'main page'!$K$29)/('main page'!$K$27*(1+('main page'!$K$25^2)*'main page'!$U$13)))*(L395-controls!$B$9),R395+'main page'!$K$29*L395+(1-'main page'!$K$29)*controls!$B$9+(('main page'!$K$25*'main page'!$U$13*'normal case'!$AO$3)/'normal case'!$AO$4)*('normal case'!L395-controls!$B$9))</f>
        <v>6</v>
      </c>
      <c r="R395" s="98">
        <f ca="1">IF(controls!$B$44=1,'main page'!$K$24+'main page'!$K$11,IF(controls!$B$33=1,((I396-D395*W396-B396+B395*V396)/'main page'!$K$27)-'main page'!$K$11,((H396-D395*W396-B396+B395*V396)/'main page'!$K$27)-'main page'!$K$11))</f>
        <v>4</v>
      </c>
      <c r="T395" s="71">
        <f>IF(controls!$B$6=1,$AL$3*(1+('main page'!$K$35/100))^U395-$AL$3*(1+('main page'!$K$35/100))^U394,$AL$3*(1+('main page'!$G$8/100))*(1+('main page'!$K$35/100))^U395-$AL$3*(1+('main page'!$G$8/100))*(1+('main page'!$K$35/100))^U394)</f>
        <v>0</v>
      </c>
      <c r="U395" s="73">
        <v>388</v>
      </c>
      <c r="V395" s="161">
        <f ca="1">IF(controls!$B$4=1,IF(controls!$H394=1,controls!$B$34*V394+RAND()*('main page'!$K$16/100)-RAND()*('main page'!$K$16/100),0),0)</f>
        <v>0</v>
      </c>
      <c r="W395" s="40">
        <f ca="1">IF(controls!$B$4=1,IF(controls!$I394=1,controls!$B$34*W394+RAND()*('main page'!$K$16/100)-RAND()*('main page'!$K$16/100),0),0)</f>
        <v>0</v>
      </c>
      <c r="X395" s="49">
        <f ca="1">IF(controls!$B$33=1,D395-($I$3-'main page'!$K$27*2)*(1+('main page'!$K$35/100))^A394,D395-$AL$4)</f>
        <v>0</v>
      </c>
      <c r="Y395" s="49">
        <f ca="1">ABS(L395-(controls!$B$9/100)*100)</f>
        <v>0</v>
      </c>
      <c r="AA395" s="49" t="e">
        <f ca="1">IF(controls!$B$33=1,(B396-B395*V396-I396+D395*W396+'main page'!$K$27*('main page'!$K$24+'main page'!$K$11))/'main page'!$K$31,(B396-B395*V396+D395*W396-H396+'main page'!$K$27*('main page'!$K$24+'main page'!$K$11))/'main page'!$K$31)</f>
        <v>#DIV/0!</v>
      </c>
      <c r="AB395" s="49" t="e">
        <f ca="1">IF(controls!$B$45=1,LOG(AF395,1.01)+LOG(AE395,1.01)-LOG(AD395,1.01),-((M395-('main page'!$K$24+'main page'!$K$11))/(1-'normal case'!$AO$3))+'normal case'!AA395)</f>
        <v>#DIV/0!</v>
      </c>
      <c r="AC395" s="176" t="e">
        <f t="shared" ca="1" si="44"/>
        <v>#DIV/0!</v>
      </c>
      <c r="AD395" s="49">
        <f t="shared" ca="1" si="45"/>
        <v>2351.0795863702206</v>
      </c>
      <c r="AE395" s="49">
        <f>AE394*(1+'main page'!$K$32/100)</f>
        <v>1</v>
      </c>
      <c r="AF395" s="49" t="e">
        <f ca="1">IF(ABS(IF(controls!$B$45=1,$AL$13,AD395*AC395/AE395)-AF394)&lt;0.00001,AF394,IF(controls!$B$45=1,$AL$13,AD395*AC395/AE395))</f>
        <v>#DIV/0!</v>
      </c>
      <c r="AG395" s="49">
        <f>IF(controls!$B$46=0,0,IF(controls!$B$33=2,B396-B395*V396-('normal case'!H396-D395*W396-'main page'!$K$27*'normal case'!M395+'main page'!$K$31*'normal case'!AB395)-(('main page'!$K$25*'main page'!$U$13*'main page'!$K$29)/(1+('main page'!$K$25^2)*'main page'!$U$13))*('normal case'!L395-'main page'!$U$8),B396-B395*V396-('normal case'!I396-D395*W396-'main page'!$K$27*'normal case'!M395+'main page'!$K$31*'normal case'!AB395)-(('main page'!$K$25*'main page'!$U$13*'main page'!$K$29)/(1+('main page'!$K$25^2)*'main page'!$U$13))*('normal case'!L395-'main page'!$U$8)))</f>
        <v>0</v>
      </c>
      <c r="AN395" s="40"/>
      <c r="AO395" s="40"/>
    </row>
    <row r="396" spans="1:41">
      <c r="A396" s="48">
        <v>394</v>
      </c>
      <c r="B396" s="75">
        <f ca="1">IF(controls!$B$33=1,B395*(1+V396)+T396,B395*(1+V396))</f>
        <v>100</v>
      </c>
      <c r="C396" s="80">
        <f t="shared" ca="1" si="46"/>
        <v>0</v>
      </c>
      <c r="D396" s="77">
        <f t="shared" ca="1" si="42"/>
        <v>100</v>
      </c>
      <c r="E396" s="77">
        <f ca="1">AG395+IF(controls!$B$33=1,G396,F396)</f>
        <v>100</v>
      </c>
      <c r="F396" s="94">
        <f ca="1">IF(controls!$B$44=0,H396-'main page'!$K$27*M395,H396-'main page'!$K$27*M395+'main page'!$K$31*AB395)</f>
        <v>100</v>
      </c>
      <c r="G396" s="75">
        <f ca="1">IF(controls!$B$44=0,I396-'main page'!$K$27*M395,I396-'main page'!$K$27*M395+'main page'!$K$31*'normal case'!AB395)</f>
        <v>100</v>
      </c>
      <c r="H396" s="75">
        <f t="shared" ca="1" si="40"/>
        <v>108</v>
      </c>
      <c r="I396" s="75">
        <f t="shared" ca="1" si="41"/>
        <v>108</v>
      </c>
      <c r="L396" s="75">
        <f ca="1">IF(ABS('main page'!$K$29*L395+(1-'main page'!$K$29)*(controls!$B$9/100)*100+'main page'!$K$25*(D396-B396)-L395)&lt;0.0000001,L395,'main page'!$K$29*L395+(1-'main page'!$K$29)*(controls!$B$9/100)*100+'main page'!$K$25*(D396-B396))</f>
        <v>2</v>
      </c>
      <c r="M396" s="96">
        <f ca="1">IF(controls!$B$10=1,M395,IF(SUM(controls!$B$44:$B$46)=2,N396-'main page'!$K$29*'normal case'!L396-(1-'main page'!$K$29)*'main page'!$K$32,N396-'main page'!$K$29*'normal case'!L396-(1-'main page'!$K$29)*controls!$B$9))</f>
        <v>4</v>
      </c>
      <c r="N396" s="208">
        <f ca="1">IF(controls!$B$45=1,IF(controls!$B$46=1,'main page'!$K$24+'main page'!$K$11+'main page'!$U$8,'main page'!$K$24+'main page'!$K$11+'main page'!$K$32),IF(controls!$B$44=1,IF(O396&lt;0,0,O396),IF(O396+'main page'!$K$11&lt;0,0,O396+'main page'!$K$11)))</f>
        <v>6</v>
      </c>
      <c r="O396" s="76">
        <f ca="1">IF(controls!$B$10=1,'normal case'!M396+'normal case'!L396,'normal case'!P396)</f>
        <v>6</v>
      </c>
      <c r="P396" s="74">
        <f t="shared" ca="1" si="43"/>
        <v>6</v>
      </c>
      <c r="Q396" s="210">
        <f ca="1">IF(controls!$B$44=0,R396+'main page'!$K$29*L396+(1-'main page'!$K$29)*controls!$B$9+(('main page'!$K$25*'main page'!$U$13*'main page'!$K$29)/('main page'!$K$27*(1+('main page'!$K$25^2)*'main page'!$U$13)))*(L396-controls!$B$9),R396+'main page'!$K$29*L396+(1-'main page'!$K$29)*controls!$B$9+(('main page'!$K$25*'main page'!$U$13*'normal case'!$AO$3)/'normal case'!$AO$4)*('normal case'!L396-controls!$B$9))</f>
        <v>6</v>
      </c>
      <c r="R396" s="98">
        <f ca="1">IF(controls!$B$44=1,'main page'!$K$24+'main page'!$K$11,IF(controls!$B$33=1,((I397-D396*W397-B397+B396*V397)/'main page'!$K$27)-'main page'!$K$11,((H397-D396*W397-B397+B396*V397)/'main page'!$K$27)-'main page'!$K$11))</f>
        <v>4</v>
      </c>
      <c r="T396" s="71">
        <f>IF(controls!$B$6=1,$AL$3*(1+('main page'!$K$35/100))^U396-$AL$3*(1+('main page'!$K$35/100))^U395,$AL$3*(1+('main page'!$G$8/100))*(1+('main page'!$K$35/100))^U396-$AL$3*(1+('main page'!$G$8/100))*(1+('main page'!$K$35/100))^U395)</f>
        <v>0</v>
      </c>
      <c r="U396" s="73">
        <v>389</v>
      </c>
      <c r="V396" s="161">
        <v>0</v>
      </c>
      <c r="W396" s="40">
        <v>0</v>
      </c>
      <c r="X396" s="49">
        <f ca="1">IF(controls!$B$33=1,D396-($I$3-'main page'!$K$27*2)*(1+('main page'!$K$35/100))^A395,D396-$AL$4)</f>
        <v>0</v>
      </c>
      <c r="Y396" s="49">
        <f ca="1">ABS(L396-(controls!$B$9/100)*100)</f>
        <v>0</v>
      </c>
      <c r="AA396" s="49" t="e">
        <f ca="1">IF(controls!$B$33=1,(B397-B396*V397-I397+D396*W397+'main page'!$K$27*('main page'!$K$24+'main page'!$K$11))/'main page'!$K$31,(B397-B396*V397+D396*W397-H397+'main page'!$K$27*('main page'!$K$24+'main page'!$K$11))/'main page'!$K$31)</f>
        <v>#DIV/0!</v>
      </c>
      <c r="AB396" s="49" t="e">
        <f ca="1">IF(controls!$B$45=1,LOG(AF396,1.01)+LOG(AE396,1.01)-LOG(AD396,1.01),-((M396-('main page'!$K$24+'main page'!$K$11))/(1-'normal case'!$AO$3))+'normal case'!AA396)</f>
        <v>#DIV/0!</v>
      </c>
      <c r="AC396" s="176" t="e">
        <f t="shared" ca="1" si="44"/>
        <v>#DIV/0!</v>
      </c>
      <c r="AD396" s="49">
        <f t="shared" ca="1" si="45"/>
        <v>2398.1011780976251</v>
      </c>
      <c r="AE396" s="49">
        <f>AE395*(1+'main page'!$K$32/100)</f>
        <v>1</v>
      </c>
      <c r="AF396" s="49" t="e">
        <f ca="1">IF(ABS(IF(controls!$B$45=1,$AL$13,AD396*AC396/AE396)-AF395)&lt;0.00001,AF395,IF(controls!$B$45=1,$AL$13,AD396*AC396/AE396))</f>
        <v>#DIV/0!</v>
      </c>
      <c r="AG396" s="49">
        <f>IF(controls!$B$46=0,0,IF(controls!$B$33=2,B397-B396*V397-('normal case'!H397-D396*W397-'main page'!$K$27*'normal case'!M396+'main page'!$K$31*'normal case'!AB396)-(('main page'!$K$25*'main page'!$U$13*'main page'!$K$29)/(1+('main page'!$K$25^2)*'main page'!$U$13))*('normal case'!L396-'main page'!$U$8),B397-B396*V397-('normal case'!I397-D396*W397-'main page'!$K$27*'normal case'!M396+'main page'!$K$31*'normal case'!AB396)-(('main page'!$K$25*'main page'!$U$13*'main page'!$K$29)/(1+('main page'!$K$25^2)*'main page'!$U$13))*('normal case'!L396-'main page'!$U$8)))</f>
        <v>0</v>
      </c>
      <c r="AN396" s="40"/>
      <c r="AO396" s="40"/>
    </row>
    <row r="397" spans="1:41">
      <c r="A397" s="48">
        <v>395</v>
      </c>
      <c r="B397" s="75">
        <f ca="1">IF(controls!$B$33=1,B396*(1+V397)+T397,B396*(1+V397))</f>
        <v>100</v>
      </c>
      <c r="C397" s="80">
        <f t="shared" ca="1" si="46"/>
        <v>0</v>
      </c>
      <c r="D397" s="77">
        <f t="shared" ca="1" si="42"/>
        <v>100</v>
      </c>
      <c r="E397" s="77">
        <f ca="1">AG396+IF(controls!$B$33=1,G397,F397)</f>
        <v>100</v>
      </c>
      <c r="F397" s="94">
        <f ca="1">IF(controls!$B$44=0,H397-'main page'!$K$27*M396,H397-'main page'!$K$27*M396+'main page'!$K$31*AB396)</f>
        <v>100</v>
      </c>
      <c r="G397" s="75">
        <f ca="1">IF(controls!$B$44=0,I397-'main page'!$K$27*M396,I397-'main page'!$K$27*M396+'main page'!$K$31*'normal case'!AB396)</f>
        <v>100</v>
      </c>
      <c r="H397" s="75">
        <f t="shared" ca="1" si="40"/>
        <v>108</v>
      </c>
      <c r="I397" s="75">
        <f t="shared" ca="1" si="41"/>
        <v>108</v>
      </c>
      <c r="L397" s="75">
        <f ca="1">IF(ABS('main page'!$K$29*L396+(1-'main page'!$K$29)*(controls!$B$9/100)*100+'main page'!$K$25*(D397-B397)-L396)&lt;0.0000001,L396,'main page'!$K$29*L396+(1-'main page'!$K$29)*(controls!$B$9/100)*100+'main page'!$K$25*(D397-B397))</f>
        <v>2</v>
      </c>
      <c r="M397" s="96">
        <f ca="1">IF(controls!$B$10=1,M396,IF(SUM(controls!$B$44:$B$46)=2,N397-'main page'!$K$29*'normal case'!L397-(1-'main page'!$K$29)*'main page'!$K$32,N397-'main page'!$K$29*'normal case'!L397-(1-'main page'!$K$29)*controls!$B$9))</f>
        <v>4</v>
      </c>
      <c r="N397" s="208">
        <f ca="1">IF(controls!$B$45=1,IF(controls!$B$46=1,'main page'!$K$24+'main page'!$K$11+'main page'!$U$8,'main page'!$K$24+'main page'!$K$11+'main page'!$K$32),IF(controls!$B$44=1,IF(O397&lt;0,0,O397),IF(O397+'main page'!$K$11&lt;0,0,O397+'main page'!$K$11)))</f>
        <v>6</v>
      </c>
      <c r="O397" s="76">
        <f ca="1">IF(controls!$B$10=1,'normal case'!M397+'normal case'!L397,'normal case'!P397)</f>
        <v>6</v>
      </c>
      <c r="P397" s="74">
        <f t="shared" ca="1" si="43"/>
        <v>6</v>
      </c>
      <c r="Q397" s="210">
        <f ca="1">IF(controls!$B$44=0,R397+'main page'!$K$29*L397+(1-'main page'!$K$29)*controls!$B$9+(('main page'!$K$25*'main page'!$U$13*'main page'!$K$29)/('main page'!$K$27*(1+('main page'!$K$25^2)*'main page'!$U$13)))*(L397-controls!$B$9),R397+'main page'!$K$29*L397+(1-'main page'!$K$29)*controls!$B$9+(('main page'!$K$25*'main page'!$U$13*'normal case'!$AO$3)/'normal case'!$AO$4)*('normal case'!L397-controls!$B$9))</f>
        <v>6</v>
      </c>
      <c r="R397" s="98">
        <f ca="1">IF(controls!$B$44=1,'main page'!$K$24+'main page'!$K$11,IF(controls!$B$33=1,((I398-D397*W398-B398+B397*V398)/'main page'!$K$27)-'main page'!$K$11,((H398-D397*W398-B398+B397*V398)/'main page'!$K$27)-'main page'!$K$11))</f>
        <v>4</v>
      </c>
      <c r="T397" s="71">
        <f>IF(controls!$B$6=1,$AL$3*(1+('main page'!$K$35/100))^U397-$AL$3*(1+('main page'!$K$35/100))^U396,$AL$3*(1+('main page'!$G$8/100))*(1+('main page'!$K$35/100))^U397-$AL$3*(1+('main page'!$G$8/100))*(1+('main page'!$K$35/100))^U396)</f>
        <v>0</v>
      </c>
      <c r="U397" s="73">
        <v>390</v>
      </c>
      <c r="V397" s="161">
        <v>0</v>
      </c>
      <c r="W397" s="40">
        <v>0</v>
      </c>
      <c r="X397" s="49">
        <f ca="1">IF(controls!$B$33=1,D397-($I$3-'main page'!$K$27*2)*(1+('main page'!$K$35/100))^A396,D397-$AL$4)</f>
        <v>0</v>
      </c>
      <c r="Y397" s="49">
        <f ca="1">ABS(L397-(controls!$B$9/100)*100)</f>
        <v>0</v>
      </c>
      <c r="AA397" s="49" t="e">
        <f ca="1">IF(controls!$B$33=1,(B398-B397*V398-I398+D397*W398+'main page'!$K$27*('main page'!$K$24+'main page'!$K$11))/'main page'!$K$31,(B398-B397*V398+D397*W398-H398+'main page'!$K$27*('main page'!$K$24+'main page'!$K$11))/'main page'!$K$31)</f>
        <v>#DIV/0!</v>
      </c>
      <c r="AB397" s="49" t="e">
        <f ca="1">IF(controls!$B$45=1,LOG(AF397,1.01)+LOG(AE397,1.01)-LOG(AD397,1.01),-((M397-('main page'!$K$24+'main page'!$K$11))/(1-'normal case'!$AO$3))+'normal case'!AA397)</f>
        <v>#DIV/0!</v>
      </c>
      <c r="AC397" s="176" t="e">
        <f t="shared" ca="1" si="44"/>
        <v>#DIV/0!</v>
      </c>
      <c r="AD397" s="49">
        <f t="shared" ca="1" si="45"/>
        <v>2446.0632016595778</v>
      </c>
      <c r="AE397" s="49">
        <f>AE396*(1+'main page'!$K$32/100)</f>
        <v>1</v>
      </c>
      <c r="AF397" s="49" t="e">
        <f ca="1">IF(ABS(IF(controls!$B$45=1,$AL$13,AD397*AC397/AE397)-AF396)&lt;0.00001,AF396,IF(controls!$B$45=1,$AL$13,AD397*AC397/AE397))</f>
        <v>#DIV/0!</v>
      </c>
      <c r="AG397" s="49">
        <f>IF(controls!$B$46=0,0,IF(controls!$B$33=2,B398-B397*V398-('normal case'!H398-D397*W398-'main page'!$K$27*'normal case'!M397+'main page'!$K$31*'normal case'!AB397)-(('main page'!$K$25*'main page'!$U$13*'main page'!$K$29)/(1+('main page'!$K$25^2)*'main page'!$U$13))*('normal case'!L397-'main page'!$U$8),B398-B397*V398-('normal case'!I398-D397*W398-'main page'!$K$27*'normal case'!M397+'main page'!$K$31*'normal case'!AB397)-(('main page'!$K$25*'main page'!$U$13*'main page'!$K$29)/(1+('main page'!$K$25^2)*'main page'!$U$13))*('normal case'!L397-'main page'!$U$8)))</f>
        <v>0</v>
      </c>
      <c r="AN397" s="40"/>
      <c r="AO397" s="40"/>
    </row>
    <row r="398" spans="1:41">
      <c r="A398" s="48">
        <v>396</v>
      </c>
      <c r="B398" s="75">
        <f ca="1">IF(controls!$B$33=1,B397*(1+V398)+T398,B397*(1+V398))</f>
        <v>100</v>
      </c>
      <c r="C398" s="80">
        <f t="shared" ca="1" si="46"/>
        <v>0</v>
      </c>
      <c r="D398" s="77">
        <f t="shared" ca="1" si="42"/>
        <v>100</v>
      </c>
      <c r="E398" s="77">
        <f ca="1">AG397+IF(controls!$B$33=1,G398,F398)</f>
        <v>100</v>
      </c>
      <c r="F398" s="94">
        <f ca="1">IF(controls!$B$44=0,H398-'main page'!$K$27*M397,H398-'main page'!$K$27*M397+'main page'!$K$31*AB397)</f>
        <v>100</v>
      </c>
      <c r="G398" s="75">
        <f ca="1">IF(controls!$B$44=0,I398-'main page'!$K$27*M397,I398-'main page'!$K$27*M397+'main page'!$K$31*'normal case'!AB397)</f>
        <v>100</v>
      </c>
      <c r="H398" s="75">
        <f t="shared" ca="1" si="40"/>
        <v>108</v>
      </c>
      <c r="I398" s="75">
        <f t="shared" ca="1" si="41"/>
        <v>108</v>
      </c>
      <c r="L398" s="75">
        <f ca="1">IF(ABS('main page'!$K$29*L397+(1-'main page'!$K$29)*(controls!$B$9/100)*100+'main page'!$K$25*(D398-B398)-L397)&lt;0.0000001,L397,'main page'!$K$29*L397+(1-'main page'!$K$29)*(controls!$B$9/100)*100+'main page'!$K$25*(D398-B398))</f>
        <v>2</v>
      </c>
      <c r="M398" s="96">
        <f ca="1">IF(controls!$B$10=1,M397,IF(SUM(controls!$B$44:$B$46)=2,N398-'main page'!$K$29*'normal case'!L398-(1-'main page'!$K$29)*'main page'!$K$32,N398-'main page'!$K$29*'normal case'!L398-(1-'main page'!$K$29)*controls!$B$9))</f>
        <v>4</v>
      </c>
      <c r="N398" s="208">
        <f ca="1">IF(controls!$B$45=1,IF(controls!$B$46=1,'main page'!$K$24+'main page'!$K$11+'main page'!$U$8,'main page'!$K$24+'main page'!$K$11+'main page'!$K$32),IF(controls!$B$44=1,IF(O398&lt;0,0,O398),IF(O398+'main page'!$K$11&lt;0,0,O398+'main page'!$K$11)))</f>
        <v>6</v>
      </c>
      <c r="O398" s="76">
        <f ca="1">IF(controls!$B$10=1,'normal case'!M398+'normal case'!L398,'normal case'!P398)</f>
        <v>6</v>
      </c>
      <c r="P398" s="74">
        <f t="shared" ca="1" si="43"/>
        <v>6</v>
      </c>
      <c r="Q398" s="210">
        <f ca="1">IF(controls!$B$44=0,R398+'main page'!$K$29*L398+(1-'main page'!$K$29)*controls!$B$9+(('main page'!$K$25*'main page'!$U$13*'main page'!$K$29)/('main page'!$K$27*(1+('main page'!$K$25^2)*'main page'!$U$13)))*(L398-controls!$B$9),R398+'main page'!$K$29*L398+(1-'main page'!$K$29)*controls!$B$9+(('main page'!$K$25*'main page'!$U$13*'normal case'!$AO$3)/'normal case'!$AO$4)*('normal case'!L398-controls!$B$9))</f>
        <v>6</v>
      </c>
      <c r="R398" s="98">
        <f ca="1">IF(controls!$B$44=1,'main page'!$K$24+'main page'!$K$11,IF(controls!$B$33=1,((I399-D398*W399-B399+B398*V399)/'main page'!$K$27)-'main page'!$K$11,((H399-D398*W399-B399+B398*V399)/'main page'!$K$27)-'main page'!$K$11))</f>
        <v>4</v>
      </c>
      <c r="T398" s="71">
        <f>IF(controls!$B$6=1,$AL$3*(1+('main page'!$K$35/100))^U398-$AL$3*(1+('main page'!$K$35/100))^U397,$AL$3*(1+('main page'!$G$8/100))*(1+('main page'!$K$35/100))^U398-$AL$3*(1+('main page'!$G$8/100))*(1+('main page'!$K$35/100))^U397)</f>
        <v>0</v>
      </c>
      <c r="U398" s="73">
        <v>391</v>
      </c>
      <c r="V398" s="161">
        <f ca="1">IF(controls!$B$4=1,IF(controls!$H397=1,controls!$B$34*V397+RAND()*('main page'!$K$16/100)-RAND()*('main page'!$K$16/100),0),0)</f>
        <v>0</v>
      </c>
      <c r="W398" s="40">
        <f ca="1">IF(controls!$B$4=1,IF(controls!$I397=1,controls!$B$34*W397+RAND()*('main page'!$K$16/100)-RAND()*('main page'!$K$16/100),0),0)</f>
        <v>0</v>
      </c>
      <c r="X398" s="49">
        <f ca="1">IF(controls!$B$33=1,D398-($I$3-'main page'!$K$27*2)*(1+('main page'!$K$35/100))^A397,D398-$AL$4)</f>
        <v>0</v>
      </c>
      <c r="Y398" s="49">
        <f ca="1">ABS(L398-(controls!$B$9/100)*100)</f>
        <v>0</v>
      </c>
      <c r="AA398" s="49" t="e">
        <f ca="1">IF(controls!$B$33=1,(B399-B398*V399-I399+D398*W399+'main page'!$K$27*('main page'!$K$24+'main page'!$K$11))/'main page'!$K$31,(B399-B398*V399+D398*W399-H399+'main page'!$K$27*('main page'!$K$24+'main page'!$K$11))/'main page'!$K$31)</f>
        <v>#DIV/0!</v>
      </c>
      <c r="AB398" s="49" t="e">
        <f ca="1">IF(controls!$B$45=1,LOG(AF398,1.01)+LOG(AE398,1.01)-LOG(AD398,1.01),-((M398-('main page'!$K$24+'main page'!$K$11))/(1-'normal case'!$AO$3))+'normal case'!AA398)</f>
        <v>#DIV/0!</v>
      </c>
      <c r="AC398" s="176" t="e">
        <f t="shared" ca="1" si="44"/>
        <v>#DIV/0!</v>
      </c>
      <c r="AD398" s="49">
        <f t="shared" ca="1" si="45"/>
        <v>2494.9844656927694</v>
      </c>
      <c r="AE398" s="49">
        <f>AE397*(1+'main page'!$K$32/100)</f>
        <v>1</v>
      </c>
      <c r="AF398" s="49" t="e">
        <f ca="1">IF(ABS(IF(controls!$B$45=1,$AL$13,AD398*AC398/AE398)-AF397)&lt;0.00001,AF397,IF(controls!$B$45=1,$AL$13,AD398*AC398/AE398))</f>
        <v>#DIV/0!</v>
      </c>
      <c r="AG398" s="49">
        <f>IF(controls!$B$46=0,0,IF(controls!$B$33=2,B399-B398*V399-('normal case'!H399-D398*W399-'main page'!$K$27*'normal case'!M398+'main page'!$K$31*'normal case'!AB398)-(('main page'!$K$25*'main page'!$U$13*'main page'!$K$29)/(1+('main page'!$K$25^2)*'main page'!$U$13))*('normal case'!L398-'main page'!$U$8),B399-B398*V399-('normal case'!I399-D398*W399-'main page'!$K$27*'normal case'!M398+'main page'!$K$31*'normal case'!AB398)-(('main page'!$K$25*'main page'!$U$13*'main page'!$K$29)/(1+('main page'!$K$25^2)*'main page'!$U$13))*('normal case'!L398-'main page'!$U$8)))</f>
        <v>0</v>
      </c>
      <c r="AN398" s="40"/>
      <c r="AO398" s="40"/>
    </row>
    <row r="399" spans="1:41">
      <c r="A399" s="48">
        <v>397</v>
      </c>
      <c r="B399" s="75">
        <f ca="1">IF(controls!$B$33=1,B398*(1+V399)+T399,B398*(1+V399))</f>
        <v>100</v>
      </c>
      <c r="C399" s="80">
        <f t="shared" ca="1" si="46"/>
        <v>0</v>
      </c>
      <c r="D399" s="77">
        <f t="shared" ca="1" si="42"/>
        <v>100</v>
      </c>
      <c r="E399" s="77">
        <f ca="1">AG398+IF(controls!$B$33=1,G399,F399)</f>
        <v>100</v>
      </c>
      <c r="F399" s="94">
        <f ca="1">IF(controls!$B$44=0,H399-'main page'!$K$27*M398,H399-'main page'!$K$27*M398+'main page'!$K$31*AB398)</f>
        <v>100</v>
      </c>
      <c r="G399" s="75">
        <f ca="1">IF(controls!$B$44=0,I399-'main page'!$K$27*M398,I399-'main page'!$K$27*M398+'main page'!$K$31*'normal case'!AB398)</f>
        <v>100</v>
      </c>
      <c r="H399" s="75">
        <f t="shared" ca="1" si="40"/>
        <v>108</v>
      </c>
      <c r="I399" s="75">
        <f t="shared" ca="1" si="41"/>
        <v>108</v>
      </c>
      <c r="L399" s="75">
        <f ca="1">IF(ABS('main page'!$K$29*L398+(1-'main page'!$K$29)*(controls!$B$9/100)*100+'main page'!$K$25*(D399-B399)-L398)&lt;0.0000001,L398,'main page'!$K$29*L398+(1-'main page'!$K$29)*(controls!$B$9/100)*100+'main page'!$K$25*(D399-B399))</f>
        <v>2</v>
      </c>
      <c r="M399" s="96">
        <f ca="1">IF(controls!$B$10=1,M398,IF(SUM(controls!$B$44:$B$46)=2,N399-'main page'!$K$29*'normal case'!L399-(1-'main page'!$K$29)*'main page'!$K$32,N399-'main page'!$K$29*'normal case'!L399-(1-'main page'!$K$29)*controls!$B$9))</f>
        <v>4</v>
      </c>
      <c r="N399" s="208">
        <f ca="1">IF(controls!$B$45=1,IF(controls!$B$46=1,'main page'!$K$24+'main page'!$K$11+'main page'!$U$8,'main page'!$K$24+'main page'!$K$11+'main page'!$K$32),IF(controls!$B$44=1,IF(O399&lt;0,0,O399),IF(O399+'main page'!$K$11&lt;0,0,O399+'main page'!$K$11)))</f>
        <v>6</v>
      </c>
      <c r="O399" s="76">
        <f ca="1">IF(controls!$B$10=1,'normal case'!M399+'normal case'!L399,'normal case'!P399)</f>
        <v>6</v>
      </c>
      <c r="P399" s="74">
        <f t="shared" ca="1" si="43"/>
        <v>6</v>
      </c>
      <c r="Q399" s="210">
        <f ca="1">IF(controls!$B$44=0,R399+'main page'!$K$29*L399+(1-'main page'!$K$29)*controls!$B$9+(('main page'!$K$25*'main page'!$U$13*'main page'!$K$29)/('main page'!$K$27*(1+('main page'!$K$25^2)*'main page'!$U$13)))*(L399-controls!$B$9),R399+'main page'!$K$29*L399+(1-'main page'!$K$29)*controls!$B$9+(('main page'!$K$25*'main page'!$U$13*'normal case'!$AO$3)/'normal case'!$AO$4)*('normal case'!L399-controls!$B$9))</f>
        <v>6</v>
      </c>
      <c r="R399" s="98">
        <f ca="1">IF(controls!$B$44=1,'main page'!$K$24+'main page'!$K$11,IF(controls!$B$33=1,((I400-D399*W400-B400+B399*V400)/'main page'!$K$27)-'main page'!$K$11,((H400-D399*W400-B400+B399*V400)/'main page'!$K$27)-'main page'!$K$11))</f>
        <v>4</v>
      </c>
      <c r="T399" s="71">
        <f>IF(controls!$B$6=1,$AL$3*(1+('main page'!$K$35/100))^U399-$AL$3*(1+('main page'!$K$35/100))^U398,$AL$3*(1+('main page'!$G$8/100))*(1+('main page'!$K$35/100))^U399-$AL$3*(1+('main page'!$G$8/100))*(1+('main page'!$K$35/100))^U398)</f>
        <v>0</v>
      </c>
      <c r="U399" s="73">
        <v>392</v>
      </c>
      <c r="V399" s="161">
        <v>0</v>
      </c>
      <c r="W399" s="40">
        <v>0</v>
      </c>
      <c r="X399" s="49">
        <f ca="1">IF(controls!$B$33=1,D399-($I$3-'main page'!$K$27*2)*(1+('main page'!$K$35/100))^A398,D399-$AL$4)</f>
        <v>0</v>
      </c>
      <c r="Y399" s="49">
        <f ca="1">ABS(L399-(controls!$B$9/100)*100)</f>
        <v>0</v>
      </c>
      <c r="AA399" s="49" t="e">
        <f ca="1">IF(controls!$B$33=1,(B400-B399*V400-I400+D399*W400+'main page'!$K$27*('main page'!$K$24+'main page'!$K$11))/'main page'!$K$31,(B400-B399*V400+D399*W400-H400+'main page'!$K$27*('main page'!$K$24+'main page'!$K$11))/'main page'!$K$31)</f>
        <v>#DIV/0!</v>
      </c>
      <c r="AB399" s="49" t="e">
        <f ca="1">IF(controls!$B$45=1,LOG(AF399,1.01)+LOG(AE399,1.01)-LOG(AD399,1.01),-((M399-('main page'!$K$24+'main page'!$K$11))/(1-'normal case'!$AO$3))+'normal case'!AA399)</f>
        <v>#DIV/0!</v>
      </c>
      <c r="AC399" s="176" t="e">
        <f t="shared" ca="1" si="44"/>
        <v>#DIV/0!</v>
      </c>
      <c r="AD399" s="49">
        <f t="shared" ca="1" si="45"/>
        <v>2544.884155006625</v>
      </c>
      <c r="AE399" s="49">
        <f>AE398*(1+'main page'!$K$32/100)</f>
        <v>1</v>
      </c>
      <c r="AF399" s="49" t="e">
        <f ca="1">IF(ABS(IF(controls!$B$45=1,$AL$13,AD399*AC399/AE399)-AF398)&lt;0.00001,AF398,IF(controls!$B$45=1,$AL$13,AD399*AC399/AE399))</f>
        <v>#DIV/0!</v>
      </c>
      <c r="AG399" s="49">
        <f>IF(controls!$B$46=0,0,IF(controls!$B$33=2,B400-B399*V400-('normal case'!H400-D399*W400-'main page'!$K$27*'normal case'!M399+'main page'!$K$31*'normal case'!AB399)-(('main page'!$K$25*'main page'!$U$13*'main page'!$K$29)/(1+('main page'!$K$25^2)*'main page'!$U$13))*('normal case'!L399-'main page'!$U$8),B400-B399*V400-('normal case'!I400-D399*W400-'main page'!$K$27*'normal case'!M399+'main page'!$K$31*'normal case'!AB399)-(('main page'!$K$25*'main page'!$U$13*'main page'!$K$29)/(1+('main page'!$K$25^2)*'main page'!$U$13))*('normal case'!L399-'main page'!$U$8)))</f>
        <v>0</v>
      </c>
      <c r="AN399" s="40"/>
      <c r="AO399" s="40"/>
    </row>
    <row r="400" spans="1:41">
      <c r="A400" s="48">
        <v>398</v>
      </c>
      <c r="B400" s="75">
        <f ca="1">IF(controls!$B$33=1,B399*(1+V400)+T400,B399*(1+V400))</f>
        <v>100</v>
      </c>
      <c r="C400" s="80">
        <f t="shared" ca="1" si="46"/>
        <v>0</v>
      </c>
      <c r="D400" s="77">
        <f t="shared" ca="1" si="42"/>
        <v>100</v>
      </c>
      <c r="E400" s="77">
        <f ca="1">AG399+IF(controls!$B$33=1,G400,F400)</f>
        <v>100</v>
      </c>
      <c r="F400" s="94">
        <f ca="1">IF(controls!$B$44=0,H400-'main page'!$K$27*M399,H400-'main page'!$K$27*M399+'main page'!$K$31*AB399)</f>
        <v>100</v>
      </c>
      <c r="G400" s="75">
        <f ca="1">IF(controls!$B$44=0,I400-'main page'!$K$27*M399,I400-'main page'!$K$27*M399+'main page'!$K$31*'normal case'!AB399)</f>
        <v>100</v>
      </c>
      <c r="H400" s="75">
        <f t="shared" ca="1" si="40"/>
        <v>108</v>
      </c>
      <c r="I400" s="75">
        <f t="shared" ca="1" si="41"/>
        <v>108</v>
      </c>
      <c r="L400" s="75">
        <f ca="1">IF(ABS('main page'!$K$29*L399+(1-'main page'!$K$29)*(controls!$B$9/100)*100+'main page'!$K$25*(D400-B400)-L399)&lt;0.0000001,L399,'main page'!$K$29*L399+(1-'main page'!$K$29)*(controls!$B$9/100)*100+'main page'!$K$25*(D400-B400))</f>
        <v>2</v>
      </c>
      <c r="M400" s="96">
        <f ca="1">IF(controls!$B$10=1,M399,IF(SUM(controls!$B$44:$B$46)=2,N400-'main page'!$K$29*'normal case'!L400-(1-'main page'!$K$29)*'main page'!$K$32,N400-'main page'!$K$29*'normal case'!L400-(1-'main page'!$K$29)*controls!$B$9))</f>
        <v>4</v>
      </c>
      <c r="N400" s="208">
        <f ca="1">IF(controls!$B$45=1,IF(controls!$B$46=1,'main page'!$K$24+'main page'!$K$11+'main page'!$U$8,'main page'!$K$24+'main page'!$K$11+'main page'!$K$32),IF(controls!$B$44=1,IF(O400&lt;0,0,O400),IF(O400+'main page'!$K$11&lt;0,0,O400+'main page'!$K$11)))</f>
        <v>6</v>
      </c>
      <c r="O400" s="76">
        <f ca="1">IF(controls!$B$10=1,'normal case'!M400+'normal case'!L400,'normal case'!P400)</f>
        <v>6</v>
      </c>
      <c r="P400" s="74">
        <f t="shared" ca="1" si="43"/>
        <v>6</v>
      </c>
      <c r="Q400" s="210">
        <f ca="1">IF(controls!$B$44=0,R400+'main page'!$K$29*L400+(1-'main page'!$K$29)*controls!$B$9+(('main page'!$K$25*'main page'!$U$13*'main page'!$K$29)/('main page'!$K$27*(1+('main page'!$K$25^2)*'main page'!$U$13)))*(L400-controls!$B$9),R400+'main page'!$K$29*L400+(1-'main page'!$K$29)*controls!$B$9+(('main page'!$K$25*'main page'!$U$13*'normal case'!$AO$3)/'normal case'!$AO$4)*('normal case'!L400-controls!$B$9))</f>
        <v>6</v>
      </c>
      <c r="R400" s="98">
        <f ca="1">IF(controls!$B$44=1,'main page'!$K$24+'main page'!$K$11,IF(controls!$B$33=1,((I401-D400*W401-B401+B400*V401)/'main page'!$K$27)-'main page'!$K$11,((H401-D400*W401-B401+B400*V401)/'main page'!$K$27)-'main page'!$K$11))</f>
        <v>4</v>
      </c>
      <c r="T400" s="71">
        <f>IF(controls!$B$6=1,$AL$3*(1+('main page'!$K$35/100))^U400-$AL$3*(1+('main page'!$K$35/100))^U399,$AL$3*(1+('main page'!$G$8/100))*(1+('main page'!$K$35/100))^U400-$AL$3*(1+('main page'!$G$8/100))*(1+('main page'!$K$35/100))^U399)</f>
        <v>0</v>
      </c>
      <c r="U400" s="73">
        <v>393</v>
      </c>
      <c r="V400" s="161">
        <v>0</v>
      </c>
      <c r="W400" s="40">
        <v>0</v>
      </c>
      <c r="X400" s="49">
        <f ca="1">IF(controls!$B$33=1,D400-($I$3-'main page'!$K$27*2)*(1+('main page'!$K$35/100))^A399,D400-$AL$4)</f>
        <v>0</v>
      </c>
      <c r="Y400" s="49">
        <f ca="1">ABS(L400-(controls!$B$9/100)*100)</f>
        <v>0</v>
      </c>
      <c r="AA400" s="49" t="e">
        <f ca="1">IF(controls!$B$33=1,(B401-B400*V401-I401+D400*W401+'main page'!$K$27*('main page'!$K$24+'main page'!$K$11))/'main page'!$K$31,(B401-B400*V401+D400*W401-H401+'main page'!$K$27*('main page'!$K$24+'main page'!$K$11))/'main page'!$K$31)</f>
        <v>#DIV/0!</v>
      </c>
      <c r="AB400" s="49" t="e">
        <f ca="1">IF(controls!$B$45=1,LOG(AF400,1.01)+LOG(AE400,1.01)-LOG(AD400,1.01),-((M400-('main page'!$K$24+'main page'!$K$11))/(1-'normal case'!$AO$3))+'normal case'!AA400)</f>
        <v>#DIV/0!</v>
      </c>
      <c r="AC400" s="176" t="e">
        <f t="shared" ca="1" si="44"/>
        <v>#DIV/0!</v>
      </c>
      <c r="AD400" s="49">
        <f t="shared" ca="1" si="45"/>
        <v>2595.7818381067573</v>
      </c>
      <c r="AE400" s="49">
        <f>AE399*(1+'main page'!$K$32/100)</f>
        <v>1</v>
      </c>
      <c r="AF400" s="49" t="e">
        <f ca="1">IF(ABS(IF(controls!$B$45=1,$AL$13,AD400*AC400/AE400)-AF399)&lt;0.00001,AF399,IF(controls!$B$45=1,$AL$13,AD400*AC400/AE400))</f>
        <v>#DIV/0!</v>
      </c>
      <c r="AG400" s="49">
        <f>IF(controls!$B$46=0,0,IF(controls!$B$33=2,B401-B400*V401-('normal case'!H401-D400*W401-'main page'!$K$27*'normal case'!M400+'main page'!$K$31*'normal case'!AB400)-(('main page'!$K$25*'main page'!$U$13*'main page'!$K$29)/(1+('main page'!$K$25^2)*'main page'!$U$13))*('normal case'!L400-'main page'!$U$8),B401-B400*V401-('normal case'!I401-D400*W401-'main page'!$K$27*'normal case'!M400+'main page'!$K$31*'normal case'!AB400)-(('main page'!$K$25*'main page'!$U$13*'main page'!$K$29)/(1+('main page'!$K$25^2)*'main page'!$U$13))*('normal case'!L400-'main page'!$U$8)))</f>
        <v>0</v>
      </c>
      <c r="AN400" s="40"/>
      <c r="AO400" s="40"/>
    </row>
    <row r="401" spans="1:41">
      <c r="A401" s="48">
        <v>399</v>
      </c>
      <c r="B401" s="75">
        <f ca="1">IF(controls!$B$33=1,B400*(1+V401)+T401,B400*(1+V401))</f>
        <v>100</v>
      </c>
      <c r="C401" s="80">
        <f t="shared" ca="1" si="46"/>
        <v>0</v>
      </c>
      <c r="D401" s="77">
        <f t="shared" ca="1" si="42"/>
        <v>100</v>
      </c>
      <c r="E401" s="77">
        <f ca="1">AG400+IF(controls!$B$33=1,G401,F401)</f>
        <v>100</v>
      </c>
      <c r="F401" s="94">
        <f ca="1">IF(controls!$B$44=0,H401-'main page'!$K$27*M400,H401-'main page'!$K$27*M400+'main page'!$K$31*AB400)</f>
        <v>100</v>
      </c>
      <c r="G401" s="75">
        <f ca="1">IF(controls!$B$44=0,I401-'main page'!$K$27*M400,I401-'main page'!$K$27*M400+'main page'!$K$31*'normal case'!AB400)</f>
        <v>100</v>
      </c>
      <c r="H401" s="75">
        <f t="shared" ca="1" si="40"/>
        <v>108</v>
      </c>
      <c r="I401" s="75">
        <f t="shared" ca="1" si="41"/>
        <v>108</v>
      </c>
      <c r="L401" s="75">
        <f ca="1">IF(ABS('main page'!$K$29*L400+(1-'main page'!$K$29)*(controls!$B$9/100)*100+'main page'!$K$25*(D401-B401)-L400)&lt;0.0000001,L400,'main page'!$K$29*L400+(1-'main page'!$K$29)*(controls!$B$9/100)*100+'main page'!$K$25*(D401-B401))</f>
        <v>2</v>
      </c>
      <c r="M401" s="96">
        <f ca="1">IF(controls!$B$10=1,M400,IF(SUM(controls!$B$44:$B$46)=2,N401-'main page'!$K$29*'normal case'!L401-(1-'main page'!$K$29)*'main page'!$K$32,N401-'main page'!$K$29*'normal case'!L401-(1-'main page'!$K$29)*controls!$B$9))</f>
        <v>4</v>
      </c>
      <c r="N401" s="208">
        <f ca="1">IF(controls!$B$45=1,IF(controls!$B$46=1,'main page'!$K$24+'main page'!$K$11+'main page'!$U$8,'main page'!$K$24+'main page'!$K$11+'main page'!$K$32),IF(controls!$B$44=1,IF(O401&lt;0,0,O401),IF(O401+'main page'!$K$11&lt;0,0,O401+'main page'!$K$11)))</f>
        <v>6</v>
      </c>
      <c r="O401" s="76">
        <f ca="1">IF(controls!$B$10=1,'normal case'!M401+'normal case'!L401,'normal case'!P401)</f>
        <v>6</v>
      </c>
      <c r="P401" s="74">
        <f t="shared" ca="1" si="43"/>
        <v>6</v>
      </c>
      <c r="Q401" s="210">
        <f ca="1">IF(controls!$B$44=0,R401+'main page'!$K$29*L401+(1-'main page'!$K$29)*controls!$B$9+(('main page'!$K$25*'main page'!$U$13*'main page'!$K$29)/('main page'!$K$27*(1+('main page'!$K$25^2)*'main page'!$U$13)))*(L401-controls!$B$9),R401+'main page'!$K$29*L401+(1-'main page'!$K$29)*controls!$B$9+(('main page'!$K$25*'main page'!$U$13*'normal case'!$AO$3)/'normal case'!$AO$4)*('normal case'!L401-controls!$B$9))</f>
        <v>6</v>
      </c>
      <c r="R401" s="98">
        <f ca="1">IF(controls!$B$44=1,'main page'!$K$24+'main page'!$K$11,IF(controls!$B$33=1,((I402-D401*W402-B402+B401*V402)/'main page'!$K$27)-'main page'!$K$11,((H402-D401*W402-B402+B401*V402)/'main page'!$K$27)-'main page'!$K$11))</f>
        <v>4</v>
      </c>
      <c r="T401" s="71">
        <f>IF(controls!$B$6=1,$AL$3*(1+('main page'!$K$35/100))^U401-$AL$3*(1+('main page'!$K$35/100))^U400,$AL$3*(1+('main page'!$G$8/100))*(1+('main page'!$K$35/100))^U401-$AL$3*(1+('main page'!$G$8/100))*(1+('main page'!$K$35/100))^U400)</f>
        <v>0</v>
      </c>
      <c r="U401" s="73">
        <v>394</v>
      </c>
      <c r="V401" s="161">
        <f ca="1">IF(controls!$B$4=1,IF(controls!$H400=1,controls!$B$34*V400+RAND()*('main page'!$K$16/100)-RAND()*('main page'!$K$16/100),0),0)</f>
        <v>0</v>
      </c>
      <c r="W401" s="40">
        <f ca="1">IF(controls!$B$4=1,IF(controls!$I400=1,controls!$B$34*W400+RAND()*('main page'!$K$16/100)-RAND()*('main page'!$K$16/100),0),0)</f>
        <v>0</v>
      </c>
      <c r="X401" s="49">
        <f ca="1">IF(controls!$B$33=1,D401-($I$3-'main page'!$K$27*2)*(1+('main page'!$K$35/100))^A400,D401-$AL$4)</f>
        <v>0</v>
      </c>
      <c r="Y401" s="49">
        <f ca="1">ABS(L401-(controls!$B$9/100)*100)</f>
        <v>0</v>
      </c>
      <c r="AA401" s="49" t="e">
        <f ca="1">IF(controls!$B$33=1,(B402-B401*V402-I402+D401*W402+'main page'!$K$27*('main page'!$K$24+'main page'!$K$11))/'main page'!$K$31,(B402-B401*V402+D401*W402-H402+'main page'!$K$27*('main page'!$K$24+'main page'!$K$11))/'main page'!$K$31)</f>
        <v>#DIV/0!</v>
      </c>
      <c r="AB401" s="49" t="e">
        <f ca="1">IF(controls!$B$45=1,LOG(AF401,1.01)+LOG(AE401,1.01)-LOG(AD401,1.01),-((M401-('main page'!$K$24+'main page'!$K$11))/(1-'normal case'!$AO$3))+'normal case'!AA401)</f>
        <v>#DIV/0!</v>
      </c>
      <c r="AC401" s="176" t="e">
        <f t="shared" ca="1" si="44"/>
        <v>#DIV/0!</v>
      </c>
      <c r="AD401" s="49">
        <f t="shared" ca="1" si="45"/>
        <v>2647.6974748688926</v>
      </c>
      <c r="AE401" s="49">
        <f>AE400*(1+'main page'!$K$32/100)</f>
        <v>1</v>
      </c>
      <c r="AF401" s="49" t="e">
        <f ca="1">IF(ABS(IF(controls!$B$45=1,$AL$13,AD401*AC401/AE401)-AF400)&lt;0.00001,AF400,IF(controls!$B$45=1,$AL$13,AD401*AC401/AE401))</f>
        <v>#DIV/0!</v>
      </c>
      <c r="AG401" s="49">
        <f>IF(controls!$B$46=0,0,IF(controls!$B$33=2,B402-B401*V402-('normal case'!H402-D401*W402-'main page'!$K$27*'normal case'!M401+'main page'!$K$31*'normal case'!AB401)-(('main page'!$K$25*'main page'!$U$13*'main page'!$K$29)/(1+('main page'!$K$25^2)*'main page'!$U$13))*('normal case'!L401-'main page'!$U$8),B402-B401*V402-('normal case'!I402-D401*W402-'main page'!$K$27*'normal case'!M401+'main page'!$K$31*'normal case'!AB401)-(('main page'!$K$25*'main page'!$U$13*'main page'!$K$29)/(1+('main page'!$K$25^2)*'main page'!$U$13))*('normal case'!L401-'main page'!$U$8)))</f>
        <v>0</v>
      </c>
      <c r="AN401" s="40"/>
      <c r="AO401" s="40"/>
    </row>
    <row r="402" spans="1:41">
      <c r="A402" s="48">
        <v>400</v>
      </c>
      <c r="B402" s="75">
        <f ca="1">IF(controls!$B$33=1,B401*(1+V402)+T402,B401*(1+V402))</f>
        <v>100</v>
      </c>
      <c r="C402" s="80">
        <f t="shared" ca="1" si="46"/>
        <v>0</v>
      </c>
      <c r="D402" s="77">
        <f t="shared" ca="1" si="42"/>
        <v>100</v>
      </c>
      <c r="E402" s="77">
        <f ca="1">AG401+IF(controls!$B$33=1,G402,F402)</f>
        <v>100</v>
      </c>
      <c r="F402" s="94">
        <f ca="1">IF(controls!$B$44=0,H402-'main page'!$K$27*M401,H402-'main page'!$K$27*M401+'main page'!$K$31*AB401)</f>
        <v>100</v>
      </c>
      <c r="G402" s="75">
        <f ca="1">IF(controls!$B$44=0,I402-'main page'!$K$27*M401,I402-'main page'!$K$27*M401+'main page'!$K$31*'normal case'!AB401)</f>
        <v>100</v>
      </c>
      <c r="H402" s="75">
        <f t="shared" ca="1" si="40"/>
        <v>108</v>
      </c>
      <c r="I402" s="75">
        <f t="shared" ca="1" si="41"/>
        <v>108</v>
      </c>
      <c r="L402" s="75">
        <f ca="1">IF(ABS('main page'!$K$29*L401+(1-'main page'!$K$29)*(controls!$B$9/100)*100+'main page'!$K$25*(D402-B402)-L401)&lt;0.0000001,L401,'main page'!$K$29*L401+(1-'main page'!$K$29)*(controls!$B$9/100)*100+'main page'!$K$25*(D402-B402))</f>
        <v>2</v>
      </c>
      <c r="M402" s="96">
        <f ca="1">IF(controls!$B$10=1,M401,IF(SUM(controls!$B$44:$B$46)=2,N402-'main page'!$K$29*'normal case'!L402-(1-'main page'!$K$29)*'main page'!$K$32,N402-'main page'!$K$29*'normal case'!L402-(1-'main page'!$K$29)*controls!$B$9))</f>
        <v>4</v>
      </c>
      <c r="N402" s="208">
        <f ca="1">IF(controls!$B$45=1,IF(controls!$B$46=1,'main page'!$K$24+'main page'!$K$11+'main page'!$U$8,'main page'!$K$24+'main page'!$K$11+'main page'!$K$32),IF(controls!$B$44=1,IF(O402&lt;0,0,O402),IF(O402+'main page'!$K$11&lt;0,0,O402+'main page'!$K$11)))</f>
        <v>6</v>
      </c>
      <c r="O402" s="76">
        <f ca="1">IF(controls!$B$10=1,'normal case'!M402+'normal case'!L402,'normal case'!P402)</f>
        <v>6</v>
      </c>
      <c r="P402" s="74">
        <f t="shared" ca="1" si="43"/>
        <v>6</v>
      </c>
      <c r="Q402" s="210">
        <f ca="1">IF(controls!$B$44=0,R402+'main page'!$K$29*L402+(1-'main page'!$K$29)*controls!$B$9+(('main page'!$K$25*'main page'!$U$13*'main page'!$K$29)/('main page'!$K$27*(1+('main page'!$K$25^2)*'main page'!$U$13)))*(L402-controls!$B$9),R402+'main page'!$K$29*L402+(1-'main page'!$K$29)*controls!$B$9+(('main page'!$K$25*'main page'!$U$13*'normal case'!$AO$3)/'normal case'!$AO$4)*('normal case'!L402-controls!$B$9))</f>
        <v>6</v>
      </c>
      <c r="R402" s="98">
        <f ca="1">IF(controls!$B$44=1,'main page'!$K$24+'main page'!$K$11,IF(controls!$B$33=1,((I403-D402*W403-B403+B402*V403)/'main page'!$K$27)-'main page'!$K$11,((H403-D402*W403-B403+B402*V403)/'main page'!$K$27)-'main page'!$K$11))</f>
        <v>4</v>
      </c>
      <c r="T402" s="71">
        <f>IF(controls!$B$6=1,$AL$3*(1+('main page'!$K$35/100))^U402-$AL$3*(1+('main page'!$K$35/100))^U401,$AL$3*(1+('main page'!$G$8/100))*(1+('main page'!$K$35/100))^U402-$AL$3*(1+('main page'!$G$8/100))*(1+('main page'!$K$35/100))^U401)</f>
        <v>0</v>
      </c>
      <c r="U402" s="73">
        <v>395</v>
      </c>
      <c r="V402" s="161">
        <v>0</v>
      </c>
      <c r="W402" s="40">
        <v>0</v>
      </c>
      <c r="X402" s="49">
        <f ca="1">IF(controls!$B$33=1,D402-($I$3-'main page'!$K$27*2)*(1+('main page'!$K$35/100))^A401,D402-$AL$4)</f>
        <v>0</v>
      </c>
      <c r="Y402" s="49">
        <f ca="1">ABS(L402-(controls!$B$9/100)*100)</f>
        <v>0</v>
      </c>
      <c r="AA402" s="49" t="e">
        <f ca="1">IF(controls!$B$33=1,(B403-B402*V403-I403+D402*W403+'main page'!$K$27*('main page'!$K$24+'main page'!$K$11))/'main page'!$K$31,(B403-B402*V403+D402*W403-H403+'main page'!$K$27*('main page'!$K$24+'main page'!$K$11))/'main page'!$K$31)</f>
        <v>#DIV/0!</v>
      </c>
      <c r="AB402" s="49" t="e">
        <f ca="1">IF(controls!$B$45=1,LOG(AF402,1.01)+LOG(AE402,1.01)-LOG(AD402,1.01),-((M402-('main page'!$K$24+'main page'!$K$11))/(1-'normal case'!$AO$3))+'normal case'!AA402)</f>
        <v>#DIV/0!</v>
      </c>
      <c r="AC402" s="176" t="e">
        <f t="shared" ca="1" si="44"/>
        <v>#DIV/0!</v>
      </c>
      <c r="AD402" s="49">
        <f t="shared" ca="1" si="45"/>
        <v>2700.6514243662705</v>
      </c>
      <c r="AE402" s="49">
        <f>AE401*(1+'main page'!$K$32/100)</f>
        <v>1</v>
      </c>
      <c r="AF402" s="49" t="e">
        <f ca="1">IF(ABS(IF(controls!$B$45=1,$AL$13,AD402*AC402/AE402)-AF401)&lt;0.00001,AF401,IF(controls!$B$45=1,$AL$13,AD402*AC402/AE402))</f>
        <v>#DIV/0!</v>
      </c>
      <c r="AG402" s="49">
        <f>IF(controls!$B$46=0,0,IF(controls!$B$33=2,B403-B402*V403-('normal case'!H403-D402*W403-'main page'!$K$27*'normal case'!M402+'main page'!$K$31*'normal case'!AB402)-(('main page'!$K$25*'main page'!$U$13*'main page'!$K$29)/(1+('main page'!$K$25^2)*'main page'!$U$13))*('normal case'!L402-'main page'!$U$8),B403-B402*V403-('normal case'!I403-D402*W403-'main page'!$K$27*'normal case'!M402+'main page'!$K$31*'normal case'!AB402)-(('main page'!$K$25*'main page'!$U$13*'main page'!$K$29)/(1+('main page'!$K$25^2)*'main page'!$U$13))*('normal case'!L402-'main page'!$U$8)))</f>
        <v>0</v>
      </c>
      <c r="AN402" s="40"/>
      <c r="AO402" s="40"/>
    </row>
    <row r="403" spans="1:41">
      <c r="A403" s="48">
        <v>401</v>
      </c>
      <c r="B403" s="75">
        <f ca="1">IF(controls!$B$33=1,B402*(1+V403)+T403,B402*(1+V403))</f>
        <v>100</v>
      </c>
      <c r="C403" s="80">
        <f t="shared" ca="1" si="46"/>
        <v>0</v>
      </c>
      <c r="D403" s="77">
        <f t="shared" ca="1" si="42"/>
        <v>100</v>
      </c>
      <c r="E403" s="77">
        <f ca="1">AG402+IF(controls!$B$33=1,G403,F403)</f>
        <v>100</v>
      </c>
      <c r="F403" s="94">
        <f ca="1">IF(controls!$B$44=0,H403-'main page'!$K$27*M402,H403-'main page'!$K$27*M402+'main page'!$K$31*AB402)</f>
        <v>100</v>
      </c>
      <c r="G403" s="75">
        <f ca="1">IF(controls!$B$44=0,I403-'main page'!$K$27*M402,I403-'main page'!$K$27*M402+'main page'!$K$31*'normal case'!AB402)</f>
        <v>100</v>
      </c>
      <c r="H403" s="75">
        <f t="shared" ca="1" si="40"/>
        <v>108</v>
      </c>
      <c r="I403" s="75">
        <f t="shared" ca="1" si="41"/>
        <v>108</v>
      </c>
      <c r="L403" s="75">
        <f ca="1">IF(ABS('main page'!$K$29*L402+(1-'main page'!$K$29)*(controls!$B$9/100)*100+'main page'!$K$25*(D403-B403)-L402)&lt;0.0000001,L402,'main page'!$K$29*L402+(1-'main page'!$K$29)*(controls!$B$9/100)*100+'main page'!$K$25*(D403-B403))</f>
        <v>2</v>
      </c>
      <c r="M403" s="96">
        <f ca="1">IF(controls!$B$10=1,M402,IF(SUM(controls!$B$44:$B$46)=2,N403-'main page'!$K$29*'normal case'!L403-(1-'main page'!$K$29)*'main page'!$K$32,N403-'main page'!$K$29*'normal case'!L403-(1-'main page'!$K$29)*controls!$B$9))</f>
        <v>4</v>
      </c>
      <c r="N403" s="208">
        <f ca="1">IF(controls!$B$45=1,IF(controls!$B$46=1,'main page'!$K$24+'main page'!$K$11+'main page'!$U$8,'main page'!$K$24+'main page'!$K$11+'main page'!$K$32),IF(controls!$B$44=1,IF(O403&lt;0,0,O403),IF(O403+'main page'!$K$11&lt;0,0,O403+'main page'!$K$11)))</f>
        <v>6</v>
      </c>
      <c r="O403" s="76">
        <f ca="1">IF(controls!$B$10=1,'normal case'!M403+'normal case'!L403,'normal case'!P403)</f>
        <v>6</v>
      </c>
      <c r="P403" s="74">
        <f t="shared" ca="1" si="43"/>
        <v>6</v>
      </c>
      <c r="Q403" s="210">
        <f ca="1">IF(controls!$B$44=0,R403+'main page'!$K$29*L403+(1-'main page'!$K$29)*controls!$B$9+(('main page'!$K$25*'main page'!$U$13*'main page'!$K$29)/('main page'!$K$27*(1+('main page'!$K$25^2)*'main page'!$U$13)))*(L403-controls!$B$9),R403+'main page'!$K$29*L403+(1-'main page'!$K$29)*controls!$B$9+(('main page'!$K$25*'main page'!$U$13*'normal case'!$AO$3)/'normal case'!$AO$4)*('normal case'!L403-controls!$B$9))</f>
        <v>6</v>
      </c>
      <c r="R403" s="98">
        <f ca="1">IF(controls!$B$44=1,'main page'!$K$24+'main page'!$K$11,IF(controls!$B$33=1,((I404-D403*W404-B404+B403*V404)/'main page'!$K$27)-'main page'!$K$11,((H404-D403*W404-B404+B403*V404)/'main page'!$K$27)-'main page'!$K$11))</f>
        <v>4</v>
      </c>
      <c r="T403" s="71">
        <f>IF(controls!$B$6=1,$AL$3*(1+('main page'!$K$35/100))^U403-$AL$3*(1+('main page'!$K$35/100))^U402,$AL$3*(1+('main page'!$G$8/100))*(1+('main page'!$K$35/100))^U403-$AL$3*(1+('main page'!$G$8/100))*(1+('main page'!$K$35/100))^U402)</f>
        <v>0</v>
      </c>
      <c r="U403" s="73">
        <v>396</v>
      </c>
      <c r="V403" s="161">
        <v>0</v>
      </c>
      <c r="W403" s="40">
        <v>0</v>
      </c>
      <c r="X403" s="49">
        <f ca="1">IF(controls!$B$33=1,D403-($I$3-'main page'!$K$27*2)*(1+('main page'!$K$35/100))^A402,D403-$AL$4)</f>
        <v>0</v>
      </c>
      <c r="Y403" s="49">
        <f ca="1">ABS(L403-(controls!$B$9/100)*100)</f>
        <v>0</v>
      </c>
      <c r="AA403" s="49" t="e">
        <f ca="1">IF(controls!$B$33=1,(B404-B403*V404-I404+D403*W404+'main page'!$K$27*('main page'!$K$24+'main page'!$K$11))/'main page'!$K$31,(B404-B403*V404+D403*W404-H404+'main page'!$K$27*('main page'!$K$24+'main page'!$K$11))/'main page'!$K$31)</f>
        <v>#DIV/0!</v>
      </c>
      <c r="AB403" s="49" t="e">
        <f ca="1">IF(controls!$B$45=1,LOG(AF403,1.01)+LOG(AE403,1.01)-LOG(AD403,1.01),-((M403-('main page'!$K$24+'main page'!$K$11))/(1-'normal case'!$AO$3))+'normal case'!AA403)</f>
        <v>#DIV/0!</v>
      </c>
      <c r="AC403" s="176" t="e">
        <f t="shared" ca="1" si="44"/>
        <v>#DIV/0!</v>
      </c>
      <c r="AD403" s="49">
        <f t="shared" ca="1" si="45"/>
        <v>2754.6644528535958</v>
      </c>
      <c r="AE403" s="49">
        <f>AE402*(1+'main page'!$K$32/100)</f>
        <v>1</v>
      </c>
      <c r="AF403" s="49" t="e">
        <f ca="1">IF(ABS(IF(controls!$B$45=1,$AL$13,AD403*AC403/AE403)-AF402)&lt;0.00001,AF402,IF(controls!$B$45=1,$AL$13,AD403*AC403/AE403))</f>
        <v>#DIV/0!</v>
      </c>
      <c r="AG403" s="49">
        <f>IF(controls!$B$46=0,0,IF(controls!$B$33=2,B404-B403*V404-('normal case'!H404-D403*W404-'main page'!$K$27*'normal case'!M403+'main page'!$K$31*'normal case'!AB403)-(('main page'!$K$25*'main page'!$U$13*'main page'!$K$29)/(1+('main page'!$K$25^2)*'main page'!$U$13))*('normal case'!L403-'main page'!$U$8),B404-B403*V404-('normal case'!I404-D403*W404-'main page'!$K$27*'normal case'!M403+'main page'!$K$31*'normal case'!AB403)-(('main page'!$K$25*'main page'!$U$13*'main page'!$K$29)/(1+('main page'!$K$25^2)*'main page'!$U$13))*('normal case'!L403-'main page'!$U$8)))</f>
        <v>0</v>
      </c>
      <c r="AN403" s="40"/>
      <c r="AO403" s="40"/>
    </row>
    <row r="404" spans="1:41">
      <c r="A404" s="48">
        <v>402</v>
      </c>
      <c r="B404" s="75">
        <f ca="1">IF(controls!$B$33=1,B403*(1+V404)+T404,B403*(1+V404))</f>
        <v>100</v>
      </c>
      <c r="C404" s="80">
        <f t="shared" ca="1" si="46"/>
        <v>0</v>
      </c>
      <c r="D404" s="77">
        <f t="shared" ca="1" si="42"/>
        <v>100</v>
      </c>
      <c r="E404" s="77">
        <f ca="1">AG403+IF(controls!$B$33=1,G404,F404)</f>
        <v>100</v>
      </c>
      <c r="F404" s="94">
        <f ca="1">IF(controls!$B$44=0,H404-'main page'!$K$27*M403,H404-'main page'!$K$27*M403+'main page'!$K$31*AB403)</f>
        <v>100</v>
      </c>
      <c r="G404" s="75">
        <f ca="1">IF(controls!$B$44=0,I404-'main page'!$K$27*M403,I404-'main page'!$K$27*M403+'main page'!$K$31*'normal case'!AB403)</f>
        <v>100</v>
      </c>
      <c r="H404" s="75">
        <f t="shared" ca="1" si="40"/>
        <v>108</v>
      </c>
      <c r="I404" s="75">
        <f t="shared" ca="1" si="41"/>
        <v>108</v>
      </c>
      <c r="L404" s="75">
        <f ca="1">IF(ABS('main page'!$K$29*L403+(1-'main page'!$K$29)*(controls!$B$9/100)*100+'main page'!$K$25*(D404-B404)-L403)&lt;0.0000001,L403,'main page'!$K$29*L403+(1-'main page'!$K$29)*(controls!$B$9/100)*100+'main page'!$K$25*(D404-B404))</f>
        <v>2</v>
      </c>
      <c r="M404" s="96">
        <f ca="1">IF(controls!$B$10=1,M403,IF(SUM(controls!$B$44:$B$46)=2,N404-'main page'!$K$29*'normal case'!L404-(1-'main page'!$K$29)*'main page'!$K$32,N404-'main page'!$K$29*'normal case'!L404-(1-'main page'!$K$29)*controls!$B$9))</f>
        <v>4</v>
      </c>
      <c r="N404" s="208">
        <f ca="1">IF(controls!$B$45=1,IF(controls!$B$46=1,'main page'!$K$24+'main page'!$K$11+'main page'!$U$8,'main page'!$K$24+'main page'!$K$11+'main page'!$K$32),IF(controls!$B$44=1,IF(O404&lt;0,0,O404),IF(O404+'main page'!$K$11&lt;0,0,O404+'main page'!$K$11)))</f>
        <v>6</v>
      </c>
      <c r="O404" s="76">
        <f ca="1">IF(controls!$B$10=1,'normal case'!M404+'normal case'!L404,'normal case'!P404)</f>
        <v>6</v>
      </c>
      <c r="P404" s="74">
        <f t="shared" ca="1" si="43"/>
        <v>6</v>
      </c>
      <c r="Q404" s="210">
        <f ca="1">IF(controls!$B$44=0,R404+'main page'!$K$29*L404+(1-'main page'!$K$29)*controls!$B$9+(('main page'!$K$25*'main page'!$U$13*'main page'!$K$29)/('main page'!$K$27*(1+('main page'!$K$25^2)*'main page'!$U$13)))*(L404-controls!$B$9),R404+'main page'!$K$29*L404+(1-'main page'!$K$29)*controls!$B$9+(('main page'!$K$25*'main page'!$U$13*'normal case'!$AO$3)/'normal case'!$AO$4)*('normal case'!L404-controls!$B$9))</f>
        <v>6</v>
      </c>
      <c r="R404" s="98">
        <f ca="1">IF(controls!$B$44=1,'main page'!$K$24+'main page'!$K$11,IF(controls!$B$33=1,((I405-D404*W405-B405+B404*V405)/'main page'!$K$27)-'main page'!$K$11,((H405-D404*W405-B405+B404*V405)/'main page'!$K$27)-'main page'!$K$11))</f>
        <v>4</v>
      </c>
      <c r="T404" s="71">
        <f>IF(controls!$B$6=1,$AL$3*(1+('main page'!$K$35/100))^U404-$AL$3*(1+('main page'!$K$35/100))^U403,$AL$3*(1+('main page'!$G$8/100))*(1+('main page'!$K$35/100))^U404-$AL$3*(1+('main page'!$G$8/100))*(1+('main page'!$K$35/100))^U403)</f>
        <v>0</v>
      </c>
      <c r="U404" s="73">
        <v>397</v>
      </c>
      <c r="V404" s="161">
        <f ca="1">IF(controls!$B$4=1,IF(controls!$H403=1,controls!$B$34*V403+RAND()*('main page'!$K$16/100)-RAND()*('main page'!$K$16/100),0),0)</f>
        <v>0</v>
      </c>
      <c r="W404" s="40">
        <f ca="1">IF(controls!$B$4=1,IF(controls!$I403=1,controls!$B$34*W403+RAND()*('main page'!$K$16/100)-RAND()*('main page'!$K$16/100),0),0)</f>
        <v>0</v>
      </c>
      <c r="X404" s="49">
        <f ca="1">IF(controls!$B$33=1,D404-($I$3-'main page'!$K$27*2)*(1+('main page'!$K$35/100))^A403,D404-$AL$4)</f>
        <v>0</v>
      </c>
      <c r="Y404" s="49">
        <f ca="1">ABS(L404-(controls!$B$9/100)*100)</f>
        <v>0</v>
      </c>
      <c r="AA404" s="49" t="e">
        <f ca="1">IF(controls!$B$33=1,(B405-B404*V405-I405+D404*W405+'main page'!$K$27*('main page'!$K$24+'main page'!$K$11))/'main page'!$K$31,(B405-B404*V405+D404*W405-H405+'main page'!$K$27*('main page'!$K$24+'main page'!$K$11))/'main page'!$K$31)</f>
        <v>#DIV/0!</v>
      </c>
      <c r="AB404" s="49" t="e">
        <f ca="1">IF(controls!$B$45=1,LOG(AF404,1.01)+LOG(AE404,1.01)-LOG(AD404,1.01),-((M404-('main page'!$K$24+'main page'!$K$11))/(1-'normal case'!$AO$3))+'normal case'!AA404)</f>
        <v>#DIV/0!</v>
      </c>
      <c r="AC404" s="176" t="e">
        <f t="shared" ca="1" si="44"/>
        <v>#DIV/0!</v>
      </c>
      <c r="AD404" s="49">
        <f t="shared" ca="1" si="45"/>
        <v>2809.7577419106678</v>
      </c>
      <c r="AE404" s="49">
        <f>AE403*(1+'main page'!$K$32/100)</f>
        <v>1</v>
      </c>
      <c r="AF404" s="49" t="e">
        <f ca="1">IF(ABS(IF(controls!$B$45=1,$AL$13,AD404*AC404/AE404)-AF403)&lt;0.00001,AF403,IF(controls!$B$45=1,$AL$13,AD404*AC404/AE404))</f>
        <v>#DIV/0!</v>
      </c>
      <c r="AG404" s="49">
        <f>IF(controls!$B$46=0,0,IF(controls!$B$33=2,B405-B404*V405-('normal case'!H405-D404*W405-'main page'!$K$27*'normal case'!M404+'main page'!$K$31*'normal case'!AB404)-(('main page'!$K$25*'main page'!$U$13*'main page'!$K$29)/(1+('main page'!$K$25^2)*'main page'!$U$13))*('normal case'!L404-'main page'!$U$8),B405-B404*V405-('normal case'!I405-D404*W405-'main page'!$K$27*'normal case'!M404+'main page'!$K$31*'normal case'!AB404)-(('main page'!$K$25*'main page'!$U$13*'main page'!$K$29)/(1+('main page'!$K$25^2)*'main page'!$U$13))*('normal case'!L404-'main page'!$U$8)))</f>
        <v>0</v>
      </c>
      <c r="AN404" s="40"/>
      <c r="AO404" s="40"/>
    </row>
    <row r="405" spans="1:41">
      <c r="A405" s="48">
        <v>403</v>
      </c>
      <c r="B405" s="75">
        <f ca="1">IF(controls!$B$33=1,B404*(1+V405)+T405,B404*(1+V405))</f>
        <v>100</v>
      </c>
      <c r="C405" s="80">
        <f t="shared" ca="1" si="46"/>
        <v>0</v>
      </c>
      <c r="D405" s="77">
        <f t="shared" ca="1" si="42"/>
        <v>100</v>
      </c>
      <c r="E405" s="77">
        <f ca="1">AG404+IF(controls!$B$33=1,G405,F405)</f>
        <v>100</v>
      </c>
      <c r="F405" s="94">
        <f ca="1">IF(controls!$B$44=0,H405-'main page'!$K$27*M404,H405-'main page'!$K$27*M404+'main page'!$K$31*AB404)</f>
        <v>100</v>
      </c>
      <c r="G405" s="75">
        <f ca="1">IF(controls!$B$44=0,I405-'main page'!$K$27*M404,I405-'main page'!$K$27*M404+'main page'!$K$31*'normal case'!AB404)</f>
        <v>100</v>
      </c>
      <c r="H405" s="75">
        <f t="shared" ca="1" si="40"/>
        <v>108</v>
      </c>
      <c r="I405" s="75">
        <f t="shared" ca="1" si="41"/>
        <v>108</v>
      </c>
      <c r="L405" s="75">
        <f ca="1">IF(ABS('main page'!$K$29*L404+(1-'main page'!$K$29)*(controls!$B$9/100)*100+'main page'!$K$25*(D405-B405)-L404)&lt;0.0000001,L404,'main page'!$K$29*L404+(1-'main page'!$K$29)*(controls!$B$9/100)*100+'main page'!$K$25*(D405-B405))</f>
        <v>2</v>
      </c>
      <c r="M405" s="96">
        <f ca="1">IF(controls!$B$10=1,M404,IF(SUM(controls!$B$44:$B$46)=2,N405-'main page'!$K$29*'normal case'!L405-(1-'main page'!$K$29)*'main page'!$K$32,N405-'main page'!$K$29*'normal case'!L405-(1-'main page'!$K$29)*controls!$B$9))</f>
        <v>4</v>
      </c>
      <c r="N405" s="208">
        <f ca="1">IF(controls!$B$45=1,IF(controls!$B$46=1,'main page'!$K$24+'main page'!$K$11+'main page'!$U$8,'main page'!$K$24+'main page'!$K$11+'main page'!$K$32),IF(controls!$B$44=1,IF(O405&lt;0,0,O405),IF(O405+'main page'!$K$11&lt;0,0,O405+'main page'!$K$11)))</f>
        <v>6</v>
      </c>
      <c r="O405" s="76">
        <f ca="1">IF(controls!$B$10=1,'normal case'!M405+'normal case'!L405,'normal case'!P405)</f>
        <v>6</v>
      </c>
      <c r="P405" s="74">
        <f t="shared" ca="1" si="43"/>
        <v>6</v>
      </c>
      <c r="Q405" s="210">
        <f ca="1">IF(controls!$B$44=0,R405+'main page'!$K$29*L405+(1-'main page'!$K$29)*controls!$B$9+(('main page'!$K$25*'main page'!$U$13*'main page'!$K$29)/('main page'!$K$27*(1+('main page'!$K$25^2)*'main page'!$U$13)))*(L405-controls!$B$9),R405+'main page'!$K$29*L405+(1-'main page'!$K$29)*controls!$B$9+(('main page'!$K$25*'main page'!$U$13*'normal case'!$AO$3)/'normal case'!$AO$4)*('normal case'!L405-controls!$B$9))</f>
        <v>6</v>
      </c>
      <c r="R405" s="98">
        <f ca="1">IF(controls!$B$44=1,'main page'!$K$24+'main page'!$K$11,IF(controls!$B$33=1,((I406-D405*W406-B406+B405*V406)/'main page'!$K$27)-'main page'!$K$11,((H406-D405*W406-B406+B405*V406)/'main page'!$K$27)-'main page'!$K$11))</f>
        <v>4</v>
      </c>
      <c r="T405" s="71">
        <f>IF(controls!$B$6=1,$AL$3*(1+('main page'!$K$35/100))^U405-$AL$3*(1+('main page'!$K$35/100))^U404,$AL$3*(1+('main page'!$G$8/100))*(1+('main page'!$K$35/100))^U405-$AL$3*(1+('main page'!$G$8/100))*(1+('main page'!$K$35/100))^U404)</f>
        <v>0</v>
      </c>
      <c r="U405" s="73">
        <v>398</v>
      </c>
      <c r="V405" s="161">
        <v>0</v>
      </c>
      <c r="W405" s="40">
        <v>0</v>
      </c>
      <c r="X405" s="49">
        <f ca="1">IF(controls!$B$33=1,D405-($I$3-'main page'!$K$27*2)*(1+('main page'!$K$35/100))^A404,D405-$AL$4)</f>
        <v>0</v>
      </c>
      <c r="Y405" s="49">
        <f ca="1">ABS(L405-(controls!$B$9/100)*100)</f>
        <v>0</v>
      </c>
      <c r="AA405" s="49" t="e">
        <f ca="1">IF(controls!$B$33=1,(B406-B405*V406-I406+D405*W406+'main page'!$K$27*('main page'!$K$24+'main page'!$K$11))/'main page'!$K$31,(B406-B405*V406+D405*W406-H406+'main page'!$K$27*('main page'!$K$24+'main page'!$K$11))/'main page'!$K$31)</f>
        <v>#DIV/0!</v>
      </c>
      <c r="AB405" s="49" t="e">
        <f ca="1">IF(controls!$B$45=1,LOG(AF405,1.01)+LOG(AE405,1.01)-LOG(AD405,1.01),-((M405-('main page'!$K$24+'main page'!$K$11))/(1-'normal case'!$AO$3))+'normal case'!AA405)</f>
        <v>#DIV/0!</v>
      </c>
      <c r="AC405" s="176" t="e">
        <f t="shared" ca="1" si="44"/>
        <v>#DIV/0!</v>
      </c>
      <c r="AD405" s="49">
        <f t="shared" ca="1" si="45"/>
        <v>2865.9528967488814</v>
      </c>
      <c r="AE405" s="49">
        <f>AE404*(1+'main page'!$K$32/100)</f>
        <v>1</v>
      </c>
      <c r="AF405" s="49" t="e">
        <f ca="1">IF(ABS(IF(controls!$B$45=1,$AL$13,AD405*AC405/AE405)-AF404)&lt;0.00001,AF404,IF(controls!$B$45=1,$AL$13,AD405*AC405/AE405))</f>
        <v>#DIV/0!</v>
      </c>
      <c r="AG405" s="49">
        <f>IF(controls!$B$46=0,0,IF(controls!$B$33=2,B406-B405*V406-('normal case'!H406-D405*W406-'main page'!$K$27*'normal case'!M405+'main page'!$K$31*'normal case'!AB405)-(('main page'!$K$25*'main page'!$U$13*'main page'!$K$29)/(1+('main page'!$K$25^2)*'main page'!$U$13))*('normal case'!L405-'main page'!$U$8),B406-B405*V406-('normal case'!I406-D405*W406-'main page'!$K$27*'normal case'!M405+'main page'!$K$31*'normal case'!AB405)-(('main page'!$K$25*'main page'!$U$13*'main page'!$K$29)/(1+('main page'!$K$25^2)*'main page'!$U$13))*('normal case'!L405-'main page'!$U$8)))</f>
        <v>0</v>
      </c>
      <c r="AN405" s="40"/>
      <c r="AO405" s="40"/>
    </row>
    <row r="406" spans="1:41">
      <c r="A406" s="48">
        <v>404</v>
      </c>
      <c r="B406" s="75">
        <f ca="1">IF(controls!$B$33=1,B405*(1+V406)+T406,B405*(1+V406))</f>
        <v>100</v>
      </c>
      <c r="C406" s="80">
        <f t="shared" ca="1" si="46"/>
        <v>0</v>
      </c>
      <c r="D406" s="77">
        <f t="shared" ca="1" si="42"/>
        <v>100</v>
      </c>
      <c r="E406" s="77">
        <f ca="1">AG405+IF(controls!$B$33=1,G406,F406)</f>
        <v>100</v>
      </c>
      <c r="F406" s="94">
        <f ca="1">IF(controls!$B$44=0,H406-'main page'!$K$27*M405,H406-'main page'!$K$27*M405+'main page'!$K$31*AB405)</f>
        <v>100</v>
      </c>
      <c r="G406" s="75">
        <f ca="1">IF(controls!$B$44=0,I406-'main page'!$K$27*M405,I406-'main page'!$K$27*M405+'main page'!$K$31*'normal case'!AB405)</f>
        <v>100</v>
      </c>
      <c r="H406" s="75">
        <f t="shared" ca="1" si="40"/>
        <v>108</v>
      </c>
      <c r="I406" s="75">
        <f t="shared" ca="1" si="41"/>
        <v>108</v>
      </c>
      <c r="L406" s="75">
        <f ca="1">IF(ABS('main page'!$K$29*L405+(1-'main page'!$K$29)*(controls!$B$9/100)*100+'main page'!$K$25*(D406-B406)-L405)&lt;0.0000001,L405,'main page'!$K$29*L405+(1-'main page'!$K$29)*(controls!$B$9/100)*100+'main page'!$K$25*(D406-B406))</f>
        <v>2</v>
      </c>
      <c r="M406" s="96">
        <f ca="1">IF(controls!$B$10=1,M405,IF(SUM(controls!$B$44:$B$46)=2,N406-'main page'!$K$29*'normal case'!L406-(1-'main page'!$K$29)*'main page'!$K$32,N406-'main page'!$K$29*'normal case'!L406-(1-'main page'!$K$29)*controls!$B$9))</f>
        <v>4</v>
      </c>
      <c r="N406" s="208">
        <f ca="1">IF(controls!$B$45=1,IF(controls!$B$46=1,'main page'!$K$24+'main page'!$K$11+'main page'!$U$8,'main page'!$K$24+'main page'!$K$11+'main page'!$K$32),IF(controls!$B$44=1,IF(O406&lt;0,0,O406),IF(O406+'main page'!$K$11&lt;0,0,O406+'main page'!$K$11)))</f>
        <v>6</v>
      </c>
      <c r="O406" s="76">
        <f ca="1">IF(controls!$B$10=1,'normal case'!M406+'normal case'!L406,'normal case'!P406)</f>
        <v>6</v>
      </c>
      <c r="P406" s="74">
        <f t="shared" ca="1" si="43"/>
        <v>6</v>
      </c>
      <c r="Q406" s="210">
        <f ca="1">IF(controls!$B$44=0,R406+'main page'!$K$29*L406+(1-'main page'!$K$29)*controls!$B$9+(('main page'!$K$25*'main page'!$U$13*'main page'!$K$29)/('main page'!$K$27*(1+('main page'!$K$25^2)*'main page'!$U$13)))*(L406-controls!$B$9),R406+'main page'!$K$29*L406+(1-'main page'!$K$29)*controls!$B$9+(('main page'!$K$25*'main page'!$U$13*'normal case'!$AO$3)/'normal case'!$AO$4)*('normal case'!L406-controls!$B$9))</f>
        <v>6</v>
      </c>
      <c r="R406" s="98">
        <f ca="1">IF(controls!$B$44=1,'main page'!$K$24+'main page'!$K$11,IF(controls!$B$33=1,((I407-D406*W407-B407+B406*V407)/'main page'!$K$27)-'main page'!$K$11,((H407-D406*W407-B407+B406*V407)/'main page'!$K$27)-'main page'!$K$11))</f>
        <v>4</v>
      </c>
      <c r="T406" s="71">
        <f>IF(controls!$B$6=1,$AL$3*(1+('main page'!$K$35/100))^U406-$AL$3*(1+('main page'!$K$35/100))^U405,$AL$3*(1+('main page'!$G$8/100))*(1+('main page'!$K$35/100))^U406-$AL$3*(1+('main page'!$G$8/100))*(1+('main page'!$K$35/100))^U405)</f>
        <v>0</v>
      </c>
      <c r="U406" s="73">
        <v>399</v>
      </c>
      <c r="V406" s="161">
        <v>0</v>
      </c>
      <c r="W406" s="40">
        <v>0</v>
      </c>
      <c r="X406" s="49">
        <f ca="1">IF(controls!$B$33=1,D406-($I$3-'main page'!$K$27*2)*(1+('main page'!$K$35/100))^A405,D406-$AL$4)</f>
        <v>0</v>
      </c>
      <c r="Y406" s="49">
        <f ca="1">ABS(L406-(controls!$B$9/100)*100)</f>
        <v>0</v>
      </c>
      <c r="AA406" s="49" t="e">
        <f ca="1">IF(controls!$B$33=1,(B407-B406*V407-I407+D406*W407+'main page'!$K$27*('main page'!$K$24+'main page'!$K$11))/'main page'!$K$31,(B407-B406*V407+D406*W407-H407+'main page'!$K$27*('main page'!$K$24+'main page'!$K$11))/'main page'!$K$31)</f>
        <v>#DIV/0!</v>
      </c>
      <c r="AB406" s="49" t="e">
        <f ca="1">IF(controls!$B$45=1,LOG(AF406,1.01)+LOG(AE406,1.01)-LOG(AD406,1.01),-((M406-('main page'!$K$24+'main page'!$K$11))/(1-'normal case'!$AO$3))+'normal case'!AA406)</f>
        <v>#DIV/0!</v>
      </c>
      <c r="AC406" s="176" t="e">
        <f t="shared" ca="1" si="44"/>
        <v>#DIV/0!</v>
      </c>
      <c r="AD406" s="49">
        <f t="shared" ca="1" si="45"/>
        <v>2923.2719546838589</v>
      </c>
      <c r="AE406" s="49">
        <f>AE405*(1+'main page'!$K$32/100)</f>
        <v>1</v>
      </c>
      <c r="AF406" s="49" t="e">
        <f ca="1">IF(ABS(IF(controls!$B$45=1,$AL$13,AD406*AC406/AE406)-AF405)&lt;0.00001,AF405,IF(controls!$B$45=1,$AL$13,AD406*AC406/AE406))</f>
        <v>#DIV/0!</v>
      </c>
      <c r="AG406" s="49">
        <f>IF(controls!$B$46=0,0,IF(controls!$B$33=2,B407-B406*V407-('normal case'!H407-D406*W407-'main page'!$K$27*'normal case'!M406+'main page'!$K$31*'normal case'!AB406)-(('main page'!$K$25*'main page'!$U$13*'main page'!$K$29)/(1+('main page'!$K$25^2)*'main page'!$U$13))*('normal case'!L406-'main page'!$U$8),B407-B406*V407-('normal case'!I407-D406*W407-'main page'!$K$27*'normal case'!M406+'main page'!$K$31*'normal case'!AB406)-(('main page'!$K$25*'main page'!$U$13*'main page'!$K$29)/(1+('main page'!$K$25^2)*'main page'!$U$13))*('normal case'!L406-'main page'!$U$8)))</f>
        <v>0</v>
      </c>
      <c r="AN406" s="40"/>
      <c r="AO406" s="40"/>
    </row>
    <row r="407" spans="1:41">
      <c r="A407" s="48">
        <v>405</v>
      </c>
      <c r="B407" s="75">
        <f ca="1">IF(controls!$B$33=1,B406*(1+V407)+T407,B406*(1+V407))</f>
        <v>100</v>
      </c>
      <c r="C407" s="80">
        <f t="shared" ca="1" si="46"/>
        <v>0</v>
      </c>
      <c r="D407" s="77">
        <f t="shared" ca="1" si="42"/>
        <v>100</v>
      </c>
      <c r="E407" s="77">
        <f ca="1">AG406+IF(controls!$B$33=1,G407,F407)</f>
        <v>100</v>
      </c>
      <c r="F407" s="94">
        <f ca="1">IF(controls!$B$44=0,H407-'main page'!$K$27*M406,H407-'main page'!$K$27*M406+'main page'!$K$31*AB406)</f>
        <v>100</v>
      </c>
      <c r="G407" s="75">
        <f ca="1">IF(controls!$B$44=0,I407-'main page'!$K$27*M406,I407-'main page'!$K$27*M406+'main page'!$K$31*'normal case'!AB406)</f>
        <v>100</v>
      </c>
      <c r="H407" s="75">
        <f t="shared" ca="1" si="40"/>
        <v>108</v>
      </c>
      <c r="I407" s="75">
        <f t="shared" ca="1" si="41"/>
        <v>108</v>
      </c>
      <c r="L407" s="75">
        <f ca="1">IF(ABS('main page'!$K$29*L406+(1-'main page'!$K$29)*(controls!$B$9/100)*100+'main page'!$K$25*(D407-B407)-L406)&lt;0.0000001,L406,'main page'!$K$29*L406+(1-'main page'!$K$29)*(controls!$B$9/100)*100+'main page'!$K$25*(D407-B407))</f>
        <v>2</v>
      </c>
      <c r="M407" s="96">
        <f ca="1">IF(controls!$B$10=1,M406,IF(SUM(controls!$B$44:$B$46)=2,N407-'main page'!$K$29*'normal case'!L407-(1-'main page'!$K$29)*'main page'!$K$32,N407-'main page'!$K$29*'normal case'!L407-(1-'main page'!$K$29)*controls!$B$9))</f>
        <v>4</v>
      </c>
      <c r="N407" s="208">
        <f ca="1">IF(controls!$B$45=1,IF(controls!$B$46=1,'main page'!$K$24+'main page'!$K$11+'main page'!$U$8,'main page'!$K$24+'main page'!$K$11+'main page'!$K$32),IF(controls!$B$44=1,IF(O407&lt;0,0,O407),IF(O407+'main page'!$K$11&lt;0,0,O407+'main page'!$K$11)))</f>
        <v>6</v>
      </c>
      <c r="O407" s="76">
        <f ca="1">IF(controls!$B$10=1,'normal case'!M407+'normal case'!L407,'normal case'!P407)</f>
        <v>6</v>
      </c>
      <c r="P407" s="74">
        <f t="shared" ca="1" si="43"/>
        <v>6</v>
      </c>
      <c r="Q407" s="210">
        <f ca="1">IF(controls!$B$44=0,R407+'main page'!$K$29*L407+(1-'main page'!$K$29)*controls!$B$9+(('main page'!$K$25*'main page'!$U$13*'main page'!$K$29)/('main page'!$K$27*(1+('main page'!$K$25^2)*'main page'!$U$13)))*(L407-controls!$B$9),R407+'main page'!$K$29*L407+(1-'main page'!$K$29)*controls!$B$9+(('main page'!$K$25*'main page'!$U$13*'normal case'!$AO$3)/'normal case'!$AO$4)*('normal case'!L407-controls!$B$9))</f>
        <v>6</v>
      </c>
      <c r="R407" s="98">
        <f ca="1">IF(controls!$B$44=1,'main page'!$K$24+'main page'!$K$11,IF(controls!$B$33=1,((I408-D407*W408-B408+B407*V408)/'main page'!$K$27)-'main page'!$K$11,((H408-D407*W408-B408+B407*V408)/'main page'!$K$27)-'main page'!$K$11))</f>
        <v>4</v>
      </c>
      <c r="T407" s="71">
        <f>IF(controls!$B$6=1,$AL$3*(1+('main page'!$K$35/100))^U407-$AL$3*(1+('main page'!$K$35/100))^U406,$AL$3*(1+('main page'!$G$8/100))*(1+('main page'!$K$35/100))^U407-$AL$3*(1+('main page'!$G$8/100))*(1+('main page'!$K$35/100))^U406)</f>
        <v>0</v>
      </c>
      <c r="U407" s="73">
        <v>400</v>
      </c>
      <c r="V407" s="161">
        <f ca="1">IF(controls!$B$4=1,IF(controls!$H406=1,controls!$B$34*V406+RAND()*('main page'!$K$16/100)-RAND()*('main page'!$K$16/100),0),0)</f>
        <v>0</v>
      </c>
      <c r="W407" s="40">
        <f ca="1">IF(controls!$B$4=1,IF(controls!$I406=1,controls!$B$34*W406+RAND()*('main page'!$K$16/100)-RAND()*('main page'!$K$16/100),0),0)</f>
        <v>0</v>
      </c>
      <c r="X407" s="49">
        <f ca="1">IF(controls!$B$33=1,D407-($I$3-'main page'!$K$27*2)*(1+('main page'!$K$35/100))^A406,D407-$AL$4)</f>
        <v>0</v>
      </c>
      <c r="Y407" s="49">
        <f ca="1">ABS(L407-(controls!$B$9/100)*100)</f>
        <v>0</v>
      </c>
      <c r="AA407" s="49" t="e">
        <f ca="1">IF(controls!$B$33=1,(B408-B407*V408-I408+D407*W408+'main page'!$K$27*('main page'!$K$24+'main page'!$K$11))/'main page'!$K$31,(B408-B407*V408+D407*W408-H408+'main page'!$K$27*('main page'!$K$24+'main page'!$K$11))/'main page'!$K$31)</f>
        <v>#DIV/0!</v>
      </c>
      <c r="AB407" s="49" t="e">
        <f ca="1">IF(controls!$B$45=1,LOG(AF407,1.01)+LOG(AE407,1.01)-LOG(AD407,1.01),-((M407-('main page'!$K$24+'main page'!$K$11))/(1-'normal case'!$AO$3))+'normal case'!AA407)</f>
        <v>#DIV/0!</v>
      </c>
      <c r="AC407" s="176" t="e">
        <f t="shared" ca="1" si="44"/>
        <v>#DIV/0!</v>
      </c>
      <c r="AD407" s="49">
        <f t="shared" ca="1" si="45"/>
        <v>2981.737393777536</v>
      </c>
      <c r="AE407" s="49">
        <f>AE406*(1+'main page'!$K$32/100)</f>
        <v>1</v>
      </c>
      <c r="AF407" s="49" t="e">
        <f ca="1">IF(ABS(IF(controls!$B$45=1,$AL$13,AD407*AC407/AE407)-AF406)&lt;0.00001,AF406,IF(controls!$B$45=1,$AL$13,AD407*AC407/AE407))</f>
        <v>#DIV/0!</v>
      </c>
      <c r="AG407" s="49">
        <f>IF(controls!$B$46=0,0,IF(controls!$B$33=2,B408-B407*V408-('normal case'!H408-D407*W408-'main page'!$K$27*'normal case'!M407+'main page'!$K$31*'normal case'!AB407)-(('main page'!$K$25*'main page'!$U$13*'main page'!$K$29)/(1+('main page'!$K$25^2)*'main page'!$U$13))*('normal case'!L407-'main page'!$U$8),B408-B407*V408-('normal case'!I408-D407*W408-'main page'!$K$27*'normal case'!M407+'main page'!$K$31*'normal case'!AB407)-(('main page'!$K$25*'main page'!$U$13*'main page'!$K$29)/(1+('main page'!$K$25^2)*'main page'!$U$13))*('normal case'!L407-'main page'!$U$8)))</f>
        <v>0</v>
      </c>
      <c r="AN407" s="40"/>
      <c r="AO407" s="40"/>
    </row>
    <row r="408" spans="1:41">
      <c r="A408" s="48">
        <v>406</v>
      </c>
      <c r="B408" s="75">
        <f ca="1">IF(controls!$B$33=1,B407*(1+V408)+T408,B407*(1+V408))</f>
        <v>100</v>
      </c>
      <c r="C408" s="80">
        <f t="shared" ca="1" si="46"/>
        <v>0</v>
      </c>
      <c r="D408" s="77">
        <f t="shared" ca="1" si="42"/>
        <v>100</v>
      </c>
      <c r="E408" s="77">
        <f ca="1">AG407+IF(controls!$B$33=1,G408,F408)</f>
        <v>100</v>
      </c>
      <c r="F408" s="94">
        <f ca="1">IF(controls!$B$44=0,H408-'main page'!$K$27*M407,H408-'main page'!$K$27*M407+'main page'!$K$31*AB407)</f>
        <v>100</v>
      </c>
      <c r="G408" s="75">
        <f ca="1">IF(controls!$B$44=0,I408-'main page'!$K$27*M407,I408-'main page'!$K$27*M407+'main page'!$K$31*'normal case'!AB407)</f>
        <v>100</v>
      </c>
      <c r="H408" s="75">
        <f t="shared" ref="H408:H471" ca="1" si="47">H407+D407*W408</f>
        <v>108</v>
      </c>
      <c r="I408" s="75">
        <f t="shared" ref="I408:I471" ca="1" si="48">I407+D407*W408+T408</f>
        <v>108</v>
      </c>
      <c r="L408" s="75">
        <f ca="1">IF(ABS('main page'!$K$29*L407+(1-'main page'!$K$29)*(controls!$B$9/100)*100+'main page'!$K$25*(D408-B408)-L407)&lt;0.0000001,L407,'main page'!$K$29*L407+(1-'main page'!$K$29)*(controls!$B$9/100)*100+'main page'!$K$25*(D408-B408))</f>
        <v>2</v>
      </c>
      <c r="M408" s="96">
        <f ca="1">IF(controls!$B$10=1,M407,IF(SUM(controls!$B$44:$B$46)=2,N408-'main page'!$K$29*'normal case'!L408-(1-'main page'!$K$29)*'main page'!$K$32,N408-'main page'!$K$29*'normal case'!L408-(1-'main page'!$K$29)*controls!$B$9))</f>
        <v>4</v>
      </c>
      <c r="N408" s="208">
        <f ca="1">IF(controls!$B$45=1,IF(controls!$B$46=1,'main page'!$K$24+'main page'!$K$11+'main page'!$U$8,'main page'!$K$24+'main page'!$K$11+'main page'!$K$32),IF(controls!$B$44=1,IF(O408&lt;0,0,O408),IF(O408+'main page'!$K$11&lt;0,0,O408+'main page'!$K$11)))</f>
        <v>6</v>
      </c>
      <c r="O408" s="76">
        <f ca="1">IF(controls!$B$10=1,'normal case'!M408+'normal case'!L408,'normal case'!P408)</f>
        <v>6</v>
      </c>
      <c r="P408" s="74">
        <f t="shared" ca="1" si="43"/>
        <v>6</v>
      </c>
      <c r="Q408" s="210">
        <f ca="1">IF(controls!$B$44=0,R408+'main page'!$K$29*L408+(1-'main page'!$K$29)*controls!$B$9+(('main page'!$K$25*'main page'!$U$13*'main page'!$K$29)/('main page'!$K$27*(1+('main page'!$K$25^2)*'main page'!$U$13)))*(L408-controls!$B$9),R408+'main page'!$K$29*L408+(1-'main page'!$K$29)*controls!$B$9+(('main page'!$K$25*'main page'!$U$13*'normal case'!$AO$3)/'normal case'!$AO$4)*('normal case'!L408-controls!$B$9))</f>
        <v>6</v>
      </c>
      <c r="R408" s="98">
        <f ca="1">IF(controls!$B$44=1,'main page'!$K$24+'main page'!$K$11,IF(controls!$B$33=1,((I409-D408*W409-B409+B408*V409)/'main page'!$K$27)-'main page'!$K$11,((H409-D408*W409-B409+B408*V409)/'main page'!$K$27)-'main page'!$K$11))</f>
        <v>4</v>
      </c>
      <c r="T408" s="71">
        <f>IF(controls!$B$6=1,$AL$3*(1+('main page'!$K$35/100))^U408-$AL$3*(1+('main page'!$K$35/100))^U407,$AL$3*(1+('main page'!$G$8/100))*(1+('main page'!$K$35/100))^U408-$AL$3*(1+('main page'!$G$8/100))*(1+('main page'!$K$35/100))^U407)</f>
        <v>0</v>
      </c>
      <c r="U408" s="73">
        <v>401</v>
      </c>
      <c r="V408" s="161">
        <v>0</v>
      </c>
      <c r="W408" s="40">
        <v>0</v>
      </c>
      <c r="X408" s="49">
        <f ca="1">IF(controls!$B$33=1,D408-($I$3-'main page'!$K$27*2)*(1+('main page'!$K$35/100))^A407,D408-$AL$4)</f>
        <v>0</v>
      </c>
      <c r="Y408" s="49">
        <f ca="1">ABS(L408-(controls!$B$9/100)*100)</f>
        <v>0</v>
      </c>
      <c r="AA408" s="49" t="e">
        <f ca="1">IF(controls!$B$33=1,(B409-B408*V409-I409+D408*W409+'main page'!$K$27*('main page'!$K$24+'main page'!$K$11))/'main page'!$K$31,(B409-B408*V409+D408*W409-H409+'main page'!$K$27*('main page'!$K$24+'main page'!$K$11))/'main page'!$K$31)</f>
        <v>#DIV/0!</v>
      </c>
      <c r="AB408" s="49" t="e">
        <f ca="1">IF(controls!$B$45=1,LOG(AF408,1.01)+LOG(AE408,1.01)-LOG(AD408,1.01),-((M408-('main page'!$K$24+'main page'!$K$11))/(1-'normal case'!$AO$3))+'normal case'!AA408)</f>
        <v>#DIV/0!</v>
      </c>
      <c r="AC408" s="176" t="e">
        <f t="shared" ca="1" si="44"/>
        <v>#DIV/0!</v>
      </c>
      <c r="AD408" s="49">
        <f t="shared" ca="1" si="45"/>
        <v>3041.3721416530866</v>
      </c>
      <c r="AE408" s="49">
        <f>AE407*(1+'main page'!$K$32/100)</f>
        <v>1</v>
      </c>
      <c r="AF408" s="49" t="e">
        <f ca="1">IF(ABS(IF(controls!$B$45=1,$AL$13,AD408*AC408/AE408)-AF407)&lt;0.00001,AF407,IF(controls!$B$45=1,$AL$13,AD408*AC408/AE408))</f>
        <v>#DIV/0!</v>
      </c>
      <c r="AG408" s="49">
        <f>IF(controls!$B$46=0,0,IF(controls!$B$33=2,B409-B408*V409-('normal case'!H409-D408*W409-'main page'!$K$27*'normal case'!M408+'main page'!$K$31*'normal case'!AB408)-(('main page'!$K$25*'main page'!$U$13*'main page'!$K$29)/(1+('main page'!$K$25^2)*'main page'!$U$13))*('normal case'!L408-'main page'!$U$8),B409-B408*V409-('normal case'!I409-D408*W409-'main page'!$K$27*'normal case'!M408+'main page'!$K$31*'normal case'!AB408)-(('main page'!$K$25*'main page'!$U$13*'main page'!$K$29)/(1+('main page'!$K$25^2)*'main page'!$U$13))*('normal case'!L408-'main page'!$U$8)))</f>
        <v>0</v>
      </c>
      <c r="AN408" s="40"/>
      <c r="AO408" s="40"/>
    </row>
    <row r="409" spans="1:41">
      <c r="A409" s="48">
        <v>407</v>
      </c>
      <c r="B409" s="75">
        <f ca="1">IF(controls!$B$33=1,B408*(1+V409)+T409,B408*(1+V409))</f>
        <v>100</v>
      </c>
      <c r="C409" s="80">
        <f t="shared" ca="1" si="46"/>
        <v>0</v>
      </c>
      <c r="D409" s="77">
        <f t="shared" ca="1" si="42"/>
        <v>100</v>
      </c>
      <c r="E409" s="77">
        <f ca="1">AG408+IF(controls!$B$33=1,G409,F409)</f>
        <v>100</v>
      </c>
      <c r="F409" s="94">
        <f ca="1">IF(controls!$B$44=0,H409-'main page'!$K$27*M408,H409-'main page'!$K$27*M408+'main page'!$K$31*AB408)</f>
        <v>100</v>
      </c>
      <c r="G409" s="75">
        <f ca="1">IF(controls!$B$44=0,I409-'main page'!$K$27*M408,I409-'main page'!$K$27*M408+'main page'!$K$31*'normal case'!AB408)</f>
        <v>100</v>
      </c>
      <c r="H409" s="75">
        <f t="shared" ca="1" si="47"/>
        <v>108</v>
      </c>
      <c r="I409" s="75">
        <f t="shared" ca="1" si="48"/>
        <v>108</v>
      </c>
      <c r="L409" s="75">
        <f ca="1">IF(ABS('main page'!$K$29*L408+(1-'main page'!$K$29)*(controls!$B$9/100)*100+'main page'!$K$25*(D409-B409)-L408)&lt;0.0000001,L408,'main page'!$K$29*L408+(1-'main page'!$K$29)*(controls!$B$9/100)*100+'main page'!$K$25*(D409-B409))</f>
        <v>2</v>
      </c>
      <c r="M409" s="96">
        <f ca="1">IF(controls!$B$10=1,M408,IF(SUM(controls!$B$44:$B$46)=2,N409-'main page'!$K$29*'normal case'!L409-(1-'main page'!$K$29)*'main page'!$K$32,N409-'main page'!$K$29*'normal case'!L409-(1-'main page'!$K$29)*controls!$B$9))</f>
        <v>4</v>
      </c>
      <c r="N409" s="208">
        <f ca="1">IF(controls!$B$45=1,IF(controls!$B$46=1,'main page'!$K$24+'main page'!$K$11+'main page'!$U$8,'main page'!$K$24+'main page'!$K$11+'main page'!$K$32),IF(controls!$B$44=1,IF(O409&lt;0,0,O409),IF(O409+'main page'!$K$11&lt;0,0,O409+'main page'!$K$11)))</f>
        <v>6</v>
      </c>
      <c r="O409" s="76">
        <f ca="1">IF(controls!$B$10=1,'normal case'!M409+'normal case'!L409,'normal case'!P409)</f>
        <v>6</v>
      </c>
      <c r="P409" s="74">
        <f t="shared" ca="1" si="43"/>
        <v>6</v>
      </c>
      <c r="Q409" s="210">
        <f ca="1">IF(controls!$B$44=0,R409+'main page'!$K$29*L409+(1-'main page'!$K$29)*controls!$B$9+(('main page'!$K$25*'main page'!$U$13*'main page'!$K$29)/('main page'!$K$27*(1+('main page'!$K$25^2)*'main page'!$U$13)))*(L409-controls!$B$9),R409+'main page'!$K$29*L409+(1-'main page'!$K$29)*controls!$B$9+(('main page'!$K$25*'main page'!$U$13*'normal case'!$AO$3)/'normal case'!$AO$4)*('normal case'!L409-controls!$B$9))</f>
        <v>6</v>
      </c>
      <c r="R409" s="98">
        <f ca="1">IF(controls!$B$44=1,'main page'!$K$24+'main page'!$K$11,IF(controls!$B$33=1,((I410-D409*W410-B410+B409*V410)/'main page'!$K$27)-'main page'!$K$11,((H410-D409*W410-B410+B409*V410)/'main page'!$K$27)-'main page'!$K$11))</f>
        <v>4</v>
      </c>
      <c r="T409" s="71">
        <f>IF(controls!$B$6=1,$AL$3*(1+('main page'!$K$35/100))^U409-$AL$3*(1+('main page'!$K$35/100))^U408,$AL$3*(1+('main page'!$G$8/100))*(1+('main page'!$K$35/100))^U409-$AL$3*(1+('main page'!$G$8/100))*(1+('main page'!$K$35/100))^U408)</f>
        <v>0</v>
      </c>
      <c r="U409" s="73">
        <v>402</v>
      </c>
      <c r="V409" s="161">
        <v>0</v>
      </c>
      <c r="W409" s="40">
        <v>0</v>
      </c>
      <c r="X409" s="49">
        <f ca="1">IF(controls!$B$33=1,D409-($I$3-'main page'!$K$27*2)*(1+('main page'!$K$35/100))^A408,D409-$AL$4)</f>
        <v>0</v>
      </c>
      <c r="Y409" s="49">
        <f ca="1">ABS(L409-(controls!$B$9/100)*100)</f>
        <v>0</v>
      </c>
      <c r="AA409" s="49" t="e">
        <f ca="1">IF(controls!$B$33=1,(B410-B409*V410-I410+D409*W410+'main page'!$K$27*('main page'!$K$24+'main page'!$K$11))/'main page'!$K$31,(B410-B409*V410+D409*W410-H410+'main page'!$K$27*('main page'!$K$24+'main page'!$K$11))/'main page'!$K$31)</f>
        <v>#DIV/0!</v>
      </c>
      <c r="AB409" s="49" t="e">
        <f ca="1">IF(controls!$B$45=1,LOG(AF409,1.01)+LOG(AE409,1.01)-LOG(AD409,1.01),-((M409-('main page'!$K$24+'main page'!$K$11))/(1-'normal case'!$AO$3))+'normal case'!AA409)</f>
        <v>#DIV/0!</v>
      </c>
      <c r="AC409" s="176" t="e">
        <f t="shared" ca="1" si="44"/>
        <v>#DIV/0!</v>
      </c>
      <c r="AD409" s="49">
        <f t="shared" ca="1" si="45"/>
        <v>3102.1995844861485</v>
      </c>
      <c r="AE409" s="49">
        <f>AE408*(1+'main page'!$K$32/100)</f>
        <v>1</v>
      </c>
      <c r="AF409" s="49" t="e">
        <f ca="1">IF(ABS(IF(controls!$B$45=1,$AL$13,AD409*AC409/AE409)-AF408)&lt;0.00001,AF408,IF(controls!$B$45=1,$AL$13,AD409*AC409/AE409))</f>
        <v>#DIV/0!</v>
      </c>
      <c r="AG409" s="49">
        <f>IF(controls!$B$46=0,0,IF(controls!$B$33=2,B410-B409*V410-('normal case'!H410-D409*W410-'main page'!$K$27*'normal case'!M409+'main page'!$K$31*'normal case'!AB409)-(('main page'!$K$25*'main page'!$U$13*'main page'!$K$29)/(1+('main page'!$K$25^2)*'main page'!$U$13))*('normal case'!L409-'main page'!$U$8),B410-B409*V410-('normal case'!I410-D409*W410-'main page'!$K$27*'normal case'!M409+'main page'!$K$31*'normal case'!AB409)-(('main page'!$K$25*'main page'!$U$13*'main page'!$K$29)/(1+('main page'!$K$25^2)*'main page'!$U$13))*('normal case'!L409-'main page'!$U$8)))</f>
        <v>0</v>
      </c>
      <c r="AN409" s="40"/>
      <c r="AO409" s="40"/>
    </row>
    <row r="410" spans="1:41">
      <c r="A410" s="48">
        <v>408</v>
      </c>
      <c r="B410" s="75">
        <f ca="1">IF(controls!$B$33=1,B409*(1+V410)+T410,B409*(1+V410))</f>
        <v>100</v>
      </c>
      <c r="C410" s="80">
        <f t="shared" ca="1" si="46"/>
        <v>0</v>
      </c>
      <c r="D410" s="77">
        <f t="shared" ca="1" si="42"/>
        <v>100</v>
      </c>
      <c r="E410" s="77">
        <f ca="1">AG409+IF(controls!$B$33=1,G410,F410)</f>
        <v>100</v>
      </c>
      <c r="F410" s="94">
        <f ca="1">IF(controls!$B$44=0,H410-'main page'!$K$27*M409,H410-'main page'!$K$27*M409+'main page'!$K$31*AB409)</f>
        <v>100</v>
      </c>
      <c r="G410" s="75">
        <f ca="1">IF(controls!$B$44=0,I410-'main page'!$K$27*M409,I410-'main page'!$K$27*M409+'main page'!$K$31*'normal case'!AB409)</f>
        <v>100</v>
      </c>
      <c r="H410" s="75">
        <f t="shared" ca="1" si="47"/>
        <v>108</v>
      </c>
      <c r="I410" s="75">
        <f t="shared" ca="1" si="48"/>
        <v>108</v>
      </c>
      <c r="L410" s="75">
        <f ca="1">IF(ABS('main page'!$K$29*L409+(1-'main page'!$K$29)*(controls!$B$9/100)*100+'main page'!$K$25*(D410-B410)-L409)&lt;0.0000001,L409,'main page'!$K$29*L409+(1-'main page'!$K$29)*(controls!$B$9/100)*100+'main page'!$K$25*(D410-B410))</f>
        <v>2</v>
      </c>
      <c r="M410" s="96">
        <f ca="1">IF(controls!$B$10=1,M409,IF(SUM(controls!$B$44:$B$46)=2,N410-'main page'!$K$29*'normal case'!L410-(1-'main page'!$K$29)*'main page'!$K$32,N410-'main page'!$K$29*'normal case'!L410-(1-'main page'!$K$29)*controls!$B$9))</f>
        <v>4</v>
      </c>
      <c r="N410" s="208">
        <f ca="1">IF(controls!$B$45=1,IF(controls!$B$46=1,'main page'!$K$24+'main page'!$K$11+'main page'!$U$8,'main page'!$K$24+'main page'!$K$11+'main page'!$K$32),IF(controls!$B$44=1,IF(O410&lt;0,0,O410),IF(O410+'main page'!$K$11&lt;0,0,O410+'main page'!$K$11)))</f>
        <v>6</v>
      </c>
      <c r="O410" s="76">
        <f ca="1">IF(controls!$B$10=1,'normal case'!M410+'normal case'!L410,'normal case'!P410)</f>
        <v>6</v>
      </c>
      <c r="P410" s="74">
        <f t="shared" ca="1" si="43"/>
        <v>6</v>
      </c>
      <c r="Q410" s="210">
        <f ca="1">IF(controls!$B$44=0,R410+'main page'!$K$29*L410+(1-'main page'!$K$29)*controls!$B$9+(('main page'!$K$25*'main page'!$U$13*'main page'!$K$29)/('main page'!$K$27*(1+('main page'!$K$25^2)*'main page'!$U$13)))*(L410-controls!$B$9),R410+'main page'!$K$29*L410+(1-'main page'!$K$29)*controls!$B$9+(('main page'!$K$25*'main page'!$U$13*'normal case'!$AO$3)/'normal case'!$AO$4)*('normal case'!L410-controls!$B$9))</f>
        <v>6</v>
      </c>
      <c r="R410" s="98">
        <f ca="1">IF(controls!$B$44=1,'main page'!$K$24+'main page'!$K$11,IF(controls!$B$33=1,((I411-D410*W411-B411+B410*V411)/'main page'!$K$27)-'main page'!$K$11,((H411-D410*W411-B411+B410*V411)/'main page'!$K$27)-'main page'!$K$11))</f>
        <v>4</v>
      </c>
      <c r="T410" s="71">
        <f>IF(controls!$B$6=1,$AL$3*(1+('main page'!$K$35/100))^U410-$AL$3*(1+('main page'!$K$35/100))^U409,$AL$3*(1+('main page'!$G$8/100))*(1+('main page'!$K$35/100))^U410-$AL$3*(1+('main page'!$G$8/100))*(1+('main page'!$K$35/100))^U409)</f>
        <v>0</v>
      </c>
      <c r="U410" s="73">
        <v>403</v>
      </c>
      <c r="V410" s="161">
        <f ca="1">IF(controls!$B$4=1,IF(controls!$H409=1,controls!$B$34*V409+RAND()*('main page'!$K$16/100)-RAND()*('main page'!$K$16/100),0),0)</f>
        <v>0</v>
      </c>
      <c r="W410" s="40">
        <f ca="1">IF(controls!$B$4=1,IF(controls!$I409=1,controls!$B$34*W409+RAND()*('main page'!$K$16/100)-RAND()*('main page'!$K$16/100),0),0)</f>
        <v>0</v>
      </c>
      <c r="X410" s="49">
        <f ca="1">IF(controls!$B$33=1,D410-($I$3-'main page'!$K$27*2)*(1+('main page'!$K$35/100))^A409,D410-$AL$4)</f>
        <v>0</v>
      </c>
      <c r="Y410" s="49">
        <f ca="1">ABS(L410-(controls!$B$9/100)*100)</f>
        <v>0</v>
      </c>
      <c r="AA410" s="49" t="e">
        <f ca="1">IF(controls!$B$33=1,(B411-B410*V411-I411+D410*W411+'main page'!$K$27*('main page'!$K$24+'main page'!$K$11))/'main page'!$K$31,(B411-B410*V411+D410*W411-H411+'main page'!$K$27*('main page'!$K$24+'main page'!$K$11))/'main page'!$K$31)</f>
        <v>#DIV/0!</v>
      </c>
      <c r="AB410" s="49" t="e">
        <f ca="1">IF(controls!$B$45=1,LOG(AF410,1.01)+LOG(AE410,1.01)-LOG(AD410,1.01),-((M410-('main page'!$K$24+'main page'!$K$11))/(1-'normal case'!$AO$3))+'normal case'!AA410)</f>
        <v>#DIV/0!</v>
      </c>
      <c r="AC410" s="176" t="e">
        <f t="shared" ca="1" si="44"/>
        <v>#DIV/0!</v>
      </c>
      <c r="AD410" s="49">
        <f t="shared" ca="1" si="45"/>
        <v>3164.2435761758716</v>
      </c>
      <c r="AE410" s="49">
        <f>AE409*(1+'main page'!$K$32/100)</f>
        <v>1</v>
      </c>
      <c r="AF410" s="49" t="e">
        <f ca="1">IF(ABS(IF(controls!$B$45=1,$AL$13,AD410*AC410/AE410)-AF409)&lt;0.00001,AF409,IF(controls!$B$45=1,$AL$13,AD410*AC410/AE410))</f>
        <v>#DIV/0!</v>
      </c>
      <c r="AG410" s="49">
        <f>IF(controls!$B$46=0,0,IF(controls!$B$33=2,B411-B410*V411-('normal case'!H411-D410*W411-'main page'!$K$27*'normal case'!M410+'main page'!$K$31*'normal case'!AB410)-(('main page'!$K$25*'main page'!$U$13*'main page'!$K$29)/(1+('main page'!$K$25^2)*'main page'!$U$13))*('normal case'!L410-'main page'!$U$8),B411-B410*V411-('normal case'!I411-D410*W411-'main page'!$K$27*'normal case'!M410+'main page'!$K$31*'normal case'!AB410)-(('main page'!$K$25*'main page'!$U$13*'main page'!$K$29)/(1+('main page'!$K$25^2)*'main page'!$U$13))*('normal case'!L410-'main page'!$U$8)))</f>
        <v>0</v>
      </c>
      <c r="AN410" s="40"/>
      <c r="AO410" s="40"/>
    </row>
    <row r="411" spans="1:41">
      <c r="A411" s="48">
        <v>409</v>
      </c>
      <c r="B411" s="75">
        <f ca="1">IF(controls!$B$33=1,B410*(1+V411)+T411,B410*(1+V411))</f>
        <v>100</v>
      </c>
      <c r="C411" s="80">
        <f t="shared" ca="1" si="46"/>
        <v>0</v>
      </c>
      <c r="D411" s="77">
        <f t="shared" ca="1" si="42"/>
        <v>100</v>
      </c>
      <c r="E411" s="77">
        <f ca="1">AG410+IF(controls!$B$33=1,G411,F411)</f>
        <v>100</v>
      </c>
      <c r="F411" s="94">
        <f ca="1">IF(controls!$B$44=0,H411-'main page'!$K$27*M410,H411-'main page'!$K$27*M410+'main page'!$K$31*AB410)</f>
        <v>100</v>
      </c>
      <c r="G411" s="75">
        <f ca="1">IF(controls!$B$44=0,I411-'main page'!$K$27*M410,I411-'main page'!$K$27*M410+'main page'!$K$31*'normal case'!AB410)</f>
        <v>100</v>
      </c>
      <c r="H411" s="75">
        <f t="shared" ca="1" si="47"/>
        <v>108</v>
      </c>
      <c r="I411" s="75">
        <f t="shared" ca="1" si="48"/>
        <v>108</v>
      </c>
      <c r="L411" s="75">
        <f ca="1">IF(ABS('main page'!$K$29*L410+(1-'main page'!$K$29)*(controls!$B$9/100)*100+'main page'!$K$25*(D411-B411)-L410)&lt;0.0000001,L410,'main page'!$K$29*L410+(1-'main page'!$K$29)*(controls!$B$9/100)*100+'main page'!$K$25*(D411-B411))</f>
        <v>2</v>
      </c>
      <c r="M411" s="96">
        <f ca="1">IF(controls!$B$10=1,M410,IF(SUM(controls!$B$44:$B$46)=2,N411-'main page'!$K$29*'normal case'!L411-(1-'main page'!$K$29)*'main page'!$K$32,N411-'main page'!$K$29*'normal case'!L411-(1-'main page'!$K$29)*controls!$B$9))</f>
        <v>4</v>
      </c>
      <c r="N411" s="208">
        <f ca="1">IF(controls!$B$45=1,IF(controls!$B$46=1,'main page'!$K$24+'main page'!$K$11+'main page'!$U$8,'main page'!$K$24+'main page'!$K$11+'main page'!$K$32),IF(controls!$B$44=1,IF(O411&lt;0,0,O411),IF(O411+'main page'!$K$11&lt;0,0,O411+'main page'!$K$11)))</f>
        <v>6</v>
      </c>
      <c r="O411" s="76">
        <f ca="1">IF(controls!$B$10=1,'normal case'!M411+'normal case'!L411,'normal case'!P411)</f>
        <v>6</v>
      </c>
      <c r="P411" s="74">
        <f t="shared" ca="1" si="43"/>
        <v>6</v>
      </c>
      <c r="Q411" s="210">
        <f ca="1">IF(controls!$B$44=0,R411+'main page'!$K$29*L411+(1-'main page'!$K$29)*controls!$B$9+(('main page'!$K$25*'main page'!$U$13*'main page'!$K$29)/('main page'!$K$27*(1+('main page'!$K$25^2)*'main page'!$U$13)))*(L411-controls!$B$9),R411+'main page'!$K$29*L411+(1-'main page'!$K$29)*controls!$B$9+(('main page'!$K$25*'main page'!$U$13*'normal case'!$AO$3)/'normal case'!$AO$4)*('normal case'!L411-controls!$B$9))</f>
        <v>6</v>
      </c>
      <c r="R411" s="98">
        <f ca="1">IF(controls!$B$44=1,'main page'!$K$24+'main page'!$K$11,IF(controls!$B$33=1,((I412-D411*W412-B412+B411*V412)/'main page'!$K$27)-'main page'!$K$11,((H412-D411*W412-B412+B411*V412)/'main page'!$K$27)-'main page'!$K$11))</f>
        <v>4</v>
      </c>
      <c r="T411" s="71">
        <f>IF(controls!$B$6=1,$AL$3*(1+('main page'!$K$35/100))^U411-$AL$3*(1+('main page'!$K$35/100))^U410,$AL$3*(1+('main page'!$G$8/100))*(1+('main page'!$K$35/100))^U411-$AL$3*(1+('main page'!$G$8/100))*(1+('main page'!$K$35/100))^U410)</f>
        <v>0</v>
      </c>
      <c r="U411" s="73">
        <v>404</v>
      </c>
      <c r="V411" s="161">
        <v>0</v>
      </c>
      <c r="W411" s="40">
        <v>0</v>
      </c>
      <c r="X411" s="49">
        <f ca="1">IF(controls!$B$33=1,D411-($I$3-'main page'!$K$27*2)*(1+('main page'!$K$35/100))^A410,D411-$AL$4)</f>
        <v>0</v>
      </c>
      <c r="Y411" s="49">
        <f ca="1">ABS(L411-(controls!$B$9/100)*100)</f>
        <v>0</v>
      </c>
      <c r="AA411" s="49" t="e">
        <f ca="1">IF(controls!$B$33=1,(B412-B411*V412-I412+D411*W412+'main page'!$K$27*('main page'!$K$24+'main page'!$K$11))/'main page'!$K$31,(B412-B411*V412+D411*W412-H412+'main page'!$K$27*('main page'!$K$24+'main page'!$K$11))/'main page'!$K$31)</f>
        <v>#DIV/0!</v>
      </c>
      <c r="AB411" s="49" t="e">
        <f ca="1">IF(controls!$B$45=1,LOG(AF411,1.01)+LOG(AE411,1.01)-LOG(AD411,1.01),-((M411-('main page'!$K$24+'main page'!$K$11))/(1-'normal case'!$AO$3))+'normal case'!AA411)</f>
        <v>#DIV/0!</v>
      </c>
      <c r="AC411" s="176" t="e">
        <f t="shared" ca="1" si="44"/>
        <v>#DIV/0!</v>
      </c>
      <c r="AD411" s="49">
        <f t="shared" ca="1" si="45"/>
        <v>3227.5284476993888</v>
      </c>
      <c r="AE411" s="49">
        <f>AE410*(1+'main page'!$K$32/100)</f>
        <v>1</v>
      </c>
      <c r="AF411" s="49" t="e">
        <f ca="1">IF(ABS(IF(controls!$B$45=1,$AL$13,AD411*AC411/AE411)-AF410)&lt;0.00001,AF410,IF(controls!$B$45=1,$AL$13,AD411*AC411/AE411))</f>
        <v>#DIV/0!</v>
      </c>
      <c r="AG411" s="49">
        <f>IF(controls!$B$46=0,0,IF(controls!$B$33=2,B412-B411*V412-('normal case'!H412-D411*W412-'main page'!$K$27*'normal case'!M411+'main page'!$K$31*'normal case'!AB411)-(('main page'!$K$25*'main page'!$U$13*'main page'!$K$29)/(1+('main page'!$K$25^2)*'main page'!$U$13))*('normal case'!L411-'main page'!$U$8),B412-B411*V412-('normal case'!I412-D411*W412-'main page'!$K$27*'normal case'!M411+'main page'!$K$31*'normal case'!AB411)-(('main page'!$K$25*'main page'!$U$13*'main page'!$K$29)/(1+('main page'!$K$25^2)*'main page'!$U$13))*('normal case'!L411-'main page'!$U$8)))</f>
        <v>0</v>
      </c>
      <c r="AN411" s="40"/>
      <c r="AO411" s="40"/>
    </row>
    <row r="412" spans="1:41">
      <c r="A412" s="48">
        <v>410</v>
      </c>
      <c r="B412" s="75">
        <f ca="1">IF(controls!$B$33=1,B411*(1+V412)+T412,B411*(1+V412))</f>
        <v>100</v>
      </c>
      <c r="C412" s="80">
        <f t="shared" ca="1" si="46"/>
        <v>0</v>
      </c>
      <c r="D412" s="77">
        <f t="shared" ca="1" si="42"/>
        <v>100</v>
      </c>
      <c r="E412" s="77">
        <f ca="1">AG411+IF(controls!$B$33=1,G412,F412)</f>
        <v>100</v>
      </c>
      <c r="F412" s="94">
        <f ca="1">IF(controls!$B$44=0,H412-'main page'!$K$27*M411,H412-'main page'!$K$27*M411+'main page'!$K$31*AB411)</f>
        <v>100</v>
      </c>
      <c r="G412" s="75">
        <f ca="1">IF(controls!$B$44=0,I412-'main page'!$K$27*M411,I412-'main page'!$K$27*M411+'main page'!$K$31*'normal case'!AB411)</f>
        <v>100</v>
      </c>
      <c r="H412" s="75">
        <f t="shared" ca="1" si="47"/>
        <v>108</v>
      </c>
      <c r="I412" s="75">
        <f t="shared" ca="1" si="48"/>
        <v>108</v>
      </c>
      <c r="L412" s="75">
        <f ca="1">IF(ABS('main page'!$K$29*L411+(1-'main page'!$K$29)*(controls!$B$9/100)*100+'main page'!$K$25*(D412-B412)-L411)&lt;0.0000001,L411,'main page'!$K$29*L411+(1-'main page'!$K$29)*(controls!$B$9/100)*100+'main page'!$K$25*(D412-B412))</f>
        <v>2</v>
      </c>
      <c r="M412" s="96">
        <f ca="1">IF(controls!$B$10=1,M411,IF(SUM(controls!$B$44:$B$46)=2,N412-'main page'!$K$29*'normal case'!L412-(1-'main page'!$K$29)*'main page'!$K$32,N412-'main page'!$K$29*'normal case'!L412-(1-'main page'!$K$29)*controls!$B$9))</f>
        <v>4</v>
      </c>
      <c r="N412" s="208">
        <f ca="1">IF(controls!$B$45=1,IF(controls!$B$46=1,'main page'!$K$24+'main page'!$K$11+'main page'!$U$8,'main page'!$K$24+'main page'!$K$11+'main page'!$K$32),IF(controls!$B$44=1,IF(O412&lt;0,0,O412),IF(O412+'main page'!$K$11&lt;0,0,O412+'main page'!$K$11)))</f>
        <v>6</v>
      </c>
      <c r="O412" s="76">
        <f ca="1">IF(controls!$B$10=1,'normal case'!M412+'normal case'!L412,'normal case'!P412)</f>
        <v>6</v>
      </c>
      <c r="P412" s="74">
        <f t="shared" ca="1" si="43"/>
        <v>6</v>
      </c>
      <c r="Q412" s="210">
        <f ca="1">IF(controls!$B$44=0,R412+'main page'!$K$29*L412+(1-'main page'!$K$29)*controls!$B$9+(('main page'!$K$25*'main page'!$U$13*'main page'!$K$29)/('main page'!$K$27*(1+('main page'!$K$25^2)*'main page'!$U$13)))*(L412-controls!$B$9),R412+'main page'!$K$29*L412+(1-'main page'!$K$29)*controls!$B$9+(('main page'!$K$25*'main page'!$U$13*'normal case'!$AO$3)/'normal case'!$AO$4)*('normal case'!L412-controls!$B$9))</f>
        <v>6</v>
      </c>
      <c r="R412" s="98">
        <f ca="1">IF(controls!$B$44=1,'main page'!$K$24+'main page'!$K$11,IF(controls!$B$33=1,((I413-D412*W413-B413+B412*V413)/'main page'!$K$27)-'main page'!$K$11,((H413-D412*W413-B413+B412*V413)/'main page'!$K$27)-'main page'!$K$11))</f>
        <v>4</v>
      </c>
      <c r="T412" s="71">
        <f>IF(controls!$B$6=1,$AL$3*(1+('main page'!$K$35/100))^U412-$AL$3*(1+('main page'!$K$35/100))^U411,$AL$3*(1+('main page'!$G$8/100))*(1+('main page'!$K$35/100))^U412-$AL$3*(1+('main page'!$G$8/100))*(1+('main page'!$K$35/100))^U411)</f>
        <v>0</v>
      </c>
      <c r="U412" s="73">
        <v>405</v>
      </c>
      <c r="V412" s="161">
        <v>0</v>
      </c>
      <c r="W412" s="40">
        <v>0</v>
      </c>
      <c r="X412" s="49">
        <f ca="1">IF(controls!$B$33=1,D412-($I$3-'main page'!$K$27*2)*(1+('main page'!$K$35/100))^A411,D412-$AL$4)</f>
        <v>0</v>
      </c>
      <c r="Y412" s="49">
        <f ca="1">ABS(L412-(controls!$B$9/100)*100)</f>
        <v>0</v>
      </c>
      <c r="AA412" s="49" t="e">
        <f ca="1">IF(controls!$B$33=1,(B413-B412*V413-I413+D412*W413+'main page'!$K$27*('main page'!$K$24+'main page'!$K$11))/'main page'!$K$31,(B413-B412*V413+D412*W413-H413+'main page'!$K$27*('main page'!$K$24+'main page'!$K$11))/'main page'!$K$31)</f>
        <v>#DIV/0!</v>
      </c>
      <c r="AB412" s="49" t="e">
        <f ca="1">IF(controls!$B$45=1,LOG(AF412,1.01)+LOG(AE412,1.01)-LOG(AD412,1.01),-((M412-('main page'!$K$24+'main page'!$K$11))/(1-'normal case'!$AO$3))+'normal case'!AA412)</f>
        <v>#DIV/0!</v>
      </c>
      <c r="AC412" s="176" t="e">
        <f t="shared" ca="1" si="44"/>
        <v>#DIV/0!</v>
      </c>
      <c r="AD412" s="49">
        <f t="shared" ca="1" si="45"/>
        <v>3292.0790166533766</v>
      </c>
      <c r="AE412" s="49">
        <f>AE411*(1+'main page'!$K$32/100)</f>
        <v>1</v>
      </c>
      <c r="AF412" s="49" t="e">
        <f ca="1">IF(ABS(IF(controls!$B$45=1,$AL$13,AD412*AC412/AE412)-AF411)&lt;0.00001,AF411,IF(controls!$B$45=1,$AL$13,AD412*AC412/AE412))</f>
        <v>#DIV/0!</v>
      </c>
      <c r="AG412" s="49">
        <f>IF(controls!$B$46=0,0,IF(controls!$B$33=2,B413-B412*V413-('normal case'!H413-D412*W413-'main page'!$K$27*'normal case'!M412+'main page'!$K$31*'normal case'!AB412)-(('main page'!$K$25*'main page'!$U$13*'main page'!$K$29)/(1+('main page'!$K$25^2)*'main page'!$U$13))*('normal case'!L412-'main page'!$U$8),B413-B412*V413-('normal case'!I413-D412*W413-'main page'!$K$27*'normal case'!M412+'main page'!$K$31*'normal case'!AB412)-(('main page'!$K$25*'main page'!$U$13*'main page'!$K$29)/(1+('main page'!$K$25^2)*'main page'!$U$13))*('normal case'!L412-'main page'!$U$8)))</f>
        <v>0</v>
      </c>
      <c r="AN412" s="40"/>
      <c r="AO412" s="40"/>
    </row>
    <row r="413" spans="1:41">
      <c r="A413" s="48">
        <v>411</v>
      </c>
      <c r="B413" s="75">
        <f ca="1">IF(controls!$B$33=1,B412*(1+V413)+T413,B412*(1+V413))</f>
        <v>100</v>
      </c>
      <c r="C413" s="80">
        <f t="shared" ca="1" si="46"/>
        <v>0</v>
      </c>
      <c r="D413" s="77">
        <f t="shared" ca="1" si="42"/>
        <v>100</v>
      </c>
      <c r="E413" s="77">
        <f ca="1">AG412+IF(controls!$B$33=1,G413,F413)</f>
        <v>100</v>
      </c>
      <c r="F413" s="94">
        <f ca="1">IF(controls!$B$44=0,H413-'main page'!$K$27*M412,H413-'main page'!$K$27*M412+'main page'!$K$31*AB412)</f>
        <v>100</v>
      </c>
      <c r="G413" s="75">
        <f ca="1">IF(controls!$B$44=0,I413-'main page'!$K$27*M412,I413-'main page'!$K$27*M412+'main page'!$K$31*'normal case'!AB412)</f>
        <v>100</v>
      </c>
      <c r="H413" s="75">
        <f t="shared" ca="1" si="47"/>
        <v>108</v>
      </c>
      <c r="I413" s="75">
        <f t="shared" ca="1" si="48"/>
        <v>108</v>
      </c>
      <c r="L413" s="75">
        <f ca="1">IF(ABS('main page'!$K$29*L412+(1-'main page'!$K$29)*(controls!$B$9/100)*100+'main page'!$K$25*(D413-B413)-L412)&lt;0.0000001,L412,'main page'!$K$29*L412+(1-'main page'!$K$29)*(controls!$B$9/100)*100+'main page'!$K$25*(D413-B413))</f>
        <v>2</v>
      </c>
      <c r="M413" s="96">
        <f ca="1">IF(controls!$B$10=1,M412,IF(SUM(controls!$B$44:$B$46)=2,N413-'main page'!$K$29*'normal case'!L413-(1-'main page'!$K$29)*'main page'!$K$32,N413-'main page'!$K$29*'normal case'!L413-(1-'main page'!$K$29)*controls!$B$9))</f>
        <v>4</v>
      </c>
      <c r="N413" s="208">
        <f ca="1">IF(controls!$B$45=1,IF(controls!$B$46=1,'main page'!$K$24+'main page'!$K$11+'main page'!$U$8,'main page'!$K$24+'main page'!$K$11+'main page'!$K$32),IF(controls!$B$44=1,IF(O413&lt;0,0,O413),IF(O413+'main page'!$K$11&lt;0,0,O413+'main page'!$K$11)))</f>
        <v>6</v>
      </c>
      <c r="O413" s="76">
        <f ca="1">IF(controls!$B$10=1,'normal case'!M413+'normal case'!L413,'normal case'!P413)</f>
        <v>6</v>
      </c>
      <c r="P413" s="74">
        <f t="shared" ca="1" si="43"/>
        <v>6</v>
      </c>
      <c r="Q413" s="210">
        <f ca="1">IF(controls!$B$44=0,R413+'main page'!$K$29*L413+(1-'main page'!$K$29)*controls!$B$9+(('main page'!$K$25*'main page'!$U$13*'main page'!$K$29)/('main page'!$K$27*(1+('main page'!$K$25^2)*'main page'!$U$13)))*(L413-controls!$B$9),R413+'main page'!$K$29*L413+(1-'main page'!$K$29)*controls!$B$9+(('main page'!$K$25*'main page'!$U$13*'normal case'!$AO$3)/'normal case'!$AO$4)*('normal case'!L413-controls!$B$9))</f>
        <v>6</v>
      </c>
      <c r="R413" s="98">
        <f ca="1">IF(controls!$B$44=1,'main page'!$K$24+'main page'!$K$11,IF(controls!$B$33=1,((I414-D413*W414-B414+B413*V414)/'main page'!$K$27)-'main page'!$K$11,((H414-D413*W414-B414+B413*V414)/'main page'!$K$27)-'main page'!$K$11))</f>
        <v>4</v>
      </c>
      <c r="T413" s="71">
        <f>IF(controls!$B$6=1,$AL$3*(1+('main page'!$K$35/100))^U413-$AL$3*(1+('main page'!$K$35/100))^U412,$AL$3*(1+('main page'!$G$8/100))*(1+('main page'!$K$35/100))^U413-$AL$3*(1+('main page'!$G$8/100))*(1+('main page'!$K$35/100))^U412)</f>
        <v>0</v>
      </c>
      <c r="U413" s="73">
        <v>406</v>
      </c>
      <c r="V413" s="161">
        <f ca="1">IF(controls!$B$4=1,IF(controls!$H412=1,controls!$B$34*V412+RAND()*('main page'!$K$16/100)-RAND()*('main page'!$K$16/100),0),0)</f>
        <v>0</v>
      </c>
      <c r="W413" s="40">
        <f ca="1">IF(controls!$B$4=1,IF(controls!$I412=1,controls!$B$34*W412+RAND()*('main page'!$K$16/100)-RAND()*('main page'!$K$16/100),0),0)</f>
        <v>0</v>
      </c>
      <c r="X413" s="49">
        <f ca="1">IF(controls!$B$33=1,D413-($I$3-'main page'!$K$27*2)*(1+('main page'!$K$35/100))^A412,D413-$AL$4)</f>
        <v>0</v>
      </c>
      <c r="Y413" s="49">
        <f ca="1">ABS(L413-(controls!$B$9/100)*100)</f>
        <v>0</v>
      </c>
      <c r="AA413" s="49" t="e">
        <f ca="1">IF(controls!$B$33=1,(B414-B413*V414-I414+D413*W414+'main page'!$K$27*('main page'!$K$24+'main page'!$K$11))/'main page'!$K$31,(B414-B413*V414+D413*W414-H414+'main page'!$K$27*('main page'!$K$24+'main page'!$K$11))/'main page'!$K$31)</f>
        <v>#DIV/0!</v>
      </c>
      <c r="AB413" s="49" t="e">
        <f ca="1">IF(controls!$B$45=1,LOG(AF413,1.01)+LOG(AE413,1.01)-LOG(AD413,1.01),-((M413-('main page'!$K$24+'main page'!$K$11))/(1-'normal case'!$AO$3))+'normal case'!AA413)</f>
        <v>#DIV/0!</v>
      </c>
      <c r="AC413" s="176" t="e">
        <f t="shared" ca="1" si="44"/>
        <v>#DIV/0!</v>
      </c>
      <c r="AD413" s="49">
        <f t="shared" ca="1" si="45"/>
        <v>3357.9205969864443</v>
      </c>
      <c r="AE413" s="49">
        <f>AE412*(1+'main page'!$K$32/100)</f>
        <v>1</v>
      </c>
      <c r="AF413" s="49" t="e">
        <f ca="1">IF(ABS(IF(controls!$B$45=1,$AL$13,AD413*AC413/AE413)-AF412)&lt;0.00001,AF412,IF(controls!$B$45=1,$AL$13,AD413*AC413/AE413))</f>
        <v>#DIV/0!</v>
      </c>
      <c r="AG413" s="49">
        <f>IF(controls!$B$46=0,0,IF(controls!$B$33=2,B414-B413*V414-('normal case'!H414-D413*W414-'main page'!$K$27*'normal case'!M413+'main page'!$K$31*'normal case'!AB413)-(('main page'!$K$25*'main page'!$U$13*'main page'!$K$29)/(1+('main page'!$K$25^2)*'main page'!$U$13))*('normal case'!L413-'main page'!$U$8),B414-B413*V414-('normal case'!I414-D413*W414-'main page'!$K$27*'normal case'!M413+'main page'!$K$31*'normal case'!AB413)-(('main page'!$K$25*'main page'!$U$13*'main page'!$K$29)/(1+('main page'!$K$25^2)*'main page'!$U$13))*('normal case'!L413-'main page'!$U$8)))</f>
        <v>0</v>
      </c>
      <c r="AN413" s="40"/>
      <c r="AO413" s="40"/>
    </row>
    <row r="414" spans="1:41">
      <c r="A414" s="48">
        <v>412</v>
      </c>
      <c r="B414" s="75">
        <f ca="1">IF(controls!$B$33=1,B413*(1+V414)+T414,B413*(1+V414))</f>
        <v>100</v>
      </c>
      <c r="C414" s="80">
        <f t="shared" ca="1" si="46"/>
        <v>0</v>
      </c>
      <c r="D414" s="77">
        <f t="shared" ca="1" si="42"/>
        <v>100</v>
      </c>
      <c r="E414" s="77">
        <f ca="1">AG413+IF(controls!$B$33=1,G414,F414)</f>
        <v>100</v>
      </c>
      <c r="F414" s="94">
        <f ca="1">IF(controls!$B$44=0,H414-'main page'!$K$27*M413,H414-'main page'!$K$27*M413+'main page'!$K$31*AB413)</f>
        <v>100</v>
      </c>
      <c r="G414" s="75">
        <f ca="1">IF(controls!$B$44=0,I414-'main page'!$K$27*M413,I414-'main page'!$K$27*M413+'main page'!$K$31*'normal case'!AB413)</f>
        <v>100</v>
      </c>
      <c r="H414" s="75">
        <f t="shared" ca="1" si="47"/>
        <v>108</v>
      </c>
      <c r="I414" s="75">
        <f t="shared" ca="1" si="48"/>
        <v>108</v>
      </c>
      <c r="L414" s="75">
        <f ca="1">IF(ABS('main page'!$K$29*L413+(1-'main page'!$K$29)*(controls!$B$9/100)*100+'main page'!$K$25*(D414-B414)-L413)&lt;0.0000001,L413,'main page'!$K$29*L413+(1-'main page'!$K$29)*(controls!$B$9/100)*100+'main page'!$K$25*(D414-B414))</f>
        <v>2</v>
      </c>
      <c r="M414" s="96">
        <f ca="1">IF(controls!$B$10=1,M413,IF(SUM(controls!$B$44:$B$46)=2,N414-'main page'!$K$29*'normal case'!L414-(1-'main page'!$K$29)*'main page'!$K$32,N414-'main page'!$K$29*'normal case'!L414-(1-'main page'!$K$29)*controls!$B$9))</f>
        <v>4</v>
      </c>
      <c r="N414" s="208">
        <f ca="1">IF(controls!$B$45=1,IF(controls!$B$46=1,'main page'!$K$24+'main page'!$K$11+'main page'!$U$8,'main page'!$K$24+'main page'!$K$11+'main page'!$K$32),IF(controls!$B$44=1,IF(O414&lt;0,0,O414),IF(O414+'main page'!$K$11&lt;0,0,O414+'main page'!$K$11)))</f>
        <v>6</v>
      </c>
      <c r="O414" s="76">
        <f ca="1">IF(controls!$B$10=1,'normal case'!M414+'normal case'!L414,'normal case'!P414)</f>
        <v>6</v>
      </c>
      <c r="P414" s="74">
        <f t="shared" ca="1" si="43"/>
        <v>6</v>
      </c>
      <c r="Q414" s="210">
        <f ca="1">IF(controls!$B$44=0,R414+'main page'!$K$29*L414+(1-'main page'!$K$29)*controls!$B$9+(('main page'!$K$25*'main page'!$U$13*'main page'!$K$29)/('main page'!$K$27*(1+('main page'!$K$25^2)*'main page'!$U$13)))*(L414-controls!$B$9),R414+'main page'!$K$29*L414+(1-'main page'!$K$29)*controls!$B$9+(('main page'!$K$25*'main page'!$U$13*'normal case'!$AO$3)/'normal case'!$AO$4)*('normal case'!L414-controls!$B$9))</f>
        <v>6</v>
      </c>
      <c r="R414" s="98">
        <f ca="1">IF(controls!$B$44=1,'main page'!$K$24+'main page'!$K$11,IF(controls!$B$33=1,((I415-D414*W415-B415+B414*V415)/'main page'!$K$27)-'main page'!$K$11,((H415-D414*W415-B415+B414*V415)/'main page'!$K$27)-'main page'!$K$11))</f>
        <v>4</v>
      </c>
      <c r="T414" s="71">
        <f>IF(controls!$B$6=1,$AL$3*(1+('main page'!$K$35/100))^U414-$AL$3*(1+('main page'!$K$35/100))^U413,$AL$3*(1+('main page'!$G$8/100))*(1+('main page'!$K$35/100))^U414-$AL$3*(1+('main page'!$G$8/100))*(1+('main page'!$K$35/100))^U413)</f>
        <v>0</v>
      </c>
      <c r="U414" s="73">
        <v>407</v>
      </c>
      <c r="V414" s="161">
        <v>0</v>
      </c>
      <c r="W414" s="40">
        <v>0</v>
      </c>
      <c r="X414" s="49">
        <f ca="1">IF(controls!$B$33=1,D414-($I$3-'main page'!$K$27*2)*(1+('main page'!$K$35/100))^A413,D414-$AL$4)</f>
        <v>0</v>
      </c>
      <c r="Y414" s="49">
        <f ca="1">ABS(L414-(controls!$B$9/100)*100)</f>
        <v>0</v>
      </c>
      <c r="AA414" s="49" t="e">
        <f ca="1">IF(controls!$B$33=1,(B415-B414*V415-I415+D414*W415+'main page'!$K$27*('main page'!$K$24+'main page'!$K$11))/'main page'!$K$31,(B415-B414*V415+D414*W415-H415+'main page'!$K$27*('main page'!$K$24+'main page'!$K$11))/'main page'!$K$31)</f>
        <v>#DIV/0!</v>
      </c>
      <c r="AB414" s="49" t="e">
        <f ca="1">IF(controls!$B$45=1,LOG(AF414,1.01)+LOG(AE414,1.01)-LOG(AD414,1.01),-((M414-('main page'!$K$24+'main page'!$K$11))/(1-'normal case'!$AO$3))+'normal case'!AA414)</f>
        <v>#DIV/0!</v>
      </c>
      <c r="AC414" s="176" t="e">
        <f t="shared" ca="1" si="44"/>
        <v>#DIV/0!</v>
      </c>
      <c r="AD414" s="49">
        <f t="shared" ca="1" si="45"/>
        <v>3425.0790089261732</v>
      </c>
      <c r="AE414" s="49">
        <f>AE413*(1+'main page'!$K$32/100)</f>
        <v>1</v>
      </c>
      <c r="AF414" s="49" t="e">
        <f ca="1">IF(ABS(IF(controls!$B$45=1,$AL$13,AD414*AC414/AE414)-AF413)&lt;0.00001,AF413,IF(controls!$B$45=1,$AL$13,AD414*AC414/AE414))</f>
        <v>#DIV/0!</v>
      </c>
      <c r="AG414" s="49">
        <f>IF(controls!$B$46=0,0,IF(controls!$B$33=2,B415-B414*V415-('normal case'!H415-D414*W415-'main page'!$K$27*'normal case'!M414+'main page'!$K$31*'normal case'!AB414)-(('main page'!$K$25*'main page'!$U$13*'main page'!$K$29)/(1+('main page'!$K$25^2)*'main page'!$U$13))*('normal case'!L414-'main page'!$U$8),B415-B414*V415-('normal case'!I415-D414*W415-'main page'!$K$27*'normal case'!M414+'main page'!$K$31*'normal case'!AB414)-(('main page'!$K$25*'main page'!$U$13*'main page'!$K$29)/(1+('main page'!$K$25^2)*'main page'!$U$13))*('normal case'!L414-'main page'!$U$8)))</f>
        <v>0</v>
      </c>
      <c r="AN414" s="40"/>
      <c r="AO414" s="40"/>
    </row>
    <row r="415" spans="1:41">
      <c r="A415" s="48">
        <v>413</v>
      </c>
      <c r="B415" s="75">
        <f ca="1">IF(controls!$B$33=1,B414*(1+V415)+T415,B414*(1+V415))</f>
        <v>100</v>
      </c>
      <c r="C415" s="80">
        <f t="shared" ca="1" si="46"/>
        <v>0</v>
      </c>
      <c r="D415" s="77">
        <f t="shared" ca="1" si="42"/>
        <v>100</v>
      </c>
      <c r="E415" s="77">
        <f ca="1">AG414+IF(controls!$B$33=1,G415,F415)</f>
        <v>100</v>
      </c>
      <c r="F415" s="94">
        <f ca="1">IF(controls!$B$44=0,H415-'main page'!$K$27*M414,H415-'main page'!$K$27*M414+'main page'!$K$31*AB414)</f>
        <v>100</v>
      </c>
      <c r="G415" s="75">
        <f ca="1">IF(controls!$B$44=0,I415-'main page'!$K$27*M414,I415-'main page'!$K$27*M414+'main page'!$K$31*'normal case'!AB414)</f>
        <v>100</v>
      </c>
      <c r="H415" s="75">
        <f t="shared" ca="1" si="47"/>
        <v>108</v>
      </c>
      <c r="I415" s="75">
        <f t="shared" ca="1" si="48"/>
        <v>108</v>
      </c>
      <c r="L415" s="75">
        <f ca="1">IF(ABS('main page'!$K$29*L414+(1-'main page'!$K$29)*(controls!$B$9/100)*100+'main page'!$K$25*(D415-B415)-L414)&lt;0.0000001,L414,'main page'!$K$29*L414+(1-'main page'!$K$29)*(controls!$B$9/100)*100+'main page'!$K$25*(D415-B415))</f>
        <v>2</v>
      </c>
      <c r="M415" s="96">
        <f ca="1">IF(controls!$B$10=1,M414,IF(SUM(controls!$B$44:$B$46)=2,N415-'main page'!$K$29*'normal case'!L415-(1-'main page'!$K$29)*'main page'!$K$32,N415-'main page'!$K$29*'normal case'!L415-(1-'main page'!$K$29)*controls!$B$9))</f>
        <v>4</v>
      </c>
      <c r="N415" s="208">
        <f ca="1">IF(controls!$B$45=1,IF(controls!$B$46=1,'main page'!$K$24+'main page'!$K$11+'main page'!$U$8,'main page'!$K$24+'main page'!$K$11+'main page'!$K$32),IF(controls!$B$44=1,IF(O415&lt;0,0,O415),IF(O415+'main page'!$K$11&lt;0,0,O415+'main page'!$K$11)))</f>
        <v>6</v>
      </c>
      <c r="O415" s="76">
        <f ca="1">IF(controls!$B$10=1,'normal case'!M415+'normal case'!L415,'normal case'!P415)</f>
        <v>6</v>
      </c>
      <c r="P415" s="74">
        <f t="shared" ca="1" si="43"/>
        <v>6</v>
      </c>
      <c r="Q415" s="210">
        <f ca="1">IF(controls!$B$44=0,R415+'main page'!$K$29*L415+(1-'main page'!$K$29)*controls!$B$9+(('main page'!$K$25*'main page'!$U$13*'main page'!$K$29)/('main page'!$K$27*(1+('main page'!$K$25^2)*'main page'!$U$13)))*(L415-controls!$B$9),R415+'main page'!$K$29*L415+(1-'main page'!$K$29)*controls!$B$9+(('main page'!$K$25*'main page'!$U$13*'normal case'!$AO$3)/'normal case'!$AO$4)*('normal case'!L415-controls!$B$9))</f>
        <v>6</v>
      </c>
      <c r="R415" s="98">
        <f ca="1">IF(controls!$B$44=1,'main page'!$K$24+'main page'!$K$11,IF(controls!$B$33=1,((I416-D415*W416-B416+B415*V416)/'main page'!$K$27)-'main page'!$K$11,((H416-D415*W416-B416+B415*V416)/'main page'!$K$27)-'main page'!$K$11))</f>
        <v>4</v>
      </c>
      <c r="T415" s="71">
        <f>IF(controls!$B$6=1,$AL$3*(1+('main page'!$K$35/100))^U415-$AL$3*(1+('main page'!$K$35/100))^U414,$AL$3*(1+('main page'!$G$8/100))*(1+('main page'!$K$35/100))^U415-$AL$3*(1+('main page'!$G$8/100))*(1+('main page'!$K$35/100))^U414)</f>
        <v>0</v>
      </c>
      <c r="U415" s="73">
        <v>408</v>
      </c>
      <c r="V415" s="161">
        <v>0</v>
      </c>
      <c r="W415" s="40">
        <v>0</v>
      </c>
      <c r="X415" s="49">
        <f ca="1">IF(controls!$B$33=1,D415-($I$3-'main page'!$K$27*2)*(1+('main page'!$K$35/100))^A414,D415-$AL$4)</f>
        <v>0</v>
      </c>
      <c r="Y415" s="49">
        <f ca="1">ABS(L415-(controls!$B$9/100)*100)</f>
        <v>0</v>
      </c>
      <c r="AA415" s="49" t="e">
        <f ca="1">IF(controls!$B$33=1,(B416-B415*V416-I416+D415*W416+'main page'!$K$27*('main page'!$K$24+'main page'!$K$11))/'main page'!$K$31,(B416-B415*V416+D415*W416-H416+'main page'!$K$27*('main page'!$K$24+'main page'!$K$11))/'main page'!$K$31)</f>
        <v>#DIV/0!</v>
      </c>
      <c r="AB415" s="49" t="e">
        <f ca="1">IF(controls!$B$45=1,LOG(AF415,1.01)+LOG(AE415,1.01)-LOG(AD415,1.01),-((M415-('main page'!$K$24+'main page'!$K$11))/(1-'normal case'!$AO$3))+'normal case'!AA415)</f>
        <v>#DIV/0!</v>
      </c>
      <c r="AC415" s="176" t="e">
        <f t="shared" ca="1" si="44"/>
        <v>#DIV/0!</v>
      </c>
      <c r="AD415" s="49">
        <f t="shared" ca="1" si="45"/>
        <v>3493.5805891046966</v>
      </c>
      <c r="AE415" s="49">
        <f>AE414*(1+'main page'!$K$32/100)</f>
        <v>1</v>
      </c>
      <c r="AF415" s="49" t="e">
        <f ca="1">IF(ABS(IF(controls!$B$45=1,$AL$13,AD415*AC415/AE415)-AF414)&lt;0.00001,AF414,IF(controls!$B$45=1,$AL$13,AD415*AC415/AE415))</f>
        <v>#DIV/0!</v>
      </c>
      <c r="AG415" s="49">
        <f>IF(controls!$B$46=0,0,IF(controls!$B$33=2,B416-B415*V416-('normal case'!H416-D415*W416-'main page'!$K$27*'normal case'!M415+'main page'!$K$31*'normal case'!AB415)-(('main page'!$K$25*'main page'!$U$13*'main page'!$K$29)/(1+('main page'!$K$25^2)*'main page'!$U$13))*('normal case'!L415-'main page'!$U$8),B416-B415*V416-('normal case'!I416-D415*W416-'main page'!$K$27*'normal case'!M415+'main page'!$K$31*'normal case'!AB415)-(('main page'!$K$25*'main page'!$U$13*'main page'!$K$29)/(1+('main page'!$K$25^2)*'main page'!$U$13))*('normal case'!L415-'main page'!$U$8)))</f>
        <v>0</v>
      </c>
      <c r="AN415" s="40"/>
      <c r="AO415" s="40"/>
    </row>
    <row r="416" spans="1:41">
      <c r="A416" s="48">
        <v>414</v>
      </c>
      <c r="B416" s="75">
        <f ca="1">IF(controls!$B$33=1,B415*(1+V416)+T416,B415*(1+V416))</f>
        <v>100</v>
      </c>
      <c r="C416" s="80">
        <f t="shared" ca="1" si="46"/>
        <v>0</v>
      </c>
      <c r="D416" s="77">
        <f t="shared" ca="1" si="42"/>
        <v>100</v>
      </c>
      <c r="E416" s="77">
        <f ca="1">AG415+IF(controls!$B$33=1,G416,F416)</f>
        <v>100</v>
      </c>
      <c r="F416" s="94">
        <f ca="1">IF(controls!$B$44=0,H416-'main page'!$K$27*M415,H416-'main page'!$K$27*M415+'main page'!$K$31*AB415)</f>
        <v>100</v>
      </c>
      <c r="G416" s="75">
        <f ca="1">IF(controls!$B$44=0,I416-'main page'!$K$27*M415,I416-'main page'!$K$27*M415+'main page'!$K$31*'normal case'!AB415)</f>
        <v>100</v>
      </c>
      <c r="H416" s="75">
        <f t="shared" ca="1" si="47"/>
        <v>108</v>
      </c>
      <c r="I416" s="75">
        <f t="shared" ca="1" si="48"/>
        <v>108</v>
      </c>
      <c r="L416" s="75">
        <f ca="1">IF(ABS('main page'!$K$29*L415+(1-'main page'!$K$29)*(controls!$B$9/100)*100+'main page'!$K$25*(D416-B416)-L415)&lt;0.0000001,L415,'main page'!$K$29*L415+(1-'main page'!$K$29)*(controls!$B$9/100)*100+'main page'!$K$25*(D416-B416))</f>
        <v>2</v>
      </c>
      <c r="M416" s="96">
        <f ca="1">IF(controls!$B$10=1,M415,IF(SUM(controls!$B$44:$B$46)=2,N416-'main page'!$K$29*'normal case'!L416-(1-'main page'!$K$29)*'main page'!$K$32,N416-'main page'!$K$29*'normal case'!L416-(1-'main page'!$K$29)*controls!$B$9))</f>
        <v>4</v>
      </c>
      <c r="N416" s="208">
        <f ca="1">IF(controls!$B$45=1,IF(controls!$B$46=1,'main page'!$K$24+'main page'!$K$11+'main page'!$U$8,'main page'!$K$24+'main page'!$K$11+'main page'!$K$32),IF(controls!$B$44=1,IF(O416&lt;0,0,O416),IF(O416+'main page'!$K$11&lt;0,0,O416+'main page'!$K$11)))</f>
        <v>6</v>
      </c>
      <c r="O416" s="76">
        <f ca="1">IF(controls!$B$10=1,'normal case'!M416+'normal case'!L416,'normal case'!P416)</f>
        <v>6</v>
      </c>
      <c r="P416" s="74">
        <f t="shared" ca="1" si="43"/>
        <v>6</v>
      </c>
      <c r="Q416" s="210">
        <f ca="1">IF(controls!$B$44=0,R416+'main page'!$K$29*L416+(1-'main page'!$K$29)*controls!$B$9+(('main page'!$K$25*'main page'!$U$13*'main page'!$K$29)/('main page'!$K$27*(1+('main page'!$K$25^2)*'main page'!$U$13)))*(L416-controls!$B$9),R416+'main page'!$K$29*L416+(1-'main page'!$K$29)*controls!$B$9+(('main page'!$K$25*'main page'!$U$13*'normal case'!$AO$3)/'normal case'!$AO$4)*('normal case'!L416-controls!$B$9))</f>
        <v>6</v>
      </c>
      <c r="R416" s="98">
        <f ca="1">IF(controls!$B$44=1,'main page'!$K$24+'main page'!$K$11,IF(controls!$B$33=1,((I417-D416*W417-B417+B416*V417)/'main page'!$K$27)-'main page'!$K$11,((H417-D416*W417-B417+B416*V417)/'main page'!$K$27)-'main page'!$K$11))</f>
        <v>4</v>
      </c>
      <c r="T416" s="71">
        <f>IF(controls!$B$6=1,$AL$3*(1+('main page'!$K$35/100))^U416-$AL$3*(1+('main page'!$K$35/100))^U415,$AL$3*(1+('main page'!$G$8/100))*(1+('main page'!$K$35/100))^U416-$AL$3*(1+('main page'!$G$8/100))*(1+('main page'!$K$35/100))^U415)</f>
        <v>0</v>
      </c>
      <c r="U416" s="73">
        <v>409</v>
      </c>
      <c r="V416" s="161">
        <f ca="1">IF(controls!$B$4=1,IF(controls!$H415=1,controls!$B$34*V415+RAND()*('main page'!$K$16/100)-RAND()*('main page'!$K$16/100),0),0)</f>
        <v>0</v>
      </c>
      <c r="W416" s="40">
        <f ca="1">IF(controls!$B$4=1,IF(controls!$I415=1,controls!$B$34*W415+RAND()*('main page'!$K$16/100)-RAND()*('main page'!$K$16/100),0),0)</f>
        <v>0</v>
      </c>
      <c r="X416" s="49">
        <f ca="1">IF(controls!$B$33=1,D416-($I$3-'main page'!$K$27*2)*(1+('main page'!$K$35/100))^A415,D416-$AL$4)</f>
        <v>0</v>
      </c>
      <c r="Y416" s="49">
        <f ca="1">ABS(L416-(controls!$B$9/100)*100)</f>
        <v>0</v>
      </c>
      <c r="AA416" s="49" t="e">
        <f ca="1">IF(controls!$B$33=1,(B417-B416*V417-I417+D416*W417+'main page'!$K$27*('main page'!$K$24+'main page'!$K$11))/'main page'!$K$31,(B417-B416*V417+D416*W417-H417+'main page'!$K$27*('main page'!$K$24+'main page'!$K$11))/'main page'!$K$31)</f>
        <v>#DIV/0!</v>
      </c>
      <c r="AB416" s="49" t="e">
        <f ca="1">IF(controls!$B$45=1,LOG(AF416,1.01)+LOG(AE416,1.01)-LOG(AD416,1.01),-((M416-('main page'!$K$24+'main page'!$K$11))/(1-'normal case'!$AO$3))+'normal case'!AA416)</f>
        <v>#DIV/0!</v>
      </c>
      <c r="AC416" s="176" t="e">
        <f t="shared" ca="1" si="44"/>
        <v>#DIV/0!</v>
      </c>
      <c r="AD416" s="49">
        <f t="shared" ca="1" si="45"/>
        <v>3563.4522008867907</v>
      </c>
      <c r="AE416" s="49">
        <f>AE415*(1+'main page'!$K$32/100)</f>
        <v>1</v>
      </c>
      <c r="AF416" s="49" t="e">
        <f ca="1">IF(ABS(IF(controls!$B$45=1,$AL$13,AD416*AC416/AE416)-AF415)&lt;0.00001,AF415,IF(controls!$B$45=1,$AL$13,AD416*AC416/AE416))</f>
        <v>#DIV/0!</v>
      </c>
      <c r="AG416" s="49">
        <f>IF(controls!$B$46=0,0,IF(controls!$B$33=2,B417-B416*V417-('normal case'!H417-D416*W417-'main page'!$K$27*'normal case'!M416+'main page'!$K$31*'normal case'!AB416)-(('main page'!$K$25*'main page'!$U$13*'main page'!$K$29)/(1+('main page'!$K$25^2)*'main page'!$U$13))*('normal case'!L416-'main page'!$U$8),B417-B416*V417-('normal case'!I417-D416*W417-'main page'!$K$27*'normal case'!M416+'main page'!$K$31*'normal case'!AB416)-(('main page'!$K$25*'main page'!$U$13*'main page'!$K$29)/(1+('main page'!$K$25^2)*'main page'!$U$13))*('normal case'!L416-'main page'!$U$8)))</f>
        <v>0</v>
      </c>
      <c r="AN416" s="40"/>
      <c r="AO416" s="40"/>
    </row>
    <row r="417" spans="1:41">
      <c r="A417" s="48">
        <v>415</v>
      </c>
      <c r="B417" s="75">
        <f ca="1">IF(controls!$B$33=1,B416*(1+V417)+T417,B416*(1+V417))</f>
        <v>100</v>
      </c>
      <c r="C417" s="80">
        <f t="shared" ca="1" si="46"/>
        <v>0</v>
      </c>
      <c r="D417" s="77">
        <f t="shared" ca="1" si="42"/>
        <v>100</v>
      </c>
      <c r="E417" s="77">
        <f ca="1">AG416+IF(controls!$B$33=1,G417,F417)</f>
        <v>100</v>
      </c>
      <c r="F417" s="94">
        <f ca="1">IF(controls!$B$44=0,H417-'main page'!$K$27*M416,H417-'main page'!$K$27*M416+'main page'!$K$31*AB416)</f>
        <v>100</v>
      </c>
      <c r="G417" s="75">
        <f ca="1">IF(controls!$B$44=0,I417-'main page'!$K$27*M416,I417-'main page'!$K$27*M416+'main page'!$K$31*'normal case'!AB416)</f>
        <v>100</v>
      </c>
      <c r="H417" s="75">
        <f t="shared" ca="1" si="47"/>
        <v>108</v>
      </c>
      <c r="I417" s="75">
        <f t="shared" ca="1" si="48"/>
        <v>108</v>
      </c>
      <c r="L417" s="75">
        <f ca="1">IF(ABS('main page'!$K$29*L416+(1-'main page'!$K$29)*(controls!$B$9/100)*100+'main page'!$K$25*(D417-B417)-L416)&lt;0.0000001,L416,'main page'!$K$29*L416+(1-'main page'!$K$29)*(controls!$B$9/100)*100+'main page'!$K$25*(D417-B417))</f>
        <v>2</v>
      </c>
      <c r="M417" s="96">
        <f ca="1">IF(controls!$B$10=1,M416,IF(SUM(controls!$B$44:$B$46)=2,N417-'main page'!$K$29*'normal case'!L417-(1-'main page'!$K$29)*'main page'!$K$32,N417-'main page'!$K$29*'normal case'!L417-(1-'main page'!$K$29)*controls!$B$9))</f>
        <v>4</v>
      </c>
      <c r="N417" s="208">
        <f ca="1">IF(controls!$B$45=1,IF(controls!$B$46=1,'main page'!$K$24+'main page'!$K$11+'main page'!$U$8,'main page'!$K$24+'main page'!$K$11+'main page'!$K$32),IF(controls!$B$44=1,IF(O417&lt;0,0,O417),IF(O417+'main page'!$K$11&lt;0,0,O417+'main page'!$K$11)))</f>
        <v>6</v>
      </c>
      <c r="O417" s="76">
        <f ca="1">IF(controls!$B$10=1,'normal case'!M417+'normal case'!L417,'normal case'!P417)</f>
        <v>6</v>
      </c>
      <c r="P417" s="74">
        <f t="shared" ca="1" si="43"/>
        <v>6</v>
      </c>
      <c r="Q417" s="210">
        <f ca="1">IF(controls!$B$44=0,R417+'main page'!$K$29*L417+(1-'main page'!$K$29)*controls!$B$9+(('main page'!$K$25*'main page'!$U$13*'main page'!$K$29)/('main page'!$K$27*(1+('main page'!$K$25^2)*'main page'!$U$13)))*(L417-controls!$B$9),R417+'main page'!$K$29*L417+(1-'main page'!$K$29)*controls!$B$9+(('main page'!$K$25*'main page'!$U$13*'normal case'!$AO$3)/'normal case'!$AO$4)*('normal case'!L417-controls!$B$9))</f>
        <v>6</v>
      </c>
      <c r="R417" s="98">
        <f ca="1">IF(controls!$B$44=1,'main page'!$K$24+'main page'!$K$11,IF(controls!$B$33=1,((I418-D417*W418-B418+B417*V418)/'main page'!$K$27)-'main page'!$K$11,((H418-D417*W418-B418+B417*V418)/'main page'!$K$27)-'main page'!$K$11))</f>
        <v>4</v>
      </c>
      <c r="T417" s="71">
        <f>IF(controls!$B$6=1,$AL$3*(1+('main page'!$K$35/100))^U417-$AL$3*(1+('main page'!$K$35/100))^U416,$AL$3*(1+('main page'!$G$8/100))*(1+('main page'!$K$35/100))^U417-$AL$3*(1+('main page'!$G$8/100))*(1+('main page'!$K$35/100))^U416)</f>
        <v>0</v>
      </c>
      <c r="U417" s="73">
        <v>410</v>
      </c>
      <c r="V417" s="161">
        <v>0</v>
      </c>
      <c r="W417" s="40">
        <v>0</v>
      </c>
      <c r="X417" s="49">
        <f ca="1">IF(controls!$B$33=1,D417-($I$3-'main page'!$K$27*2)*(1+('main page'!$K$35/100))^A416,D417-$AL$4)</f>
        <v>0</v>
      </c>
      <c r="Y417" s="49">
        <f ca="1">ABS(L417-(controls!$B$9/100)*100)</f>
        <v>0</v>
      </c>
      <c r="AA417" s="49" t="e">
        <f ca="1">IF(controls!$B$33=1,(B418-B417*V418-I418+D417*W418+'main page'!$K$27*('main page'!$K$24+'main page'!$K$11))/'main page'!$K$31,(B418-B417*V418+D417*W418-H418+'main page'!$K$27*('main page'!$K$24+'main page'!$K$11))/'main page'!$K$31)</f>
        <v>#DIV/0!</v>
      </c>
      <c r="AB417" s="49" t="e">
        <f ca="1">IF(controls!$B$45=1,LOG(AF417,1.01)+LOG(AE417,1.01)-LOG(AD417,1.01),-((M417-('main page'!$K$24+'main page'!$K$11))/(1-'normal case'!$AO$3))+'normal case'!AA417)</f>
        <v>#DIV/0!</v>
      </c>
      <c r="AC417" s="176" t="e">
        <f t="shared" ca="1" si="44"/>
        <v>#DIV/0!</v>
      </c>
      <c r="AD417" s="49">
        <f t="shared" ca="1" si="45"/>
        <v>3634.7212449045264</v>
      </c>
      <c r="AE417" s="49">
        <f>AE416*(1+'main page'!$K$32/100)</f>
        <v>1</v>
      </c>
      <c r="AF417" s="49" t="e">
        <f ca="1">IF(ABS(IF(controls!$B$45=1,$AL$13,AD417*AC417/AE417)-AF416)&lt;0.00001,AF416,IF(controls!$B$45=1,$AL$13,AD417*AC417/AE417))</f>
        <v>#DIV/0!</v>
      </c>
      <c r="AG417" s="49">
        <f>IF(controls!$B$46=0,0,IF(controls!$B$33=2,B418-B417*V418-('normal case'!H418-D417*W418-'main page'!$K$27*'normal case'!M417+'main page'!$K$31*'normal case'!AB417)-(('main page'!$K$25*'main page'!$U$13*'main page'!$K$29)/(1+('main page'!$K$25^2)*'main page'!$U$13))*('normal case'!L417-'main page'!$U$8),B418-B417*V418-('normal case'!I418-D417*W418-'main page'!$K$27*'normal case'!M417+'main page'!$K$31*'normal case'!AB417)-(('main page'!$K$25*'main page'!$U$13*'main page'!$K$29)/(1+('main page'!$K$25^2)*'main page'!$U$13))*('normal case'!L417-'main page'!$U$8)))</f>
        <v>0</v>
      </c>
      <c r="AN417" s="40"/>
      <c r="AO417" s="40"/>
    </row>
    <row r="418" spans="1:41">
      <c r="A418" s="48">
        <v>416</v>
      </c>
      <c r="B418" s="75">
        <f ca="1">IF(controls!$B$33=1,B417*(1+V418)+T418,B417*(1+V418))</f>
        <v>100</v>
      </c>
      <c r="C418" s="80">
        <f t="shared" ca="1" si="46"/>
        <v>0</v>
      </c>
      <c r="D418" s="77">
        <f t="shared" ca="1" si="42"/>
        <v>100</v>
      </c>
      <c r="E418" s="77">
        <f ca="1">AG417+IF(controls!$B$33=1,G418,F418)</f>
        <v>100</v>
      </c>
      <c r="F418" s="94">
        <f ca="1">IF(controls!$B$44=0,H418-'main page'!$K$27*M417,H418-'main page'!$K$27*M417+'main page'!$K$31*AB417)</f>
        <v>100</v>
      </c>
      <c r="G418" s="75">
        <f ca="1">IF(controls!$B$44=0,I418-'main page'!$K$27*M417,I418-'main page'!$K$27*M417+'main page'!$K$31*'normal case'!AB417)</f>
        <v>100</v>
      </c>
      <c r="H418" s="75">
        <f t="shared" ca="1" si="47"/>
        <v>108</v>
      </c>
      <c r="I418" s="75">
        <f t="shared" ca="1" si="48"/>
        <v>108</v>
      </c>
      <c r="L418" s="75">
        <f ca="1">IF(ABS('main page'!$K$29*L417+(1-'main page'!$K$29)*(controls!$B$9/100)*100+'main page'!$K$25*(D418-B418)-L417)&lt;0.0000001,L417,'main page'!$K$29*L417+(1-'main page'!$K$29)*(controls!$B$9/100)*100+'main page'!$K$25*(D418-B418))</f>
        <v>2</v>
      </c>
      <c r="M418" s="96">
        <f ca="1">IF(controls!$B$10=1,M417,IF(SUM(controls!$B$44:$B$46)=2,N418-'main page'!$K$29*'normal case'!L418-(1-'main page'!$K$29)*'main page'!$K$32,N418-'main page'!$K$29*'normal case'!L418-(1-'main page'!$K$29)*controls!$B$9))</f>
        <v>4</v>
      </c>
      <c r="N418" s="208">
        <f ca="1">IF(controls!$B$45=1,IF(controls!$B$46=1,'main page'!$K$24+'main page'!$K$11+'main page'!$U$8,'main page'!$K$24+'main page'!$K$11+'main page'!$K$32),IF(controls!$B$44=1,IF(O418&lt;0,0,O418),IF(O418+'main page'!$K$11&lt;0,0,O418+'main page'!$K$11)))</f>
        <v>6</v>
      </c>
      <c r="O418" s="76">
        <f ca="1">IF(controls!$B$10=1,'normal case'!M418+'normal case'!L418,'normal case'!P418)</f>
        <v>6</v>
      </c>
      <c r="P418" s="74">
        <f t="shared" ca="1" si="43"/>
        <v>6</v>
      </c>
      <c r="Q418" s="210">
        <f ca="1">IF(controls!$B$44=0,R418+'main page'!$K$29*L418+(1-'main page'!$K$29)*controls!$B$9+(('main page'!$K$25*'main page'!$U$13*'main page'!$K$29)/('main page'!$K$27*(1+('main page'!$K$25^2)*'main page'!$U$13)))*(L418-controls!$B$9),R418+'main page'!$K$29*L418+(1-'main page'!$K$29)*controls!$B$9+(('main page'!$K$25*'main page'!$U$13*'normal case'!$AO$3)/'normal case'!$AO$4)*('normal case'!L418-controls!$B$9))</f>
        <v>6</v>
      </c>
      <c r="R418" s="98">
        <f ca="1">IF(controls!$B$44=1,'main page'!$K$24+'main page'!$K$11,IF(controls!$B$33=1,((I419-D418*W419-B419+B418*V419)/'main page'!$K$27)-'main page'!$K$11,((H419-D418*W419-B419+B418*V419)/'main page'!$K$27)-'main page'!$K$11))</f>
        <v>4</v>
      </c>
      <c r="T418" s="71">
        <f>IF(controls!$B$6=1,$AL$3*(1+('main page'!$K$35/100))^U418-$AL$3*(1+('main page'!$K$35/100))^U417,$AL$3*(1+('main page'!$G$8/100))*(1+('main page'!$K$35/100))^U418-$AL$3*(1+('main page'!$G$8/100))*(1+('main page'!$K$35/100))^U417)</f>
        <v>0</v>
      </c>
      <c r="U418" s="73">
        <v>411</v>
      </c>
      <c r="V418" s="161">
        <v>0</v>
      </c>
      <c r="W418" s="40">
        <v>0</v>
      </c>
      <c r="X418" s="49">
        <f ca="1">IF(controls!$B$33=1,D418-($I$3-'main page'!$K$27*2)*(1+('main page'!$K$35/100))^A417,D418-$AL$4)</f>
        <v>0</v>
      </c>
      <c r="Y418" s="49">
        <f ca="1">ABS(L418-(controls!$B$9/100)*100)</f>
        <v>0</v>
      </c>
      <c r="AA418" s="49" t="e">
        <f ca="1">IF(controls!$B$33=1,(B419-B418*V419-I419+D418*W419+'main page'!$K$27*('main page'!$K$24+'main page'!$K$11))/'main page'!$K$31,(B419-B418*V419+D418*W419-H419+'main page'!$K$27*('main page'!$K$24+'main page'!$K$11))/'main page'!$K$31)</f>
        <v>#DIV/0!</v>
      </c>
      <c r="AB418" s="49" t="e">
        <f ca="1">IF(controls!$B$45=1,LOG(AF418,1.01)+LOG(AE418,1.01)-LOG(AD418,1.01),-((M418-('main page'!$K$24+'main page'!$K$11))/(1-'normal case'!$AO$3))+'normal case'!AA418)</f>
        <v>#DIV/0!</v>
      </c>
      <c r="AC418" s="176" t="e">
        <f t="shared" ca="1" si="44"/>
        <v>#DIV/0!</v>
      </c>
      <c r="AD418" s="49">
        <f t="shared" ca="1" si="45"/>
        <v>3707.4156698026172</v>
      </c>
      <c r="AE418" s="49">
        <f>AE417*(1+'main page'!$K$32/100)</f>
        <v>1</v>
      </c>
      <c r="AF418" s="49" t="e">
        <f ca="1">IF(ABS(IF(controls!$B$45=1,$AL$13,AD418*AC418/AE418)-AF417)&lt;0.00001,AF417,IF(controls!$B$45=1,$AL$13,AD418*AC418/AE418))</f>
        <v>#DIV/0!</v>
      </c>
      <c r="AG418" s="49">
        <f>IF(controls!$B$46=0,0,IF(controls!$B$33=2,B419-B418*V419-('normal case'!H419-D418*W419-'main page'!$K$27*'normal case'!M418+'main page'!$K$31*'normal case'!AB418)-(('main page'!$K$25*'main page'!$U$13*'main page'!$K$29)/(1+('main page'!$K$25^2)*'main page'!$U$13))*('normal case'!L418-'main page'!$U$8),B419-B418*V419-('normal case'!I419-D418*W419-'main page'!$K$27*'normal case'!M418+'main page'!$K$31*'normal case'!AB418)-(('main page'!$K$25*'main page'!$U$13*'main page'!$K$29)/(1+('main page'!$K$25^2)*'main page'!$U$13))*('normal case'!L418-'main page'!$U$8)))</f>
        <v>0</v>
      </c>
      <c r="AN418" s="40"/>
      <c r="AO418" s="40"/>
    </row>
    <row r="419" spans="1:41">
      <c r="A419" s="48">
        <v>417</v>
      </c>
      <c r="B419" s="75">
        <f ca="1">IF(controls!$B$33=1,B418*(1+V419)+T419,B418*(1+V419))</f>
        <v>100</v>
      </c>
      <c r="C419" s="80">
        <f t="shared" ca="1" si="46"/>
        <v>0</v>
      </c>
      <c r="D419" s="77">
        <f t="shared" ca="1" si="42"/>
        <v>100</v>
      </c>
      <c r="E419" s="77">
        <f ca="1">AG418+IF(controls!$B$33=1,G419,F419)</f>
        <v>100</v>
      </c>
      <c r="F419" s="94">
        <f ca="1">IF(controls!$B$44=0,H419-'main page'!$K$27*M418,H419-'main page'!$K$27*M418+'main page'!$K$31*AB418)</f>
        <v>100</v>
      </c>
      <c r="G419" s="75">
        <f ca="1">IF(controls!$B$44=0,I419-'main page'!$K$27*M418,I419-'main page'!$K$27*M418+'main page'!$K$31*'normal case'!AB418)</f>
        <v>100</v>
      </c>
      <c r="H419" s="75">
        <f t="shared" ca="1" si="47"/>
        <v>108</v>
      </c>
      <c r="I419" s="75">
        <f t="shared" ca="1" si="48"/>
        <v>108</v>
      </c>
      <c r="L419" s="75">
        <f ca="1">IF(ABS('main page'!$K$29*L418+(1-'main page'!$K$29)*(controls!$B$9/100)*100+'main page'!$K$25*(D419-B419)-L418)&lt;0.0000001,L418,'main page'!$K$29*L418+(1-'main page'!$K$29)*(controls!$B$9/100)*100+'main page'!$K$25*(D419-B419))</f>
        <v>2</v>
      </c>
      <c r="M419" s="96">
        <f ca="1">IF(controls!$B$10=1,M418,IF(SUM(controls!$B$44:$B$46)=2,N419-'main page'!$K$29*'normal case'!L419-(1-'main page'!$K$29)*'main page'!$K$32,N419-'main page'!$K$29*'normal case'!L419-(1-'main page'!$K$29)*controls!$B$9))</f>
        <v>4</v>
      </c>
      <c r="N419" s="208">
        <f ca="1">IF(controls!$B$45=1,IF(controls!$B$46=1,'main page'!$K$24+'main page'!$K$11+'main page'!$U$8,'main page'!$K$24+'main page'!$K$11+'main page'!$K$32),IF(controls!$B$44=1,IF(O419&lt;0,0,O419),IF(O419+'main page'!$K$11&lt;0,0,O419+'main page'!$K$11)))</f>
        <v>6</v>
      </c>
      <c r="O419" s="76">
        <f ca="1">IF(controls!$B$10=1,'normal case'!M419+'normal case'!L419,'normal case'!P419)</f>
        <v>6</v>
      </c>
      <c r="P419" s="74">
        <f t="shared" ca="1" si="43"/>
        <v>6</v>
      </c>
      <c r="Q419" s="210">
        <f ca="1">IF(controls!$B$44=0,R419+'main page'!$K$29*L419+(1-'main page'!$K$29)*controls!$B$9+(('main page'!$K$25*'main page'!$U$13*'main page'!$K$29)/('main page'!$K$27*(1+('main page'!$K$25^2)*'main page'!$U$13)))*(L419-controls!$B$9),R419+'main page'!$K$29*L419+(1-'main page'!$K$29)*controls!$B$9+(('main page'!$K$25*'main page'!$U$13*'normal case'!$AO$3)/'normal case'!$AO$4)*('normal case'!L419-controls!$B$9))</f>
        <v>6</v>
      </c>
      <c r="R419" s="98">
        <f ca="1">IF(controls!$B$44=1,'main page'!$K$24+'main page'!$K$11,IF(controls!$B$33=1,((I420-D419*W420-B420+B419*V420)/'main page'!$K$27)-'main page'!$K$11,((H420-D419*W420-B420+B419*V420)/'main page'!$K$27)-'main page'!$K$11))</f>
        <v>4</v>
      </c>
      <c r="T419" s="71">
        <f>IF(controls!$B$6=1,$AL$3*(1+('main page'!$K$35/100))^U419-$AL$3*(1+('main page'!$K$35/100))^U418,$AL$3*(1+('main page'!$G$8/100))*(1+('main page'!$K$35/100))^U419-$AL$3*(1+('main page'!$G$8/100))*(1+('main page'!$K$35/100))^U418)</f>
        <v>0</v>
      </c>
      <c r="U419" s="73">
        <v>412</v>
      </c>
      <c r="V419" s="161">
        <f ca="1">IF(controls!$B$4=1,IF(controls!$H418=1,controls!$B$34*V418+RAND()*('main page'!$K$16/100)-RAND()*('main page'!$K$16/100),0),0)</f>
        <v>0</v>
      </c>
      <c r="W419" s="40">
        <f ca="1">IF(controls!$B$4=1,IF(controls!$I418=1,controls!$B$34*W418+RAND()*('main page'!$K$16/100)-RAND()*('main page'!$K$16/100),0),0)</f>
        <v>0</v>
      </c>
      <c r="X419" s="49">
        <f ca="1">IF(controls!$B$33=1,D419-($I$3-'main page'!$K$27*2)*(1+('main page'!$K$35/100))^A418,D419-$AL$4)</f>
        <v>0</v>
      </c>
      <c r="Y419" s="49">
        <f ca="1">ABS(L419-(controls!$B$9/100)*100)</f>
        <v>0</v>
      </c>
      <c r="AA419" s="49" t="e">
        <f ca="1">IF(controls!$B$33=1,(B420-B419*V420-I420+D419*W420+'main page'!$K$27*('main page'!$K$24+'main page'!$K$11))/'main page'!$K$31,(B420-B419*V420+D419*W420-H420+'main page'!$K$27*('main page'!$K$24+'main page'!$K$11))/'main page'!$K$31)</f>
        <v>#DIV/0!</v>
      </c>
      <c r="AB419" s="49" t="e">
        <f ca="1">IF(controls!$B$45=1,LOG(AF419,1.01)+LOG(AE419,1.01)-LOG(AD419,1.01),-((M419-('main page'!$K$24+'main page'!$K$11))/(1-'normal case'!$AO$3))+'normal case'!AA419)</f>
        <v>#DIV/0!</v>
      </c>
      <c r="AC419" s="176" t="e">
        <f t="shared" ca="1" si="44"/>
        <v>#DIV/0!</v>
      </c>
      <c r="AD419" s="49">
        <f t="shared" ca="1" si="45"/>
        <v>3781.5639831986696</v>
      </c>
      <c r="AE419" s="49">
        <f>AE418*(1+'main page'!$K$32/100)</f>
        <v>1</v>
      </c>
      <c r="AF419" s="49" t="e">
        <f ca="1">IF(ABS(IF(controls!$B$45=1,$AL$13,AD419*AC419/AE419)-AF418)&lt;0.00001,AF418,IF(controls!$B$45=1,$AL$13,AD419*AC419/AE419))</f>
        <v>#DIV/0!</v>
      </c>
      <c r="AG419" s="49">
        <f>IF(controls!$B$46=0,0,IF(controls!$B$33=2,B420-B419*V420-('normal case'!H420-D419*W420-'main page'!$K$27*'normal case'!M419+'main page'!$K$31*'normal case'!AB419)-(('main page'!$K$25*'main page'!$U$13*'main page'!$K$29)/(1+('main page'!$K$25^2)*'main page'!$U$13))*('normal case'!L419-'main page'!$U$8),B420-B419*V420-('normal case'!I420-D419*W420-'main page'!$K$27*'normal case'!M419+'main page'!$K$31*'normal case'!AB419)-(('main page'!$K$25*'main page'!$U$13*'main page'!$K$29)/(1+('main page'!$K$25^2)*'main page'!$U$13))*('normal case'!L419-'main page'!$U$8)))</f>
        <v>0</v>
      </c>
      <c r="AN419" s="40"/>
      <c r="AO419" s="40"/>
    </row>
    <row r="420" spans="1:41">
      <c r="A420" s="48">
        <v>418</v>
      </c>
      <c r="B420" s="75">
        <f ca="1">IF(controls!$B$33=1,B419*(1+V420)+T420,B419*(1+V420))</f>
        <v>100</v>
      </c>
      <c r="C420" s="80">
        <f t="shared" ca="1" si="46"/>
        <v>0</v>
      </c>
      <c r="D420" s="77">
        <f t="shared" ca="1" si="42"/>
        <v>100</v>
      </c>
      <c r="E420" s="77">
        <f ca="1">AG419+IF(controls!$B$33=1,G420,F420)</f>
        <v>100</v>
      </c>
      <c r="F420" s="94">
        <f ca="1">IF(controls!$B$44=0,H420-'main page'!$K$27*M419,H420-'main page'!$K$27*M419+'main page'!$K$31*AB419)</f>
        <v>100</v>
      </c>
      <c r="G420" s="75">
        <f ca="1">IF(controls!$B$44=0,I420-'main page'!$K$27*M419,I420-'main page'!$K$27*M419+'main page'!$K$31*'normal case'!AB419)</f>
        <v>100</v>
      </c>
      <c r="H420" s="75">
        <f t="shared" ca="1" si="47"/>
        <v>108</v>
      </c>
      <c r="I420" s="75">
        <f t="shared" ca="1" si="48"/>
        <v>108</v>
      </c>
      <c r="L420" s="75">
        <f ca="1">IF(ABS('main page'!$K$29*L419+(1-'main page'!$K$29)*(controls!$B$9/100)*100+'main page'!$K$25*(D420-B420)-L419)&lt;0.0000001,L419,'main page'!$K$29*L419+(1-'main page'!$K$29)*(controls!$B$9/100)*100+'main page'!$K$25*(D420-B420))</f>
        <v>2</v>
      </c>
      <c r="M420" s="96">
        <f ca="1">IF(controls!$B$10=1,M419,IF(SUM(controls!$B$44:$B$46)=2,N420-'main page'!$K$29*'normal case'!L420-(1-'main page'!$K$29)*'main page'!$K$32,N420-'main page'!$K$29*'normal case'!L420-(1-'main page'!$K$29)*controls!$B$9))</f>
        <v>4</v>
      </c>
      <c r="N420" s="208">
        <f ca="1">IF(controls!$B$45=1,IF(controls!$B$46=1,'main page'!$K$24+'main page'!$K$11+'main page'!$U$8,'main page'!$K$24+'main page'!$K$11+'main page'!$K$32),IF(controls!$B$44=1,IF(O420&lt;0,0,O420),IF(O420+'main page'!$K$11&lt;0,0,O420+'main page'!$K$11)))</f>
        <v>6</v>
      </c>
      <c r="O420" s="76">
        <f ca="1">IF(controls!$B$10=1,'normal case'!M420+'normal case'!L420,'normal case'!P420)</f>
        <v>6</v>
      </c>
      <c r="P420" s="74">
        <f t="shared" ca="1" si="43"/>
        <v>6</v>
      </c>
      <c r="Q420" s="210">
        <f ca="1">IF(controls!$B$44=0,R420+'main page'!$K$29*L420+(1-'main page'!$K$29)*controls!$B$9+(('main page'!$K$25*'main page'!$U$13*'main page'!$K$29)/('main page'!$K$27*(1+('main page'!$K$25^2)*'main page'!$U$13)))*(L420-controls!$B$9),R420+'main page'!$K$29*L420+(1-'main page'!$K$29)*controls!$B$9+(('main page'!$K$25*'main page'!$U$13*'normal case'!$AO$3)/'normal case'!$AO$4)*('normal case'!L420-controls!$B$9))</f>
        <v>6</v>
      </c>
      <c r="R420" s="98">
        <f ca="1">IF(controls!$B$44=1,'main page'!$K$24+'main page'!$K$11,IF(controls!$B$33=1,((I421-D420*W421-B421+B420*V421)/'main page'!$K$27)-'main page'!$K$11,((H421-D420*W421-B421+B420*V421)/'main page'!$K$27)-'main page'!$K$11))</f>
        <v>4</v>
      </c>
      <c r="T420" s="71">
        <f>IF(controls!$B$6=1,$AL$3*(1+('main page'!$K$35/100))^U420-$AL$3*(1+('main page'!$K$35/100))^U419,$AL$3*(1+('main page'!$G$8/100))*(1+('main page'!$K$35/100))^U420-$AL$3*(1+('main page'!$G$8/100))*(1+('main page'!$K$35/100))^U419)</f>
        <v>0</v>
      </c>
      <c r="U420" s="73">
        <v>413</v>
      </c>
      <c r="V420" s="161">
        <v>0</v>
      </c>
      <c r="W420" s="40">
        <v>0</v>
      </c>
      <c r="X420" s="49">
        <f ca="1">IF(controls!$B$33=1,D420-($I$3-'main page'!$K$27*2)*(1+('main page'!$K$35/100))^A419,D420-$AL$4)</f>
        <v>0</v>
      </c>
      <c r="Y420" s="49">
        <f ca="1">ABS(L420-(controls!$B$9/100)*100)</f>
        <v>0</v>
      </c>
      <c r="AA420" s="49" t="e">
        <f ca="1">IF(controls!$B$33=1,(B421-B420*V421-I421+D420*W421+'main page'!$K$27*('main page'!$K$24+'main page'!$K$11))/'main page'!$K$31,(B421-B420*V421+D420*W421-H421+'main page'!$K$27*('main page'!$K$24+'main page'!$K$11))/'main page'!$K$31)</f>
        <v>#DIV/0!</v>
      </c>
      <c r="AB420" s="49" t="e">
        <f ca="1">IF(controls!$B$45=1,LOG(AF420,1.01)+LOG(AE420,1.01)-LOG(AD420,1.01),-((M420-('main page'!$K$24+'main page'!$K$11))/(1-'normal case'!$AO$3))+'normal case'!AA420)</f>
        <v>#DIV/0!</v>
      </c>
      <c r="AC420" s="176" t="e">
        <f t="shared" ca="1" si="44"/>
        <v>#DIV/0!</v>
      </c>
      <c r="AD420" s="49">
        <f t="shared" ca="1" si="45"/>
        <v>3857.1952628626432</v>
      </c>
      <c r="AE420" s="49">
        <f>AE419*(1+'main page'!$K$32/100)</f>
        <v>1</v>
      </c>
      <c r="AF420" s="49" t="e">
        <f ca="1">IF(ABS(IF(controls!$B$45=1,$AL$13,AD420*AC420/AE420)-AF419)&lt;0.00001,AF419,IF(controls!$B$45=1,$AL$13,AD420*AC420/AE420))</f>
        <v>#DIV/0!</v>
      </c>
      <c r="AG420" s="49">
        <f>IF(controls!$B$46=0,0,IF(controls!$B$33=2,B421-B420*V421-('normal case'!H421-D420*W421-'main page'!$K$27*'normal case'!M420+'main page'!$K$31*'normal case'!AB420)-(('main page'!$K$25*'main page'!$U$13*'main page'!$K$29)/(1+('main page'!$K$25^2)*'main page'!$U$13))*('normal case'!L420-'main page'!$U$8),B421-B420*V421-('normal case'!I421-D420*W421-'main page'!$K$27*'normal case'!M420+'main page'!$K$31*'normal case'!AB420)-(('main page'!$K$25*'main page'!$U$13*'main page'!$K$29)/(1+('main page'!$K$25^2)*'main page'!$U$13))*('normal case'!L420-'main page'!$U$8)))</f>
        <v>0</v>
      </c>
      <c r="AN420" s="40"/>
      <c r="AO420" s="40"/>
    </row>
    <row r="421" spans="1:41">
      <c r="A421" s="48">
        <v>419</v>
      </c>
      <c r="B421" s="75">
        <f ca="1">IF(controls!$B$33=1,B420*(1+V421)+T421,B420*(1+V421))</f>
        <v>100</v>
      </c>
      <c r="C421" s="80">
        <f t="shared" ca="1" si="46"/>
        <v>0</v>
      </c>
      <c r="D421" s="77">
        <f t="shared" ca="1" si="42"/>
        <v>100</v>
      </c>
      <c r="E421" s="77">
        <f ca="1">AG420+IF(controls!$B$33=1,G421,F421)</f>
        <v>100</v>
      </c>
      <c r="F421" s="94">
        <f ca="1">IF(controls!$B$44=0,H421-'main page'!$K$27*M420,H421-'main page'!$K$27*M420+'main page'!$K$31*AB420)</f>
        <v>100</v>
      </c>
      <c r="G421" s="75">
        <f ca="1">IF(controls!$B$44=0,I421-'main page'!$K$27*M420,I421-'main page'!$K$27*M420+'main page'!$K$31*'normal case'!AB420)</f>
        <v>100</v>
      </c>
      <c r="H421" s="75">
        <f t="shared" ca="1" si="47"/>
        <v>108</v>
      </c>
      <c r="I421" s="75">
        <f t="shared" ca="1" si="48"/>
        <v>108</v>
      </c>
      <c r="L421" s="75">
        <f ca="1">IF(ABS('main page'!$K$29*L420+(1-'main page'!$K$29)*(controls!$B$9/100)*100+'main page'!$K$25*(D421-B421)-L420)&lt;0.0000001,L420,'main page'!$K$29*L420+(1-'main page'!$K$29)*(controls!$B$9/100)*100+'main page'!$K$25*(D421-B421))</f>
        <v>2</v>
      </c>
      <c r="M421" s="96">
        <f ca="1">IF(controls!$B$10=1,M420,IF(SUM(controls!$B$44:$B$46)=2,N421-'main page'!$K$29*'normal case'!L421-(1-'main page'!$K$29)*'main page'!$K$32,N421-'main page'!$K$29*'normal case'!L421-(1-'main page'!$K$29)*controls!$B$9))</f>
        <v>4</v>
      </c>
      <c r="N421" s="208">
        <f ca="1">IF(controls!$B$45=1,IF(controls!$B$46=1,'main page'!$K$24+'main page'!$K$11+'main page'!$U$8,'main page'!$K$24+'main page'!$K$11+'main page'!$K$32),IF(controls!$B$44=1,IF(O421&lt;0,0,O421),IF(O421+'main page'!$K$11&lt;0,0,O421+'main page'!$K$11)))</f>
        <v>6</v>
      </c>
      <c r="O421" s="76">
        <f ca="1">IF(controls!$B$10=1,'normal case'!M421+'normal case'!L421,'normal case'!P421)</f>
        <v>6</v>
      </c>
      <c r="P421" s="74">
        <f t="shared" ca="1" si="43"/>
        <v>6</v>
      </c>
      <c r="Q421" s="210">
        <f ca="1">IF(controls!$B$44=0,R421+'main page'!$K$29*L421+(1-'main page'!$K$29)*controls!$B$9+(('main page'!$K$25*'main page'!$U$13*'main page'!$K$29)/('main page'!$K$27*(1+('main page'!$K$25^2)*'main page'!$U$13)))*(L421-controls!$B$9),R421+'main page'!$K$29*L421+(1-'main page'!$K$29)*controls!$B$9+(('main page'!$K$25*'main page'!$U$13*'normal case'!$AO$3)/'normal case'!$AO$4)*('normal case'!L421-controls!$B$9))</f>
        <v>6</v>
      </c>
      <c r="R421" s="98">
        <f ca="1">IF(controls!$B$44=1,'main page'!$K$24+'main page'!$K$11,IF(controls!$B$33=1,((I422-D421*W422-B422+B421*V422)/'main page'!$K$27)-'main page'!$K$11,((H422-D421*W422-B422+B421*V422)/'main page'!$K$27)-'main page'!$K$11))</f>
        <v>4</v>
      </c>
      <c r="T421" s="71">
        <f>IF(controls!$B$6=1,$AL$3*(1+('main page'!$K$35/100))^U421-$AL$3*(1+('main page'!$K$35/100))^U420,$AL$3*(1+('main page'!$G$8/100))*(1+('main page'!$K$35/100))^U421-$AL$3*(1+('main page'!$G$8/100))*(1+('main page'!$K$35/100))^U420)</f>
        <v>0</v>
      </c>
      <c r="U421" s="73">
        <v>414</v>
      </c>
      <c r="V421" s="161">
        <v>0</v>
      </c>
      <c r="W421" s="40">
        <v>0</v>
      </c>
      <c r="X421" s="49">
        <f ca="1">IF(controls!$B$33=1,D421-($I$3-'main page'!$K$27*2)*(1+('main page'!$K$35/100))^A420,D421-$AL$4)</f>
        <v>0</v>
      </c>
      <c r="Y421" s="49">
        <f ca="1">ABS(L421-(controls!$B$9/100)*100)</f>
        <v>0</v>
      </c>
      <c r="AA421" s="49" t="e">
        <f ca="1">IF(controls!$B$33=1,(B422-B421*V422-I422+D421*W422+'main page'!$K$27*('main page'!$K$24+'main page'!$K$11))/'main page'!$K$31,(B422-B421*V422+D421*W422-H422+'main page'!$K$27*('main page'!$K$24+'main page'!$K$11))/'main page'!$K$31)</f>
        <v>#DIV/0!</v>
      </c>
      <c r="AB421" s="49" t="e">
        <f ca="1">IF(controls!$B$45=1,LOG(AF421,1.01)+LOG(AE421,1.01)-LOG(AD421,1.01),-((M421-('main page'!$K$24+'main page'!$K$11))/(1-'normal case'!$AO$3))+'normal case'!AA421)</f>
        <v>#DIV/0!</v>
      </c>
      <c r="AC421" s="176" t="e">
        <f t="shared" ca="1" si="44"/>
        <v>#DIV/0!</v>
      </c>
      <c r="AD421" s="49">
        <f t="shared" ca="1" si="45"/>
        <v>3934.3391681198959</v>
      </c>
      <c r="AE421" s="49">
        <f>AE420*(1+'main page'!$K$32/100)</f>
        <v>1</v>
      </c>
      <c r="AF421" s="49" t="e">
        <f ca="1">IF(ABS(IF(controls!$B$45=1,$AL$13,AD421*AC421/AE421)-AF420)&lt;0.00001,AF420,IF(controls!$B$45=1,$AL$13,AD421*AC421/AE421))</f>
        <v>#DIV/0!</v>
      </c>
      <c r="AG421" s="49">
        <f>IF(controls!$B$46=0,0,IF(controls!$B$33=2,B422-B421*V422-('normal case'!H422-D421*W422-'main page'!$K$27*'normal case'!M421+'main page'!$K$31*'normal case'!AB421)-(('main page'!$K$25*'main page'!$U$13*'main page'!$K$29)/(1+('main page'!$K$25^2)*'main page'!$U$13))*('normal case'!L421-'main page'!$U$8),B422-B421*V422-('normal case'!I422-D421*W422-'main page'!$K$27*'normal case'!M421+'main page'!$K$31*'normal case'!AB421)-(('main page'!$K$25*'main page'!$U$13*'main page'!$K$29)/(1+('main page'!$K$25^2)*'main page'!$U$13))*('normal case'!L421-'main page'!$U$8)))</f>
        <v>0</v>
      </c>
      <c r="AN421" s="40"/>
      <c r="AO421" s="40"/>
    </row>
    <row r="422" spans="1:41">
      <c r="A422" s="48">
        <v>420</v>
      </c>
      <c r="B422" s="75">
        <f ca="1">IF(controls!$B$33=1,B421*(1+V422)+T422,B421*(1+V422))</f>
        <v>100</v>
      </c>
      <c r="C422" s="80">
        <f t="shared" ca="1" si="46"/>
        <v>0</v>
      </c>
      <c r="D422" s="77">
        <f t="shared" ca="1" si="42"/>
        <v>100</v>
      </c>
      <c r="E422" s="77">
        <f ca="1">AG421+IF(controls!$B$33=1,G422,F422)</f>
        <v>100</v>
      </c>
      <c r="F422" s="94">
        <f ca="1">IF(controls!$B$44=0,H422-'main page'!$K$27*M421,H422-'main page'!$K$27*M421+'main page'!$K$31*AB421)</f>
        <v>100</v>
      </c>
      <c r="G422" s="75">
        <f ca="1">IF(controls!$B$44=0,I422-'main page'!$K$27*M421,I422-'main page'!$K$27*M421+'main page'!$K$31*'normal case'!AB421)</f>
        <v>100</v>
      </c>
      <c r="H422" s="75">
        <f t="shared" ca="1" si="47"/>
        <v>108</v>
      </c>
      <c r="I422" s="75">
        <f t="shared" ca="1" si="48"/>
        <v>108</v>
      </c>
      <c r="L422" s="75">
        <f ca="1">IF(ABS('main page'!$K$29*L421+(1-'main page'!$K$29)*(controls!$B$9/100)*100+'main page'!$K$25*(D422-B422)-L421)&lt;0.0000001,L421,'main page'!$K$29*L421+(1-'main page'!$K$29)*(controls!$B$9/100)*100+'main page'!$K$25*(D422-B422))</f>
        <v>2</v>
      </c>
      <c r="M422" s="96">
        <f ca="1">IF(controls!$B$10=1,M421,IF(SUM(controls!$B$44:$B$46)=2,N422-'main page'!$K$29*'normal case'!L422-(1-'main page'!$K$29)*'main page'!$K$32,N422-'main page'!$K$29*'normal case'!L422-(1-'main page'!$K$29)*controls!$B$9))</f>
        <v>4</v>
      </c>
      <c r="N422" s="208">
        <f ca="1">IF(controls!$B$45=1,IF(controls!$B$46=1,'main page'!$K$24+'main page'!$K$11+'main page'!$U$8,'main page'!$K$24+'main page'!$K$11+'main page'!$K$32),IF(controls!$B$44=1,IF(O422&lt;0,0,O422),IF(O422+'main page'!$K$11&lt;0,0,O422+'main page'!$K$11)))</f>
        <v>6</v>
      </c>
      <c r="O422" s="76">
        <f ca="1">IF(controls!$B$10=1,'normal case'!M422+'normal case'!L422,'normal case'!P422)</f>
        <v>6</v>
      </c>
      <c r="P422" s="74">
        <f t="shared" ca="1" si="43"/>
        <v>6</v>
      </c>
      <c r="Q422" s="210">
        <f ca="1">IF(controls!$B$44=0,R422+'main page'!$K$29*L422+(1-'main page'!$K$29)*controls!$B$9+(('main page'!$K$25*'main page'!$U$13*'main page'!$K$29)/('main page'!$K$27*(1+('main page'!$K$25^2)*'main page'!$U$13)))*(L422-controls!$B$9),R422+'main page'!$K$29*L422+(1-'main page'!$K$29)*controls!$B$9+(('main page'!$K$25*'main page'!$U$13*'normal case'!$AO$3)/'normal case'!$AO$4)*('normal case'!L422-controls!$B$9))</f>
        <v>6</v>
      </c>
      <c r="R422" s="98">
        <f ca="1">IF(controls!$B$44=1,'main page'!$K$24+'main page'!$K$11,IF(controls!$B$33=1,((I423-D422*W423-B423+B422*V423)/'main page'!$K$27)-'main page'!$K$11,((H423-D422*W423-B423+B422*V423)/'main page'!$K$27)-'main page'!$K$11))</f>
        <v>4</v>
      </c>
      <c r="T422" s="71">
        <f>IF(controls!$B$6=1,$AL$3*(1+('main page'!$K$35/100))^U422-$AL$3*(1+('main page'!$K$35/100))^U421,$AL$3*(1+('main page'!$G$8/100))*(1+('main page'!$K$35/100))^U422-$AL$3*(1+('main page'!$G$8/100))*(1+('main page'!$K$35/100))^U421)</f>
        <v>0</v>
      </c>
      <c r="U422" s="73">
        <v>415</v>
      </c>
      <c r="V422" s="161">
        <f ca="1">IF(controls!$B$4=1,IF(controls!$H421=1,controls!$B$34*V421+RAND()*('main page'!$K$16/100)-RAND()*('main page'!$K$16/100),0),0)</f>
        <v>0</v>
      </c>
      <c r="W422" s="40">
        <f ca="1">IF(controls!$B$4=1,IF(controls!$I421=1,controls!$B$34*W421+RAND()*('main page'!$K$16/100)-RAND()*('main page'!$K$16/100),0),0)</f>
        <v>0</v>
      </c>
      <c r="X422" s="49">
        <f ca="1">IF(controls!$B$33=1,D422-($I$3-'main page'!$K$27*2)*(1+('main page'!$K$35/100))^A421,D422-$AL$4)</f>
        <v>0</v>
      </c>
      <c r="Y422" s="49">
        <f ca="1">ABS(L422-(controls!$B$9/100)*100)</f>
        <v>0</v>
      </c>
      <c r="AA422" s="49" t="e">
        <f ca="1">IF(controls!$B$33=1,(B423-B422*V423-I423+D422*W423+'main page'!$K$27*('main page'!$K$24+'main page'!$K$11))/'main page'!$K$31,(B423-B422*V423+D422*W423-H423+'main page'!$K$27*('main page'!$K$24+'main page'!$K$11))/'main page'!$K$31)</f>
        <v>#DIV/0!</v>
      </c>
      <c r="AB422" s="49" t="e">
        <f ca="1">IF(controls!$B$45=1,LOG(AF422,1.01)+LOG(AE422,1.01)-LOG(AD422,1.01),-((M422-('main page'!$K$24+'main page'!$K$11))/(1-'normal case'!$AO$3))+'normal case'!AA422)</f>
        <v>#DIV/0!</v>
      </c>
      <c r="AC422" s="176" t="e">
        <f t="shared" ca="1" si="44"/>
        <v>#DIV/0!</v>
      </c>
      <c r="AD422" s="49">
        <f t="shared" ca="1" si="45"/>
        <v>4013.0259514822937</v>
      </c>
      <c r="AE422" s="49">
        <f>AE421*(1+'main page'!$K$32/100)</f>
        <v>1</v>
      </c>
      <c r="AF422" s="49" t="e">
        <f ca="1">IF(ABS(IF(controls!$B$45=1,$AL$13,AD422*AC422/AE422)-AF421)&lt;0.00001,AF421,IF(controls!$B$45=1,$AL$13,AD422*AC422/AE422))</f>
        <v>#DIV/0!</v>
      </c>
      <c r="AG422" s="49">
        <f>IF(controls!$B$46=0,0,IF(controls!$B$33=2,B423-B422*V423-('normal case'!H423-D422*W423-'main page'!$K$27*'normal case'!M422+'main page'!$K$31*'normal case'!AB422)-(('main page'!$K$25*'main page'!$U$13*'main page'!$K$29)/(1+('main page'!$K$25^2)*'main page'!$U$13))*('normal case'!L422-'main page'!$U$8),B423-B422*V423-('normal case'!I423-D422*W423-'main page'!$K$27*'normal case'!M422+'main page'!$K$31*'normal case'!AB422)-(('main page'!$K$25*'main page'!$U$13*'main page'!$K$29)/(1+('main page'!$K$25^2)*'main page'!$U$13))*('normal case'!L422-'main page'!$U$8)))</f>
        <v>0</v>
      </c>
      <c r="AN422" s="40"/>
      <c r="AO422" s="40"/>
    </row>
    <row r="423" spans="1:41">
      <c r="A423" s="48">
        <v>421</v>
      </c>
      <c r="B423" s="75">
        <f ca="1">IF(controls!$B$33=1,B422*(1+V423)+T423,B422*(1+V423))</f>
        <v>100</v>
      </c>
      <c r="C423" s="80">
        <f t="shared" ca="1" si="46"/>
        <v>0</v>
      </c>
      <c r="D423" s="77">
        <f t="shared" ca="1" si="42"/>
        <v>100</v>
      </c>
      <c r="E423" s="77">
        <f ca="1">AG422+IF(controls!$B$33=1,G423,F423)</f>
        <v>100</v>
      </c>
      <c r="F423" s="94">
        <f ca="1">IF(controls!$B$44=0,H423-'main page'!$K$27*M422,H423-'main page'!$K$27*M422+'main page'!$K$31*AB422)</f>
        <v>100</v>
      </c>
      <c r="G423" s="75">
        <f ca="1">IF(controls!$B$44=0,I423-'main page'!$K$27*M422,I423-'main page'!$K$27*M422+'main page'!$K$31*'normal case'!AB422)</f>
        <v>100</v>
      </c>
      <c r="H423" s="75">
        <f t="shared" ca="1" si="47"/>
        <v>108</v>
      </c>
      <c r="I423" s="75">
        <f t="shared" ca="1" si="48"/>
        <v>108</v>
      </c>
      <c r="L423" s="75">
        <f ca="1">IF(ABS('main page'!$K$29*L422+(1-'main page'!$K$29)*(controls!$B$9/100)*100+'main page'!$K$25*(D423-B423)-L422)&lt;0.0000001,L422,'main page'!$K$29*L422+(1-'main page'!$K$29)*(controls!$B$9/100)*100+'main page'!$K$25*(D423-B423))</f>
        <v>2</v>
      </c>
      <c r="M423" s="96">
        <f ca="1">IF(controls!$B$10=1,M422,IF(SUM(controls!$B$44:$B$46)=2,N423-'main page'!$K$29*'normal case'!L423-(1-'main page'!$K$29)*'main page'!$K$32,N423-'main page'!$K$29*'normal case'!L423-(1-'main page'!$K$29)*controls!$B$9))</f>
        <v>4</v>
      </c>
      <c r="N423" s="208">
        <f ca="1">IF(controls!$B$45=1,IF(controls!$B$46=1,'main page'!$K$24+'main page'!$K$11+'main page'!$U$8,'main page'!$K$24+'main page'!$K$11+'main page'!$K$32),IF(controls!$B$44=1,IF(O423&lt;0,0,O423),IF(O423+'main page'!$K$11&lt;0,0,O423+'main page'!$K$11)))</f>
        <v>6</v>
      </c>
      <c r="O423" s="76">
        <f ca="1">IF(controls!$B$10=1,'normal case'!M423+'normal case'!L423,'normal case'!P423)</f>
        <v>6</v>
      </c>
      <c r="P423" s="74">
        <f t="shared" ca="1" si="43"/>
        <v>6</v>
      </c>
      <c r="Q423" s="210">
        <f ca="1">IF(controls!$B$44=0,R423+'main page'!$K$29*L423+(1-'main page'!$K$29)*controls!$B$9+(('main page'!$K$25*'main page'!$U$13*'main page'!$K$29)/('main page'!$K$27*(1+('main page'!$K$25^2)*'main page'!$U$13)))*(L423-controls!$B$9),R423+'main page'!$K$29*L423+(1-'main page'!$K$29)*controls!$B$9+(('main page'!$K$25*'main page'!$U$13*'normal case'!$AO$3)/'normal case'!$AO$4)*('normal case'!L423-controls!$B$9))</f>
        <v>6</v>
      </c>
      <c r="R423" s="98">
        <f ca="1">IF(controls!$B$44=1,'main page'!$K$24+'main page'!$K$11,IF(controls!$B$33=1,((I424-D423*W424-B424+B423*V424)/'main page'!$K$27)-'main page'!$K$11,((H424-D423*W424-B424+B423*V424)/'main page'!$K$27)-'main page'!$K$11))</f>
        <v>4</v>
      </c>
      <c r="T423" s="71">
        <f>IF(controls!$B$6=1,$AL$3*(1+('main page'!$K$35/100))^U423-$AL$3*(1+('main page'!$K$35/100))^U422,$AL$3*(1+('main page'!$G$8/100))*(1+('main page'!$K$35/100))^U423-$AL$3*(1+('main page'!$G$8/100))*(1+('main page'!$K$35/100))^U422)</f>
        <v>0</v>
      </c>
      <c r="U423" s="73">
        <v>416</v>
      </c>
      <c r="V423" s="161">
        <v>0</v>
      </c>
      <c r="W423" s="40">
        <v>0</v>
      </c>
      <c r="X423" s="49">
        <f ca="1">IF(controls!$B$33=1,D423-($I$3-'main page'!$K$27*2)*(1+('main page'!$K$35/100))^A422,D423-$AL$4)</f>
        <v>0</v>
      </c>
      <c r="Y423" s="49">
        <f ca="1">ABS(L423-(controls!$B$9/100)*100)</f>
        <v>0</v>
      </c>
      <c r="AA423" s="49" t="e">
        <f ca="1">IF(controls!$B$33=1,(B424-B423*V424-I424+D423*W424+'main page'!$K$27*('main page'!$K$24+'main page'!$K$11))/'main page'!$K$31,(B424-B423*V424+D423*W424-H424+'main page'!$K$27*('main page'!$K$24+'main page'!$K$11))/'main page'!$K$31)</f>
        <v>#DIV/0!</v>
      </c>
      <c r="AB423" s="49" t="e">
        <f ca="1">IF(controls!$B$45=1,LOG(AF423,1.01)+LOG(AE423,1.01)-LOG(AD423,1.01),-((M423-('main page'!$K$24+'main page'!$K$11))/(1-'normal case'!$AO$3))+'normal case'!AA423)</f>
        <v>#DIV/0!</v>
      </c>
      <c r="AC423" s="176" t="e">
        <f t="shared" ca="1" si="44"/>
        <v>#DIV/0!</v>
      </c>
      <c r="AD423" s="49">
        <f t="shared" ca="1" si="45"/>
        <v>4093.2864705119396</v>
      </c>
      <c r="AE423" s="49">
        <f>AE422*(1+'main page'!$K$32/100)</f>
        <v>1</v>
      </c>
      <c r="AF423" s="49" t="e">
        <f ca="1">IF(ABS(IF(controls!$B$45=1,$AL$13,AD423*AC423/AE423)-AF422)&lt;0.00001,AF422,IF(controls!$B$45=1,$AL$13,AD423*AC423/AE423))</f>
        <v>#DIV/0!</v>
      </c>
      <c r="AG423" s="49">
        <f>IF(controls!$B$46=0,0,IF(controls!$B$33=2,B424-B423*V424-('normal case'!H424-D423*W424-'main page'!$K$27*'normal case'!M423+'main page'!$K$31*'normal case'!AB423)-(('main page'!$K$25*'main page'!$U$13*'main page'!$K$29)/(1+('main page'!$K$25^2)*'main page'!$U$13))*('normal case'!L423-'main page'!$U$8),B424-B423*V424-('normal case'!I424-D423*W424-'main page'!$K$27*'normal case'!M423+'main page'!$K$31*'normal case'!AB423)-(('main page'!$K$25*'main page'!$U$13*'main page'!$K$29)/(1+('main page'!$K$25^2)*'main page'!$U$13))*('normal case'!L423-'main page'!$U$8)))</f>
        <v>0</v>
      </c>
      <c r="AN423" s="40"/>
      <c r="AO423" s="40"/>
    </row>
    <row r="424" spans="1:41">
      <c r="A424" s="48">
        <v>422</v>
      </c>
      <c r="B424" s="75">
        <f ca="1">IF(controls!$B$33=1,B423*(1+V424)+T424,B423*(1+V424))</f>
        <v>100</v>
      </c>
      <c r="C424" s="80">
        <f t="shared" ca="1" si="46"/>
        <v>0</v>
      </c>
      <c r="D424" s="77">
        <f t="shared" ca="1" si="42"/>
        <v>100</v>
      </c>
      <c r="E424" s="77">
        <f ca="1">AG423+IF(controls!$B$33=1,G424,F424)</f>
        <v>100</v>
      </c>
      <c r="F424" s="94">
        <f ca="1">IF(controls!$B$44=0,H424-'main page'!$K$27*M423,H424-'main page'!$K$27*M423+'main page'!$K$31*AB423)</f>
        <v>100</v>
      </c>
      <c r="G424" s="75">
        <f ca="1">IF(controls!$B$44=0,I424-'main page'!$K$27*M423,I424-'main page'!$K$27*M423+'main page'!$K$31*'normal case'!AB423)</f>
        <v>100</v>
      </c>
      <c r="H424" s="75">
        <f t="shared" ca="1" si="47"/>
        <v>108</v>
      </c>
      <c r="I424" s="75">
        <f t="shared" ca="1" si="48"/>
        <v>108</v>
      </c>
      <c r="L424" s="75">
        <f ca="1">IF(ABS('main page'!$K$29*L423+(1-'main page'!$K$29)*(controls!$B$9/100)*100+'main page'!$K$25*(D424-B424)-L423)&lt;0.0000001,L423,'main page'!$K$29*L423+(1-'main page'!$K$29)*(controls!$B$9/100)*100+'main page'!$K$25*(D424-B424))</f>
        <v>2</v>
      </c>
      <c r="M424" s="96">
        <f ca="1">IF(controls!$B$10=1,M423,IF(SUM(controls!$B$44:$B$46)=2,N424-'main page'!$K$29*'normal case'!L424-(1-'main page'!$K$29)*'main page'!$K$32,N424-'main page'!$K$29*'normal case'!L424-(1-'main page'!$K$29)*controls!$B$9))</f>
        <v>4</v>
      </c>
      <c r="N424" s="208">
        <f ca="1">IF(controls!$B$45=1,IF(controls!$B$46=1,'main page'!$K$24+'main page'!$K$11+'main page'!$U$8,'main page'!$K$24+'main page'!$K$11+'main page'!$K$32),IF(controls!$B$44=1,IF(O424&lt;0,0,O424),IF(O424+'main page'!$K$11&lt;0,0,O424+'main page'!$K$11)))</f>
        <v>6</v>
      </c>
      <c r="O424" s="76">
        <f ca="1">IF(controls!$B$10=1,'normal case'!M424+'normal case'!L424,'normal case'!P424)</f>
        <v>6</v>
      </c>
      <c r="P424" s="74">
        <f t="shared" ca="1" si="43"/>
        <v>6</v>
      </c>
      <c r="Q424" s="210">
        <f ca="1">IF(controls!$B$44=0,R424+'main page'!$K$29*L424+(1-'main page'!$K$29)*controls!$B$9+(('main page'!$K$25*'main page'!$U$13*'main page'!$K$29)/('main page'!$K$27*(1+('main page'!$K$25^2)*'main page'!$U$13)))*(L424-controls!$B$9),R424+'main page'!$K$29*L424+(1-'main page'!$K$29)*controls!$B$9+(('main page'!$K$25*'main page'!$U$13*'normal case'!$AO$3)/'normal case'!$AO$4)*('normal case'!L424-controls!$B$9))</f>
        <v>6</v>
      </c>
      <c r="R424" s="98">
        <f ca="1">IF(controls!$B$44=1,'main page'!$K$24+'main page'!$K$11,IF(controls!$B$33=1,((I425-D424*W425-B425+B424*V425)/'main page'!$K$27)-'main page'!$K$11,((H425-D424*W425-B425+B424*V425)/'main page'!$K$27)-'main page'!$K$11))</f>
        <v>4</v>
      </c>
      <c r="T424" s="71">
        <f>IF(controls!$B$6=1,$AL$3*(1+('main page'!$K$35/100))^U424-$AL$3*(1+('main page'!$K$35/100))^U423,$AL$3*(1+('main page'!$G$8/100))*(1+('main page'!$K$35/100))^U424-$AL$3*(1+('main page'!$G$8/100))*(1+('main page'!$K$35/100))^U423)</f>
        <v>0</v>
      </c>
      <c r="U424" s="73">
        <v>417</v>
      </c>
      <c r="V424" s="161">
        <v>0</v>
      </c>
      <c r="W424" s="40">
        <v>0</v>
      </c>
      <c r="X424" s="49">
        <f ca="1">IF(controls!$B$33=1,D424-($I$3-'main page'!$K$27*2)*(1+('main page'!$K$35/100))^A423,D424-$AL$4)</f>
        <v>0</v>
      </c>
      <c r="Y424" s="49">
        <f ca="1">ABS(L424-(controls!$B$9/100)*100)</f>
        <v>0</v>
      </c>
      <c r="AA424" s="49" t="e">
        <f ca="1">IF(controls!$B$33=1,(B425-B424*V425-I425+D424*W425+'main page'!$K$27*('main page'!$K$24+'main page'!$K$11))/'main page'!$K$31,(B425-B424*V425+D424*W425-H425+'main page'!$K$27*('main page'!$K$24+'main page'!$K$11))/'main page'!$K$31)</f>
        <v>#DIV/0!</v>
      </c>
      <c r="AB424" s="49" t="e">
        <f ca="1">IF(controls!$B$45=1,LOG(AF424,1.01)+LOG(AE424,1.01)-LOG(AD424,1.01),-((M424-('main page'!$K$24+'main page'!$K$11))/(1-'normal case'!$AO$3))+'normal case'!AA424)</f>
        <v>#DIV/0!</v>
      </c>
      <c r="AC424" s="176" t="e">
        <f t="shared" ca="1" si="44"/>
        <v>#DIV/0!</v>
      </c>
      <c r="AD424" s="49">
        <f t="shared" ca="1" si="45"/>
        <v>4175.1521999221786</v>
      </c>
      <c r="AE424" s="49">
        <f>AE423*(1+'main page'!$K$32/100)</f>
        <v>1</v>
      </c>
      <c r="AF424" s="49" t="e">
        <f ca="1">IF(ABS(IF(controls!$B$45=1,$AL$13,AD424*AC424/AE424)-AF423)&lt;0.00001,AF423,IF(controls!$B$45=1,$AL$13,AD424*AC424/AE424))</f>
        <v>#DIV/0!</v>
      </c>
      <c r="AG424" s="49">
        <f>IF(controls!$B$46=0,0,IF(controls!$B$33=2,B425-B424*V425-('normal case'!H425-D424*W425-'main page'!$K$27*'normal case'!M424+'main page'!$K$31*'normal case'!AB424)-(('main page'!$K$25*'main page'!$U$13*'main page'!$K$29)/(1+('main page'!$K$25^2)*'main page'!$U$13))*('normal case'!L424-'main page'!$U$8),B425-B424*V425-('normal case'!I425-D424*W425-'main page'!$K$27*'normal case'!M424+'main page'!$K$31*'normal case'!AB424)-(('main page'!$K$25*'main page'!$U$13*'main page'!$K$29)/(1+('main page'!$K$25^2)*'main page'!$U$13))*('normal case'!L424-'main page'!$U$8)))</f>
        <v>0</v>
      </c>
      <c r="AN424" s="40"/>
      <c r="AO424" s="40"/>
    </row>
    <row r="425" spans="1:41">
      <c r="A425" s="48">
        <v>423</v>
      </c>
      <c r="B425" s="75">
        <f ca="1">IF(controls!$B$33=1,B424*(1+V425)+T425,B424*(1+V425))</f>
        <v>100</v>
      </c>
      <c r="C425" s="80">
        <f t="shared" ca="1" si="46"/>
        <v>0</v>
      </c>
      <c r="D425" s="77">
        <f t="shared" ca="1" si="42"/>
        <v>100</v>
      </c>
      <c r="E425" s="77">
        <f ca="1">AG424+IF(controls!$B$33=1,G425,F425)</f>
        <v>100</v>
      </c>
      <c r="F425" s="94">
        <f ca="1">IF(controls!$B$44=0,H425-'main page'!$K$27*M424,H425-'main page'!$K$27*M424+'main page'!$K$31*AB424)</f>
        <v>100</v>
      </c>
      <c r="G425" s="75">
        <f ca="1">IF(controls!$B$44=0,I425-'main page'!$K$27*M424,I425-'main page'!$K$27*M424+'main page'!$K$31*'normal case'!AB424)</f>
        <v>100</v>
      </c>
      <c r="H425" s="75">
        <f t="shared" ca="1" si="47"/>
        <v>108</v>
      </c>
      <c r="I425" s="75">
        <f t="shared" ca="1" si="48"/>
        <v>108</v>
      </c>
      <c r="L425" s="75">
        <f ca="1">IF(ABS('main page'!$K$29*L424+(1-'main page'!$K$29)*(controls!$B$9/100)*100+'main page'!$K$25*(D425-B425)-L424)&lt;0.0000001,L424,'main page'!$K$29*L424+(1-'main page'!$K$29)*(controls!$B$9/100)*100+'main page'!$K$25*(D425-B425))</f>
        <v>2</v>
      </c>
      <c r="M425" s="96">
        <f ca="1">IF(controls!$B$10=1,M424,IF(SUM(controls!$B$44:$B$46)=2,N425-'main page'!$K$29*'normal case'!L425-(1-'main page'!$K$29)*'main page'!$K$32,N425-'main page'!$K$29*'normal case'!L425-(1-'main page'!$K$29)*controls!$B$9))</f>
        <v>4</v>
      </c>
      <c r="N425" s="208">
        <f ca="1">IF(controls!$B$45=1,IF(controls!$B$46=1,'main page'!$K$24+'main page'!$K$11+'main page'!$U$8,'main page'!$K$24+'main page'!$K$11+'main page'!$K$32),IF(controls!$B$44=1,IF(O425&lt;0,0,O425),IF(O425+'main page'!$K$11&lt;0,0,O425+'main page'!$K$11)))</f>
        <v>6</v>
      </c>
      <c r="O425" s="76">
        <f ca="1">IF(controls!$B$10=1,'normal case'!M425+'normal case'!L425,'normal case'!P425)</f>
        <v>6</v>
      </c>
      <c r="P425" s="74">
        <f t="shared" ca="1" si="43"/>
        <v>6</v>
      </c>
      <c r="Q425" s="210">
        <f ca="1">IF(controls!$B$44=0,R425+'main page'!$K$29*L425+(1-'main page'!$K$29)*controls!$B$9+(('main page'!$K$25*'main page'!$U$13*'main page'!$K$29)/('main page'!$K$27*(1+('main page'!$K$25^2)*'main page'!$U$13)))*(L425-controls!$B$9),R425+'main page'!$K$29*L425+(1-'main page'!$K$29)*controls!$B$9+(('main page'!$K$25*'main page'!$U$13*'normal case'!$AO$3)/'normal case'!$AO$4)*('normal case'!L425-controls!$B$9))</f>
        <v>6</v>
      </c>
      <c r="R425" s="98">
        <f ca="1">IF(controls!$B$44=1,'main page'!$K$24+'main page'!$K$11,IF(controls!$B$33=1,((I426-D425*W426-B426+B425*V426)/'main page'!$K$27)-'main page'!$K$11,((H426-D425*W426-B426+B425*V426)/'main page'!$K$27)-'main page'!$K$11))</f>
        <v>4</v>
      </c>
      <c r="T425" s="71">
        <f>IF(controls!$B$6=1,$AL$3*(1+('main page'!$K$35/100))^U425-$AL$3*(1+('main page'!$K$35/100))^U424,$AL$3*(1+('main page'!$G$8/100))*(1+('main page'!$K$35/100))^U425-$AL$3*(1+('main page'!$G$8/100))*(1+('main page'!$K$35/100))^U424)</f>
        <v>0</v>
      </c>
      <c r="U425" s="73">
        <v>418</v>
      </c>
      <c r="V425" s="161">
        <f ca="1">IF(controls!$B$4=1,IF(controls!$H424=1,controls!$B$34*V424+RAND()*('main page'!$K$16/100)-RAND()*('main page'!$K$16/100),0),0)</f>
        <v>0</v>
      </c>
      <c r="W425" s="40">
        <f ca="1">IF(controls!$B$4=1,IF(controls!$I424=1,controls!$B$34*W424+RAND()*('main page'!$K$16/100)-RAND()*('main page'!$K$16/100),0),0)</f>
        <v>0</v>
      </c>
      <c r="X425" s="49">
        <f ca="1">IF(controls!$B$33=1,D425-($I$3-'main page'!$K$27*2)*(1+('main page'!$K$35/100))^A424,D425-$AL$4)</f>
        <v>0</v>
      </c>
      <c r="Y425" s="49">
        <f ca="1">ABS(L425-(controls!$B$9/100)*100)</f>
        <v>0</v>
      </c>
      <c r="AA425" s="49" t="e">
        <f ca="1">IF(controls!$B$33=1,(B426-B425*V426-I426+D425*W426+'main page'!$K$27*('main page'!$K$24+'main page'!$K$11))/'main page'!$K$31,(B426-B425*V426+D425*W426-H426+'main page'!$K$27*('main page'!$K$24+'main page'!$K$11))/'main page'!$K$31)</f>
        <v>#DIV/0!</v>
      </c>
      <c r="AB425" s="49" t="e">
        <f ca="1">IF(controls!$B$45=1,LOG(AF425,1.01)+LOG(AE425,1.01)-LOG(AD425,1.01),-((M425-('main page'!$K$24+'main page'!$K$11))/(1-'normal case'!$AO$3))+'normal case'!AA425)</f>
        <v>#DIV/0!</v>
      </c>
      <c r="AC425" s="176" t="e">
        <f t="shared" ca="1" si="44"/>
        <v>#DIV/0!</v>
      </c>
      <c r="AD425" s="49">
        <f t="shared" ca="1" si="45"/>
        <v>4258.6552439206225</v>
      </c>
      <c r="AE425" s="49">
        <f>AE424*(1+'main page'!$K$32/100)</f>
        <v>1</v>
      </c>
      <c r="AF425" s="49" t="e">
        <f ca="1">IF(ABS(IF(controls!$B$45=1,$AL$13,AD425*AC425/AE425)-AF424)&lt;0.00001,AF424,IF(controls!$B$45=1,$AL$13,AD425*AC425/AE425))</f>
        <v>#DIV/0!</v>
      </c>
      <c r="AG425" s="49">
        <f>IF(controls!$B$46=0,0,IF(controls!$B$33=2,B426-B425*V426-('normal case'!H426-D425*W426-'main page'!$K$27*'normal case'!M425+'main page'!$K$31*'normal case'!AB425)-(('main page'!$K$25*'main page'!$U$13*'main page'!$K$29)/(1+('main page'!$K$25^2)*'main page'!$U$13))*('normal case'!L425-'main page'!$U$8),B426-B425*V426-('normal case'!I426-D425*W426-'main page'!$K$27*'normal case'!M425+'main page'!$K$31*'normal case'!AB425)-(('main page'!$K$25*'main page'!$U$13*'main page'!$K$29)/(1+('main page'!$K$25^2)*'main page'!$U$13))*('normal case'!L425-'main page'!$U$8)))</f>
        <v>0</v>
      </c>
      <c r="AN425" s="40"/>
      <c r="AO425" s="40"/>
    </row>
    <row r="426" spans="1:41">
      <c r="A426" s="48">
        <v>424</v>
      </c>
      <c r="B426" s="75">
        <f ca="1">IF(controls!$B$33=1,B425*(1+V426)+T426,B425*(1+V426))</f>
        <v>100</v>
      </c>
      <c r="C426" s="80">
        <f t="shared" ca="1" si="46"/>
        <v>0</v>
      </c>
      <c r="D426" s="77">
        <f t="shared" ca="1" si="42"/>
        <v>100</v>
      </c>
      <c r="E426" s="77">
        <f ca="1">AG425+IF(controls!$B$33=1,G426,F426)</f>
        <v>100</v>
      </c>
      <c r="F426" s="94">
        <f ca="1">IF(controls!$B$44=0,H426-'main page'!$K$27*M425,H426-'main page'!$K$27*M425+'main page'!$K$31*AB425)</f>
        <v>100</v>
      </c>
      <c r="G426" s="75">
        <f ca="1">IF(controls!$B$44=0,I426-'main page'!$K$27*M425,I426-'main page'!$K$27*M425+'main page'!$K$31*'normal case'!AB425)</f>
        <v>100</v>
      </c>
      <c r="H426" s="75">
        <f t="shared" ca="1" si="47"/>
        <v>108</v>
      </c>
      <c r="I426" s="75">
        <f t="shared" ca="1" si="48"/>
        <v>108</v>
      </c>
      <c r="L426" s="75">
        <f ca="1">IF(ABS('main page'!$K$29*L425+(1-'main page'!$K$29)*(controls!$B$9/100)*100+'main page'!$K$25*(D426-B426)-L425)&lt;0.0000001,L425,'main page'!$K$29*L425+(1-'main page'!$K$29)*(controls!$B$9/100)*100+'main page'!$K$25*(D426-B426))</f>
        <v>2</v>
      </c>
      <c r="M426" s="96">
        <f ca="1">IF(controls!$B$10=1,M425,IF(SUM(controls!$B$44:$B$46)=2,N426-'main page'!$K$29*'normal case'!L426-(1-'main page'!$K$29)*'main page'!$K$32,N426-'main page'!$K$29*'normal case'!L426-(1-'main page'!$K$29)*controls!$B$9))</f>
        <v>4</v>
      </c>
      <c r="N426" s="208">
        <f ca="1">IF(controls!$B$45=1,IF(controls!$B$46=1,'main page'!$K$24+'main page'!$K$11+'main page'!$U$8,'main page'!$K$24+'main page'!$K$11+'main page'!$K$32),IF(controls!$B$44=1,IF(O426&lt;0,0,O426),IF(O426+'main page'!$K$11&lt;0,0,O426+'main page'!$K$11)))</f>
        <v>6</v>
      </c>
      <c r="O426" s="76">
        <f ca="1">IF(controls!$B$10=1,'normal case'!M426+'normal case'!L426,'normal case'!P426)</f>
        <v>6</v>
      </c>
      <c r="P426" s="74">
        <f t="shared" ca="1" si="43"/>
        <v>6</v>
      </c>
      <c r="Q426" s="210">
        <f ca="1">IF(controls!$B$44=0,R426+'main page'!$K$29*L426+(1-'main page'!$K$29)*controls!$B$9+(('main page'!$K$25*'main page'!$U$13*'main page'!$K$29)/('main page'!$K$27*(1+('main page'!$K$25^2)*'main page'!$U$13)))*(L426-controls!$B$9),R426+'main page'!$K$29*L426+(1-'main page'!$K$29)*controls!$B$9+(('main page'!$K$25*'main page'!$U$13*'normal case'!$AO$3)/'normal case'!$AO$4)*('normal case'!L426-controls!$B$9))</f>
        <v>6</v>
      </c>
      <c r="R426" s="98">
        <f ca="1">IF(controls!$B$44=1,'main page'!$K$24+'main page'!$K$11,IF(controls!$B$33=1,((I427-D426*W427-B427+B426*V427)/'main page'!$K$27)-'main page'!$K$11,((H427-D426*W427-B427+B426*V427)/'main page'!$K$27)-'main page'!$K$11))</f>
        <v>4</v>
      </c>
      <c r="T426" s="71">
        <f>IF(controls!$B$6=1,$AL$3*(1+('main page'!$K$35/100))^U426-$AL$3*(1+('main page'!$K$35/100))^U425,$AL$3*(1+('main page'!$G$8/100))*(1+('main page'!$K$35/100))^U426-$AL$3*(1+('main page'!$G$8/100))*(1+('main page'!$K$35/100))^U425)</f>
        <v>0</v>
      </c>
      <c r="U426" s="73">
        <v>419</v>
      </c>
      <c r="V426" s="161">
        <v>0</v>
      </c>
      <c r="W426" s="40">
        <v>0</v>
      </c>
      <c r="X426" s="49">
        <f ca="1">IF(controls!$B$33=1,D426-($I$3-'main page'!$K$27*2)*(1+('main page'!$K$35/100))^A425,D426-$AL$4)</f>
        <v>0</v>
      </c>
      <c r="Y426" s="49">
        <f ca="1">ABS(L426-(controls!$B$9/100)*100)</f>
        <v>0</v>
      </c>
      <c r="AA426" s="49" t="e">
        <f ca="1">IF(controls!$B$33=1,(B427-B426*V427-I427+D426*W427+'main page'!$K$27*('main page'!$K$24+'main page'!$K$11))/'main page'!$K$31,(B427-B426*V427+D426*W427-H427+'main page'!$K$27*('main page'!$K$24+'main page'!$K$11))/'main page'!$K$31)</f>
        <v>#DIV/0!</v>
      </c>
      <c r="AB426" s="49" t="e">
        <f ca="1">IF(controls!$B$45=1,LOG(AF426,1.01)+LOG(AE426,1.01)-LOG(AD426,1.01),-((M426-('main page'!$K$24+'main page'!$K$11))/(1-'normal case'!$AO$3))+'normal case'!AA426)</f>
        <v>#DIV/0!</v>
      </c>
      <c r="AC426" s="176" t="e">
        <f t="shared" ca="1" si="44"/>
        <v>#DIV/0!</v>
      </c>
      <c r="AD426" s="49">
        <f t="shared" ca="1" si="45"/>
        <v>4343.8283487990348</v>
      </c>
      <c r="AE426" s="49">
        <f>AE425*(1+'main page'!$K$32/100)</f>
        <v>1</v>
      </c>
      <c r="AF426" s="49" t="e">
        <f ca="1">IF(ABS(IF(controls!$B$45=1,$AL$13,AD426*AC426/AE426)-AF425)&lt;0.00001,AF425,IF(controls!$B$45=1,$AL$13,AD426*AC426/AE426))</f>
        <v>#DIV/0!</v>
      </c>
      <c r="AG426" s="49">
        <f>IF(controls!$B$46=0,0,IF(controls!$B$33=2,B427-B426*V427-('normal case'!H427-D426*W427-'main page'!$K$27*'normal case'!M426+'main page'!$K$31*'normal case'!AB426)-(('main page'!$K$25*'main page'!$U$13*'main page'!$K$29)/(1+('main page'!$K$25^2)*'main page'!$U$13))*('normal case'!L426-'main page'!$U$8),B427-B426*V427-('normal case'!I427-D426*W427-'main page'!$K$27*'normal case'!M426+'main page'!$K$31*'normal case'!AB426)-(('main page'!$K$25*'main page'!$U$13*'main page'!$K$29)/(1+('main page'!$K$25^2)*'main page'!$U$13))*('normal case'!L426-'main page'!$U$8)))</f>
        <v>0</v>
      </c>
      <c r="AN426" s="40"/>
      <c r="AO426" s="40"/>
    </row>
    <row r="427" spans="1:41">
      <c r="A427" s="48">
        <v>425</v>
      </c>
      <c r="B427" s="75">
        <f ca="1">IF(controls!$B$33=1,B426*(1+V427)+T427,B426*(1+V427))</f>
        <v>100</v>
      </c>
      <c r="C427" s="80">
        <f t="shared" ca="1" si="46"/>
        <v>0</v>
      </c>
      <c r="D427" s="77">
        <f t="shared" ca="1" si="42"/>
        <v>100</v>
      </c>
      <c r="E427" s="77">
        <f ca="1">AG426+IF(controls!$B$33=1,G427,F427)</f>
        <v>100</v>
      </c>
      <c r="F427" s="94">
        <f ca="1">IF(controls!$B$44=0,H427-'main page'!$K$27*M426,H427-'main page'!$K$27*M426+'main page'!$K$31*AB426)</f>
        <v>100</v>
      </c>
      <c r="G427" s="75">
        <f ca="1">IF(controls!$B$44=0,I427-'main page'!$K$27*M426,I427-'main page'!$K$27*M426+'main page'!$K$31*'normal case'!AB426)</f>
        <v>100</v>
      </c>
      <c r="H427" s="75">
        <f t="shared" ca="1" si="47"/>
        <v>108</v>
      </c>
      <c r="I427" s="75">
        <f t="shared" ca="1" si="48"/>
        <v>108</v>
      </c>
      <c r="L427" s="75">
        <f ca="1">IF(ABS('main page'!$K$29*L426+(1-'main page'!$K$29)*(controls!$B$9/100)*100+'main page'!$K$25*(D427-B427)-L426)&lt;0.0000001,L426,'main page'!$K$29*L426+(1-'main page'!$K$29)*(controls!$B$9/100)*100+'main page'!$K$25*(D427-B427))</f>
        <v>2</v>
      </c>
      <c r="M427" s="96">
        <f ca="1">IF(controls!$B$10=1,M426,IF(SUM(controls!$B$44:$B$46)=2,N427-'main page'!$K$29*'normal case'!L427-(1-'main page'!$K$29)*'main page'!$K$32,N427-'main page'!$K$29*'normal case'!L427-(1-'main page'!$K$29)*controls!$B$9))</f>
        <v>4</v>
      </c>
      <c r="N427" s="208">
        <f ca="1">IF(controls!$B$45=1,IF(controls!$B$46=1,'main page'!$K$24+'main page'!$K$11+'main page'!$U$8,'main page'!$K$24+'main page'!$K$11+'main page'!$K$32),IF(controls!$B$44=1,IF(O427&lt;0,0,O427),IF(O427+'main page'!$K$11&lt;0,0,O427+'main page'!$K$11)))</f>
        <v>6</v>
      </c>
      <c r="O427" s="76">
        <f ca="1">IF(controls!$B$10=1,'normal case'!M427+'normal case'!L427,'normal case'!P427)</f>
        <v>6</v>
      </c>
      <c r="P427" s="74">
        <f t="shared" ca="1" si="43"/>
        <v>6</v>
      </c>
      <c r="Q427" s="210">
        <f ca="1">IF(controls!$B$44=0,R427+'main page'!$K$29*L427+(1-'main page'!$K$29)*controls!$B$9+(('main page'!$K$25*'main page'!$U$13*'main page'!$K$29)/('main page'!$K$27*(1+('main page'!$K$25^2)*'main page'!$U$13)))*(L427-controls!$B$9),R427+'main page'!$K$29*L427+(1-'main page'!$K$29)*controls!$B$9+(('main page'!$K$25*'main page'!$U$13*'normal case'!$AO$3)/'normal case'!$AO$4)*('normal case'!L427-controls!$B$9))</f>
        <v>6</v>
      </c>
      <c r="R427" s="98">
        <f ca="1">IF(controls!$B$44=1,'main page'!$K$24+'main page'!$K$11,IF(controls!$B$33=1,((I428-D427*W428-B428+B427*V428)/'main page'!$K$27)-'main page'!$K$11,((H428-D427*W428-B428+B427*V428)/'main page'!$K$27)-'main page'!$K$11))</f>
        <v>4</v>
      </c>
      <c r="T427" s="71">
        <f>IF(controls!$B$6=1,$AL$3*(1+('main page'!$K$35/100))^U427-$AL$3*(1+('main page'!$K$35/100))^U426,$AL$3*(1+('main page'!$G$8/100))*(1+('main page'!$K$35/100))^U427-$AL$3*(1+('main page'!$G$8/100))*(1+('main page'!$K$35/100))^U426)</f>
        <v>0</v>
      </c>
      <c r="U427" s="73">
        <v>420</v>
      </c>
      <c r="V427" s="161">
        <v>0</v>
      </c>
      <c r="W427" s="40">
        <v>0</v>
      </c>
      <c r="X427" s="49">
        <f ca="1">IF(controls!$B$33=1,D427-($I$3-'main page'!$K$27*2)*(1+('main page'!$K$35/100))^A426,D427-$AL$4)</f>
        <v>0</v>
      </c>
      <c r="Y427" s="49">
        <f ca="1">ABS(L427-(controls!$B$9/100)*100)</f>
        <v>0</v>
      </c>
      <c r="AA427" s="49" t="e">
        <f ca="1">IF(controls!$B$33=1,(B428-B427*V428-I428+D427*W428+'main page'!$K$27*('main page'!$K$24+'main page'!$K$11))/'main page'!$K$31,(B428-B427*V428+D427*W428-H428+'main page'!$K$27*('main page'!$K$24+'main page'!$K$11))/'main page'!$K$31)</f>
        <v>#DIV/0!</v>
      </c>
      <c r="AB427" s="49" t="e">
        <f ca="1">IF(controls!$B$45=1,LOG(AF427,1.01)+LOG(AE427,1.01)-LOG(AD427,1.01),-((M427-('main page'!$K$24+'main page'!$K$11))/(1-'normal case'!$AO$3))+'normal case'!AA427)</f>
        <v>#DIV/0!</v>
      </c>
      <c r="AC427" s="176" t="e">
        <f t="shared" ca="1" si="44"/>
        <v>#DIV/0!</v>
      </c>
      <c r="AD427" s="49">
        <f t="shared" ca="1" si="45"/>
        <v>4430.7049157750153</v>
      </c>
      <c r="AE427" s="49">
        <f>AE426*(1+'main page'!$K$32/100)</f>
        <v>1</v>
      </c>
      <c r="AF427" s="49" t="e">
        <f ca="1">IF(ABS(IF(controls!$B$45=1,$AL$13,AD427*AC427/AE427)-AF426)&lt;0.00001,AF426,IF(controls!$B$45=1,$AL$13,AD427*AC427/AE427))</f>
        <v>#DIV/0!</v>
      </c>
      <c r="AG427" s="49">
        <f>IF(controls!$B$46=0,0,IF(controls!$B$33=2,B428-B427*V428-('normal case'!H428-D427*W428-'main page'!$K$27*'normal case'!M427+'main page'!$K$31*'normal case'!AB427)-(('main page'!$K$25*'main page'!$U$13*'main page'!$K$29)/(1+('main page'!$K$25^2)*'main page'!$U$13))*('normal case'!L427-'main page'!$U$8),B428-B427*V428-('normal case'!I428-D427*W428-'main page'!$K$27*'normal case'!M427+'main page'!$K$31*'normal case'!AB427)-(('main page'!$K$25*'main page'!$U$13*'main page'!$K$29)/(1+('main page'!$K$25^2)*'main page'!$U$13))*('normal case'!L427-'main page'!$U$8)))</f>
        <v>0</v>
      </c>
      <c r="AN427" s="40"/>
      <c r="AO427" s="40"/>
    </row>
    <row r="428" spans="1:41">
      <c r="A428" s="48">
        <v>426</v>
      </c>
      <c r="B428" s="75">
        <f ca="1">IF(controls!$B$33=1,B427*(1+V428)+T428,B427*(1+V428))</f>
        <v>100</v>
      </c>
      <c r="C428" s="80">
        <f t="shared" ca="1" si="46"/>
        <v>0</v>
      </c>
      <c r="D428" s="77">
        <f t="shared" ca="1" si="42"/>
        <v>100</v>
      </c>
      <c r="E428" s="77">
        <f ca="1">AG427+IF(controls!$B$33=1,G428,F428)</f>
        <v>100</v>
      </c>
      <c r="F428" s="94">
        <f ca="1">IF(controls!$B$44=0,H428-'main page'!$K$27*M427,H428-'main page'!$K$27*M427+'main page'!$K$31*AB427)</f>
        <v>100</v>
      </c>
      <c r="G428" s="75">
        <f ca="1">IF(controls!$B$44=0,I428-'main page'!$K$27*M427,I428-'main page'!$K$27*M427+'main page'!$K$31*'normal case'!AB427)</f>
        <v>100</v>
      </c>
      <c r="H428" s="75">
        <f t="shared" ca="1" si="47"/>
        <v>108</v>
      </c>
      <c r="I428" s="75">
        <f t="shared" ca="1" si="48"/>
        <v>108</v>
      </c>
      <c r="L428" s="75">
        <f ca="1">IF(ABS('main page'!$K$29*L427+(1-'main page'!$K$29)*(controls!$B$9/100)*100+'main page'!$K$25*(D428-B428)-L427)&lt;0.0000001,L427,'main page'!$K$29*L427+(1-'main page'!$K$29)*(controls!$B$9/100)*100+'main page'!$K$25*(D428-B428))</f>
        <v>2</v>
      </c>
      <c r="M428" s="96">
        <f ca="1">IF(controls!$B$10=1,M427,IF(SUM(controls!$B$44:$B$46)=2,N428-'main page'!$K$29*'normal case'!L428-(1-'main page'!$K$29)*'main page'!$K$32,N428-'main page'!$K$29*'normal case'!L428-(1-'main page'!$K$29)*controls!$B$9))</f>
        <v>4</v>
      </c>
      <c r="N428" s="208">
        <f ca="1">IF(controls!$B$45=1,IF(controls!$B$46=1,'main page'!$K$24+'main page'!$K$11+'main page'!$U$8,'main page'!$K$24+'main page'!$K$11+'main page'!$K$32),IF(controls!$B$44=1,IF(O428&lt;0,0,O428),IF(O428+'main page'!$K$11&lt;0,0,O428+'main page'!$K$11)))</f>
        <v>6</v>
      </c>
      <c r="O428" s="76">
        <f ca="1">IF(controls!$B$10=1,'normal case'!M428+'normal case'!L428,'normal case'!P428)</f>
        <v>6</v>
      </c>
      <c r="P428" s="74">
        <f t="shared" ca="1" si="43"/>
        <v>6</v>
      </c>
      <c r="Q428" s="210">
        <f ca="1">IF(controls!$B$44=0,R428+'main page'!$K$29*L428+(1-'main page'!$K$29)*controls!$B$9+(('main page'!$K$25*'main page'!$U$13*'main page'!$K$29)/('main page'!$K$27*(1+('main page'!$K$25^2)*'main page'!$U$13)))*(L428-controls!$B$9),R428+'main page'!$K$29*L428+(1-'main page'!$K$29)*controls!$B$9+(('main page'!$K$25*'main page'!$U$13*'normal case'!$AO$3)/'normal case'!$AO$4)*('normal case'!L428-controls!$B$9))</f>
        <v>6</v>
      </c>
      <c r="R428" s="98">
        <f ca="1">IF(controls!$B$44=1,'main page'!$K$24+'main page'!$K$11,IF(controls!$B$33=1,((I429-D428*W429-B429+B428*V429)/'main page'!$K$27)-'main page'!$K$11,((H429-D428*W429-B429+B428*V429)/'main page'!$K$27)-'main page'!$K$11))</f>
        <v>4</v>
      </c>
      <c r="T428" s="71">
        <f>IF(controls!$B$6=1,$AL$3*(1+('main page'!$K$35/100))^U428-$AL$3*(1+('main page'!$K$35/100))^U427,$AL$3*(1+('main page'!$G$8/100))*(1+('main page'!$K$35/100))^U428-$AL$3*(1+('main page'!$G$8/100))*(1+('main page'!$K$35/100))^U427)</f>
        <v>0</v>
      </c>
      <c r="U428" s="73">
        <v>421</v>
      </c>
      <c r="V428" s="161">
        <f ca="1">IF(controls!$B$4=1,IF(controls!$H427=1,controls!$B$34*V427+RAND()*('main page'!$K$16/100)-RAND()*('main page'!$K$16/100),0),0)</f>
        <v>0</v>
      </c>
      <c r="W428" s="40">
        <f ca="1">IF(controls!$B$4=1,IF(controls!$I427=1,controls!$B$34*W427+RAND()*('main page'!$K$16/100)-RAND()*('main page'!$K$16/100),0),0)</f>
        <v>0</v>
      </c>
      <c r="X428" s="49">
        <f ca="1">IF(controls!$B$33=1,D428-($I$3-'main page'!$K$27*2)*(1+('main page'!$K$35/100))^A427,D428-$AL$4)</f>
        <v>0</v>
      </c>
      <c r="Y428" s="49">
        <f ca="1">ABS(L428-(controls!$B$9/100)*100)</f>
        <v>0</v>
      </c>
      <c r="AA428" s="49" t="e">
        <f ca="1">IF(controls!$B$33=1,(B429-B428*V429-I429+D428*W429+'main page'!$K$27*('main page'!$K$24+'main page'!$K$11))/'main page'!$K$31,(B429-B428*V429+D428*W429-H429+'main page'!$K$27*('main page'!$K$24+'main page'!$K$11))/'main page'!$K$31)</f>
        <v>#DIV/0!</v>
      </c>
      <c r="AB428" s="49" t="e">
        <f ca="1">IF(controls!$B$45=1,LOG(AF428,1.01)+LOG(AE428,1.01)-LOG(AD428,1.01),-((M428-('main page'!$K$24+'main page'!$K$11))/(1-'normal case'!$AO$3))+'normal case'!AA428)</f>
        <v>#DIV/0!</v>
      </c>
      <c r="AC428" s="176" t="e">
        <f t="shared" ca="1" si="44"/>
        <v>#DIV/0!</v>
      </c>
      <c r="AD428" s="49">
        <f t="shared" ca="1" si="45"/>
        <v>4519.3190140905153</v>
      </c>
      <c r="AE428" s="49">
        <f>AE427*(1+'main page'!$K$32/100)</f>
        <v>1</v>
      </c>
      <c r="AF428" s="49" t="e">
        <f ca="1">IF(ABS(IF(controls!$B$45=1,$AL$13,AD428*AC428/AE428)-AF427)&lt;0.00001,AF427,IF(controls!$B$45=1,$AL$13,AD428*AC428/AE428))</f>
        <v>#DIV/0!</v>
      </c>
      <c r="AG428" s="49">
        <f>IF(controls!$B$46=0,0,IF(controls!$B$33=2,B429-B428*V429-('normal case'!H429-D428*W429-'main page'!$K$27*'normal case'!M428+'main page'!$K$31*'normal case'!AB428)-(('main page'!$K$25*'main page'!$U$13*'main page'!$K$29)/(1+('main page'!$K$25^2)*'main page'!$U$13))*('normal case'!L428-'main page'!$U$8),B429-B428*V429-('normal case'!I429-D428*W429-'main page'!$K$27*'normal case'!M428+'main page'!$K$31*'normal case'!AB428)-(('main page'!$K$25*'main page'!$U$13*'main page'!$K$29)/(1+('main page'!$K$25^2)*'main page'!$U$13))*('normal case'!L428-'main page'!$U$8)))</f>
        <v>0</v>
      </c>
      <c r="AN428" s="40"/>
      <c r="AO428" s="40"/>
    </row>
    <row r="429" spans="1:41">
      <c r="A429" s="48">
        <v>427</v>
      </c>
      <c r="B429" s="75">
        <f ca="1">IF(controls!$B$33=1,B428*(1+V429)+T429,B428*(1+V429))</f>
        <v>100</v>
      </c>
      <c r="C429" s="80">
        <f t="shared" ca="1" si="46"/>
        <v>0</v>
      </c>
      <c r="D429" s="77">
        <f t="shared" ca="1" si="42"/>
        <v>100</v>
      </c>
      <c r="E429" s="77">
        <f ca="1">AG428+IF(controls!$B$33=1,G429,F429)</f>
        <v>100</v>
      </c>
      <c r="F429" s="94">
        <f ca="1">IF(controls!$B$44=0,H429-'main page'!$K$27*M428,H429-'main page'!$K$27*M428+'main page'!$K$31*AB428)</f>
        <v>100</v>
      </c>
      <c r="G429" s="75">
        <f ca="1">IF(controls!$B$44=0,I429-'main page'!$K$27*M428,I429-'main page'!$K$27*M428+'main page'!$K$31*'normal case'!AB428)</f>
        <v>100</v>
      </c>
      <c r="H429" s="75">
        <f t="shared" ca="1" si="47"/>
        <v>108</v>
      </c>
      <c r="I429" s="75">
        <f t="shared" ca="1" si="48"/>
        <v>108</v>
      </c>
      <c r="L429" s="75">
        <f ca="1">IF(ABS('main page'!$K$29*L428+(1-'main page'!$K$29)*(controls!$B$9/100)*100+'main page'!$K$25*(D429-B429)-L428)&lt;0.0000001,L428,'main page'!$K$29*L428+(1-'main page'!$K$29)*(controls!$B$9/100)*100+'main page'!$K$25*(D429-B429))</f>
        <v>2</v>
      </c>
      <c r="M429" s="96">
        <f ca="1">IF(controls!$B$10=1,M428,IF(SUM(controls!$B$44:$B$46)=2,N429-'main page'!$K$29*'normal case'!L429-(1-'main page'!$K$29)*'main page'!$K$32,N429-'main page'!$K$29*'normal case'!L429-(1-'main page'!$K$29)*controls!$B$9))</f>
        <v>4</v>
      </c>
      <c r="N429" s="208">
        <f ca="1">IF(controls!$B$45=1,IF(controls!$B$46=1,'main page'!$K$24+'main page'!$K$11+'main page'!$U$8,'main page'!$K$24+'main page'!$K$11+'main page'!$K$32),IF(controls!$B$44=1,IF(O429&lt;0,0,O429),IF(O429+'main page'!$K$11&lt;0,0,O429+'main page'!$K$11)))</f>
        <v>6</v>
      </c>
      <c r="O429" s="76">
        <f ca="1">IF(controls!$B$10=1,'normal case'!M429+'normal case'!L429,'normal case'!P429)</f>
        <v>6</v>
      </c>
      <c r="P429" s="74">
        <f t="shared" ca="1" si="43"/>
        <v>6</v>
      </c>
      <c r="Q429" s="210">
        <f ca="1">IF(controls!$B$44=0,R429+'main page'!$K$29*L429+(1-'main page'!$K$29)*controls!$B$9+(('main page'!$K$25*'main page'!$U$13*'main page'!$K$29)/('main page'!$K$27*(1+('main page'!$K$25^2)*'main page'!$U$13)))*(L429-controls!$B$9),R429+'main page'!$K$29*L429+(1-'main page'!$K$29)*controls!$B$9+(('main page'!$K$25*'main page'!$U$13*'normal case'!$AO$3)/'normal case'!$AO$4)*('normal case'!L429-controls!$B$9))</f>
        <v>6</v>
      </c>
      <c r="R429" s="98">
        <f ca="1">IF(controls!$B$44=1,'main page'!$K$24+'main page'!$K$11,IF(controls!$B$33=1,((I430-D429*W430-B430+B429*V430)/'main page'!$K$27)-'main page'!$K$11,((H430-D429*W430-B430+B429*V430)/'main page'!$K$27)-'main page'!$K$11))</f>
        <v>4</v>
      </c>
      <c r="T429" s="71">
        <f>IF(controls!$B$6=1,$AL$3*(1+('main page'!$K$35/100))^U429-$AL$3*(1+('main page'!$K$35/100))^U428,$AL$3*(1+('main page'!$G$8/100))*(1+('main page'!$K$35/100))^U429-$AL$3*(1+('main page'!$G$8/100))*(1+('main page'!$K$35/100))^U428)</f>
        <v>0</v>
      </c>
      <c r="U429" s="73">
        <v>422</v>
      </c>
      <c r="V429" s="161">
        <v>0</v>
      </c>
      <c r="W429" s="40">
        <v>0</v>
      </c>
      <c r="X429" s="49">
        <f ca="1">IF(controls!$B$33=1,D429-($I$3-'main page'!$K$27*2)*(1+('main page'!$K$35/100))^A428,D429-$AL$4)</f>
        <v>0</v>
      </c>
      <c r="Y429" s="49">
        <f ca="1">ABS(L429-(controls!$B$9/100)*100)</f>
        <v>0</v>
      </c>
      <c r="AA429" s="49" t="e">
        <f ca="1">IF(controls!$B$33=1,(B430-B429*V430-I430+D429*W430+'main page'!$K$27*('main page'!$K$24+'main page'!$K$11))/'main page'!$K$31,(B430-B429*V430+D429*W430-H430+'main page'!$K$27*('main page'!$K$24+'main page'!$K$11))/'main page'!$K$31)</f>
        <v>#DIV/0!</v>
      </c>
      <c r="AB429" s="49" t="e">
        <f ca="1">IF(controls!$B$45=1,LOG(AF429,1.01)+LOG(AE429,1.01)-LOG(AD429,1.01),-((M429-('main page'!$K$24+'main page'!$K$11))/(1-'normal case'!$AO$3))+'normal case'!AA429)</f>
        <v>#DIV/0!</v>
      </c>
      <c r="AC429" s="176" t="e">
        <f t="shared" ca="1" si="44"/>
        <v>#DIV/0!</v>
      </c>
      <c r="AD429" s="49">
        <f t="shared" ca="1" si="45"/>
        <v>4609.7053943723258</v>
      </c>
      <c r="AE429" s="49">
        <f>AE428*(1+'main page'!$K$32/100)</f>
        <v>1</v>
      </c>
      <c r="AF429" s="49" t="e">
        <f ca="1">IF(ABS(IF(controls!$B$45=1,$AL$13,AD429*AC429/AE429)-AF428)&lt;0.00001,AF428,IF(controls!$B$45=1,$AL$13,AD429*AC429/AE429))</f>
        <v>#DIV/0!</v>
      </c>
      <c r="AG429" s="49">
        <f>IF(controls!$B$46=0,0,IF(controls!$B$33=2,B430-B429*V430-('normal case'!H430-D429*W430-'main page'!$K$27*'normal case'!M429+'main page'!$K$31*'normal case'!AB429)-(('main page'!$K$25*'main page'!$U$13*'main page'!$K$29)/(1+('main page'!$K$25^2)*'main page'!$U$13))*('normal case'!L429-'main page'!$U$8),B430-B429*V430-('normal case'!I430-D429*W430-'main page'!$K$27*'normal case'!M429+'main page'!$K$31*'normal case'!AB429)-(('main page'!$K$25*'main page'!$U$13*'main page'!$K$29)/(1+('main page'!$K$25^2)*'main page'!$U$13))*('normal case'!L429-'main page'!$U$8)))</f>
        <v>0</v>
      </c>
      <c r="AN429" s="40"/>
      <c r="AO429" s="40"/>
    </row>
    <row r="430" spans="1:41">
      <c r="A430" s="48">
        <v>428</v>
      </c>
      <c r="B430" s="75">
        <f ca="1">IF(controls!$B$33=1,B429*(1+V430)+T430,B429*(1+V430))</f>
        <v>100</v>
      </c>
      <c r="C430" s="80">
        <f t="shared" ca="1" si="46"/>
        <v>0</v>
      </c>
      <c r="D430" s="77">
        <f t="shared" ca="1" si="42"/>
        <v>100</v>
      </c>
      <c r="E430" s="77">
        <f ca="1">AG429+IF(controls!$B$33=1,G430,F430)</f>
        <v>100</v>
      </c>
      <c r="F430" s="94">
        <f ca="1">IF(controls!$B$44=0,H430-'main page'!$K$27*M429,H430-'main page'!$K$27*M429+'main page'!$K$31*AB429)</f>
        <v>100</v>
      </c>
      <c r="G430" s="75">
        <f ca="1">IF(controls!$B$44=0,I430-'main page'!$K$27*M429,I430-'main page'!$K$27*M429+'main page'!$K$31*'normal case'!AB429)</f>
        <v>100</v>
      </c>
      <c r="H430" s="75">
        <f t="shared" ca="1" si="47"/>
        <v>108</v>
      </c>
      <c r="I430" s="75">
        <f t="shared" ca="1" si="48"/>
        <v>108</v>
      </c>
      <c r="L430" s="75">
        <f ca="1">IF(ABS('main page'!$K$29*L429+(1-'main page'!$K$29)*(controls!$B$9/100)*100+'main page'!$K$25*(D430-B430)-L429)&lt;0.0000001,L429,'main page'!$K$29*L429+(1-'main page'!$K$29)*(controls!$B$9/100)*100+'main page'!$K$25*(D430-B430))</f>
        <v>2</v>
      </c>
      <c r="M430" s="96">
        <f ca="1">IF(controls!$B$10=1,M429,IF(SUM(controls!$B$44:$B$46)=2,N430-'main page'!$K$29*'normal case'!L430-(1-'main page'!$K$29)*'main page'!$K$32,N430-'main page'!$K$29*'normal case'!L430-(1-'main page'!$K$29)*controls!$B$9))</f>
        <v>4</v>
      </c>
      <c r="N430" s="208">
        <f ca="1">IF(controls!$B$45=1,IF(controls!$B$46=1,'main page'!$K$24+'main page'!$K$11+'main page'!$U$8,'main page'!$K$24+'main page'!$K$11+'main page'!$K$32),IF(controls!$B$44=1,IF(O430&lt;0,0,O430),IF(O430+'main page'!$K$11&lt;0,0,O430+'main page'!$K$11)))</f>
        <v>6</v>
      </c>
      <c r="O430" s="76">
        <f ca="1">IF(controls!$B$10=1,'normal case'!M430+'normal case'!L430,'normal case'!P430)</f>
        <v>6</v>
      </c>
      <c r="P430" s="74">
        <f t="shared" ca="1" si="43"/>
        <v>6</v>
      </c>
      <c r="Q430" s="210">
        <f ca="1">IF(controls!$B$44=0,R430+'main page'!$K$29*L430+(1-'main page'!$K$29)*controls!$B$9+(('main page'!$K$25*'main page'!$U$13*'main page'!$K$29)/('main page'!$K$27*(1+('main page'!$K$25^2)*'main page'!$U$13)))*(L430-controls!$B$9),R430+'main page'!$K$29*L430+(1-'main page'!$K$29)*controls!$B$9+(('main page'!$K$25*'main page'!$U$13*'normal case'!$AO$3)/'normal case'!$AO$4)*('normal case'!L430-controls!$B$9))</f>
        <v>6</v>
      </c>
      <c r="R430" s="98">
        <f ca="1">IF(controls!$B$44=1,'main page'!$K$24+'main page'!$K$11,IF(controls!$B$33=1,((I431-D430*W431-B431+B430*V431)/'main page'!$K$27)-'main page'!$K$11,((H431-D430*W431-B431+B430*V431)/'main page'!$K$27)-'main page'!$K$11))</f>
        <v>4</v>
      </c>
      <c r="T430" s="71">
        <f>IF(controls!$B$6=1,$AL$3*(1+('main page'!$K$35/100))^U430-$AL$3*(1+('main page'!$K$35/100))^U429,$AL$3*(1+('main page'!$G$8/100))*(1+('main page'!$K$35/100))^U430-$AL$3*(1+('main page'!$G$8/100))*(1+('main page'!$K$35/100))^U429)</f>
        <v>0</v>
      </c>
      <c r="U430" s="73">
        <v>423</v>
      </c>
      <c r="V430" s="161">
        <v>0</v>
      </c>
      <c r="W430" s="40">
        <v>0</v>
      </c>
      <c r="X430" s="49">
        <f ca="1">IF(controls!$B$33=1,D430-($I$3-'main page'!$K$27*2)*(1+('main page'!$K$35/100))^A429,D430-$AL$4)</f>
        <v>0</v>
      </c>
      <c r="Y430" s="49">
        <f ca="1">ABS(L430-(controls!$B$9/100)*100)</f>
        <v>0</v>
      </c>
      <c r="AA430" s="49" t="e">
        <f ca="1">IF(controls!$B$33=1,(B431-B430*V431-I431+D430*W431+'main page'!$K$27*('main page'!$K$24+'main page'!$K$11))/'main page'!$K$31,(B431-B430*V431+D430*W431-H431+'main page'!$K$27*('main page'!$K$24+'main page'!$K$11))/'main page'!$K$31)</f>
        <v>#DIV/0!</v>
      </c>
      <c r="AB430" s="49" t="e">
        <f ca="1">IF(controls!$B$45=1,LOG(AF430,1.01)+LOG(AE430,1.01)-LOG(AD430,1.01),-((M430-('main page'!$K$24+'main page'!$K$11))/(1-'normal case'!$AO$3))+'normal case'!AA430)</f>
        <v>#DIV/0!</v>
      </c>
      <c r="AC430" s="176" t="e">
        <f t="shared" ca="1" si="44"/>
        <v>#DIV/0!</v>
      </c>
      <c r="AD430" s="49">
        <f t="shared" ca="1" si="45"/>
        <v>4701.8995022597728</v>
      </c>
      <c r="AE430" s="49">
        <f>AE429*(1+'main page'!$K$32/100)</f>
        <v>1</v>
      </c>
      <c r="AF430" s="49" t="e">
        <f ca="1">IF(ABS(IF(controls!$B$45=1,$AL$13,AD430*AC430/AE430)-AF429)&lt;0.00001,AF429,IF(controls!$B$45=1,$AL$13,AD430*AC430/AE430))</f>
        <v>#DIV/0!</v>
      </c>
      <c r="AG430" s="49">
        <f>IF(controls!$B$46=0,0,IF(controls!$B$33=2,B431-B430*V431-('normal case'!H431-D430*W431-'main page'!$K$27*'normal case'!M430+'main page'!$K$31*'normal case'!AB430)-(('main page'!$K$25*'main page'!$U$13*'main page'!$K$29)/(1+('main page'!$K$25^2)*'main page'!$U$13))*('normal case'!L430-'main page'!$U$8),B431-B430*V431-('normal case'!I431-D430*W431-'main page'!$K$27*'normal case'!M430+'main page'!$K$31*'normal case'!AB430)-(('main page'!$K$25*'main page'!$U$13*'main page'!$K$29)/(1+('main page'!$K$25^2)*'main page'!$U$13))*('normal case'!L430-'main page'!$U$8)))</f>
        <v>0</v>
      </c>
      <c r="AN430" s="40"/>
      <c r="AO430" s="40"/>
    </row>
    <row r="431" spans="1:41">
      <c r="A431" s="48">
        <v>429</v>
      </c>
      <c r="B431" s="75">
        <f ca="1">IF(controls!$B$33=1,B430*(1+V431)+T431,B430*(1+V431))</f>
        <v>100</v>
      </c>
      <c r="C431" s="80">
        <f t="shared" ca="1" si="46"/>
        <v>0</v>
      </c>
      <c r="D431" s="77">
        <f t="shared" ca="1" si="42"/>
        <v>100</v>
      </c>
      <c r="E431" s="77">
        <f ca="1">AG430+IF(controls!$B$33=1,G431,F431)</f>
        <v>100</v>
      </c>
      <c r="F431" s="94">
        <f ca="1">IF(controls!$B$44=0,H431-'main page'!$K$27*M430,H431-'main page'!$K$27*M430+'main page'!$K$31*AB430)</f>
        <v>100</v>
      </c>
      <c r="G431" s="75">
        <f ca="1">IF(controls!$B$44=0,I431-'main page'!$K$27*M430,I431-'main page'!$K$27*M430+'main page'!$K$31*'normal case'!AB430)</f>
        <v>100</v>
      </c>
      <c r="H431" s="75">
        <f t="shared" ca="1" si="47"/>
        <v>108</v>
      </c>
      <c r="I431" s="75">
        <f t="shared" ca="1" si="48"/>
        <v>108</v>
      </c>
      <c r="L431" s="75">
        <f ca="1">IF(ABS('main page'!$K$29*L430+(1-'main page'!$K$29)*(controls!$B$9/100)*100+'main page'!$K$25*(D431-B431)-L430)&lt;0.0000001,L430,'main page'!$K$29*L430+(1-'main page'!$K$29)*(controls!$B$9/100)*100+'main page'!$K$25*(D431-B431))</f>
        <v>2</v>
      </c>
      <c r="M431" s="96">
        <f ca="1">IF(controls!$B$10=1,M430,IF(SUM(controls!$B$44:$B$46)=2,N431-'main page'!$K$29*'normal case'!L431-(1-'main page'!$K$29)*'main page'!$K$32,N431-'main page'!$K$29*'normal case'!L431-(1-'main page'!$K$29)*controls!$B$9))</f>
        <v>4</v>
      </c>
      <c r="N431" s="208">
        <f ca="1">IF(controls!$B$45=1,IF(controls!$B$46=1,'main page'!$K$24+'main page'!$K$11+'main page'!$U$8,'main page'!$K$24+'main page'!$K$11+'main page'!$K$32),IF(controls!$B$44=1,IF(O431&lt;0,0,O431),IF(O431+'main page'!$K$11&lt;0,0,O431+'main page'!$K$11)))</f>
        <v>6</v>
      </c>
      <c r="O431" s="76">
        <f ca="1">IF(controls!$B$10=1,'normal case'!M431+'normal case'!L431,'normal case'!P431)</f>
        <v>6</v>
      </c>
      <c r="P431" s="74">
        <f t="shared" ca="1" si="43"/>
        <v>6</v>
      </c>
      <c r="Q431" s="210">
        <f ca="1">IF(controls!$B$44=0,R431+'main page'!$K$29*L431+(1-'main page'!$K$29)*controls!$B$9+(('main page'!$K$25*'main page'!$U$13*'main page'!$K$29)/('main page'!$K$27*(1+('main page'!$K$25^2)*'main page'!$U$13)))*(L431-controls!$B$9),R431+'main page'!$K$29*L431+(1-'main page'!$K$29)*controls!$B$9+(('main page'!$K$25*'main page'!$U$13*'normal case'!$AO$3)/'normal case'!$AO$4)*('normal case'!L431-controls!$B$9))</f>
        <v>6</v>
      </c>
      <c r="R431" s="98">
        <f ca="1">IF(controls!$B$44=1,'main page'!$K$24+'main page'!$K$11,IF(controls!$B$33=1,((I432-D431*W432-B432+B431*V432)/'main page'!$K$27)-'main page'!$K$11,((H432-D431*W432-B432+B431*V432)/'main page'!$K$27)-'main page'!$K$11))</f>
        <v>4</v>
      </c>
      <c r="T431" s="71">
        <f>IF(controls!$B$6=1,$AL$3*(1+('main page'!$K$35/100))^U431-$AL$3*(1+('main page'!$K$35/100))^U430,$AL$3*(1+('main page'!$G$8/100))*(1+('main page'!$K$35/100))^U431-$AL$3*(1+('main page'!$G$8/100))*(1+('main page'!$K$35/100))^U430)</f>
        <v>0</v>
      </c>
      <c r="U431" s="73">
        <v>424</v>
      </c>
      <c r="V431" s="161">
        <f ca="1">IF(controls!$B$4=1,IF(controls!$H430=1,controls!$B$34*V430+RAND()*('main page'!$K$16/100)-RAND()*('main page'!$K$16/100),0),0)</f>
        <v>0</v>
      </c>
      <c r="W431" s="40">
        <f ca="1">IF(controls!$B$4=1,IF(controls!$I430=1,controls!$B$34*W430+RAND()*('main page'!$K$16/100)-RAND()*('main page'!$K$16/100),0),0)</f>
        <v>0</v>
      </c>
      <c r="X431" s="49">
        <f ca="1">IF(controls!$B$33=1,D431-($I$3-'main page'!$K$27*2)*(1+('main page'!$K$35/100))^A430,D431-$AL$4)</f>
        <v>0</v>
      </c>
      <c r="Y431" s="49">
        <f ca="1">ABS(L431-(controls!$B$9/100)*100)</f>
        <v>0</v>
      </c>
      <c r="AA431" s="49" t="e">
        <f ca="1">IF(controls!$B$33=1,(B432-B431*V432-I432+D431*W432+'main page'!$K$27*('main page'!$K$24+'main page'!$K$11))/'main page'!$K$31,(B432-B431*V432+D431*W432-H432+'main page'!$K$27*('main page'!$K$24+'main page'!$K$11))/'main page'!$K$31)</f>
        <v>#DIV/0!</v>
      </c>
      <c r="AB431" s="49" t="e">
        <f ca="1">IF(controls!$B$45=1,LOG(AF431,1.01)+LOG(AE431,1.01)-LOG(AD431,1.01),-((M431-('main page'!$K$24+'main page'!$K$11))/(1-'normal case'!$AO$3))+'normal case'!AA431)</f>
        <v>#DIV/0!</v>
      </c>
      <c r="AC431" s="176" t="e">
        <f t="shared" ca="1" si="44"/>
        <v>#DIV/0!</v>
      </c>
      <c r="AD431" s="49">
        <f t="shared" ca="1" si="45"/>
        <v>4795.9374923049681</v>
      </c>
      <c r="AE431" s="49">
        <f>AE430*(1+'main page'!$K$32/100)</f>
        <v>1</v>
      </c>
      <c r="AF431" s="49" t="e">
        <f ca="1">IF(ABS(IF(controls!$B$45=1,$AL$13,AD431*AC431/AE431)-AF430)&lt;0.00001,AF430,IF(controls!$B$45=1,$AL$13,AD431*AC431/AE431))</f>
        <v>#DIV/0!</v>
      </c>
      <c r="AG431" s="49">
        <f>IF(controls!$B$46=0,0,IF(controls!$B$33=2,B432-B431*V432-('normal case'!H432-D431*W432-'main page'!$K$27*'normal case'!M431+'main page'!$K$31*'normal case'!AB431)-(('main page'!$K$25*'main page'!$U$13*'main page'!$K$29)/(1+('main page'!$K$25^2)*'main page'!$U$13))*('normal case'!L431-'main page'!$U$8),B432-B431*V432-('normal case'!I432-D431*W432-'main page'!$K$27*'normal case'!M431+'main page'!$K$31*'normal case'!AB431)-(('main page'!$K$25*'main page'!$U$13*'main page'!$K$29)/(1+('main page'!$K$25^2)*'main page'!$U$13))*('normal case'!L431-'main page'!$U$8)))</f>
        <v>0</v>
      </c>
      <c r="AN431" s="40"/>
      <c r="AO431" s="40"/>
    </row>
    <row r="432" spans="1:41">
      <c r="A432" s="48">
        <v>430</v>
      </c>
      <c r="B432" s="75">
        <f ca="1">IF(controls!$B$33=1,B431*(1+V432)+T432,B431*(1+V432))</f>
        <v>100</v>
      </c>
      <c r="C432" s="80">
        <f t="shared" ca="1" si="46"/>
        <v>0</v>
      </c>
      <c r="D432" s="77">
        <f t="shared" ca="1" si="42"/>
        <v>100</v>
      </c>
      <c r="E432" s="77">
        <f ca="1">AG431+IF(controls!$B$33=1,G432,F432)</f>
        <v>100</v>
      </c>
      <c r="F432" s="94">
        <f ca="1">IF(controls!$B$44=0,H432-'main page'!$K$27*M431,H432-'main page'!$K$27*M431+'main page'!$K$31*AB431)</f>
        <v>100</v>
      </c>
      <c r="G432" s="75">
        <f ca="1">IF(controls!$B$44=0,I432-'main page'!$K$27*M431,I432-'main page'!$K$27*M431+'main page'!$K$31*'normal case'!AB431)</f>
        <v>100</v>
      </c>
      <c r="H432" s="75">
        <f t="shared" ca="1" si="47"/>
        <v>108</v>
      </c>
      <c r="I432" s="75">
        <f t="shared" ca="1" si="48"/>
        <v>108</v>
      </c>
      <c r="L432" s="75">
        <f ca="1">IF(ABS('main page'!$K$29*L431+(1-'main page'!$K$29)*(controls!$B$9/100)*100+'main page'!$K$25*(D432-B432)-L431)&lt;0.0000001,L431,'main page'!$K$29*L431+(1-'main page'!$K$29)*(controls!$B$9/100)*100+'main page'!$K$25*(D432-B432))</f>
        <v>2</v>
      </c>
      <c r="M432" s="96">
        <f ca="1">IF(controls!$B$10=1,M431,IF(SUM(controls!$B$44:$B$46)=2,N432-'main page'!$K$29*'normal case'!L432-(1-'main page'!$K$29)*'main page'!$K$32,N432-'main page'!$K$29*'normal case'!L432-(1-'main page'!$K$29)*controls!$B$9))</f>
        <v>4</v>
      </c>
      <c r="N432" s="208">
        <f ca="1">IF(controls!$B$45=1,IF(controls!$B$46=1,'main page'!$K$24+'main page'!$K$11+'main page'!$U$8,'main page'!$K$24+'main page'!$K$11+'main page'!$K$32),IF(controls!$B$44=1,IF(O432&lt;0,0,O432),IF(O432+'main page'!$K$11&lt;0,0,O432+'main page'!$K$11)))</f>
        <v>6</v>
      </c>
      <c r="O432" s="76">
        <f ca="1">IF(controls!$B$10=1,'normal case'!M432+'normal case'!L432,'normal case'!P432)</f>
        <v>6</v>
      </c>
      <c r="P432" s="74">
        <f t="shared" ca="1" si="43"/>
        <v>6</v>
      </c>
      <c r="Q432" s="210">
        <f ca="1">IF(controls!$B$44=0,R432+'main page'!$K$29*L432+(1-'main page'!$K$29)*controls!$B$9+(('main page'!$K$25*'main page'!$U$13*'main page'!$K$29)/('main page'!$K$27*(1+('main page'!$K$25^2)*'main page'!$U$13)))*(L432-controls!$B$9),R432+'main page'!$K$29*L432+(1-'main page'!$K$29)*controls!$B$9+(('main page'!$K$25*'main page'!$U$13*'normal case'!$AO$3)/'normal case'!$AO$4)*('normal case'!L432-controls!$B$9))</f>
        <v>6</v>
      </c>
      <c r="R432" s="98">
        <f ca="1">IF(controls!$B$44=1,'main page'!$K$24+'main page'!$K$11,IF(controls!$B$33=1,((I433-D432*W433-B433+B432*V433)/'main page'!$K$27)-'main page'!$K$11,((H433-D432*W433-B433+B432*V433)/'main page'!$K$27)-'main page'!$K$11))</f>
        <v>4</v>
      </c>
      <c r="T432" s="71">
        <f>IF(controls!$B$6=1,$AL$3*(1+('main page'!$K$35/100))^U432-$AL$3*(1+('main page'!$K$35/100))^U431,$AL$3*(1+('main page'!$G$8/100))*(1+('main page'!$K$35/100))^U432-$AL$3*(1+('main page'!$G$8/100))*(1+('main page'!$K$35/100))^U431)</f>
        <v>0</v>
      </c>
      <c r="U432" s="73">
        <v>425</v>
      </c>
      <c r="V432" s="161">
        <v>0</v>
      </c>
      <c r="W432" s="40">
        <v>0</v>
      </c>
      <c r="X432" s="49">
        <f ca="1">IF(controls!$B$33=1,D432-($I$3-'main page'!$K$27*2)*(1+('main page'!$K$35/100))^A431,D432-$AL$4)</f>
        <v>0</v>
      </c>
      <c r="Y432" s="49">
        <f ca="1">ABS(L432-(controls!$B$9/100)*100)</f>
        <v>0</v>
      </c>
      <c r="AA432" s="49" t="e">
        <f ca="1">IF(controls!$B$33=1,(B433-B432*V433-I433+D432*W433+'main page'!$K$27*('main page'!$K$24+'main page'!$K$11))/'main page'!$K$31,(B433-B432*V433+D432*W433-H433+'main page'!$K$27*('main page'!$K$24+'main page'!$K$11))/'main page'!$K$31)</f>
        <v>#DIV/0!</v>
      </c>
      <c r="AB432" s="49" t="e">
        <f ca="1">IF(controls!$B$45=1,LOG(AF432,1.01)+LOG(AE432,1.01)-LOG(AD432,1.01),-((M432-('main page'!$K$24+'main page'!$K$11))/(1-'normal case'!$AO$3))+'normal case'!AA432)</f>
        <v>#DIV/0!</v>
      </c>
      <c r="AC432" s="176" t="e">
        <f t="shared" ca="1" si="44"/>
        <v>#DIV/0!</v>
      </c>
      <c r="AD432" s="49">
        <f t="shared" ca="1" si="45"/>
        <v>4891.8562421510678</v>
      </c>
      <c r="AE432" s="49">
        <f>AE431*(1+'main page'!$K$32/100)</f>
        <v>1</v>
      </c>
      <c r="AF432" s="49" t="e">
        <f ca="1">IF(ABS(IF(controls!$B$45=1,$AL$13,AD432*AC432/AE432)-AF431)&lt;0.00001,AF431,IF(controls!$B$45=1,$AL$13,AD432*AC432/AE432))</f>
        <v>#DIV/0!</v>
      </c>
      <c r="AG432" s="49">
        <f>IF(controls!$B$46=0,0,IF(controls!$B$33=2,B433-B432*V433-('normal case'!H433-D432*W433-'main page'!$K$27*'normal case'!M432+'main page'!$K$31*'normal case'!AB432)-(('main page'!$K$25*'main page'!$U$13*'main page'!$K$29)/(1+('main page'!$K$25^2)*'main page'!$U$13))*('normal case'!L432-'main page'!$U$8),B433-B432*V433-('normal case'!I433-D432*W433-'main page'!$K$27*'normal case'!M432+'main page'!$K$31*'normal case'!AB432)-(('main page'!$K$25*'main page'!$U$13*'main page'!$K$29)/(1+('main page'!$K$25^2)*'main page'!$U$13))*('normal case'!L432-'main page'!$U$8)))</f>
        <v>0</v>
      </c>
      <c r="AN432" s="40"/>
      <c r="AO432" s="40"/>
    </row>
    <row r="433" spans="1:41">
      <c r="A433" s="48">
        <v>431</v>
      </c>
      <c r="B433" s="75">
        <f ca="1">IF(controls!$B$33=1,B432*(1+V433)+T433,B432*(1+V433))</f>
        <v>100</v>
      </c>
      <c r="C433" s="80">
        <f t="shared" ca="1" si="46"/>
        <v>0</v>
      </c>
      <c r="D433" s="77">
        <f t="shared" ca="1" si="42"/>
        <v>100</v>
      </c>
      <c r="E433" s="77">
        <f ca="1">AG432+IF(controls!$B$33=1,G433,F433)</f>
        <v>100</v>
      </c>
      <c r="F433" s="94">
        <f ca="1">IF(controls!$B$44=0,H433-'main page'!$K$27*M432,H433-'main page'!$K$27*M432+'main page'!$K$31*AB432)</f>
        <v>100</v>
      </c>
      <c r="G433" s="75">
        <f ca="1">IF(controls!$B$44=0,I433-'main page'!$K$27*M432,I433-'main page'!$K$27*M432+'main page'!$K$31*'normal case'!AB432)</f>
        <v>100</v>
      </c>
      <c r="H433" s="75">
        <f t="shared" ca="1" si="47"/>
        <v>108</v>
      </c>
      <c r="I433" s="75">
        <f t="shared" ca="1" si="48"/>
        <v>108</v>
      </c>
      <c r="L433" s="75">
        <f ca="1">IF(ABS('main page'!$K$29*L432+(1-'main page'!$K$29)*(controls!$B$9/100)*100+'main page'!$K$25*(D433-B433)-L432)&lt;0.0000001,L432,'main page'!$K$29*L432+(1-'main page'!$K$29)*(controls!$B$9/100)*100+'main page'!$K$25*(D433-B433))</f>
        <v>2</v>
      </c>
      <c r="M433" s="96">
        <f ca="1">IF(controls!$B$10=1,M432,IF(SUM(controls!$B$44:$B$46)=2,N433-'main page'!$K$29*'normal case'!L433-(1-'main page'!$K$29)*'main page'!$K$32,N433-'main page'!$K$29*'normal case'!L433-(1-'main page'!$K$29)*controls!$B$9))</f>
        <v>4</v>
      </c>
      <c r="N433" s="208">
        <f ca="1">IF(controls!$B$45=1,IF(controls!$B$46=1,'main page'!$K$24+'main page'!$K$11+'main page'!$U$8,'main page'!$K$24+'main page'!$K$11+'main page'!$K$32),IF(controls!$B$44=1,IF(O433&lt;0,0,O433),IF(O433+'main page'!$K$11&lt;0,0,O433+'main page'!$K$11)))</f>
        <v>6</v>
      </c>
      <c r="O433" s="76">
        <f ca="1">IF(controls!$B$10=1,'normal case'!M433+'normal case'!L433,'normal case'!P433)</f>
        <v>6</v>
      </c>
      <c r="P433" s="74">
        <f t="shared" ca="1" si="43"/>
        <v>6</v>
      </c>
      <c r="Q433" s="210">
        <f ca="1">IF(controls!$B$44=0,R433+'main page'!$K$29*L433+(1-'main page'!$K$29)*controls!$B$9+(('main page'!$K$25*'main page'!$U$13*'main page'!$K$29)/('main page'!$K$27*(1+('main page'!$K$25^2)*'main page'!$U$13)))*(L433-controls!$B$9),R433+'main page'!$K$29*L433+(1-'main page'!$K$29)*controls!$B$9+(('main page'!$K$25*'main page'!$U$13*'normal case'!$AO$3)/'normal case'!$AO$4)*('normal case'!L433-controls!$B$9))</f>
        <v>6</v>
      </c>
      <c r="R433" s="98">
        <f ca="1">IF(controls!$B$44=1,'main page'!$K$24+'main page'!$K$11,IF(controls!$B$33=1,((I434-D433*W434-B434+B433*V434)/'main page'!$K$27)-'main page'!$K$11,((H434-D433*W434-B434+B433*V434)/'main page'!$K$27)-'main page'!$K$11))</f>
        <v>4</v>
      </c>
      <c r="T433" s="71">
        <f>IF(controls!$B$6=1,$AL$3*(1+('main page'!$K$35/100))^U433-$AL$3*(1+('main page'!$K$35/100))^U432,$AL$3*(1+('main page'!$G$8/100))*(1+('main page'!$K$35/100))^U433-$AL$3*(1+('main page'!$G$8/100))*(1+('main page'!$K$35/100))^U432)</f>
        <v>0</v>
      </c>
      <c r="U433" s="73">
        <v>426</v>
      </c>
      <c r="V433" s="161">
        <v>0</v>
      </c>
      <c r="W433" s="40">
        <v>0</v>
      </c>
      <c r="X433" s="49">
        <f ca="1">IF(controls!$B$33=1,D433-($I$3-'main page'!$K$27*2)*(1+('main page'!$K$35/100))^A432,D433-$AL$4)</f>
        <v>0</v>
      </c>
      <c r="Y433" s="49">
        <f ca="1">ABS(L433-(controls!$B$9/100)*100)</f>
        <v>0</v>
      </c>
      <c r="AA433" s="49" t="e">
        <f ca="1">IF(controls!$B$33=1,(B434-B433*V434-I434+D433*W434+'main page'!$K$27*('main page'!$K$24+'main page'!$K$11))/'main page'!$K$31,(B434-B433*V434+D433*W434-H434+'main page'!$K$27*('main page'!$K$24+'main page'!$K$11))/'main page'!$K$31)</f>
        <v>#DIV/0!</v>
      </c>
      <c r="AB433" s="49" t="e">
        <f ca="1">IF(controls!$B$45=1,LOG(AF433,1.01)+LOG(AE433,1.01)-LOG(AD433,1.01),-((M433-('main page'!$K$24+'main page'!$K$11))/(1-'normal case'!$AO$3))+'normal case'!AA433)</f>
        <v>#DIV/0!</v>
      </c>
      <c r="AC433" s="176" t="e">
        <f t="shared" ca="1" si="44"/>
        <v>#DIV/0!</v>
      </c>
      <c r="AD433" s="49">
        <f t="shared" ca="1" si="45"/>
        <v>4989.693366994089</v>
      </c>
      <c r="AE433" s="49">
        <f>AE432*(1+'main page'!$K$32/100)</f>
        <v>1</v>
      </c>
      <c r="AF433" s="49" t="e">
        <f ca="1">IF(ABS(IF(controls!$B$45=1,$AL$13,AD433*AC433/AE433)-AF432)&lt;0.00001,AF432,IF(controls!$B$45=1,$AL$13,AD433*AC433/AE433))</f>
        <v>#DIV/0!</v>
      </c>
      <c r="AG433" s="49">
        <f>IF(controls!$B$46=0,0,IF(controls!$B$33=2,B434-B433*V434-('normal case'!H434-D433*W434-'main page'!$K$27*'normal case'!M433+'main page'!$K$31*'normal case'!AB433)-(('main page'!$K$25*'main page'!$U$13*'main page'!$K$29)/(1+('main page'!$K$25^2)*'main page'!$U$13))*('normal case'!L433-'main page'!$U$8),B434-B433*V434-('normal case'!I434-D433*W434-'main page'!$K$27*'normal case'!M433+'main page'!$K$31*'normal case'!AB433)-(('main page'!$K$25*'main page'!$U$13*'main page'!$K$29)/(1+('main page'!$K$25^2)*'main page'!$U$13))*('normal case'!L433-'main page'!$U$8)))</f>
        <v>0</v>
      </c>
      <c r="AN433" s="40"/>
      <c r="AO433" s="40"/>
    </row>
    <row r="434" spans="1:41">
      <c r="A434" s="48">
        <v>432</v>
      </c>
      <c r="B434" s="75">
        <f ca="1">IF(controls!$B$33=1,B433*(1+V434)+T434,B433*(1+V434))</f>
        <v>100</v>
      </c>
      <c r="C434" s="80">
        <f t="shared" ca="1" si="46"/>
        <v>0</v>
      </c>
      <c r="D434" s="77">
        <f t="shared" ca="1" si="42"/>
        <v>100</v>
      </c>
      <c r="E434" s="77">
        <f ca="1">AG433+IF(controls!$B$33=1,G434,F434)</f>
        <v>100</v>
      </c>
      <c r="F434" s="94">
        <f ca="1">IF(controls!$B$44=0,H434-'main page'!$K$27*M433,H434-'main page'!$K$27*M433+'main page'!$K$31*AB433)</f>
        <v>100</v>
      </c>
      <c r="G434" s="75">
        <f ca="1">IF(controls!$B$44=0,I434-'main page'!$K$27*M433,I434-'main page'!$K$27*M433+'main page'!$K$31*'normal case'!AB433)</f>
        <v>100</v>
      </c>
      <c r="H434" s="75">
        <f t="shared" ca="1" si="47"/>
        <v>108</v>
      </c>
      <c r="I434" s="75">
        <f t="shared" ca="1" si="48"/>
        <v>108</v>
      </c>
      <c r="L434" s="75">
        <f ca="1">IF(ABS('main page'!$K$29*L433+(1-'main page'!$K$29)*(controls!$B$9/100)*100+'main page'!$K$25*(D434-B434)-L433)&lt;0.0000001,L433,'main page'!$K$29*L433+(1-'main page'!$K$29)*(controls!$B$9/100)*100+'main page'!$K$25*(D434-B434))</f>
        <v>2</v>
      </c>
      <c r="M434" s="96">
        <f ca="1">IF(controls!$B$10=1,M433,IF(SUM(controls!$B$44:$B$46)=2,N434-'main page'!$K$29*'normal case'!L434-(1-'main page'!$K$29)*'main page'!$K$32,N434-'main page'!$K$29*'normal case'!L434-(1-'main page'!$K$29)*controls!$B$9))</f>
        <v>4</v>
      </c>
      <c r="N434" s="208">
        <f ca="1">IF(controls!$B$45=1,IF(controls!$B$46=1,'main page'!$K$24+'main page'!$K$11+'main page'!$U$8,'main page'!$K$24+'main page'!$K$11+'main page'!$K$32),IF(controls!$B$44=1,IF(O434&lt;0,0,O434),IF(O434+'main page'!$K$11&lt;0,0,O434+'main page'!$K$11)))</f>
        <v>6</v>
      </c>
      <c r="O434" s="76">
        <f ca="1">IF(controls!$B$10=1,'normal case'!M434+'normal case'!L434,'normal case'!P434)</f>
        <v>6</v>
      </c>
      <c r="P434" s="74">
        <f t="shared" ca="1" si="43"/>
        <v>6</v>
      </c>
      <c r="Q434" s="210">
        <f ca="1">IF(controls!$B$44=0,R434+'main page'!$K$29*L434+(1-'main page'!$K$29)*controls!$B$9+(('main page'!$K$25*'main page'!$U$13*'main page'!$K$29)/('main page'!$K$27*(1+('main page'!$K$25^2)*'main page'!$U$13)))*(L434-controls!$B$9),R434+'main page'!$K$29*L434+(1-'main page'!$K$29)*controls!$B$9+(('main page'!$K$25*'main page'!$U$13*'normal case'!$AO$3)/'normal case'!$AO$4)*('normal case'!L434-controls!$B$9))</f>
        <v>6</v>
      </c>
      <c r="R434" s="98">
        <f ca="1">IF(controls!$B$44=1,'main page'!$K$24+'main page'!$K$11,IF(controls!$B$33=1,((I435-D434*W435-B435+B434*V435)/'main page'!$K$27)-'main page'!$K$11,((H435-D434*W435-B435+B434*V435)/'main page'!$K$27)-'main page'!$K$11))</f>
        <v>4</v>
      </c>
      <c r="T434" s="71">
        <f>IF(controls!$B$6=1,$AL$3*(1+('main page'!$K$35/100))^U434-$AL$3*(1+('main page'!$K$35/100))^U433,$AL$3*(1+('main page'!$G$8/100))*(1+('main page'!$K$35/100))^U434-$AL$3*(1+('main page'!$G$8/100))*(1+('main page'!$K$35/100))^U433)</f>
        <v>0</v>
      </c>
      <c r="U434" s="73">
        <v>427</v>
      </c>
      <c r="V434" s="161">
        <f ca="1">IF(controls!$B$4=1,IF(controls!$H433=1,controls!$B$34*V433+RAND()*('main page'!$K$16/100)-RAND()*('main page'!$K$16/100),0),0)</f>
        <v>0</v>
      </c>
      <c r="W434" s="40">
        <f ca="1">IF(controls!$B$4=1,IF(controls!$I433=1,controls!$B$34*W433+RAND()*('main page'!$K$16/100)-RAND()*('main page'!$K$16/100),0),0)</f>
        <v>0</v>
      </c>
      <c r="X434" s="49">
        <f ca="1">IF(controls!$B$33=1,D434-($I$3-'main page'!$K$27*2)*(1+('main page'!$K$35/100))^A433,D434-$AL$4)</f>
        <v>0</v>
      </c>
      <c r="Y434" s="49">
        <f ca="1">ABS(L434-(controls!$B$9/100)*100)</f>
        <v>0</v>
      </c>
      <c r="AA434" s="49" t="e">
        <f ca="1">IF(controls!$B$33=1,(B435-B434*V435-I435+D434*W435+'main page'!$K$27*('main page'!$K$24+'main page'!$K$11))/'main page'!$K$31,(B435-B434*V435+D434*W435-H435+'main page'!$K$27*('main page'!$K$24+'main page'!$K$11))/'main page'!$K$31)</f>
        <v>#DIV/0!</v>
      </c>
      <c r="AB434" s="49" t="e">
        <f ca="1">IF(controls!$B$45=1,LOG(AF434,1.01)+LOG(AE434,1.01)-LOG(AD434,1.01),-((M434-('main page'!$K$24+'main page'!$K$11))/(1-'normal case'!$AO$3))+'normal case'!AA434)</f>
        <v>#DIV/0!</v>
      </c>
      <c r="AC434" s="176" t="e">
        <f t="shared" ca="1" si="44"/>
        <v>#DIV/0!</v>
      </c>
      <c r="AD434" s="49">
        <f t="shared" ca="1" si="45"/>
        <v>5089.4872343339712</v>
      </c>
      <c r="AE434" s="49">
        <f>AE433*(1+'main page'!$K$32/100)</f>
        <v>1</v>
      </c>
      <c r="AF434" s="49" t="e">
        <f ca="1">IF(ABS(IF(controls!$B$45=1,$AL$13,AD434*AC434/AE434)-AF433)&lt;0.00001,AF433,IF(controls!$B$45=1,$AL$13,AD434*AC434/AE434))</f>
        <v>#DIV/0!</v>
      </c>
      <c r="AG434" s="49">
        <f>IF(controls!$B$46=0,0,IF(controls!$B$33=2,B435-B434*V435-('normal case'!H435-D434*W435-'main page'!$K$27*'normal case'!M434+'main page'!$K$31*'normal case'!AB434)-(('main page'!$K$25*'main page'!$U$13*'main page'!$K$29)/(1+('main page'!$K$25^2)*'main page'!$U$13))*('normal case'!L434-'main page'!$U$8),B435-B434*V435-('normal case'!I435-D434*W435-'main page'!$K$27*'normal case'!M434+'main page'!$K$31*'normal case'!AB434)-(('main page'!$K$25*'main page'!$U$13*'main page'!$K$29)/(1+('main page'!$K$25^2)*'main page'!$U$13))*('normal case'!L434-'main page'!$U$8)))</f>
        <v>0</v>
      </c>
      <c r="AN434" s="40"/>
      <c r="AO434" s="40"/>
    </row>
    <row r="435" spans="1:41">
      <c r="A435" s="48">
        <v>433</v>
      </c>
      <c r="B435" s="75">
        <f ca="1">IF(controls!$B$33=1,B434*(1+V435)+T435,B434*(1+V435))</f>
        <v>100</v>
      </c>
      <c r="C435" s="80">
        <f t="shared" ca="1" si="46"/>
        <v>0</v>
      </c>
      <c r="D435" s="77">
        <f t="shared" ca="1" si="42"/>
        <v>100</v>
      </c>
      <c r="E435" s="77">
        <f ca="1">AG434+IF(controls!$B$33=1,G435,F435)</f>
        <v>100</v>
      </c>
      <c r="F435" s="94">
        <f ca="1">IF(controls!$B$44=0,H435-'main page'!$K$27*M434,H435-'main page'!$K$27*M434+'main page'!$K$31*AB434)</f>
        <v>100</v>
      </c>
      <c r="G435" s="75">
        <f ca="1">IF(controls!$B$44=0,I435-'main page'!$K$27*M434,I435-'main page'!$K$27*M434+'main page'!$K$31*'normal case'!AB434)</f>
        <v>100</v>
      </c>
      <c r="H435" s="75">
        <f t="shared" ca="1" si="47"/>
        <v>108</v>
      </c>
      <c r="I435" s="75">
        <f t="shared" ca="1" si="48"/>
        <v>108</v>
      </c>
      <c r="L435" s="75">
        <f ca="1">IF(ABS('main page'!$K$29*L434+(1-'main page'!$K$29)*(controls!$B$9/100)*100+'main page'!$K$25*(D435-B435)-L434)&lt;0.0000001,L434,'main page'!$K$29*L434+(1-'main page'!$K$29)*(controls!$B$9/100)*100+'main page'!$K$25*(D435-B435))</f>
        <v>2</v>
      </c>
      <c r="M435" s="96">
        <f ca="1">IF(controls!$B$10=1,M434,IF(SUM(controls!$B$44:$B$46)=2,N435-'main page'!$K$29*'normal case'!L435-(1-'main page'!$K$29)*'main page'!$K$32,N435-'main page'!$K$29*'normal case'!L435-(1-'main page'!$K$29)*controls!$B$9))</f>
        <v>4</v>
      </c>
      <c r="N435" s="208">
        <f ca="1">IF(controls!$B$45=1,IF(controls!$B$46=1,'main page'!$K$24+'main page'!$K$11+'main page'!$U$8,'main page'!$K$24+'main page'!$K$11+'main page'!$K$32),IF(controls!$B$44=1,IF(O435&lt;0,0,O435),IF(O435+'main page'!$K$11&lt;0,0,O435+'main page'!$K$11)))</f>
        <v>6</v>
      </c>
      <c r="O435" s="76">
        <f ca="1">IF(controls!$B$10=1,'normal case'!M435+'normal case'!L435,'normal case'!P435)</f>
        <v>6</v>
      </c>
      <c r="P435" s="74">
        <f t="shared" ca="1" si="43"/>
        <v>6</v>
      </c>
      <c r="Q435" s="210">
        <f ca="1">IF(controls!$B$44=0,R435+'main page'!$K$29*L435+(1-'main page'!$K$29)*controls!$B$9+(('main page'!$K$25*'main page'!$U$13*'main page'!$K$29)/('main page'!$K$27*(1+('main page'!$K$25^2)*'main page'!$U$13)))*(L435-controls!$B$9),R435+'main page'!$K$29*L435+(1-'main page'!$K$29)*controls!$B$9+(('main page'!$K$25*'main page'!$U$13*'normal case'!$AO$3)/'normal case'!$AO$4)*('normal case'!L435-controls!$B$9))</f>
        <v>6</v>
      </c>
      <c r="R435" s="98">
        <f ca="1">IF(controls!$B$44=1,'main page'!$K$24+'main page'!$K$11,IF(controls!$B$33=1,((I436-D435*W436-B436+B435*V436)/'main page'!$K$27)-'main page'!$K$11,((H436-D435*W436-B436+B435*V436)/'main page'!$K$27)-'main page'!$K$11))</f>
        <v>4</v>
      </c>
      <c r="T435" s="71">
        <f>IF(controls!$B$6=1,$AL$3*(1+('main page'!$K$35/100))^U435-$AL$3*(1+('main page'!$K$35/100))^U434,$AL$3*(1+('main page'!$G$8/100))*(1+('main page'!$K$35/100))^U435-$AL$3*(1+('main page'!$G$8/100))*(1+('main page'!$K$35/100))^U434)</f>
        <v>0</v>
      </c>
      <c r="U435" s="73">
        <v>428</v>
      </c>
      <c r="V435" s="161">
        <v>0</v>
      </c>
      <c r="W435" s="40">
        <v>0</v>
      </c>
      <c r="X435" s="49">
        <f ca="1">IF(controls!$B$33=1,D435-($I$3-'main page'!$K$27*2)*(1+('main page'!$K$35/100))^A434,D435-$AL$4)</f>
        <v>0</v>
      </c>
      <c r="Y435" s="49">
        <f ca="1">ABS(L435-(controls!$B$9/100)*100)</f>
        <v>0</v>
      </c>
      <c r="AA435" s="49" t="e">
        <f ca="1">IF(controls!$B$33=1,(B436-B435*V436-I436+D435*W436+'main page'!$K$27*('main page'!$K$24+'main page'!$K$11))/'main page'!$K$31,(B436-B435*V436+D435*W436-H436+'main page'!$K$27*('main page'!$K$24+'main page'!$K$11))/'main page'!$K$31)</f>
        <v>#DIV/0!</v>
      </c>
      <c r="AB435" s="49" t="e">
        <f ca="1">IF(controls!$B$45=1,LOG(AF435,1.01)+LOG(AE435,1.01)-LOG(AD435,1.01),-((M435-('main page'!$K$24+'main page'!$K$11))/(1-'normal case'!$AO$3))+'normal case'!AA435)</f>
        <v>#DIV/0!</v>
      </c>
      <c r="AC435" s="176" t="e">
        <f t="shared" ca="1" si="44"/>
        <v>#DIV/0!</v>
      </c>
      <c r="AD435" s="49">
        <f t="shared" ca="1" si="45"/>
        <v>5191.2769790206503</v>
      </c>
      <c r="AE435" s="49">
        <f>AE434*(1+'main page'!$K$32/100)</f>
        <v>1</v>
      </c>
      <c r="AF435" s="49" t="e">
        <f ca="1">IF(ABS(IF(controls!$B$45=1,$AL$13,AD435*AC435/AE435)-AF434)&lt;0.00001,AF434,IF(controls!$B$45=1,$AL$13,AD435*AC435/AE435))</f>
        <v>#DIV/0!</v>
      </c>
      <c r="AG435" s="49">
        <f>IF(controls!$B$46=0,0,IF(controls!$B$33=2,B436-B435*V436-('normal case'!H436-D435*W436-'main page'!$K$27*'normal case'!M435+'main page'!$K$31*'normal case'!AB435)-(('main page'!$K$25*'main page'!$U$13*'main page'!$K$29)/(1+('main page'!$K$25^2)*'main page'!$U$13))*('normal case'!L435-'main page'!$U$8),B436-B435*V436-('normal case'!I436-D435*W436-'main page'!$K$27*'normal case'!M435+'main page'!$K$31*'normal case'!AB435)-(('main page'!$K$25*'main page'!$U$13*'main page'!$K$29)/(1+('main page'!$K$25^2)*'main page'!$U$13))*('normal case'!L435-'main page'!$U$8)))</f>
        <v>0</v>
      </c>
      <c r="AN435" s="40"/>
      <c r="AO435" s="40"/>
    </row>
    <row r="436" spans="1:41">
      <c r="A436" s="48">
        <v>434</v>
      </c>
      <c r="B436" s="75">
        <f ca="1">IF(controls!$B$33=1,B435*(1+V436)+T436,B435*(1+V436))</f>
        <v>100</v>
      </c>
      <c r="C436" s="80">
        <f t="shared" ca="1" si="46"/>
        <v>0</v>
      </c>
      <c r="D436" s="77">
        <f t="shared" ca="1" si="42"/>
        <v>100</v>
      </c>
      <c r="E436" s="77">
        <f ca="1">AG435+IF(controls!$B$33=1,G436,F436)</f>
        <v>100</v>
      </c>
      <c r="F436" s="94">
        <f ca="1">IF(controls!$B$44=0,H436-'main page'!$K$27*M435,H436-'main page'!$K$27*M435+'main page'!$K$31*AB435)</f>
        <v>100</v>
      </c>
      <c r="G436" s="75">
        <f ca="1">IF(controls!$B$44=0,I436-'main page'!$K$27*M435,I436-'main page'!$K$27*M435+'main page'!$K$31*'normal case'!AB435)</f>
        <v>100</v>
      </c>
      <c r="H436" s="75">
        <f t="shared" ca="1" si="47"/>
        <v>108</v>
      </c>
      <c r="I436" s="75">
        <f t="shared" ca="1" si="48"/>
        <v>108</v>
      </c>
      <c r="L436" s="75">
        <f ca="1">IF(ABS('main page'!$K$29*L435+(1-'main page'!$K$29)*(controls!$B$9/100)*100+'main page'!$K$25*(D436-B436)-L435)&lt;0.0000001,L435,'main page'!$K$29*L435+(1-'main page'!$K$29)*(controls!$B$9/100)*100+'main page'!$K$25*(D436-B436))</f>
        <v>2</v>
      </c>
      <c r="M436" s="96">
        <f ca="1">IF(controls!$B$10=1,M435,IF(SUM(controls!$B$44:$B$46)=2,N436-'main page'!$K$29*'normal case'!L436-(1-'main page'!$K$29)*'main page'!$K$32,N436-'main page'!$K$29*'normal case'!L436-(1-'main page'!$K$29)*controls!$B$9))</f>
        <v>4</v>
      </c>
      <c r="N436" s="208">
        <f ca="1">IF(controls!$B$45=1,IF(controls!$B$46=1,'main page'!$K$24+'main page'!$K$11+'main page'!$U$8,'main page'!$K$24+'main page'!$K$11+'main page'!$K$32),IF(controls!$B$44=1,IF(O436&lt;0,0,O436),IF(O436+'main page'!$K$11&lt;0,0,O436+'main page'!$K$11)))</f>
        <v>6</v>
      </c>
      <c r="O436" s="76">
        <f ca="1">IF(controls!$B$10=1,'normal case'!M436+'normal case'!L436,'normal case'!P436)</f>
        <v>6</v>
      </c>
      <c r="P436" s="74">
        <f t="shared" ca="1" si="43"/>
        <v>6</v>
      </c>
      <c r="Q436" s="210">
        <f ca="1">IF(controls!$B$44=0,R436+'main page'!$K$29*L436+(1-'main page'!$K$29)*controls!$B$9+(('main page'!$K$25*'main page'!$U$13*'main page'!$K$29)/('main page'!$K$27*(1+('main page'!$K$25^2)*'main page'!$U$13)))*(L436-controls!$B$9),R436+'main page'!$K$29*L436+(1-'main page'!$K$29)*controls!$B$9+(('main page'!$K$25*'main page'!$U$13*'normal case'!$AO$3)/'normal case'!$AO$4)*('normal case'!L436-controls!$B$9))</f>
        <v>6</v>
      </c>
      <c r="R436" s="98">
        <f ca="1">IF(controls!$B$44=1,'main page'!$K$24+'main page'!$K$11,IF(controls!$B$33=1,((I437-D436*W437-B437+B436*V437)/'main page'!$K$27)-'main page'!$K$11,((H437-D436*W437-B437+B436*V437)/'main page'!$K$27)-'main page'!$K$11))</f>
        <v>4</v>
      </c>
      <c r="T436" s="71">
        <f>IF(controls!$B$6=1,$AL$3*(1+('main page'!$K$35/100))^U436-$AL$3*(1+('main page'!$K$35/100))^U435,$AL$3*(1+('main page'!$G$8/100))*(1+('main page'!$K$35/100))^U436-$AL$3*(1+('main page'!$G$8/100))*(1+('main page'!$K$35/100))^U435)</f>
        <v>0</v>
      </c>
      <c r="U436" s="73">
        <v>429</v>
      </c>
      <c r="V436" s="161">
        <v>0</v>
      </c>
      <c r="W436" s="40">
        <v>0</v>
      </c>
      <c r="X436" s="49">
        <f ca="1">IF(controls!$B$33=1,D436-($I$3-'main page'!$K$27*2)*(1+('main page'!$K$35/100))^A435,D436-$AL$4)</f>
        <v>0</v>
      </c>
      <c r="Y436" s="49">
        <f ca="1">ABS(L436-(controls!$B$9/100)*100)</f>
        <v>0</v>
      </c>
      <c r="AA436" s="49" t="e">
        <f ca="1">IF(controls!$B$33=1,(B437-B436*V437-I437+D436*W437+'main page'!$K$27*('main page'!$K$24+'main page'!$K$11))/'main page'!$K$31,(B437-B436*V437+D436*W437-H437+'main page'!$K$27*('main page'!$K$24+'main page'!$K$11))/'main page'!$K$31)</f>
        <v>#DIV/0!</v>
      </c>
      <c r="AB436" s="49" t="e">
        <f ca="1">IF(controls!$B$45=1,LOG(AF436,1.01)+LOG(AE436,1.01)-LOG(AD436,1.01),-((M436-('main page'!$K$24+'main page'!$K$11))/(1-'normal case'!$AO$3))+'normal case'!AA436)</f>
        <v>#DIV/0!</v>
      </c>
      <c r="AC436" s="176" t="e">
        <f t="shared" ca="1" si="44"/>
        <v>#DIV/0!</v>
      </c>
      <c r="AD436" s="49">
        <f t="shared" ca="1" si="45"/>
        <v>5295.1025186010638</v>
      </c>
      <c r="AE436" s="49">
        <f>AE435*(1+'main page'!$K$32/100)</f>
        <v>1</v>
      </c>
      <c r="AF436" s="49" t="e">
        <f ca="1">IF(ABS(IF(controls!$B$45=1,$AL$13,AD436*AC436/AE436)-AF435)&lt;0.00001,AF435,IF(controls!$B$45=1,$AL$13,AD436*AC436/AE436))</f>
        <v>#DIV/0!</v>
      </c>
      <c r="AG436" s="49">
        <f>IF(controls!$B$46=0,0,IF(controls!$B$33=2,B437-B436*V437-('normal case'!H437-D436*W437-'main page'!$K$27*'normal case'!M436+'main page'!$K$31*'normal case'!AB436)-(('main page'!$K$25*'main page'!$U$13*'main page'!$K$29)/(1+('main page'!$K$25^2)*'main page'!$U$13))*('normal case'!L436-'main page'!$U$8),B437-B436*V437-('normal case'!I437-D436*W437-'main page'!$K$27*'normal case'!M436+'main page'!$K$31*'normal case'!AB436)-(('main page'!$K$25*'main page'!$U$13*'main page'!$K$29)/(1+('main page'!$K$25^2)*'main page'!$U$13))*('normal case'!L436-'main page'!$U$8)))</f>
        <v>0</v>
      </c>
      <c r="AN436" s="40"/>
      <c r="AO436" s="40"/>
    </row>
    <row r="437" spans="1:41">
      <c r="A437" s="48">
        <v>435</v>
      </c>
      <c r="B437" s="75">
        <f ca="1">IF(controls!$B$33=1,B436*(1+V437)+T437,B436*(1+V437))</f>
        <v>100</v>
      </c>
      <c r="C437" s="80">
        <f t="shared" ca="1" si="46"/>
        <v>0</v>
      </c>
      <c r="D437" s="77">
        <f t="shared" ca="1" si="42"/>
        <v>100</v>
      </c>
      <c r="E437" s="77">
        <f ca="1">AG436+IF(controls!$B$33=1,G437,F437)</f>
        <v>100</v>
      </c>
      <c r="F437" s="94">
        <f ca="1">IF(controls!$B$44=0,H437-'main page'!$K$27*M436,H437-'main page'!$K$27*M436+'main page'!$K$31*AB436)</f>
        <v>100</v>
      </c>
      <c r="G437" s="75">
        <f ca="1">IF(controls!$B$44=0,I437-'main page'!$K$27*M436,I437-'main page'!$K$27*M436+'main page'!$K$31*'normal case'!AB436)</f>
        <v>100</v>
      </c>
      <c r="H437" s="75">
        <f t="shared" ca="1" si="47"/>
        <v>108</v>
      </c>
      <c r="I437" s="75">
        <f t="shared" ca="1" si="48"/>
        <v>108</v>
      </c>
      <c r="L437" s="75">
        <f ca="1">IF(ABS('main page'!$K$29*L436+(1-'main page'!$K$29)*(controls!$B$9/100)*100+'main page'!$K$25*(D437-B437)-L436)&lt;0.0000001,L436,'main page'!$K$29*L436+(1-'main page'!$K$29)*(controls!$B$9/100)*100+'main page'!$K$25*(D437-B437))</f>
        <v>2</v>
      </c>
      <c r="M437" s="96">
        <f ca="1">IF(controls!$B$10=1,M436,IF(SUM(controls!$B$44:$B$46)=2,N437-'main page'!$K$29*'normal case'!L437-(1-'main page'!$K$29)*'main page'!$K$32,N437-'main page'!$K$29*'normal case'!L437-(1-'main page'!$K$29)*controls!$B$9))</f>
        <v>4</v>
      </c>
      <c r="N437" s="208">
        <f ca="1">IF(controls!$B$45=1,IF(controls!$B$46=1,'main page'!$K$24+'main page'!$K$11+'main page'!$U$8,'main page'!$K$24+'main page'!$K$11+'main page'!$K$32),IF(controls!$B$44=1,IF(O437&lt;0,0,O437),IF(O437+'main page'!$K$11&lt;0,0,O437+'main page'!$K$11)))</f>
        <v>6</v>
      </c>
      <c r="O437" s="76">
        <f ca="1">IF(controls!$B$10=1,'normal case'!M437+'normal case'!L437,'normal case'!P437)</f>
        <v>6</v>
      </c>
      <c r="P437" s="74">
        <f t="shared" ca="1" si="43"/>
        <v>6</v>
      </c>
      <c r="Q437" s="210">
        <f ca="1">IF(controls!$B$44=0,R437+'main page'!$K$29*L437+(1-'main page'!$K$29)*controls!$B$9+(('main page'!$K$25*'main page'!$U$13*'main page'!$K$29)/('main page'!$K$27*(1+('main page'!$K$25^2)*'main page'!$U$13)))*(L437-controls!$B$9),R437+'main page'!$K$29*L437+(1-'main page'!$K$29)*controls!$B$9+(('main page'!$K$25*'main page'!$U$13*'normal case'!$AO$3)/'normal case'!$AO$4)*('normal case'!L437-controls!$B$9))</f>
        <v>6</v>
      </c>
      <c r="R437" s="98">
        <f ca="1">IF(controls!$B$44=1,'main page'!$K$24+'main page'!$K$11,IF(controls!$B$33=1,((I438-D437*W438-B438+B437*V438)/'main page'!$K$27)-'main page'!$K$11,((H438-D437*W438-B438+B437*V438)/'main page'!$K$27)-'main page'!$K$11))</f>
        <v>4</v>
      </c>
      <c r="T437" s="71">
        <f>IF(controls!$B$6=1,$AL$3*(1+('main page'!$K$35/100))^U437-$AL$3*(1+('main page'!$K$35/100))^U436,$AL$3*(1+('main page'!$G$8/100))*(1+('main page'!$K$35/100))^U437-$AL$3*(1+('main page'!$G$8/100))*(1+('main page'!$K$35/100))^U436)</f>
        <v>0</v>
      </c>
      <c r="U437" s="73">
        <v>430</v>
      </c>
      <c r="V437" s="161">
        <f ca="1">IF(controls!$B$4=1,IF(controls!$H436=1,controls!$B$34*V436+RAND()*('main page'!$K$16/100)-RAND()*('main page'!$K$16/100),0),0)</f>
        <v>0</v>
      </c>
      <c r="W437" s="40">
        <f ca="1">IF(controls!$B$4=1,IF(controls!$I436=1,controls!$B$34*W436+RAND()*('main page'!$K$16/100)-RAND()*('main page'!$K$16/100),0),0)</f>
        <v>0</v>
      </c>
      <c r="X437" s="49">
        <f ca="1">IF(controls!$B$33=1,D437-($I$3-'main page'!$K$27*2)*(1+('main page'!$K$35/100))^A436,D437-$AL$4)</f>
        <v>0</v>
      </c>
      <c r="Y437" s="49">
        <f ca="1">ABS(L437-(controls!$B$9/100)*100)</f>
        <v>0</v>
      </c>
      <c r="AA437" s="49" t="e">
        <f ca="1">IF(controls!$B$33=1,(B438-B437*V438-I438+D437*W438+'main page'!$K$27*('main page'!$K$24+'main page'!$K$11))/'main page'!$K$31,(B438-B437*V438+D437*W438-H438+'main page'!$K$27*('main page'!$K$24+'main page'!$K$11))/'main page'!$K$31)</f>
        <v>#DIV/0!</v>
      </c>
      <c r="AB437" s="49" t="e">
        <f ca="1">IF(controls!$B$45=1,LOG(AF437,1.01)+LOG(AE437,1.01)-LOG(AD437,1.01),-((M437-('main page'!$K$24+'main page'!$K$11))/(1-'normal case'!$AO$3))+'normal case'!AA437)</f>
        <v>#DIV/0!</v>
      </c>
      <c r="AC437" s="176" t="e">
        <f t="shared" ca="1" si="44"/>
        <v>#DIV/0!</v>
      </c>
      <c r="AD437" s="49">
        <f t="shared" ca="1" si="45"/>
        <v>5401.004568973085</v>
      </c>
      <c r="AE437" s="49">
        <f>AE436*(1+'main page'!$K$32/100)</f>
        <v>1</v>
      </c>
      <c r="AF437" s="49" t="e">
        <f ca="1">IF(ABS(IF(controls!$B$45=1,$AL$13,AD437*AC437/AE437)-AF436)&lt;0.00001,AF436,IF(controls!$B$45=1,$AL$13,AD437*AC437/AE437))</f>
        <v>#DIV/0!</v>
      </c>
      <c r="AG437" s="49">
        <f>IF(controls!$B$46=0,0,IF(controls!$B$33=2,B438-B437*V438-('normal case'!H438-D437*W438-'main page'!$K$27*'normal case'!M437+'main page'!$K$31*'normal case'!AB437)-(('main page'!$K$25*'main page'!$U$13*'main page'!$K$29)/(1+('main page'!$K$25^2)*'main page'!$U$13))*('normal case'!L437-'main page'!$U$8),B438-B437*V438-('normal case'!I438-D437*W438-'main page'!$K$27*'normal case'!M437+'main page'!$K$31*'normal case'!AB437)-(('main page'!$K$25*'main page'!$U$13*'main page'!$K$29)/(1+('main page'!$K$25^2)*'main page'!$U$13))*('normal case'!L437-'main page'!$U$8)))</f>
        <v>0</v>
      </c>
      <c r="AN437" s="40"/>
      <c r="AO437" s="40"/>
    </row>
    <row r="438" spans="1:41">
      <c r="A438" s="48">
        <v>436</v>
      </c>
      <c r="B438" s="75">
        <f ca="1">IF(controls!$B$33=1,B437*(1+V438)+T438,B437*(1+V438))</f>
        <v>100</v>
      </c>
      <c r="C438" s="80">
        <f t="shared" ca="1" si="46"/>
        <v>0</v>
      </c>
      <c r="D438" s="77">
        <f t="shared" ca="1" si="42"/>
        <v>100</v>
      </c>
      <c r="E438" s="77">
        <f ca="1">AG437+IF(controls!$B$33=1,G438,F438)</f>
        <v>100</v>
      </c>
      <c r="F438" s="94">
        <f ca="1">IF(controls!$B$44=0,H438-'main page'!$K$27*M437,H438-'main page'!$K$27*M437+'main page'!$K$31*AB437)</f>
        <v>100</v>
      </c>
      <c r="G438" s="75">
        <f ca="1">IF(controls!$B$44=0,I438-'main page'!$K$27*M437,I438-'main page'!$K$27*M437+'main page'!$K$31*'normal case'!AB437)</f>
        <v>100</v>
      </c>
      <c r="H438" s="75">
        <f t="shared" ca="1" si="47"/>
        <v>108</v>
      </c>
      <c r="I438" s="75">
        <f t="shared" ca="1" si="48"/>
        <v>108</v>
      </c>
      <c r="L438" s="75">
        <f ca="1">IF(ABS('main page'!$K$29*L437+(1-'main page'!$K$29)*(controls!$B$9/100)*100+'main page'!$K$25*(D438-B438)-L437)&lt;0.0000001,L437,'main page'!$K$29*L437+(1-'main page'!$K$29)*(controls!$B$9/100)*100+'main page'!$K$25*(D438-B438))</f>
        <v>2</v>
      </c>
      <c r="M438" s="96">
        <f ca="1">IF(controls!$B$10=1,M437,IF(SUM(controls!$B$44:$B$46)=2,N438-'main page'!$K$29*'normal case'!L438-(1-'main page'!$K$29)*'main page'!$K$32,N438-'main page'!$K$29*'normal case'!L438-(1-'main page'!$K$29)*controls!$B$9))</f>
        <v>4</v>
      </c>
      <c r="N438" s="208">
        <f ca="1">IF(controls!$B$45=1,IF(controls!$B$46=1,'main page'!$K$24+'main page'!$K$11+'main page'!$U$8,'main page'!$K$24+'main page'!$K$11+'main page'!$K$32),IF(controls!$B$44=1,IF(O438&lt;0,0,O438),IF(O438+'main page'!$K$11&lt;0,0,O438+'main page'!$K$11)))</f>
        <v>6</v>
      </c>
      <c r="O438" s="76">
        <f ca="1">IF(controls!$B$10=1,'normal case'!M438+'normal case'!L438,'normal case'!P438)</f>
        <v>6</v>
      </c>
      <c r="P438" s="74">
        <f t="shared" ca="1" si="43"/>
        <v>6</v>
      </c>
      <c r="Q438" s="210">
        <f ca="1">IF(controls!$B$44=0,R438+'main page'!$K$29*L438+(1-'main page'!$K$29)*controls!$B$9+(('main page'!$K$25*'main page'!$U$13*'main page'!$K$29)/('main page'!$K$27*(1+('main page'!$K$25^2)*'main page'!$U$13)))*(L438-controls!$B$9),R438+'main page'!$K$29*L438+(1-'main page'!$K$29)*controls!$B$9+(('main page'!$K$25*'main page'!$U$13*'normal case'!$AO$3)/'normal case'!$AO$4)*('normal case'!L438-controls!$B$9))</f>
        <v>6</v>
      </c>
      <c r="R438" s="98">
        <f ca="1">IF(controls!$B$44=1,'main page'!$K$24+'main page'!$K$11,IF(controls!$B$33=1,((I439-D438*W439-B439+B438*V439)/'main page'!$K$27)-'main page'!$K$11,((H439-D438*W439-B439+B438*V439)/'main page'!$K$27)-'main page'!$K$11))</f>
        <v>4</v>
      </c>
      <c r="T438" s="71">
        <f>IF(controls!$B$6=1,$AL$3*(1+('main page'!$K$35/100))^U438-$AL$3*(1+('main page'!$K$35/100))^U437,$AL$3*(1+('main page'!$G$8/100))*(1+('main page'!$K$35/100))^U438-$AL$3*(1+('main page'!$G$8/100))*(1+('main page'!$K$35/100))^U437)</f>
        <v>0</v>
      </c>
      <c r="U438" s="73">
        <v>431</v>
      </c>
      <c r="V438" s="161">
        <v>0</v>
      </c>
      <c r="W438" s="40">
        <v>0</v>
      </c>
      <c r="X438" s="49">
        <f ca="1">IF(controls!$B$33=1,D438-($I$3-'main page'!$K$27*2)*(1+('main page'!$K$35/100))^A437,D438-$AL$4)</f>
        <v>0</v>
      </c>
      <c r="Y438" s="49">
        <f ca="1">ABS(L438-(controls!$B$9/100)*100)</f>
        <v>0</v>
      </c>
      <c r="AA438" s="49" t="e">
        <f ca="1">IF(controls!$B$33=1,(B439-B438*V439-I439+D438*W439+'main page'!$K$27*('main page'!$K$24+'main page'!$K$11))/'main page'!$K$31,(B439-B438*V439+D438*W439-H439+'main page'!$K$27*('main page'!$K$24+'main page'!$K$11))/'main page'!$K$31)</f>
        <v>#DIV/0!</v>
      </c>
      <c r="AB438" s="49" t="e">
        <f ca="1">IF(controls!$B$45=1,LOG(AF438,1.01)+LOG(AE438,1.01)-LOG(AD438,1.01),-((M438-('main page'!$K$24+'main page'!$K$11))/(1-'normal case'!$AO$3))+'normal case'!AA438)</f>
        <v>#DIV/0!</v>
      </c>
      <c r="AC438" s="176" t="e">
        <f t="shared" ca="1" si="44"/>
        <v>#DIV/0!</v>
      </c>
      <c r="AD438" s="49">
        <f t="shared" ca="1" si="45"/>
        <v>5509.0246603525466</v>
      </c>
      <c r="AE438" s="49">
        <f>AE437*(1+'main page'!$K$32/100)</f>
        <v>1</v>
      </c>
      <c r="AF438" s="49" t="e">
        <f ca="1">IF(ABS(IF(controls!$B$45=1,$AL$13,AD438*AC438/AE438)-AF437)&lt;0.00001,AF437,IF(controls!$B$45=1,$AL$13,AD438*AC438/AE438))</f>
        <v>#DIV/0!</v>
      </c>
      <c r="AG438" s="49">
        <f>IF(controls!$B$46=0,0,IF(controls!$B$33=2,B439-B438*V439-('normal case'!H439-D438*W439-'main page'!$K$27*'normal case'!M438+'main page'!$K$31*'normal case'!AB438)-(('main page'!$K$25*'main page'!$U$13*'main page'!$K$29)/(1+('main page'!$K$25^2)*'main page'!$U$13))*('normal case'!L438-'main page'!$U$8),B439-B438*V439-('normal case'!I439-D438*W439-'main page'!$K$27*'normal case'!M438+'main page'!$K$31*'normal case'!AB438)-(('main page'!$K$25*'main page'!$U$13*'main page'!$K$29)/(1+('main page'!$K$25^2)*'main page'!$U$13))*('normal case'!L438-'main page'!$U$8)))</f>
        <v>0</v>
      </c>
      <c r="AN438" s="40"/>
      <c r="AO438" s="40"/>
    </row>
    <row r="439" spans="1:41">
      <c r="A439" s="48">
        <v>437</v>
      </c>
      <c r="B439" s="75">
        <f ca="1">IF(controls!$B$33=1,B438*(1+V439)+T439,B438*(1+V439))</f>
        <v>100</v>
      </c>
      <c r="C439" s="80">
        <f t="shared" ca="1" si="46"/>
        <v>0</v>
      </c>
      <c r="D439" s="77">
        <f t="shared" ca="1" si="42"/>
        <v>100</v>
      </c>
      <c r="E439" s="77">
        <f ca="1">AG438+IF(controls!$B$33=1,G439,F439)</f>
        <v>100</v>
      </c>
      <c r="F439" s="94">
        <f ca="1">IF(controls!$B$44=0,H439-'main page'!$K$27*M438,H439-'main page'!$K$27*M438+'main page'!$K$31*AB438)</f>
        <v>100</v>
      </c>
      <c r="G439" s="75">
        <f ca="1">IF(controls!$B$44=0,I439-'main page'!$K$27*M438,I439-'main page'!$K$27*M438+'main page'!$K$31*'normal case'!AB438)</f>
        <v>100</v>
      </c>
      <c r="H439" s="75">
        <f t="shared" ca="1" si="47"/>
        <v>108</v>
      </c>
      <c r="I439" s="75">
        <f t="shared" ca="1" si="48"/>
        <v>108</v>
      </c>
      <c r="L439" s="75">
        <f ca="1">IF(ABS('main page'!$K$29*L438+(1-'main page'!$K$29)*(controls!$B$9/100)*100+'main page'!$K$25*(D439-B439)-L438)&lt;0.0000001,L438,'main page'!$K$29*L438+(1-'main page'!$K$29)*(controls!$B$9/100)*100+'main page'!$K$25*(D439-B439))</f>
        <v>2</v>
      </c>
      <c r="M439" s="96">
        <f ca="1">IF(controls!$B$10=1,M438,IF(SUM(controls!$B$44:$B$46)=2,N439-'main page'!$K$29*'normal case'!L439-(1-'main page'!$K$29)*'main page'!$K$32,N439-'main page'!$K$29*'normal case'!L439-(1-'main page'!$K$29)*controls!$B$9))</f>
        <v>4</v>
      </c>
      <c r="N439" s="208">
        <f ca="1">IF(controls!$B$45=1,IF(controls!$B$46=1,'main page'!$K$24+'main page'!$K$11+'main page'!$U$8,'main page'!$K$24+'main page'!$K$11+'main page'!$K$32),IF(controls!$B$44=1,IF(O439&lt;0,0,O439),IF(O439+'main page'!$K$11&lt;0,0,O439+'main page'!$K$11)))</f>
        <v>6</v>
      </c>
      <c r="O439" s="76">
        <f ca="1">IF(controls!$B$10=1,'normal case'!M439+'normal case'!L439,'normal case'!P439)</f>
        <v>6</v>
      </c>
      <c r="P439" s="74">
        <f t="shared" ca="1" si="43"/>
        <v>6</v>
      </c>
      <c r="Q439" s="210">
        <f ca="1">IF(controls!$B$44=0,R439+'main page'!$K$29*L439+(1-'main page'!$K$29)*controls!$B$9+(('main page'!$K$25*'main page'!$U$13*'main page'!$K$29)/('main page'!$K$27*(1+('main page'!$K$25^2)*'main page'!$U$13)))*(L439-controls!$B$9),R439+'main page'!$K$29*L439+(1-'main page'!$K$29)*controls!$B$9+(('main page'!$K$25*'main page'!$U$13*'normal case'!$AO$3)/'normal case'!$AO$4)*('normal case'!L439-controls!$B$9))</f>
        <v>6</v>
      </c>
      <c r="R439" s="98">
        <f ca="1">IF(controls!$B$44=1,'main page'!$K$24+'main page'!$K$11,IF(controls!$B$33=1,((I440-D439*W440-B440+B439*V440)/'main page'!$K$27)-'main page'!$K$11,((H440-D439*W440-B440+B439*V440)/'main page'!$K$27)-'main page'!$K$11))</f>
        <v>4</v>
      </c>
      <c r="T439" s="71">
        <f>IF(controls!$B$6=1,$AL$3*(1+('main page'!$K$35/100))^U439-$AL$3*(1+('main page'!$K$35/100))^U438,$AL$3*(1+('main page'!$G$8/100))*(1+('main page'!$K$35/100))^U439-$AL$3*(1+('main page'!$G$8/100))*(1+('main page'!$K$35/100))^U438)</f>
        <v>0</v>
      </c>
      <c r="U439" s="73">
        <v>432</v>
      </c>
      <c r="V439" s="161">
        <v>0</v>
      </c>
      <c r="W439" s="40">
        <v>0</v>
      </c>
      <c r="X439" s="49">
        <f ca="1">IF(controls!$B$33=1,D439-($I$3-'main page'!$K$27*2)*(1+('main page'!$K$35/100))^A438,D439-$AL$4)</f>
        <v>0</v>
      </c>
      <c r="Y439" s="49">
        <f ca="1">ABS(L439-(controls!$B$9/100)*100)</f>
        <v>0</v>
      </c>
      <c r="AA439" s="49" t="e">
        <f ca="1">IF(controls!$B$33=1,(B440-B439*V440-I440+D439*W440+'main page'!$K$27*('main page'!$K$24+'main page'!$K$11))/'main page'!$K$31,(B440-B439*V440+D439*W440-H440+'main page'!$K$27*('main page'!$K$24+'main page'!$K$11))/'main page'!$K$31)</f>
        <v>#DIV/0!</v>
      </c>
      <c r="AB439" s="49" t="e">
        <f ca="1">IF(controls!$B$45=1,LOG(AF439,1.01)+LOG(AE439,1.01)-LOG(AD439,1.01),-((M439-('main page'!$K$24+'main page'!$K$11))/(1-'normal case'!$AO$3))+'normal case'!AA439)</f>
        <v>#DIV/0!</v>
      </c>
      <c r="AC439" s="176" t="e">
        <f t="shared" ca="1" si="44"/>
        <v>#DIV/0!</v>
      </c>
      <c r="AD439" s="49">
        <f t="shared" ca="1" si="45"/>
        <v>5619.2051535595974</v>
      </c>
      <c r="AE439" s="49">
        <f>AE438*(1+'main page'!$K$32/100)</f>
        <v>1</v>
      </c>
      <c r="AF439" s="49" t="e">
        <f ca="1">IF(ABS(IF(controls!$B$45=1,$AL$13,AD439*AC439/AE439)-AF438)&lt;0.00001,AF438,IF(controls!$B$45=1,$AL$13,AD439*AC439/AE439))</f>
        <v>#DIV/0!</v>
      </c>
      <c r="AG439" s="49">
        <f>IF(controls!$B$46=0,0,IF(controls!$B$33=2,B440-B439*V440-('normal case'!H440-D439*W440-'main page'!$K$27*'normal case'!M439+'main page'!$K$31*'normal case'!AB439)-(('main page'!$K$25*'main page'!$U$13*'main page'!$K$29)/(1+('main page'!$K$25^2)*'main page'!$U$13))*('normal case'!L439-'main page'!$U$8),B440-B439*V440-('normal case'!I440-D439*W440-'main page'!$K$27*'normal case'!M439+'main page'!$K$31*'normal case'!AB439)-(('main page'!$K$25*'main page'!$U$13*'main page'!$K$29)/(1+('main page'!$K$25^2)*'main page'!$U$13))*('normal case'!L439-'main page'!$U$8)))</f>
        <v>0</v>
      </c>
      <c r="AN439" s="40"/>
      <c r="AO439" s="40"/>
    </row>
    <row r="440" spans="1:41">
      <c r="A440" s="48">
        <v>438</v>
      </c>
      <c r="B440" s="75">
        <f ca="1">IF(controls!$B$33=1,B439*(1+V440)+T440,B439*(1+V440))</f>
        <v>100</v>
      </c>
      <c r="C440" s="80">
        <f t="shared" ca="1" si="46"/>
        <v>0</v>
      </c>
      <c r="D440" s="77">
        <f t="shared" ca="1" si="42"/>
        <v>100</v>
      </c>
      <c r="E440" s="77">
        <f ca="1">AG439+IF(controls!$B$33=1,G440,F440)</f>
        <v>100</v>
      </c>
      <c r="F440" s="94">
        <f ca="1">IF(controls!$B$44=0,H440-'main page'!$K$27*M439,H440-'main page'!$K$27*M439+'main page'!$K$31*AB439)</f>
        <v>100</v>
      </c>
      <c r="G440" s="75">
        <f ca="1">IF(controls!$B$44=0,I440-'main page'!$K$27*M439,I440-'main page'!$K$27*M439+'main page'!$K$31*'normal case'!AB439)</f>
        <v>100</v>
      </c>
      <c r="H440" s="75">
        <f t="shared" ca="1" si="47"/>
        <v>108</v>
      </c>
      <c r="I440" s="75">
        <f t="shared" ca="1" si="48"/>
        <v>108</v>
      </c>
      <c r="L440" s="75">
        <f ca="1">IF(ABS('main page'!$K$29*L439+(1-'main page'!$K$29)*(controls!$B$9/100)*100+'main page'!$K$25*(D440-B440)-L439)&lt;0.0000001,L439,'main page'!$K$29*L439+(1-'main page'!$K$29)*(controls!$B$9/100)*100+'main page'!$K$25*(D440-B440))</f>
        <v>2</v>
      </c>
      <c r="M440" s="96">
        <f ca="1">IF(controls!$B$10=1,M439,IF(SUM(controls!$B$44:$B$46)=2,N440-'main page'!$K$29*'normal case'!L440-(1-'main page'!$K$29)*'main page'!$K$32,N440-'main page'!$K$29*'normal case'!L440-(1-'main page'!$K$29)*controls!$B$9))</f>
        <v>4</v>
      </c>
      <c r="N440" s="208">
        <f ca="1">IF(controls!$B$45=1,IF(controls!$B$46=1,'main page'!$K$24+'main page'!$K$11+'main page'!$U$8,'main page'!$K$24+'main page'!$K$11+'main page'!$K$32),IF(controls!$B$44=1,IF(O440&lt;0,0,O440),IF(O440+'main page'!$K$11&lt;0,0,O440+'main page'!$K$11)))</f>
        <v>6</v>
      </c>
      <c r="O440" s="76">
        <f ca="1">IF(controls!$B$10=1,'normal case'!M440+'normal case'!L440,'normal case'!P440)</f>
        <v>6</v>
      </c>
      <c r="P440" s="74">
        <f t="shared" ca="1" si="43"/>
        <v>6</v>
      </c>
      <c r="Q440" s="210">
        <f ca="1">IF(controls!$B$44=0,R440+'main page'!$K$29*L440+(1-'main page'!$K$29)*controls!$B$9+(('main page'!$K$25*'main page'!$U$13*'main page'!$K$29)/('main page'!$K$27*(1+('main page'!$K$25^2)*'main page'!$U$13)))*(L440-controls!$B$9),R440+'main page'!$K$29*L440+(1-'main page'!$K$29)*controls!$B$9+(('main page'!$K$25*'main page'!$U$13*'normal case'!$AO$3)/'normal case'!$AO$4)*('normal case'!L440-controls!$B$9))</f>
        <v>6</v>
      </c>
      <c r="R440" s="98">
        <f ca="1">IF(controls!$B$44=1,'main page'!$K$24+'main page'!$K$11,IF(controls!$B$33=1,((I441-D440*W441-B441+B440*V441)/'main page'!$K$27)-'main page'!$K$11,((H441-D440*W441-B441+B440*V441)/'main page'!$K$27)-'main page'!$K$11))</f>
        <v>4</v>
      </c>
      <c r="T440" s="71">
        <f>IF(controls!$B$6=1,$AL$3*(1+('main page'!$K$35/100))^U440-$AL$3*(1+('main page'!$K$35/100))^U439,$AL$3*(1+('main page'!$G$8/100))*(1+('main page'!$K$35/100))^U440-$AL$3*(1+('main page'!$G$8/100))*(1+('main page'!$K$35/100))^U439)</f>
        <v>0</v>
      </c>
      <c r="U440" s="73">
        <v>433</v>
      </c>
      <c r="V440" s="161">
        <f ca="1">IF(controls!$B$4=1,IF(controls!$H439=1,controls!$B$34*V439+RAND()*('main page'!$K$16/100)-RAND()*('main page'!$K$16/100),0),0)</f>
        <v>0</v>
      </c>
      <c r="W440" s="40">
        <f ca="1">IF(controls!$B$4=1,IF(controls!$I439=1,controls!$B$34*W439+RAND()*('main page'!$K$16/100)-RAND()*('main page'!$K$16/100),0),0)</f>
        <v>0</v>
      </c>
      <c r="X440" s="49">
        <f ca="1">IF(controls!$B$33=1,D440-($I$3-'main page'!$K$27*2)*(1+('main page'!$K$35/100))^A439,D440-$AL$4)</f>
        <v>0</v>
      </c>
      <c r="Y440" s="49">
        <f ca="1">ABS(L440-(controls!$B$9/100)*100)</f>
        <v>0</v>
      </c>
      <c r="AA440" s="49" t="e">
        <f ca="1">IF(controls!$B$33=1,(B441-B440*V441-I441+D440*W441+'main page'!$K$27*('main page'!$K$24+'main page'!$K$11))/'main page'!$K$31,(B441-B440*V441+D440*W441-H441+'main page'!$K$27*('main page'!$K$24+'main page'!$K$11))/'main page'!$K$31)</f>
        <v>#DIV/0!</v>
      </c>
      <c r="AB440" s="49" t="e">
        <f ca="1">IF(controls!$B$45=1,LOG(AF440,1.01)+LOG(AE440,1.01)-LOG(AD440,1.01),-((M440-('main page'!$K$24+'main page'!$K$11))/(1-'normal case'!$AO$3))+'normal case'!AA440)</f>
        <v>#DIV/0!</v>
      </c>
      <c r="AC440" s="176" t="e">
        <f t="shared" ca="1" si="44"/>
        <v>#DIV/0!</v>
      </c>
      <c r="AD440" s="49">
        <f t="shared" ca="1" si="45"/>
        <v>5731.5892566307894</v>
      </c>
      <c r="AE440" s="49">
        <f>AE439*(1+'main page'!$K$32/100)</f>
        <v>1</v>
      </c>
      <c r="AF440" s="49" t="e">
        <f ca="1">IF(ABS(IF(controls!$B$45=1,$AL$13,AD440*AC440/AE440)-AF439)&lt;0.00001,AF439,IF(controls!$B$45=1,$AL$13,AD440*AC440/AE440))</f>
        <v>#DIV/0!</v>
      </c>
      <c r="AG440" s="49">
        <f>IF(controls!$B$46=0,0,IF(controls!$B$33=2,B441-B440*V441-('normal case'!H441-D440*W441-'main page'!$K$27*'normal case'!M440+'main page'!$K$31*'normal case'!AB440)-(('main page'!$K$25*'main page'!$U$13*'main page'!$K$29)/(1+('main page'!$K$25^2)*'main page'!$U$13))*('normal case'!L440-'main page'!$U$8),B441-B440*V441-('normal case'!I441-D440*W441-'main page'!$K$27*'normal case'!M440+'main page'!$K$31*'normal case'!AB440)-(('main page'!$K$25*'main page'!$U$13*'main page'!$K$29)/(1+('main page'!$K$25^2)*'main page'!$U$13))*('normal case'!L440-'main page'!$U$8)))</f>
        <v>0</v>
      </c>
      <c r="AN440" s="40"/>
      <c r="AO440" s="40"/>
    </row>
    <row r="441" spans="1:41">
      <c r="A441" s="48">
        <v>439</v>
      </c>
      <c r="B441" s="75">
        <f ca="1">IF(controls!$B$33=1,B440*(1+V441)+T441,B440*(1+V441))</f>
        <v>100</v>
      </c>
      <c r="C441" s="80">
        <f t="shared" ca="1" si="46"/>
        <v>0</v>
      </c>
      <c r="D441" s="77">
        <f t="shared" ca="1" si="42"/>
        <v>100</v>
      </c>
      <c r="E441" s="77">
        <f ca="1">AG440+IF(controls!$B$33=1,G441,F441)</f>
        <v>100</v>
      </c>
      <c r="F441" s="94">
        <f ca="1">IF(controls!$B$44=0,H441-'main page'!$K$27*M440,H441-'main page'!$K$27*M440+'main page'!$K$31*AB440)</f>
        <v>100</v>
      </c>
      <c r="G441" s="75">
        <f ca="1">IF(controls!$B$44=0,I441-'main page'!$K$27*M440,I441-'main page'!$K$27*M440+'main page'!$K$31*'normal case'!AB440)</f>
        <v>100</v>
      </c>
      <c r="H441" s="75">
        <f t="shared" ca="1" si="47"/>
        <v>108</v>
      </c>
      <c r="I441" s="75">
        <f t="shared" ca="1" si="48"/>
        <v>108</v>
      </c>
      <c r="L441" s="75">
        <f ca="1">IF(ABS('main page'!$K$29*L440+(1-'main page'!$K$29)*(controls!$B$9/100)*100+'main page'!$K$25*(D441-B441)-L440)&lt;0.0000001,L440,'main page'!$K$29*L440+(1-'main page'!$K$29)*(controls!$B$9/100)*100+'main page'!$K$25*(D441-B441))</f>
        <v>2</v>
      </c>
      <c r="M441" s="96">
        <f ca="1">IF(controls!$B$10=1,M440,IF(SUM(controls!$B$44:$B$46)=2,N441-'main page'!$K$29*'normal case'!L441-(1-'main page'!$K$29)*'main page'!$K$32,N441-'main page'!$K$29*'normal case'!L441-(1-'main page'!$K$29)*controls!$B$9))</f>
        <v>4</v>
      </c>
      <c r="N441" s="208">
        <f ca="1">IF(controls!$B$45=1,IF(controls!$B$46=1,'main page'!$K$24+'main page'!$K$11+'main page'!$U$8,'main page'!$K$24+'main page'!$K$11+'main page'!$K$32),IF(controls!$B$44=1,IF(O441&lt;0,0,O441),IF(O441+'main page'!$K$11&lt;0,0,O441+'main page'!$K$11)))</f>
        <v>6</v>
      </c>
      <c r="O441" s="76">
        <f ca="1">IF(controls!$B$10=1,'normal case'!M441+'normal case'!L441,'normal case'!P441)</f>
        <v>6</v>
      </c>
      <c r="P441" s="74">
        <f t="shared" ca="1" si="43"/>
        <v>6</v>
      </c>
      <c r="Q441" s="210">
        <f ca="1">IF(controls!$B$44=0,R441+'main page'!$K$29*L441+(1-'main page'!$K$29)*controls!$B$9+(('main page'!$K$25*'main page'!$U$13*'main page'!$K$29)/('main page'!$K$27*(1+('main page'!$K$25^2)*'main page'!$U$13)))*(L441-controls!$B$9),R441+'main page'!$K$29*L441+(1-'main page'!$K$29)*controls!$B$9+(('main page'!$K$25*'main page'!$U$13*'normal case'!$AO$3)/'normal case'!$AO$4)*('normal case'!L441-controls!$B$9))</f>
        <v>6</v>
      </c>
      <c r="R441" s="98">
        <f ca="1">IF(controls!$B$44=1,'main page'!$K$24+'main page'!$K$11,IF(controls!$B$33=1,((I442-D441*W442-B442+B441*V442)/'main page'!$K$27)-'main page'!$K$11,((H442-D441*W442-B442+B441*V442)/'main page'!$K$27)-'main page'!$K$11))</f>
        <v>4</v>
      </c>
      <c r="T441" s="71">
        <f>IF(controls!$B$6=1,$AL$3*(1+('main page'!$K$35/100))^U441-$AL$3*(1+('main page'!$K$35/100))^U440,$AL$3*(1+('main page'!$G$8/100))*(1+('main page'!$K$35/100))^U441-$AL$3*(1+('main page'!$G$8/100))*(1+('main page'!$K$35/100))^U440)</f>
        <v>0</v>
      </c>
      <c r="U441" s="73">
        <v>434</v>
      </c>
      <c r="V441" s="161">
        <v>0</v>
      </c>
      <c r="W441" s="40">
        <v>0</v>
      </c>
      <c r="X441" s="49">
        <f ca="1">IF(controls!$B$33=1,D441-($I$3-'main page'!$K$27*2)*(1+('main page'!$K$35/100))^A440,D441-$AL$4)</f>
        <v>0</v>
      </c>
      <c r="Y441" s="49">
        <f ca="1">ABS(L441-(controls!$B$9/100)*100)</f>
        <v>0</v>
      </c>
      <c r="AA441" s="49" t="e">
        <f ca="1">IF(controls!$B$33=1,(B442-B441*V442-I442+D441*W442+'main page'!$K$27*('main page'!$K$24+'main page'!$K$11))/'main page'!$K$31,(B442-B441*V442+D441*W442-H442+'main page'!$K$27*('main page'!$K$24+'main page'!$K$11))/'main page'!$K$31)</f>
        <v>#DIV/0!</v>
      </c>
      <c r="AB441" s="49" t="e">
        <f ca="1">IF(controls!$B$45=1,LOG(AF441,1.01)+LOG(AE441,1.01)-LOG(AD441,1.01),-((M441-('main page'!$K$24+'main page'!$K$11))/(1-'normal case'!$AO$3))+'normal case'!AA441)</f>
        <v>#DIV/0!</v>
      </c>
      <c r="AC441" s="176" t="e">
        <f t="shared" ca="1" si="44"/>
        <v>#DIV/0!</v>
      </c>
      <c r="AD441" s="49">
        <f t="shared" ca="1" si="45"/>
        <v>5846.2210417634051</v>
      </c>
      <c r="AE441" s="49">
        <f>AE440*(1+'main page'!$K$32/100)</f>
        <v>1</v>
      </c>
      <c r="AF441" s="49" t="e">
        <f ca="1">IF(ABS(IF(controls!$B$45=1,$AL$13,AD441*AC441/AE441)-AF440)&lt;0.00001,AF440,IF(controls!$B$45=1,$AL$13,AD441*AC441/AE441))</f>
        <v>#DIV/0!</v>
      </c>
      <c r="AG441" s="49">
        <f>IF(controls!$B$46=0,0,IF(controls!$B$33=2,B442-B441*V442-('normal case'!H442-D441*W442-'main page'!$K$27*'normal case'!M441+'main page'!$K$31*'normal case'!AB441)-(('main page'!$K$25*'main page'!$U$13*'main page'!$K$29)/(1+('main page'!$K$25^2)*'main page'!$U$13))*('normal case'!L441-'main page'!$U$8),B442-B441*V442-('normal case'!I442-D441*W442-'main page'!$K$27*'normal case'!M441+'main page'!$K$31*'normal case'!AB441)-(('main page'!$K$25*'main page'!$U$13*'main page'!$K$29)/(1+('main page'!$K$25^2)*'main page'!$U$13))*('normal case'!L441-'main page'!$U$8)))</f>
        <v>0</v>
      </c>
      <c r="AN441" s="40"/>
      <c r="AO441" s="40"/>
    </row>
    <row r="442" spans="1:41">
      <c r="A442" s="48">
        <v>440</v>
      </c>
      <c r="B442" s="75">
        <f ca="1">IF(controls!$B$33=1,B441*(1+V442)+T442,B441*(1+V442))</f>
        <v>100</v>
      </c>
      <c r="C442" s="80">
        <f t="shared" ca="1" si="46"/>
        <v>0</v>
      </c>
      <c r="D442" s="77">
        <f t="shared" ca="1" si="42"/>
        <v>100</v>
      </c>
      <c r="E442" s="77">
        <f ca="1">AG441+IF(controls!$B$33=1,G442,F442)</f>
        <v>100</v>
      </c>
      <c r="F442" s="94">
        <f ca="1">IF(controls!$B$44=0,H442-'main page'!$K$27*M441,H442-'main page'!$K$27*M441+'main page'!$K$31*AB441)</f>
        <v>100</v>
      </c>
      <c r="G442" s="75">
        <f ca="1">IF(controls!$B$44=0,I442-'main page'!$K$27*M441,I442-'main page'!$K$27*M441+'main page'!$K$31*'normal case'!AB441)</f>
        <v>100</v>
      </c>
      <c r="H442" s="75">
        <f t="shared" ca="1" si="47"/>
        <v>108</v>
      </c>
      <c r="I442" s="75">
        <f t="shared" ca="1" si="48"/>
        <v>108</v>
      </c>
      <c r="L442" s="75">
        <f ca="1">IF(ABS('main page'!$K$29*L441+(1-'main page'!$K$29)*(controls!$B$9/100)*100+'main page'!$K$25*(D442-B442)-L441)&lt;0.0000001,L441,'main page'!$K$29*L441+(1-'main page'!$K$29)*(controls!$B$9/100)*100+'main page'!$K$25*(D442-B442))</f>
        <v>2</v>
      </c>
      <c r="M442" s="96">
        <f ca="1">IF(controls!$B$10=1,M441,IF(SUM(controls!$B$44:$B$46)=2,N442-'main page'!$K$29*'normal case'!L442-(1-'main page'!$K$29)*'main page'!$K$32,N442-'main page'!$K$29*'normal case'!L442-(1-'main page'!$K$29)*controls!$B$9))</f>
        <v>4</v>
      </c>
      <c r="N442" s="208">
        <f ca="1">IF(controls!$B$45=1,IF(controls!$B$46=1,'main page'!$K$24+'main page'!$K$11+'main page'!$U$8,'main page'!$K$24+'main page'!$K$11+'main page'!$K$32),IF(controls!$B$44=1,IF(O442&lt;0,0,O442),IF(O442+'main page'!$K$11&lt;0,0,O442+'main page'!$K$11)))</f>
        <v>6</v>
      </c>
      <c r="O442" s="76">
        <f ca="1">IF(controls!$B$10=1,'normal case'!M442+'normal case'!L442,'normal case'!P442)</f>
        <v>6</v>
      </c>
      <c r="P442" s="74">
        <f t="shared" ca="1" si="43"/>
        <v>6</v>
      </c>
      <c r="Q442" s="210">
        <f ca="1">IF(controls!$B$44=0,R442+'main page'!$K$29*L442+(1-'main page'!$K$29)*controls!$B$9+(('main page'!$K$25*'main page'!$U$13*'main page'!$K$29)/('main page'!$K$27*(1+('main page'!$K$25^2)*'main page'!$U$13)))*(L442-controls!$B$9),R442+'main page'!$K$29*L442+(1-'main page'!$K$29)*controls!$B$9+(('main page'!$K$25*'main page'!$U$13*'normal case'!$AO$3)/'normal case'!$AO$4)*('normal case'!L442-controls!$B$9))</f>
        <v>6</v>
      </c>
      <c r="R442" s="98">
        <f ca="1">IF(controls!$B$44=1,'main page'!$K$24+'main page'!$K$11,IF(controls!$B$33=1,((I443-D442*W443-B443+B442*V443)/'main page'!$K$27)-'main page'!$K$11,((H443-D442*W443-B443+B442*V443)/'main page'!$K$27)-'main page'!$K$11))</f>
        <v>4</v>
      </c>
      <c r="T442" s="71">
        <f>IF(controls!$B$6=1,$AL$3*(1+('main page'!$K$35/100))^U442-$AL$3*(1+('main page'!$K$35/100))^U441,$AL$3*(1+('main page'!$G$8/100))*(1+('main page'!$K$35/100))^U442-$AL$3*(1+('main page'!$G$8/100))*(1+('main page'!$K$35/100))^U441)</f>
        <v>0</v>
      </c>
      <c r="U442" s="73">
        <v>435</v>
      </c>
      <c r="V442" s="161">
        <v>0</v>
      </c>
      <c r="W442" s="40">
        <v>0</v>
      </c>
      <c r="X442" s="49">
        <f ca="1">IF(controls!$B$33=1,D442-($I$3-'main page'!$K$27*2)*(1+('main page'!$K$35/100))^A441,D442-$AL$4)</f>
        <v>0</v>
      </c>
      <c r="Y442" s="49">
        <f ca="1">ABS(L442-(controls!$B$9/100)*100)</f>
        <v>0</v>
      </c>
      <c r="AA442" s="49" t="e">
        <f ca="1">IF(controls!$B$33=1,(B443-B442*V443-I443+D442*W443+'main page'!$K$27*('main page'!$K$24+'main page'!$K$11))/'main page'!$K$31,(B443-B442*V443+D442*W443-H443+'main page'!$K$27*('main page'!$K$24+'main page'!$K$11))/'main page'!$K$31)</f>
        <v>#DIV/0!</v>
      </c>
      <c r="AB442" s="49" t="e">
        <f ca="1">IF(controls!$B$45=1,LOG(AF442,1.01)+LOG(AE442,1.01)-LOG(AD442,1.01),-((M442-('main page'!$K$24+'main page'!$K$11))/(1-'normal case'!$AO$3))+'normal case'!AA442)</f>
        <v>#DIV/0!</v>
      </c>
      <c r="AC442" s="176" t="e">
        <f t="shared" ca="1" si="44"/>
        <v>#DIV/0!</v>
      </c>
      <c r="AD442" s="49">
        <f t="shared" ca="1" si="45"/>
        <v>5963.1454625986735</v>
      </c>
      <c r="AE442" s="49">
        <f>AE441*(1+'main page'!$K$32/100)</f>
        <v>1</v>
      </c>
      <c r="AF442" s="49" t="e">
        <f ca="1">IF(ABS(IF(controls!$B$45=1,$AL$13,AD442*AC442/AE442)-AF441)&lt;0.00001,AF441,IF(controls!$B$45=1,$AL$13,AD442*AC442/AE442))</f>
        <v>#DIV/0!</v>
      </c>
      <c r="AG442" s="49">
        <f>IF(controls!$B$46=0,0,IF(controls!$B$33=2,B443-B442*V443-('normal case'!H443-D442*W443-'main page'!$K$27*'normal case'!M442+'main page'!$K$31*'normal case'!AB442)-(('main page'!$K$25*'main page'!$U$13*'main page'!$K$29)/(1+('main page'!$K$25^2)*'main page'!$U$13))*('normal case'!L442-'main page'!$U$8),B443-B442*V443-('normal case'!I443-D442*W443-'main page'!$K$27*'normal case'!M442+'main page'!$K$31*'normal case'!AB442)-(('main page'!$K$25*'main page'!$U$13*'main page'!$K$29)/(1+('main page'!$K$25^2)*'main page'!$U$13))*('normal case'!L442-'main page'!$U$8)))</f>
        <v>0</v>
      </c>
      <c r="AN442" s="40"/>
      <c r="AO442" s="40"/>
    </row>
    <row r="443" spans="1:41">
      <c r="A443" s="48">
        <v>441</v>
      </c>
      <c r="B443" s="75">
        <f ca="1">IF(controls!$B$33=1,B442*(1+V443)+T443,B442*(1+V443))</f>
        <v>100</v>
      </c>
      <c r="C443" s="80">
        <f t="shared" ca="1" si="46"/>
        <v>0</v>
      </c>
      <c r="D443" s="77">
        <f t="shared" ca="1" si="42"/>
        <v>100</v>
      </c>
      <c r="E443" s="77">
        <f ca="1">AG442+IF(controls!$B$33=1,G443,F443)</f>
        <v>100</v>
      </c>
      <c r="F443" s="94">
        <f ca="1">IF(controls!$B$44=0,H443-'main page'!$K$27*M442,H443-'main page'!$K$27*M442+'main page'!$K$31*AB442)</f>
        <v>100</v>
      </c>
      <c r="G443" s="75">
        <f ca="1">IF(controls!$B$44=0,I443-'main page'!$K$27*M442,I443-'main page'!$K$27*M442+'main page'!$K$31*'normal case'!AB442)</f>
        <v>100</v>
      </c>
      <c r="H443" s="75">
        <f t="shared" ca="1" si="47"/>
        <v>108</v>
      </c>
      <c r="I443" s="75">
        <f t="shared" ca="1" si="48"/>
        <v>108</v>
      </c>
      <c r="L443" s="75">
        <f ca="1">IF(ABS('main page'!$K$29*L442+(1-'main page'!$K$29)*(controls!$B$9/100)*100+'main page'!$K$25*(D443-B443)-L442)&lt;0.0000001,L442,'main page'!$K$29*L442+(1-'main page'!$K$29)*(controls!$B$9/100)*100+'main page'!$K$25*(D443-B443))</f>
        <v>2</v>
      </c>
      <c r="M443" s="96">
        <f ca="1">IF(controls!$B$10=1,M442,IF(SUM(controls!$B$44:$B$46)=2,N443-'main page'!$K$29*'normal case'!L443-(1-'main page'!$K$29)*'main page'!$K$32,N443-'main page'!$K$29*'normal case'!L443-(1-'main page'!$K$29)*controls!$B$9))</f>
        <v>4</v>
      </c>
      <c r="N443" s="208">
        <f ca="1">IF(controls!$B$45=1,IF(controls!$B$46=1,'main page'!$K$24+'main page'!$K$11+'main page'!$U$8,'main page'!$K$24+'main page'!$K$11+'main page'!$K$32),IF(controls!$B$44=1,IF(O443&lt;0,0,O443),IF(O443+'main page'!$K$11&lt;0,0,O443+'main page'!$K$11)))</f>
        <v>6</v>
      </c>
      <c r="O443" s="76">
        <f ca="1">IF(controls!$B$10=1,'normal case'!M443+'normal case'!L443,'normal case'!P443)</f>
        <v>6</v>
      </c>
      <c r="P443" s="74">
        <f t="shared" ca="1" si="43"/>
        <v>6</v>
      </c>
      <c r="Q443" s="210">
        <f ca="1">IF(controls!$B$44=0,R443+'main page'!$K$29*L443+(1-'main page'!$K$29)*controls!$B$9+(('main page'!$K$25*'main page'!$U$13*'main page'!$K$29)/('main page'!$K$27*(1+('main page'!$K$25^2)*'main page'!$U$13)))*(L443-controls!$B$9),R443+'main page'!$K$29*L443+(1-'main page'!$K$29)*controls!$B$9+(('main page'!$K$25*'main page'!$U$13*'normal case'!$AO$3)/'normal case'!$AO$4)*('normal case'!L443-controls!$B$9))</f>
        <v>6</v>
      </c>
      <c r="R443" s="98">
        <f ca="1">IF(controls!$B$44=1,'main page'!$K$24+'main page'!$K$11,IF(controls!$B$33=1,((I444-D443*W444-B444+B443*V444)/'main page'!$K$27)-'main page'!$K$11,((H444-D443*W444-B444+B443*V444)/'main page'!$K$27)-'main page'!$K$11))</f>
        <v>4</v>
      </c>
      <c r="T443" s="71">
        <f>IF(controls!$B$6=1,$AL$3*(1+('main page'!$K$35/100))^U443-$AL$3*(1+('main page'!$K$35/100))^U442,$AL$3*(1+('main page'!$G$8/100))*(1+('main page'!$K$35/100))^U443-$AL$3*(1+('main page'!$G$8/100))*(1+('main page'!$K$35/100))^U442)</f>
        <v>0</v>
      </c>
      <c r="U443" s="73">
        <v>436</v>
      </c>
      <c r="V443" s="161">
        <f ca="1">IF(controls!$B$4=1,IF(controls!$H442=1,controls!$B$34*V442+RAND()*('main page'!$K$16/100)-RAND()*('main page'!$K$16/100),0),0)</f>
        <v>0</v>
      </c>
      <c r="W443" s="40">
        <f ca="1">IF(controls!$B$4=1,IF(controls!$I442=1,controls!$B$34*W442+RAND()*('main page'!$K$16/100)-RAND()*('main page'!$K$16/100),0),0)</f>
        <v>0</v>
      </c>
      <c r="X443" s="49">
        <f ca="1">IF(controls!$B$33=1,D443-($I$3-'main page'!$K$27*2)*(1+('main page'!$K$35/100))^A442,D443-$AL$4)</f>
        <v>0</v>
      </c>
      <c r="Y443" s="49">
        <f ca="1">ABS(L443-(controls!$B$9/100)*100)</f>
        <v>0</v>
      </c>
      <c r="AA443" s="49" t="e">
        <f ca="1">IF(controls!$B$33=1,(B444-B443*V444-I444+D443*W444+'main page'!$K$27*('main page'!$K$24+'main page'!$K$11))/'main page'!$K$31,(B444-B443*V444+D443*W444-H444+'main page'!$K$27*('main page'!$K$24+'main page'!$K$11))/'main page'!$K$31)</f>
        <v>#DIV/0!</v>
      </c>
      <c r="AB443" s="49" t="e">
        <f ca="1">IF(controls!$B$45=1,LOG(AF443,1.01)+LOG(AE443,1.01)-LOG(AD443,1.01),-((M443-('main page'!$K$24+'main page'!$K$11))/(1-'normal case'!$AO$3))+'normal case'!AA443)</f>
        <v>#DIV/0!</v>
      </c>
      <c r="AC443" s="176" t="e">
        <f t="shared" ca="1" si="44"/>
        <v>#DIV/0!</v>
      </c>
      <c r="AD443" s="49">
        <f t="shared" ca="1" si="45"/>
        <v>6082.4083718506472</v>
      </c>
      <c r="AE443" s="49">
        <f>AE442*(1+'main page'!$K$32/100)</f>
        <v>1</v>
      </c>
      <c r="AF443" s="49" t="e">
        <f ca="1">IF(ABS(IF(controls!$B$45=1,$AL$13,AD443*AC443/AE443)-AF442)&lt;0.00001,AF442,IF(controls!$B$45=1,$AL$13,AD443*AC443/AE443))</f>
        <v>#DIV/0!</v>
      </c>
      <c r="AG443" s="49">
        <f>IF(controls!$B$46=0,0,IF(controls!$B$33=2,B444-B443*V444-('normal case'!H444-D443*W444-'main page'!$K$27*'normal case'!M443+'main page'!$K$31*'normal case'!AB443)-(('main page'!$K$25*'main page'!$U$13*'main page'!$K$29)/(1+('main page'!$K$25^2)*'main page'!$U$13))*('normal case'!L443-'main page'!$U$8),B444-B443*V444-('normal case'!I444-D443*W444-'main page'!$K$27*'normal case'!M443+'main page'!$K$31*'normal case'!AB443)-(('main page'!$K$25*'main page'!$U$13*'main page'!$K$29)/(1+('main page'!$K$25^2)*'main page'!$U$13))*('normal case'!L443-'main page'!$U$8)))</f>
        <v>0</v>
      </c>
      <c r="AN443" s="40"/>
      <c r="AO443" s="40"/>
    </row>
    <row r="444" spans="1:41">
      <c r="A444" s="48">
        <v>442</v>
      </c>
      <c r="B444" s="75">
        <f ca="1">IF(controls!$B$33=1,B443*(1+V444)+T444,B443*(1+V444))</f>
        <v>100</v>
      </c>
      <c r="C444" s="80">
        <f t="shared" ca="1" si="46"/>
        <v>0</v>
      </c>
      <c r="D444" s="77">
        <f t="shared" ca="1" si="42"/>
        <v>100</v>
      </c>
      <c r="E444" s="77">
        <f ca="1">AG443+IF(controls!$B$33=1,G444,F444)</f>
        <v>100</v>
      </c>
      <c r="F444" s="94">
        <f ca="1">IF(controls!$B$44=0,H444-'main page'!$K$27*M443,H444-'main page'!$K$27*M443+'main page'!$K$31*AB443)</f>
        <v>100</v>
      </c>
      <c r="G444" s="75">
        <f ca="1">IF(controls!$B$44=0,I444-'main page'!$K$27*M443,I444-'main page'!$K$27*M443+'main page'!$K$31*'normal case'!AB443)</f>
        <v>100</v>
      </c>
      <c r="H444" s="75">
        <f t="shared" ca="1" si="47"/>
        <v>108</v>
      </c>
      <c r="I444" s="75">
        <f t="shared" ca="1" si="48"/>
        <v>108</v>
      </c>
      <c r="L444" s="75">
        <f ca="1">IF(ABS('main page'!$K$29*L443+(1-'main page'!$K$29)*(controls!$B$9/100)*100+'main page'!$K$25*(D444-B444)-L443)&lt;0.0000001,L443,'main page'!$K$29*L443+(1-'main page'!$K$29)*(controls!$B$9/100)*100+'main page'!$K$25*(D444-B444))</f>
        <v>2</v>
      </c>
      <c r="M444" s="96">
        <f ca="1">IF(controls!$B$10=1,M443,IF(SUM(controls!$B$44:$B$46)=2,N444-'main page'!$K$29*'normal case'!L444-(1-'main page'!$K$29)*'main page'!$K$32,N444-'main page'!$K$29*'normal case'!L444-(1-'main page'!$K$29)*controls!$B$9))</f>
        <v>4</v>
      </c>
      <c r="N444" s="208">
        <f ca="1">IF(controls!$B$45=1,IF(controls!$B$46=1,'main page'!$K$24+'main page'!$K$11+'main page'!$U$8,'main page'!$K$24+'main page'!$K$11+'main page'!$K$32),IF(controls!$B$44=1,IF(O444&lt;0,0,O444),IF(O444+'main page'!$K$11&lt;0,0,O444+'main page'!$K$11)))</f>
        <v>6</v>
      </c>
      <c r="O444" s="76">
        <f ca="1">IF(controls!$B$10=1,'normal case'!M444+'normal case'!L444,'normal case'!P444)</f>
        <v>6</v>
      </c>
      <c r="P444" s="74">
        <f t="shared" ca="1" si="43"/>
        <v>6</v>
      </c>
      <c r="Q444" s="210">
        <f ca="1">IF(controls!$B$44=0,R444+'main page'!$K$29*L444+(1-'main page'!$K$29)*controls!$B$9+(('main page'!$K$25*'main page'!$U$13*'main page'!$K$29)/('main page'!$K$27*(1+('main page'!$K$25^2)*'main page'!$U$13)))*(L444-controls!$B$9),R444+'main page'!$K$29*L444+(1-'main page'!$K$29)*controls!$B$9+(('main page'!$K$25*'main page'!$U$13*'normal case'!$AO$3)/'normal case'!$AO$4)*('normal case'!L444-controls!$B$9))</f>
        <v>6</v>
      </c>
      <c r="R444" s="98">
        <f ca="1">IF(controls!$B$44=1,'main page'!$K$24+'main page'!$K$11,IF(controls!$B$33=1,((I445-D444*W445-B445+B444*V445)/'main page'!$K$27)-'main page'!$K$11,((H445-D444*W445-B445+B444*V445)/'main page'!$K$27)-'main page'!$K$11))</f>
        <v>4</v>
      </c>
      <c r="T444" s="71">
        <f>IF(controls!$B$6=1,$AL$3*(1+('main page'!$K$35/100))^U444-$AL$3*(1+('main page'!$K$35/100))^U443,$AL$3*(1+('main page'!$G$8/100))*(1+('main page'!$K$35/100))^U444-$AL$3*(1+('main page'!$G$8/100))*(1+('main page'!$K$35/100))^U443)</f>
        <v>0</v>
      </c>
      <c r="U444" s="73">
        <v>437</v>
      </c>
      <c r="V444" s="161">
        <v>0</v>
      </c>
      <c r="W444" s="40">
        <v>0</v>
      </c>
      <c r="X444" s="49">
        <f ca="1">IF(controls!$B$33=1,D444-($I$3-'main page'!$K$27*2)*(1+('main page'!$K$35/100))^A443,D444-$AL$4)</f>
        <v>0</v>
      </c>
      <c r="Y444" s="49">
        <f ca="1">ABS(L444-(controls!$B$9/100)*100)</f>
        <v>0</v>
      </c>
      <c r="AA444" s="49" t="e">
        <f ca="1">IF(controls!$B$33=1,(B445-B444*V445-I445+D444*W445+'main page'!$K$27*('main page'!$K$24+'main page'!$K$11))/'main page'!$K$31,(B445-B444*V445+D444*W445-H445+'main page'!$K$27*('main page'!$K$24+'main page'!$K$11))/'main page'!$K$31)</f>
        <v>#DIV/0!</v>
      </c>
      <c r="AB444" s="49" t="e">
        <f ca="1">IF(controls!$B$45=1,LOG(AF444,1.01)+LOG(AE444,1.01)-LOG(AD444,1.01),-((M444-('main page'!$K$24+'main page'!$K$11))/(1-'normal case'!$AO$3))+'normal case'!AA444)</f>
        <v>#DIV/0!</v>
      </c>
      <c r="AC444" s="176" t="e">
        <f t="shared" ca="1" si="44"/>
        <v>#DIV/0!</v>
      </c>
      <c r="AD444" s="49">
        <f t="shared" ca="1" si="45"/>
        <v>6204.0565392876606</v>
      </c>
      <c r="AE444" s="49">
        <f>AE443*(1+'main page'!$K$32/100)</f>
        <v>1</v>
      </c>
      <c r="AF444" s="49" t="e">
        <f ca="1">IF(ABS(IF(controls!$B$45=1,$AL$13,AD444*AC444/AE444)-AF443)&lt;0.00001,AF443,IF(controls!$B$45=1,$AL$13,AD444*AC444/AE444))</f>
        <v>#DIV/0!</v>
      </c>
      <c r="AG444" s="49">
        <f>IF(controls!$B$46=0,0,IF(controls!$B$33=2,B445-B444*V445-('normal case'!H445-D444*W445-'main page'!$K$27*'normal case'!M444+'main page'!$K$31*'normal case'!AB444)-(('main page'!$K$25*'main page'!$U$13*'main page'!$K$29)/(1+('main page'!$K$25^2)*'main page'!$U$13))*('normal case'!L444-'main page'!$U$8),B445-B444*V445-('normal case'!I445-D444*W445-'main page'!$K$27*'normal case'!M444+'main page'!$K$31*'normal case'!AB444)-(('main page'!$K$25*'main page'!$U$13*'main page'!$K$29)/(1+('main page'!$K$25^2)*'main page'!$U$13))*('normal case'!L444-'main page'!$U$8)))</f>
        <v>0</v>
      </c>
      <c r="AN444" s="40"/>
      <c r="AO444" s="40"/>
    </row>
    <row r="445" spans="1:41">
      <c r="A445" s="48">
        <v>443</v>
      </c>
      <c r="B445" s="75">
        <f ca="1">IF(controls!$B$33=1,B444*(1+V445)+T445,B444*(1+V445))</f>
        <v>100</v>
      </c>
      <c r="C445" s="80">
        <f t="shared" ca="1" si="46"/>
        <v>0</v>
      </c>
      <c r="D445" s="77">
        <f t="shared" ca="1" si="42"/>
        <v>100</v>
      </c>
      <c r="E445" s="77">
        <f ca="1">AG444+IF(controls!$B$33=1,G445,F445)</f>
        <v>100</v>
      </c>
      <c r="F445" s="94">
        <f ca="1">IF(controls!$B$44=0,H445-'main page'!$K$27*M444,H445-'main page'!$K$27*M444+'main page'!$K$31*AB444)</f>
        <v>100</v>
      </c>
      <c r="G445" s="75">
        <f ca="1">IF(controls!$B$44=0,I445-'main page'!$K$27*M444,I445-'main page'!$K$27*M444+'main page'!$K$31*'normal case'!AB444)</f>
        <v>100</v>
      </c>
      <c r="H445" s="75">
        <f t="shared" ca="1" si="47"/>
        <v>108</v>
      </c>
      <c r="I445" s="75">
        <f t="shared" ca="1" si="48"/>
        <v>108</v>
      </c>
      <c r="L445" s="75">
        <f ca="1">IF(ABS('main page'!$K$29*L444+(1-'main page'!$K$29)*(controls!$B$9/100)*100+'main page'!$K$25*(D445-B445)-L444)&lt;0.0000001,L444,'main page'!$K$29*L444+(1-'main page'!$K$29)*(controls!$B$9/100)*100+'main page'!$K$25*(D445-B445))</f>
        <v>2</v>
      </c>
      <c r="M445" s="96">
        <f ca="1">IF(controls!$B$10=1,M444,IF(SUM(controls!$B$44:$B$46)=2,N445-'main page'!$K$29*'normal case'!L445-(1-'main page'!$K$29)*'main page'!$K$32,N445-'main page'!$K$29*'normal case'!L445-(1-'main page'!$K$29)*controls!$B$9))</f>
        <v>4</v>
      </c>
      <c r="N445" s="208">
        <f ca="1">IF(controls!$B$45=1,IF(controls!$B$46=1,'main page'!$K$24+'main page'!$K$11+'main page'!$U$8,'main page'!$K$24+'main page'!$K$11+'main page'!$K$32),IF(controls!$B$44=1,IF(O445&lt;0,0,O445),IF(O445+'main page'!$K$11&lt;0,0,O445+'main page'!$K$11)))</f>
        <v>6</v>
      </c>
      <c r="O445" s="76">
        <f ca="1">IF(controls!$B$10=1,'normal case'!M445+'normal case'!L445,'normal case'!P445)</f>
        <v>6</v>
      </c>
      <c r="P445" s="74">
        <f t="shared" ca="1" si="43"/>
        <v>6</v>
      </c>
      <c r="Q445" s="210">
        <f ca="1">IF(controls!$B$44=0,R445+'main page'!$K$29*L445+(1-'main page'!$K$29)*controls!$B$9+(('main page'!$K$25*'main page'!$U$13*'main page'!$K$29)/('main page'!$K$27*(1+('main page'!$K$25^2)*'main page'!$U$13)))*(L445-controls!$B$9),R445+'main page'!$K$29*L445+(1-'main page'!$K$29)*controls!$B$9+(('main page'!$K$25*'main page'!$U$13*'normal case'!$AO$3)/'normal case'!$AO$4)*('normal case'!L445-controls!$B$9))</f>
        <v>6</v>
      </c>
      <c r="R445" s="98">
        <f ca="1">IF(controls!$B$44=1,'main page'!$K$24+'main page'!$K$11,IF(controls!$B$33=1,((I446-D445*W446-B446+B445*V446)/'main page'!$K$27)-'main page'!$K$11,((H446-D445*W446-B446+B445*V446)/'main page'!$K$27)-'main page'!$K$11))</f>
        <v>4</v>
      </c>
      <c r="T445" s="71">
        <f>IF(controls!$B$6=1,$AL$3*(1+('main page'!$K$35/100))^U445-$AL$3*(1+('main page'!$K$35/100))^U444,$AL$3*(1+('main page'!$G$8/100))*(1+('main page'!$K$35/100))^U445-$AL$3*(1+('main page'!$G$8/100))*(1+('main page'!$K$35/100))^U444)</f>
        <v>0</v>
      </c>
      <c r="U445" s="73">
        <v>438</v>
      </c>
      <c r="V445" s="161">
        <v>0</v>
      </c>
      <c r="W445" s="40">
        <v>0</v>
      </c>
      <c r="X445" s="49">
        <f ca="1">IF(controls!$B$33=1,D445-($I$3-'main page'!$K$27*2)*(1+('main page'!$K$35/100))^A444,D445-$AL$4)</f>
        <v>0</v>
      </c>
      <c r="Y445" s="49">
        <f ca="1">ABS(L445-(controls!$B$9/100)*100)</f>
        <v>0</v>
      </c>
      <c r="AA445" s="49" t="e">
        <f ca="1">IF(controls!$B$33=1,(B446-B445*V446-I446+D445*W446+'main page'!$K$27*('main page'!$K$24+'main page'!$K$11))/'main page'!$K$31,(B446-B445*V446+D445*W446-H446+'main page'!$K$27*('main page'!$K$24+'main page'!$K$11))/'main page'!$K$31)</f>
        <v>#DIV/0!</v>
      </c>
      <c r="AB445" s="49" t="e">
        <f ca="1">IF(controls!$B$45=1,LOG(AF445,1.01)+LOG(AE445,1.01)-LOG(AD445,1.01),-((M445-('main page'!$K$24+'main page'!$K$11))/(1-'normal case'!$AO$3))+'normal case'!AA445)</f>
        <v>#DIV/0!</v>
      </c>
      <c r="AC445" s="176" t="e">
        <f t="shared" ca="1" si="44"/>
        <v>#DIV/0!</v>
      </c>
      <c r="AD445" s="49">
        <f t="shared" ca="1" si="45"/>
        <v>6328.1376700734136</v>
      </c>
      <c r="AE445" s="49">
        <f>AE444*(1+'main page'!$K$32/100)</f>
        <v>1</v>
      </c>
      <c r="AF445" s="49" t="e">
        <f ca="1">IF(ABS(IF(controls!$B$45=1,$AL$13,AD445*AC445/AE445)-AF444)&lt;0.00001,AF444,IF(controls!$B$45=1,$AL$13,AD445*AC445/AE445))</f>
        <v>#DIV/0!</v>
      </c>
      <c r="AG445" s="49">
        <f>IF(controls!$B$46=0,0,IF(controls!$B$33=2,B446-B445*V446-('normal case'!H446-D445*W446-'main page'!$K$27*'normal case'!M445+'main page'!$K$31*'normal case'!AB445)-(('main page'!$K$25*'main page'!$U$13*'main page'!$K$29)/(1+('main page'!$K$25^2)*'main page'!$U$13))*('normal case'!L445-'main page'!$U$8),B446-B445*V446-('normal case'!I446-D445*W446-'main page'!$K$27*'normal case'!M445+'main page'!$K$31*'normal case'!AB445)-(('main page'!$K$25*'main page'!$U$13*'main page'!$K$29)/(1+('main page'!$K$25^2)*'main page'!$U$13))*('normal case'!L445-'main page'!$U$8)))</f>
        <v>0</v>
      </c>
      <c r="AN445" s="40"/>
      <c r="AO445" s="40"/>
    </row>
    <row r="446" spans="1:41">
      <c r="A446" s="48">
        <v>444</v>
      </c>
      <c r="B446" s="75">
        <f ca="1">IF(controls!$B$33=1,B445*(1+V446)+T446,B445*(1+V446))</f>
        <v>100</v>
      </c>
      <c r="C446" s="80">
        <f t="shared" ca="1" si="46"/>
        <v>0</v>
      </c>
      <c r="D446" s="77">
        <f t="shared" ca="1" si="42"/>
        <v>100</v>
      </c>
      <c r="E446" s="77">
        <f ca="1">AG445+IF(controls!$B$33=1,G446,F446)</f>
        <v>100</v>
      </c>
      <c r="F446" s="94">
        <f ca="1">IF(controls!$B$44=0,H446-'main page'!$K$27*M445,H446-'main page'!$K$27*M445+'main page'!$K$31*AB445)</f>
        <v>100</v>
      </c>
      <c r="G446" s="75">
        <f ca="1">IF(controls!$B$44=0,I446-'main page'!$K$27*M445,I446-'main page'!$K$27*M445+'main page'!$K$31*'normal case'!AB445)</f>
        <v>100</v>
      </c>
      <c r="H446" s="75">
        <f t="shared" ca="1" si="47"/>
        <v>108</v>
      </c>
      <c r="I446" s="75">
        <f t="shared" ca="1" si="48"/>
        <v>108</v>
      </c>
      <c r="L446" s="75">
        <f ca="1">IF(ABS('main page'!$K$29*L445+(1-'main page'!$K$29)*(controls!$B$9/100)*100+'main page'!$K$25*(D446-B446)-L445)&lt;0.0000001,L445,'main page'!$K$29*L445+(1-'main page'!$K$29)*(controls!$B$9/100)*100+'main page'!$K$25*(D446-B446))</f>
        <v>2</v>
      </c>
      <c r="M446" s="96">
        <f ca="1">IF(controls!$B$10=1,M445,IF(SUM(controls!$B$44:$B$46)=2,N446-'main page'!$K$29*'normal case'!L446-(1-'main page'!$K$29)*'main page'!$K$32,N446-'main page'!$K$29*'normal case'!L446-(1-'main page'!$K$29)*controls!$B$9))</f>
        <v>4</v>
      </c>
      <c r="N446" s="208">
        <f ca="1">IF(controls!$B$45=1,IF(controls!$B$46=1,'main page'!$K$24+'main page'!$K$11+'main page'!$U$8,'main page'!$K$24+'main page'!$K$11+'main page'!$K$32),IF(controls!$B$44=1,IF(O446&lt;0,0,O446),IF(O446+'main page'!$K$11&lt;0,0,O446+'main page'!$K$11)))</f>
        <v>6</v>
      </c>
      <c r="O446" s="76">
        <f ca="1">IF(controls!$B$10=1,'normal case'!M446+'normal case'!L446,'normal case'!P446)</f>
        <v>6</v>
      </c>
      <c r="P446" s="74">
        <f t="shared" ca="1" si="43"/>
        <v>6</v>
      </c>
      <c r="Q446" s="210">
        <f ca="1">IF(controls!$B$44=0,R446+'main page'!$K$29*L446+(1-'main page'!$K$29)*controls!$B$9+(('main page'!$K$25*'main page'!$U$13*'main page'!$K$29)/('main page'!$K$27*(1+('main page'!$K$25^2)*'main page'!$U$13)))*(L446-controls!$B$9),R446+'main page'!$K$29*L446+(1-'main page'!$K$29)*controls!$B$9+(('main page'!$K$25*'main page'!$U$13*'normal case'!$AO$3)/'normal case'!$AO$4)*('normal case'!L446-controls!$B$9))</f>
        <v>6</v>
      </c>
      <c r="R446" s="98">
        <f ca="1">IF(controls!$B$44=1,'main page'!$K$24+'main page'!$K$11,IF(controls!$B$33=1,((I447-D446*W447-B447+B446*V447)/'main page'!$K$27)-'main page'!$K$11,((H447-D446*W447-B447+B446*V447)/'main page'!$K$27)-'main page'!$K$11))</f>
        <v>4</v>
      </c>
      <c r="T446" s="71">
        <f>IF(controls!$B$6=1,$AL$3*(1+('main page'!$K$35/100))^U446-$AL$3*(1+('main page'!$K$35/100))^U445,$AL$3*(1+('main page'!$G$8/100))*(1+('main page'!$K$35/100))^U446-$AL$3*(1+('main page'!$G$8/100))*(1+('main page'!$K$35/100))^U445)</f>
        <v>0</v>
      </c>
      <c r="U446" s="73">
        <v>439</v>
      </c>
      <c r="V446" s="161">
        <f ca="1">IF(controls!$B$4=1,IF(controls!$H445=1,controls!$B$34*V445+RAND()*('main page'!$K$16/100)-RAND()*('main page'!$K$16/100),0),0)</f>
        <v>0</v>
      </c>
      <c r="W446" s="40">
        <f ca="1">IF(controls!$B$4=1,IF(controls!$I445=1,controls!$B$34*W445+RAND()*('main page'!$K$16/100)-RAND()*('main page'!$K$16/100),0),0)</f>
        <v>0</v>
      </c>
      <c r="X446" s="49">
        <f ca="1">IF(controls!$B$33=1,D446-($I$3-'main page'!$K$27*2)*(1+('main page'!$K$35/100))^A445,D446-$AL$4)</f>
        <v>0</v>
      </c>
      <c r="Y446" s="49">
        <f ca="1">ABS(L446-(controls!$B$9/100)*100)</f>
        <v>0</v>
      </c>
      <c r="AA446" s="49" t="e">
        <f ca="1">IF(controls!$B$33=1,(B447-B446*V447-I447+D446*W447+'main page'!$K$27*('main page'!$K$24+'main page'!$K$11))/'main page'!$K$31,(B447-B446*V447+D446*W447-H447+'main page'!$K$27*('main page'!$K$24+'main page'!$K$11))/'main page'!$K$31)</f>
        <v>#DIV/0!</v>
      </c>
      <c r="AB446" s="49" t="e">
        <f ca="1">IF(controls!$B$45=1,LOG(AF446,1.01)+LOG(AE446,1.01)-LOG(AD446,1.01),-((M446-('main page'!$K$24+'main page'!$K$11))/(1-'normal case'!$AO$3))+'normal case'!AA446)</f>
        <v>#DIV/0!</v>
      </c>
      <c r="AC446" s="176" t="e">
        <f t="shared" ca="1" si="44"/>
        <v>#DIV/0!</v>
      </c>
      <c r="AD446" s="49">
        <f t="shared" ca="1" si="45"/>
        <v>6454.700423474882</v>
      </c>
      <c r="AE446" s="49">
        <f>AE445*(1+'main page'!$K$32/100)</f>
        <v>1</v>
      </c>
      <c r="AF446" s="49" t="e">
        <f ca="1">IF(ABS(IF(controls!$B$45=1,$AL$13,AD446*AC446/AE446)-AF445)&lt;0.00001,AF445,IF(controls!$B$45=1,$AL$13,AD446*AC446/AE446))</f>
        <v>#DIV/0!</v>
      </c>
      <c r="AG446" s="49">
        <f>IF(controls!$B$46=0,0,IF(controls!$B$33=2,B447-B446*V447-('normal case'!H447-D446*W447-'main page'!$K$27*'normal case'!M446+'main page'!$K$31*'normal case'!AB446)-(('main page'!$K$25*'main page'!$U$13*'main page'!$K$29)/(1+('main page'!$K$25^2)*'main page'!$U$13))*('normal case'!L446-'main page'!$U$8),B447-B446*V447-('normal case'!I447-D446*W447-'main page'!$K$27*'normal case'!M446+'main page'!$K$31*'normal case'!AB446)-(('main page'!$K$25*'main page'!$U$13*'main page'!$K$29)/(1+('main page'!$K$25^2)*'main page'!$U$13))*('normal case'!L446-'main page'!$U$8)))</f>
        <v>0</v>
      </c>
      <c r="AN446" s="40"/>
      <c r="AO446" s="40"/>
    </row>
    <row r="447" spans="1:41">
      <c r="A447" s="48">
        <v>445</v>
      </c>
      <c r="B447" s="75">
        <f ca="1">IF(controls!$B$33=1,B446*(1+V447)+T447,B446*(1+V447))</f>
        <v>100</v>
      </c>
      <c r="C447" s="80">
        <f t="shared" ca="1" si="46"/>
        <v>0</v>
      </c>
      <c r="D447" s="77">
        <f t="shared" ca="1" si="42"/>
        <v>100</v>
      </c>
      <c r="E447" s="77">
        <f ca="1">AG446+IF(controls!$B$33=1,G447,F447)</f>
        <v>100</v>
      </c>
      <c r="F447" s="94">
        <f ca="1">IF(controls!$B$44=0,H447-'main page'!$K$27*M446,H447-'main page'!$K$27*M446+'main page'!$K$31*AB446)</f>
        <v>100</v>
      </c>
      <c r="G447" s="75">
        <f ca="1">IF(controls!$B$44=0,I447-'main page'!$K$27*M446,I447-'main page'!$K$27*M446+'main page'!$K$31*'normal case'!AB446)</f>
        <v>100</v>
      </c>
      <c r="H447" s="75">
        <f t="shared" ca="1" si="47"/>
        <v>108</v>
      </c>
      <c r="I447" s="75">
        <f t="shared" ca="1" si="48"/>
        <v>108</v>
      </c>
      <c r="L447" s="75">
        <f ca="1">IF(ABS('main page'!$K$29*L446+(1-'main page'!$K$29)*(controls!$B$9/100)*100+'main page'!$K$25*(D447-B447)-L446)&lt;0.0000001,L446,'main page'!$K$29*L446+(1-'main page'!$K$29)*(controls!$B$9/100)*100+'main page'!$K$25*(D447-B447))</f>
        <v>2</v>
      </c>
      <c r="M447" s="96">
        <f ca="1">IF(controls!$B$10=1,M446,IF(SUM(controls!$B$44:$B$46)=2,N447-'main page'!$K$29*'normal case'!L447-(1-'main page'!$K$29)*'main page'!$K$32,N447-'main page'!$K$29*'normal case'!L447-(1-'main page'!$K$29)*controls!$B$9))</f>
        <v>4</v>
      </c>
      <c r="N447" s="208">
        <f ca="1">IF(controls!$B$45=1,IF(controls!$B$46=1,'main page'!$K$24+'main page'!$K$11+'main page'!$U$8,'main page'!$K$24+'main page'!$K$11+'main page'!$K$32),IF(controls!$B$44=1,IF(O447&lt;0,0,O447),IF(O447+'main page'!$K$11&lt;0,0,O447+'main page'!$K$11)))</f>
        <v>6</v>
      </c>
      <c r="O447" s="76">
        <f ca="1">IF(controls!$B$10=1,'normal case'!M447+'normal case'!L447,'normal case'!P447)</f>
        <v>6</v>
      </c>
      <c r="P447" s="74">
        <f t="shared" ca="1" si="43"/>
        <v>6</v>
      </c>
      <c r="Q447" s="210">
        <f ca="1">IF(controls!$B$44=0,R447+'main page'!$K$29*L447+(1-'main page'!$K$29)*controls!$B$9+(('main page'!$K$25*'main page'!$U$13*'main page'!$K$29)/('main page'!$K$27*(1+('main page'!$K$25^2)*'main page'!$U$13)))*(L447-controls!$B$9),R447+'main page'!$K$29*L447+(1-'main page'!$K$29)*controls!$B$9+(('main page'!$K$25*'main page'!$U$13*'normal case'!$AO$3)/'normal case'!$AO$4)*('normal case'!L447-controls!$B$9))</f>
        <v>6</v>
      </c>
      <c r="R447" s="98">
        <f ca="1">IF(controls!$B$44=1,'main page'!$K$24+'main page'!$K$11,IF(controls!$B$33=1,((I448-D447*W448-B448+B447*V448)/'main page'!$K$27)-'main page'!$K$11,((H448-D447*W448-B448+B447*V448)/'main page'!$K$27)-'main page'!$K$11))</f>
        <v>4</v>
      </c>
      <c r="T447" s="71">
        <f>IF(controls!$B$6=1,$AL$3*(1+('main page'!$K$35/100))^U447-$AL$3*(1+('main page'!$K$35/100))^U446,$AL$3*(1+('main page'!$G$8/100))*(1+('main page'!$K$35/100))^U447-$AL$3*(1+('main page'!$G$8/100))*(1+('main page'!$K$35/100))^U446)</f>
        <v>0</v>
      </c>
      <c r="U447" s="73">
        <v>440</v>
      </c>
      <c r="V447" s="161">
        <v>0</v>
      </c>
      <c r="W447" s="40">
        <v>0</v>
      </c>
      <c r="X447" s="49">
        <f ca="1">IF(controls!$B$33=1,D447-($I$3-'main page'!$K$27*2)*(1+('main page'!$K$35/100))^A446,D447-$AL$4)</f>
        <v>0</v>
      </c>
      <c r="Y447" s="49">
        <f ca="1">ABS(L447-(controls!$B$9/100)*100)</f>
        <v>0</v>
      </c>
      <c r="AA447" s="49" t="e">
        <f ca="1">IF(controls!$B$33=1,(B448-B447*V448-I448+D447*W448+'main page'!$K$27*('main page'!$K$24+'main page'!$K$11))/'main page'!$K$31,(B448-B447*V448+D447*W448-H448+'main page'!$K$27*('main page'!$K$24+'main page'!$K$11))/'main page'!$K$31)</f>
        <v>#DIV/0!</v>
      </c>
      <c r="AB447" s="49" t="e">
        <f ca="1">IF(controls!$B$45=1,LOG(AF447,1.01)+LOG(AE447,1.01)-LOG(AD447,1.01),-((M447-('main page'!$K$24+'main page'!$K$11))/(1-'normal case'!$AO$3))+'normal case'!AA447)</f>
        <v>#DIV/0!</v>
      </c>
      <c r="AC447" s="176" t="e">
        <f t="shared" ca="1" si="44"/>
        <v>#DIV/0!</v>
      </c>
      <c r="AD447" s="49">
        <f t="shared" ca="1" si="45"/>
        <v>6583.7944319443795</v>
      </c>
      <c r="AE447" s="49">
        <f>AE446*(1+'main page'!$K$32/100)</f>
        <v>1</v>
      </c>
      <c r="AF447" s="49" t="e">
        <f ca="1">IF(ABS(IF(controls!$B$45=1,$AL$13,AD447*AC447/AE447)-AF446)&lt;0.00001,AF446,IF(controls!$B$45=1,$AL$13,AD447*AC447/AE447))</f>
        <v>#DIV/0!</v>
      </c>
      <c r="AG447" s="49">
        <f>IF(controls!$B$46=0,0,IF(controls!$B$33=2,B448-B447*V448-('normal case'!H448-D447*W448-'main page'!$K$27*'normal case'!M447+'main page'!$K$31*'normal case'!AB447)-(('main page'!$K$25*'main page'!$U$13*'main page'!$K$29)/(1+('main page'!$K$25^2)*'main page'!$U$13))*('normal case'!L447-'main page'!$U$8),B448-B447*V448-('normal case'!I448-D447*W448-'main page'!$K$27*'normal case'!M447+'main page'!$K$31*'normal case'!AB447)-(('main page'!$K$25*'main page'!$U$13*'main page'!$K$29)/(1+('main page'!$K$25^2)*'main page'!$U$13))*('normal case'!L447-'main page'!$U$8)))</f>
        <v>0</v>
      </c>
      <c r="AN447" s="40"/>
      <c r="AO447" s="40"/>
    </row>
    <row r="448" spans="1:41">
      <c r="A448" s="48">
        <v>446</v>
      </c>
      <c r="B448" s="75">
        <f ca="1">IF(controls!$B$33=1,B447*(1+V448)+T448,B447*(1+V448))</f>
        <v>100</v>
      </c>
      <c r="C448" s="80">
        <f t="shared" ca="1" si="46"/>
        <v>0</v>
      </c>
      <c r="D448" s="77">
        <f t="shared" ca="1" si="42"/>
        <v>100</v>
      </c>
      <c r="E448" s="77">
        <f ca="1">AG447+IF(controls!$B$33=1,G448,F448)</f>
        <v>100</v>
      </c>
      <c r="F448" s="94">
        <f ca="1">IF(controls!$B$44=0,H448-'main page'!$K$27*M447,H448-'main page'!$K$27*M447+'main page'!$K$31*AB447)</f>
        <v>100</v>
      </c>
      <c r="G448" s="75">
        <f ca="1">IF(controls!$B$44=0,I448-'main page'!$K$27*M447,I448-'main page'!$K$27*M447+'main page'!$K$31*'normal case'!AB447)</f>
        <v>100</v>
      </c>
      <c r="H448" s="75">
        <f t="shared" ca="1" si="47"/>
        <v>108</v>
      </c>
      <c r="I448" s="75">
        <f t="shared" ca="1" si="48"/>
        <v>108</v>
      </c>
      <c r="L448" s="75">
        <f ca="1">IF(ABS('main page'!$K$29*L447+(1-'main page'!$K$29)*(controls!$B$9/100)*100+'main page'!$K$25*(D448-B448)-L447)&lt;0.0000001,L447,'main page'!$K$29*L447+(1-'main page'!$K$29)*(controls!$B$9/100)*100+'main page'!$K$25*(D448-B448))</f>
        <v>2</v>
      </c>
      <c r="M448" s="96">
        <f ca="1">IF(controls!$B$10=1,M447,IF(SUM(controls!$B$44:$B$46)=2,N448-'main page'!$K$29*'normal case'!L448-(1-'main page'!$K$29)*'main page'!$K$32,N448-'main page'!$K$29*'normal case'!L448-(1-'main page'!$K$29)*controls!$B$9))</f>
        <v>4</v>
      </c>
      <c r="N448" s="208">
        <f ca="1">IF(controls!$B$45=1,IF(controls!$B$46=1,'main page'!$K$24+'main page'!$K$11+'main page'!$U$8,'main page'!$K$24+'main page'!$K$11+'main page'!$K$32),IF(controls!$B$44=1,IF(O448&lt;0,0,O448),IF(O448+'main page'!$K$11&lt;0,0,O448+'main page'!$K$11)))</f>
        <v>6</v>
      </c>
      <c r="O448" s="76">
        <f ca="1">IF(controls!$B$10=1,'normal case'!M448+'normal case'!L448,'normal case'!P448)</f>
        <v>6</v>
      </c>
      <c r="P448" s="74">
        <f t="shared" ca="1" si="43"/>
        <v>6</v>
      </c>
      <c r="Q448" s="210">
        <f ca="1">IF(controls!$B$44=0,R448+'main page'!$K$29*L448+(1-'main page'!$K$29)*controls!$B$9+(('main page'!$K$25*'main page'!$U$13*'main page'!$K$29)/('main page'!$K$27*(1+('main page'!$K$25^2)*'main page'!$U$13)))*(L448-controls!$B$9),R448+'main page'!$K$29*L448+(1-'main page'!$K$29)*controls!$B$9+(('main page'!$K$25*'main page'!$U$13*'normal case'!$AO$3)/'normal case'!$AO$4)*('normal case'!L448-controls!$B$9))</f>
        <v>6</v>
      </c>
      <c r="R448" s="98">
        <f ca="1">IF(controls!$B$44=1,'main page'!$K$24+'main page'!$K$11,IF(controls!$B$33=1,((I449-D448*W449-B449+B448*V449)/'main page'!$K$27)-'main page'!$K$11,((H449-D448*W449-B449+B448*V449)/'main page'!$K$27)-'main page'!$K$11))</f>
        <v>4</v>
      </c>
      <c r="T448" s="71">
        <f>IF(controls!$B$6=1,$AL$3*(1+('main page'!$K$35/100))^U448-$AL$3*(1+('main page'!$K$35/100))^U447,$AL$3*(1+('main page'!$G$8/100))*(1+('main page'!$K$35/100))^U448-$AL$3*(1+('main page'!$G$8/100))*(1+('main page'!$K$35/100))^U447)</f>
        <v>0</v>
      </c>
      <c r="U448" s="73">
        <v>441</v>
      </c>
      <c r="V448" s="161">
        <v>0</v>
      </c>
      <c r="W448" s="40">
        <v>0</v>
      </c>
      <c r="X448" s="49">
        <f ca="1">IF(controls!$B$33=1,D448-($I$3-'main page'!$K$27*2)*(1+('main page'!$K$35/100))^A447,D448-$AL$4)</f>
        <v>0</v>
      </c>
      <c r="Y448" s="49">
        <f ca="1">ABS(L448-(controls!$B$9/100)*100)</f>
        <v>0</v>
      </c>
      <c r="AA448" s="49" t="e">
        <f ca="1">IF(controls!$B$33=1,(B449-B448*V449-I449+D448*W449+'main page'!$K$27*('main page'!$K$24+'main page'!$K$11))/'main page'!$K$31,(B449-B448*V449+D448*W449-H449+'main page'!$K$27*('main page'!$K$24+'main page'!$K$11))/'main page'!$K$31)</f>
        <v>#DIV/0!</v>
      </c>
      <c r="AB448" s="49" t="e">
        <f ca="1">IF(controls!$B$45=1,LOG(AF448,1.01)+LOG(AE448,1.01)-LOG(AD448,1.01),-((M448-('main page'!$K$24+'main page'!$K$11))/(1-'normal case'!$AO$3))+'normal case'!AA448)</f>
        <v>#DIV/0!</v>
      </c>
      <c r="AC448" s="176" t="e">
        <f t="shared" ca="1" si="44"/>
        <v>#DIV/0!</v>
      </c>
      <c r="AD448" s="49">
        <f t="shared" ca="1" si="45"/>
        <v>6715.4703205832675</v>
      </c>
      <c r="AE448" s="49">
        <f>AE447*(1+'main page'!$K$32/100)</f>
        <v>1</v>
      </c>
      <c r="AF448" s="49" t="e">
        <f ca="1">IF(ABS(IF(controls!$B$45=1,$AL$13,AD448*AC448/AE448)-AF447)&lt;0.00001,AF447,IF(controls!$B$45=1,$AL$13,AD448*AC448/AE448))</f>
        <v>#DIV/0!</v>
      </c>
      <c r="AG448" s="49">
        <f>IF(controls!$B$46=0,0,IF(controls!$B$33=2,B449-B448*V449-('normal case'!H449-D448*W449-'main page'!$K$27*'normal case'!M448+'main page'!$K$31*'normal case'!AB448)-(('main page'!$K$25*'main page'!$U$13*'main page'!$K$29)/(1+('main page'!$K$25^2)*'main page'!$U$13))*('normal case'!L448-'main page'!$U$8),B449-B448*V449-('normal case'!I449-D448*W449-'main page'!$K$27*'normal case'!M448+'main page'!$K$31*'normal case'!AB448)-(('main page'!$K$25*'main page'!$U$13*'main page'!$K$29)/(1+('main page'!$K$25^2)*'main page'!$U$13))*('normal case'!L448-'main page'!$U$8)))</f>
        <v>0</v>
      </c>
      <c r="AN448" s="40"/>
      <c r="AO448" s="40"/>
    </row>
    <row r="449" spans="1:41">
      <c r="A449" s="48">
        <v>447</v>
      </c>
      <c r="B449" s="75">
        <f ca="1">IF(controls!$B$33=1,B448*(1+V449)+T449,B448*(1+V449))</f>
        <v>100</v>
      </c>
      <c r="C449" s="80">
        <f t="shared" ca="1" si="46"/>
        <v>0</v>
      </c>
      <c r="D449" s="77">
        <f t="shared" ca="1" si="42"/>
        <v>100</v>
      </c>
      <c r="E449" s="77">
        <f ca="1">AG448+IF(controls!$B$33=1,G449,F449)</f>
        <v>100</v>
      </c>
      <c r="F449" s="94">
        <f ca="1">IF(controls!$B$44=0,H449-'main page'!$K$27*M448,H449-'main page'!$K$27*M448+'main page'!$K$31*AB448)</f>
        <v>100</v>
      </c>
      <c r="G449" s="75">
        <f ca="1">IF(controls!$B$44=0,I449-'main page'!$K$27*M448,I449-'main page'!$K$27*M448+'main page'!$K$31*'normal case'!AB448)</f>
        <v>100</v>
      </c>
      <c r="H449" s="75">
        <f t="shared" ca="1" si="47"/>
        <v>108</v>
      </c>
      <c r="I449" s="75">
        <f t="shared" ca="1" si="48"/>
        <v>108</v>
      </c>
      <c r="L449" s="75">
        <f ca="1">IF(ABS('main page'!$K$29*L448+(1-'main page'!$K$29)*(controls!$B$9/100)*100+'main page'!$K$25*(D449-B449)-L448)&lt;0.0000001,L448,'main page'!$K$29*L448+(1-'main page'!$K$29)*(controls!$B$9/100)*100+'main page'!$K$25*(D449-B449))</f>
        <v>2</v>
      </c>
      <c r="M449" s="96">
        <f ca="1">IF(controls!$B$10=1,M448,IF(SUM(controls!$B$44:$B$46)=2,N449-'main page'!$K$29*'normal case'!L449-(1-'main page'!$K$29)*'main page'!$K$32,N449-'main page'!$K$29*'normal case'!L449-(1-'main page'!$K$29)*controls!$B$9))</f>
        <v>4</v>
      </c>
      <c r="N449" s="208">
        <f ca="1">IF(controls!$B$45=1,IF(controls!$B$46=1,'main page'!$K$24+'main page'!$K$11+'main page'!$U$8,'main page'!$K$24+'main page'!$K$11+'main page'!$K$32),IF(controls!$B$44=1,IF(O449&lt;0,0,O449),IF(O449+'main page'!$K$11&lt;0,0,O449+'main page'!$K$11)))</f>
        <v>6</v>
      </c>
      <c r="O449" s="76">
        <f ca="1">IF(controls!$B$10=1,'normal case'!M449+'normal case'!L449,'normal case'!P449)</f>
        <v>6</v>
      </c>
      <c r="P449" s="74">
        <f t="shared" ca="1" si="43"/>
        <v>6</v>
      </c>
      <c r="Q449" s="210">
        <f ca="1">IF(controls!$B$44=0,R449+'main page'!$K$29*L449+(1-'main page'!$K$29)*controls!$B$9+(('main page'!$K$25*'main page'!$U$13*'main page'!$K$29)/('main page'!$K$27*(1+('main page'!$K$25^2)*'main page'!$U$13)))*(L449-controls!$B$9),R449+'main page'!$K$29*L449+(1-'main page'!$K$29)*controls!$B$9+(('main page'!$K$25*'main page'!$U$13*'normal case'!$AO$3)/'normal case'!$AO$4)*('normal case'!L449-controls!$B$9))</f>
        <v>6</v>
      </c>
      <c r="R449" s="98">
        <f ca="1">IF(controls!$B$44=1,'main page'!$K$24+'main page'!$K$11,IF(controls!$B$33=1,((I450-D449*W450-B450+B449*V450)/'main page'!$K$27)-'main page'!$K$11,((H450-D449*W450-B450+B449*V450)/'main page'!$K$27)-'main page'!$K$11))</f>
        <v>4</v>
      </c>
      <c r="T449" s="71">
        <f>IF(controls!$B$6=1,$AL$3*(1+('main page'!$K$35/100))^U449-$AL$3*(1+('main page'!$K$35/100))^U448,$AL$3*(1+('main page'!$G$8/100))*(1+('main page'!$K$35/100))^U449-$AL$3*(1+('main page'!$G$8/100))*(1+('main page'!$K$35/100))^U448)</f>
        <v>0</v>
      </c>
      <c r="U449" s="73">
        <v>442</v>
      </c>
      <c r="V449" s="161">
        <f ca="1">IF(controls!$B$4=1,IF(controls!$H448=1,controls!$B$34*V448+RAND()*('main page'!$K$16/100)-RAND()*('main page'!$K$16/100),0),0)</f>
        <v>0</v>
      </c>
      <c r="W449" s="40">
        <f ca="1">IF(controls!$B$4=1,IF(controls!$I448=1,controls!$B$34*W448+RAND()*('main page'!$K$16/100)-RAND()*('main page'!$K$16/100),0),0)</f>
        <v>0</v>
      </c>
      <c r="X449" s="49">
        <f ca="1">IF(controls!$B$33=1,D449-($I$3-'main page'!$K$27*2)*(1+('main page'!$K$35/100))^A448,D449-$AL$4)</f>
        <v>0</v>
      </c>
      <c r="Y449" s="49">
        <f ca="1">ABS(L449-(controls!$B$9/100)*100)</f>
        <v>0</v>
      </c>
      <c r="AA449" s="49" t="e">
        <f ca="1">IF(controls!$B$33=1,(B450-B449*V450-I450+D449*W450+'main page'!$K$27*('main page'!$K$24+'main page'!$K$11))/'main page'!$K$31,(B450-B449*V450+D449*W450-H450+'main page'!$K$27*('main page'!$K$24+'main page'!$K$11))/'main page'!$K$31)</f>
        <v>#DIV/0!</v>
      </c>
      <c r="AB449" s="49" t="e">
        <f ca="1">IF(controls!$B$45=1,LOG(AF449,1.01)+LOG(AE449,1.01)-LOG(AD449,1.01),-((M449-('main page'!$K$24+'main page'!$K$11))/(1-'normal case'!$AO$3))+'normal case'!AA449)</f>
        <v>#DIV/0!</v>
      </c>
      <c r="AC449" s="176" t="e">
        <f t="shared" ca="1" si="44"/>
        <v>#DIV/0!</v>
      </c>
      <c r="AD449" s="49">
        <f t="shared" ca="1" si="45"/>
        <v>6849.7797269949333</v>
      </c>
      <c r="AE449" s="49">
        <f>AE448*(1+'main page'!$K$32/100)</f>
        <v>1</v>
      </c>
      <c r="AF449" s="49" t="e">
        <f ca="1">IF(ABS(IF(controls!$B$45=1,$AL$13,AD449*AC449/AE449)-AF448)&lt;0.00001,AF448,IF(controls!$B$45=1,$AL$13,AD449*AC449/AE449))</f>
        <v>#DIV/0!</v>
      </c>
      <c r="AG449" s="49">
        <f>IF(controls!$B$46=0,0,IF(controls!$B$33=2,B450-B449*V450-('normal case'!H450-D449*W450-'main page'!$K$27*'normal case'!M449+'main page'!$K$31*'normal case'!AB449)-(('main page'!$K$25*'main page'!$U$13*'main page'!$K$29)/(1+('main page'!$K$25^2)*'main page'!$U$13))*('normal case'!L449-'main page'!$U$8),B450-B449*V450-('normal case'!I450-D449*W450-'main page'!$K$27*'normal case'!M449+'main page'!$K$31*'normal case'!AB449)-(('main page'!$K$25*'main page'!$U$13*'main page'!$K$29)/(1+('main page'!$K$25^2)*'main page'!$U$13))*('normal case'!L449-'main page'!$U$8)))</f>
        <v>0</v>
      </c>
      <c r="AN449" s="40"/>
      <c r="AO449" s="40"/>
    </row>
    <row r="450" spans="1:41">
      <c r="A450" s="48">
        <v>448</v>
      </c>
      <c r="B450" s="75">
        <f ca="1">IF(controls!$B$33=1,B449*(1+V450)+T450,B449*(1+V450))</f>
        <v>100</v>
      </c>
      <c r="C450" s="80">
        <f t="shared" ca="1" si="46"/>
        <v>0</v>
      </c>
      <c r="D450" s="77">
        <f t="shared" ca="1" si="42"/>
        <v>100</v>
      </c>
      <c r="E450" s="77">
        <f ca="1">AG449+IF(controls!$B$33=1,G450,F450)</f>
        <v>100</v>
      </c>
      <c r="F450" s="94">
        <f ca="1">IF(controls!$B$44=0,H450-'main page'!$K$27*M449,H450-'main page'!$K$27*M449+'main page'!$K$31*AB449)</f>
        <v>100</v>
      </c>
      <c r="G450" s="75">
        <f ca="1">IF(controls!$B$44=0,I450-'main page'!$K$27*M449,I450-'main page'!$K$27*M449+'main page'!$K$31*'normal case'!AB449)</f>
        <v>100</v>
      </c>
      <c r="H450" s="75">
        <f t="shared" ca="1" si="47"/>
        <v>108</v>
      </c>
      <c r="I450" s="75">
        <f t="shared" ca="1" si="48"/>
        <v>108</v>
      </c>
      <c r="L450" s="75">
        <f ca="1">IF(ABS('main page'!$K$29*L449+(1-'main page'!$K$29)*(controls!$B$9/100)*100+'main page'!$K$25*(D450-B450)-L449)&lt;0.0000001,L449,'main page'!$K$29*L449+(1-'main page'!$K$29)*(controls!$B$9/100)*100+'main page'!$K$25*(D450-B450))</f>
        <v>2</v>
      </c>
      <c r="M450" s="96">
        <f ca="1">IF(controls!$B$10=1,M449,IF(SUM(controls!$B$44:$B$46)=2,N450-'main page'!$K$29*'normal case'!L450-(1-'main page'!$K$29)*'main page'!$K$32,N450-'main page'!$K$29*'normal case'!L450-(1-'main page'!$K$29)*controls!$B$9))</f>
        <v>4</v>
      </c>
      <c r="N450" s="208">
        <f ca="1">IF(controls!$B$45=1,IF(controls!$B$46=1,'main page'!$K$24+'main page'!$K$11+'main page'!$U$8,'main page'!$K$24+'main page'!$K$11+'main page'!$K$32),IF(controls!$B$44=1,IF(O450&lt;0,0,O450),IF(O450+'main page'!$K$11&lt;0,0,O450+'main page'!$K$11)))</f>
        <v>6</v>
      </c>
      <c r="O450" s="76">
        <f ca="1">IF(controls!$B$10=1,'normal case'!M450+'normal case'!L450,'normal case'!P450)</f>
        <v>6</v>
      </c>
      <c r="P450" s="74">
        <f t="shared" ca="1" si="43"/>
        <v>6</v>
      </c>
      <c r="Q450" s="210">
        <f ca="1">IF(controls!$B$44=0,R450+'main page'!$K$29*L450+(1-'main page'!$K$29)*controls!$B$9+(('main page'!$K$25*'main page'!$U$13*'main page'!$K$29)/('main page'!$K$27*(1+('main page'!$K$25^2)*'main page'!$U$13)))*(L450-controls!$B$9),R450+'main page'!$K$29*L450+(1-'main page'!$K$29)*controls!$B$9+(('main page'!$K$25*'main page'!$U$13*'normal case'!$AO$3)/'normal case'!$AO$4)*('normal case'!L450-controls!$B$9))</f>
        <v>6</v>
      </c>
      <c r="R450" s="98">
        <f ca="1">IF(controls!$B$44=1,'main page'!$K$24+'main page'!$K$11,IF(controls!$B$33=1,((I451-D450*W451-B451+B450*V451)/'main page'!$K$27)-'main page'!$K$11,((H451-D450*W451-B451+B450*V451)/'main page'!$K$27)-'main page'!$K$11))</f>
        <v>4</v>
      </c>
      <c r="T450" s="71">
        <f>IF(controls!$B$6=1,$AL$3*(1+('main page'!$K$35/100))^U450-$AL$3*(1+('main page'!$K$35/100))^U449,$AL$3*(1+('main page'!$G$8/100))*(1+('main page'!$K$35/100))^U450-$AL$3*(1+('main page'!$G$8/100))*(1+('main page'!$K$35/100))^U449)</f>
        <v>0</v>
      </c>
      <c r="U450" s="73">
        <v>443</v>
      </c>
      <c r="V450" s="161">
        <v>0</v>
      </c>
      <c r="W450" s="40">
        <v>0</v>
      </c>
      <c r="X450" s="49">
        <f ca="1">IF(controls!$B$33=1,D450-($I$3-'main page'!$K$27*2)*(1+('main page'!$K$35/100))^A449,D450-$AL$4)</f>
        <v>0</v>
      </c>
      <c r="Y450" s="49">
        <f ca="1">ABS(L450-(controls!$B$9/100)*100)</f>
        <v>0</v>
      </c>
      <c r="AA450" s="49" t="e">
        <f ca="1">IF(controls!$B$33=1,(B451-B450*V451-I451+D450*W451+'main page'!$K$27*('main page'!$K$24+'main page'!$K$11))/'main page'!$K$31,(B451-B450*V451+D450*W451-H451+'main page'!$K$27*('main page'!$K$24+'main page'!$K$11))/'main page'!$K$31)</f>
        <v>#DIV/0!</v>
      </c>
      <c r="AB450" s="49" t="e">
        <f ca="1">IF(controls!$B$45=1,LOG(AF450,1.01)+LOG(AE450,1.01)-LOG(AD450,1.01),-((M450-('main page'!$K$24+'main page'!$K$11))/(1-'normal case'!$AO$3))+'normal case'!AA450)</f>
        <v>#DIV/0!</v>
      </c>
      <c r="AC450" s="176" t="e">
        <f t="shared" ca="1" si="44"/>
        <v>#DIV/0!</v>
      </c>
      <c r="AD450" s="49">
        <f t="shared" ca="1" si="45"/>
        <v>6986.7753215348321</v>
      </c>
      <c r="AE450" s="49">
        <f>AE449*(1+'main page'!$K$32/100)</f>
        <v>1</v>
      </c>
      <c r="AF450" s="49" t="e">
        <f ca="1">IF(ABS(IF(controls!$B$45=1,$AL$13,AD450*AC450/AE450)-AF449)&lt;0.00001,AF449,IF(controls!$B$45=1,$AL$13,AD450*AC450/AE450))</f>
        <v>#DIV/0!</v>
      </c>
      <c r="AG450" s="49">
        <f>IF(controls!$B$46=0,0,IF(controls!$B$33=2,B451-B450*V451-('normal case'!H451-D450*W451-'main page'!$K$27*'normal case'!M450+'main page'!$K$31*'normal case'!AB450)-(('main page'!$K$25*'main page'!$U$13*'main page'!$K$29)/(1+('main page'!$K$25^2)*'main page'!$U$13))*('normal case'!L450-'main page'!$U$8),B451-B450*V451-('normal case'!I451-D450*W451-'main page'!$K$27*'normal case'!M450+'main page'!$K$31*'normal case'!AB450)-(('main page'!$K$25*'main page'!$U$13*'main page'!$K$29)/(1+('main page'!$K$25^2)*'main page'!$U$13))*('normal case'!L450-'main page'!$U$8)))</f>
        <v>0</v>
      </c>
      <c r="AN450" s="40"/>
      <c r="AO450" s="40"/>
    </row>
    <row r="451" spans="1:41">
      <c r="A451" s="48">
        <v>449</v>
      </c>
      <c r="B451" s="75">
        <f ca="1">IF(controls!$B$33=1,B450*(1+V451)+T451,B450*(1+V451))</f>
        <v>100</v>
      </c>
      <c r="C451" s="80">
        <f t="shared" ca="1" si="46"/>
        <v>0</v>
      </c>
      <c r="D451" s="77">
        <f t="shared" ca="1" si="42"/>
        <v>100</v>
      </c>
      <c r="E451" s="77">
        <f ca="1">AG450+IF(controls!$B$33=1,G451,F451)</f>
        <v>100</v>
      </c>
      <c r="F451" s="94">
        <f ca="1">IF(controls!$B$44=0,H451-'main page'!$K$27*M450,H451-'main page'!$K$27*M450+'main page'!$K$31*AB450)</f>
        <v>100</v>
      </c>
      <c r="G451" s="75">
        <f ca="1">IF(controls!$B$44=0,I451-'main page'!$K$27*M450,I451-'main page'!$K$27*M450+'main page'!$K$31*'normal case'!AB450)</f>
        <v>100</v>
      </c>
      <c r="H451" s="75">
        <f t="shared" ca="1" si="47"/>
        <v>108</v>
      </c>
      <c r="I451" s="75">
        <f t="shared" ca="1" si="48"/>
        <v>108</v>
      </c>
      <c r="L451" s="75">
        <f ca="1">IF(ABS('main page'!$K$29*L450+(1-'main page'!$K$29)*(controls!$B$9/100)*100+'main page'!$K$25*(D451-B451)-L450)&lt;0.0000001,L450,'main page'!$K$29*L450+(1-'main page'!$K$29)*(controls!$B$9/100)*100+'main page'!$K$25*(D451-B451))</f>
        <v>2</v>
      </c>
      <c r="M451" s="96">
        <f ca="1">IF(controls!$B$10=1,M450,IF(SUM(controls!$B$44:$B$46)=2,N451-'main page'!$K$29*'normal case'!L451-(1-'main page'!$K$29)*'main page'!$K$32,N451-'main page'!$K$29*'normal case'!L451-(1-'main page'!$K$29)*controls!$B$9))</f>
        <v>4</v>
      </c>
      <c r="N451" s="208">
        <f ca="1">IF(controls!$B$45=1,IF(controls!$B$46=1,'main page'!$K$24+'main page'!$K$11+'main page'!$U$8,'main page'!$K$24+'main page'!$K$11+'main page'!$K$32),IF(controls!$B$44=1,IF(O451&lt;0,0,O451),IF(O451+'main page'!$K$11&lt;0,0,O451+'main page'!$K$11)))</f>
        <v>6</v>
      </c>
      <c r="O451" s="76">
        <f ca="1">IF(controls!$B$10=1,'normal case'!M451+'normal case'!L451,'normal case'!P451)</f>
        <v>6</v>
      </c>
      <c r="P451" s="74">
        <f t="shared" ca="1" si="43"/>
        <v>6</v>
      </c>
      <c r="Q451" s="210">
        <f ca="1">IF(controls!$B$44=0,R451+'main page'!$K$29*L451+(1-'main page'!$K$29)*controls!$B$9+(('main page'!$K$25*'main page'!$U$13*'main page'!$K$29)/('main page'!$K$27*(1+('main page'!$K$25^2)*'main page'!$U$13)))*(L451-controls!$B$9),R451+'main page'!$K$29*L451+(1-'main page'!$K$29)*controls!$B$9+(('main page'!$K$25*'main page'!$U$13*'normal case'!$AO$3)/'normal case'!$AO$4)*('normal case'!L451-controls!$B$9))</f>
        <v>6</v>
      </c>
      <c r="R451" s="98">
        <f ca="1">IF(controls!$B$44=1,'main page'!$K$24+'main page'!$K$11,IF(controls!$B$33=1,((I452-D451*W452-B452+B451*V452)/'main page'!$K$27)-'main page'!$K$11,((H452-D451*W452-B452+B451*V452)/'main page'!$K$27)-'main page'!$K$11))</f>
        <v>4</v>
      </c>
      <c r="T451" s="71">
        <f>IF(controls!$B$6=1,$AL$3*(1+('main page'!$K$35/100))^U451-$AL$3*(1+('main page'!$K$35/100))^U450,$AL$3*(1+('main page'!$G$8/100))*(1+('main page'!$K$35/100))^U451-$AL$3*(1+('main page'!$G$8/100))*(1+('main page'!$K$35/100))^U450)</f>
        <v>0</v>
      </c>
      <c r="U451" s="73">
        <v>444</v>
      </c>
      <c r="V451" s="161">
        <v>0</v>
      </c>
      <c r="W451" s="40">
        <v>0</v>
      </c>
      <c r="X451" s="49">
        <f ca="1">IF(controls!$B$33=1,D451-($I$3-'main page'!$K$27*2)*(1+('main page'!$K$35/100))^A450,D451-$AL$4)</f>
        <v>0</v>
      </c>
      <c r="Y451" s="49">
        <f ca="1">ABS(L451-(controls!$B$9/100)*100)</f>
        <v>0</v>
      </c>
      <c r="AA451" s="49" t="e">
        <f ca="1">IF(controls!$B$33=1,(B452-B451*V452-I452+D451*W452+'main page'!$K$27*('main page'!$K$24+'main page'!$K$11))/'main page'!$K$31,(B452-B451*V452+D451*W452-H452+'main page'!$K$27*('main page'!$K$24+'main page'!$K$11))/'main page'!$K$31)</f>
        <v>#DIV/0!</v>
      </c>
      <c r="AB451" s="49" t="e">
        <f ca="1">IF(controls!$B$45=1,LOG(AF451,1.01)+LOG(AE451,1.01)-LOG(AD451,1.01),-((M451-('main page'!$K$24+'main page'!$K$11))/(1-'normal case'!$AO$3))+'normal case'!AA451)</f>
        <v>#DIV/0!</v>
      </c>
      <c r="AC451" s="176" t="e">
        <f t="shared" ca="1" si="44"/>
        <v>#DIV/0!</v>
      </c>
      <c r="AD451" s="49">
        <f t="shared" ca="1" si="45"/>
        <v>7126.5108279655287</v>
      </c>
      <c r="AE451" s="49">
        <f>AE450*(1+'main page'!$K$32/100)</f>
        <v>1</v>
      </c>
      <c r="AF451" s="49" t="e">
        <f ca="1">IF(ABS(IF(controls!$B$45=1,$AL$13,AD451*AC451/AE451)-AF450)&lt;0.00001,AF450,IF(controls!$B$45=1,$AL$13,AD451*AC451/AE451))</f>
        <v>#DIV/0!</v>
      </c>
      <c r="AG451" s="49">
        <f>IF(controls!$B$46=0,0,IF(controls!$B$33=2,B452-B451*V452-('normal case'!H452-D451*W452-'main page'!$K$27*'normal case'!M451+'main page'!$K$31*'normal case'!AB451)-(('main page'!$K$25*'main page'!$U$13*'main page'!$K$29)/(1+('main page'!$K$25^2)*'main page'!$U$13))*('normal case'!L451-'main page'!$U$8),B452-B451*V452-('normal case'!I452-D451*W452-'main page'!$K$27*'normal case'!M451+'main page'!$K$31*'normal case'!AB451)-(('main page'!$K$25*'main page'!$U$13*'main page'!$K$29)/(1+('main page'!$K$25^2)*'main page'!$U$13))*('normal case'!L451-'main page'!$U$8)))</f>
        <v>0</v>
      </c>
      <c r="AN451" s="40"/>
      <c r="AO451" s="40"/>
    </row>
    <row r="452" spans="1:41">
      <c r="A452" s="48">
        <v>450</v>
      </c>
      <c r="B452" s="75">
        <f ca="1">IF(controls!$B$33=1,B451*(1+V452)+T452,B451*(1+V452))</f>
        <v>100</v>
      </c>
      <c r="C452" s="80">
        <f t="shared" ca="1" si="46"/>
        <v>0</v>
      </c>
      <c r="D452" s="77">
        <f t="shared" ref="D452:D502" ca="1" si="49">IF(E452&gt;0,E452,0.1)</f>
        <v>100</v>
      </c>
      <c r="E452" s="77">
        <f ca="1">AG451+IF(controls!$B$33=1,G452,F452)</f>
        <v>100</v>
      </c>
      <c r="F452" s="94">
        <f ca="1">IF(controls!$B$44=0,H452-'main page'!$K$27*M451,H452-'main page'!$K$27*M451+'main page'!$K$31*AB451)</f>
        <v>100</v>
      </c>
      <c r="G452" s="75">
        <f ca="1">IF(controls!$B$44=0,I452-'main page'!$K$27*M451,I452-'main page'!$K$27*M451+'main page'!$K$31*'normal case'!AB451)</f>
        <v>100</v>
      </c>
      <c r="H452" s="75">
        <f t="shared" ca="1" si="47"/>
        <v>108</v>
      </c>
      <c r="I452" s="75">
        <f t="shared" ca="1" si="48"/>
        <v>108</v>
      </c>
      <c r="L452" s="75">
        <f ca="1">IF(ABS('main page'!$K$29*L451+(1-'main page'!$K$29)*(controls!$B$9/100)*100+'main page'!$K$25*(D452-B452)-L451)&lt;0.0000001,L451,'main page'!$K$29*L451+(1-'main page'!$K$29)*(controls!$B$9/100)*100+'main page'!$K$25*(D452-B452))</f>
        <v>2</v>
      </c>
      <c r="M452" s="96">
        <f ca="1">IF(controls!$B$10=1,M451,IF(SUM(controls!$B$44:$B$46)=2,N452-'main page'!$K$29*'normal case'!L452-(1-'main page'!$K$29)*'main page'!$K$32,N452-'main page'!$K$29*'normal case'!L452-(1-'main page'!$K$29)*controls!$B$9))</f>
        <v>4</v>
      </c>
      <c r="N452" s="208">
        <f ca="1">IF(controls!$B$45=1,IF(controls!$B$46=1,'main page'!$K$24+'main page'!$K$11+'main page'!$U$8,'main page'!$K$24+'main page'!$K$11+'main page'!$K$32),IF(controls!$B$44=1,IF(O452&lt;0,0,O452),IF(O452+'main page'!$K$11&lt;0,0,O452+'main page'!$K$11)))</f>
        <v>6</v>
      </c>
      <c r="O452" s="76">
        <f ca="1">IF(controls!$B$10=1,'normal case'!M452+'normal case'!L452,'normal case'!P452)</f>
        <v>6</v>
      </c>
      <c r="P452" s="74">
        <f t="shared" ref="P452:P502" ca="1" si="50">IF(Q452&lt;0,0,Q452)</f>
        <v>6</v>
      </c>
      <c r="Q452" s="210">
        <f ca="1">IF(controls!$B$44=0,R452+'main page'!$K$29*L452+(1-'main page'!$K$29)*controls!$B$9+(('main page'!$K$25*'main page'!$U$13*'main page'!$K$29)/('main page'!$K$27*(1+('main page'!$K$25^2)*'main page'!$U$13)))*(L452-controls!$B$9),R452+'main page'!$K$29*L452+(1-'main page'!$K$29)*controls!$B$9+(('main page'!$K$25*'main page'!$U$13*'normal case'!$AO$3)/'normal case'!$AO$4)*('normal case'!L452-controls!$B$9))</f>
        <v>6</v>
      </c>
      <c r="R452" s="98">
        <f ca="1">IF(controls!$B$44=1,'main page'!$K$24+'main page'!$K$11,IF(controls!$B$33=1,((I453-D452*W453-B453+B452*V453)/'main page'!$K$27)-'main page'!$K$11,((H453-D452*W453-B453+B452*V453)/'main page'!$K$27)-'main page'!$K$11))</f>
        <v>4</v>
      </c>
      <c r="T452" s="71">
        <f>IF(controls!$B$6=1,$AL$3*(1+('main page'!$K$35/100))^U452-$AL$3*(1+('main page'!$K$35/100))^U451,$AL$3*(1+('main page'!$G$8/100))*(1+('main page'!$K$35/100))^U452-$AL$3*(1+('main page'!$G$8/100))*(1+('main page'!$K$35/100))^U451)</f>
        <v>0</v>
      </c>
      <c r="U452" s="73">
        <v>445</v>
      </c>
      <c r="V452" s="161">
        <f ca="1">IF(controls!$B$4=1,IF(controls!$H451=1,controls!$B$34*V451+RAND()*('main page'!$K$16/100)-RAND()*('main page'!$K$16/100),0),0)</f>
        <v>0</v>
      </c>
      <c r="W452" s="40">
        <f ca="1">IF(controls!$B$4=1,IF(controls!$I451=1,controls!$B$34*W451+RAND()*('main page'!$K$16/100)-RAND()*('main page'!$K$16/100),0),0)</f>
        <v>0</v>
      </c>
      <c r="X452" s="49">
        <f ca="1">IF(controls!$B$33=1,D452-($I$3-'main page'!$K$27*2)*(1+('main page'!$K$35/100))^A451,D452-$AL$4)</f>
        <v>0</v>
      </c>
      <c r="Y452" s="49">
        <f ca="1">ABS(L452-(controls!$B$9/100)*100)</f>
        <v>0</v>
      </c>
      <c r="AA452" s="49" t="e">
        <f ca="1">IF(controls!$B$33=1,(B453-B452*V453-I453+D452*W453+'main page'!$K$27*('main page'!$K$24+'main page'!$K$11))/'main page'!$K$31,(B453-B452*V453+D452*W453-H453+'main page'!$K$27*('main page'!$K$24+'main page'!$K$11))/'main page'!$K$31)</f>
        <v>#DIV/0!</v>
      </c>
      <c r="AB452" s="49" t="e">
        <f ca="1">IF(controls!$B$45=1,LOG(AF452,1.01)+LOG(AE452,1.01)-LOG(AD452,1.01),-((M452-('main page'!$K$24+'main page'!$K$11))/(1-'normal case'!$AO$3))+'normal case'!AA452)</f>
        <v>#DIV/0!</v>
      </c>
      <c r="AC452" s="176" t="e">
        <f t="shared" ref="AC452:AC502" ca="1" si="51">IF(ABS(1.025^AB452-1)&lt;0.000000000001,1,1.025^AB452)</f>
        <v>#DIV/0!</v>
      </c>
      <c r="AD452" s="49">
        <f t="shared" ref="AD452:AD502" ca="1" si="52">AD451*(1+L452/100)</f>
        <v>7269.041044524839</v>
      </c>
      <c r="AE452" s="49">
        <f>AE451*(1+'main page'!$K$32/100)</f>
        <v>1</v>
      </c>
      <c r="AF452" s="49" t="e">
        <f ca="1">IF(ABS(IF(controls!$B$45=1,$AL$13,AD452*AC452/AE452)-AF451)&lt;0.00001,AF451,IF(controls!$B$45=1,$AL$13,AD452*AC452/AE452))</f>
        <v>#DIV/0!</v>
      </c>
      <c r="AG452" s="49">
        <f>IF(controls!$B$46=0,0,IF(controls!$B$33=2,B453-B452*V453-('normal case'!H453-D452*W453-'main page'!$K$27*'normal case'!M452+'main page'!$K$31*'normal case'!AB452)-(('main page'!$K$25*'main page'!$U$13*'main page'!$K$29)/(1+('main page'!$K$25^2)*'main page'!$U$13))*('normal case'!L452-'main page'!$U$8),B453-B452*V453-('normal case'!I453-D452*W453-'main page'!$K$27*'normal case'!M452+'main page'!$K$31*'normal case'!AB452)-(('main page'!$K$25*'main page'!$U$13*'main page'!$K$29)/(1+('main page'!$K$25^2)*'main page'!$U$13))*('normal case'!L452-'main page'!$U$8)))</f>
        <v>0</v>
      </c>
      <c r="AN452" s="40"/>
      <c r="AO452" s="40"/>
    </row>
    <row r="453" spans="1:41">
      <c r="A453" s="48">
        <v>451</v>
      </c>
      <c r="B453" s="75">
        <f ca="1">IF(controls!$B$33=1,B452*(1+V453)+T453,B452*(1+V453))</f>
        <v>100</v>
      </c>
      <c r="C453" s="80">
        <f t="shared" ca="1" si="46"/>
        <v>0</v>
      </c>
      <c r="D453" s="77">
        <f t="shared" ca="1" si="49"/>
        <v>100</v>
      </c>
      <c r="E453" s="77">
        <f ca="1">AG452+IF(controls!$B$33=1,G453,F453)</f>
        <v>100</v>
      </c>
      <c r="F453" s="94">
        <f ca="1">IF(controls!$B$44=0,H453-'main page'!$K$27*M452,H453-'main page'!$K$27*M452+'main page'!$K$31*AB452)</f>
        <v>100</v>
      </c>
      <c r="G453" s="75">
        <f ca="1">IF(controls!$B$44=0,I453-'main page'!$K$27*M452,I453-'main page'!$K$27*M452+'main page'!$K$31*'normal case'!AB452)</f>
        <v>100</v>
      </c>
      <c r="H453" s="75">
        <f t="shared" ca="1" si="47"/>
        <v>108</v>
      </c>
      <c r="I453" s="75">
        <f t="shared" ca="1" si="48"/>
        <v>108</v>
      </c>
      <c r="L453" s="75">
        <f ca="1">IF(ABS('main page'!$K$29*L452+(1-'main page'!$K$29)*(controls!$B$9/100)*100+'main page'!$K$25*(D453-B453)-L452)&lt;0.0000001,L452,'main page'!$K$29*L452+(1-'main page'!$K$29)*(controls!$B$9/100)*100+'main page'!$K$25*(D453-B453))</f>
        <v>2</v>
      </c>
      <c r="M453" s="96">
        <f ca="1">IF(controls!$B$10=1,M452,IF(SUM(controls!$B$44:$B$46)=2,N453-'main page'!$K$29*'normal case'!L453-(1-'main page'!$K$29)*'main page'!$K$32,N453-'main page'!$K$29*'normal case'!L453-(1-'main page'!$K$29)*controls!$B$9))</f>
        <v>4</v>
      </c>
      <c r="N453" s="208">
        <f ca="1">IF(controls!$B$45=1,IF(controls!$B$46=1,'main page'!$K$24+'main page'!$K$11+'main page'!$U$8,'main page'!$K$24+'main page'!$K$11+'main page'!$K$32),IF(controls!$B$44=1,IF(O453&lt;0,0,O453),IF(O453+'main page'!$K$11&lt;0,0,O453+'main page'!$K$11)))</f>
        <v>6</v>
      </c>
      <c r="O453" s="76">
        <f ca="1">IF(controls!$B$10=1,'normal case'!M453+'normal case'!L453,'normal case'!P453)</f>
        <v>6</v>
      </c>
      <c r="P453" s="74">
        <f t="shared" ca="1" si="50"/>
        <v>6</v>
      </c>
      <c r="Q453" s="210">
        <f ca="1">IF(controls!$B$44=0,R453+'main page'!$K$29*L453+(1-'main page'!$K$29)*controls!$B$9+(('main page'!$K$25*'main page'!$U$13*'main page'!$K$29)/('main page'!$K$27*(1+('main page'!$K$25^2)*'main page'!$U$13)))*(L453-controls!$B$9),R453+'main page'!$K$29*L453+(1-'main page'!$K$29)*controls!$B$9+(('main page'!$K$25*'main page'!$U$13*'normal case'!$AO$3)/'normal case'!$AO$4)*('normal case'!L453-controls!$B$9))</f>
        <v>6</v>
      </c>
      <c r="R453" s="98">
        <f ca="1">IF(controls!$B$44=1,'main page'!$K$24+'main page'!$K$11,IF(controls!$B$33=1,((I454-D453*W454-B454+B453*V454)/'main page'!$K$27)-'main page'!$K$11,((H454-D453*W454-B454+B453*V454)/'main page'!$K$27)-'main page'!$K$11))</f>
        <v>4</v>
      </c>
      <c r="T453" s="71">
        <f>IF(controls!$B$6=1,$AL$3*(1+('main page'!$K$35/100))^U453-$AL$3*(1+('main page'!$K$35/100))^U452,$AL$3*(1+('main page'!$G$8/100))*(1+('main page'!$K$35/100))^U453-$AL$3*(1+('main page'!$G$8/100))*(1+('main page'!$K$35/100))^U452)</f>
        <v>0</v>
      </c>
      <c r="U453" s="73">
        <v>446</v>
      </c>
      <c r="V453" s="161">
        <v>0</v>
      </c>
      <c r="W453" s="40">
        <v>0</v>
      </c>
      <c r="X453" s="49">
        <f ca="1">IF(controls!$B$33=1,D453-($I$3-'main page'!$K$27*2)*(1+('main page'!$K$35/100))^A452,D453-$AL$4)</f>
        <v>0</v>
      </c>
      <c r="Y453" s="49">
        <f ca="1">ABS(L453-(controls!$B$9/100)*100)</f>
        <v>0</v>
      </c>
      <c r="AA453" s="49" t="e">
        <f ca="1">IF(controls!$B$33=1,(B454-B453*V454-I454+D453*W454+'main page'!$K$27*('main page'!$K$24+'main page'!$K$11))/'main page'!$K$31,(B454-B453*V454+D453*W454-H454+'main page'!$K$27*('main page'!$K$24+'main page'!$K$11))/'main page'!$K$31)</f>
        <v>#DIV/0!</v>
      </c>
      <c r="AB453" s="49" t="e">
        <f ca="1">IF(controls!$B$45=1,LOG(AF453,1.01)+LOG(AE453,1.01)-LOG(AD453,1.01),-((M453-('main page'!$K$24+'main page'!$K$11))/(1-'normal case'!$AO$3))+'normal case'!AA453)</f>
        <v>#DIV/0!</v>
      </c>
      <c r="AC453" s="176" t="e">
        <f t="shared" ca="1" si="51"/>
        <v>#DIV/0!</v>
      </c>
      <c r="AD453" s="49">
        <f t="shared" ca="1" si="52"/>
        <v>7414.4218654153356</v>
      </c>
      <c r="AE453" s="49">
        <f>AE452*(1+'main page'!$K$32/100)</f>
        <v>1</v>
      </c>
      <c r="AF453" s="49" t="e">
        <f ca="1">IF(ABS(IF(controls!$B$45=1,$AL$13,AD453*AC453/AE453)-AF452)&lt;0.00001,AF452,IF(controls!$B$45=1,$AL$13,AD453*AC453/AE453))</f>
        <v>#DIV/0!</v>
      </c>
      <c r="AG453" s="49">
        <f>IF(controls!$B$46=0,0,IF(controls!$B$33=2,B454-B453*V454-('normal case'!H454-D453*W454-'main page'!$K$27*'normal case'!M453+'main page'!$K$31*'normal case'!AB453)-(('main page'!$K$25*'main page'!$U$13*'main page'!$K$29)/(1+('main page'!$K$25^2)*'main page'!$U$13))*('normal case'!L453-'main page'!$U$8),B454-B453*V454-('normal case'!I454-D453*W454-'main page'!$K$27*'normal case'!M453+'main page'!$K$31*'normal case'!AB453)-(('main page'!$K$25*'main page'!$U$13*'main page'!$K$29)/(1+('main page'!$K$25^2)*'main page'!$U$13))*('normal case'!L453-'main page'!$U$8)))</f>
        <v>0</v>
      </c>
      <c r="AN453" s="40"/>
      <c r="AO453" s="40"/>
    </row>
    <row r="454" spans="1:41">
      <c r="A454" s="48">
        <v>452</v>
      </c>
      <c r="B454" s="75">
        <f ca="1">IF(controls!$B$33=1,B453*(1+V454)+T454,B453*(1+V454))</f>
        <v>100</v>
      </c>
      <c r="C454" s="80">
        <f t="shared" ref="C454:C502" ca="1" si="53">IF(ABS((D454/D453-1)-C453)&lt;0.000001,C453,D454/D453-1)</f>
        <v>0</v>
      </c>
      <c r="D454" s="77">
        <f t="shared" ca="1" si="49"/>
        <v>100</v>
      </c>
      <c r="E454" s="77">
        <f ca="1">AG453+IF(controls!$B$33=1,G454,F454)</f>
        <v>100</v>
      </c>
      <c r="F454" s="94">
        <f ca="1">IF(controls!$B$44=0,H454-'main page'!$K$27*M453,H454-'main page'!$K$27*M453+'main page'!$K$31*AB453)</f>
        <v>100</v>
      </c>
      <c r="G454" s="75">
        <f ca="1">IF(controls!$B$44=0,I454-'main page'!$K$27*M453,I454-'main page'!$K$27*M453+'main page'!$K$31*'normal case'!AB453)</f>
        <v>100</v>
      </c>
      <c r="H454" s="75">
        <f t="shared" ca="1" si="47"/>
        <v>108</v>
      </c>
      <c r="I454" s="75">
        <f t="shared" ca="1" si="48"/>
        <v>108</v>
      </c>
      <c r="L454" s="75">
        <f ca="1">IF(ABS('main page'!$K$29*L453+(1-'main page'!$K$29)*(controls!$B$9/100)*100+'main page'!$K$25*(D454-B454)-L453)&lt;0.0000001,L453,'main page'!$K$29*L453+(1-'main page'!$K$29)*(controls!$B$9/100)*100+'main page'!$K$25*(D454-B454))</f>
        <v>2</v>
      </c>
      <c r="M454" s="96">
        <f ca="1">IF(controls!$B$10=1,M453,IF(SUM(controls!$B$44:$B$46)=2,N454-'main page'!$K$29*'normal case'!L454-(1-'main page'!$K$29)*'main page'!$K$32,N454-'main page'!$K$29*'normal case'!L454-(1-'main page'!$K$29)*controls!$B$9))</f>
        <v>4</v>
      </c>
      <c r="N454" s="208">
        <f ca="1">IF(controls!$B$45=1,IF(controls!$B$46=1,'main page'!$K$24+'main page'!$K$11+'main page'!$U$8,'main page'!$K$24+'main page'!$K$11+'main page'!$K$32),IF(controls!$B$44=1,IF(O454&lt;0,0,O454),IF(O454+'main page'!$K$11&lt;0,0,O454+'main page'!$K$11)))</f>
        <v>6</v>
      </c>
      <c r="O454" s="76">
        <f ca="1">IF(controls!$B$10=1,'normal case'!M454+'normal case'!L454,'normal case'!P454)</f>
        <v>6</v>
      </c>
      <c r="P454" s="74">
        <f t="shared" ca="1" si="50"/>
        <v>6</v>
      </c>
      <c r="Q454" s="210">
        <f ca="1">IF(controls!$B$44=0,R454+'main page'!$K$29*L454+(1-'main page'!$K$29)*controls!$B$9+(('main page'!$K$25*'main page'!$U$13*'main page'!$K$29)/('main page'!$K$27*(1+('main page'!$K$25^2)*'main page'!$U$13)))*(L454-controls!$B$9),R454+'main page'!$K$29*L454+(1-'main page'!$K$29)*controls!$B$9+(('main page'!$K$25*'main page'!$U$13*'normal case'!$AO$3)/'normal case'!$AO$4)*('normal case'!L454-controls!$B$9))</f>
        <v>6</v>
      </c>
      <c r="R454" s="98">
        <f ca="1">IF(controls!$B$44=1,'main page'!$K$24+'main page'!$K$11,IF(controls!$B$33=1,((I455-D454*W455-B455+B454*V455)/'main page'!$K$27)-'main page'!$K$11,((H455-D454*W455-B455+B454*V455)/'main page'!$K$27)-'main page'!$K$11))</f>
        <v>4</v>
      </c>
      <c r="T454" s="71">
        <f>IF(controls!$B$6=1,$AL$3*(1+('main page'!$K$35/100))^U454-$AL$3*(1+('main page'!$K$35/100))^U453,$AL$3*(1+('main page'!$G$8/100))*(1+('main page'!$K$35/100))^U454-$AL$3*(1+('main page'!$G$8/100))*(1+('main page'!$K$35/100))^U453)</f>
        <v>0</v>
      </c>
      <c r="U454" s="73">
        <v>447</v>
      </c>
      <c r="V454" s="161">
        <v>0</v>
      </c>
      <c r="W454" s="40">
        <v>0</v>
      </c>
      <c r="X454" s="49">
        <f ca="1">IF(controls!$B$33=1,D454-($I$3-'main page'!$K$27*2)*(1+('main page'!$K$35/100))^A453,D454-$AL$4)</f>
        <v>0</v>
      </c>
      <c r="Y454" s="49">
        <f ca="1">ABS(L454-(controls!$B$9/100)*100)</f>
        <v>0</v>
      </c>
      <c r="AA454" s="49" t="e">
        <f ca="1">IF(controls!$B$33=1,(B455-B454*V455-I455+D454*W455+'main page'!$K$27*('main page'!$K$24+'main page'!$K$11))/'main page'!$K$31,(B455-B454*V455+D454*W455-H455+'main page'!$K$27*('main page'!$K$24+'main page'!$K$11))/'main page'!$K$31)</f>
        <v>#DIV/0!</v>
      </c>
      <c r="AB454" s="49" t="e">
        <f ca="1">IF(controls!$B$45=1,LOG(AF454,1.01)+LOG(AE454,1.01)-LOG(AD454,1.01),-((M454-('main page'!$K$24+'main page'!$K$11))/(1-'normal case'!$AO$3))+'normal case'!AA454)</f>
        <v>#DIV/0!</v>
      </c>
      <c r="AC454" s="176" t="e">
        <f t="shared" ca="1" si="51"/>
        <v>#DIV/0!</v>
      </c>
      <c r="AD454" s="49">
        <f t="shared" ca="1" si="52"/>
        <v>7562.7103027236426</v>
      </c>
      <c r="AE454" s="49">
        <f>AE453*(1+'main page'!$K$32/100)</f>
        <v>1</v>
      </c>
      <c r="AF454" s="49" t="e">
        <f ca="1">IF(ABS(IF(controls!$B$45=1,$AL$13,AD454*AC454/AE454)-AF453)&lt;0.00001,AF453,IF(controls!$B$45=1,$AL$13,AD454*AC454/AE454))</f>
        <v>#DIV/0!</v>
      </c>
      <c r="AG454" s="49">
        <f>IF(controls!$B$46=0,0,IF(controls!$B$33=2,B455-B454*V455-('normal case'!H455-D454*W455-'main page'!$K$27*'normal case'!M454+'main page'!$K$31*'normal case'!AB454)-(('main page'!$K$25*'main page'!$U$13*'main page'!$K$29)/(1+('main page'!$K$25^2)*'main page'!$U$13))*('normal case'!L454-'main page'!$U$8),B455-B454*V455-('normal case'!I455-D454*W455-'main page'!$K$27*'normal case'!M454+'main page'!$K$31*'normal case'!AB454)-(('main page'!$K$25*'main page'!$U$13*'main page'!$K$29)/(1+('main page'!$K$25^2)*'main page'!$U$13))*('normal case'!L454-'main page'!$U$8)))</f>
        <v>0</v>
      </c>
      <c r="AN454" s="40"/>
      <c r="AO454" s="40"/>
    </row>
    <row r="455" spans="1:41">
      <c r="A455" s="48">
        <v>453</v>
      </c>
      <c r="B455" s="75">
        <f ca="1">IF(controls!$B$33=1,B454*(1+V455)+T455,B454*(1+V455))</f>
        <v>100</v>
      </c>
      <c r="C455" s="80">
        <f t="shared" ca="1" si="53"/>
        <v>0</v>
      </c>
      <c r="D455" s="77">
        <f t="shared" ca="1" si="49"/>
        <v>100</v>
      </c>
      <c r="E455" s="77">
        <f ca="1">AG454+IF(controls!$B$33=1,G455,F455)</f>
        <v>100</v>
      </c>
      <c r="F455" s="94">
        <f ca="1">IF(controls!$B$44=0,H455-'main page'!$K$27*M454,H455-'main page'!$K$27*M454+'main page'!$K$31*AB454)</f>
        <v>100</v>
      </c>
      <c r="G455" s="75">
        <f ca="1">IF(controls!$B$44=0,I455-'main page'!$K$27*M454,I455-'main page'!$K$27*M454+'main page'!$K$31*'normal case'!AB454)</f>
        <v>100</v>
      </c>
      <c r="H455" s="75">
        <f t="shared" ca="1" si="47"/>
        <v>108</v>
      </c>
      <c r="I455" s="75">
        <f t="shared" ca="1" si="48"/>
        <v>108</v>
      </c>
      <c r="L455" s="75">
        <f ca="1">IF(ABS('main page'!$K$29*L454+(1-'main page'!$K$29)*(controls!$B$9/100)*100+'main page'!$K$25*(D455-B455)-L454)&lt;0.0000001,L454,'main page'!$K$29*L454+(1-'main page'!$K$29)*(controls!$B$9/100)*100+'main page'!$K$25*(D455-B455))</f>
        <v>2</v>
      </c>
      <c r="M455" s="96">
        <f ca="1">IF(controls!$B$10=1,M454,IF(SUM(controls!$B$44:$B$46)=2,N455-'main page'!$K$29*'normal case'!L455-(1-'main page'!$K$29)*'main page'!$K$32,N455-'main page'!$K$29*'normal case'!L455-(1-'main page'!$K$29)*controls!$B$9))</f>
        <v>4</v>
      </c>
      <c r="N455" s="208">
        <f ca="1">IF(controls!$B$45=1,IF(controls!$B$46=1,'main page'!$K$24+'main page'!$K$11+'main page'!$U$8,'main page'!$K$24+'main page'!$K$11+'main page'!$K$32),IF(controls!$B$44=1,IF(O455&lt;0,0,O455),IF(O455+'main page'!$K$11&lt;0,0,O455+'main page'!$K$11)))</f>
        <v>6</v>
      </c>
      <c r="O455" s="76">
        <f ca="1">IF(controls!$B$10=1,'normal case'!M455+'normal case'!L455,'normal case'!P455)</f>
        <v>6</v>
      </c>
      <c r="P455" s="74">
        <f t="shared" ca="1" si="50"/>
        <v>6</v>
      </c>
      <c r="Q455" s="210">
        <f ca="1">IF(controls!$B$44=0,R455+'main page'!$K$29*L455+(1-'main page'!$K$29)*controls!$B$9+(('main page'!$K$25*'main page'!$U$13*'main page'!$K$29)/('main page'!$K$27*(1+('main page'!$K$25^2)*'main page'!$U$13)))*(L455-controls!$B$9),R455+'main page'!$K$29*L455+(1-'main page'!$K$29)*controls!$B$9+(('main page'!$K$25*'main page'!$U$13*'normal case'!$AO$3)/'normal case'!$AO$4)*('normal case'!L455-controls!$B$9))</f>
        <v>6</v>
      </c>
      <c r="R455" s="98">
        <f ca="1">IF(controls!$B$44=1,'main page'!$K$24+'main page'!$K$11,IF(controls!$B$33=1,((I456-D455*W456-B456+B455*V456)/'main page'!$K$27)-'main page'!$K$11,((H456-D455*W456-B456+B455*V456)/'main page'!$K$27)-'main page'!$K$11))</f>
        <v>4</v>
      </c>
      <c r="T455" s="71">
        <f>IF(controls!$B$6=1,$AL$3*(1+('main page'!$K$35/100))^U455-$AL$3*(1+('main page'!$K$35/100))^U454,$AL$3*(1+('main page'!$G$8/100))*(1+('main page'!$K$35/100))^U455-$AL$3*(1+('main page'!$G$8/100))*(1+('main page'!$K$35/100))^U454)</f>
        <v>0</v>
      </c>
      <c r="U455" s="73">
        <v>448</v>
      </c>
      <c r="V455" s="161">
        <f ca="1">IF(controls!$B$4=1,IF(controls!$H454=1,controls!$B$34*V454+RAND()*('main page'!$K$16/100)-RAND()*('main page'!$K$16/100),0),0)</f>
        <v>0</v>
      </c>
      <c r="W455" s="40">
        <f ca="1">IF(controls!$B$4=1,IF(controls!$I454=1,controls!$B$34*W454+RAND()*('main page'!$K$16/100)-RAND()*('main page'!$K$16/100),0),0)</f>
        <v>0</v>
      </c>
      <c r="X455" s="49">
        <f ca="1">IF(controls!$B$33=1,D455-($I$3-'main page'!$K$27*2)*(1+('main page'!$K$35/100))^A454,D455-$AL$4)</f>
        <v>0</v>
      </c>
      <c r="Y455" s="49">
        <f ca="1">ABS(L455-(controls!$B$9/100)*100)</f>
        <v>0</v>
      </c>
      <c r="AA455" s="49" t="e">
        <f ca="1">IF(controls!$B$33=1,(B456-B455*V456-I456+D455*W456+'main page'!$K$27*('main page'!$K$24+'main page'!$K$11))/'main page'!$K$31,(B456-B455*V456+D455*W456-H456+'main page'!$K$27*('main page'!$K$24+'main page'!$K$11))/'main page'!$K$31)</f>
        <v>#DIV/0!</v>
      </c>
      <c r="AB455" s="49" t="e">
        <f ca="1">IF(controls!$B$45=1,LOG(AF455,1.01)+LOG(AE455,1.01)-LOG(AD455,1.01),-((M455-('main page'!$K$24+'main page'!$K$11))/(1-'normal case'!$AO$3))+'normal case'!AA455)</f>
        <v>#DIV/0!</v>
      </c>
      <c r="AC455" s="176" t="e">
        <f t="shared" ca="1" si="51"/>
        <v>#DIV/0!</v>
      </c>
      <c r="AD455" s="49">
        <f t="shared" ca="1" si="52"/>
        <v>7713.9645087781155</v>
      </c>
      <c r="AE455" s="49">
        <f>AE454*(1+'main page'!$K$32/100)</f>
        <v>1</v>
      </c>
      <c r="AF455" s="49" t="e">
        <f ca="1">IF(ABS(IF(controls!$B$45=1,$AL$13,AD455*AC455/AE455)-AF454)&lt;0.00001,AF454,IF(controls!$B$45=1,$AL$13,AD455*AC455/AE455))</f>
        <v>#DIV/0!</v>
      </c>
      <c r="AG455" s="49">
        <f>IF(controls!$B$46=0,0,IF(controls!$B$33=2,B456-B455*V456-('normal case'!H456-D455*W456-'main page'!$K$27*'normal case'!M455+'main page'!$K$31*'normal case'!AB455)-(('main page'!$K$25*'main page'!$U$13*'main page'!$K$29)/(1+('main page'!$K$25^2)*'main page'!$U$13))*('normal case'!L455-'main page'!$U$8),B456-B455*V456-('normal case'!I456-D455*W456-'main page'!$K$27*'normal case'!M455+'main page'!$K$31*'normal case'!AB455)-(('main page'!$K$25*'main page'!$U$13*'main page'!$K$29)/(1+('main page'!$K$25^2)*'main page'!$U$13))*('normal case'!L455-'main page'!$U$8)))</f>
        <v>0</v>
      </c>
      <c r="AN455" s="40"/>
      <c r="AO455" s="40"/>
    </row>
    <row r="456" spans="1:41">
      <c r="A456" s="48">
        <v>454</v>
      </c>
      <c r="B456" s="75">
        <f ca="1">IF(controls!$B$33=1,B455*(1+V456)+T456,B455*(1+V456))</f>
        <v>100</v>
      </c>
      <c r="C456" s="80">
        <f t="shared" ca="1" si="53"/>
        <v>0</v>
      </c>
      <c r="D456" s="77">
        <f t="shared" ca="1" si="49"/>
        <v>100</v>
      </c>
      <c r="E456" s="77">
        <f ca="1">AG455+IF(controls!$B$33=1,G456,F456)</f>
        <v>100</v>
      </c>
      <c r="F456" s="94">
        <f ca="1">IF(controls!$B$44=0,H456-'main page'!$K$27*M455,H456-'main page'!$K$27*M455+'main page'!$K$31*AB455)</f>
        <v>100</v>
      </c>
      <c r="G456" s="75">
        <f ca="1">IF(controls!$B$44=0,I456-'main page'!$K$27*M455,I456-'main page'!$K$27*M455+'main page'!$K$31*'normal case'!AB455)</f>
        <v>100</v>
      </c>
      <c r="H456" s="75">
        <f t="shared" ca="1" si="47"/>
        <v>108</v>
      </c>
      <c r="I456" s="75">
        <f t="shared" ca="1" si="48"/>
        <v>108</v>
      </c>
      <c r="L456" s="75">
        <f ca="1">IF(ABS('main page'!$K$29*L455+(1-'main page'!$K$29)*(controls!$B$9/100)*100+'main page'!$K$25*(D456-B456)-L455)&lt;0.0000001,L455,'main page'!$K$29*L455+(1-'main page'!$K$29)*(controls!$B$9/100)*100+'main page'!$K$25*(D456-B456))</f>
        <v>2</v>
      </c>
      <c r="M456" s="96">
        <f ca="1">IF(controls!$B$10=1,M455,IF(SUM(controls!$B$44:$B$46)=2,N456-'main page'!$K$29*'normal case'!L456-(1-'main page'!$K$29)*'main page'!$K$32,N456-'main page'!$K$29*'normal case'!L456-(1-'main page'!$K$29)*controls!$B$9))</f>
        <v>4</v>
      </c>
      <c r="N456" s="208">
        <f ca="1">IF(controls!$B$45=1,IF(controls!$B$46=1,'main page'!$K$24+'main page'!$K$11+'main page'!$U$8,'main page'!$K$24+'main page'!$K$11+'main page'!$K$32),IF(controls!$B$44=1,IF(O456&lt;0,0,O456),IF(O456+'main page'!$K$11&lt;0,0,O456+'main page'!$K$11)))</f>
        <v>6</v>
      </c>
      <c r="O456" s="76">
        <f ca="1">IF(controls!$B$10=1,'normal case'!M456+'normal case'!L456,'normal case'!P456)</f>
        <v>6</v>
      </c>
      <c r="P456" s="74">
        <f t="shared" ca="1" si="50"/>
        <v>6</v>
      </c>
      <c r="Q456" s="210">
        <f ca="1">IF(controls!$B$44=0,R456+'main page'!$K$29*L456+(1-'main page'!$K$29)*controls!$B$9+(('main page'!$K$25*'main page'!$U$13*'main page'!$K$29)/('main page'!$K$27*(1+('main page'!$K$25^2)*'main page'!$U$13)))*(L456-controls!$B$9),R456+'main page'!$K$29*L456+(1-'main page'!$K$29)*controls!$B$9+(('main page'!$K$25*'main page'!$U$13*'normal case'!$AO$3)/'normal case'!$AO$4)*('normal case'!L456-controls!$B$9))</f>
        <v>6</v>
      </c>
      <c r="R456" s="98">
        <f ca="1">IF(controls!$B$44=1,'main page'!$K$24+'main page'!$K$11,IF(controls!$B$33=1,((I457-D456*W457-B457+B456*V457)/'main page'!$K$27)-'main page'!$K$11,((H457-D456*W457-B457+B456*V457)/'main page'!$K$27)-'main page'!$K$11))</f>
        <v>4</v>
      </c>
      <c r="T456" s="71">
        <f>IF(controls!$B$6=1,$AL$3*(1+('main page'!$K$35/100))^U456-$AL$3*(1+('main page'!$K$35/100))^U455,$AL$3*(1+('main page'!$G$8/100))*(1+('main page'!$K$35/100))^U456-$AL$3*(1+('main page'!$G$8/100))*(1+('main page'!$K$35/100))^U455)</f>
        <v>0</v>
      </c>
      <c r="U456" s="73">
        <v>449</v>
      </c>
      <c r="V456" s="161">
        <v>0</v>
      </c>
      <c r="W456" s="40">
        <v>0</v>
      </c>
      <c r="X456" s="49">
        <f ca="1">IF(controls!$B$33=1,D456-($I$3-'main page'!$K$27*2)*(1+('main page'!$K$35/100))^A455,D456-$AL$4)</f>
        <v>0</v>
      </c>
      <c r="Y456" s="49">
        <f ca="1">ABS(L456-(controls!$B$9/100)*100)</f>
        <v>0</v>
      </c>
      <c r="AA456" s="49" t="e">
        <f ca="1">IF(controls!$B$33=1,(B457-B456*V457-I457+D456*W457+'main page'!$K$27*('main page'!$K$24+'main page'!$K$11))/'main page'!$K$31,(B457-B456*V457+D456*W457-H457+'main page'!$K$27*('main page'!$K$24+'main page'!$K$11))/'main page'!$K$31)</f>
        <v>#DIV/0!</v>
      </c>
      <c r="AB456" s="49" t="e">
        <f ca="1">IF(controls!$B$45=1,LOG(AF456,1.01)+LOG(AE456,1.01)-LOG(AD456,1.01),-((M456-('main page'!$K$24+'main page'!$K$11))/(1-'normal case'!$AO$3))+'normal case'!AA456)</f>
        <v>#DIV/0!</v>
      </c>
      <c r="AC456" s="176" t="e">
        <f t="shared" ca="1" si="51"/>
        <v>#DIV/0!</v>
      </c>
      <c r="AD456" s="49">
        <f t="shared" ca="1" si="52"/>
        <v>7868.2437989536784</v>
      </c>
      <c r="AE456" s="49">
        <f>AE455*(1+'main page'!$K$32/100)</f>
        <v>1</v>
      </c>
      <c r="AF456" s="49" t="e">
        <f ca="1">IF(ABS(IF(controls!$B$45=1,$AL$13,AD456*AC456/AE456)-AF455)&lt;0.00001,AF455,IF(controls!$B$45=1,$AL$13,AD456*AC456/AE456))</f>
        <v>#DIV/0!</v>
      </c>
      <c r="AG456" s="49">
        <f>IF(controls!$B$46=0,0,IF(controls!$B$33=2,B457-B456*V457-('normal case'!H457-D456*W457-'main page'!$K$27*'normal case'!M456+'main page'!$K$31*'normal case'!AB456)-(('main page'!$K$25*'main page'!$U$13*'main page'!$K$29)/(1+('main page'!$K$25^2)*'main page'!$U$13))*('normal case'!L456-'main page'!$U$8),B457-B456*V457-('normal case'!I457-D456*W457-'main page'!$K$27*'normal case'!M456+'main page'!$K$31*'normal case'!AB456)-(('main page'!$K$25*'main page'!$U$13*'main page'!$K$29)/(1+('main page'!$K$25^2)*'main page'!$U$13))*('normal case'!L456-'main page'!$U$8)))</f>
        <v>0</v>
      </c>
      <c r="AN456" s="40"/>
      <c r="AO456" s="40"/>
    </row>
    <row r="457" spans="1:41">
      <c r="A457" s="48">
        <v>455</v>
      </c>
      <c r="B457" s="75">
        <f ca="1">IF(controls!$B$33=1,B456*(1+V457)+T457,B456*(1+V457))</f>
        <v>100</v>
      </c>
      <c r="C457" s="80">
        <f t="shared" ca="1" si="53"/>
        <v>0</v>
      </c>
      <c r="D457" s="77">
        <f t="shared" ca="1" si="49"/>
        <v>100</v>
      </c>
      <c r="E457" s="77">
        <f ca="1">AG456+IF(controls!$B$33=1,G457,F457)</f>
        <v>100</v>
      </c>
      <c r="F457" s="94">
        <f ca="1">IF(controls!$B$44=0,H457-'main page'!$K$27*M456,H457-'main page'!$K$27*M456+'main page'!$K$31*AB456)</f>
        <v>100</v>
      </c>
      <c r="G457" s="75">
        <f ca="1">IF(controls!$B$44=0,I457-'main page'!$K$27*M456,I457-'main page'!$K$27*M456+'main page'!$K$31*'normal case'!AB456)</f>
        <v>100</v>
      </c>
      <c r="H457" s="75">
        <f t="shared" ca="1" si="47"/>
        <v>108</v>
      </c>
      <c r="I457" s="75">
        <f t="shared" ca="1" si="48"/>
        <v>108</v>
      </c>
      <c r="L457" s="75">
        <f ca="1">IF(ABS('main page'!$K$29*L456+(1-'main page'!$K$29)*(controls!$B$9/100)*100+'main page'!$K$25*(D457-B457)-L456)&lt;0.0000001,L456,'main page'!$K$29*L456+(1-'main page'!$K$29)*(controls!$B$9/100)*100+'main page'!$K$25*(D457-B457))</f>
        <v>2</v>
      </c>
      <c r="M457" s="96">
        <f ca="1">IF(controls!$B$10=1,M456,IF(SUM(controls!$B$44:$B$46)=2,N457-'main page'!$K$29*'normal case'!L457-(1-'main page'!$K$29)*'main page'!$K$32,N457-'main page'!$K$29*'normal case'!L457-(1-'main page'!$K$29)*controls!$B$9))</f>
        <v>4</v>
      </c>
      <c r="N457" s="208">
        <f ca="1">IF(controls!$B$45=1,IF(controls!$B$46=1,'main page'!$K$24+'main page'!$K$11+'main page'!$U$8,'main page'!$K$24+'main page'!$K$11+'main page'!$K$32),IF(controls!$B$44=1,IF(O457&lt;0,0,O457),IF(O457+'main page'!$K$11&lt;0,0,O457+'main page'!$K$11)))</f>
        <v>6</v>
      </c>
      <c r="O457" s="76">
        <f ca="1">IF(controls!$B$10=1,'normal case'!M457+'normal case'!L457,'normal case'!P457)</f>
        <v>6</v>
      </c>
      <c r="P457" s="74">
        <f t="shared" ca="1" si="50"/>
        <v>6</v>
      </c>
      <c r="Q457" s="210">
        <f ca="1">IF(controls!$B$44=0,R457+'main page'!$K$29*L457+(1-'main page'!$K$29)*controls!$B$9+(('main page'!$K$25*'main page'!$U$13*'main page'!$K$29)/('main page'!$K$27*(1+('main page'!$K$25^2)*'main page'!$U$13)))*(L457-controls!$B$9),R457+'main page'!$K$29*L457+(1-'main page'!$K$29)*controls!$B$9+(('main page'!$K$25*'main page'!$U$13*'normal case'!$AO$3)/'normal case'!$AO$4)*('normal case'!L457-controls!$B$9))</f>
        <v>6</v>
      </c>
      <c r="R457" s="98">
        <f ca="1">IF(controls!$B$44=1,'main page'!$K$24+'main page'!$K$11,IF(controls!$B$33=1,((I458-D457*W458-B458+B457*V458)/'main page'!$K$27)-'main page'!$K$11,((H458-D457*W458-B458+B457*V458)/'main page'!$K$27)-'main page'!$K$11))</f>
        <v>4</v>
      </c>
      <c r="T457" s="71">
        <f>IF(controls!$B$6=1,$AL$3*(1+('main page'!$K$35/100))^U457-$AL$3*(1+('main page'!$K$35/100))^U456,$AL$3*(1+('main page'!$G$8/100))*(1+('main page'!$K$35/100))^U457-$AL$3*(1+('main page'!$G$8/100))*(1+('main page'!$K$35/100))^U456)</f>
        <v>0</v>
      </c>
      <c r="U457" s="73">
        <v>450</v>
      </c>
      <c r="V457" s="161">
        <v>0</v>
      </c>
      <c r="W457" s="40">
        <v>0</v>
      </c>
      <c r="X457" s="49">
        <f ca="1">IF(controls!$B$33=1,D457-($I$3-'main page'!$K$27*2)*(1+('main page'!$K$35/100))^A456,D457-$AL$4)</f>
        <v>0</v>
      </c>
      <c r="Y457" s="49">
        <f ca="1">ABS(L457-(controls!$B$9/100)*100)</f>
        <v>0</v>
      </c>
      <c r="AA457" s="49" t="e">
        <f ca="1">IF(controls!$B$33=1,(B458-B457*V458-I458+D457*W458+'main page'!$K$27*('main page'!$K$24+'main page'!$K$11))/'main page'!$K$31,(B458-B457*V458+D457*W458-H458+'main page'!$K$27*('main page'!$K$24+'main page'!$K$11))/'main page'!$K$31)</f>
        <v>#DIV/0!</v>
      </c>
      <c r="AB457" s="49" t="e">
        <f ca="1">IF(controls!$B$45=1,LOG(AF457,1.01)+LOG(AE457,1.01)-LOG(AD457,1.01),-((M457-('main page'!$K$24+'main page'!$K$11))/(1-'normal case'!$AO$3))+'normal case'!AA457)</f>
        <v>#DIV/0!</v>
      </c>
      <c r="AC457" s="176" t="e">
        <f t="shared" ca="1" si="51"/>
        <v>#DIV/0!</v>
      </c>
      <c r="AD457" s="49">
        <f t="shared" ca="1" si="52"/>
        <v>8025.6086749327524</v>
      </c>
      <c r="AE457" s="49">
        <f>AE456*(1+'main page'!$K$32/100)</f>
        <v>1</v>
      </c>
      <c r="AF457" s="49" t="e">
        <f ca="1">IF(ABS(IF(controls!$B$45=1,$AL$13,AD457*AC457/AE457)-AF456)&lt;0.00001,AF456,IF(controls!$B$45=1,$AL$13,AD457*AC457/AE457))</f>
        <v>#DIV/0!</v>
      </c>
      <c r="AG457" s="49">
        <f>IF(controls!$B$46=0,0,IF(controls!$B$33=2,B458-B457*V458-('normal case'!H458-D457*W458-'main page'!$K$27*'normal case'!M457+'main page'!$K$31*'normal case'!AB457)-(('main page'!$K$25*'main page'!$U$13*'main page'!$K$29)/(1+('main page'!$K$25^2)*'main page'!$U$13))*('normal case'!L457-'main page'!$U$8),B458-B457*V458-('normal case'!I458-D457*W458-'main page'!$K$27*'normal case'!M457+'main page'!$K$31*'normal case'!AB457)-(('main page'!$K$25*'main page'!$U$13*'main page'!$K$29)/(1+('main page'!$K$25^2)*'main page'!$U$13))*('normal case'!L457-'main page'!$U$8)))</f>
        <v>0</v>
      </c>
      <c r="AN457" s="40"/>
      <c r="AO457" s="40"/>
    </row>
    <row r="458" spans="1:41">
      <c r="A458" s="48">
        <v>456</v>
      </c>
      <c r="B458" s="75">
        <f ca="1">IF(controls!$B$33=1,B457*(1+V458)+T458,B457*(1+V458))</f>
        <v>100</v>
      </c>
      <c r="C458" s="80">
        <f t="shared" ca="1" si="53"/>
        <v>0</v>
      </c>
      <c r="D458" s="77">
        <f t="shared" ca="1" si="49"/>
        <v>100</v>
      </c>
      <c r="E458" s="77">
        <f ca="1">AG457+IF(controls!$B$33=1,G458,F458)</f>
        <v>100</v>
      </c>
      <c r="F458" s="94">
        <f ca="1">IF(controls!$B$44=0,H458-'main page'!$K$27*M457,H458-'main page'!$K$27*M457+'main page'!$K$31*AB457)</f>
        <v>100</v>
      </c>
      <c r="G458" s="75">
        <f ca="1">IF(controls!$B$44=0,I458-'main page'!$K$27*M457,I458-'main page'!$K$27*M457+'main page'!$K$31*'normal case'!AB457)</f>
        <v>100</v>
      </c>
      <c r="H458" s="75">
        <f t="shared" ca="1" si="47"/>
        <v>108</v>
      </c>
      <c r="I458" s="75">
        <f t="shared" ca="1" si="48"/>
        <v>108</v>
      </c>
      <c r="L458" s="75">
        <f ca="1">IF(ABS('main page'!$K$29*L457+(1-'main page'!$K$29)*(controls!$B$9/100)*100+'main page'!$K$25*(D458-B458)-L457)&lt;0.0000001,L457,'main page'!$K$29*L457+(1-'main page'!$K$29)*(controls!$B$9/100)*100+'main page'!$K$25*(D458-B458))</f>
        <v>2</v>
      </c>
      <c r="M458" s="96">
        <f ca="1">IF(controls!$B$10=1,M457,IF(SUM(controls!$B$44:$B$46)=2,N458-'main page'!$K$29*'normal case'!L458-(1-'main page'!$K$29)*'main page'!$K$32,N458-'main page'!$K$29*'normal case'!L458-(1-'main page'!$K$29)*controls!$B$9))</f>
        <v>4</v>
      </c>
      <c r="N458" s="208">
        <f ca="1">IF(controls!$B$45=1,IF(controls!$B$46=1,'main page'!$K$24+'main page'!$K$11+'main page'!$U$8,'main page'!$K$24+'main page'!$K$11+'main page'!$K$32),IF(controls!$B$44=1,IF(O458&lt;0,0,O458),IF(O458+'main page'!$K$11&lt;0,0,O458+'main page'!$K$11)))</f>
        <v>6</v>
      </c>
      <c r="O458" s="76">
        <f ca="1">IF(controls!$B$10=1,'normal case'!M458+'normal case'!L458,'normal case'!P458)</f>
        <v>6</v>
      </c>
      <c r="P458" s="74">
        <f t="shared" ca="1" si="50"/>
        <v>6</v>
      </c>
      <c r="Q458" s="210">
        <f ca="1">IF(controls!$B$44=0,R458+'main page'!$K$29*L458+(1-'main page'!$K$29)*controls!$B$9+(('main page'!$K$25*'main page'!$U$13*'main page'!$K$29)/('main page'!$K$27*(1+('main page'!$K$25^2)*'main page'!$U$13)))*(L458-controls!$B$9),R458+'main page'!$K$29*L458+(1-'main page'!$K$29)*controls!$B$9+(('main page'!$K$25*'main page'!$U$13*'normal case'!$AO$3)/'normal case'!$AO$4)*('normal case'!L458-controls!$B$9))</f>
        <v>6</v>
      </c>
      <c r="R458" s="98">
        <f ca="1">IF(controls!$B$44=1,'main page'!$K$24+'main page'!$K$11,IF(controls!$B$33=1,((I459-D458*W459-B459+B458*V459)/'main page'!$K$27)-'main page'!$K$11,((H459-D458*W459-B459+B458*V459)/'main page'!$K$27)-'main page'!$K$11))</f>
        <v>4</v>
      </c>
      <c r="T458" s="71">
        <f>IF(controls!$B$6=1,$AL$3*(1+('main page'!$K$35/100))^U458-$AL$3*(1+('main page'!$K$35/100))^U457,$AL$3*(1+('main page'!$G$8/100))*(1+('main page'!$K$35/100))^U458-$AL$3*(1+('main page'!$G$8/100))*(1+('main page'!$K$35/100))^U457)</f>
        <v>0</v>
      </c>
      <c r="U458" s="73">
        <v>451</v>
      </c>
      <c r="V458" s="161">
        <f ca="1">IF(controls!$B$4=1,IF(controls!$H457=1,controls!$B$34*V457+RAND()*('main page'!$K$16/100)-RAND()*('main page'!$K$16/100),0),0)</f>
        <v>0</v>
      </c>
      <c r="W458" s="40">
        <f ca="1">IF(controls!$B$4=1,IF(controls!$I457=1,controls!$B$34*W457+RAND()*('main page'!$K$16/100)-RAND()*('main page'!$K$16/100),0),0)</f>
        <v>0</v>
      </c>
      <c r="X458" s="49">
        <f ca="1">IF(controls!$B$33=1,D458-($I$3-'main page'!$K$27*2)*(1+('main page'!$K$35/100))^A457,D458-$AL$4)</f>
        <v>0</v>
      </c>
      <c r="Y458" s="49">
        <f ca="1">ABS(L458-(controls!$B$9/100)*100)</f>
        <v>0</v>
      </c>
      <c r="AA458" s="49" t="e">
        <f ca="1">IF(controls!$B$33=1,(B459-B458*V459-I459+D458*W459+'main page'!$K$27*('main page'!$K$24+'main page'!$K$11))/'main page'!$K$31,(B459-B458*V459+D458*W459-H459+'main page'!$K$27*('main page'!$K$24+'main page'!$K$11))/'main page'!$K$31)</f>
        <v>#DIV/0!</v>
      </c>
      <c r="AB458" s="49" t="e">
        <f ca="1">IF(controls!$B$45=1,LOG(AF458,1.01)+LOG(AE458,1.01)-LOG(AD458,1.01),-((M458-('main page'!$K$24+'main page'!$K$11))/(1-'normal case'!$AO$3))+'normal case'!AA458)</f>
        <v>#DIV/0!</v>
      </c>
      <c r="AC458" s="176" t="e">
        <f t="shared" ca="1" si="51"/>
        <v>#DIV/0!</v>
      </c>
      <c r="AD458" s="49">
        <f t="shared" ca="1" si="52"/>
        <v>8186.1208484314075</v>
      </c>
      <c r="AE458" s="49">
        <f>AE457*(1+'main page'!$K$32/100)</f>
        <v>1</v>
      </c>
      <c r="AF458" s="49" t="e">
        <f ca="1">IF(ABS(IF(controls!$B$45=1,$AL$13,AD458*AC458/AE458)-AF457)&lt;0.00001,AF457,IF(controls!$B$45=1,$AL$13,AD458*AC458/AE458))</f>
        <v>#DIV/0!</v>
      </c>
      <c r="AG458" s="49">
        <f>IF(controls!$B$46=0,0,IF(controls!$B$33=2,B459-B458*V459-('normal case'!H459-D458*W459-'main page'!$K$27*'normal case'!M458+'main page'!$K$31*'normal case'!AB458)-(('main page'!$K$25*'main page'!$U$13*'main page'!$K$29)/(1+('main page'!$K$25^2)*'main page'!$U$13))*('normal case'!L458-'main page'!$U$8),B459-B458*V459-('normal case'!I459-D458*W459-'main page'!$K$27*'normal case'!M458+'main page'!$K$31*'normal case'!AB458)-(('main page'!$K$25*'main page'!$U$13*'main page'!$K$29)/(1+('main page'!$K$25^2)*'main page'!$U$13))*('normal case'!L458-'main page'!$U$8)))</f>
        <v>0</v>
      </c>
      <c r="AN458" s="40"/>
      <c r="AO458" s="40"/>
    </row>
    <row r="459" spans="1:41">
      <c r="A459" s="48">
        <v>457</v>
      </c>
      <c r="B459" s="75">
        <f ca="1">IF(controls!$B$33=1,B458*(1+V459)+T459,B458*(1+V459))</f>
        <v>100</v>
      </c>
      <c r="C459" s="80">
        <f t="shared" ca="1" si="53"/>
        <v>0</v>
      </c>
      <c r="D459" s="77">
        <f t="shared" ca="1" si="49"/>
        <v>100</v>
      </c>
      <c r="E459" s="77">
        <f ca="1">AG458+IF(controls!$B$33=1,G459,F459)</f>
        <v>100</v>
      </c>
      <c r="F459" s="94">
        <f ca="1">IF(controls!$B$44=0,H459-'main page'!$K$27*M458,H459-'main page'!$K$27*M458+'main page'!$K$31*AB458)</f>
        <v>100</v>
      </c>
      <c r="G459" s="75">
        <f ca="1">IF(controls!$B$44=0,I459-'main page'!$K$27*M458,I459-'main page'!$K$27*M458+'main page'!$K$31*'normal case'!AB458)</f>
        <v>100</v>
      </c>
      <c r="H459" s="75">
        <f t="shared" ca="1" si="47"/>
        <v>108</v>
      </c>
      <c r="I459" s="75">
        <f t="shared" ca="1" si="48"/>
        <v>108</v>
      </c>
      <c r="L459" s="75">
        <f ca="1">IF(ABS('main page'!$K$29*L458+(1-'main page'!$K$29)*(controls!$B$9/100)*100+'main page'!$K$25*(D459-B459)-L458)&lt;0.0000001,L458,'main page'!$K$29*L458+(1-'main page'!$K$29)*(controls!$B$9/100)*100+'main page'!$K$25*(D459-B459))</f>
        <v>2</v>
      </c>
      <c r="M459" s="96">
        <f ca="1">IF(controls!$B$10=1,M458,IF(SUM(controls!$B$44:$B$46)=2,N459-'main page'!$K$29*'normal case'!L459-(1-'main page'!$K$29)*'main page'!$K$32,N459-'main page'!$K$29*'normal case'!L459-(1-'main page'!$K$29)*controls!$B$9))</f>
        <v>4</v>
      </c>
      <c r="N459" s="208">
        <f ca="1">IF(controls!$B$45=1,IF(controls!$B$46=1,'main page'!$K$24+'main page'!$K$11+'main page'!$U$8,'main page'!$K$24+'main page'!$K$11+'main page'!$K$32),IF(controls!$B$44=1,IF(O459&lt;0,0,O459),IF(O459+'main page'!$K$11&lt;0,0,O459+'main page'!$K$11)))</f>
        <v>6</v>
      </c>
      <c r="O459" s="76">
        <f ca="1">IF(controls!$B$10=1,'normal case'!M459+'normal case'!L459,'normal case'!P459)</f>
        <v>6</v>
      </c>
      <c r="P459" s="74">
        <f t="shared" ca="1" si="50"/>
        <v>6</v>
      </c>
      <c r="Q459" s="210">
        <f ca="1">IF(controls!$B$44=0,R459+'main page'!$K$29*L459+(1-'main page'!$K$29)*controls!$B$9+(('main page'!$K$25*'main page'!$U$13*'main page'!$K$29)/('main page'!$K$27*(1+('main page'!$K$25^2)*'main page'!$U$13)))*(L459-controls!$B$9),R459+'main page'!$K$29*L459+(1-'main page'!$K$29)*controls!$B$9+(('main page'!$K$25*'main page'!$U$13*'normal case'!$AO$3)/'normal case'!$AO$4)*('normal case'!L459-controls!$B$9))</f>
        <v>6</v>
      </c>
      <c r="R459" s="98">
        <f ca="1">IF(controls!$B$44=1,'main page'!$K$24+'main page'!$K$11,IF(controls!$B$33=1,((I460-D459*W460-B460+B459*V460)/'main page'!$K$27)-'main page'!$K$11,((H460-D459*W460-B460+B459*V460)/'main page'!$K$27)-'main page'!$K$11))</f>
        <v>4</v>
      </c>
      <c r="T459" s="71">
        <f>IF(controls!$B$6=1,$AL$3*(1+('main page'!$K$35/100))^U459-$AL$3*(1+('main page'!$K$35/100))^U458,$AL$3*(1+('main page'!$G$8/100))*(1+('main page'!$K$35/100))^U459-$AL$3*(1+('main page'!$G$8/100))*(1+('main page'!$K$35/100))^U458)</f>
        <v>0</v>
      </c>
      <c r="U459" s="73">
        <v>452</v>
      </c>
      <c r="V459" s="161">
        <v>0</v>
      </c>
      <c r="W459" s="40">
        <v>0</v>
      </c>
      <c r="X459" s="49">
        <f ca="1">IF(controls!$B$33=1,D459-($I$3-'main page'!$K$27*2)*(1+('main page'!$K$35/100))^A458,D459-$AL$4)</f>
        <v>0</v>
      </c>
      <c r="Y459" s="49">
        <f ca="1">ABS(L459-(controls!$B$9/100)*100)</f>
        <v>0</v>
      </c>
      <c r="AA459" s="49" t="e">
        <f ca="1">IF(controls!$B$33=1,(B460-B459*V460-I460+D459*W460+'main page'!$K$27*('main page'!$K$24+'main page'!$K$11))/'main page'!$K$31,(B460-B459*V460+D459*W460-H460+'main page'!$K$27*('main page'!$K$24+'main page'!$K$11))/'main page'!$K$31)</f>
        <v>#DIV/0!</v>
      </c>
      <c r="AB459" s="49" t="e">
        <f ca="1">IF(controls!$B$45=1,LOG(AF459,1.01)+LOG(AE459,1.01)-LOG(AD459,1.01),-((M459-('main page'!$K$24+'main page'!$K$11))/(1-'normal case'!$AO$3))+'normal case'!AA459)</f>
        <v>#DIV/0!</v>
      </c>
      <c r="AC459" s="176" t="e">
        <f t="shared" ca="1" si="51"/>
        <v>#DIV/0!</v>
      </c>
      <c r="AD459" s="49">
        <f t="shared" ca="1" si="52"/>
        <v>8349.8432654000353</v>
      </c>
      <c r="AE459" s="49">
        <f>AE458*(1+'main page'!$K$32/100)</f>
        <v>1</v>
      </c>
      <c r="AF459" s="49" t="e">
        <f ca="1">IF(ABS(IF(controls!$B$45=1,$AL$13,AD459*AC459/AE459)-AF458)&lt;0.00001,AF458,IF(controls!$B$45=1,$AL$13,AD459*AC459/AE459))</f>
        <v>#DIV/0!</v>
      </c>
      <c r="AG459" s="49">
        <f>IF(controls!$B$46=0,0,IF(controls!$B$33=2,B460-B459*V460-('normal case'!H460-D459*W460-'main page'!$K$27*'normal case'!M459+'main page'!$K$31*'normal case'!AB459)-(('main page'!$K$25*'main page'!$U$13*'main page'!$K$29)/(1+('main page'!$K$25^2)*'main page'!$U$13))*('normal case'!L459-'main page'!$U$8),B460-B459*V460-('normal case'!I460-D459*W460-'main page'!$K$27*'normal case'!M459+'main page'!$K$31*'normal case'!AB459)-(('main page'!$K$25*'main page'!$U$13*'main page'!$K$29)/(1+('main page'!$K$25^2)*'main page'!$U$13))*('normal case'!L459-'main page'!$U$8)))</f>
        <v>0</v>
      </c>
      <c r="AN459" s="40"/>
      <c r="AO459" s="40"/>
    </row>
    <row r="460" spans="1:41">
      <c r="A460" s="48">
        <v>458</v>
      </c>
      <c r="B460" s="75">
        <f ca="1">IF(controls!$B$33=1,B459*(1+V460)+T460,B459*(1+V460))</f>
        <v>100</v>
      </c>
      <c r="C460" s="80">
        <f t="shared" ca="1" si="53"/>
        <v>0</v>
      </c>
      <c r="D460" s="77">
        <f t="shared" ca="1" si="49"/>
        <v>100</v>
      </c>
      <c r="E460" s="77">
        <f ca="1">AG459+IF(controls!$B$33=1,G460,F460)</f>
        <v>100</v>
      </c>
      <c r="F460" s="94">
        <f ca="1">IF(controls!$B$44=0,H460-'main page'!$K$27*M459,H460-'main page'!$K$27*M459+'main page'!$K$31*AB459)</f>
        <v>100</v>
      </c>
      <c r="G460" s="75">
        <f ca="1">IF(controls!$B$44=0,I460-'main page'!$K$27*M459,I460-'main page'!$K$27*M459+'main page'!$K$31*'normal case'!AB459)</f>
        <v>100</v>
      </c>
      <c r="H460" s="75">
        <f t="shared" ca="1" si="47"/>
        <v>108</v>
      </c>
      <c r="I460" s="75">
        <f t="shared" ca="1" si="48"/>
        <v>108</v>
      </c>
      <c r="L460" s="75">
        <f ca="1">IF(ABS('main page'!$K$29*L459+(1-'main page'!$K$29)*(controls!$B$9/100)*100+'main page'!$K$25*(D460-B460)-L459)&lt;0.0000001,L459,'main page'!$K$29*L459+(1-'main page'!$K$29)*(controls!$B$9/100)*100+'main page'!$K$25*(D460-B460))</f>
        <v>2</v>
      </c>
      <c r="M460" s="96">
        <f ca="1">IF(controls!$B$10=1,M459,IF(SUM(controls!$B$44:$B$46)=2,N460-'main page'!$K$29*'normal case'!L460-(1-'main page'!$K$29)*'main page'!$K$32,N460-'main page'!$K$29*'normal case'!L460-(1-'main page'!$K$29)*controls!$B$9))</f>
        <v>4</v>
      </c>
      <c r="N460" s="208">
        <f ca="1">IF(controls!$B$45=1,IF(controls!$B$46=1,'main page'!$K$24+'main page'!$K$11+'main page'!$U$8,'main page'!$K$24+'main page'!$K$11+'main page'!$K$32),IF(controls!$B$44=1,IF(O460&lt;0,0,O460),IF(O460+'main page'!$K$11&lt;0,0,O460+'main page'!$K$11)))</f>
        <v>6</v>
      </c>
      <c r="O460" s="76">
        <f ca="1">IF(controls!$B$10=1,'normal case'!M460+'normal case'!L460,'normal case'!P460)</f>
        <v>6</v>
      </c>
      <c r="P460" s="74">
        <f t="shared" ca="1" si="50"/>
        <v>6</v>
      </c>
      <c r="Q460" s="210">
        <f ca="1">IF(controls!$B$44=0,R460+'main page'!$K$29*L460+(1-'main page'!$K$29)*controls!$B$9+(('main page'!$K$25*'main page'!$U$13*'main page'!$K$29)/('main page'!$K$27*(1+('main page'!$K$25^2)*'main page'!$U$13)))*(L460-controls!$B$9),R460+'main page'!$K$29*L460+(1-'main page'!$K$29)*controls!$B$9+(('main page'!$K$25*'main page'!$U$13*'normal case'!$AO$3)/'normal case'!$AO$4)*('normal case'!L460-controls!$B$9))</f>
        <v>6</v>
      </c>
      <c r="R460" s="98">
        <f ca="1">IF(controls!$B$44=1,'main page'!$K$24+'main page'!$K$11,IF(controls!$B$33=1,((I461-D460*W461-B461+B460*V461)/'main page'!$K$27)-'main page'!$K$11,((H461-D460*W461-B461+B460*V461)/'main page'!$K$27)-'main page'!$K$11))</f>
        <v>4</v>
      </c>
      <c r="T460" s="71">
        <f>IF(controls!$B$6=1,$AL$3*(1+('main page'!$K$35/100))^U460-$AL$3*(1+('main page'!$K$35/100))^U459,$AL$3*(1+('main page'!$G$8/100))*(1+('main page'!$K$35/100))^U460-$AL$3*(1+('main page'!$G$8/100))*(1+('main page'!$K$35/100))^U459)</f>
        <v>0</v>
      </c>
      <c r="U460" s="73">
        <v>453</v>
      </c>
      <c r="V460" s="161">
        <v>0</v>
      </c>
      <c r="W460" s="40">
        <v>0</v>
      </c>
      <c r="X460" s="49">
        <f ca="1">IF(controls!$B$33=1,D460-($I$3-'main page'!$K$27*2)*(1+('main page'!$K$35/100))^A459,D460-$AL$4)</f>
        <v>0</v>
      </c>
      <c r="Y460" s="49">
        <f ca="1">ABS(L460-(controls!$B$9/100)*100)</f>
        <v>0</v>
      </c>
      <c r="AA460" s="49" t="e">
        <f ca="1">IF(controls!$B$33=1,(B461-B460*V461-I461+D460*W461+'main page'!$K$27*('main page'!$K$24+'main page'!$K$11))/'main page'!$K$31,(B461-B460*V461+D460*W461-H461+'main page'!$K$27*('main page'!$K$24+'main page'!$K$11))/'main page'!$K$31)</f>
        <v>#DIV/0!</v>
      </c>
      <c r="AB460" s="49" t="e">
        <f ca="1">IF(controls!$B$45=1,LOG(AF460,1.01)+LOG(AE460,1.01)-LOG(AD460,1.01),-((M460-('main page'!$K$24+'main page'!$K$11))/(1-'normal case'!$AO$3))+'normal case'!AA460)</f>
        <v>#DIV/0!</v>
      </c>
      <c r="AC460" s="176" t="e">
        <f t="shared" ca="1" si="51"/>
        <v>#DIV/0!</v>
      </c>
      <c r="AD460" s="49">
        <f t="shared" ca="1" si="52"/>
        <v>8516.8401307080367</v>
      </c>
      <c r="AE460" s="49">
        <f>AE459*(1+'main page'!$K$32/100)</f>
        <v>1</v>
      </c>
      <c r="AF460" s="49" t="e">
        <f ca="1">IF(ABS(IF(controls!$B$45=1,$AL$13,AD460*AC460/AE460)-AF459)&lt;0.00001,AF459,IF(controls!$B$45=1,$AL$13,AD460*AC460/AE460))</f>
        <v>#DIV/0!</v>
      </c>
      <c r="AG460" s="49">
        <f>IF(controls!$B$46=0,0,IF(controls!$B$33=2,B461-B460*V461-('normal case'!H461-D460*W461-'main page'!$K$27*'normal case'!M460+'main page'!$K$31*'normal case'!AB460)-(('main page'!$K$25*'main page'!$U$13*'main page'!$K$29)/(1+('main page'!$K$25^2)*'main page'!$U$13))*('normal case'!L460-'main page'!$U$8),B461-B460*V461-('normal case'!I461-D460*W461-'main page'!$K$27*'normal case'!M460+'main page'!$K$31*'normal case'!AB460)-(('main page'!$K$25*'main page'!$U$13*'main page'!$K$29)/(1+('main page'!$K$25^2)*'main page'!$U$13))*('normal case'!L460-'main page'!$U$8)))</f>
        <v>0</v>
      </c>
      <c r="AN460" s="40"/>
      <c r="AO460" s="40"/>
    </row>
    <row r="461" spans="1:41">
      <c r="A461" s="48">
        <v>459</v>
      </c>
      <c r="B461" s="75">
        <f ca="1">IF(controls!$B$33=1,B460*(1+V461)+T461,B460*(1+V461))</f>
        <v>100</v>
      </c>
      <c r="C461" s="80">
        <f t="shared" ca="1" si="53"/>
        <v>0</v>
      </c>
      <c r="D461" s="77">
        <f t="shared" ca="1" si="49"/>
        <v>100</v>
      </c>
      <c r="E461" s="77">
        <f ca="1">AG460+IF(controls!$B$33=1,G461,F461)</f>
        <v>100</v>
      </c>
      <c r="F461" s="94">
        <f ca="1">IF(controls!$B$44=0,H461-'main page'!$K$27*M460,H461-'main page'!$K$27*M460+'main page'!$K$31*AB460)</f>
        <v>100</v>
      </c>
      <c r="G461" s="75">
        <f ca="1">IF(controls!$B$44=0,I461-'main page'!$K$27*M460,I461-'main page'!$K$27*M460+'main page'!$K$31*'normal case'!AB460)</f>
        <v>100</v>
      </c>
      <c r="H461" s="75">
        <f t="shared" ca="1" si="47"/>
        <v>108</v>
      </c>
      <c r="I461" s="75">
        <f t="shared" ca="1" si="48"/>
        <v>108</v>
      </c>
      <c r="L461" s="75">
        <f ca="1">IF(ABS('main page'!$K$29*L460+(1-'main page'!$K$29)*(controls!$B$9/100)*100+'main page'!$K$25*(D461-B461)-L460)&lt;0.0000001,L460,'main page'!$K$29*L460+(1-'main page'!$K$29)*(controls!$B$9/100)*100+'main page'!$K$25*(D461-B461))</f>
        <v>2</v>
      </c>
      <c r="M461" s="96">
        <f ca="1">IF(controls!$B$10=1,M460,IF(SUM(controls!$B$44:$B$46)=2,N461-'main page'!$K$29*'normal case'!L461-(1-'main page'!$K$29)*'main page'!$K$32,N461-'main page'!$K$29*'normal case'!L461-(1-'main page'!$K$29)*controls!$B$9))</f>
        <v>4</v>
      </c>
      <c r="N461" s="208">
        <f ca="1">IF(controls!$B$45=1,IF(controls!$B$46=1,'main page'!$K$24+'main page'!$K$11+'main page'!$U$8,'main page'!$K$24+'main page'!$K$11+'main page'!$K$32),IF(controls!$B$44=1,IF(O461&lt;0,0,O461),IF(O461+'main page'!$K$11&lt;0,0,O461+'main page'!$K$11)))</f>
        <v>6</v>
      </c>
      <c r="O461" s="76">
        <f ca="1">IF(controls!$B$10=1,'normal case'!M461+'normal case'!L461,'normal case'!P461)</f>
        <v>6</v>
      </c>
      <c r="P461" s="74">
        <f t="shared" ca="1" si="50"/>
        <v>6</v>
      </c>
      <c r="Q461" s="210">
        <f ca="1">IF(controls!$B$44=0,R461+'main page'!$K$29*L461+(1-'main page'!$K$29)*controls!$B$9+(('main page'!$K$25*'main page'!$U$13*'main page'!$K$29)/('main page'!$K$27*(1+('main page'!$K$25^2)*'main page'!$U$13)))*(L461-controls!$B$9),R461+'main page'!$K$29*L461+(1-'main page'!$K$29)*controls!$B$9+(('main page'!$K$25*'main page'!$U$13*'normal case'!$AO$3)/'normal case'!$AO$4)*('normal case'!L461-controls!$B$9))</f>
        <v>6</v>
      </c>
      <c r="R461" s="98">
        <f ca="1">IF(controls!$B$44=1,'main page'!$K$24+'main page'!$K$11,IF(controls!$B$33=1,((I462-D461*W462-B462+B461*V462)/'main page'!$K$27)-'main page'!$K$11,((H462-D461*W462-B462+B461*V462)/'main page'!$K$27)-'main page'!$K$11))</f>
        <v>4</v>
      </c>
      <c r="T461" s="71">
        <f>IF(controls!$B$6=1,$AL$3*(1+('main page'!$K$35/100))^U461-$AL$3*(1+('main page'!$K$35/100))^U460,$AL$3*(1+('main page'!$G$8/100))*(1+('main page'!$K$35/100))^U461-$AL$3*(1+('main page'!$G$8/100))*(1+('main page'!$K$35/100))^U460)</f>
        <v>0</v>
      </c>
      <c r="U461" s="73">
        <v>454</v>
      </c>
      <c r="V461" s="161">
        <f ca="1">IF(controls!$B$4=1,IF(controls!$H460=1,controls!$B$34*V460+RAND()*('main page'!$K$16/100)-RAND()*('main page'!$K$16/100),0),0)</f>
        <v>0</v>
      </c>
      <c r="W461" s="40">
        <f ca="1">IF(controls!$B$4=1,IF(controls!$I460=1,controls!$B$34*W460+RAND()*('main page'!$K$16/100)-RAND()*('main page'!$K$16/100),0),0)</f>
        <v>0</v>
      </c>
      <c r="X461" s="49">
        <f ca="1">IF(controls!$B$33=1,D461-($I$3-'main page'!$K$27*2)*(1+('main page'!$K$35/100))^A460,D461-$AL$4)</f>
        <v>0</v>
      </c>
      <c r="Y461" s="49">
        <f ca="1">ABS(L461-(controls!$B$9/100)*100)</f>
        <v>0</v>
      </c>
      <c r="AA461" s="49" t="e">
        <f ca="1">IF(controls!$B$33=1,(B462-B461*V462-I462+D461*W462+'main page'!$K$27*('main page'!$K$24+'main page'!$K$11))/'main page'!$K$31,(B462-B461*V462+D461*W462-H462+'main page'!$K$27*('main page'!$K$24+'main page'!$K$11))/'main page'!$K$31)</f>
        <v>#DIV/0!</v>
      </c>
      <c r="AB461" s="49" t="e">
        <f ca="1">IF(controls!$B$45=1,LOG(AF461,1.01)+LOG(AE461,1.01)-LOG(AD461,1.01),-((M461-('main page'!$K$24+'main page'!$K$11))/(1-'normal case'!$AO$3))+'normal case'!AA461)</f>
        <v>#DIV/0!</v>
      </c>
      <c r="AC461" s="176" t="e">
        <f t="shared" ca="1" si="51"/>
        <v>#DIV/0!</v>
      </c>
      <c r="AD461" s="49">
        <f t="shared" ca="1" si="52"/>
        <v>8687.1769333221982</v>
      </c>
      <c r="AE461" s="49">
        <f>AE460*(1+'main page'!$K$32/100)</f>
        <v>1</v>
      </c>
      <c r="AF461" s="49" t="e">
        <f ca="1">IF(ABS(IF(controls!$B$45=1,$AL$13,AD461*AC461/AE461)-AF460)&lt;0.00001,AF460,IF(controls!$B$45=1,$AL$13,AD461*AC461/AE461))</f>
        <v>#DIV/0!</v>
      </c>
      <c r="AG461" s="49">
        <f>IF(controls!$B$46=0,0,IF(controls!$B$33=2,B462-B461*V462-('normal case'!H462-D461*W462-'main page'!$K$27*'normal case'!M461+'main page'!$K$31*'normal case'!AB461)-(('main page'!$K$25*'main page'!$U$13*'main page'!$K$29)/(1+('main page'!$K$25^2)*'main page'!$U$13))*('normal case'!L461-'main page'!$U$8),B462-B461*V462-('normal case'!I462-D461*W462-'main page'!$K$27*'normal case'!M461+'main page'!$K$31*'normal case'!AB461)-(('main page'!$K$25*'main page'!$U$13*'main page'!$K$29)/(1+('main page'!$K$25^2)*'main page'!$U$13))*('normal case'!L461-'main page'!$U$8)))</f>
        <v>0</v>
      </c>
      <c r="AN461" s="40"/>
      <c r="AO461" s="40"/>
    </row>
    <row r="462" spans="1:41">
      <c r="A462" s="48">
        <v>460</v>
      </c>
      <c r="B462" s="75">
        <f ca="1">IF(controls!$B$33=1,B461*(1+V462)+T462,B461*(1+V462))</f>
        <v>100</v>
      </c>
      <c r="C462" s="80">
        <f t="shared" ca="1" si="53"/>
        <v>0</v>
      </c>
      <c r="D462" s="77">
        <f t="shared" ca="1" si="49"/>
        <v>100</v>
      </c>
      <c r="E462" s="77">
        <f ca="1">AG461+IF(controls!$B$33=1,G462,F462)</f>
        <v>100</v>
      </c>
      <c r="F462" s="94">
        <f ca="1">IF(controls!$B$44=0,H462-'main page'!$K$27*M461,H462-'main page'!$K$27*M461+'main page'!$K$31*AB461)</f>
        <v>100</v>
      </c>
      <c r="G462" s="75">
        <f ca="1">IF(controls!$B$44=0,I462-'main page'!$K$27*M461,I462-'main page'!$K$27*M461+'main page'!$K$31*'normal case'!AB461)</f>
        <v>100</v>
      </c>
      <c r="H462" s="75">
        <f t="shared" ca="1" si="47"/>
        <v>108</v>
      </c>
      <c r="I462" s="75">
        <f t="shared" ca="1" si="48"/>
        <v>108</v>
      </c>
      <c r="L462" s="75">
        <f ca="1">IF(ABS('main page'!$K$29*L461+(1-'main page'!$K$29)*(controls!$B$9/100)*100+'main page'!$K$25*(D462-B462)-L461)&lt;0.0000001,L461,'main page'!$K$29*L461+(1-'main page'!$K$29)*(controls!$B$9/100)*100+'main page'!$K$25*(D462-B462))</f>
        <v>2</v>
      </c>
      <c r="M462" s="96">
        <f ca="1">IF(controls!$B$10=1,M461,IF(SUM(controls!$B$44:$B$46)=2,N462-'main page'!$K$29*'normal case'!L462-(1-'main page'!$K$29)*'main page'!$K$32,N462-'main page'!$K$29*'normal case'!L462-(1-'main page'!$K$29)*controls!$B$9))</f>
        <v>4</v>
      </c>
      <c r="N462" s="208">
        <f ca="1">IF(controls!$B$45=1,IF(controls!$B$46=1,'main page'!$K$24+'main page'!$K$11+'main page'!$U$8,'main page'!$K$24+'main page'!$K$11+'main page'!$K$32),IF(controls!$B$44=1,IF(O462&lt;0,0,O462),IF(O462+'main page'!$K$11&lt;0,0,O462+'main page'!$K$11)))</f>
        <v>6</v>
      </c>
      <c r="O462" s="76">
        <f ca="1">IF(controls!$B$10=1,'normal case'!M462+'normal case'!L462,'normal case'!P462)</f>
        <v>6</v>
      </c>
      <c r="P462" s="74">
        <f t="shared" ca="1" si="50"/>
        <v>6</v>
      </c>
      <c r="Q462" s="210">
        <f ca="1">IF(controls!$B$44=0,R462+'main page'!$K$29*L462+(1-'main page'!$K$29)*controls!$B$9+(('main page'!$K$25*'main page'!$U$13*'main page'!$K$29)/('main page'!$K$27*(1+('main page'!$K$25^2)*'main page'!$U$13)))*(L462-controls!$B$9),R462+'main page'!$K$29*L462+(1-'main page'!$K$29)*controls!$B$9+(('main page'!$K$25*'main page'!$U$13*'normal case'!$AO$3)/'normal case'!$AO$4)*('normal case'!L462-controls!$B$9))</f>
        <v>6</v>
      </c>
      <c r="R462" s="98">
        <f ca="1">IF(controls!$B$44=1,'main page'!$K$24+'main page'!$K$11,IF(controls!$B$33=1,((I463-D462*W463-B463+B462*V463)/'main page'!$K$27)-'main page'!$K$11,((H463-D462*W463-B463+B462*V463)/'main page'!$K$27)-'main page'!$K$11))</f>
        <v>4</v>
      </c>
      <c r="T462" s="71">
        <f>IF(controls!$B$6=1,$AL$3*(1+('main page'!$K$35/100))^U462-$AL$3*(1+('main page'!$K$35/100))^U461,$AL$3*(1+('main page'!$G$8/100))*(1+('main page'!$K$35/100))^U462-$AL$3*(1+('main page'!$G$8/100))*(1+('main page'!$K$35/100))^U461)</f>
        <v>0</v>
      </c>
      <c r="U462" s="73">
        <v>455</v>
      </c>
      <c r="V462" s="161">
        <v>0</v>
      </c>
      <c r="W462" s="40">
        <v>0</v>
      </c>
      <c r="X462" s="49">
        <f ca="1">IF(controls!$B$33=1,D462-($I$3-'main page'!$K$27*2)*(1+('main page'!$K$35/100))^A461,D462-$AL$4)</f>
        <v>0</v>
      </c>
      <c r="Y462" s="49">
        <f ca="1">ABS(L462-(controls!$B$9/100)*100)</f>
        <v>0</v>
      </c>
      <c r="AA462" s="49" t="e">
        <f ca="1">IF(controls!$B$33=1,(B463-B462*V463-I463+D462*W463+'main page'!$K$27*('main page'!$K$24+'main page'!$K$11))/'main page'!$K$31,(B463-B462*V463+D462*W463-H463+'main page'!$K$27*('main page'!$K$24+'main page'!$K$11))/'main page'!$K$31)</f>
        <v>#DIV/0!</v>
      </c>
      <c r="AB462" s="49" t="e">
        <f ca="1">IF(controls!$B$45=1,LOG(AF462,1.01)+LOG(AE462,1.01)-LOG(AD462,1.01),-((M462-('main page'!$K$24+'main page'!$K$11))/(1-'normal case'!$AO$3))+'normal case'!AA462)</f>
        <v>#DIV/0!</v>
      </c>
      <c r="AC462" s="176" t="e">
        <f t="shared" ca="1" si="51"/>
        <v>#DIV/0!</v>
      </c>
      <c r="AD462" s="49">
        <f t="shared" ca="1" si="52"/>
        <v>8860.920471988642</v>
      </c>
      <c r="AE462" s="49">
        <f>AE461*(1+'main page'!$K$32/100)</f>
        <v>1</v>
      </c>
      <c r="AF462" s="49" t="e">
        <f ca="1">IF(ABS(IF(controls!$B$45=1,$AL$13,AD462*AC462/AE462)-AF461)&lt;0.00001,AF461,IF(controls!$B$45=1,$AL$13,AD462*AC462/AE462))</f>
        <v>#DIV/0!</v>
      </c>
      <c r="AG462" s="49">
        <f>IF(controls!$B$46=0,0,IF(controls!$B$33=2,B463-B462*V463-('normal case'!H463-D462*W463-'main page'!$K$27*'normal case'!M462+'main page'!$K$31*'normal case'!AB462)-(('main page'!$K$25*'main page'!$U$13*'main page'!$K$29)/(1+('main page'!$K$25^2)*'main page'!$U$13))*('normal case'!L462-'main page'!$U$8),B463-B462*V463-('normal case'!I463-D462*W463-'main page'!$K$27*'normal case'!M462+'main page'!$K$31*'normal case'!AB462)-(('main page'!$K$25*'main page'!$U$13*'main page'!$K$29)/(1+('main page'!$K$25^2)*'main page'!$U$13))*('normal case'!L462-'main page'!$U$8)))</f>
        <v>0</v>
      </c>
      <c r="AN462" s="40"/>
      <c r="AO462" s="40"/>
    </row>
    <row r="463" spans="1:41">
      <c r="A463" s="48">
        <v>461</v>
      </c>
      <c r="B463" s="75">
        <f ca="1">IF(controls!$B$33=1,B462*(1+V463)+T463,B462*(1+V463))</f>
        <v>100</v>
      </c>
      <c r="C463" s="80">
        <f t="shared" ca="1" si="53"/>
        <v>0</v>
      </c>
      <c r="D463" s="77">
        <f t="shared" ca="1" si="49"/>
        <v>100</v>
      </c>
      <c r="E463" s="77">
        <f ca="1">AG462+IF(controls!$B$33=1,G463,F463)</f>
        <v>100</v>
      </c>
      <c r="F463" s="94">
        <f ca="1">IF(controls!$B$44=0,H463-'main page'!$K$27*M462,H463-'main page'!$K$27*M462+'main page'!$K$31*AB462)</f>
        <v>100</v>
      </c>
      <c r="G463" s="75">
        <f ca="1">IF(controls!$B$44=0,I463-'main page'!$K$27*M462,I463-'main page'!$K$27*M462+'main page'!$K$31*'normal case'!AB462)</f>
        <v>100</v>
      </c>
      <c r="H463" s="75">
        <f t="shared" ca="1" si="47"/>
        <v>108</v>
      </c>
      <c r="I463" s="75">
        <f t="shared" ca="1" si="48"/>
        <v>108</v>
      </c>
      <c r="L463" s="75">
        <f ca="1">IF(ABS('main page'!$K$29*L462+(1-'main page'!$K$29)*(controls!$B$9/100)*100+'main page'!$K$25*(D463-B463)-L462)&lt;0.0000001,L462,'main page'!$K$29*L462+(1-'main page'!$K$29)*(controls!$B$9/100)*100+'main page'!$K$25*(D463-B463))</f>
        <v>2</v>
      </c>
      <c r="M463" s="96">
        <f ca="1">IF(controls!$B$10=1,M462,IF(SUM(controls!$B$44:$B$46)=2,N463-'main page'!$K$29*'normal case'!L463-(1-'main page'!$K$29)*'main page'!$K$32,N463-'main page'!$K$29*'normal case'!L463-(1-'main page'!$K$29)*controls!$B$9))</f>
        <v>4</v>
      </c>
      <c r="N463" s="208">
        <f ca="1">IF(controls!$B$45=1,IF(controls!$B$46=1,'main page'!$K$24+'main page'!$K$11+'main page'!$U$8,'main page'!$K$24+'main page'!$K$11+'main page'!$K$32),IF(controls!$B$44=1,IF(O463&lt;0,0,O463),IF(O463+'main page'!$K$11&lt;0,0,O463+'main page'!$K$11)))</f>
        <v>6</v>
      </c>
      <c r="O463" s="76">
        <f ca="1">IF(controls!$B$10=1,'normal case'!M463+'normal case'!L463,'normal case'!P463)</f>
        <v>6</v>
      </c>
      <c r="P463" s="74">
        <f t="shared" ca="1" si="50"/>
        <v>6</v>
      </c>
      <c r="Q463" s="210">
        <f ca="1">IF(controls!$B$44=0,R463+'main page'!$K$29*L463+(1-'main page'!$K$29)*controls!$B$9+(('main page'!$K$25*'main page'!$U$13*'main page'!$K$29)/('main page'!$K$27*(1+('main page'!$K$25^2)*'main page'!$U$13)))*(L463-controls!$B$9),R463+'main page'!$K$29*L463+(1-'main page'!$K$29)*controls!$B$9+(('main page'!$K$25*'main page'!$U$13*'normal case'!$AO$3)/'normal case'!$AO$4)*('normal case'!L463-controls!$B$9))</f>
        <v>6</v>
      </c>
      <c r="R463" s="98">
        <f ca="1">IF(controls!$B$44=1,'main page'!$K$24+'main page'!$K$11,IF(controls!$B$33=1,((I464-D463*W464-B464+B463*V464)/'main page'!$K$27)-'main page'!$K$11,((H464-D463*W464-B464+B463*V464)/'main page'!$K$27)-'main page'!$K$11))</f>
        <v>4</v>
      </c>
      <c r="T463" s="71">
        <f>IF(controls!$B$6=1,$AL$3*(1+('main page'!$K$35/100))^U463-$AL$3*(1+('main page'!$K$35/100))^U462,$AL$3*(1+('main page'!$G$8/100))*(1+('main page'!$K$35/100))^U463-$AL$3*(1+('main page'!$G$8/100))*(1+('main page'!$K$35/100))^U462)</f>
        <v>0</v>
      </c>
      <c r="U463" s="73">
        <v>456</v>
      </c>
      <c r="V463" s="161">
        <v>0</v>
      </c>
      <c r="W463" s="40">
        <v>0</v>
      </c>
      <c r="X463" s="49">
        <f ca="1">IF(controls!$B$33=1,D463-($I$3-'main page'!$K$27*2)*(1+('main page'!$K$35/100))^A462,D463-$AL$4)</f>
        <v>0</v>
      </c>
      <c r="Y463" s="49">
        <f ca="1">ABS(L463-(controls!$B$9/100)*100)</f>
        <v>0</v>
      </c>
      <c r="AA463" s="49" t="e">
        <f ca="1">IF(controls!$B$33=1,(B464-B463*V464-I464+D463*W464+'main page'!$K$27*('main page'!$K$24+'main page'!$K$11))/'main page'!$K$31,(B464-B463*V464+D463*W464-H464+'main page'!$K$27*('main page'!$K$24+'main page'!$K$11))/'main page'!$K$31)</f>
        <v>#DIV/0!</v>
      </c>
      <c r="AB463" s="49" t="e">
        <f ca="1">IF(controls!$B$45=1,LOG(AF463,1.01)+LOG(AE463,1.01)-LOG(AD463,1.01),-((M463-('main page'!$K$24+'main page'!$K$11))/(1-'normal case'!$AO$3))+'normal case'!AA463)</f>
        <v>#DIV/0!</v>
      </c>
      <c r="AC463" s="176" t="e">
        <f t="shared" ca="1" si="51"/>
        <v>#DIV/0!</v>
      </c>
      <c r="AD463" s="49">
        <f t="shared" ca="1" si="52"/>
        <v>9038.1388814284146</v>
      </c>
      <c r="AE463" s="49">
        <f>AE462*(1+'main page'!$K$32/100)</f>
        <v>1</v>
      </c>
      <c r="AF463" s="49" t="e">
        <f ca="1">IF(ABS(IF(controls!$B$45=1,$AL$13,AD463*AC463/AE463)-AF462)&lt;0.00001,AF462,IF(controls!$B$45=1,$AL$13,AD463*AC463/AE463))</f>
        <v>#DIV/0!</v>
      </c>
      <c r="AG463" s="49">
        <f>IF(controls!$B$46=0,0,IF(controls!$B$33=2,B464-B463*V464-('normal case'!H464-D463*W464-'main page'!$K$27*'normal case'!M463+'main page'!$K$31*'normal case'!AB463)-(('main page'!$K$25*'main page'!$U$13*'main page'!$K$29)/(1+('main page'!$K$25^2)*'main page'!$U$13))*('normal case'!L463-'main page'!$U$8),B464-B463*V464-('normal case'!I464-D463*W464-'main page'!$K$27*'normal case'!M463+'main page'!$K$31*'normal case'!AB463)-(('main page'!$K$25*'main page'!$U$13*'main page'!$K$29)/(1+('main page'!$K$25^2)*'main page'!$U$13))*('normal case'!L463-'main page'!$U$8)))</f>
        <v>0</v>
      </c>
      <c r="AN463" s="40"/>
      <c r="AO463" s="40"/>
    </row>
    <row r="464" spans="1:41">
      <c r="A464" s="48">
        <v>462</v>
      </c>
      <c r="B464" s="75">
        <f ca="1">IF(controls!$B$33=1,B463*(1+V464)+T464,B463*(1+V464))</f>
        <v>100</v>
      </c>
      <c r="C464" s="80">
        <f t="shared" ca="1" si="53"/>
        <v>0</v>
      </c>
      <c r="D464" s="77">
        <f t="shared" ca="1" si="49"/>
        <v>100</v>
      </c>
      <c r="E464" s="77">
        <f ca="1">AG463+IF(controls!$B$33=1,G464,F464)</f>
        <v>100</v>
      </c>
      <c r="F464" s="94">
        <f ca="1">IF(controls!$B$44=0,H464-'main page'!$K$27*M463,H464-'main page'!$K$27*M463+'main page'!$K$31*AB463)</f>
        <v>100</v>
      </c>
      <c r="G464" s="75">
        <f ca="1">IF(controls!$B$44=0,I464-'main page'!$K$27*M463,I464-'main page'!$K$27*M463+'main page'!$K$31*'normal case'!AB463)</f>
        <v>100</v>
      </c>
      <c r="H464" s="75">
        <f t="shared" ca="1" si="47"/>
        <v>108</v>
      </c>
      <c r="I464" s="75">
        <f t="shared" ca="1" si="48"/>
        <v>108</v>
      </c>
      <c r="L464" s="75">
        <f ca="1">IF(ABS('main page'!$K$29*L463+(1-'main page'!$K$29)*(controls!$B$9/100)*100+'main page'!$K$25*(D464-B464)-L463)&lt;0.0000001,L463,'main page'!$K$29*L463+(1-'main page'!$K$29)*(controls!$B$9/100)*100+'main page'!$K$25*(D464-B464))</f>
        <v>2</v>
      </c>
      <c r="M464" s="96">
        <f ca="1">IF(controls!$B$10=1,M463,IF(SUM(controls!$B$44:$B$46)=2,N464-'main page'!$K$29*'normal case'!L464-(1-'main page'!$K$29)*'main page'!$K$32,N464-'main page'!$K$29*'normal case'!L464-(1-'main page'!$K$29)*controls!$B$9))</f>
        <v>4</v>
      </c>
      <c r="N464" s="208">
        <f ca="1">IF(controls!$B$45=1,IF(controls!$B$46=1,'main page'!$K$24+'main page'!$K$11+'main page'!$U$8,'main page'!$K$24+'main page'!$K$11+'main page'!$K$32),IF(controls!$B$44=1,IF(O464&lt;0,0,O464),IF(O464+'main page'!$K$11&lt;0,0,O464+'main page'!$K$11)))</f>
        <v>6</v>
      </c>
      <c r="O464" s="76">
        <f ca="1">IF(controls!$B$10=1,'normal case'!M464+'normal case'!L464,'normal case'!P464)</f>
        <v>6</v>
      </c>
      <c r="P464" s="74">
        <f t="shared" ca="1" si="50"/>
        <v>6</v>
      </c>
      <c r="Q464" s="210">
        <f ca="1">IF(controls!$B$44=0,R464+'main page'!$K$29*L464+(1-'main page'!$K$29)*controls!$B$9+(('main page'!$K$25*'main page'!$U$13*'main page'!$K$29)/('main page'!$K$27*(1+('main page'!$K$25^2)*'main page'!$U$13)))*(L464-controls!$B$9),R464+'main page'!$K$29*L464+(1-'main page'!$K$29)*controls!$B$9+(('main page'!$K$25*'main page'!$U$13*'normal case'!$AO$3)/'normal case'!$AO$4)*('normal case'!L464-controls!$B$9))</f>
        <v>6</v>
      </c>
      <c r="R464" s="98">
        <f ca="1">IF(controls!$B$44=1,'main page'!$K$24+'main page'!$K$11,IF(controls!$B$33=1,((I465-D464*W465-B465+B464*V465)/'main page'!$K$27)-'main page'!$K$11,((H465-D464*W465-B465+B464*V465)/'main page'!$K$27)-'main page'!$K$11))</f>
        <v>4</v>
      </c>
      <c r="T464" s="71">
        <f>IF(controls!$B$6=1,$AL$3*(1+('main page'!$K$35/100))^U464-$AL$3*(1+('main page'!$K$35/100))^U463,$AL$3*(1+('main page'!$G$8/100))*(1+('main page'!$K$35/100))^U464-$AL$3*(1+('main page'!$G$8/100))*(1+('main page'!$K$35/100))^U463)</f>
        <v>0</v>
      </c>
      <c r="U464" s="73">
        <v>457</v>
      </c>
      <c r="V464" s="161">
        <f ca="1">IF(controls!$B$4=1,IF(controls!$H463=1,controls!$B$34*V463+RAND()*('main page'!$K$16/100)-RAND()*('main page'!$K$16/100),0),0)</f>
        <v>0</v>
      </c>
      <c r="W464" s="40">
        <f ca="1">IF(controls!$B$4=1,IF(controls!$I463=1,controls!$B$34*W463+RAND()*('main page'!$K$16/100)-RAND()*('main page'!$K$16/100),0),0)</f>
        <v>0</v>
      </c>
      <c r="X464" s="49">
        <f ca="1">IF(controls!$B$33=1,D464-($I$3-'main page'!$K$27*2)*(1+('main page'!$K$35/100))^A463,D464-$AL$4)</f>
        <v>0</v>
      </c>
      <c r="Y464" s="49">
        <f ca="1">ABS(L464-(controls!$B$9/100)*100)</f>
        <v>0</v>
      </c>
      <c r="AA464" s="49" t="e">
        <f ca="1">IF(controls!$B$33=1,(B465-B464*V465-I465+D464*W465+'main page'!$K$27*('main page'!$K$24+'main page'!$K$11))/'main page'!$K$31,(B465-B464*V465+D464*W465-H465+'main page'!$K$27*('main page'!$K$24+'main page'!$K$11))/'main page'!$K$31)</f>
        <v>#DIV/0!</v>
      </c>
      <c r="AB464" s="49" t="e">
        <f ca="1">IF(controls!$B$45=1,LOG(AF464,1.01)+LOG(AE464,1.01)-LOG(AD464,1.01),-((M464-('main page'!$K$24+'main page'!$K$11))/(1-'normal case'!$AO$3))+'normal case'!AA464)</f>
        <v>#DIV/0!</v>
      </c>
      <c r="AC464" s="176" t="e">
        <f t="shared" ca="1" si="51"/>
        <v>#DIV/0!</v>
      </c>
      <c r="AD464" s="49">
        <f t="shared" ca="1" si="52"/>
        <v>9218.9016590569827</v>
      </c>
      <c r="AE464" s="49">
        <f>AE463*(1+'main page'!$K$32/100)</f>
        <v>1</v>
      </c>
      <c r="AF464" s="49" t="e">
        <f ca="1">IF(ABS(IF(controls!$B$45=1,$AL$13,AD464*AC464/AE464)-AF463)&lt;0.00001,AF463,IF(controls!$B$45=1,$AL$13,AD464*AC464/AE464))</f>
        <v>#DIV/0!</v>
      </c>
      <c r="AG464" s="49">
        <f>IF(controls!$B$46=0,0,IF(controls!$B$33=2,B465-B464*V465-('normal case'!H465-D464*W465-'main page'!$K$27*'normal case'!M464+'main page'!$K$31*'normal case'!AB464)-(('main page'!$K$25*'main page'!$U$13*'main page'!$K$29)/(1+('main page'!$K$25^2)*'main page'!$U$13))*('normal case'!L464-'main page'!$U$8),B465-B464*V465-('normal case'!I465-D464*W465-'main page'!$K$27*'normal case'!M464+'main page'!$K$31*'normal case'!AB464)-(('main page'!$K$25*'main page'!$U$13*'main page'!$K$29)/(1+('main page'!$K$25^2)*'main page'!$U$13))*('normal case'!L464-'main page'!$U$8)))</f>
        <v>0</v>
      </c>
      <c r="AN464" s="40"/>
      <c r="AO464" s="40"/>
    </row>
    <row r="465" spans="1:41">
      <c r="A465" s="48">
        <v>463</v>
      </c>
      <c r="B465" s="75">
        <f ca="1">IF(controls!$B$33=1,B464*(1+V465)+T465,B464*(1+V465))</f>
        <v>100</v>
      </c>
      <c r="C465" s="80">
        <f t="shared" ca="1" si="53"/>
        <v>0</v>
      </c>
      <c r="D465" s="77">
        <f t="shared" ca="1" si="49"/>
        <v>100</v>
      </c>
      <c r="E465" s="77">
        <f ca="1">AG464+IF(controls!$B$33=1,G465,F465)</f>
        <v>100</v>
      </c>
      <c r="F465" s="94">
        <f ca="1">IF(controls!$B$44=0,H465-'main page'!$K$27*M464,H465-'main page'!$K$27*M464+'main page'!$K$31*AB464)</f>
        <v>100</v>
      </c>
      <c r="G465" s="75">
        <f ca="1">IF(controls!$B$44=0,I465-'main page'!$K$27*M464,I465-'main page'!$K$27*M464+'main page'!$K$31*'normal case'!AB464)</f>
        <v>100</v>
      </c>
      <c r="H465" s="75">
        <f t="shared" ca="1" si="47"/>
        <v>108</v>
      </c>
      <c r="I465" s="75">
        <f t="shared" ca="1" si="48"/>
        <v>108</v>
      </c>
      <c r="L465" s="75">
        <f ca="1">IF(ABS('main page'!$K$29*L464+(1-'main page'!$K$29)*(controls!$B$9/100)*100+'main page'!$K$25*(D465-B465)-L464)&lt;0.0000001,L464,'main page'!$K$29*L464+(1-'main page'!$K$29)*(controls!$B$9/100)*100+'main page'!$K$25*(D465-B465))</f>
        <v>2</v>
      </c>
      <c r="M465" s="96">
        <f ca="1">IF(controls!$B$10=1,M464,IF(SUM(controls!$B$44:$B$46)=2,N465-'main page'!$K$29*'normal case'!L465-(1-'main page'!$K$29)*'main page'!$K$32,N465-'main page'!$K$29*'normal case'!L465-(1-'main page'!$K$29)*controls!$B$9))</f>
        <v>4</v>
      </c>
      <c r="N465" s="208">
        <f ca="1">IF(controls!$B$45=1,IF(controls!$B$46=1,'main page'!$K$24+'main page'!$K$11+'main page'!$U$8,'main page'!$K$24+'main page'!$K$11+'main page'!$K$32),IF(controls!$B$44=1,IF(O465&lt;0,0,O465),IF(O465+'main page'!$K$11&lt;0,0,O465+'main page'!$K$11)))</f>
        <v>6</v>
      </c>
      <c r="O465" s="76">
        <f ca="1">IF(controls!$B$10=1,'normal case'!M465+'normal case'!L465,'normal case'!P465)</f>
        <v>6</v>
      </c>
      <c r="P465" s="74">
        <f t="shared" ca="1" si="50"/>
        <v>6</v>
      </c>
      <c r="Q465" s="210">
        <f ca="1">IF(controls!$B$44=0,R465+'main page'!$K$29*L465+(1-'main page'!$K$29)*controls!$B$9+(('main page'!$K$25*'main page'!$U$13*'main page'!$K$29)/('main page'!$K$27*(1+('main page'!$K$25^2)*'main page'!$U$13)))*(L465-controls!$B$9),R465+'main page'!$K$29*L465+(1-'main page'!$K$29)*controls!$B$9+(('main page'!$K$25*'main page'!$U$13*'normal case'!$AO$3)/'normal case'!$AO$4)*('normal case'!L465-controls!$B$9))</f>
        <v>6</v>
      </c>
      <c r="R465" s="98">
        <f ca="1">IF(controls!$B$44=1,'main page'!$K$24+'main page'!$K$11,IF(controls!$B$33=1,((I466-D465*W466-B466+B465*V466)/'main page'!$K$27)-'main page'!$K$11,((H466-D465*W466-B466+B465*V466)/'main page'!$K$27)-'main page'!$K$11))</f>
        <v>4</v>
      </c>
      <c r="T465" s="71">
        <f>IF(controls!$B$6=1,$AL$3*(1+('main page'!$K$35/100))^U465-$AL$3*(1+('main page'!$K$35/100))^U464,$AL$3*(1+('main page'!$G$8/100))*(1+('main page'!$K$35/100))^U465-$AL$3*(1+('main page'!$G$8/100))*(1+('main page'!$K$35/100))^U464)</f>
        <v>0</v>
      </c>
      <c r="U465" s="73">
        <v>458</v>
      </c>
      <c r="V465" s="161">
        <v>0</v>
      </c>
      <c r="W465" s="40">
        <v>0</v>
      </c>
      <c r="X465" s="49">
        <f ca="1">IF(controls!$B$33=1,D465-($I$3-'main page'!$K$27*2)*(1+('main page'!$K$35/100))^A464,D465-$AL$4)</f>
        <v>0</v>
      </c>
      <c r="Y465" s="49">
        <f ca="1">ABS(L465-(controls!$B$9/100)*100)</f>
        <v>0</v>
      </c>
      <c r="AA465" s="49" t="e">
        <f ca="1">IF(controls!$B$33=1,(B466-B465*V466-I466+D465*W466+'main page'!$K$27*('main page'!$K$24+'main page'!$K$11))/'main page'!$K$31,(B466-B465*V466+D465*W466-H466+'main page'!$K$27*('main page'!$K$24+'main page'!$K$11))/'main page'!$K$31)</f>
        <v>#DIV/0!</v>
      </c>
      <c r="AB465" s="49" t="e">
        <f ca="1">IF(controls!$B$45=1,LOG(AF465,1.01)+LOG(AE465,1.01)-LOG(AD465,1.01),-((M465-('main page'!$K$24+'main page'!$K$11))/(1-'normal case'!$AO$3))+'normal case'!AA465)</f>
        <v>#DIV/0!</v>
      </c>
      <c r="AC465" s="176" t="e">
        <f t="shared" ca="1" si="51"/>
        <v>#DIV/0!</v>
      </c>
      <c r="AD465" s="49">
        <f t="shared" ca="1" si="52"/>
        <v>9403.2796922381222</v>
      </c>
      <c r="AE465" s="49">
        <f>AE464*(1+'main page'!$K$32/100)</f>
        <v>1</v>
      </c>
      <c r="AF465" s="49" t="e">
        <f ca="1">IF(ABS(IF(controls!$B$45=1,$AL$13,AD465*AC465/AE465)-AF464)&lt;0.00001,AF464,IF(controls!$B$45=1,$AL$13,AD465*AC465/AE465))</f>
        <v>#DIV/0!</v>
      </c>
      <c r="AG465" s="49">
        <f>IF(controls!$B$46=0,0,IF(controls!$B$33=2,B466-B465*V466-('normal case'!H466-D465*W466-'main page'!$K$27*'normal case'!M465+'main page'!$K$31*'normal case'!AB465)-(('main page'!$K$25*'main page'!$U$13*'main page'!$K$29)/(1+('main page'!$K$25^2)*'main page'!$U$13))*('normal case'!L465-'main page'!$U$8),B466-B465*V466-('normal case'!I466-D465*W466-'main page'!$K$27*'normal case'!M465+'main page'!$K$31*'normal case'!AB465)-(('main page'!$K$25*'main page'!$U$13*'main page'!$K$29)/(1+('main page'!$K$25^2)*'main page'!$U$13))*('normal case'!L465-'main page'!$U$8)))</f>
        <v>0</v>
      </c>
      <c r="AN465" s="40"/>
      <c r="AO465" s="40"/>
    </row>
    <row r="466" spans="1:41">
      <c r="A466" s="48">
        <v>464</v>
      </c>
      <c r="B466" s="75">
        <f ca="1">IF(controls!$B$33=1,B465*(1+V466)+T466,B465*(1+V466))</f>
        <v>100</v>
      </c>
      <c r="C466" s="80">
        <f t="shared" ca="1" si="53"/>
        <v>0</v>
      </c>
      <c r="D466" s="77">
        <f t="shared" ca="1" si="49"/>
        <v>100</v>
      </c>
      <c r="E466" s="77">
        <f ca="1">AG465+IF(controls!$B$33=1,G466,F466)</f>
        <v>100</v>
      </c>
      <c r="F466" s="94">
        <f ca="1">IF(controls!$B$44=0,H466-'main page'!$K$27*M465,H466-'main page'!$K$27*M465+'main page'!$K$31*AB465)</f>
        <v>100</v>
      </c>
      <c r="G466" s="75">
        <f ca="1">IF(controls!$B$44=0,I466-'main page'!$K$27*M465,I466-'main page'!$K$27*M465+'main page'!$K$31*'normal case'!AB465)</f>
        <v>100</v>
      </c>
      <c r="H466" s="75">
        <f t="shared" ca="1" si="47"/>
        <v>108</v>
      </c>
      <c r="I466" s="75">
        <f t="shared" ca="1" si="48"/>
        <v>108</v>
      </c>
      <c r="L466" s="75">
        <f ca="1">IF(ABS('main page'!$K$29*L465+(1-'main page'!$K$29)*(controls!$B$9/100)*100+'main page'!$K$25*(D466-B466)-L465)&lt;0.0000001,L465,'main page'!$K$29*L465+(1-'main page'!$K$29)*(controls!$B$9/100)*100+'main page'!$K$25*(D466-B466))</f>
        <v>2</v>
      </c>
      <c r="M466" s="96">
        <f ca="1">IF(controls!$B$10=1,M465,IF(SUM(controls!$B$44:$B$46)=2,N466-'main page'!$K$29*'normal case'!L466-(1-'main page'!$K$29)*'main page'!$K$32,N466-'main page'!$K$29*'normal case'!L466-(1-'main page'!$K$29)*controls!$B$9))</f>
        <v>4</v>
      </c>
      <c r="N466" s="208">
        <f ca="1">IF(controls!$B$45=1,IF(controls!$B$46=1,'main page'!$K$24+'main page'!$K$11+'main page'!$U$8,'main page'!$K$24+'main page'!$K$11+'main page'!$K$32),IF(controls!$B$44=1,IF(O466&lt;0,0,O466),IF(O466+'main page'!$K$11&lt;0,0,O466+'main page'!$K$11)))</f>
        <v>6</v>
      </c>
      <c r="O466" s="76">
        <f ca="1">IF(controls!$B$10=1,'normal case'!M466+'normal case'!L466,'normal case'!P466)</f>
        <v>6</v>
      </c>
      <c r="P466" s="74">
        <f t="shared" ca="1" si="50"/>
        <v>6</v>
      </c>
      <c r="Q466" s="210">
        <f ca="1">IF(controls!$B$44=0,R466+'main page'!$K$29*L466+(1-'main page'!$K$29)*controls!$B$9+(('main page'!$K$25*'main page'!$U$13*'main page'!$K$29)/('main page'!$K$27*(1+('main page'!$K$25^2)*'main page'!$U$13)))*(L466-controls!$B$9),R466+'main page'!$K$29*L466+(1-'main page'!$K$29)*controls!$B$9+(('main page'!$K$25*'main page'!$U$13*'normal case'!$AO$3)/'normal case'!$AO$4)*('normal case'!L466-controls!$B$9))</f>
        <v>6</v>
      </c>
      <c r="R466" s="98">
        <f ca="1">IF(controls!$B$44=1,'main page'!$K$24+'main page'!$K$11,IF(controls!$B$33=1,((I467-D466*W467-B467+B466*V467)/'main page'!$K$27)-'main page'!$K$11,((H467-D466*W467-B467+B466*V467)/'main page'!$K$27)-'main page'!$K$11))</f>
        <v>4</v>
      </c>
      <c r="T466" s="71">
        <f>IF(controls!$B$6=1,$AL$3*(1+('main page'!$K$35/100))^U466-$AL$3*(1+('main page'!$K$35/100))^U465,$AL$3*(1+('main page'!$G$8/100))*(1+('main page'!$K$35/100))^U466-$AL$3*(1+('main page'!$G$8/100))*(1+('main page'!$K$35/100))^U465)</f>
        <v>0</v>
      </c>
      <c r="U466" s="73">
        <v>459</v>
      </c>
      <c r="V466" s="161">
        <v>0</v>
      </c>
      <c r="W466" s="40">
        <v>0</v>
      </c>
      <c r="X466" s="49">
        <f ca="1">IF(controls!$B$33=1,D466-($I$3-'main page'!$K$27*2)*(1+('main page'!$K$35/100))^A465,D466-$AL$4)</f>
        <v>0</v>
      </c>
      <c r="Y466" s="49">
        <f ca="1">ABS(L466-(controls!$B$9/100)*100)</f>
        <v>0</v>
      </c>
      <c r="AA466" s="49" t="e">
        <f ca="1">IF(controls!$B$33=1,(B467-B466*V467-I467+D466*W467+'main page'!$K$27*('main page'!$K$24+'main page'!$K$11))/'main page'!$K$31,(B467-B466*V467+D466*W467-H467+'main page'!$K$27*('main page'!$K$24+'main page'!$K$11))/'main page'!$K$31)</f>
        <v>#DIV/0!</v>
      </c>
      <c r="AB466" s="49" t="e">
        <f ca="1">IF(controls!$B$45=1,LOG(AF466,1.01)+LOG(AE466,1.01)-LOG(AD466,1.01),-((M466-('main page'!$K$24+'main page'!$K$11))/(1-'normal case'!$AO$3))+'normal case'!AA466)</f>
        <v>#DIV/0!</v>
      </c>
      <c r="AC466" s="176" t="e">
        <f t="shared" ca="1" si="51"/>
        <v>#DIV/0!</v>
      </c>
      <c r="AD466" s="49">
        <f t="shared" ca="1" si="52"/>
        <v>9591.3452860828857</v>
      </c>
      <c r="AE466" s="49">
        <f>AE465*(1+'main page'!$K$32/100)</f>
        <v>1</v>
      </c>
      <c r="AF466" s="49" t="e">
        <f ca="1">IF(ABS(IF(controls!$B$45=1,$AL$13,AD466*AC466/AE466)-AF465)&lt;0.00001,AF465,IF(controls!$B$45=1,$AL$13,AD466*AC466/AE466))</f>
        <v>#DIV/0!</v>
      </c>
      <c r="AG466" s="49">
        <f>IF(controls!$B$46=0,0,IF(controls!$B$33=2,B467-B466*V467-('normal case'!H467-D466*W467-'main page'!$K$27*'normal case'!M466+'main page'!$K$31*'normal case'!AB466)-(('main page'!$K$25*'main page'!$U$13*'main page'!$K$29)/(1+('main page'!$K$25^2)*'main page'!$U$13))*('normal case'!L466-'main page'!$U$8),B467-B466*V467-('normal case'!I467-D466*W467-'main page'!$K$27*'normal case'!M466+'main page'!$K$31*'normal case'!AB466)-(('main page'!$K$25*'main page'!$U$13*'main page'!$K$29)/(1+('main page'!$K$25^2)*'main page'!$U$13))*('normal case'!L466-'main page'!$U$8)))</f>
        <v>0</v>
      </c>
      <c r="AN466" s="40"/>
      <c r="AO466" s="40"/>
    </row>
    <row r="467" spans="1:41">
      <c r="A467" s="48">
        <v>465</v>
      </c>
      <c r="B467" s="75">
        <f ca="1">IF(controls!$B$33=1,B466*(1+V467)+T467,B466*(1+V467))</f>
        <v>100</v>
      </c>
      <c r="C467" s="80">
        <f t="shared" ca="1" si="53"/>
        <v>0</v>
      </c>
      <c r="D467" s="77">
        <f t="shared" ca="1" si="49"/>
        <v>100</v>
      </c>
      <c r="E467" s="77">
        <f ca="1">AG466+IF(controls!$B$33=1,G467,F467)</f>
        <v>100</v>
      </c>
      <c r="F467" s="94">
        <f ca="1">IF(controls!$B$44=0,H467-'main page'!$K$27*M466,H467-'main page'!$K$27*M466+'main page'!$K$31*AB466)</f>
        <v>100</v>
      </c>
      <c r="G467" s="75">
        <f ca="1">IF(controls!$B$44=0,I467-'main page'!$K$27*M466,I467-'main page'!$K$27*M466+'main page'!$K$31*'normal case'!AB466)</f>
        <v>100</v>
      </c>
      <c r="H467" s="75">
        <f t="shared" ca="1" si="47"/>
        <v>108</v>
      </c>
      <c r="I467" s="75">
        <f t="shared" ca="1" si="48"/>
        <v>108</v>
      </c>
      <c r="L467" s="75">
        <f ca="1">IF(ABS('main page'!$K$29*L466+(1-'main page'!$K$29)*(controls!$B$9/100)*100+'main page'!$K$25*(D467-B467)-L466)&lt;0.0000001,L466,'main page'!$K$29*L466+(1-'main page'!$K$29)*(controls!$B$9/100)*100+'main page'!$K$25*(D467-B467))</f>
        <v>2</v>
      </c>
      <c r="M467" s="96">
        <f ca="1">IF(controls!$B$10=1,M466,IF(SUM(controls!$B$44:$B$46)=2,N467-'main page'!$K$29*'normal case'!L467-(1-'main page'!$K$29)*'main page'!$K$32,N467-'main page'!$K$29*'normal case'!L467-(1-'main page'!$K$29)*controls!$B$9))</f>
        <v>4</v>
      </c>
      <c r="N467" s="208">
        <f ca="1">IF(controls!$B$45=1,IF(controls!$B$46=1,'main page'!$K$24+'main page'!$K$11+'main page'!$U$8,'main page'!$K$24+'main page'!$K$11+'main page'!$K$32),IF(controls!$B$44=1,IF(O467&lt;0,0,O467),IF(O467+'main page'!$K$11&lt;0,0,O467+'main page'!$K$11)))</f>
        <v>6</v>
      </c>
      <c r="O467" s="76">
        <f ca="1">IF(controls!$B$10=1,'normal case'!M467+'normal case'!L467,'normal case'!P467)</f>
        <v>6</v>
      </c>
      <c r="P467" s="74">
        <f t="shared" ca="1" si="50"/>
        <v>6</v>
      </c>
      <c r="Q467" s="210">
        <f ca="1">IF(controls!$B$44=0,R467+'main page'!$K$29*L467+(1-'main page'!$K$29)*controls!$B$9+(('main page'!$K$25*'main page'!$U$13*'main page'!$K$29)/('main page'!$K$27*(1+('main page'!$K$25^2)*'main page'!$U$13)))*(L467-controls!$B$9),R467+'main page'!$K$29*L467+(1-'main page'!$K$29)*controls!$B$9+(('main page'!$K$25*'main page'!$U$13*'normal case'!$AO$3)/'normal case'!$AO$4)*('normal case'!L467-controls!$B$9))</f>
        <v>6</v>
      </c>
      <c r="R467" s="98">
        <f ca="1">IF(controls!$B$44=1,'main page'!$K$24+'main page'!$K$11,IF(controls!$B$33=1,((I468-D467*W468-B468+B467*V468)/'main page'!$K$27)-'main page'!$K$11,((H468-D467*W468-B468+B467*V468)/'main page'!$K$27)-'main page'!$K$11))</f>
        <v>4</v>
      </c>
      <c r="T467" s="71">
        <f>IF(controls!$B$6=1,$AL$3*(1+('main page'!$K$35/100))^U467-$AL$3*(1+('main page'!$K$35/100))^U466,$AL$3*(1+('main page'!$G$8/100))*(1+('main page'!$K$35/100))^U467-$AL$3*(1+('main page'!$G$8/100))*(1+('main page'!$K$35/100))^U466)</f>
        <v>0</v>
      </c>
      <c r="U467" s="73">
        <v>460</v>
      </c>
      <c r="V467" s="161">
        <f ca="1">IF(controls!$B$4=1,IF(controls!$H466=1,controls!$B$34*V466+RAND()*('main page'!$K$16/100)-RAND()*('main page'!$K$16/100),0),0)</f>
        <v>0</v>
      </c>
      <c r="W467" s="40">
        <f ca="1">IF(controls!$B$4=1,IF(controls!$I466=1,controls!$B$34*W466+RAND()*('main page'!$K$16/100)-RAND()*('main page'!$K$16/100),0),0)</f>
        <v>0</v>
      </c>
      <c r="X467" s="49">
        <f ca="1">IF(controls!$B$33=1,D467-($I$3-'main page'!$K$27*2)*(1+('main page'!$K$35/100))^A466,D467-$AL$4)</f>
        <v>0</v>
      </c>
      <c r="Y467" s="49">
        <f ca="1">ABS(L467-(controls!$B$9/100)*100)</f>
        <v>0</v>
      </c>
      <c r="AA467" s="49" t="e">
        <f ca="1">IF(controls!$B$33=1,(B468-B467*V468-I468+D467*W468+'main page'!$K$27*('main page'!$K$24+'main page'!$K$11))/'main page'!$K$31,(B468-B467*V468+D467*W468-H468+'main page'!$K$27*('main page'!$K$24+'main page'!$K$11))/'main page'!$K$31)</f>
        <v>#DIV/0!</v>
      </c>
      <c r="AB467" s="49" t="e">
        <f ca="1">IF(controls!$B$45=1,LOG(AF467,1.01)+LOG(AE467,1.01)-LOG(AD467,1.01),-((M467-('main page'!$K$24+'main page'!$K$11))/(1-'normal case'!$AO$3))+'normal case'!AA467)</f>
        <v>#DIV/0!</v>
      </c>
      <c r="AC467" s="176" t="e">
        <f t="shared" ca="1" si="51"/>
        <v>#DIV/0!</v>
      </c>
      <c r="AD467" s="49">
        <f t="shared" ca="1" si="52"/>
        <v>9783.1721918045441</v>
      </c>
      <c r="AE467" s="49">
        <f>AE466*(1+'main page'!$K$32/100)</f>
        <v>1</v>
      </c>
      <c r="AF467" s="49" t="e">
        <f ca="1">IF(ABS(IF(controls!$B$45=1,$AL$13,AD467*AC467/AE467)-AF466)&lt;0.00001,AF466,IF(controls!$B$45=1,$AL$13,AD467*AC467/AE467))</f>
        <v>#DIV/0!</v>
      </c>
      <c r="AG467" s="49">
        <f>IF(controls!$B$46=0,0,IF(controls!$B$33=2,B468-B467*V468-('normal case'!H468-D467*W468-'main page'!$K$27*'normal case'!M467+'main page'!$K$31*'normal case'!AB467)-(('main page'!$K$25*'main page'!$U$13*'main page'!$K$29)/(1+('main page'!$K$25^2)*'main page'!$U$13))*('normal case'!L467-'main page'!$U$8),B468-B467*V468-('normal case'!I468-D467*W468-'main page'!$K$27*'normal case'!M467+'main page'!$K$31*'normal case'!AB467)-(('main page'!$K$25*'main page'!$U$13*'main page'!$K$29)/(1+('main page'!$K$25^2)*'main page'!$U$13))*('normal case'!L467-'main page'!$U$8)))</f>
        <v>0</v>
      </c>
      <c r="AN467" s="40"/>
      <c r="AO467" s="40"/>
    </row>
    <row r="468" spans="1:41">
      <c r="A468" s="48">
        <v>466</v>
      </c>
      <c r="B468" s="75">
        <f ca="1">IF(controls!$B$33=1,B467*(1+V468)+T468,B467*(1+V468))</f>
        <v>100</v>
      </c>
      <c r="C468" s="80">
        <f t="shared" ca="1" si="53"/>
        <v>0</v>
      </c>
      <c r="D468" s="77">
        <f t="shared" ca="1" si="49"/>
        <v>100</v>
      </c>
      <c r="E468" s="77">
        <f ca="1">AG467+IF(controls!$B$33=1,G468,F468)</f>
        <v>100</v>
      </c>
      <c r="F468" s="94">
        <f ca="1">IF(controls!$B$44=0,H468-'main page'!$K$27*M467,H468-'main page'!$K$27*M467+'main page'!$K$31*AB467)</f>
        <v>100</v>
      </c>
      <c r="G468" s="75">
        <f ca="1">IF(controls!$B$44=0,I468-'main page'!$K$27*M467,I468-'main page'!$K$27*M467+'main page'!$K$31*'normal case'!AB467)</f>
        <v>100</v>
      </c>
      <c r="H468" s="75">
        <f t="shared" ca="1" si="47"/>
        <v>108</v>
      </c>
      <c r="I468" s="75">
        <f t="shared" ca="1" si="48"/>
        <v>108</v>
      </c>
      <c r="L468" s="75">
        <f ca="1">IF(ABS('main page'!$K$29*L467+(1-'main page'!$K$29)*(controls!$B$9/100)*100+'main page'!$K$25*(D468-B468)-L467)&lt;0.0000001,L467,'main page'!$K$29*L467+(1-'main page'!$K$29)*(controls!$B$9/100)*100+'main page'!$K$25*(D468-B468))</f>
        <v>2</v>
      </c>
      <c r="M468" s="96">
        <f ca="1">IF(controls!$B$10=1,M467,IF(SUM(controls!$B$44:$B$46)=2,N468-'main page'!$K$29*'normal case'!L468-(1-'main page'!$K$29)*'main page'!$K$32,N468-'main page'!$K$29*'normal case'!L468-(1-'main page'!$K$29)*controls!$B$9))</f>
        <v>4</v>
      </c>
      <c r="N468" s="208">
        <f ca="1">IF(controls!$B$45=1,IF(controls!$B$46=1,'main page'!$K$24+'main page'!$K$11+'main page'!$U$8,'main page'!$K$24+'main page'!$K$11+'main page'!$K$32),IF(controls!$B$44=1,IF(O468&lt;0,0,O468),IF(O468+'main page'!$K$11&lt;0,0,O468+'main page'!$K$11)))</f>
        <v>6</v>
      </c>
      <c r="O468" s="76">
        <f ca="1">IF(controls!$B$10=1,'normal case'!M468+'normal case'!L468,'normal case'!P468)</f>
        <v>6</v>
      </c>
      <c r="P468" s="74">
        <f t="shared" ca="1" si="50"/>
        <v>6</v>
      </c>
      <c r="Q468" s="210">
        <f ca="1">IF(controls!$B$44=0,R468+'main page'!$K$29*L468+(1-'main page'!$K$29)*controls!$B$9+(('main page'!$K$25*'main page'!$U$13*'main page'!$K$29)/('main page'!$K$27*(1+('main page'!$K$25^2)*'main page'!$U$13)))*(L468-controls!$B$9),R468+'main page'!$K$29*L468+(1-'main page'!$K$29)*controls!$B$9+(('main page'!$K$25*'main page'!$U$13*'normal case'!$AO$3)/'normal case'!$AO$4)*('normal case'!L468-controls!$B$9))</f>
        <v>6</v>
      </c>
      <c r="R468" s="98">
        <f ca="1">IF(controls!$B$44=1,'main page'!$K$24+'main page'!$K$11,IF(controls!$B$33=1,((I469-D468*W469-B469+B468*V469)/'main page'!$K$27)-'main page'!$K$11,((H469-D468*W469-B469+B468*V469)/'main page'!$K$27)-'main page'!$K$11))</f>
        <v>4</v>
      </c>
      <c r="T468" s="71">
        <f>IF(controls!$B$6=1,$AL$3*(1+('main page'!$K$35/100))^U468-$AL$3*(1+('main page'!$K$35/100))^U467,$AL$3*(1+('main page'!$G$8/100))*(1+('main page'!$K$35/100))^U468-$AL$3*(1+('main page'!$G$8/100))*(1+('main page'!$K$35/100))^U467)</f>
        <v>0</v>
      </c>
      <c r="U468" s="73">
        <v>461</v>
      </c>
      <c r="V468" s="161">
        <v>0</v>
      </c>
      <c r="W468" s="40">
        <v>0</v>
      </c>
      <c r="X468" s="49">
        <f ca="1">IF(controls!$B$33=1,D468-($I$3-'main page'!$K$27*2)*(1+('main page'!$K$35/100))^A467,D468-$AL$4)</f>
        <v>0</v>
      </c>
      <c r="Y468" s="49">
        <f ca="1">ABS(L468-(controls!$B$9/100)*100)</f>
        <v>0</v>
      </c>
      <c r="AA468" s="49" t="e">
        <f ca="1">IF(controls!$B$33=1,(B469-B468*V469-I469+D468*W469+'main page'!$K$27*('main page'!$K$24+'main page'!$K$11))/'main page'!$K$31,(B469-B468*V469+D468*W469-H469+'main page'!$K$27*('main page'!$K$24+'main page'!$K$11))/'main page'!$K$31)</f>
        <v>#DIV/0!</v>
      </c>
      <c r="AB468" s="49" t="e">
        <f ca="1">IF(controls!$B$45=1,LOG(AF468,1.01)+LOG(AE468,1.01)-LOG(AD468,1.01),-((M468-('main page'!$K$24+'main page'!$K$11))/(1-'normal case'!$AO$3))+'normal case'!AA468)</f>
        <v>#DIV/0!</v>
      </c>
      <c r="AC468" s="176" t="e">
        <f t="shared" ca="1" si="51"/>
        <v>#DIV/0!</v>
      </c>
      <c r="AD468" s="49">
        <f t="shared" ca="1" si="52"/>
        <v>9978.8356356406348</v>
      </c>
      <c r="AE468" s="49">
        <f>AE467*(1+'main page'!$K$32/100)</f>
        <v>1</v>
      </c>
      <c r="AF468" s="49" t="e">
        <f ca="1">IF(ABS(IF(controls!$B$45=1,$AL$13,AD468*AC468/AE468)-AF467)&lt;0.00001,AF467,IF(controls!$B$45=1,$AL$13,AD468*AC468/AE468))</f>
        <v>#DIV/0!</v>
      </c>
      <c r="AG468" s="49">
        <f>IF(controls!$B$46=0,0,IF(controls!$B$33=2,B469-B468*V469-('normal case'!H469-D468*W469-'main page'!$K$27*'normal case'!M468+'main page'!$K$31*'normal case'!AB468)-(('main page'!$K$25*'main page'!$U$13*'main page'!$K$29)/(1+('main page'!$K$25^2)*'main page'!$U$13))*('normal case'!L468-'main page'!$U$8),B469-B468*V469-('normal case'!I469-D468*W469-'main page'!$K$27*'normal case'!M468+'main page'!$K$31*'normal case'!AB468)-(('main page'!$K$25*'main page'!$U$13*'main page'!$K$29)/(1+('main page'!$K$25^2)*'main page'!$U$13))*('normal case'!L468-'main page'!$U$8)))</f>
        <v>0</v>
      </c>
      <c r="AN468" s="40"/>
      <c r="AO468" s="40"/>
    </row>
    <row r="469" spans="1:41">
      <c r="A469" s="48">
        <v>467</v>
      </c>
      <c r="B469" s="75">
        <f ca="1">IF(controls!$B$33=1,B468*(1+V469)+T469,B468*(1+V469))</f>
        <v>100</v>
      </c>
      <c r="C469" s="80">
        <f t="shared" ca="1" si="53"/>
        <v>0</v>
      </c>
      <c r="D469" s="77">
        <f t="shared" ca="1" si="49"/>
        <v>100</v>
      </c>
      <c r="E469" s="77">
        <f ca="1">AG468+IF(controls!$B$33=1,G469,F469)</f>
        <v>100</v>
      </c>
      <c r="F469" s="94">
        <f ca="1">IF(controls!$B$44=0,H469-'main page'!$K$27*M468,H469-'main page'!$K$27*M468+'main page'!$K$31*AB468)</f>
        <v>100</v>
      </c>
      <c r="G469" s="75">
        <f ca="1">IF(controls!$B$44=0,I469-'main page'!$K$27*M468,I469-'main page'!$K$27*M468+'main page'!$K$31*'normal case'!AB468)</f>
        <v>100</v>
      </c>
      <c r="H469" s="75">
        <f t="shared" ca="1" si="47"/>
        <v>108</v>
      </c>
      <c r="I469" s="75">
        <f t="shared" ca="1" si="48"/>
        <v>108</v>
      </c>
      <c r="L469" s="75">
        <f ca="1">IF(ABS('main page'!$K$29*L468+(1-'main page'!$K$29)*(controls!$B$9/100)*100+'main page'!$K$25*(D469-B469)-L468)&lt;0.0000001,L468,'main page'!$K$29*L468+(1-'main page'!$K$29)*(controls!$B$9/100)*100+'main page'!$K$25*(D469-B469))</f>
        <v>2</v>
      </c>
      <c r="M469" s="96">
        <f ca="1">IF(controls!$B$10=1,M468,IF(SUM(controls!$B$44:$B$46)=2,N469-'main page'!$K$29*'normal case'!L469-(1-'main page'!$K$29)*'main page'!$K$32,N469-'main page'!$K$29*'normal case'!L469-(1-'main page'!$K$29)*controls!$B$9))</f>
        <v>4</v>
      </c>
      <c r="N469" s="208">
        <f ca="1">IF(controls!$B$45=1,IF(controls!$B$46=1,'main page'!$K$24+'main page'!$K$11+'main page'!$U$8,'main page'!$K$24+'main page'!$K$11+'main page'!$K$32),IF(controls!$B$44=1,IF(O469&lt;0,0,O469),IF(O469+'main page'!$K$11&lt;0,0,O469+'main page'!$K$11)))</f>
        <v>6</v>
      </c>
      <c r="O469" s="76">
        <f ca="1">IF(controls!$B$10=1,'normal case'!M469+'normal case'!L469,'normal case'!P469)</f>
        <v>6</v>
      </c>
      <c r="P469" s="74">
        <f t="shared" ca="1" si="50"/>
        <v>6</v>
      </c>
      <c r="Q469" s="210">
        <f ca="1">IF(controls!$B$44=0,R469+'main page'!$K$29*L469+(1-'main page'!$K$29)*controls!$B$9+(('main page'!$K$25*'main page'!$U$13*'main page'!$K$29)/('main page'!$K$27*(1+('main page'!$K$25^2)*'main page'!$U$13)))*(L469-controls!$B$9),R469+'main page'!$K$29*L469+(1-'main page'!$K$29)*controls!$B$9+(('main page'!$K$25*'main page'!$U$13*'normal case'!$AO$3)/'normal case'!$AO$4)*('normal case'!L469-controls!$B$9))</f>
        <v>6</v>
      </c>
      <c r="R469" s="98">
        <f ca="1">IF(controls!$B$44=1,'main page'!$K$24+'main page'!$K$11,IF(controls!$B$33=1,((I470-D469*W470-B470+B469*V470)/'main page'!$K$27)-'main page'!$K$11,((H470-D469*W470-B470+B469*V470)/'main page'!$K$27)-'main page'!$K$11))</f>
        <v>4</v>
      </c>
      <c r="T469" s="71">
        <f>IF(controls!$B$6=1,$AL$3*(1+('main page'!$K$35/100))^U469-$AL$3*(1+('main page'!$K$35/100))^U468,$AL$3*(1+('main page'!$G$8/100))*(1+('main page'!$K$35/100))^U469-$AL$3*(1+('main page'!$G$8/100))*(1+('main page'!$K$35/100))^U468)</f>
        <v>0</v>
      </c>
      <c r="U469" s="73">
        <v>462</v>
      </c>
      <c r="V469" s="161">
        <v>0</v>
      </c>
      <c r="W469" s="40">
        <v>0</v>
      </c>
      <c r="X469" s="49">
        <f ca="1">IF(controls!$B$33=1,D469-($I$3-'main page'!$K$27*2)*(1+('main page'!$K$35/100))^A468,D469-$AL$4)</f>
        <v>0</v>
      </c>
      <c r="Y469" s="49">
        <f ca="1">ABS(L469-(controls!$B$9/100)*100)</f>
        <v>0</v>
      </c>
      <c r="AA469" s="49" t="e">
        <f ca="1">IF(controls!$B$33=1,(B470-B469*V470-I470+D469*W470+'main page'!$K$27*('main page'!$K$24+'main page'!$K$11))/'main page'!$K$31,(B470-B469*V470+D469*W470-H470+'main page'!$K$27*('main page'!$K$24+'main page'!$K$11))/'main page'!$K$31)</f>
        <v>#DIV/0!</v>
      </c>
      <c r="AB469" s="49" t="e">
        <f ca="1">IF(controls!$B$45=1,LOG(AF469,1.01)+LOG(AE469,1.01)-LOG(AD469,1.01),-((M469-('main page'!$K$24+'main page'!$K$11))/(1-'normal case'!$AO$3))+'normal case'!AA469)</f>
        <v>#DIV/0!</v>
      </c>
      <c r="AC469" s="176" t="e">
        <f t="shared" ca="1" si="51"/>
        <v>#DIV/0!</v>
      </c>
      <c r="AD469" s="49">
        <f t="shared" ca="1" si="52"/>
        <v>10178.412348353448</v>
      </c>
      <c r="AE469" s="49">
        <f>AE468*(1+'main page'!$K$32/100)</f>
        <v>1</v>
      </c>
      <c r="AF469" s="49" t="e">
        <f ca="1">IF(ABS(IF(controls!$B$45=1,$AL$13,AD469*AC469/AE469)-AF468)&lt;0.00001,AF468,IF(controls!$B$45=1,$AL$13,AD469*AC469/AE469))</f>
        <v>#DIV/0!</v>
      </c>
      <c r="AG469" s="49">
        <f>IF(controls!$B$46=0,0,IF(controls!$B$33=2,B470-B469*V470-('normal case'!H470-D469*W470-'main page'!$K$27*'normal case'!M469+'main page'!$K$31*'normal case'!AB469)-(('main page'!$K$25*'main page'!$U$13*'main page'!$K$29)/(1+('main page'!$K$25^2)*'main page'!$U$13))*('normal case'!L469-'main page'!$U$8),B470-B469*V470-('normal case'!I470-D469*W470-'main page'!$K$27*'normal case'!M469+'main page'!$K$31*'normal case'!AB469)-(('main page'!$K$25*'main page'!$U$13*'main page'!$K$29)/(1+('main page'!$K$25^2)*'main page'!$U$13))*('normal case'!L469-'main page'!$U$8)))</f>
        <v>0</v>
      </c>
      <c r="AN469" s="40"/>
      <c r="AO469" s="40"/>
    </row>
    <row r="470" spans="1:41">
      <c r="A470" s="48">
        <v>468</v>
      </c>
      <c r="B470" s="75">
        <f ca="1">IF(controls!$B$33=1,B469*(1+V470)+T470,B469*(1+V470))</f>
        <v>100</v>
      </c>
      <c r="C470" s="80">
        <f t="shared" ca="1" si="53"/>
        <v>0</v>
      </c>
      <c r="D470" s="77">
        <f t="shared" ca="1" si="49"/>
        <v>100</v>
      </c>
      <c r="E470" s="77">
        <f ca="1">AG469+IF(controls!$B$33=1,G470,F470)</f>
        <v>100</v>
      </c>
      <c r="F470" s="94">
        <f ca="1">IF(controls!$B$44=0,H470-'main page'!$K$27*M469,H470-'main page'!$K$27*M469+'main page'!$K$31*AB469)</f>
        <v>100</v>
      </c>
      <c r="G470" s="75">
        <f ca="1">IF(controls!$B$44=0,I470-'main page'!$K$27*M469,I470-'main page'!$K$27*M469+'main page'!$K$31*'normal case'!AB469)</f>
        <v>100</v>
      </c>
      <c r="H470" s="75">
        <f t="shared" ca="1" si="47"/>
        <v>108</v>
      </c>
      <c r="I470" s="75">
        <f t="shared" ca="1" si="48"/>
        <v>108</v>
      </c>
      <c r="L470" s="75">
        <f ca="1">IF(ABS('main page'!$K$29*L469+(1-'main page'!$K$29)*(controls!$B$9/100)*100+'main page'!$K$25*(D470-B470)-L469)&lt;0.0000001,L469,'main page'!$K$29*L469+(1-'main page'!$K$29)*(controls!$B$9/100)*100+'main page'!$K$25*(D470-B470))</f>
        <v>2</v>
      </c>
      <c r="M470" s="96">
        <f ca="1">IF(controls!$B$10=1,M469,IF(SUM(controls!$B$44:$B$46)=2,N470-'main page'!$K$29*'normal case'!L470-(1-'main page'!$K$29)*'main page'!$K$32,N470-'main page'!$K$29*'normal case'!L470-(1-'main page'!$K$29)*controls!$B$9))</f>
        <v>4</v>
      </c>
      <c r="N470" s="208">
        <f ca="1">IF(controls!$B$45=1,IF(controls!$B$46=1,'main page'!$K$24+'main page'!$K$11+'main page'!$U$8,'main page'!$K$24+'main page'!$K$11+'main page'!$K$32),IF(controls!$B$44=1,IF(O470&lt;0,0,O470),IF(O470+'main page'!$K$11&lt;0,0,O470+'main page'!$K$11)))</f>
        <v>6</v>
      </c>
      <c r="O470" s="76">
        <f ca="1">IF(controls!$B$10=1,'normal case'!M470+'normal case'!L470,'normal case'!P470)</f>
        <v>6</v>
      </c>
      <c r="P470" s="74">
        <f t="shared" ca="1" si="50"/>
        <v>6</v>
      </c>
      <c r="Q470" s="210">
        <f ca="1">IF(controls!$B$44=0,R470+'main page'!$K$29*L470+(1-'main page'!$K$29)*controls!$B$9+(('main page'!$K$25*'main page'!$U$13*'main page'!$K$29)/('main page'!$K$27*(1+('main page'!$K$25^2)*'main page'!$U$13)))*(L470-controls!$B$9),R470+'main page'!$K$29*L470+(1-'main page'!$K$29)*controls!$B$9+(('main page'!$K$25*'main page'!$U$13*'normal case'!$AO$3)/'normal case'!$AO$4)*('normal case'!L470-controls!$B$9))</f>
        <v>6</v>
      </c>
      <c r="R470" s="98">
        <f ca="1">IF(controls!$B$44=1,'main page'!$K$24+'main page'!$K$11,IF(controls!$B$33=1,((I471-D470*W471-B471+B470*V471)/'main page'!$K$27)-'main page'!$K$11,((H471-D470*W471-B471+B470*V471)/'main page'!$K$27)-'main page'!$K$11))</f>
        <v>4</v>
      </c>
      <c r="T470" s="71">
        <f>IF(controls!$B$6=1,$AL$3*(1+('main page'!$K$35/100))^U470-$AL$3*(1+('main page'!$K$35/100))^U469,$AL$3*(1+('main page'!$G$8/100))*(1+('main page'!$K$35/100))^U470-$AL$3*(1+('main page'!$G$8/100))*(1+('main page'!$K$35/100))^U469)</f>
        <v>0</v>
      </c>
      <c r="U470" s="73">
        <v>463</v>
      </c>
      <c r="V470" s="161">
        <f ca="1">IF(controls!$B$4=1,IF(controls!$H469=1,controls!$B$34*V469+RAND()*('main page'!$K$16/100)-RAND()*('main page'!$K$16/100),0),0)</f>
        <v>0</v>
      </c>
      <c r="W470" s="40">
        <f ca="1">IF(controls!$B$4=1,IF(controls!$I469=1,controls!$B$34*W469+RAND()*('main page'!$K$16/100)-RAND()*('main page'!$K$16/100),0),0)</f>
        <v>0</v>
      </c>
      <c r="X470" s="49">
        <f ca="1">IF(controls!$B$33=1,D470-($I$3-'main page'!$K$27*2)*(1+('main page'!$K$35/100))^A469,D470-$AL$4)</f>
        <v>0</v>
      </c>
      <c r="Y470" s="49">
        <f ca="1">ABS(L470-(controls!$B$9/100)*100)</f>
        <v>0</v>
      </c>
      <c r="AA470" s="49" t="e">
        <f ca="1">IF(controls!$B$33=1,(B471-B470*V471-I471+D470*W471+'main page'!$K$27*('main page'!$K$24+'main page'!$K$11))/'main page'!$K$31,(B471-B470*V471+D470*W471-H471+'main page'!$K$27*('main page'!$K$24+'main page'!$K$11))/'main page'!$K$31)</f>
        <v>#DIV/0!</v>
      </c>
      <c r="AB470" s="49" t="e">
        <f ca="1">IF(controls!$B$45=1,LOG(AF470,1.01)+LOG(AE470,1.01)-LOG(AD470,1.01),-((M470-('main page'!$K$24+'main page'!$K$11))/(1-'normal case'!$AO$3))+'normal case'!AA470)</f>
        <v>#DIV/0!</v>
      </c>
      <c r="AC470" s="176" t="e">
        <f t="shared" ca="1" si="51"/>
        <v>#DIV/0!</v>
      </c>
      <c r="AD470" s="49">
        <f t="shared" ca="1" si="52"/>
        <v>10381.980595320516</v>
      </c>
      <c r="AE470" s="49">
        <f>AE469*(1+'main page'!$K$32/100)</f>
        <v>1</v>
      </c>
      <c r="AF470" s="49" t="e">
        <f ca="1">IF(ABS(IF(controls!$B$45=1,$AL$13,AD470*AC470/AE470)-AF469)&lt;0.00001,AF469,IF(controls!$B$45=1,$AL$13,AD470*AC470/AE470))</f>
        <v>#DIV/0!</v>
      </c>
      <c r="AG470" s="49">
        <f>IF(controls!$B$46=0,0,IF(controls!$B$33=2,B471-B470*V471-('normal case'!H471-D470*W471-'main page'!$K$27*'normal case'!M470+'main page'!$K$31*'normal case'!AB470)-(('main page'!$K$25*'main page'!$U$13*'main page'!$K$29)/(1+('main page'!$K$25^2)*'main page'!$U$13))*('normal case'!L470-'main page'!$U$8),B471-B470*V471-('normal case'!I471-D470*W471-'main page'!$K$27*'normal case'!M470+'main page'!$K$31*'normal case'!AB470)-(('main page'!$K$25*'main page'!$U$13*'main page'!$K$29)/(1+('main page'!$K$25^2)*'main page'!$U$13))*('normal case'!L470-'main page'!$U$8)))</f>
        <v>0</v>
      </c>
      <c r="AN470" s="40"/>
      <c r="AO470" s="40"/>
    </row>
    <row r="471" spans="1:41">
      <c r="A471" s="48">
        <v>469</v>
      </c>
      <c r="B471" s="75">
        <f ca="1">IF(controls!$B$33=1,B470*(1+V471)+T471,B470*(1+V471))</f>
        <v>100</v>
      </c>
      <c r="C471" s="80">
        <f t="shared" ca="1" si="53"/>
        <v>0</v>
      </c>
      <c r="D471" s="77">
        <f t="shared" ca="1" si="49"/>
        <v>100</v>
      </c>
      <c r="E471" s="77">
        <f ca="1">AG470+IF(controls!$B$33=1,G471,F471)</f>
        <v>100</v>
      </c>
      <c r="F471" s="94">
        <f ca="1">IF(controls!$B$44=0,H471-'main page'!$K$27*M470,H471-'main page'!$K$27*M470+'main page'!$K$31*AB470)</f>
        <v>100</v>
      </c>
      <c r="G471" s="75">
        <f ca="1">IF(controls!$B$44=0,I471-'main page'!$K$27*M470,I471-'main page'!$K$27*M470+'main page'!$K$31*'normal case'!AB470)</f>
        <v>100</v>
      </c>
      <c r="H471" s="75">
        <f t="shared" ca="1" si="47"/>
        <v>108</v>
      </c>
      <c r="I471" s="75">
        <f t="shared" ca="1" si="48"/>
        <v>108</v>
      </c>
      <c r="L471" s="75">
        <f ca="1">IF(ABS('main page'!$K$29*L470+(1-'main page'!$K$29)*(controls!$B$9/100)*100+'main page'!$K$25*(D471-B471)-L470)&lt;0.0000001,L470,'main page'!$K$29*L470+(1-'main page'!$K$29)*(controls!$B$9/100)*100+'main page'!$K$25*(D471-B471))</f>
        <v>2</v>
      </c>
      <c r="M471" s="96">
        <f ca="1">IF(controls!$B$10=1,M470,IF(SUM(controls!$B$44:$B$46)=2,N471-'main page'!$K$29*'normal case'!L471-(1-'main page'!$K$29)*'main page'!$K$32,N471-'main page'!$K$29*'normal case'!L471-(1-'main page'!$K$29)*controls!$B$9))</f>
        <v>4</v>
      </c>
      <c r="N471" s="208">
        <f ca="1">IF(controls!$B$45=1,IF(controls!$B$46=1,'main page'!$K$24+'main page'!$K$11+'main page'!$U$8,'main page'!$K$24+'main page'!$K$11+'main page'!$K$32),IF(controls!$B$44=1,IF(O471&lt;0,0,O471),IF(O471+'main page'!$K$11&lt;0,0,O471+'main page'!$K$11)))</f>
        <v>6</v>
      </c>
      <c r="O471" s="76">
        <f ca="1">IF(controls!$B$10=1,'normal case'!M471+'normal case'!L471,'normal case'!P471)</f>
        <v>6</v>
      </c>
      <c r="P471" s="74">
        <f t="shared" ca="1" si="50"/>
        <v>6</v>
      </c>
      <c r="Q471" s="210">
        <f ca="1">IF(controls!$B$44=0,R471+'main page'!$K$29*L471+(1-'main page'!$K$29)*controls!$B$9+(('main page'!$K$25*'main page'!$U$13*'main page'!$K$29)/('main page'!$K$27*(1+('main page'!$K$25^2)*'main page'!$U$13)))*(L471-controls!$B$9),R471+'main page'!$K$29*L471+(1-'main page'!$K$29)*controls!$B$9+(('main page'!$K$25*'main page'!$U$13*'normal case'!$AO$3)/'normal case'!$AO$4)*('normal case'!L471-controls!$B$9))</f>
        <v>6</v>
      </c>
      <c r="R471" s="98">
        <f ca="1">IF(controls!$B$44=1,'main page'!$K$24+'main page'!$K$11,IF(controls!$B$33=1,((I472-D471*W472-B472+B471*V472)/'main page'!$K$27)-'main page'!$K$11,((H472-D471*W472-B472+B471*V472)/'main page'!$K$27)-'main page'!$K$11))</f>
        <v>4</v>
      </c>
      <c r="T471" s="71">
        <f>IF(controls!$B$6=1,$AL$3*(1+('main page'!$K$35/100))^U471-$AL$3*(1+('main page'!$K$35/100))^U470,$AL$3*(1+('main page'!$G$8/100))*(1+('main page'!$K$35/100))^U471-$AL$3*(1+('main page'!$G$8/100))*(1+('main page'!$K$35/100))^U470)</f>
        <v>0</v>
      </c>
      <c r="U471" s="73">
        <v>464</v>
      </c>
      <c r="V471" s="161">
        <v>0</v>
      </c>
      <c r="W471" s="40">
        <v>0</v>
      </c>
      <c r="X471" s="49">
        <f ca="1">IF(controls!$B$33=1,D471-($I$3-'main page'!$K$27*2)*(1+('main page'!$K$35/100))^A470,D471-$AL$4)</f>
        <v>0</v>
      </c>
      <c r="Y471" s="49">
        <f ca="1">ABS(L471-(controls!$B$9/100)*100)</f>
        <v>0</v>
      </c>
      <c r="AA471" s="49" t="e">
        <f ca="1">IF(controls!$B$33=1,(B472-B471*V472-I472+D471*W472+'main page'!$K$27*('main page'!$K$24+'main page'!$K$11))/'main page'!$K$31,(B472-B471*V472+D471*W472-H472+'main page'!$K$27*('main page'!$K$24+'main page'!$K$11))/'main page'!$K$31)</f>
        <v>#DIV/0!</v>
      </c>
      <c r="AB471" s="49" t="e">
        <f ca="1">IF(controls!$B$45=1,LOG(AF471,1.01)+LOG(AE471,1.01)-LOG(AD471,1.01),-((M471-('main page'!$K$24+'main page'!$K$11))/(1-'normal case'!$AO$3))+'normal case'!AA471)</f>
        <v>#DIV/0!</v>
      </c>
      <c r="AC471" s="176" t="e">
        <f t="shared" ca="1" si="51"/>
        <v>#DIV/0!</v>
      </c>
      <c r="AD471" s="49">
        <f t="shared" ca="1" si="52"/>
        <v>10589.620207226926</v>
      </c>
      <c r="AE471" s="49">
        <f>AE470*(1+'main page'!$K$32/100)</f>
        <v>1</v>
      </c>
      <c r="AF471" s="49" t="e">
        <f ca="1">IF(ABS(IF(controls!$B$45=1,$AL$13,AD471*AC471/AE471)-AF470)&lt;0.00001,AF470,IF(controls!$B$45=1,$AL$13,AD471*AC471/AE471))</f>
        <v>#DIV/0!</v>
      </c>
      <c r="AG471" s="49">
        <f>IF(controls!$B$46=0,0,IF(controls!$B$33=2,B472-B471*V472-('normal case'!H472-D471*W472-'main page'!$K$27*'normal case'!M471+'main page'!$K$31*'normal case'!AB471)-(('main page'!$K$25*'main page'!$U$13*'main page'!$K$29)/(1+('main page'!$K$25^2)*'main page'!$U$13))*('normal case'!L471-'main page'!$U$8),B472-B471*V472-('normal case'!I472-D471*W472-'main page'!$K$27*'normal case'!M471+'main page'!$K$31*'normal case'!AB471)-(('main page'!$K$25*'main page'!$U$13*'main page'!$K$29)/(1+('main page'!$K$25^2)*'main page'!$U$13))*('normal case'!L471-'main page'!$U$8)))</f>
        <v>0</v>
      </c>
      <c r="AN471" s="40"/>
      <c r="AO471" s="40"/>
    </row>
    <row r="472" spans="1:41">
      <c r="A472" s="48">
        <v>470</v>
      </c>
      <c r="B472" s="75">
        <f ca="1">IF(controls!$B$33=1,B471*(1+V472)+T472,B471*(1+V472))</f>
        <v>100</v>
      </c>
      <c r="C472" s="80">
        <f t="shared" ca="1" si="53"/>
        <v>0</v>
      </c>
      <c r="D472" s="77">
        <f t="shared" ca="1" si="49"/>
        <v>100</v>
      </c>
      <c r="E472" s="77">
        <f ca="1">AG471+IF(controls!$B$33=1,G472,F472)</f>
        <v>100</v>
      </c>
      <c r="F472" s="94">
        <f ca="1">IF(controls!$B$44=0,H472-'main page'!$K$27*M471,H472-'main page'!$K$27*M471+'main page'!$K$31*AB471)</f>
        <v>100</v>
      </c>
      <c r="G472" s="75">
        <f ca="1">IF(controls!$B$44=0,I472-'main page'!$K$27*M471,I472-'main page'!$K$27*M471+'main page'!$K$31*'normal case'!AB471)</f>
        <v>100</v>
      </c>
      <c r="H472" s="75">
        <f t="shared" ref="H472:H502" ca="1" si="54">H471+D471*W472</f>
        <v>108</v>
      </c>
      <c r="I472" s="75">
        <f t="shared" ref="I472:I502" ca="1" si="55">I471+D471*W472+T472</f>
        <v>108</v>
      </c>
      <c r="L472" s="75">
        <f ca="1">IF(ABS('main page'!$K$29*L471+(1-'main page'!$K$29)*(controls!$B$9/100)*100+'main page'!$K$25*(D472-B472)-L471)&lt;0.0000001,L471,'main page'!$K$29*L471+(1-'main page'!$K$29)*(controls!$B$9/100)*100+'main page'!$K$25*(D472-B472))</f>
        <v>2</v>
      </c>
      <c r="M472" s="96">
        <f ca="1">IF(controls!$B$10=1,M471,IF(SUM(controls!$B$44:$B$46)=2,N472-'main page'!$K$29*'normal case'!L472-(1-'main page'!$K$29)*'main page'!$K$32,N472-'main page'!$K$29*'normal case'!L472-(1-'main page'!$K$29)*controls!$B$9))</f>
        <v>4</v>
      </c>
      <c r="N472" s="208">
        <f ca="1">IF(controls!$B$45=1,IF(controls!$B$46=1,'main page'!$K$24+'main page'!$K$11+'main page'!$U$8,'main page'!$K$24+'main page'!$K$11+'main page'!$K$32),IF(controls!$B$44=1,IF(O472&lt;0,0,O472),IF(O472+'main page'!$K$11&lt;0,0,O472+'main page'!$K$11)))</f>
        <v>6</v>
      </c>
      <c r="O472" s="76">
        <f ca="1">IF(controls!$B$10=1,'normal case'!M472+'normal case'!L472,'normal case'!P472)</f>
        <v>6</v>
      </c>
      <c r="P472" s="74">
        <f t="shared" ca="1" si="50"/>
        <v>6</v>
      </c>
      <c r="Q472" s="210">
        <f ca="1">IF(controls!$B$44=0,R472+'main page'!$K$29*L472+(1-'main page'!$K$29)*controls!$B$9+(('main page'!$K$25*'main page'!$U$13*'main page'!$K$29)/('main page'!$K$27*(1+('main page'!$K$25^2)*'main page'!$U$13)))*(L472-controls!$B$9),R472+'main page'!$K$29*L472+(1-'main page'!$K$29)*controls!$B$9+(('main page'!$K$25*'main page'!$U$13*'normal case'!$AO$3)/'normal case'!$AO$4)*('normal case'!L472-controls!$B$9))</f>
        <v>6</v>
      </c>
      <c r="R472" s="98">
        <f ca="1">IF(controls!$B$44=1,'main page'!$K$24+'main page'!$K$11,IF(controls!$B$33=1,((I473-D472*W473-B473+B472*V473)/'main page'!$K$27)-'main page'!$K$11,((H473-D472*W473-B473+B472*V473)/'main page'!$K$27)-'main page'!$K$11))</f>
        <v>4</v>
      </c>
      <c r="T472" s="71">
        <f>IF(controls!$B$6=1,$AL$3*(1+('main page'!$K$35/100))^U472-$AL$3*(1+('main page'!$K$35/100))^U471,$AL$3*(1+('main page'!$G$8/100))*(1+('main page'!$K$35/100))^U472-$AL$3*(1+('main page'!$G$8/100))*(1+('main page'!$K$35/100))^U471)</f>
        <v>0</v>
      </c>
      <c r="U472" s="73">
        <v>465</v>
      </c>
      <c r="V472" s="161">
        <v>0</v>
      </c>
      <c r="W472" s="40">
        <v>0</v>
      </c>
      <c r="X472" s="49">
        <f ca="1">IF(controls!$B$33=1,D472-($I$3-'main page'!$K$27*2)*(1+('main page'!$K$35/100))^A471,D472-$AL$4)</f>
        <v>0</v>
      </c>
      <c r="Y472" s="49">
        <f ca="1">ABS(L472-(controls!$B$9/100)*100)</f>
        <v>0</v>
      </c>
      <c r="AA472" s="49" t="e">
        <f ca="1">IF(controls!$B$33=1,(B473-B472*V473-I473+D472*W473+'main page'!$K$27*('main page'!$K$24+'main page'!$K$11))/'main page'!$K$31,(B473-B472*V473+D472*W473-H473+'main page'!$K$27*('main page'!$K$24+'main page'!$K$11))/'main page'!$K$31)</f>
        <v>#DIV/0!</v>
      </c>
      <c r="AB472" s="49" t="e">
        <f ca="1">IF(controls!$B$45=1,LOG(AF472,1.01)+LOG(AE472,1.01)-LOG(AD472,1.01),-((M472-('main page'!$K$24+'main page'!$K$11))/(1-'normal case'!$AO$3))+'normal case'!AA472)</f>
        <v>#DIV/0!</v>
      </c>
      <c r="AC472" s="176" t="e">
        <f t="shared" ca="1" si="51"/>
        <v>#DIV/0!</v>
      </c>
      <c r="AD472" s="49">
        <f t="shared" ca="1" si="52"/>
        <v>10801.412611371465</v>
      </c>
      <c r="AE472" s="49">
        <f>AE471*(1+'main page'!$K$32/100)</f>
        <v>1</v>
      </c>
      <c r="AF472" s="49" t="e">
        <f ca="1">IF(ABS(IF(controls!$B$45=1,$AL$13,AD472*AC472/AE472)-AF471)&lt;0.00001,AF471,IF(controls!$B$45=1,$AL$13,AD472*AC472/AE472))</f>
        <v>#DIV/0!</v>
      </c>
      <c r="AG472" s="49">
        <f>IF(controls!$B$46=0,0,IF(controls!$B$33=2,B473-B472*V473-('normal case'!H473-D472*W473-'main page'!$K$27*'normal case'!M472+'main page'!$K$31*'normal case'!AB472)-(('main page'!$K$25*'main page'!$U$13*'main page'!$K$29)/(1+('main page'!$K$25^2)*'main page'!$U$13))*('normal case'!L472-'main page'!$U$8),B473-B472*V473-('normal case'!I473-D472*W473-'main page'!$K$27*'normal case'!M472+'main page'!$K$31*'normal case'!AB472)-(('main page'!$K$25*'main page'!$U$13*'main page'!$K$29)/(1+('main page'!$K$25^2)*'main page'!$U$13))*('normal case'!L472-'main page'!$U$8)))</f>
        <v>0</v>
      </c>
      <c r="AN472" s="40"/>
      <c r="AO472" s="40"/>
    </row>
    <row r="473" spans="1:41">
      <c r="A473" s="48">
        <v>471</v>
      </c>
      <c r="B473" s="75">
        <f ca="1">IF(controls!$B$33=1,B472*(1+V473)+T473,B472*(1+V473))</f>
        <v>100</v>
      </c>
      <c r="C473" s="80">
        <f t="shared" ca="1" si="53"/>
        <v>0</v>
      </c>
      <c r="D473" s="77">
        <f t="shared" ca="1" si="49"/>
        <v>100</v>
      </c>
      <c r="E473" s="77">
        <f ca="1">AG472+IF(controls!$B$33=1,G473,F473)</f>
        <v>100</v>
      </c>
      <c r="F473" s="94">
        <f ca="1">IF(controls!$B$44=0,H473-'main page'!$K$27*M472,H473-'main page'!$K$27*M472+'main page'!$K$31*AB472)</f>
        <v>100</v>
      </c>
      <c r="G473" s="75">
        <f ca="1">IF(controls!$B$44=0,I473-'main page'!$K$27*M472,I473-'main page'!$K$27*M472+'main page'!$K$31*'normal case'!AB472)</f>
        <v>100</v>
      </c>
      <c r="H473" s="75">
        <f t="shared" ca="1" si="54"/>
        <v>108</v>
      </c>
      <c r="I473" s="75">
        <f t="shared" ca="1" si="55"/>
        <v>108</v>
      </c>
      <c r="L473" s="75">
        <f ca="1">IF(ABS('main page'!$K$29*L472+(1-'main page'!$K$29)*(controls!$B$9/100)*100+'main page'!$K$25*(D473-B473)-L472)&lt;0.0000001,L472,'main page'!$K$29*L472+(1-'main page'!$K$29)*(controls!$B$9/100)*100+'main page'!$K$25*(D473-B473))</f>
        <v>2</v>
      </c>
      <c r="M473" s="96">
        <f ca="1">IF(controls!$B$10=1,M472,IF(SUM(controls!$B$44:$B$46)=2,N473-'main page'!$K$29*'normal case'!L473-(1-'main page'!$K$29)*'main page'!$K$32,N473-'main page'!$K$29*'normal case'!L473-(1-'main page'!$K$29)*controls!$B$9))</f>
        <v>4</v>
      </c>
      <c r="N473" s="208">
        <f ca="1">IF(controls!$B$45=1,IF(controls!$B$46=1,'main page'!$K$24+'main page'!$K$11+'main page'!$U$8,'main page'!$K$24+'main page'!$K$11+'main page'!$K$32),IF(controls!$B$44=1,IF(O473&lt;0,0,O473),IF(O473+'main page'!$K$11&lt;0,0,O473+'main page'!$K$11)))</f>
        <v>6</v>
      </c>
      <c r="O473" s="76">
        <f ca="1">IF(controls!$B$10=1,'normal case'!M473+'normal case'!L473,'normal case'!P473)</f>
        <v>6</v>
      </c>
      <c r="P473" s="74">
        <f t="shared" ca="1" si="50"/>
        <v>6</v>
      </c>
      <c r="Q473" s="210">
        <f ca="1">IF(controls!$B$44=0,R473+'main page'!$K$29*L473+(1-'main page'!$K$29)*controls!$B$9+(('main page'!$K$25*'main page'!$U$13*'main page'!$K$29)/('main page'!$K$27*(1+('main page'!$K$25^2)*'main page'!$U$13)))*(L473-controls!$B$9),R473+'main page'!$K$29*L473+(1-'main page'!$K$29)*controls!$B$9+(('main page'!$K$25*'main page'!$U$13*'normal case'!$AO$3)/'normal case'!$AO$4)*('normal case'!L473-controls!$B$9))</f>
        <v>6</v>
      </c>
      <c r="R473" s="98">
        <f ca="1">IF(controls!$B$44=1,'main page'!$K$24+'main page'!$K$11,IF(controls!$B$33=1,((I474-D473*W474-B474+B473*V474)/'main page'!$K$27)-'main page'!$K$11,((H474-D473*W474-B474+B473*V474)/'main page'!$K$27)-'main page'!$K$11))</f>
        <v>4</v>
      </c>
      <c r="T473" s="71">
        <f>IF(controls!$B$6=1,$AL$3*(1+('main page'!$K$35/100))^U473-$AL$3*(1+('main page'!$K$35/100))^U472,$AL$3*(1+('main page'!$G$8/100))*(1+('main page'!$K$35/100))^U473-$AL$3*(1+('main page'!$G$8/100))*(1+('main page'!$K$35/100))^U472)</f>
        <v>0</v>
      </c>
      <c r="U473" s="73">
        <v>466</v>
      </c>
      <c r="V473" s="161">
        <f ca="1">IF(controls!$B$4=1,IF(controls!$H472=1,controls!$B$34*V472+RAND()*('main page'!$K$16/100)-RAND()*('main page'!$K$16/100),0),0)</f>
        <v>0</v>
      </c>
      <c r="W473" s="40">
        <f ca="1">IF(controls!$B$4=1,IF(controls!$I472=1,controls!$B$34*W472+RAND()*('main page'!$K$16/100)-RAND()*('main page'!$K$16/100),0),0)</f>
        <v>0</v>
      </c>
      <c r="X473" s="49">
        <f ca="1">IF(controls!$B$33=1,D473-($I$3-'main page'!$K$27*2)*(1+('main page'!$K$35/100))^A472,D473-$AL$4)</f>
        <v>0</v>
      </c>
      <c r="Y473" s="49">
        <f ca="1">ABS(L473-(controls!$B$9/100)*100)</f>
        <v>0</v>
      </c>
      <c r="AA473" s="49" t="e">
        <f ca="1">IF(controls!$B$33=1,(B474-B473*V474-I474+D473*W474+'main page'!$K$27*('main page'!$K$24+'main page'!$K$11))/'main page'!$K$31,(B474-B473*V474+D473*W474-H474+'main page'!$K$27*('main page'!$K$24+'main page'!$K$11))/'main page'!$K$31)</f>
        <v>#DIV/0!</v>
      </c>
      <c r="AB473" s="49" t="e">
        <f ca="1">IF(controls!$B$45=1,LOG(AF473,1.01)+LOG(AE473,1.01)-LOG(AD473,1.01),-((M473-('main page'!$K$24+'main page'!$K$11))/(1-'normal case'!$AO$3))+'normal case'!AA473)</f>
        <v>#DIV/0!</v>
      </c>
      <c r="AC473" s="176" t="e">
        <f t="shared" ca="1" si="51"/>
        <v>#DIV/0!</v>
      </c>
      <c r="AD473" s="49">
        <f t="shared" ca="1" si="52"/>
        <v>11017.440863598895</v>
      </c>
      <c r="AE473" s="49">
        <f>AE472*(1+'main page'!$K$32/100)</f>
        <v>1</v>
      </c>
      <c r="AF473" s="49" t="e">
        <f ca="1">IF(ABS(IF(controls!$B$45=1,$AL$13,AD473*AC473/AE473)-AF472)&lt;0.00001,AF472,IF(controls!$B$45=1,$AL$13,AD473*AC473/AE473))</f>
        <v>#DIV/0!</v>
      </c>
      <c r="AG473" s="49">
        <f>IF(controls!$B$46=0,0,IF(controls!$B$33=2,B474-B473*V474-('normal case'!H474-D473*W474-'main page'!$K$27*'normal case'!M473+'main page'!$K$31*'normal case'!AB473)-(('main page'!$K$25*'main page'!$U$13*'main page'!$K$29)/(1+('main page'!$K$25^2)*'main page'!$U$13))*('normal case'!L473-'main page'!$U$8),B474-B473*V474-('normal case'!I474-D473*W474-'main page'!$K$27*'normal case'!M473+'main page'!$K$31*'normal case'!AB473)-(('main page'!$K$25*'main page'!$U$13*'main page'!$K$29)/(1+('main page'!$K$25^2)*'main page'!$U$13))*('normal case'!L473-'main page'!$U$8)))</f>
        <v>0</v>
      </c>
      <c r="AN473" s="40"/>
      <c r="AO473" s="40"/>
    </row>
    <row r="474" spans="1:41">
      <c r="A474" s="48">
        <v>472</v>
      </c>
      <c r="B474" s="75">
        <f ca="1">IF(controls!$B$33=1,B473*(1+V474)+T474,B473*(1+V474))</f>
        <v>100</v>
      </c>
      <c r="C474" s="80">
        <f t="shared" ca="1" si="53"/>
        <v>0</v>
      </c>
      <c r="D474" s="77">
        <f t="shared" ca="1" si="49"/>
        <v>100</v>
      </c>
      <c r="E474" s="77">
        <f ca="1">AG473+IF(controls!$B$33=1,G474,F474)</f>
        <v>100</v>
      </c>
      <c r="F474" s="94">
        <f ca="1">IF(controls!$B$44=0,H474-'main page'!$K$27*M473,H474-'main page'!$K$27*M473+'main page'!$K$31*AB473)</f>
        <v>100</v>
      </c>
      <c r="G474" s="75">
        <f ca="1">IF(controls!$B$44=0,I474-'main page'!$K$27*M473,I474-'main page'!$K$27*M473+'main page'!$K$31*'normal case'!AB473)</f>
        <v>100</v>
      </c>
      <c r="H474" s="75">
        <f t="shared" ca="1" si="54"/>
        <v>108</v>
      </c>
      <c r="I474" s="75">
        <f t="shared" ca="1" si="55"/>
        <v>108</v>
      </c>
      <c r="L474" s="75">
        <f ca="1">IF(ABS('main page'!$K$29*L473+(1-'main page'!$K$29)*(controls!$B$9/100)*100+'main page'!$K$25*(D474-B474)-L473)&lt;0.0000001,L473,'main page'!$K$29*L473+(1-'main page'!$K$29)*(controls!$B$9/100)*100+'main page'!$K$25*(D474-B474))</f>
        <v>2</v>
      </c>
      <c r="M474" s="96">
        <f ca="1">IF(controls!$B$10=1,M473,IF(SUM(controls!$B$44:$B$46)=2,N474-'main page'!$K$29*'normal case'!L474-(1-'main page'!$K$29)*'main page'!$K$32,N474-'main page'!$K$29*'normal case'!L474-(1-'main page'!$K$29)*controls!$B$9))</f>
        <v>4</v>
      </c>
      <c r="N474" s="208">
        <f ca="1">IF(controls!$B$45=1,IF(controls!$B$46=1,'main page'!$K$24+'main page'!$K$11+'main page'!$U$8,'main page'!$K$24+'main page'!$K$11+'main page'!$K$32),IF(controls!$B$44=1,IF(O474&lt;0,0,O474),IF(O474+'main page'!$K$11&lt;0,0,O474+'main page'!$K$11)))</f>
        <v>6</v>
      </c>
      <c r="O474" s="76">
        <f ca="1">IF(controls!$B$10=1,'normal case'!M474+'normal case'!L474,'normal case'!P474)</f>
        <v>6</v>
      </c>
      <c r="P474" s="74">
        <f t="shared" ca="1" si="50"/>
        <v>6</v>
      </c>
      <c r="Q474" s="210">
        <f ca="1">IF(controls!$B$44=0,R474+'main page'!$K$29*L474+(1-'main page'!$K$29)*controls!$B$9+(('main page'!$K$25*'main page'!$U$13*'main page'!$K$29)/('main page'!$K$27*(1+('main page'!$K$25^2)*'main page'!$U$13)))*(L474-controls!$B$9),R474+'main page'!$K$29*L474+(1-'main page'!$K$29)*controls!$B$9+(('main page'!$K$25*'main page'!$U$13*'normal case'!$AO$3)/'normal case'!$AO$4)*('normal case'!L474-controls!$B$9))</f>
        <v>6</v>
      </c>
      <c r="R474" s="98">
        <f ca="1">IF(controls!$B$44=1,'main page'!$K$24+'main page'!$K$11,IF(controls!$B$33=1,((I475-D474*W475-B475+B474*V475)/'main page'!$K$27)-'main page'!$K$11,((H475-D474*W475-B475+B474*V475)/'main page'!$K$27)-'main page'!$K$11))</f>
        <v>4</v>
      </c>
      <c r="T474" s="71">
        <f>IF(controls!$B$6=1,$AL$3*(1+('main page'!$K$35/100))^U474-$AL$3*(1+('main page'!$K$35/100))^U473,$AL$3*(1+('main page'!$G$8/100))*(1+('main page'!$K$35/100))^U474-$AL$3*(1+('main page'!$G$8/100))*(1+('main page'!$K$35/100))^U473)</f>
        <v>0</v>
      </c>
      <c r="U474" s="73">
        <v>467</v>
      </c>
      <c r="V474" s="161">
        <v>0</v>
      </c>
      <c r="W474" s="40">
        <v>0</v>
      </c>
      <c r="X474" s="49">
        <f ca="1">IF(controls!$B$33=1,D474-($I$3-'main page'!$K$27*2)*(1+('main page'!$K$35/100))^A473,D474-$AL$4)</f>
        <v>0</v>
      </c>
      <c r="Y474" s="49">
        <f ca="1">ABS(L474-(controls!$B$9/100)*100)</f>
        <v>0</v>
      </c>
      <c r="AA474" s="49" t="e">
        <f ca="1">IF(controls!$B$33=1,(B475-B474*V475-I475+D474*W475+'main page'!$K$27*('main page'!$K$24+'main page'!$K$11))/'main page'!$K$31,(B475-B474*V475+D474*W475-H475+'main page'!$K$27*('main page'!$K$24+'main page'!$K$11))/'main page'!$K$31)</f>
        <v>#DIV/0!</v>
      </c>
      <c r="AB474" s="49" t="e">
        <f ca="1">IF(controls!$B$45=1,LOG(AF474,1.01)+LOG(AE474,1.01)-LOG(AD474,1.01),-((M474-('main page'!$K$24+'main page'!$K$11))/(1-'normal case'!$AO$3))+'normal case'!AA474)</f>
        <v>#DIV/0!</v>
      </c>
      <c r="AC474" s="176" t="e">
        <f t="shared" ca="1" si="51"/>
        <v>#DIV/0!</v>
      </c>
      <c r="AD474" s="49">
        <f t="shared" ca="1" si="52"/>
        <v>11237.789680870874</v>
      </c>
      <c r="AE474" s="49">
        <f>AE473*(1+'main page'!$K$32/100)</f>
        <v>1</v>
      </c>
      <c r="AF474" s="49" t="e">
        <f ca="1">IF(ABS(IF(controls!$B$45=1,$AL$13,AD474*AC474/AE474)-AF473)&lt;0.00001,AF473,IF(controls!$B$45=1,$AL$13,AD474*AC474/AE474))</f>
        <v>#DIV/0!</v>
      </c>
      <c r="AG474" s="49">
        <f>IF(controls!$B$46=0,0,IF(controls!$B$33=2,B475-B474*V475-('normal case'!H475-D474*W475-'main page'!$K$27*'normal case'!M474+'main page'!$K$31*'normal case'!AB474)-(('main page'!$K$25*'main page'!$U$13*'main page'!$K$29)/(1+('main page'!$K$25^2)*'main page'!$U$13))*('normal case'!L474-'main page'!$U$8),B475-B474*V475-('normal case'!I475-D474*W475-'main page'!$K$27*'normal case'!M474+'main page'!$K$31*'normal case'!AB474)-(('main page'!$K$25*'main page'!$U$13*'main page'!$K$29)/(1+('main page'!$K$25^2)*'main page'!$U$13))*('normal case'!L474-'main page'!$U$8)))</f>
        <v>0</v>
      </c>
      <c r="AN474" s="40"/>
      <c r="AO474" s="40"/>
    </row>
    <row r="475" spans="1:41">
      <c r="A475" s="48">
        <v>473</v>
      </c>
      <c r="B475" s="75">
        <f ca="1">IF(controls!$B$33=1,B474*(1+V475)+T475,B474*(1+V475))</f>
        <v>100</v>
      </c>
      <c r="C475" s="80">
        <f t="shared" ca="1" si="53"/>
        <v>0</v>
      </c>
      <c r="D475" s="77">
        <f t="shared" ca="1" si="49"/>
        <v>100</v>
      </c>
      <c r="E475" s="77">
        <f ca="1">AG474+IF(controls!$B$33=1,G475,F475)</f>
        <v>100</v>
      </c>
      <c r="F475" s="94">
        <f ca="1">IF(controls!$B$44=0,H475-'main page'!$K$27*M474,H475-'main page'!$K$27*M474+'main page'!$K$31*AB474)</f>
        <v>100</v>
      </c>
      <c r="G475" s="75">
        <f ca="1">IF(controls!$B$44=0,I475-'main page'!$K$27*M474,I475-'main page'!$K$27*M474+'main page'!$K$31*'normal case'!AB474)</f>
        <v>100</v>
      </c>
      <c r="H475" s="75">
        <f t="shared" ca="1" si="54"/>
        <v>108</v>
      </c>
      <c r="I475" s="75">
        <f t="shared" ca="1" si="55"/>
        <v>108</v>
      </c>
      <c r="L475" s="75">
        <f ca="1">IF(ABS('main page'!$K$29*L474+(1-'main page'!$K$29)*(controls!$B$9/100)*100+'main page'!$K$25*(D475-B475)-L474)&lt;0.0000001,L474,'main page'!$K$29*L474+(1-'main page'!$K$29)*(controls!$B$9/100)*100+'main page'!$K$25*(D475-B475))</f>
        <v>2</v>
      </c>
      <c r="M475" s="96">
        <f ca="1">IF(controls!$B$10=1,M474,IF(SUM(controls!$B$44:$B$46)=2,N475-'main page'!$K$29*'normal case'!L475-(1-'main page'!$K$29)*'main page'!$K$32,N475-'main page'!$K$29*'normal case'!L475-(1-'main page'!$K$29)*controls!$B$9))</f>
        <v>4</v>
      </c>
      <c r="N475" s="208">
        <f ca="1">IF(controls!$B$45=1,IF(controls!$B$46=1,'main page'!$K$24+'main page'!$K$11+'main page'!$U$8,'main page'!$K$24+'main page'!$K$11+'main page'!$K$32),IF(controls!$B$44=1,IF(O475&lt;0,0,O475),IF(O475+'main page'!$K$11&lt;0,0,O475+'main page'!$K$11)))</f>
        <v>6</v>
      </c>
      <c r="O475" s="76">
        <f ca="1">IF(controls!$B$10=1,'normal case'!M475+'normal case'!L475,'normal case'!P475)</f>
        <v>6</v>
      </c>
      <c r="P475" s="74">
        <f t="shared" ca="1" si="50"/>
        <v>6</v>
      </c>
      <c r="Q475" s="210">
        <f ca="1">IF(controls!$B$44=0,R475+'main page'!$K$29*L475+(1-'main page'!$K$29)*controls!$B$9+(('main page'!$K$25*'main page'!$U$13*'main page'!$K$29)/('main page'!$K$27*(1+('main page'!$K$25^2)*'main page'!$U$13)))*(L475-controls!$B$9),R475+'main page'!$K$29*L475+(1-'main page'!$K$29)*controls!$B$9+(('main page'!$K$25*'main page'!$U$13*'normal case'!$AO$3)/'normal case'!$AO$4)*('normal case'!L475-controls!$B$9))</f>
        <v>6</v>
      </c>
      <c r="R475" s="98">
        <f ca="1">IF(controls!$B$44=1,'main page'!$K$24+'main page'!$K$11,IF(controls!$B$33=1,((I476-D475*W476-B476+B475*V476)/'main page'!$K$27)-'main page'!$K$11,((H476-D475*W476-B476+B475*V476)/'main page'!$K$27)-'main page'!$K$11))</f>
        <v>4</v>
      </c>
      <c r="T475" s="71">
        <f>IF(controls!$B$6=1,$AL$3*(1+('main page'!$K$35/100))^U475-$AL$3*(1+('main page'!$K$35/100))^U474,$AL$3*(1+('main page'!$G$8/100))*(1+('main page'!$K$35/100))^U475-$AL$3*(1+('main page'!$G$8/100))*(1+('main page'!$K$35/100))^U474)</f>
        <v>0</v>
      </c>
      <c r="U475" s="73">
        <v>468</v>
      </c>
      <c r="V475" s="161">
        <v>0</v>
      </c>
      <c r="W475" s="40">
        <v>0</v>
      </c>
      <c r="X475" s="49">
        <f ca="1">IF(controls!$B$33=1,D475-($I$3-'main page'!$K$27*2)*(1+('main page'!$K$35/100))^A474,D475-$AL$4)</f>
        <v>0</v>
      </c>
      <c r="Y475" s="49">
        <f ca="1">ABS(L475-(controls!$B$9/100)*100)</f>
        <v>0</v>
      </c>
      <c r="AA475" s="49" t="e">
        <f ca="1">IF(controls!$B$33=1,(B476-B475*V476-I476+D475*W476+'main page'!$K$27*('main page'!$K$24+'main page'!$K$11))/'main page'!$K$31,(B476-B475*V476+D475*W476-H476+'main page'!$K$27*('main page'!$K$24+'main page'!$K$11))/'main page'!$K$31)</f>
        <v>#DIV/0!</v>
      </c>
      <c r="AB475" s="49" t="e">
        <f ca="1">IF(controls!$B$45=1,LOG(AF475,1.01)+LOG(AE475,1.01)-LOG(AD475,1.01),-((M475-('main page'!$K$24+'main page'!$K$11))/(1-'normal case'!$AO$3))+'normal case'!AA475)</f>
        <v>#DIV/0!</v>
      </c>
      <c r="AC475" s="176" t="e">
        <f t="shared" ca="1" si="51"/>
        <v>#DIV/0!</v>
      </c>
      <c r="AD475" s="49">
        <f t="shared" ca="1" si="52"/>
        <v>11462.545474488292</v>
      </c>
      <c r="AE475" s="49">
        <f>AE474*(1+'main page'!$K$32/100)</f>
        <v>1</v>
      </c>
      <c r="AF475" s="49" t="e">
        <f ca="1">IF(ABS(IF(controls!$B$45=1,$AL$13,AD475*AC475/AE475)-AF474)&lt;0.00001,AF474,IF(controls!$B$45=1,$AL$13,AD475*AC475/AE475))</f>
        <v>#DIV/0!</v>
      </c>
      <c r="AG475" s="49">
        <f>IF(controls!$B$46=0,0,IF(controls!$B$33=2,B476-B475*V476-('normal case'!H476-D475*W476-'main page'!$K$27*'normal case'!M475+'main page'!$K$31*'normal case'!AB475)-(('main page'!$K$25*'main page'!$U$13*'main page'!$K$29)/(1+('main page'!$K$25^2)*'main page'!$U$13))*('normal case'!L475-'main page'!$U$8),B476-B475*V476-('normal case'!I476-D475*W476-'main page'!$K$27*'normal case'!M475+'main page'!$K$31*'normal case'!AB475)-(('main page'!$K$25*'main page'!$U$13*'main page'!$K$29)/(1+('main page'!$K$25^2)*'main page'!$U$13))*('normal case'!L475-'main page'!$U$8)))</f>
        <v>0</v>
      </c>
      <c r="AN475" s="40"/>
      <c r="AO475" s="40"/>
    </row>
    <row r="476" spans="1:41">
      <c r="A476" s="48">
        <v>474</v>
      </c>
      <c r="B476" s="75">
        <f ca="1">IF(controls!$B$33=1,B475*(1+V476)+T476,B475*(1+V476))</f>
        <v>100</v>
      </c>
      <c r="C476" s="80">
        <f t="shared" ca="1" si="53"/>
        <v>0</v>
      </c>
      <c r="D476" s="77">
        <f t="shared" ca="1" si="49"/>
        <v>100</v>
      </c>
      <c r="E476" s="77">
        <f ca="1">AG475+IF(controls!$B$33=1,G476,F476)</f>
        <v>100</v>
      </c>
      <c r="F476" s="94">
        <f ca="1">IF(controls!$B$44=0,H476-'main page'!$K$27*M475,H476-'main page'!$K$27*M475+'main page'!$K$31*AB475)</f>
        <v>100</v>
      </c>
      <c r="G476" s="75">
        <f ca="1">IF(controls!$B$44=0,I476-'main page'!$K$27*M475,I476-'main page'!$K$27*M475+'main page'!$K$31*'normal case'!AB475)</f>
        <v>100</v>
      </c>
      <c r="H476" s="75">
        <f t="shared" ca="1" si="54"/>
        <v>108</v>
      </c>
      <c r="I476" s="75">
        <f t="shared" ca="1" si="55"/>
        <v>108</v>
      </c>
      <c r="L476" s="75">
        <f ca="1">IF(ABS('main page'!$K$29*L475+(1-'main page'!$K$29)*(controls!$B$9/100)*100+'main page'!$K$25*(D476-B476)-L475)&lt;0.0000001,L475,'main page'!$K$29*L475+(1-'main page'!$K$29)*(controls!$B$9/100)*100+'main page'!$K$25*(D476-B476))</f>
        <v>2</v>
      </c>
      <c r="M476" s="96">
        <f ca="1">IF(controls!$B$10=1,M475,IF(SUM(controls!$B$44:$B$46)=2,N476-'main page'!$K$29*'normal case'!L476-(1-'main page'!$K$29)*'main page'!$K$32,N476-'main page'!$K$29*'normal case'!L476-(1-'main page'!$K$29)*controls!$B$9))</f>
        <v>4</v>
      </c>
      <c r="N476" s="208">
        <f ca="1">IF(controls!$B$45=1,IF(controls!$B$46=1,'main page'!$K$24+'main page'!$K$11+'main page'!$U$8,'main page'!$K$24+'main page'!$K$11+'main page'!$K$32),IF(controls!$B$44=1,IF(O476&lt;0,0,O476),IF(O476+'main page'!$K$11&lt;0,0,O476+'main page'!$K$11)))</f>
        <v>6</v>
      </c>
      <c r="O476" s="76">
        <f ca="1">IF(controls!$B$10=1,'normal case'!M476+'normal case'!L476,'normal case'!P476)</f>
        <v>6</v>
      </c>
      <c r="P476" s="74">
        <f t="shared" ca="1" si="50"/>
        <v>6</v>
      </c>
      <c r="Q476" s="210">
        <f ca="1">IF(controls!$B$44=0,R476+'main page'!$K$29*L476+(1-'main page'!$K$29)*controls!$B$9+(('main page'!$K$25*'main page'!$U$13*'main page'!$K$29)/('main page'!$K$27*(1+('main page'!$K$25^2)*'main page'!$U$13)))*(L476-controls!$B$9),R476+'main page'!$K$29*L476+(1-'main page'!$K$29)*controls!$B$9+(('main page'!$K$25*'main page'!$U$13*'normal case'!$AO$3)/'normal case'!$AO$4)*('normal case'!L476-controls!$B$9))</f>
        <v>6</v>
      </c>
      <c r="R476" s="98">
        <f ca="1">IF(controls!$B$44=1,'main page'!$K$24+'main page'!$K$11,IF(controls!$B$33=1,((I477-D476*W477-B477+B476*V477)/'main page'!$K$27)-'main page'!$K$11,((H477-D476*W477-B477+B476*V477)/'main page'!$K$27)-'main page'!$K$11))</f>
        <v>4</v>
      </c>
      <c r="T476" s="71">
        <f>IF(controls!$B$6=1,$AL$3*(1+('main page'!$K$35/100))^U476-$AL$3*(1+('main page'!$K$35/100))^U475,$AL$3*(1+('main page'!$G$8/100))*(1+('main page'!$K$35/100))^U476-$AL$3*(1+('main page'!$G$8/100))*(1+('main page'!$K$35/100))^U475)</f>
        <v>0</v>
      </c>
      <c r="U476" s="73">
        <v>469</v>
      </c>
      <c r="V476" s="161">
        <f ca="1">IF(controls!$B$4=1,IF(controls!$H475=1,controls!$B$34*V475+RAND()*('main page'!$K$16/100)-RAND()*('main page'!$K$16/100),0),0)</f>
        <v>0</v>
      </c>
      <c r="W476" s="40">
        <f ca="1">IF(controls!$B$4=1,IF(controls!$I475=1,controls!$B$34*W475+RAND()*('main page'!$K$16/100)-RAND()*('main page'!$K$16/100),0),0)</f>
        <v>0</v>
      </c>
      <c r="X476" s="49">
        <f ca="1">IF(controls!$B$33=1,D476-($I$3-'main page'!$K$27*2)*(1+('main page'!$K$35/100))^A475,D476-$AL$4)</f>
        <v>0</v>
      </c>
      <c r="Y476" s="49">
        <f ca="1">ABS(L476-(controls!$B$9/100)*100)</f>
        <v>0</v>
      </c>
      <c r="AA476" s="49" t="e">
        <f ca="1">IF(controls!$B$33=1,(B477-B476*V477-I477+D476*W477+'main page'!$K$27*('main page'!$K$24+'main page'!$K$11))/'main page'!$K$31,(B477-B476*V477+D476*W477-H477+'main page'!$K$27*('main page'!$K$24+'main page'!$K$11))/'main page'!$K$31)</f>
        <v>#DIV/0!</v>
      </c>
      <c r="AB476" s="49" t="e">
        <f ca="1">IF(controls!$B$45=1,LOG(AF476,1.01)+LOG(AE476,1.01)-LOG(AD476,1.01),-((M476-('main page'!$K$24+'main page'!$K$11))/(1-'normal case'!$AO$3))+'normal case'!AA476)</f>
        <v>#DIV/0!</v>
      </c>
      <c r="AC476" s="176" t="e">
        <f t="shared" ca="1" si="51"/>
        <v>#DIV/0!</v>
      </c>
      <c r="AD476" s="49">
        <f t="shared" ca="1" si="52"/>
        <v>11691.796383978059</v>
      </c>
      <c r="AE476" s="49">
        <f>AE475*(1+'main page'!$K$32/100)</f>
        <v>1</v>
      </c>
      <c r="AF476" s="49" t="e">
        <f ca="1">IF(ABS(IF(controls!$B$45=1,$AL$13,AD476*AC476/AE476)-AF475)&lt;0.00001,AF475,IF(controls!$B$45=1,$AL$13,AD476*AC476/AE476))</f>
        <v>#DIV/0!</v>
      </c>
      <c r="AG476" s="49">
        <f>IF(controls!$B$46=0,0,IF(controls!$B$33=2,B477-B476*V477-('normal case'!H477-D476*W477-'main page'!$K$27*'normal case'!M476+'main page'!$K$31*'normal case'!AB476)-(('main page'!$K$25*'main page'!$U$13*'main page'!$K$29)/(1+('main page'!$K$25^2)*'main page'!$U$13))*('normal case'!L476-'main page'!$U$8),B477-B476*V477-('normal case'!I477-D476*W477-'main page'!$K$27*'normal case'!M476+'main page'!$K$31*'normal case'!AB476)-(('main page'!$K$25*'main page'!$U$13*'main page'!$K$29)/(1+('main page'!$K$25^2)*'main page'!$U$13))*('normal case'!L476-'main page'!$U$8)))</f>
        <v>0</v>
      </c>
      <c r="AN476" s="40"/>
      <c r="AO476" s="40"/>
    </row>
    <row r="477" spans="1:41">
      <c r="A477" s="48">
        <v>475</v>
      </c>
      <c r="B477" s="75">
        <f ca="1">IF(controls!$B$33=1,B476*(1+V477)+T477,B476*(1+V477))</f>
        <v>100</v>
      </c>
      <c r="C477" s="80">
        <f t="shared" ca="1" si="53"/>
        <v>0</v>
      </c>
      <c r="D477" s="77">
        <f t="shared" ca="1" si="49"/>
        <v>100</v>
      </c>
      <c r="E477" s="77">
        <f ca="1">AG476+IF(controls!$B$33=1,G477,F477)</f>
        <v>100</v>
      </c>
      <c r="F477" s="94">
        <f ca="1">IF(controls!$B$44=0,H477-'main page'!$K$27*M476,H477-'main page'!$K$27*M476+'main page'!$K$31*AB476)</f>
        <v>100</v>
      </c>
      <c r="G477" s="75">
        <f ca="1">IF(controls!$B$44=0,I477-'main page'!$K$27*M476,I477-'main page'!$K$27*M476+'main page'!$K$31*'normal case'!AB476)</f>
        <v>100</v>
      </c>
      <c r="H477" s="75">
        <f t="shared" ca="1" si="54"/>
        <v>108</v>
      </c>
      <c r="I477" s="75">
        <f t="shared" ca="1" si="55"/>
        <v>108</v>
      </c>
      <c r="L477" s="75">
        <f ca="1">IF(ABS('main page'!$K$29*L476+(1-'main page'!$K$29)*(controls!$B$9/100)*100+'main page'!$K$25*(D477-B477)-L476)&lt;0.0000001,L476,'main page'!$K$29*L476+(1-'main page'!$K$29)*(controls!$B$9/100)*100+'main page'!$K$25*(D477-B477))</f>
        <v>2</v>
      </c>
      <c r="M477" s="96">
        <f ca="1">IF(controls!$B$10=1,M476,IF(SUM(controls!$B$44:$B$46)=2,N477-'main page'!$K$29*'normal case'!L477-(1-'main page'!$K$29)*'main page'!$K$32,N477-'main page'!$K$29*'normal case'!L477-(1-'main page'!$K$29)*controls!$B$9))</f>
        <v>4</v>
      </c>
      <c r="N477" s="208">
        <f ca="1">IF(controls!$B$45=1,IF(controls!$B$46=1,'main page'!$K$24+'main page'!$K$11+'main page'!$U$8,'main page'!$K$24+'main page'!$K$11+'main page'!$K$32),IF(controls!$B$44=1,IF(O477&lt;0,0,O477),IF(O477+'main page'!$K$11&lt;0,0,O477+'main page'!$K$11)))</f>
        <v>6</v>
      </c>
      <c r="O477" s="76">
        <f ca="1">IF(controls!$B$10=1,'normal case'!M477+'normal case'!L477,'normal case'!P477)</f>
        <v>6</v>
      </c>
      <c r="P477" s="74">
        <f t="shared" ca="1" si="50"/>
        <v>6</v>
      </c>
      <c r="Q477" s="210">
        <f ca="1">IF(controls!$B$44=0,R477+'main page'!$K$29*L477+(1-'main page'!$K$29)*controls!$B$9+(('main page'!$K$25*'main page'!$U$13*'main page'!$K$29)/('main page'!$K$27*(1+('main page'!$K$25^2)*'main page'!$U$13)))*(L477-controls!$B$9),R477+'main page'!$K$29*L477+(1-'main page'!$K$29)*controls!$B$9+(('main page'!$K$25*'main page'!$U$13*'normal case'!$AO$3)/'normal case'!$AO$4)*('normal case'!L477-controls!$B$9))</f>
        <v>6</v>
      </c>
      <c r="R477" s="98">
        <f ca="1">IF(controls!$B$44=1,'main page'!$K$24+'main page'!$K$11,IF(controls!$B$33=1,((I478-D477*W478-B478+B477*V478)/'main page'!$K$27)-'main page'!$K$11,((H478-D477*W478-B478+B477*V478)/'main page'!$K$27)-'main page'!$K$11))</f>
        <v>4</v>
      </c>
      <c r="T477" s="71">
        <f>IF(controls!$B$6=1,$AL$3*(1+('main page'!$K$35/100))^U477-$AL$3*(1+('main page'!$K$35/100))^U476,$AL$3*(1+('main page'!$G$8/100))*(1+('main page'!$K$35/100))^U477-$AL$3*(1+('main page'!$G$8/100))*(1+('main page'!$K$35/100))^U476)</f>
        <v>0</v>
      </c>
      <c r="U477" s="73">
        <v>470</v>
      </c>
      <c r="V477" s="161">
        <v>0</v>
      </c>
      <c r="W477" s="40">
        <v>0</v>
      </c>
      <c r="X477" s="49">
        <f ca="1">IF(controls!$B$33=1,D477-($I$3-'main page'!$K$27*2)*(1+('main page'!$K$35/100))^A476,D477-$AL$4)</f>
        <v>0</v>
      </c>
      <c r="Y477" s="49">
        <f ca="1">ABS(L477-(controls!$B$9/100)*100)</f>
        <v>0</v>
      </c>
      <c r="AA477" s="49" t="e">
        <f ca="1">IF(controls!$B$33=1,(B478-B477*V478-I478+D477*W478+'main page'!$K$27*('main page'!$K$24+'main page'!$K$11))/'main page'!$K$31,(B478-B477*V478+D477*W478-H478+'main page'!$K$27*('main page'!$K$24+'main page'!$K$11))/'main page'!$K$31)</f>
        <v>#DIV/0!</v>
      </c>
      <c r="AB477" s="49" t="e">
        <f ca="1">IF(controls!$B$45=1,LOG(AF477,1.01)+LOG(AE477,1.01)-LOG(AD477,1.01),-((M477-('main page'!$K$24+'main page'!$K$11))/(1-'normal case'!$AO$3))+'normal case'!AA477)</f>
        <v>#DIV/0!</v>
      </c>
      <c r="AC477" s="176" t="e">
        <f t="shared" ca="1" si="51"/>
        <v>#DIV/0!</v>
      </c>
      <c r="AD477" s="49">
        <f t="shared" ca="1" si="52"/>
        <v>11925.63231165762</v>
      </c>
      <c r="AE477" s="49">
        <f>AE476*(1+'main page'!$K$32/100)</f>
        <v>1</v>
      </c>
      <c r="AF477" s="49" t="e">
        <f ca="1">IF(ABS(IF(controls!$B$45=1,$AL$13,AD477*AC477/AE477)-AF476)&lt;0.00001,AF476,IF(controls!$B$45=1,$AL$13,AD477*AC477/AE477))</f>
        <v>#DIV/0!</v>
      </c>
      <c r="AG477" s="49">
        <f>IF(controls!$B$46=0,0,IF(controls!$B$33=2,B478-B477*V478-('normal case'!H478-D477*W478-'main page'!$K$27*'normal case'!M477+'main page'!$K$31*'normal case'!AB477)-(('main page'!$K$25*'main page'!$U$13*'main page'!$K$29)/(1+('main page'!$K$25^2)*'main page'!$U$13))*('normal case'!L477-'main page'!$U$8),B478-B477*V478-('normal case'!I478-D477*W478-'main page'!$K$27*'normal case'!M477+'main page'!$K$31*'normal case'!AB477)-(('main page'!$K$25*'main page'!$U$13*'main page'!$K$29)/(1+('main page'!$K$25^2)*'main page'!$U$13))*('normal case'!L477-'main page'!$U$8)))</f>
        <v>0</v>
      </c>
      <c r="AN477" s="40"/>
      <c r="AO477" s="40"/>
    </row>
    <row r="478" spans="1:41">
      <c r="A478" s="48">
        <v>476</v>
      </c>
      <c r="B478" s="75">
        <f ca="1">IF(controls!$B$33=1,B477*(1+V478)+T478,B477*(1+V478))</f>
        <v>100</v>
      </c>
      <c r="C478" s="80">
        <f t="shared" ca="1" si="53"/>
        <v>0</v>
      </c>
      <c r="D478" s="77">
        <f t="shared" ca="1" si="49"/>
        <v>100</v>
      </c>
      <c r="E478" s="77">
        <f ca="1">AG477+IF(controls!$B$33=1,G478,F478)</f>
        <v>100</v>
      </c>
      <c r="F478" s="94">
        <f ca="1">IF(controls!$B$44=0,H478-'main page'!$K$27*M477,H478-'main page'!$K$27*M477+'main page'!$K$31*AB477)</f>
        <v>100</v>
      </c>
      <c r="G478" s="75">
        <f ca="1">IF(controls!$B$44=0,I478-'main page'!$K$27*M477,I478-'main page'!$K$27*M477+'main page'!$K$31*'normal case'!AB477)</f>
        <v>100</v>
      </c>
      <c r="H478" s="75">
        <f t="shared" ca="1" si="54"/>
        <v>108</v>
      </c>
      <c r="I478" s="75">
        <f t="shared" ca="1" si="55"/>
        <v>108</v>
      </c>
      <c r="L478" s="75">
        <f ca="1">IF(ABS('main page'!$K$29*L477+(1-'main page'!$K$29)*(controls!$B$9/100)*100+'main page'!$K$25*(D478-B478)-L477)&lt;0.0000001,L477,'main page'!$K$29*L477+(1-'main page'!$K$29)*(controls!$B$9/100)*100+'main page'!$K$25*(D478-B478))</f>
        <v>2</v>
      </c>
      <c r="M478" s="96">
        <f ca="1">IF(controls!$B$10=1,M477,IF(SUM(controls!$B$44:$B$46)=2,N478-'main page'!$K$29*'normal case'!L478-(1-'main page'!$K$29)*'main page'!$K$32,N478-'main page'!$K$29*'normal case'!L478-(1-'main page'!$K$29)*controls!$B$9))</f>
        <v>4</v>
      </c>
      <c r="N478" s="208">
        <f ca="1">IF(controls!$B$45=1,IF(controls!$B$46=1,'main page'!$K$24+'main page'!$K$11+'main page'!$U$8,'main page'!$K$24+'main page'!$K$11+'main page'!$K$32),IF(controls!$B$44=1,IF(O478&lt;0,0,O478),IF(O478+'main page'!$K$11&lt;0,0,O478+'main page'!$K$11)))</f>
        <v>6</v>
      </c>
      <c r="O478" s="76">
        <f ca="1">IF(controls!$B$10=1,'normal case'!M478+'normal case'!L478,'normal case'!P478)</f>
        <v>6</v>
      </c>
      <c r="P478" s="74">
        <f t="shared" ca="1" si="50"/>
        <v>6</v>
      </c>
      <c r="Q478" s="210">
        <f ca="1">IF(controls!$B$44=0,R478+'main page'!$K$29*L478+(1-'main page'!$K$29)*controls!$B$9+(('main page'!$K$25*'main page'!$U$13*'main page'!$K$29)/('main page'!$K$27*(1+('main page'!$K$25^2)*'main page'!$U$13)))*(L478-controls!$B$9),R478+'main page'!$K$29*L478+(1-'main page'!$K$29)*controls!$B$9+(('main page'!$K$25*'main page'!$U$13*'normal case'!$AO$3)/'normal case'!$AO$4)*('normal case'!L478-controls!$B$9))</f>
        <v>6</v>
      </c>
      <c r="R478" s="98">
        <f ca="1">IF(controls!$B$44=1,'main page'!$K$24+'main page'!$K$11,IF(controls!$B$33=1,((I479-D478*W479-B479+B478*V479)/'main page'!$K$27)-'main page'!$K$11,((H479-D478*W479-B479+B478*V479)/'main page'!$K$27)-'main page'!$K$11))</f>
        <v>4</v>
      </c>
      <c r="T478" s="71">
        <f>IF(controls!$B$6=1,$AL$3*(1+('main page'!$K$35/100))^U478-$AL$3*(1+('main page'!$K$35/100))^U477,$AL$3*(1+('main page'!$G$8/100))*(1+('main page'!$K$35/100))^U478-$AL$3*(1+('main page'!$G$8/100))*(1+('main page'!$K$35/100))^U477)</f>
        <v>0</v>
      </c>
      <c r="U478" s="73">
        <v>471</v>
      </c>
      <c r="V478" s="161">
        <v>0</v>
      </c>
      <c r="W478" s="40">
        <v>0</v>
      </c>
      <c r="X478" s="49">
        <f ca="1">IF(controls!$B$33=1,D478-($I$3-'main page'!$K$27*2)*(1+('main page'!$K$35/100))^A477,D478-$AL$4)</f>
        <v>0</v>
      </c>
      <c r="Y478" s="49">
        <f ca="1">ABS(L478-(controls!$B$9/100)*100)</f>
        <v>0</v>
      </c>
      <c r="AA478" s="49" t="e">
        <f ca="1">IF(controls!$B$33=1,(B479-B478*V479-I479+D478*W479+'main page'!$K$27*('main page'!$K$24+'main page'!$K$11))/'main page'!$K$31,(B479-B478*V479+D478*W479-H479+'main page'!$K$27*('main page'!$K$24+'main page'!$K$11))/'main page'!$K$31)</f>
        <v>#DIV/0!</v>
      </c>
      <c r="AB478" s="49" t="e">
        <f ca="1">IF(controls!$B$45=1,LOG(AF478,1.01)+LOG(AE478,1.01)-LOG(AD478,1.01),-((M478-('main page'!$K$24+'main page'!$K$11))/(1-'normal case'!$AO$3))+'normal case'!AA478)</f>
        <v>#DIV/0!</v>
      </c>
      <c r="AC478" s="176" t="e">
        <f t="shared" ca="1" si="51"/>
        <v>#DIV/0!</v>
      </c>
      <c r="AD478" s="49">
        <f t="shared" ca="1" si="52"/>
        <v>12164.144957890772</v>
      </c>
      <c r="AE478" s="49">
        <f>AE477*(1+'main page'!$K$32/100)</f>
        <v>1</v>
      </c>
      <c r="AF478" s="49" t="e">
        <f ca="1">IF(ABS(IF(controls!$B$45=1,$AL$13,AD478*AC478/AE478)-AF477)&lt;0.00001,AF477,IF(controls!$B$45=1,$AL$13,AD478*AC478/AE478))</f>
        <v>#DIV/0!</v>
      </c>
      <c r="AG478" s="49">
        <f>IF(controls!$B$46=0,0,IF(controls!$B$33=2,B479-B478*V479-('normal case'!H479-D478*W479-'main page'!$K$27*'normal case'!M478+'main page'!$K$31*'normal case'!AB478)-(('main page'!$K$25*'main page'!$U$13*'main page'!$K$29)/(1+('main page'!$K$25^2)*'main page'!$U$13))*('normal case'!L478-'main page'!$U$8),B479-B478*V479-('normal case'!I479-D478*W479-'main page'!$K$27*'normal case'!M478+'main page'!$K$31*'normal case'!AB478)-(('main page'!$K$25*'main page'!$U$13*'main page'!$K$29)/(1+('main page'!$K$25^2)*'main page'!$U$13))*('normal case'!L478-'main page'!$U$8)))</f>
        <v>0</v>
      </c>
      <c r="AN478" s="40"/>
      <c r="AO478" s="40"/>
    </row>
    <row r="479" spans="1:41">
      <c r="A479" s="48">
        <v>477</v>
      </c>
      <c r="B479" s="75">
        <f ca="1">IF(controls!$B$33=1,B478*(1+V479)+T479,B478*(1+V479))</f>
        <v>100</v>
      </c>
      <c r="C479" s="80">
        <f t="shared" ca="1" si="53"/>
        <v>0</v>
      </c>
      <c r="D479" s="77">
        <f t="shared" ca="1" si="49"/>
        <v>100</v>
      </c>
      <c r="E479" s="77">
        <f ca="1">AG478+IF(controls!$B$33=1,G479,F479)</f>
        <v>100</v>
      </c>
      <c r="F479" s="94">
        <f ca="1">IF(controls!$B$44=0,H479-'main page'!$K$27*M478,H479-'main page'!$K$27*M478+'main page'!$K$31*AB478)</f>
        <v>100</v>
      </c>
      <c r="G479" s="75">
        <f ca="1">IF(controls!$B$44=0,I479-'main page'!$K$27*M478,I479-'main page'!$K$27*M478+'main page'!$K$31*'normal case'!AB478)</f>
        <v>100</v>
      </c>
      <c r="H479" s="75">
        <f t="shared" ca="1" si="54"/>
        <v>108</v>
      </c>
      <c r="I479" s="75">
        <f t="shared" ca="1" si="55"/>
        <v>108</v>
      </c>
      <c r="L479" s="75">
        <f ca="1">IF(ABS('main page'!$K$29*L478+(1-'main page'!$K$29)*(controls!$B$9/100)*100+'main page'!$K$25*(D479-B479)-L478)&lt;0.0000001,L478,'main page'!$K$29*L478+(1-'main page'!$K$29)*(controls!$B$9/100)*100+'main page'!$K$25*(D479-B479))</f>
        <v>2</v>
      </c>
      <c r="M479" s="96">
        <f ca="1">IF(controls!$B$10=1,M478,IF(SUM(controls!$B$44:$B$46)=2,N479-'main page'!$K$29*'normal case'!L479-(1-'main page'!$K$29)*'main page'!$K$32,N479-'main page'!$K$29*'normal case'!L479-(1-'main page'!$K$29)*controls!$B$9))</f>
        <v>4</v>
      </c>
      <c r="N479" s="208">
        <f ca="1">IF(controls!$B$45=1,IF(controls!$B$46=1,'main page'!$K$24+'main page'!$K$11+'main page'!$U$8,'main page'!$K$24+'main page'!$K$11+'main page'!$K$32),IF(controls!$B$44=1,IF(O479&lt;0,0,O479),IF(O479+'main page'!$K$11&lt;0,0,O479+'main page'!$K$11)))</f>
        <v>6</v>
      </c>
      <c r="O479" s="76">
        <f ca="1">IF(controls!$B$10=1,'normal case'!M479+'normal case'!L479,'normal case'!P479)</f>
        <v>6</v>
      </c>
      <c r="P479" s="74">
        <f t="shared" ca="1" si="50"/>
        <v>6</v>
      </c>
      <c r="Q479" s="210">
        <f ca="1">IF(controls!$B$44=0,R479+'main page'!$K$29*L479+(1-'main page'!$K$29)*controls!$B$9+(('main page'!$K$25*'main page'!$U$13*'main page'!$K$29)/('main page'!$K$27*(1+('main page'!$K$25^2)*'main page'!$U$13)))*(L479-controls!$B$9),R479+'main page'!$K$29*L479+(1-'main page'!$K$29)*controls!$B$9+(('main page'!$K$25*'main page'!$U$13*'normal case'!$AO$3)/'normal case'!$AO$4)*('normal case'!L479-controls!$B$9))</f>
        <v>6</v>
      </c>
      <c r="R479" s="98">
        <f ca="1">IF(controls!$B$44=1,'main page'!$K$24+'main page'!$K$11,IF(controls!$B$33=1,((I480-D479*W480-B480+B479*V480)/'main page'!$K$27)-'main page'!$K$11,((H480-D479*W480-B480+B479*V480)/'main page'!$K$27)-'main page'!$K$11))</f>
        <v>4</v>
      </c>
      <c r="T479" s="71">
        <f>IF(controls!$B$6=1,$AL$3*(1+('main page'!$K$35/100))^U479-$AL$3*(1+('main page'!$K$35/100))^U478,$AL$3*(1+('main page'!$G$8/100))*(1+('main page'!$K$35/100))^U479-$AL$3*(1+('main page'!$G$8/100))*(1+('main page'!$K$35/100))^U478)</f>
        <v>0</v>
      </c>
      <c r="U479" s="73">
        <v>472</v>
      </c>
      <c r="V479" s="161">
        <f ca="1">IF(controls!$B$4=1,IF(controls!$H478=1,controls!$B$34*V478+RAND()*('main page'!$K$16/100)-RAND()*('main page'!$K$16/100),0),0)</f>
        <v>0</v>
      </c>
      <c r="W479" s="40">
        <f ca="1">IF(controls!$B$4=1,IF(controls!$I478=1,controls!$B$34*W478+RAND()*('main page'!$K$16/100)-RAND()*('main page'!$K$16/100),0),0)</f>
        <v>0</v>
      </c>
      <c r="X479" s="49">
        <f ca="1">IF(controls!$B$33=1,D479-($I$3-'main page'!$K$27*2)*(1+('main page'!$K$35/100))^A478,D479-$AL$4)</f>
        <v>0</v>
      </c>
      <c r="Y479" s="49">
        <f ca="1">ABS(L479-(controls!$B$9/100)*100)</f>
        <v>0</v>
      </c>
      <c r="AA479" s="49" t="e">
        <f ca="1">IF(controls!$B$33=1,(B480-B479*V480-I480+D479*W480+'main page'!$K$27*('main page'!$K$24+'main page'!$K$11))/'main page'!$K$31,(B480-B479*V480+D479*W480-H480+'main page'!$K$27*('main page'!$K$24+'main page'!$K$11))/'main page'!$K$31)</f>
        <v>#DIV/0!</v>
      </c>
      <c r="AB479" s="49" t="e">
        <f ca="1">IF(controls!$B$45=1,LOG(AF479,1.01)+LOG(AE479,1.01)-LOG(AD479,1.01),-((M479-('main page'!$K$24+'main page'!$K$11))/(1-'normal case'!$AO$3))+'normal case'!AA479)</f>
        <v>#DIV/0!</v>
      </c>
      <c r="AC479" s="176" t="e">
        <f t="shared" ca="1" si="51"/>
        <v>#DIV/0!</v>
      </c>
      <c r="AD479" s="49">
        <f t="shared" ca="1" si="52"/>
        <v>12407.427857048588</v>
      </c>
      <c r="AE479" s="49">
        <f>AE478*(1+'main page'!$K$32/100)</f>
        <v>1</v>
      </c>
      <c r="AF479" s="49" t="e">
        <f ca="1">IF(ABS(IF(controls!$B$45=1,$AL$13,AD479*AC479/AE479)-AF478)&lt;0.00001,AF478,IF(controls!$B$45=1,$AL$13,AD479*AC479/AE479))</f>
        <v>#DIV/0!</v>
      </c>
      <c r="AG479" s="49">
        <f>IF(controls!$B$46=0,0,IF(controls!$B$33=2,B480-B479*V480-('normal case'!H480-D479*W480-'main page'!$K$27*'normal case'!M479+'main page'!$K$31*'normal case'!AB479)-(('main page'!$K$25*'main page'!$U$13*'main page'!$K$29)/(1+('main page'!$K$25^2)*'main page'!$U$13))*('normal case'!L479-'main page'!$U$8),B480-B479*V480-('normal case'!I480-D479*W480-'main page'!$K$27*'normal case'!M479+'main page'!$K$31*'normal case'!AB479)-(('main page'!$K$25*'main page'!$U$13*'main page'!$K$29)/(1+('main page'!$K$25^2)*'main page'!$U$13))*('normal case'!L479-'main page'!$U$8)))</f>
        <v>0</v>
      </c>
      <c r="AN479" s="40"/>
      <c r="AO479" s="40"/>
    </row>
    <row r="480" spans="1:41">
      <c r="A480" s="48">
        <v>478</v>
      </c>
      <c r="B480" s="75">
        <f ca="1">IF(controls!$B$33=1,B479*(1+V480)+T480,B479*(1+V480))</f>
        <v>100</v>
      </c>
      <c r="C480" s="80">
        <f t="shared" ca="1" si="53"/>
        <v>0</v>
      </c>
      <c r="D480" s="77">
        <f t="shared" ca="1" si="49"/>
        <v>100</v>
      </c>
      <c r="E480" s="77">
        <f ca="1">AG479+IF(controls!$B$33=1,G480,F480)</f>
        <v>100</v>
      </c>
      <c r="F480" s="94">
        <f ca="1">IF(controls!$B$44=0,H480-'main page'!$K$27*M479,H480-'main page'!$K$27*M479+'main page'!$K$31*AB479)</f>
        <v>100</v>
      </c>
      <c r="G480" s="75">
        <f ca="1">IF(controls!$B$44=0,I480-'main page'!$K$27*M479,I480-'main page'!$K$27*M479+'main page'!$K$31*'normal case'!AB479)</f>
        <v>100</v>
      </c>
      <c r="H480" s="75">
        <f t="shared" ca="1" si="54"/>
        <v>108</v>
      </c>
      <c r="I480" s="75">
        <f t="shared" ca="1" si="55"/>
        <v>108</v>
      </c>
      <c r="L480" s="75">
        <f ca="1">IF(ABS('main page'!$K$29*L479+(1-'main page'!$K$29)*(controls!$B$9/100)*100+'main page'!$K$25*(D480-B480)-L479)&lt;0.0000001,L479,'main page'!$K$29*L479+(1-'main page'!$K$29)*(controls!$B$9/100)*100+'main page'!$K$25*(D480-B480))</f>
        <v>2</v>
      </c>
      <c r="M480" s="96">
        <f ca="1">IF(controls!$B$10=1,M479,IF(SUM(controls!$B$44:$B$46)=2,N480-'main page'!$K$29*'normal case'!L480-(1-'main page'!$K$29)*'main page'!$K$32,N480-'main page'!$K$29*'normal case'!L480-(1-'main page'!$K$29)*controls!$B$9))</f>
        <v>4</v>
      </c>
      <c r="N480" s="208">
        <f ca="1">IF(controls!$B$45=1,IF(controls!$B$46=1,'main page'!$K$24+'main page'!$K$11+'main page'!$U$8,'main page'!$K$24+'main page'!$K$11+'main page'!$K$32),IF(controls!$B$44=1,IF(O480&lt;0,0,O480),IF(O480+'main page'!$K$11&lt;0,0,O480+'main page'!$K$11)))</f>
        <v>6</v>
      </c>
      <c r="O480" s="76">
        <f ca="1">IF(controls!$B$10=1,'normal case'!M480+'normal case'!L480,'normal case'!P480)</f>
        <v>6</v>
      </c>
      <c r="P480" s="74">
        <f t="shared" ca="1" si="50"/>
        <v>6</v>
      </c>
      <c r="Q480" s="210">
        <f ca="1">IF(controls!$B$44=0,R480+'main page'!$K$29*L480+(1-'main page'!$K$29)*controls!$B$9+(('main page'!$K$25*'main page'!$U$13*'main page'!$K$29)/('main page'!$K$27*(1+('main page'!$K$25^2)*'main page'!$U$13)))*(L480-controls!$B$9),R480+'main page'!$K$29*L480+(1-'main page'!$K$29)*controls!$B$9+(('main page'!$K$25*'main page'!$U$13*'normal case'!$AO$3)/'normal case'!$AO$4)*('normal case'!L480-controls!$B$9))</f>
        <v>6</v>
      </c>
      <c r="R480" s="98">
        <f ca="1">IF(controls!$B$44=1,'main page'!$K$24+'main page'!$K$11,IF(controls!$B$33=1,((I481-D480*W481-B481+B480*V481)/'main page'!$K$27)-'main page'!$K$11,((H481-D480*W481-B481+B480*V481)/'main page'!$K$27)-'main page'!$K$11))</f>
        <v>4</v>
      </c>
      <c r="T480" s="71">
        <f>IF(controls!$B$6=1,$AL$3*(1+('main page'!$K$35/100))^U480-$AL$3*(1+('main page'!$K$35/100))^U479,$AL$3*(1+('main page'!$G$8/100))*(1+('main page'!$K$35/100))^U480-$AL$3*(1+('main page'!$G$8/100))*(1+('main page'!$K$35/100))^U479)</f>
        <v>0</v>
      </c>
      <c r="U480" s="73">
        <v>473</v>
      </c>
      <c r="V480" s="161">
        <v>0</v>
      </c>
      <c r="W480" s="40">
        <v>0</v>
      </c>
      <c r="X480" s="49">
        <f ca="1">IF(controls!$B$33=1,D480-($I$3-'main page'!$K$27*2)*(1+('main page'!$K$35/100))^A479,D480-$AL$4)</f>
        <v>0</v>
      </c>
      <c r="Y480" s="49">
        <f ca="1">ABS(L480-(controls!$B$9/100)*100)</f>
        <v>0</v>
      </c>
      <c r="AA480" s="49" t="e">
        <f ca="1">IF(controls!$B$33=1,(B481-B480*V481-I481+D480*W481+'main page'!$K$27*('main page'!$K$24+'main page'!$K$11))/'main page'!$K$31,(B481-B480*V481+D480*W481-H481+'main page'!$K$27*('main page'!$K$24+'main page'!$K$11))/'main page'!$K$31)</f>
        <v>#DIV/0!</v>
      </c>
      <c r="AB480" s="49" t="e">
        <f ca="1">IF(controls!$B$45=1,LOG(AF480,1.01)+LOG(AE480,1.01)-LOG(AD480,1.01),-((M480-('main page'!$K$24+'main page'!$K$11))/(1-'normal case'!$AO$3))+'normal case'!AA480)</f>
        <v>#DIV/0!</v>
      </c>
      <c r="AC480" s="176" t="e">
        <f t="shared" ca="1" si="51"/>
        <v>#DIV/0!</v>
      </c>
      <c r="AD480" s="49">
        <f t="shared" ca="1" si="52"/>
        <v>12655.57641418956</v>
      </c>
      <c r="AE480" s="49">
        <f>AE479*(1+'main page'!$K$32/100)</f>
        <v>1</v>
      </c>
      <c r="AF480" s="49" t="e">
        <f ca="1">IF(ABS(IF(controls!$B$45=1,$AL$13,AD480*AC480/AE480)-AF479)&lt;0.00001,AF479,IF(controls!$B$45=1,$AL$13,AD480*AC480/AE480))</f>
        <v>#DIV/0!</v>
      </c>
      <c r="AG480" s="49">
        <f>IF(controls!$B$46=0,0,IF(controls!$B$33=2,B481-B480*V481-('normal case'!H481-D480*W481-'main page'!$K$27*'normal case'!M480+'main page'!$K$31*'normal case'!AB480)-(('main page'!$K$25*'main page'!$U$13*'main page'!$K$29)/(1+('main page'!$K$25^2)*'main page'!$U$13))*('normal case'!L480-'main page'!$U$8),B481-B480*V481-('normal case'!I481-D480*W481-'main page'!$K$27*'normal case'!M480+'main page'!$K$31*'normal case'!AB480)-(('main page'!$K$25*'main page'!$U$13*'main page'!$K$29)/(1+('main page'!$K$25^2)*'main page'!$U$13))*('normal case'!L480-'main page'!$U$8)))</f>
        <v>0</v>
      </c>
      <c r="AN480" s="40"/>
      <c r="AO480" s="40"/>
    </row>
    <row r="481" spans="1:41">
      <c r="A481" s="48">
        <v>479</v>
      </c>
      <c r="B481" s="75">
        <f ca="1">IF(controls!$B$33=1,B480*(1+V481)+T481,B480*(1+V481))</f>
        <v>100</v>
      </c>
      <c r="C481" s="80">
        <f t="shared" ca="1" si="53"/>
        <v>0</v>
      </c>
      <c r="D481" s="77">
        <f t="shared" ca="1" si="49"/>
        <v>100</v>
      </c>
      <c r="E481" s="77">
        <f ca="1">AG480+IF(controls!$B$33=1,G481,F481)</f>
        <v>100</v>
      </c>
      <c r="F481" s="94">
        <f ca="1">IF(controls!$B$44=0,H481-'main page'!$K$27*M480,H481-'main page'!$K$27*M480+'main page'!$K$31*AB480)</f>
        <v>100</v>
      </c>
      <c r="G481" s="75">
        <f ca="1">IF(controls!$B$44=0,I481-'main page'!$K$27*M480,I481-'main page'!$K$27*M480+'main page'!$K$31*'normal case'!AB480)</f>
        <v>100</v>
      </c>
      <c r="H481" s="75">
        <f t="shared" ca="1" si="54"/>
        <v>108</v>
      </c>
      <c r="I481" s="75">
        <f t="shared" ca="1" si="55"/>
        <v>108</v>
      </c>
      <c r="L481" s="75">
        <f ca="1">IF(ABS('main page'!$K$29*L480+(1-'main page'!$K$29)*(controls!$B$9/100)*100+'main page'!$K$25*(D481-B481)-L480)&lt;0.0000001,L480,'main page'!$K$29*L480+(1-'main page'!$K$29)*(controls!$B$9/100)*100+'main page'!$K$25*(D481-B481))</f>
        <v>2</v>
      </c>
      <c r="M481" s="96">
        <f ca="1">IF(controls!$B$10=1,M480,IF(SUM(controls!$B$44:$B$46)=2,N481-'main page'!$K$29*'normal case'!L481-(1-'main page'!$K$29)*'main page'!$K$32,N481-'main page'!$K$29*'normal case'!L481-(1-'main page'!$K$29)*controls!$B$9))</f>
        <v>4</v>
      </c>
      <c r="N481" s="208">
        <f ca="1">IF(controls!$B$45=1,IF(controls!$B$46=1,'main page'!$K$24+'main page'!$K$11+'main page'!$U$8,'main page'!$K$24+'main page'!$K$11+'main page'!$K$32),IF(controls!$B$44=1,IF(O481&lt;0,0,O481),IF(O481+'main page'!$K$11&lt;0,0,O481+'main page'!$K$11)))</f>
        <v>6</v>
      </c>
      <c r="O481" s="76">
        <f ca="1">IF(controls!$B$10=1,'normal case'!M481+'normal case'!L481,'normal case'!P481)</f>
        <v>6</v>
      </c>
      <c r="P481" s="74">
        <f t="shared" ca="1" si="50"/>
        <v>6</v>
      </c>
      <c r="Q481" s="210">
        <f ca="1">IF(controls!$B$44=0,R481+'main page'!$K$29*L481+(1-'main page'!$K$29)*controls!$B$9+(('main page'!$K$25*'main page'!$U$13*'main page'!$K$29)/('main page'!$K$27*(1+('main page'!$K$25^2)*'main page'!$U$13)))*(L481-controls!$B$9),R481+'main page'!$K$29*L481+(1-'main page'!$K$29)*controls!$B$9+(('main page'!$K$25*'main page'!$U$13*'normal case'!$AO$3)/'normal case'!$AO$4)*('normal case'!L481-controls!$B$9))</f>
        <v>6</v>
      </c>
      <c r="R481" s="98">
        <f ca="1">IF(controls!$B$44=1,'main page'!$K$24+'main page'!$K$11,IF(controls!$B$33=1,((I482-D481*W482-B482+B481*V482)/'main page'!$K$27)-'main page'!$K$11,((H482-D481*W482-B482+B481*V482)/'main page'!$K$27)-'main page'!$K$11))</f>
        <v>4</v>
      </c>
      <c r="T481" s="71">
        <f>IF(controls!$B$6=1,$AL$3*(1+('main page'!$K$35/100))^U481-$AL$3*(1+('main page'!$K$35/100))^U480,$AL$3*(1+('main page'!$G$8/100))*(1+('main page'!$K$35/100))^U481-$AL$3*(1+('main page'!$G$8/100))*(1+('main page'!$K$35/100))^U480)</f>
        <v>0</v>
      </c>
      <c r="U481" s="73">
        <v>474</v>
      </c>
      <c r="V481" s="161">
        <v>0</v>
      </c>
      <c r="W481" s="40">
        <v>0</v>
      </c>
      <c r="X481" s="49">
        <f ca="1">IF(controls!$B$33=1,D481-($I$3-'main page'!$K$27*2)*(1+('main page'!$K$35/100))^A480,D481-$AL$4)</f>
        <v>0</v>
      </c>
      <c r="Y481" s="49">
        <f ca="1">ABS(L481-(controls!$B$9/100)*100)</f>
        <v>0</v>
      </c>
      <c r="AA481" s="49" t="e">
        <f ca="1">IF(controls!$B$33=1,(B482-B481*V482-I482+D481*W482+'main page'!$K$27*('main page'!$K$24+'main page'!$K$11))/'main page'!$K$31,(B482-B481*V482+D481*W482-H482+'main page'!$K$27*('main page'!$K$24+'main page'!$K$11))/'main page'!$K$31)</f>
        <v>#DIV/0!</v>
      </c>
      <c r="AB481" s="49" t="e">
        <f ca="1">IF(controls!$B$45=1,LOG(AF481,1.01)+LOG(AE481,1.01)-LOG(AD481,1.01),-((M481-('main page'!$K$24+'main page'!$K$11))/(1-'normal case'!$AO$3))+'normal case'!AA481)</f>
        <v>#DIV/0!</v>
      </c>
      <c r="AC481" s="176" t="e">
        <f t="shared" ca="1" si="51"/>
        <v>#DIV/0!</v>
      </c>
      <c r="AD481" s="49">
        <f t="shared" ca="1" si="52"/>
        <v>12908.687942473351</v>
      </c>
      <c r="AE481" s="49">
        <f>AE480*(1+'main page'!$K$32/100)</f>
        <v>1</v>
      </c>
      <c r="AF481" s="49" t="e">
        <f ca="1">IF(ABS(IF(controls!$B$45=1,$AL$13,AD481*AC481/AE481)-AF480)&lt;0.00001,AF480,IF(controls!$B$45=1,$AL$13,AD481*AC481/AE481))</f>
        <v>#DIV/0!</v>
      </c>
      <c r="AG481" s="49">
        <f>IF(controls!$B$46=0,0,IF(controls!$B$33=2,B482-B481*V482-('normal case'!H482-D481*W482-'main page'!$K$27*'normal case'!M481+'main page'!$K$31*'normal case'!AB481)-(('main page'!$K$25*'main page'!$U$13*'main page'!$K$29)/(1+('main page'!$K$25^2)*'main page'!$U$13))*('normal case'!L481-'main page'!$U$8),B482-B481*V482-('normal case'!I482-D481*W482-'main page'!$K$27*'normal case'!M481+'main page'!$K$31*'normal case'!AB481)-(('main page'!$K$25*'main page'!$U$13*'main page'!$K$29)/(1+('main page'!$K$25^2)*'main page'!$U$13))*('normal case'!L481-'main page'!$U$8)))</f>
        <v>0</v>
      </c>
      <c r="AN481" s="40"/>
      <c r="AO481" s="40"/>
    </row>
    <row r="482" spans="1:41">
      <c r="A482" s="48">
        <v>480</v>
      </c>
      <c r="B482" s="75">
        <f ca="1">IF(controls!$B$33=1,B481*(1+V482)+T482,B481*(1+V482))</f>
        <v>100</v>
      </c>
      <c r="C482" s="80">
        <f t="shared" ca="1" si="53"/>
        <v>0</v>
      </c>
      <c r="D482" s="77">
        <f t="shared" ca="1" si="49"/>
        <v>100</v>
      </c>
      <c r="E482" s="77">
        <f ca="1">AG481+IF(controls!$B$33=1,G482,F482)</f>
        <v>100</v>
      </c>
      <c r="F482" s="94">
        <f ca="1">IF(controls!$B$44=0,H482-'main page'!$K$27*M481,H482-'main page'!$K$27*M481+'main page'!$K$31*AB481)</f>
        <v>100</v>
      </c>
      <c r="G482" s="75">
        <f ca="1">IF(controls!$B$44=0,I482-'main page'!$K$27*M481,I482-'main page'!$K$27*M481+'main page'!$K$31*'normal case'!AB481)</f>
        <v>100</v>
      </c>
      <c r="H482" s="75">
        <f t="shared" ca="1" si="54"/>
        <v>108</v>
      </c>
      <c r="I482" s="75">
        <f t="shared" ca="1" si="55"/>
        <v>108</v>
      </c>
      <c r="L482" s="75">
        <f ca="1">IF(ABS('main page'!$K$29*L481+(1-'main page'!$K$29)*(controls!$B$9/100)*100+'main page'!$K$25*(D482-B482)-L481)&lt;0.0000001,L481,'main page'!$K$29*L481+(1-'main page'!$K$29)*(controls!$B$9/100)*100+'main page'!$K$25*(D482-B482))</f>
        <v>2</v>
      </c>
      <c r="M482" s="96">
        <f ca="1">IF(controls!$B$10=1,M481,IF(SUM(controls!$B$44:$B$46)=2,N482-'main page'!$K$29*'normal case'!L482-(1-'main page'!$K$29)*'main page'!$K$32,N482-'main page'!$K$29*'normal case'!L482-(1-'main page'!$K$29)*controls!$B$9))</f>
        <v>4</v>
      </c>
      <c r="N482" s="208">
        <f ca="1">IF(controls!$B$45=1,IF(controls!$B$46=1,'main page'!$K$24+'main page'!$K$11+'main page'!$U$8,'main page'!$K$24+'main page'!$K$11+'main page'!$K$32),IF(controls!$B$44=1,IF(O482&lt;0,0,O482),IF(O482+'main page'!$K$11&lt;0,0,O482+'main page'!$K$11)))</f>
        <v>6</v>
      </c>
      <c r="O482" s="76">
        <f ca="1">IF(controls!$B$10=1,'normal case'!M482+'normal case'!L482,'normal case'!P482)</f>
        <v>6</v>
      </c>
      <c r="P482" s="74">
        <f t="shared" ca="1" si="50"/>
        <v>6</v>
      </c>
      <c r="Q482" s="210">
        <f ca="1">IF(controls!$B$44=0,R482+'main page'!$K$29*L482+(1-'main page'!$K$29)*controls!$B$9+(('main page'!$K$25*'main page'!$U$13*'main page'!$K$29)/('main page'!$K$27*(1+('main page'!$K$25^2)*'main page'!$U$13)))*(L482-controls!$B$9),R482+'main page'!$K$29*L482+(1-'main page'!$K$29)*controls!$B$9+(('main page'!$K$25*'main page'!$U$13*'normal case'!$AO$3)/'normal case'!$AO$4)*('normal case'!L482-controls!$B$9))</f>
        <v>6</v>
      </c>
      <c r="R482" s="98">
        <f ca="1">IF(controls!$B$44=1,'main page'!$K$24+'main page'!$K$11,IF(controls!$B$33=1,((I483-D482*W483-B483+B482*V483)/'main page'!$K$27)-'main page'!$K$11,((H483-D482*W483-B483+B482*V483)/'main page'!$K$27)-'main page'!$K$11))</f>
        <v>4</v>
      </c>
      <c r="T482" s="71">
        <f>IF(controls!$B$6=1,$AL$3*(1+('main page'!$K$35/100))^U482-$AL$3*(1+('main page'!$K$35/100))^U481,$AL$3*(1+('main page'!$G$8/100))*(1+('main page'!$K$35/100))^U482-$AL$3*(1+('main page'!$G$8/100))*(1+('main page'!$K$35/100))^U481)</f>
        <v>0</v>
      </c>
      <c r="U482" s="73">
        <v>475</v>
      </c>
      <c r="V482" s="161">
        <f ca="1">IF(controls!$B$4=1,IF(controls!$H481=1,controls!$B$34*V481+RAND()*('main page'!$K$16/100)-RAND()*('main page'!$K$16/100),0),0)</f>
        <v>0</v>
      </c>
      <c r="W482" s="40">
        <f ca="1">IF(controls!$B$4=1,IF(controls!$I481=1,controls!$B$34*W481+RAND()*('main page'!$K$16/100)-RAND()*('main page'!$K$16/100),0),0)</f>
        <v>0</v>
      </c>
      <c r="X482" s="49">
        <f ca="1">IF(controls!$B$33=1,D482-($I$3-'main page'!$K$27*2)*(1+('main page'!$K$35/100))^A481,D482-$AL$4)</f>
        <v>0</v>
      </c>
      <c r="Y482" s="49">
        <f ca="1">ABS(L482-(controls!$B$9/100)*100)</f>
        <v>0</v>
      </c>
      <c r="AA482" s="49" t="e">
        <f ca="1">IF(controls!$B$33=1,(B483-B482*V483-I483+D482*W483+'main page'!$K$27*('main page'!$K$24+'main page'!$K$11))/'main page'!$K$31,(B483-B482*V483+D482*W483-H483+'main page'!$K$27*('main page'!$K$24+'main page'!$K$11))/'main page'!$K$31)</f>
        <v>#DIV/0!</v>
      </c>
      <c r="AB482" s="49" t="e">
        <f ca="1">IF(controls!$B$45=1,LOG(AF482,1.01)+LOG(AE482,1.01)-LOG(AD482,1.01),-((M482-('main page'!$K$24+'main page'!$K$11))/(1-'normal case'!$AO$3))+'normal case'!AA482)</f>
        <v>#DIV/0!</v>
      </c>
      <c r="AC482" s="176" t="e">
        <f t="shared" ca="1" si="51"/>
        <v>#DIV/0!</v>
      </c>
      <c r="AD482" s="49">
        <f t="shared" ca="1" si="52"/>
        <v>13166.861701322818</v>
      </c>
      <c r="AE482" s="49">
        <f>AE481*(1+'main page'!$K$32/100)</f>
        <v>1</v>
      </c>
      <c r="AF482" s="49" t="e">
        <f ca="1">IF(ABS(IF(controls!$B$45=1,$AL$13,AD482*AC482/AE482)-AF481)&lt;0.00001,AF481,IF(controls!$B$45=1,$AL$13,AD482*AC482/AE482))</f>
        <v>#DIV/0!</v>
      </c>
      <c r="AG482" s="49">
        <f>IF(controls!$B$46=0,0,IF(controls!$B$33=2,B483-B482*V483-('normal case'!H483-D482*W483-'main page'!$K$27*'normal case'!M482+'main page'!$K$31*'normal case'!AB482)-(('main page'!$K$25*'main page'!$U$13*'main page'!$K$29)/(1+('main page'!$K$25^2)*'main page'!$U$13))*('normal case'!L482-'main page'!$U$8),B483-B482*V483-('normal case'!I483-D482*W483-'main page'!$K$27*'normal case'!M482+'main page'!$K$31*'normal case'!AB482)-(('main page'!$K$25*'main page'!$U$13*'main page'!$K$29)/(1+('main page'!$K$25^2)*'main page'!$U$13))*('normal case'!L482-'main page'!$U$8)))</f>
        <v>0</v>
      </c>
      <c r="AN482" s="40"/>
      <c r="AO482" s="40"/>
    </row>
    <row r="483" spans="1:41">
      <c r="A483" s="48">
        <v>481</v>
      </c>
      <c r="B483" s="75">
        <f ca="1">IF(controls!$B$33=1,B482*(1+V483)+T483,B482*(1+V483))</f>
        <v>100</v>
      </c>
      <c r="C483" s="80">
        <f t="shared" ca="1" si="53"/>
        <v>0</v>
      </c>
      <c r="D483" s="77">
        <f t="shared" ca="1" si="49"/>
        <v>100</v>
      </c>
      <c r="E483" s="77">
        <f ca="1">AG482+IF(controls!$B$33=1,G483,F483)</f>
        <v>100</v>
      </c>
      <c r="F483" s="94">
        <f ca="1">IF(controls!$B$44=0,H483-'main page'!$K$27*M482,H483-'main page'!$K$27*M482+'main page'!$K$31*AB482)</f>
        <v>100</v>
      </c>
      <c r="G483" s="75">
        <f ca="1">IF(controls!$B$44=0,I483-'main page'!$K$27*M482,I483-'main page'!$K$27*M482+'main page'!$K$31*'normal case'!AB482)</f>
        <v>100</v>
      </c>
      <c r="H483" s="75">
        <f t="shared" ca="1" si="54"/>
        <v>108</v>
      </c>
      <c r="I483" s="75">
        <f t="shared" ca="1" si="55"/>
        <v>108</v>
      </c>
      <c r="L483" s="75">
        <f ca="1">IF(ABS('main page'!$K$29*L482+(1-'main page'!$K$29)*(controls!$B$9/100)*100+'main page'!$K$25*(D483-B483)-L482)&lt;0.0000001,L482,'main page'!$K$29*L482+(1-'main page'!$K$29)*(controls!$B$9/100)*100+'main page'!$K$25*(D483-B483))</f>
        <v>2</v>
      </c>
      <c r="M483" s="96">
        <f ca="1">IF(controls!$B$10=1,M482,IF(SUM(controls!$B$44:$B$46)=2,N483-'main page'!$K$29*'normal case'!L483-(1-'main page'!$K$29)*'main page'!$K$32,N483-'main page'!$K$29*'normal case'!L483-(1-'main page'!$K$29)*controls!$B$9))</f>
        <v>4</v>
      </c>
      <c r="N483" s="208">
        <f ca="1">IF(controls!$B$45=1,IF(controls!$B$46=1,'main page'!$K$24+'main page'!$K$11+'main page'!$U$8,'main page'!$K$24+'main page'!$K$11+'main page'!$K$32),IF(controls!$B$44=1,IF(O483&lt;0,0,O483),IF(O483+'main page'!$K$11&lt;0,0,O483+'main page'!$K$11)))</f>
        <v>6</v>
      </c>
      <c r="O483" s="76">
        <f ca="1">IF(controls!$B$10=1,'normal case'!M483+'normal case'!L483,'normal case'!P483)</f>
        <v>6</v>
      </c>
      <c r="P483" s="74">
        <f t="shared" ca="1" si="50"/>
        <v>6</v>
      </c>
      <c r="Q483" s="210">
        <f ca="1">IF(controls!$B$44=0,R483+'main page'!$K$29*L483+(1-'main page'!$K$29)*controls!$B$9+(('main page'!$K$25*'main page'!$U$13*'main page'!$K$29)/('main page'!$K$27*(1+('main page'!$K$25^2)*'main page'!$U$13)))*(L483-controls!$B$9),R483+'main page'!$K$29*L483+(1-'main page'!$K$29)*controls!$B$9+(('main page'!$K$25*'main page'!$U$13*'normal case'!$AO$3)/'normal case'!$AO$4)*('normal case'!L483-controls!$B$9))</f>
        <v>6</v>
      </c>
      <c r="R483" s="98">
        <f ca="1">IF(controls!$B$44=1,'main page'!$K$24+'main page'!$K$11,IF(controls!$B$33=1,((I484-D483*W484-B484+B483*V484)/'main page'!$K$27)-'main page'!$K$11,((H484-D483*W484-B484+B483*V484)/'main page'!$K$27)-'main page'!$K$11))</f>
        <v>4</v>
      </c>
      <c r="T483" s="71">
        <f>IF(controls!$B$6=1,$AL$3*(1+('main page'!$K$35/100))^U483-$AL$3*(1+('main page'!$K$35/100))^U482,$AL$3*(1+('main page'!$G$8/100))*(1+('main page'!$K$35/100))^U483-$AL$3*(1+('main page'!$G$8/100))*(1+('main page'!$K$35/100))^U482)</f>
        <v>0</v>
      </c>
      <c r="U483" s="73">
        <v>476</v>
      </c>
      <c r="V483" s="161">
        <v>0</v>
      </c>
      <c r="W483" s="40">
        <v>0</v>
      </c>
      <c r="X483" s="49">
        <f ca="1">IF(controls!$B$33=1,D483-($I$3-'main page'!$K$27*2)*(1+('main page'!$K$35/100))^A482,D483-$AL$4)</f>
        <v>0</v>
      </c>
      <c r="Y483" s="49">
        <f ca="1">ABS(L483-(controls!$B$9/100)*100)</f>
        <v>0</v>
      </c>
      <c r="AA483" s="49" t="e">
        <f ca="1">IF(controls!$B$33=1,(B484-B483*V484-I484+D483*W484+'main page'!$K$27*('main page'!$K$24+'main page'!$K$11))/'main page'!$K$31,(B484-B483*V484+D483*W484-H484+'main page'!$K$27*('main page'!$K$24+'main page'!$K$11))/'main page'!$K$31)</f>
        <v>#DIV/0!</v>
      </c>
      <c r="AB483" s="49" t="e">
        <f ca="1">IF(controls!$B$45=1,LOG(AF483,1.01)+LOG(AE483,1.01)-LOG(AD483,1.01),-((M483-('main page'!$K$24+'main page'!$K$11))/(1-'normal case'!$AO$3))+'normal case'!AA483)</f>
        <v>#DIV/0!</v>
      </c>
      <c r="AC483" s="176" t="e">
        <f t="shared" ca="1" si="51"/>
        <v>#DIV/0!</v>
      </c>
      <c r="AD483" s="49">
        <f t="shared" ca="1" si="52"/>
        <v>13430.198935349274</v>
      </c>
      <c r="AE483" s="49">
        <f>AE482*(1+'main page'!$K$32/100)</f>
        <v>1</v>
      </c>
      <c r="AF483" s="49" t="e">
        <f ca="1">IF(ABS(IF(controls!$B$45=1,$AL$13,AD483*AC483/AE483)-AF482)&lt;0.00001,AF482,IF(controls!$B$45=1,$AL$13,AD483*AC483/AE483))</f>
        <v>#DIV/0!</v>
      </c>
      <c r="AG483" s="49">
        <f>IF(controls!$B$46=0,0,IF(controls!$B$33=2,B484-B483*V484-('normal case'!H484-D483*W484-'main page'!$K$27*'normal case'!M483+'main page'!$K$31*'normal case'!AB483)-(('main page'!$K$25*'main page'!$U$13*'main page'!$K$29)/(1+('main page'!$K$25^2)*'main page'!$U$13))*('normal case'!L483-'main page'!$U$8),B484-B483*V484-('normal case'!I484-D483*W484-'main page'!$K$27*'normal case'!M483+'main page'!$K$31*'normal case'!AB483)-(('main page'!$K$25*'main page'!$U$13*'main page'!$K$29)/(1+('main page'!$K$25^2)*'main page'!$U$13))*('normal case'!L483-'main page'!$U$8)))</f>
        <v>0</v>
      </c>
      <c r="AN483" s="40"/>
      <c r="AO483" s="40"/>
    </row>
    <row r="484" spans="1:41">
      <c r="A484" s="48">
        <v>482</v>
      </c>
      <c r="B484" s="75">
        <f ca="1">IF(controls!$B$33=1,B483*(1+V484)+T484,B483*(1+V484))</f>
        <v>100</v>
      </c>
      <c r="C484" s="80">
        <f t="shared" ca="1" si="53"/>
        <v>0</v>
      </c>
      <c r="D484" s="77">
        <f t="shared" ca="1" si="49"/>
        <v>100</v>
      </c>
      <c r="E484" s="77">
        <f ca="1">AG483+IF(controls!$B$33=1,G484,F484)</f>
        <v>100</v>
      </c>
      <c r="F484" s="94">
        <f ca="1">IF(controls!$B$44=0,H484-'main page'!$K$27*M483,H484-'main page'!$K$27*M483+'main page'!$K$31*AB483)</f>
        <v>100</v>
      </c>
      <c r="G484" s="75">
        <f ca="1">IF(controls!$B$44=0,I484-'main page'!$K$27*M483,I484-'main page'!$K$27*M483+'main page'!$K$31*'normal case'!AB483)</f>
        <v>100</v>
      </c>
      <c r="H484" s="75">
        <f t="shared" ca="1" si="54"/>
        <v>108</v>
      </c>
      <c r="I484" s="75">
        <f t="shared" ca="1" si="55"/>
        <v>108</v>
      </c>
      <c r="L484" s="75">
        <f ca="1">IF(ABS('main page'!$K$29*L483+(1-'main page'!$K$29)*(controls!$B$9/100)*100+'main page'!$K$25*(D484-B484)-L483)&lt;0.0000001,L483,'main page'!$K$29*L483+(1-'main page'!$K$29)*(controls!$B$9/100)*100+'main page'!$K$25*(D484-B484))</f>
        <v>2</v>
      </c>
      <c r="M484" s="96">
        <f ca="1">IF(controls!$B$10=1,M483,IF(SUM(controls!$B$44:$B$46)=2,N484-'main page'!$K$29*'normal case'!L484-(1-'main page'!$K$29)*'main page'!$K$32,N484-'main page'!$K$29*'normal case'!L484-(1-'main page'!$K$29)*controls!$B$9))</f>
        <v>4</v>
      </c>
      <c r="N484" s="208">
        <f ca="1">IF(controls!$B$45=1,IF(controls!$B$46=1,'main page'!$K$24+'main page'!$K$11+'main page'!$U$8,'main page'!$K$24+'main page'!$K$11+'main page'!$K$32),IF(controls!$B$44=1,IF(O484&lt;0,0,O484),IF(O484+'main page'!$K$11&lt;0,0,O484+'main page'!$K$11)))</f>
        <v>6</v>
      </c>
      <c r="O484" s="76">
        <f ca="1">IF(controls!$B$10=1,'normal case'!M484+'normal case'!L484,'normal case'!P484)</f>
        <v>6</v>
      </c>
      <c r="P484" s="74">
        <f t="shared" ca="1" si="50"/>
        <v>6</v>
      </c>
      <c r="Q484" s="210">
        <f ca="1">IF(controls!$B$44=0,R484+'main page'!$K$29*L484+(1-'main page'!$K$29)*controls!$B$9+(('main page'!$K$25*'main page'!$U$13*'main page'!$K$29)/('main page'!$K$27*(1+('main page'!$K$25^2)*'main page'!$U$13)))*(L484-controls!$B$9),R484+'main page'!$K$29*L484+(1-'main page'!$K$29)*controls!$B$9+(('main page'!$K$25*'main page'!$U$13*'normal case'!$AO$3)/'normal case'!$AO$4)*('normal case'!L484-controls!$B$9))</f>
        <v>6</v>
      </c>
      <c r="R484" s="98">
        <f ca="1">IF(controls!$B$44=1,'main page'!$K$24+'main page'!$K$11,IF(controls!$B$33=1,((I485-D484*W485-B485+B484*V485)/'main page'!$K$27)-'main page'!$K$11,((H485-D484*W485-B485+B484*V485)/'main page'!$K$27)-'main page'!$K$11))</f>
        <v>4</v>
      </c>
      <c r="T484" s="71">
        <f>IF(controls!$B$6=1,$AL$3*(1+('main page'!$K$35/100))^U484-$AL$3*(1+('main page'!$K$35/100))^U483,$AL$3*(1+('main page'!$G$8/100))*(1+('main page'!$K$35/100))^U484-$AL$3*(1+('main page'!$G$8/100))*(1+('main page'!$K$35/100))^U483)</f>
        <v>0</v>
      </c>
      <c r="U484" s="73">
        <v>477</v>
      </c>
      <c r="V484" s="161">
        <v>0</v>
      </c>
      <c r="W484" s="40">
        <v>0</v>
      </c>
      <c r="X484" s="49">
        <f ca="1">IF(controls!$B$33=1,D484-($I$3-'main page'!$K$27*2)*(1+('main page'!$K$35/100))^A483,D484-$AL$4)</f>
        <v>0</v>
      </c>
      <c r="Y484" s="49">
        <f ca="1">ABS(L484-(controls!$B$9/100)*100)</f>
        <v>0</v>
      </c>
      <c r="AA484" s="49" t="e">
        <f ca="1">IF(controls!$B$33=1,(B485-B484*V485-I485+D484*W485+'main page'!$K$27*('main page'!$K$24+'main page'!$K$11))/'main page'!$K$31,(B485-B484*V485+D484*W485-H485+'main page'!$K$27*('main page'!$K$24+'main page'!$K$11))/'main page'!$K$31)</f>
        <v>#DIV/0!</v>
      </c>
      <c r="AB484" s="49" t="e">
        <f ca="1">IF(controls!$B$45=1,LOG(AF484,1.01)+LOG(AE484,1.01)-LOG(AD484,1.01),-((M484-('main page'!$K$24+'main page'!$K$11))/(1-'normal case'!$AO$3))+'normal case'!AA484)</f>
        <v>#DIV/0!</v>
      </c>
      <c r="AC484" s="176" t="e">
        <f t="shared" ca="1" si="51"/>
        <v>#DIV/0!</v>
      </c>
      <c r="AD484" s="49">
        <f t="shared" ca="1" si="52"/>
        <v>13698.802914056259</v>
      </c>
      <c r="AE484" s="49">
        <f>AE483*(1+'main page'!$K$32/100)</f>
        <v>1</v>
      </c>
      <c r="AF484" s="49" t="e">
        <f ca="1">IF(ABS(IF(controls!$B$45=1,$AL$13,AD484*AC484/AE484)-AF483)&lt;0.00001,AF483,IF(controls!$B$45=1,$AL$13,AD484*AC484/AE484))</f>
        <v>#DIV/0!</v>
      </c>
      <c r="AG484" s="49">
        <f>IF(controls!$B$46=0,0,IF(controls!$B$33=2,B485-B484*V485-('normal case'!H485-D484*W485-'main page'!$K$27*'normal case'!M484+'main page'!$K$31*'normal case'!AB484)-(('main page'!$K$25*'main page'!$U$13*'main page'!$K$29)/(1+('main page'!$K$25^2)*'main page'!$U$13))*('normal case'!L484-'main page'!$U$8),B485-B484*V485-('normal case'!I485-D484*W485-'main page'!$K$27*'normal case'!M484+'main page'!$K$31*'normal case'!AB484)-(('main page'!$K$25*'main page'!$U$13*'main page'!$K$29)/(1+('main page'!$K$25^2)*'main page'!$U$13))*('normal case'!L484-'main page'!$U$8)))</f>
        <v>0</v>
      </c>
      <c r="AN484" s="40"/>
      <c r="AO484" s="40"/>
    </row>
    <row r="485" spans="1:41">
      <c r="A485" s="48">
        <v>483</v>
      </c>
      <c r="B485" s="75">
        <f ca="1">IF(controls!$B$33=1,B484*(1+V485)+T485,B484*(1+V485))</f>
        <v>100</v>
      </c>
      <c r="C485" s="80">
        <f t="shared" ca="1" si="53"/>
        <v>0</v>
      </c>
      <c r="D485" s="77">
        <f t="shared" ca="1" si="49"/>
        <v>100</v>
      </c>
      <c r="E485" s="77">
        <f ca="1">AG484+IF(controls!$B$33=1,G485,F485)</f>
        <v>100</v>
      </c>
      <c r="F485" s="94">
        <f ca="1">IF(controls!$B$44=0,H485-'main page'!$K$27*M484,H485-'main page'!$K$27*M484+'main page'!$K$31*AB484)</f>
        <v>100</v>
      </c>
      <c r="G485" s="75">
        <f ca="1">IF(controls!$B$44=0,I485-'main page'!$K$27*M484,I485-'main page'!$K$27*M484+'main page'!$K$31*'normal case'!AB484)</f>
        <v>100</v>
      </c>
      <c r="H485" s="75">
        <f t="shared" ca="1" si="54"/>
        <v>108</v>
      </c>
      <c r="I485" s="75">
        <f t="shared" ca="1" si="55"/>
        <v>108</v>
      </c>
      <c r="L485" s="75">
        <f ca="1">IF(ABS('main page'!$K$29*L484+(1-'main page'!$K$29)*(controls!$B$9/100)*100+'main page'!$K$25*(D485-B485)-L484)&lt;0.0000001,L484,'main page'!$K$29*L484+(1-'main page'!$K$29)*(controls!$B$9/100)*100+'main page'!$K$25*(D485-B485))</f>
        <v>2</v>
      </c>
      <c r="M485" s="96">
        <f ca="1">IF(controls!$B$10=1,M484,IF(SUM(controls!$B$44:$B$46)=2,N485-'main page'!$K$29*'normal case'!L485-(1-'main page'!$K$29)*'main page'!$K$32,N485-'main page'!$K$29*'normal case'!L485-(1-'main page'!$K$29)*controls!$B$9))</f>
        <v>4</v>
      </c>
      <c r="N485" s="208">
        <f ca="1">IF(controls!$B$45=1,IF(controls!$B$46=1,'main page'!$K$24+'main page'!$K$11+'main page'!$U$8,'main page'!$K$24+'main page'!$K$11+'main page'!$K$32),IF(controls!$B$44=1,IF(O485&lt;0,0,O485),IF(O485+'main page'!$K$11&lt;0,0,O485+'main page'!$K$11)))</f>
        <v>6</v>
      </c>
      <c r="O485" s="76">
        <f ca="1">IF(controls!$B$10=1,'normal case'!M485+'normal case'!L485,'normal case'!P485)</f>
        <v>6</v>
      </c>
      <c r="P485" s="74">
        <f t="shared" ca="1" si="50"/>
        <v>6</v>
      </c>
      <c r="Q485" s="210">
        <f ca="1">IF(controls!$B$44=0,R485+'main page'!$K$29*L485+(1-'main page'!$K$29)*controls!$B$9+(('main page'!$K$25*'main page'!$U$13*'main page'!$K$29)/('main page'!$K$27*(1+('main page'!$K$25^2)*'main page'!$U$13)))*(L485-controls!$B$9),R485+'main page'!$K$29*L485+(1-'main page'!$K$29)*controls!$B$9+(('main page'!$K$25*'main page'!$U$13*'normal case'!$AO$3)/'normal case'!$AO$4)*('normal case'!L485-controls!$B$9))</f>
        <v>6</v>
      </c>
      <c r="R485" s="98">
        <f ca="1">IF(controls!$B$44=1,'main page'!$K$24+'main page'!$K$11,IF(controls!$B$33=1,((I486-D485*W486-B486+B485*V486)/'main page'!$K$27)-'main page'!$K$11,((H486-D485*W486-B486+B485*V486)/'main page'!$K$27)-'main page'!$K$11))</f>
        <v>4</v>
      </c>
      <c r="T485" s="71">
        <f>IF(controls!$B$6=1,$AL$3*(1+('main page'!$K$35/100))^U485-$AL$3*(1+('main page'!$K$35/100))^U484,$AL$3*(1+('main page'!$G$8/100))*(1+('main page'!$K$35/100))^U485-$AL$3*(1+('main page'!$G$8/100))*(1+('main page'!$K$35/100))^U484)</f>
        <v>0</v>
      </c>
      <c r="U485" s="73">
        <v>478</v>
      </c>
      <c r="V485" s="161">
        <f ca="1">IF(controls!$B$4=1,IF(controls!$H484=1,controls!$B$34*V484+RAND()*('main page'!$K$16/100)-RAND()*('main page'!$K$16/100),0),0)</f>
        <v>0</v>
      </c>
      <c r="W485" s="40">
        <f ca="1">IF(controls!$B$4=1,IF(controls!$I484=1,controls!$B$34*W484+RAND()*('main page'!$K$16/100)-RAND()*('main page'!$K$16/100),0),0)</f>
        <v>0</v>
      </c>
      <c r="X485" s="49">
        <f ca="1">IF(controls!$B$33=1,D485-($I$3-'main page'!$K$27*2)*(1+('main page'!$K$35/100))^A484,D485-$AL$4)</f>
        <v>0</v>
      </c>
      <c r="Y485" s="49">
        <f ca="1">ABS(L485-(controls!$B$9/100)*100)</f>
        <v>0</v>
      </c>
      <c r="AA485" s="49" t="e">
        <f ca="1">IF(controls!$B$33=1,(B486-B485*V486-I486+D485*W486+'main page'!$K$27*('main page'!$K$24+'main page'!$K$11))/'main page'!$K$31,(B486-B485*V486+D485*W486-H486+'main page'!$K$27*('main page'!$K$24+'main page'!$K$11))/'main page'!$K$31)</f>
        <v>#DIV/0!</v>
      </c>
      <c r="AB485" s="49" t="e">
        <f ca="1">IF(controls!$B$45=1,LOG(AF485,1.01)+LOG(AE485,1.01)-LOG(AD485,1.01),-((M485-('main page'!$K$24+'main page'!$K$11))/(1-'normal case'!$AO$3))+'normal case'!AA485)</f>
        <v>#DIV/0!</v>
      </c>
      <c r="AC485" s="176" t="e">
        <f t="shared" ca="1" si="51"/>
        <v>#DIV/0!</v>
      </c>
      <c r="AD485" s="49">
        <f t="shared" ca="1" si="52"/>
        <v>13972.778972337384</v>
      </c>
      <c r="AE485" s="49">
        <f>AE484*(1+'main page'!$K$32/100)</f>
        <v>1</v>
      </c>
      <c r="AF485" s="49" t="e">
        <f ca="1">IF(ABS(IF(controls!$B$45=1,$AL$13,AD485*AC485/AE485)-AF484)&lt;0.00001,AF484,IF(controls!$B$45=1,$AL$13,AD485*AC485/AE485))</f>
        <v>#DIV/0!</v>
      </c>
      <c r="AG485" s="49">
        <f>IF(controls!$B$46=0,0,IF(controls!$B$33=2,B486-B485*V486-('normal case'!H486-D485*W486-'main page'!$K$27*'normal case'!M485+'main page'!$K$31*'normal case'!AB485)-(('main page'!$K$25*'main page'!$U$13*'main page'!$K$29)/(1+('main page'!$K$25^2)*'main page'!$U$13))*('normal case'!L485-'main page'!$U$8),B486-B485*V486-('normal case'!I486-D485*W486-'main page'!$K$27*'normal case'!M485+'main page'!$K$31*'normal case'!AB485)-(('main page'!$K$25*'main page'!$U$13*'main page'!$K$29)/(1+('main page'!$K$25^2)*'main page'!$U$13))*('normal case'!L485-'main page'!$U$8)))</f>
        <v>0</v>
      </c>
      <c r="AN485" s="40"/>
      <c r="AO485" s="40"/>
    </row>
    <row r="486" spans="1:41">
      <c r="A486" s="48">
        <v>484</v>
      </c>
      <c r="B486" s="75">
        <f ca="1">IF(controls!$B$33=1,B485*(1+V486)+T486,B485*(1+V486))</f>
        <v>100</v>
      </c>
      <c r="C486" s="80">
        <f t="shared" ca="1" si="53"/>
        <v>0</v>
      </c>
      <c r="D486" s="77">
        <f t="shared" ca="1" si="49"/>
        <v>100</v>
      </c>
      <c r="E486" s="77">
        <f ca="1">AG485+IF(controls!$B$33=1,G486,F486)</f>
        <v>100</v>
      </c>
      <c r="F486" s="94">
        <f ca="1">IF(controls!$B$44=0,H486-'main page'!$K$27*M485,H486-'main page'!$K$27*M485+'main page'!$K$31*AB485)</f>
        <v>100</v>
      </c>
      <c r="G486" s="75">
        <f ca="1">IF(controls!$B$44=0,I486-'main page'!$K$27*M485,I486-'main page'!$K$27*M485+'main page'!$K$31*'normal case'!AB485)</f>
        <v>100</v>
      </c>
      <c r="H486" s="75">
        <f t="shared" ca="1" si="54"/>
        <v>108</v>
      </c>
      <c r="I486" s="75">
        <f t="shared" ca="1" si="55"/>
        <v>108</v>
      </c>
      <c r="L486" s="75">
        <f ca="1">IF(ABS('main page'!$K$29*L485+(1-'main page'!$K$29)*(controls!$B$9/100)*100+'main page'!$K$25*(D486-B486)-L485)&lt;0.0000001,L485,'main page'!$K$29*L485+(1-'main page'!$K$29)*(controls!$B$9/100)*100+'main page'!$K$25*(D486-B486))</f>
        <v>2</v>
      </c>
      <c r="M486" s="96">
        <f ca="1">IF(controls!$B$10=1,M485,IF(SUM(controls!$B$44:$B$46)=2,N486-'main page'!$K$29*'normal case'!L486-(1-'main page'!$K$29)*'main page'!$K$32,N486-'main page'!$K$29*'normal case'!L486-(1-'main page'!$K$29)*controls!$B$9))</f>
        <v>4</v>
      </c>
      <c r="N486" s="208">
        <f ca="1">IF(controls!$B$45=1,IF(controls!$B$46=1,'main page'!$K$24+'main page'!$K$11+'main page'!$U$8,'main page'!$K$24+'main page'!$K$11+'main page'!$K$32),IF(controls!$B$44=1,IF(O486&lt;0,0,O486),IF(O486+'main page'!$K$11&lt;0,0,O486+'main page'!$K$11)))</f>
        <v>6</v>
      </c>
      <c r="O486" s="76">
        <f ca="1">IF(controls!$B$10=1,'normal case'!M486+'normal case'!L486,'normal case'!P486)</f>
        <v>6</v>
      </c>
      <c r="P486" s="74">
        <f t="shared" ca="1" si="50"/>
        <v>6</v>
      </c>
      <c r="Q486" s="210">
        <f ca="1">IF(controls!$B$44=0,R486+'main page'!$K$29*L486+(1-'main page'!$K$29)*controls!$B$9+(('main page'!$K$25*'main page'!$U$13*'main page'!$K$29)/('main page'!$K$27*(1+('main page'!$K$25^2)*'main page'!$U$13)))*(L486-controls!$B$9),R486+'main page'!$K$29*L486+(1-'main page'!$K$29)*controls!$B$9+(('main page'!$K$25*'main page'!$U$13*'normal case'!$AO$3)/'normal case'!$AO$4)*('normal case'!L486-controls!$B$9))</f>
        <v>6</v>
      </c>
      <c r="R486" s="98">
        <f ca="1">IF(controls!$B$44=1,'main page'!$K$24+'main page'!$K$11,IF(controls!$B$33=1,((I487-D486*W487-B487+B486*V487)/'main page'!$K$27)-'main page'!$K$11,((H487-D486*W487-B487+B486*V487)/'main page'!$K$27)-'main page'!$K$11))</f>
        <v>4</v>
      </c>
      <c r="T486" s="71">
        <f>IF(controls!$B$6=1,$AL$3*(1+('main page'!$K$35/100))^U486-$AL$3*(1+('main page'!$K$35/100))^U485,$AL$3*(1+('main page'!$G$8/100))*(1+('main page'!$K$35/100))^U486-$AL$3*(1+('main page'!$G$8/100))*(1+('main page'!$K$35/100))^U485)</f>
        <v>0</v>
      </c>
      <c r="U486" s="73">
        <v>479</v>
      </c>
      <c r="V486" s="161">
        <v>0</v>
      </c>
      <c r="W486" s="40">
        <v>0</v>
      </c>
      <c r="X486" s="49">
        <f ca="1">IF(controls!$B$33=1,D486-($I$3-'main page'!$K$27*2)*(1+('main page'!$K$35/100))^A485,D486-$AL$4)</f>
        <v>0</v>
      </c>
      <c r="Y486" s="49">
        <f ca="1">ABS(L486-(controls!$B$9/100)*100)</f>
        <v>0</v>
      </c>
      <c r="AA486" s="49" t="e">
        <f ca="1">IF(controls!$B$33=1,(B487-B486*V487-I487+D486*W487+'main page'!$K$27*('main page'!$K$24+'main page'!$K$11))/'main page'!$K$31,(B487-B486*V487+D486*W487-H487+'main page'!$K$27*('main page'!$K$24+'main page'!$K$11))/'main page'!$K$31)</f>
        <v>#DIV/0!</v>
      </c>
      <c r="AB486" s="49" t="e">
        <f ca="1">IF(controls!$B$45=1,LOG(AF486,1.01)+LOG(AE486,1.01)-LOG(AD486,1.01),-((M486-('main page'!$K$24+'main page'!$K$11))/(1-'normal case'!$AO$3))+'normal case'!AA486)</f>
        <v>#DIV/0!</v>
      </c>
      <c r="AC486" s="176" t="e">
        <f t="shared" ca="1" si="51"/>
        <v>#DIV/0!</v>
      </c>
      <c r="AD486" s="49">
        <f t="shared" ca="1" si="52"/>
        <v>14252.234551784133</v>
      </c>
      <c r="AE486" s="49">
        <f>AE485*(1+'main page'!$K$32/100)</f>
        <v>1</v>
      </c>
      <c r="AF486" s="49" t="e">
        <f ca="1">IF(ABS(IF(controls!$B$45=1,$AL$13,AD486*AC486/AE486)-AF485)&lt;0.00001,AF485,IF(controls!$B$45=1,$AL$13,AD486*AC486/AE486))</f>
        <v>#DIV/0!</v>
      </c>
      <c r="AG486" s="49">
        <f>IF(controls!$B$46=0,0,IF(controls!$B$33=2,B487-B486*V487-('normal case'!H487-D486*W487-'main page'!$K$27*'normal case'!M486+'main page'!$K$31*'normal case'!AB486)-(('main page'!$K$25*'main page'!$U$13*'main page'!$K$29)/(1+('main page'!$K$25^2)*'main page'!$U$13))*('normal case'!L486-'main page'!$U$8),B487-B486*V487-('normal case'!I487-D486*W487-'main page'!$K$27*'normal case'!M486+'main page'!$K$31*'normal case'!AB486)-(('main page'!$K$25*'main page'!$U$13*'main page'!$K$29)/(1+('main page'!$K$25^2)*'main page'!$U$13))*('normal case'!L486-'main page'!$U$8)))</f>
        <v>0</v>
      </c>
      <c r="AN486" s="40"/>
      <c r="AO486" s="40"/>
    </row>
    <row r="487" spans="1:41">
      <c r="A487" s="48">
        <v>485</v>
      </c>
      <c r="B487" s="75">
        <f ca="1">IF(controls!$B$33=1,B486*(1+V487)+T487,B486*(1+V487))</f>
        <v>100</v>
      </c>
      <c r="C487" s="80">
        <f t="shared" ca="1" si="53"/>
        <v>0</v>
      </c>
      <c r="D487" s="77">
        <f t="shared" ca="1" si="49"/>
        <v>100</v>
      </c>
      <c r="E487" s="77">
        <f ca="1">AG486+IF(controls!$B$33=1,G487,F487)</f>
        <v>100</v>
      </c>
      <c r="F487" s="94">
        <f ca="1">IF(controls!$B$44=0,H487-'main page'!$K$27*M486,H487-'main page'!$K$27*M486+'main page'!$K$31*AB486)</f>
        <v>100</v>
      </c>
      <c r="G487" s="75">
        <f ca="1">IF(controls!$B$44=0,I487-'main page'!$K$27*M486,I487-'main page'!$K$27*M486+'main page'!$K$31*'normal case'!AB486)</f>
        <v>100</v>
      </c>
      <c r="H487" s="75">
        <f t="shared" ca="1" si="54"/>
        <v>108</v>
      </c>
      <c r="I487" s="75">
        <f t="shared" ca="1" si="55"/>
        <v>108</v>
      </c>
      <c r="L487" s="75">
        <f ca="1">IF(ABS('main page'!$K$29*L486+(1-'main page'!$K$29)*(controls!$B$9/100)*100+'main page'!$K$25*(D487-B487)-L486)&lt;0.0000001,L486,'main page'!$K$29*L486+(1-'main page'!$K$29)*(controls!$B$9/100)*100+'main page'!$K$25*(D487-B487))</f>
        <v>2</v>
      </c>
      <c r="M487" s="96">
        <f ca="1">IF(controls!$B$10=1,M486,IF(SUM(controls!$B$44:$B$46)=2,N487-'main page'!$K$29*'normal case'!L487-(1-'main page'!$K$29)*'main page'!$K$32,N487-'main page'!$K$29*'normal case'!L487-(1-'main page'!$K$29)*controls!$B$9))</f>
        <v>4</v>
      </c>
      <c r="N487" s="208">
        <f ca="1">IF(controls!$B$45=1,IF(controls!$B$46=1,'main page'!$K$24+'main page'!$K$11+'main page'!$U$8,'main page'!$K$24+'main page'!$K$11+'main page'!$K$32),IF(controls!$B$44=1,IF(O487&lt;0,0,O487),IF(O487+'main page'!$K$11&lt;0,0,O487+'main page'!$K$11)))</f>
        <v>6</v>
      </c>
      <c r="O487" s="76">
        <f ca="1">IF(controls!$B$10=1,'normal case'!M487+'normal case'!L487,'normal case'!P487)</f>
        <v>6</v>
      </c>
      <c r="P487" s="74">
        <f t="shared" ca="1" si="50"/>
        <v>6</v>
      </c>
      <c r="Q487" s="210">
        <f ca="1">IF(controls!$B$44=0,R487+'main page'!$K$29*L487+(1-'main page'!$K$29)*controls!$B$9+(('main page'!$K$25*'main page'!$U$13*'main page'!$K$29)/('main page'!$K$27*(1+('main page'!$K$25^2)*'main page'!$U$13)))*(L487-controls!$B$9),R487+'main page'!$K$29*L487+(1-'main page'!$K$29)*controls!$B$9+(('main page'!$K$25*'main page'!$U$13*'normal case'!$AO$3)/'normal case'!$AO$4)*('normal case'!L487-controls!$B$9))</f>
        <v>6</v>
      </c>
      <c r="R487" s="98">
        <f ca="1">IF(controls!$B$44=1,'main page'!$K$24+'main page'!$K$11,IF(controls!$B$33=1,((I488-D487*W488-B488+B487*V488)/'main page'!$K$27)-'main page'!$K$11,((H488-D487*W488-B488+B487*V488)/'main page'!$K$27)-'main page'!$K$11))</f>
        <v>4</v>
      </c>
      <c r="T487" s="71">
        <f>IF(controls!$B$6=1,$AL$3*(1+('main page'!$K$35/100))^U487-$AL$3*(1+('main page'!$K$35/100))^U486,$AL$3*(1+('main page'!$G$8/100))*(1+('main page'!$K$35/100))^U487-$AL$3*(1+('main page'!$G$8/100))*(1+('main page'!$K$35/100))^U486)</f>
        <v>0</v>
      </c>
      <c r="U487" s="73">
        <v>480</v>
      </c>
      <c r="V487" s="161">
        <v>0</v>
      </c>
      <c r="W487" s="40">
        <v>0</v>
      </c>
      <c r="X487" s="49">
        <f ca="1">IF(controls!$B$33=1,D487-($I$3-'main page'!$K$27*2)*(1+('main page'!$K$35/100))^A486,D487-$AL$4)</f>
        <v>0</v>
      </c>
      <c r="Y487" s="49">
        <f ca="1">ABS(L487-(controls!$B$9/100)*100)</f>
        <v>0</v>
      </c>
      <c r="AA487" s="49" t="e">
        <f ca="1">IF(controls!$B$33=1,(B488-B487*V488-I488+D487*W488+'main page'!$K$27*('main page'!$K$24+'main page'!$K$11))/'main page'!$K$31,(B488-B487*V488+D487*W488-H488+'main page'!$K$27*('main page'!$K$24+'main page'!$K$11))/'main page'!$K$31)</f>
        <v>#DIV/0!</v>
      </c>
      <c r="AB487" s="49" t="e">
        <f ca="1">IF(controls!$B$45=1,LOG(AF487,1.01)+LOG(AE487,1.01)-LOG(AD487,1.01),-((M487-('main page'!$K$24+'main page'!$K$11))/(1-'normal case'!$AO$3))+'normal case'!AA487)</f>
        <v>#DIV/0!</v>
      </c>
      <c r="AC487" s="176" t="e">
        <f t="shared" ca="1" si="51"/>
        <v>#DIV/0!</v>
      </c>
      <c r="AD487" s="49">
        <f t="shared" ca="1" si="52"/>
        <v>14537.279242819815</v>
      </c>
      <c r="AE487" s="49">
        <f>AE486*(1+'main page'!$K$32/100)</f>
        <v>1</v>
      </c>
      <c r="AF487" s="49" t="e">
        <f ca="1">IF(ABS(IF(controls!$B$45=1,$AL$13,AD487*AC487/AE487)-AF486)&lt;0.00001,AF486,IF(controls!$B$45=1,$AL$13,AD487*AC487/AE487))</f>
        <v>#DIV/0!</v>
      </c>
      <c r="AG487" s="49">
        <f>IF(controls!$B$46=0,0,IF(controls!$B$33=2,B488-B487*V488-('normal case'!H488-D487*W488-'main page'!$K$27*'normal case'!M487+'main page'!$K$31*'normal case'!AB487)-(('main page'!$K$25*'main page'!$U$13*'main page'!$K$29)/(1+('main page'!$K$25^2)*'main page'!$U$13))*('normal case'!L487-'main page'!$U$8),B488-B487*V488-('normal case'!I488-D487*W488-'main page'!$K$27*'normal case'!M487+'main page'!$K$31*'normal case'!AB487)-(('main page'!$K$25*'main page'!$U$13*'main page'!$K$29)/(1+('main page'!$K$25^2)*'main page'!$U$13))*('normal case'!L487-'main page'!$U$8)))</f>
        <v>0</v>
      </c>
      <c r="AN487" s="40"/>
      <c r="AO487" s="40"/>
    </row>
    <row r="488" spans="1:41">
      <c r="A488" s="48">
        <v>486</v>
      </c>
      <c r="B488" s="75">
        <f ca="1">IF(controls!$B$33=1,B487*(1+V488)+T488,B487*(1+V488))</f>
        <v>100</v>
      </c>
      <c r="C488" s="80">
        <f t="shared" ca="1" si="53"/>
        <v>0</v>
      </c>
      <c r="D488" s="77">
        <f t="shared" ca="1" si="49"/>
        <v>100</v>
      </c>
      <c r="E488" s="77">
        <f ca="1">AG487+IF(controls!$B$33=1,G488,F488)</f>
        <v>100</v>
      </c>
      <c r="F488" s="94">
        <f ca="1">IF(controls!$B$44=0,H488-'main page'!$K$27*M487,H488-'main page'!$K$27*M487+'main page'!$K$31*AB487)</f>
        <v>100</v>
      </c>
      <c r="G488" s="75">
        <f ca="1">IF(controls!$B$44=0,I488-'main page'!$K$27*M487,I488-'main page'!$K$27*M487+'main page'!$K$31*'normal case'!AB487)</f>
        <v>100</v>
      </c>
      <c r="H488" s="75">
        <f t="shared" ca="1" si="54"/>
        <v>108</v>
      </c>
      <c r="I488" s="75">
        <f t="shared" ca="1" si="55"/>
        <v>108</v>
      </c>
      <c r="L488" s="75">
        <f ca="1">IF(ABS('main page'!$K$29*L487+(1-'main page'!$K$29)*(controls!$B$9/100)*100+'main page'!$K$25*(D488-B488)-L487)&lt;0.0000001,L487,'main page'!$K$29*L487+(1-'main page'!$K$29)*(controls!$B$9/100)*100+'main page'!$K$25*(D488-B488))</f>
        <v>2</v>
      </c>
      <c r="M488" s="96">
        <f ca="1">IF(controls!$B$10=1,M487,IF(SUM(controls!$B$44:$B$46)=2,N488-'main page'!$K$29*'normal case'!L488-(1-'main page'!$K$29)*'main page'!$K$32,N488-'main page'!$K$29*'normal case'!L488-(1-'main page'!$K$29)*controls!$B$9))</f>
        <v>4</v>
      </c>
      <c r="N488" s="208">
        <f ca="1">IF(controls!$B$45=1,IF(controls!$B$46=1,'main page'!$K$24+'main page'!$K$11+'main page'!$U$8,'main page'!$K$24+'main page'!$K$11+'main page'!$K$32),IF(controls!$B$44=1,IF(O488&lt;0,0,O488),IF(O488+'main page'!$K$11&lt;0,0,O488+'main page'!$K$11)))</f>
        <v>6</v>
      </c>
      <c r="O488" s="76">
        <f ca="1">IF(controls!$B$10=1,'normal case'!M488+'normal case'!L488,'normal case'!P488)</f>
        <v>6</v>
      </c>
      <c r="P488" s="74">
        <f t="shared" ca="1" si="50"/>
        <v>6</v>
      </c>
      <c r="Q488" s="210">
        <f ca="1">IF(controls!$B$44=0,R488+'main page'!$K$29*L488+(1-'main page'!$K$29)*controls!$B$9+(('main page'!$K$25*'main page'!$U$13*'main page'!$K$29)/('main page'!$K$27*(1+('main page'!$K$25^2)*'main page'!$U$13)))*(L488-controls!$B$9),R488+'main page'!$K$29*L488+(1-'main page'!$K$29)*controls!$B$9+(('main page'!$K$25*'main page'!$U$13*'normal case'!$AO$3)/'normal case'!$AO$4)*('normal case'!L488-controls!$B$9))</f>
        <v>6</v>
      </c>
      <c r="R488" s="98">
        <f ca="1">IF(controls!$B$44=1,'main page'!$K$24+'main page'!$K$11,IF(controls!$B$33=1,((I489-D488*W489-B489+B488*V489)/'main page'!$K$27)-'main page'!$K$11,((H489-D488*W489-B489+B488*V489)/'main page'!$K$27)-'main page'!$K$11))</f>
        <v>4</v>
      </c>
      <c r="T488" s="71">
        <f>IF(controls!$B$6=1,$AL$3*(1+('main page'!$K$35/100))^U488-$AL$3*(1+('main page'!$K$35/100))^U487,$AL$3*(1+('main page'!$G$8/100))*(1+('main page'!$K$35/100))^U488-$AL$3*(1+('main page'!$G$8/100))*(1+('main page'!$K$35/100))^U487)</f>
        <v>0</v>
      </c>
      <c r="U488" s="73">
        <v>481</v>
      </c>
      <c r="V488" s="161">
        <f ca="1">IF(controls!$B$4=1,IF(controls!$H487=1,controls!$B$34*V487+RAND()*('main page'!$K$16/100)-RAND()*('main page'!$K$16/100),0),0)</f>
        <v>0</v>
      </c>
      <c r="W488" s="40">
        <f ca="1">IF(controls!$B$4=1,IF(controls!$I487=1,controls!$B$34*W487+RAND()*('main page'!$K$16/100)-RAND()*('main page'!$K$16/100),0),0)</f>
        <v>0</v>
      </c>
      <c r="X488" s="49">
        <f ca="1">IF(controls!$B$33=1,D488-($I$3-'main page'!$K$27*2)*(1+('main page'!$K$35/100))^A487,D488-$AL$4)</f>
        <v>0</v>
      </c>
      <c r="Y488" s="49">
        <f ca="1">ABS(L488-(controls!$B$9/100)*100)</f>
        <v>0</v>
      </c>
      <c r="AA488" s="49" t="e">
        <f ca="1">IF(controls!$B$33=1,(B489-B488*V489-I489+D488*W489+'main page'!$K$27*('main page'!$K$24+'main page'!$K$11))/'main page'!$K$31,(B489-B488*V489+D488*W489-H489+'main page'!$K$27*('main page'!$K$24+'main page'!$K$11))/'main page'!$K$31)</f>
        <v>#DIV/0!</v>
      </c>
      <c r="AB488" s="49" t="e">
        <f ca="1">IF(controls!$B$45=1,LOG(AF488,1.01)+LOG(AE488,1.01)-LOG(AD488,1.01),-((M488-('main page'!$K$24+'main page'!$K$11))/(1-'normal case'!$AO$3))+'normal case'!AA488)</f>
        <v>#DIV/0!</v>
      </c>
      <c r="AC488" s="176" t="e">
        <f t="shared" ca="1" si="51"/>
        <v>#DIV/0!</v>
      </c>
      <c r="AD488" s="49">
        <f t="shared" ca="1" si="52"/>
        <v>14828.024827676212</v>
      </c>
      <c r="AE488" s="49">
        <f>AE487*(1+'main page'!$K$32/100)</f>
        <v>1</v>
      </c>
      <c r="AF488" s="49" t="e">
        <f ca="1">IF(ABS(IF(controls!$B$45=1,$AL$13,AD488*AC488/AE488)-AF487)&lt;0.00001,AF487,IF(controls!$B$45=1,$AL$13,AD488*AC488/AE488))</f>
        <v>#DIV/0!</v>
      </c>
      <c r="AG488" s="49">
        <f>IF(controls!$B$46=0,0,IF(controls!$B$33=2,B489-B488*V489-('normal case'!H489-D488*W489-'main page'!$K$27*'normal case'!M488+'main page'!$K$31*'normal case'!AB488)-(('main page'!$K$25*'main page'!$U$13*'main page'!$K$29)/(1+('main page'!$K$25^2)*'main page'!$U$13))*('normal case'!L488-'main page'!$U$8),B489-B488*V489-('normal case'!I489-D488*W489-'main page'!$K$27*'normal case'!M488+'main page'!$K$31*'normal case'!AB488)-(('main page'!$K$25*'main page'!$U$13*'main page'!$K$29)/(1+('main page'!$K$25^2)*'main page'!$U$13))*('normal case'!L488-'main page'!$U$8)))</f>
        <v>0</v>
      </c>
      <c r="AN488" s="40"/>
      <c r="AO488" s="40"/>
    </row>
    <row r="489" spans="1:41">
      <c r="A489" s="48">
        <v>487</v>
      </c>
      <c r="B489" s="75">
        <f ca="1">IF(controls!$B$33=1,B488*(1+V489)+T489,B488*(1+V489))</f>
        <v>100</v>
      </c>
      <c r="C489" s="80">
        <f t="shared" ca="1" si="53"/>
        <v>0</v>
      </c>
      <c r="D489" s="77">
        <f t="shared" ca="1" si="49"/>
        <v>100</v>
      </c>
      <c r="E489" s="77">
        <f ca="1">AG488+IF(controls!$B$33=1,G489,F489)</f>
        <v>100</v>
      </c>
      <c r="F489" s="94">
        <f ca="1">IF(controls!$B$44=0,H489-'main page'!$K$27*M488,H489-'main page'!$K$27*M488+'main page'!$K$31*AB488)</f>
        <v>100</v>
      </c>
      <c r="G489" s="75">
        <f ca="1">IF(controls!$B$44=0,I489-'main page'!$K$27*M488,I489-'main page'!$K$27*M488+'main page'!$K$31*'normal case'!AB488)</f>
        <v>100</v>
      </c>
      <c r="H489" s="75">
        <f t="shared" ca="1" si="54"/>
        <v>108</v>
      </c>
      <c r="I489" s="75">
        <f t="shared" ca="1" si="55"/>
        <v>108</v>
      </c>
      <c r="L489" s="75">
        <f ca="1">IF(ABS('main page'!$K$29*L488+(1-'main page'!$K$29)*(controls!$B$9/100)*100+'main page'!$K$25*(D489-B489)-L488)&lt;0.0000001,L488,'main page'!$K$29*L488+(1-'main page'!$K$29)*(controls!$B$9/100)*100+'main page'!$K$25*(D489-B489))</f>
        <v>2</v>
      </c>
      <c r="M489" s="96">
        <f ca="1">IF(controls!$B$10=1,M488,IF(SUM(controls!$B$44:$B$46)=2,N489-'main page'!$K$29*'normal case'!L489-(1-'main page'!$K$29)*'main page'!$K$32,N489-'main page'!$K$29*'normal case'!L489-(1-'main page'!$K$29)*controls!$B$9))</f>
        <v>4</v>
      </c>
      <c r="N489" s="208">
        <f ca="1">IF(controls!$B$45=1,IF(controls!$B$46=1,'main page'!$K$24+'main page'!$K$11+'main page'!$U$8,'main page'!$K$24+'main page'!$K$11+'main page'!$K$32),IF(controls!$B$44=1,IF(O489&lt;0,0,O489),IF(O489+'main page'!$K$11&lt;0,0,O489+'main page'!$K$11)))</f>
        <v>6</v>
      </c>
      <c r="O489" s="76">
        <f ca="1">IF(controls!$B$10=1,'normal case'!M489+'normal case'!L489,'normal case'!P489)</f>
        <v>6</v>
      </c>
      <c r="P489" s="74">
        <f t="shared" ca="1" si="50"/>
        <v>6</v>
      </c>
      <c r="Q489" s="210">
        <f ca="1">IF(controls!$B$44=0,R489+'main page'!$K$29*L489+(1-'main page'!$K$29)*controls!$B$9+(('main page'!$K$25*'main page'!$U$13*'main page'!$K$29)/('main page'!$K$27*(1+('main page'!$K$25^2)*'main page'!$U$13)))*(L489-controls!$B$9),R489+'main page'!$K$29*L489+(1-'main page'!$K$29)*controls!$B$9+(('main page'!$K$25*'main page'!$U$13*'normal case'!$AO$3)/'normal case'!$AO$4)*('normal case'!L489-controls!$B$9))</f>
        <v>6</v>
      </c>
      <c r="R489" s="98">
        <f ca="1">IF(controls!$B$44=1,'main page'!$K$24+'main page'!$K$11,IF(controls!$B$33=1,((I490-D489*W490-B490+B489*V490)/'main page'!$K$27)-'main page'!$K$11,((H490-D489*W490-B490+B489*V490)/'main page'!$K$27)-'main page'!$K$11))</f>
        <v>4</v>
      </c>
      <c r="T489" s="71">
        <f>IF(controls!$B$6=1,$AL$3*(1+('main page'!$K$35/100))^U489-$AL$3*(1+('main page'!$K$35/100))^U488,$AL$3*(1+('main page'!$G$8/100))*(1+('main page'!$K$35/100))^U489-$AL$3*(1+('main page'!$G$8/100))*(1+('main page'!$K$35/100))^U488)</f>
        <v>0</v>
      </c>
      <c r="U489" s="73">
        <v>482</v>
      </c>
      <c r="V489" s="161">
        <v>0</v>
      </c>
      <c r="W489" s="40">
        <v>0</v>
      </c>
      <c r="X489" s="49">
        <f ca="1">IF(controls!$B$33=1,D489-($I$3-'main page'!$K$27*2)*(1+('main page'!$K$35/100))^A488,D489-$AL$4)</f>
        <v>0</v>
      </c>
      <c r="Y489" s="49">
        <f ca="1">ABS(L489-(controls!$B$9/100)*100)</f>
        <v>0</v>
      </c>
      <c r="AA489" s="49" t="e">
        <f ca="1">IF(controls!$B$33=1,(B490-B489*V490-I490+D489*W490+'main page'!$K$27*('main page'!$K$24+'main page'!$K$11))/'main page'!$K$31,(B490-B489*V490+D489*W490-H490+'main page'!$K$27*('main page'!$K$24+'main page'!$K$11))/'main page'!$K$31)</f>
        <v>#DIV/0!</v>
      </c>
      <c r="AB489" s="49" t="e">
        <f ca="1">IF(controls!$B$45=1,LOG(AF489,1.01)+LOG(AE489,1.01)-LOG(AD489,1.01),-((M489-('main page'!$K$24+'main page'!$K$11))/(1-'normal case'!$AO$3))+'normal case'!AA489)</f>
        <v>#DIV/0!</v>
      </c>
      <c r="AC489" s="176" t="e">
        <f t="shared" ca="1" si="51"/>
        <v>#DIV/0!</v>
      </c>
      <c r="AD489" s="49">
        <f t="shared" ca="1" si="52"/>
        <v>15124.585324229736</v>
      </c>
      <c r="AE489" s="49">
        <f>AE488*(1+'main page'!$K$32/100)</f>
        <v>1</v>
      </c>
      <c r="AF489" s="49" t="e">
        <f ca="1">IF(ABS(IF(controls!$B$45=1,$AL$13,AD489*AC489/AE489)-AF488)&lt;0.00001,AF488,IF(controls!$B$45=1,$AL$13,AD489*AC489/AE489))</f>
        <v>#DIV/0!</v>
      </c>
      <c r="AG489" s="49">
        <f>IF(controls!$B$46=0,0,IF(controls!$B$33=2,B490-B489*V490-('normal case'!H490-D489*W490-'main page'!$K$27*'normal case'!M489+'main page'!$K$31*'normal case'!AB489)-(('main page'!$K$25*'main page'!$U$13*'main page'!$K$29)/(1+('main page'!$K$25^2)*'main page'!$U$13))*('normal case'!L489-'main page'!$U$8),B490-B489*V490-('normal case'!I490-D489*W490-'main page'!$K$27*'normal case'!M489+'main page'!$K$31*'normal case'!AB489)-(('main page'!$K$25*'main page'!$U$13*'main page'!$K$29)/(1+('main page'!$K$25^2)*'main page'!$U$13))*('normal case'!L489-'main page'!$U$8)))</f>
        <v>0</v>
      </c>
      <c r="AN489" s="40"/>
      <c r="AO489" s="40"/>
    </row>
    <row r="490" spans="1:41">
      <c r="A490" s="48">
        <v>488</v>
      </c>
      <c r="B490" s="75">
        <f ca="1">IF(controls!$B$33=1,B489*(1+V490)+T490,B489*(1+V490))</f>
        <v>100</v>
      </c>
      <c r="C490" s="80">
        <f t="shared" ca="1" si="53"/>
        <v>0</v>
      </c>
      <c r="D490" s="77">
        <f t="shared" ca="1" si="49"/>
        <v>100</v>
      </c>
      <c r="E490" s="77">
        <f ca="1">AG489+IF(controls!$B$33=1,G490,F490)</f>
        <v>100</v>
      </c>
      <c r="F490" s="94">
        <f ca="1">IF(controls!$B$44=0,H490-'main page'!$K$27*M489,H490-'main page'!$K$27*M489+'main page'!$K$31*AB489)</f>
        <v>100</v>
      </c>
      <c r="G490" s="75">
        <f ca="1">IF(controls!$B$44=0,I490-'main page'!$K$27*M489,I490-'main page'!$K$27*M489+'main page'!$K$31*'normal case'!AB489)</f>
        <v>100</v>
      </c>
      <c r="H490" s="75">
        <f t="shared" ca="1" si="54"/>
        <v>108</v>
      </c>
      <c r="I490" s="75">
        <f t="shared" ca="1" si="55"/>
        <v>108</v>
      </c>
      <c r="L490" s="75">
        <f ca="1">IF(ABS('main page'!$K$29*L489+(1-'main page'!$K$29)*(controls!$B$9/100)*100+'main page'!$K$25*(D490-B490)-L489)&lt;0.0000001,L489,'main page'!$K$29*L489+(1-'main page'!$K$29)*(controls!$B$9/100)*100+'main page'!$K$25*(D490-B490))</f>
        <v>2</v>
      </c>
      <c r="M490" s="96">
        <f ca="1">IF(controls!$B$10=1,M489,IF(SUM(controls!$B$44:$B$46)=2,N490-'main page'!$K$29*'normal case'!L490-(1-'main page'!$K$29)*'main page'!$K$32,N490-'main page'!$K$29*'normal case'!L490-(1-'main page'!$K$29)*controls!$B$9))</f>
        <v>4</v>
      </c>
      <c r="N490" s="208">
        <f ca="1">IF(controls!$B$45=1,IF(controls!$B$46=1,'main page'!$K$24+'main page'!$K$11+'main page'!$U$8,'main page'!$K$24+'main page'!$K$11+'main page'!$K$32),IF(controls!$B$44=1,IF(O490&lt;0,0,O490),IF(O490+'main page'!$K$11&lt;0,0,O490+'main page'!$K$11)))</f>
        <v>6</v>
      </c>
      <c r="O490" s="76">
        <f ca="1">IF(controls!$B$10=1,'normal case'!M490+'normal case'!L490,'normal case'!P490)</f>
        <v>6</v>
      </c>
      <c r="P490" s="74">
        <f t="shared" ca="1" si="50"/>
        <v>6</v>
      </c>
      <c r="Q490" s="210">
        <f ca="1">IF(controls!$B$44=0,R490+'main page'!$K$29*L490+(1-'main page'!$K$29)*controls!$B$9+(('main page'!$K$25*'main page'!$U$13*'main page'!$K$29)/('main page'!$K$27*(1+('main page'!$K$25^2)*'main page'!$U$13)))*(L490-controls!$B$9),R490+'main page'!$K$29*L490+(1-'main page'!$K$29)*controls!$B$9+(('main page'!$K$25*'main page'!$U$13*'normal case'!$AO$3)/'normal case'!$AO$4)*('normal case'!L490-controls!$B$9))</f>
        <v>6</v>
      </c>
      <c r="R490" s="98">
        <f ca="1">IF(controls!$B$44=1,'main page'!$K$24+'main page'!$K$11,IF(controls!$B$33=1,((I491-D490*W491-B491+B490*V491)/'main page'!$K$27)-'main page'!$K$11,((H491-D490*W491-B491+B490*V491)/'main page'!$K$27)-'main page'!$K$11))</f>
        <v>4</v>
      </c>
      <c r="T490" s="71">
        <f>IF(controls!$B$6=1,$AL$3*(1+('main page'!$K$35/100))^U490-$AL$3*(1+('main page'!$K$35/100))^U489,$AL$3*(1+('main page'!$G$8/100))*(1+('main page'!$K$35/100))^U490-$AL$3*(1+('main page'!$G$8/100))*(1+('main page'!$K$35/100))^U489)</f>
        <v>0</v>
      </c>
      <c r="U490" s="73">
        <v>483</v>
      </c>
      <c r="V490" s="161">
        <v>0</v>
      </c>
      <c r="W490" s="40">
        <v>0</v>
      </c>
      <c r="X490" s="49">
        <f ca="1">IF(controls!$B$33=1,D490-($I$3-'main page'!$K$27*2)*(1+('main page'!$K$35/100))^A489,D490-$AL$4)</f>
        <v>0</v>
      </c>
      <c r="Y490" s="49">
        <f ca="1">ABS(L490-(controls!$B$9/100)*100)</f>
        <v>0</v>
      </c>
      <c r="AA490" s="49" t="e">
        <f ca="1">IF(controls!$B$33=1,(B491-B490*V491-I491+D490*W491+'main page'!$K$27*('main page'!$K$24+'main page'!$K$11))/'main page'!$K$31,(B491-B490*V491+D490*W491-H491+'main page'!$K$27*('main page'!$K$24+'main page'!$K$11))/'main page'!$K$31)</f>
        <v>#DIV/0!</v>
      </c>
      <c r="AB490" s="49" t="e">
        <f ca="1">IF(controls!$B$45=1,LOG(AF490,1.01)+LOG(AE490,1.01)-LOG(AD490,1.01),-((M490-('main page'!$K$24+'main page'!$K$11))/(1-'normal case'!$AO$3))+'normal case'!AA490)</f>
        <v>#DIV/0!</v>
      </c>
      <c r="AC490" s="176" t="e">
        <f t="shared" ca="1" si="51"/>
        <v>#DIV/0!</v>
      </c>
      <c r="AD490" s="49">
        <f t="shared" ca="1" si="52"/>
        <v>15427.077030714332</v>
      </c>
      <c r="AE490" s="49">
        <f>AE489*(1+'main page'!$K$32/100)</f>
        <v>1</v>
      </c>
      <c r="AF490" s="49" t="e">
        <f ca="1">IF(ABS(IF(controls!$B$45=1,$AL$13,AD490*AC490/AE490)-AF489)&lt;0.00001,AF489,IF(controls!$B$45=1,$AL$13,AD490*AC490/AE490))</f>
        <v>#DIV/0!</v>
      </c>
      <c r="AG490" s="49">
        <f>IF(controls!$B$46=0,0,IF(controls!$B$33=2,B491-B490*V491-('normal case'!H491-D490*W491-'main page'!$K$27*'normal case'!M490+'main page'!$K$31*'normal case'!AB490)-(('main page'!$K$25*'main page'!$U$13*'main page'!$K$29)/(1+('main page'!$K$25^2)*'main page'!$U$13))*('normal case'!L490-'main page'!$U$8),B491-B490*V491-('normal case'!I491-D490*W491-'main page'!$K$27*'normal case'!M490+'main page'!$K$31*'normal case'!AB490)-(('main page'!$K$25*'main page'!$U$13*'main page'!$K$29)/(1+('main page'!$K$25^2)*'main page'!$U$13))*('normal case'!L490-'main page'!$U$8)))</f>
        <v>0</v>
      </c>
      <c r="AN490" s="40"/>
      <c r="AO490" s="40"/>
    </row>
    <row r="491" spans="1:41">
      <c r="A491" s="48">
        <v>489</v>
      </c>
      <c r="B491" s="75">
        <f ca="1">IF(controls!$B$33=1,B490*(1+V491)+T491,B490*(1+V491))</f>
        <v>100</v>
      </c>
      <c r="C491" s="80">
        <f t="shared" ca="1" si="53"/>
        <v>0</v>
      </c>
      <c r="D491" s="77">
        <f t="shared" ca="1" si="49"/>
        <v>100</v>
      </c>
      <c r="E491" s="77">
        <f ca="1">AG490+IF(controls!$B$33=1,G491,F491)</f>
        <v>100</v>
      </c>
      <c r="F491" s="94">
        <f ca="1">IF(controls!$B$44=0,H491-'main page'!$K$27*M490,H491-'main page'!$K$27*M490+'main page'!$K$31*AB490)</f>
        <v>100</v>
      </c>
      <c r="G491" s="75">
        <f ca="1">IF(controls!$B$44=0,I491-'main page'!$K$27*M490,I491-'main page'!$K$27*M490+'main page'!$K$31*'normal case'!AB490)</f>
        <v>100</v>
      </c>
      <c r="H491" s="75">
        <f t="shared" ca="1" si="54"/>
        <v>108</v>
      </c>
      <c r="I491" s="75">
        <f t="shared" ca="1" si="55"/>
        <v>108</v>
      </c>
      <c r="L491" s="75">
        <f ca="1">IF(ABS('main page'!$K$29*L490+(1-'main page'!$K$29)*(controls!$B$9/100)*100+'main page'!$K$25*(D491-B491)-L490)&lt;0.0000001,L490,'main page'!$K$29*L490+(1-'main page'!$K$29)*(controls!$B$9/100)*100+'main page'!$K$25*(D491-B491))</f>
        <v>2</v>
      </c>
      <c r="M491" s="96">
        <f ca="1">IF(controls!$B$10=1,M490,IF(SUM(controls!$B$44:$B$46)=2,N491-'main page'!$K$29*'normal case'!L491-(1-'main page'!$K$29)*'main page'!$K$32,N491-'main page'!$K$29*'normal case'!L491-(1-'main page'!$K$29)*controls!$B$9))</f>
        <v>4</v>
      </c>
      <c r="N491" s="208">
        <f ca="1">IF(controls!$B$45=1,IF(controls!$B$46=1,'main page'!$K$24+'main page'!$K$11+'main page'!$U$8,'main page'!$K$24+'main page'!$K$11+'main page'!$K$32),IF(controls!$B$44=1,IF(O491&lt;0,0,O491),IF(O491+'main page'!$K$11&lt;0,0,O491+'main page'!$K$11)))</f>
        <v>6</v>
      </c>
      <c r="O491" s="76">
        <f ca="1">IF(controls!$B$10=1,'normal case'!M491+'normal case'!L491,'normal case'!P491)</f>
        <v>6</v>
      </c>
      <c r="P491" s="74">
        <f t="shared" ca="1" si="50"/>
        <v>6</v>
      </c>
      <c r="Q491" s="210">
        <f ca="1">IF(controls!$B$44=0,R491+'main page'!$K$29*L491+(1-'main page'!$K$29)*controls!$B$9+(('main page'!$K$25*'main page'!$U$13*'main page'!$K$29)/('main page'!$K$27*(1+('main page'!$K$25^2)*'main page'!$U$13)))*(L491-controls!$B$9),R491+'main page'!$K$29*L491+(1-'main page'!$K$29)*controls!$B$9+(('main page'!$K$25*'main page'!$U$13*'normal case'!$AO$3)/'normal case'!$AO$4)*('normal case'!L491-controls!$B$9))</f>
        <v>6</v>
      </c>
      <c r="R491" s="98">
        <f ca="1">IF(controls!$B$44=1,'main page'!$K$24+'main page'!$K$11,IF(controls!$B$33=1,((I492-D491*W492-B492+B491*V492)/'main page'!$K$27)-'main page'!$K$11,((H492-D491*W492-B492+B491*V492)/'main page'!$K$27)-'main page'!$K$11))</f>
        <v>4</v>
      </c>
      <c r="T491" s="71">
        <f>IF(controls!$B$6=1,$AL$3*(1+('main page'!$K$35/100))^U491-$AL$3*(1+('main page'!$K$35/100))^U490,$AL$3*(1+('main page'!$G$8/100))*(1+('main page'!$K$35/100))^U491-$AL$3*(1+('main page'!$G$8/100))*(1+('main page'!$K$35/100))^U490)</f>
        <v>0</v>
      </c>
      <c r="U491" s="73">
        <v>484</v>
      </c>
      <c r="V491" s="161">
        <f ca="1">IF(controls!$B$4=1,IF(controls!$H490=1,controls!$B$34*V490+RAND()*('main page'!$K$16/100)-RAND()*('main page'!$K$16/100),0),0)</f>
        <v>0</v>
      </c>
      <c r="W491" s="40">
        <f ca="1">IF(controls!$B$4=1,IF(controls!$I490=1,controls!$B$34*W490+RAND()*('main page'!$K$16/100)-RAND()*('main page'!$K$16/100),0),0)</f>
        <v>0</v>
      </c>
      <c r="X491" s="49">
        <f ca="1">IF(controls!$B$33=1,D491-($I$3-'main page'!$K$27*2)*(1+('main page'!$K$35/100))^A490,D491-$AL$4)</f>
        <v>0</v>
      </c>
      <c r="Y491" s="49">
        <f ca="1">ABS(L491-(controls!$B$9/100)*100)</f>
        <v>0</v>
      </c>
      <c r="AA491" s="49" t="e">
        <f ca="1">IF(controls!$B$33=1,(B492-B491*V492-I492+D491*W492+'main page'!$K$27*('main page'!$K$24+'main page'!$K$11))/'main page'!$K$31,(B492-B491*V492+D491*W492-H492+'main page'!$K$27*('main page'!$K$24+'main page'!$K$11))/'main page'!$K$31)</f>
        <v>#DIV/0!</v>
      </c>
      <c r="AB491" s="49" t="e">
        <f ca="1">IF(controls!$B$45=1,LOG(AF491,1.01)+LOG(AE491,1.01)-LOG(AD491,1.01),-((M491-('main page'!$K$24+'main page'!$K$11))/(1-'normal case'!$AO$3))+'normal case'!AA491)</f>
        <v>#DIV/0!</v>
      </c>
      <c r="AC491" s="176" t="e">
        <f t="shared" ca="1" si="51"/>
        <v>#DIV/0!</v>
      </c>
      <c r="AD491" s="49">
        <f t="shared" ca="1" si="52"/>
        <v>15735.61857132862</v>
      </c>
      <c r="AE491" s="49">
        <f>AE490*(1+'main page'!$K$32/100)</f>
        <v>1</v>
      </c>
      <c r="AF491" s="49" t="e">
        <f ca="1">IF(ABS(IF(controls!$B$45=1,$AL$13,AD491*AC491/AE491)-AF490)&lt;0.00001,AF490,IF(controls!$B$45=1,$AL$13,AD491*AC491/AE491))</f>
        <v>#DIV/0!</v>
      </c>
      <c r="AG491" s="49">
        <f>IF(controls!$B$46=0,0,IF(controls!$B$33=2,B492-B491*V492-('normal case'!H492-D491*W492-'main page'!$K$27*'normal case'!M491+'main page'!$K$31*'normal case'!AB491)-(('main page'!$K$25*'main page'!$U$13*'main page'!$K$29)/(1+('main page'!$K$25^2)*'main page'!$U$13))*('normal case'!L491-'main page'!$U$8),B492-B491*V492-('normal case'!I492-D491*W492-'main page'!$K$27*'normal case'!M491+'main page'!$K$31*'normal case'!AB491)-(('main page'!$K$25*'main page'!$U$13*'main page'!$K$29)/(1+('main page'!$K$25^2)*'main page'!$U$13))*('normal case'!L491-'main page'!$U$8)))</f>
        <v>0</v>
      </c>
      <c r="AN491" s="40"/>
      <c r="AO491" s="40"/>
    </row>
    <row r="492" spans="1:41">
      <c r="A492" s="48">
        <v>490</v>
      </c>
      <c r="B492" s="75">
        <f ca="1">IF(controls!$B$33=1,B491*(1+V492)+T492,B491*(1+V492))</f>
        <v>100</v>
      </c>
      <c r="C492" s="80">
        <f t="shared" ca="1" si="53"/>
        <v>0</v>
      </c>
      <c r="D492" s="77">
        <f t="shared" ca="1" si="49"/>
        <v>100</v>
      </c>
      <c r="E492" s="77">
        <f ca="1">AG491+IF(controls!$B$33=1,G492,F492)</f>
        <v>100</v>
      </c>
      <c r="F492" s="94">
        <f ca="1">IF(controls!$B$44=0,H492-'main page'!$K$27*M491,H492-'main page'!$K$27*M491+'main page'!$K$31*AB491)</f>
        <v>100</v>
      </c>
      <c r="G492" s="75">
        <f ca="1">IF(controls!$B$44=0,I492-'main page'!$K$27*M491,I492-'main page'!$K$27*M491+'main page'!$K$31*'normal case'!AB491)</f>
        <v>100</v>
      </c>
      <c r="H492" s="75">
        <f t="shared" ca="1" si="54"/>
        <v>108</v>
      </c>
      <c r="I492" s="75">
        <f t="shared" ca="1" si="55"/>
        <v>108</v>
      </c>
      <c r="L492" s="75">
        <f ca="1">IF(ABS('main page'!$K$29*L491+(1-'main page'!$K$29)*(controls!$B$9/100)*100+'main page'!$K$25*(D492-B492)-L491)&lt;0.0000001,L491,'main page'!$K$29*L491+(1-'main page'!$K$29)*(controls!$B$9/100)*100+'main page'!$K$25*(D492-B492))</f>
        <v>2</v>
      </c>
      <c r="M492" s="96">
        <f ca="1">IF(controls!$B$10=1,M491,IF(SUM(controls!$B$44:$B$46)=2,N492-'main page'!$K$29*'normal case'!L492-(1-'main page'!$K$29)*'main page'!$K$32,N492-'main page'!$K$29*'normal case'!L492-(1-'main page'!$K$29)*controls!$B$9))</f>
        <v>4</v>
      </c>
      <c r="N492" s="208">
        <f ca="1">IF(controls!$B$45=1,IF(controls!$B$46=1,'main page'!$K$24+'main page'!$K$11+'main page'!$U$8,'main page'!$K$24+'main page'!$K$11+'main page'!$K$32),IF(controls!$B$44=1,IF(O492&lt;0,0,O492),IF(O492+'main page'!$K$11&lt;0,0,O492+'main page'!$K$11)))</f>
        <v>6</v>
      </c>
      <c r="O492" s="76">
        <f ca="1">IF(controls!$B$10=1,'normal case'!M492+'normal case'!L492,'normal case'!P492)</f>
        <v>6</v>
      </c>
      <c r="P492" s="74">
        <f t="shared" ca="1" si="50"/>
        <v>6</v>
      </c>
      <c r="Q492" s="210">
        <f ca="1">IF(controls!$B$44=0,R492+'main page'!$K$29*L492+(1-'main page'!$K$29)*controls!$B$9+(('main page'!$K$25*'main page'!$U$13*'main page'!$K$29)/('main page'!$K$27*(1+('main page'!$K$25^2)*'main page'!$U$13)))*(L492-controls!$B$9),R492+'main page'!$K$29*L492+(1-'main page'!$K$29)*controls!$B$9+(('main page'!$K$25*'main page'!$U$13*'normal case'!$AO$3)/'normal case'!$AO$4)*('normal case'!L492-controls!$B$9))</f>
        <v>6</v>
      </c>
      <c r="R492" s="98">
        <f ca="1">IF(controls!$B$44=1,'main page'!$K$24+'main page'!$K$11,IF(controls!$B$33=1,((I493-D492*W493-B493+B492*V493)/'main page'!$K$27)-'main page'!$K$11,((H493-D492*W493-B493+B492*V493)/'main page'!$K$27)-'main page'!$K$11))</f>
        <v>4</v>
      </c>
      <c r="T492" s="71">
        <f>IF(controls!$B$6=1,$AL$3*(1+('main page'!$K$35/100))^U492-$AL$3*(1+('main page'!$K$35/100))^U491,$AL$3*(1+('main page'!$G$8/100))*(1+('main page'!$K$35/100))^U492-$AL$3*(1+('main page'!$G$8/100))*(1+('main page'!$K$35/100))^U491)</f>
        <v>0</v>
      </c>
      <c r="U492" s="73">
        <v>485</v>
      </c>
      <c r="V492" s="161">
        <v>0</v>
      </c>
      <c r="W492" s="40">
        <v>0</v>
      </c>
      <c r="X492" s="49">
        <f ca="1">IF(controls!$B$33=1,D492-($I$3-'main page'!$K$27*2)*(1+('main page'!$K$35/100))^A491,D492-$AL$4)</f>
        <v>0</v>
      </c>
      <c r="Y492" s="49">
        <f ca="1">ABS(L492-(controls!$B$9/100)*100)</f>
        <v>0</v>
      </c>
      <c r="AA492" s="49" t="e">
        <f ca="1">IF(controls!$B$33=1,(B493-B492*V493-I493+D492*W493+'main page'!$K$27*('main page'!$K$24+'main page'!$K$11))/'main page'!$K$31,(B493-B492*V493+D492*W493-H493+'main page'!$K$27*('main page'!$K$24+'main page'!$K$11))/'main page'!$K$31)</f>
        <v>#DIV/0!</v>
      </c>
      <c r="AB492" s="49" t="e">
        <f ca="1">IF(controls!$B$45=1,LOG(AF492,1.01)+LOG(AE492,1.01)-LOG(AD492,1.01),-((M492-('main page'!$K$24+'main page'!$K$11))/(1-'normal case'!$AO$3))+'normal case'!AA492)</f>
        <v>#DIV/0!</v>
      </c>
      <c r="AC492" s="176" t="e">
        <f t="shared" ca="1" si="51"/>
        <v>#DIV/0!</v>
      </c>
      <c r="AD492" s="49">
        <f t="shared" ca="1" si="52"/>
        <v>16050.330942755192</v>
      </c>
      <c r="AE492" s="49">
        <f>AE491*(1+'main page'!$K$32/100)</f>
        <v>1</v>
      </c>
      <c r="AF492" s="49" t="e">
        <f ca="1">IF(ABS(IF(controls!$B$45=1,$AL$13,AD492*AC492/AE492)-AF491)&lt;0.00001,AF491,IF(controls!$B$45=1,$AL$13,AD492*AC492/AE492))</f>
        <v>#DIV/0!</v>
      </c>
      <c r="AG492" s="49">
        <f>IF(controls!$B$46=0,0,IF(controls!$B$33=2,B493-B492*V493-('normal case'!H493-D492*W493-'main page'!$K$27*'normal case'!M492+'main page'!$K$31*'normal case'!AB492)-(('main page'!$K$25*'main page'!$U$13*'main page'!$K$29)/(1+('main page'!$K$25^2)*'main page'!$U$13))*('normal case'!L492-'main page'!$U$8),B493-B492*V493-('normal case'!I493-D492*W493-'main page'!$K$27*'normal case'!M492+'main page'!$K$31*'normal case'!AB492)-(('main page'!$K$25*'main page'!$U$13*'main page'!$K$29)/(1+('main page'!$K$25^2)*'main page'!$U$13))*('normal case'!L492-'main page'!$U$8)))</f>
        <v>0</v>
      </c>
      <c r="AN492" s="40"/>
      <c r="AO492" s="40"/>
    </row>
    <row r="493" spans="1:41">
      <c r="A493" s="48">
        <v>491</v>
      </c>
      <c r="B493" s="75">
        <f ca="1">IF(controls!$B$33=1,B492*(1+V493)+T493,B492*(1+V493))</f>
        <v>100</v>
      </c>
      <c r="C493" s="80">
        <f t="shared" ca="1" si="53"/>
        <v>0</v>
      </c>
      <c r="D493" s="77">
        <f t="shared" ca="1" si="49"/>
        <v>100</v>
      </c>
      <c r="E493" s="77">
        <f ca="1">AG492+IF(controls!$B$33=1,G493,F493)</f>
        <v>100</v>
      </c>
      <c r="F493" s="94">
        <f ca="1">IF(controls!$B$44=0,H493-'main page'!$K$27*M492,H493-'main page'!$K$27*M492+'main page'!$K$31*AB492)</f>
        <v>100</v>
      </c>
      <c r="G493" s="75">
        <f ca="1">IF(controls!$B$44=0,I493-'main page'!$K$27*M492,I493-'main page'!$K$27*M492+'main page'!$K$31*'normal case'!AB492)</f>
        <v>100</v>
      </c>
      <c r="H493" s="75">
        <f t="shared" ca="1" si="54"/>
        <v>108</v>
      </c>
      <c r="I493" s="75">
        <f t="shared" ca="1" si="55"/>
        <v>108</v>
      </c>
      <c r="L493" s="75">
        <f ca="1">IF(ABS('main page'!$K$29*L492+(1-'main page'!$K$29)*(controls!$B$9/100)*100+'main page'!$K$25*(D493-B493)-L492)&lt;0.0000001,L492,'main page'!$K$29*L492+(1-'main page'!$K$29)*(controls!$B$9/100)*100+'main page'!$K$25*(D493-B493))</f>
        <v>2</v>
      </c>
      <c r="M493" s="96">
        <f ca="1">IF(controls!$B$10=1,M492,IF(SUM(controls!$B$44:$B$46)=2,N493-'main page'!$K$29*'normal case'!L493-(1-'main page'!$K$29)*'main page'!$K$32,N493-'main page'!$K$29*'normal case'!L493-(1-'main page'!$K$29)*controls!$B$9))</f>
        <v>4</v>
      </c>
      <c r="N493" s="208">
        <f ca="1">IF(controls!$B$45=1,IF(controls!$B$46=1,'main page'!$K$24+'main page'!$K$11+'main page'!$U$8,'main page'!$K$24+'main page'!$K$11+'main page'!$K$32),IF(controls!$B$44=1,IF(O493&lt;0,0,O493),IF(O493+'main page'!$K$11&lt;0,0,O493+'main page'!$K$11)))</f>
        <v>6</v>
      </c>
      <c r="O493" s="76">
        <f ca="1">IF(controls!$B$10=1,'normal case'!M493+'normal case'!L493,'normal case'!P493)</f>
        <v>6</v>
      </c>
      <c r="P493" s="74">
        <f t="shared" ca="1" si="50"/>
        <v>6</v>
      </c>
      <c r="Q493" s="210">
        <f ca="1">IF(controls!$B$44=0,R493+'main page'!$K$29*L493+(1-'main page'!$K$29)*controls!$B$9+(('main page'!$K$25*'main page'!$U$13*'main page'!$K$29)/('main page'!$K$27*(1+('main page'!$K$25^2)*'main page'!$U$13)))*(L493-controls!$B$9),R493+'main page'!$K$29*L493+(1-'main page'!$K$29)*controls!$B$9+(('main page'!$K$25*'main page'!$U$13*'normal case'!$AO$3)/'normal case'!$AO$4)*('normal case'!L493-controls!$B$9))</f>
        <v>6</v>
      </c>
      <c r="R493" s="98">
        <f ca="1">IF(controls!$B$44=1,'main page'!$K$24+'main page'!$K$11,IF(controls!$B$33=1,((I494-D493*W494-B494+B493*V494)/'main page'!$K$27)-'main page'!$K$11,((H494-D493*W494-B494+B493*V494)/'main page'!$K$27)-'main page'!$K$11))</f>
        <v>4</v>
      </c>
      <c r="T493" s="71">
        <f>IF(controls!$B$6=1,$AL$3*(1+('main page'!$K$35/100))^U493-$AL$3*(1+('main page'!$K$35/100))^U492,$AL$3*(1+('main page'!$G$8/100))*(1+('main page'!$K$35/100))^U493-$AL$3*(1+('main page'!$G$8/100))*(1+('main page'!$K$35/100))^U492)</f>
        <v>0</v>
      </c>
      <c r="U493" s="73">
        <v>486</v>
      </c>
      <c r="V493" s="161">
        <v>0</v>
      </c>
      <c r="W493" s="40">
        <v>0</v>
      </c>
      <c r="X493" s="49">
        <f ca="1">IF(controls!$B$33=1,D493-($I$3-'main page'!$K$27*2)*(1+('main page'!$K$35/100))^A492,D493-$AL$4)</f>
        <v>0</v>
      </c>
      <c r="Y493" s="49">
        <f ca="1">ABS(L493-(controls!$B$9/100)*100)</f>
        <v>0</v>
      </c>
      <c r="AA493" s="49" t="e">
        <f ca="1">IF(controls!$B$33=1,(B494-B493*V494-I494+D493*W494+'main page'!$K$27*('main page'!$K$24+'main page'!$K$11))/'main page'!$K$31,(B494-B493*V494+D493*W494-H494+'main page'!$K$27*('main page'!$K$24+'main page'!$K$11))/'main page'!$K$31)</f>
        <v>#DIV/0!</v>
      </c>
      <c r="AB493" s="49" t="e">
        <f ca="1">IF(controls!$B$45=1,LOG(AF493,1.01)+LOG(AE493,1.01)-LOG(AD493,1.01),-((M493-('main page'!$K$24+'main page'!$K$11))/(1-'normal case'!$AO$3))+'normal case'!AA493)</f>
        <v>#DIV/0!</v>
      </c>
      <c r="AC493" s="176" t="e">
        <f t="shared" ca="1" si="51"/>
        <v>#DIV/0!</v>
      </c>
      <c r="AD493" s="49">
        <f t="shared" ca="1" si="52"/>
        <v>16371.337561610297</v>
      </c>
      <c r="AE493" s="49">
        <f>AE492*(1+'main page'!$K$32/100)</f>
        <v>1</v>
      </c>
      <c r="AF493" s="49" t="e">
        <f ca="1">IF(ABS(IF(controls!$B$45=1,$AL$13,AD493*AC493/AE493)-AF492)&lt;0.00001,AF492,IF(controls!$B$45=1,$AL$13,AD493*AC493/AE493))</f>
        <v>#DIV/0!</v>
      </c>
      <c r="AG493" s="49">
        <f>IF(controls!$B$46=0,0,IF(controls!$B$33=2,B494-B493*V494-('normal case'!H494-D493*W494-'main page'!$K$27*'normal case'!M493+'main page'!$K$31*'normal case'!AB493)-(('main page'!$K$25*'main page'!$U$13*'main page'!$K$29)/(1+('main page'!$K$25^2)*'main page'!$U$13))*('normal case'!L493-'main page'!$U$8),B494-B493*V494-('normal case'!I494-D493*W494-'main page'!$K$27*'normal case'!M493+'main page'!$K$31*'normal case'!AB493)-(('main page'!$K$25*'main page'!$U$13*'main page'!$K$29)/(1+('main page'!$K$25^2)*'main page'!$U$13))*('normal case'!L493-'main page'!$U$8)))</f>
        <v>0</v>
      </c>
      <c r="AN493" s="40"/>
      <c r="AO493" s="40"/>
    </row>
    <row r="494" spans="1:41">
      <c r="A494" s="48">
        <v>492</v>
      </c>
      <c r="B494" s="75">
        <f ca="1">IF(controls!$B$33=1,B493*(1+V494)+T494,B493*(1+V494))</f>
        <v>100</v>
      </c>
      <c r="C494" s="80">
        <f t="shared" ca="1" si="53"/>
        <v>0</v>
      </c>
      <c r="D494" s="77">
        <f t="shared" ca="1" si="49"/>
        <v>100</v>
      </c>
      <c r="E494" s="77">
        <f ca="1">AG493+IF(controls!$B$33=1,G494,F494)</f>
        <v>100</v>
      </c>
      <c r="F494" s="94">
        <f ca="1">IF(controls!$B$44=0,H494-'main page'!$K$27*M493,H494-'main page'!$K$27*M493+'main page'!$K$31*AB493)</f>
        <v>100</v>
      </c>
      <c r="G494" s="75">
        <f ca="1">IF(controls!$B$44=0,I494-'main page'!$K$27*M493,I494-'main page'!$K$27*M493+'main page'!$K$31*'normal case'!AB493)</f>
        <v>100</v>
      </c>
      <c r="H494" s="75">
        <f t="shared" ca="1" si="54"/>
        <v>108</v>
      </c>
      <c r="I494" s="75">
        <f t="shared" ca="1" si="55"/>
        <v>108</v>
      </c>
      <c r="L494" s="75">
        <f ca="1">IF(ABS('main page'!$K$29*L493+(1-'main page'!$K$29)*(controls!$B$9/100)*100+'main page'!$K$25*(D494-B494)-L493)&lt;0.0000001,L493,'main page'!$K$29*L493+(1-'main page'!$K$29)*(controls!$B$9/100)*100+'main page'!$K$25*(D494-B494))</f>
        <v>2</v>
      </c>
      <c r="M494" s="96">
        <f ca="1">IF(controls!$B$10=1,M493,IF(SUM(controls!$B$44:$B$46)=2,N494-'main page'!$K$29*'normal case'!L494-(1-'main page'!$K$29)*'main page'!$K$32,N494-'main page'!$K$29*'normal case'!L494-(1-'main page'!$K$29)*controls!$B$9))</f>
        <v>4</v>
      </c>
      <c r="N494" s="208">
        <f ca="1">IF(controls!$B$45=1,IF(controls!$B$46=1,'main page'!$K$24+'main page'!$K$11+'main page'!$U$8,'main page'!$K$24+'main page'!$K$11+'main page'!$K$32),IF(controls!$B$44=1,IF(O494&lt;0,0,O494),IF(O494+'main page'!$K$11&lt;0,0,O494+'main page'!$K$11)))</f>
        <v>6</v>
      </c>
      <c r="O494" s="76">
        <f ca="1">IF(controls!$B$10=1,'normal case'!M494+'normal case'!L494,'normal case'!P494)</f>
        <v>6</v>
      </c>
      <c r="P494" s="74">
        <f t="shared" ca="1" si="50"/>
        <v>6</v>
      </c>
      <c r="Q494" s="210">
        <f ca="1">IF(controls!$B$44=0,R494+'main page'!$K$29*L494+(1-'main page'!$K$29)*controls!$B$9+(('main page'!$K$25*'main page'!$U$13*'main page'!$K$29)/('main page'!$K$27*(1+('main page'!$K$25^2)*'main page'!$U$13)))*(L494-controls!$B$9),R494+'main page'!$K$29*L494+(1-'main page'!$K$29)*controls!$B$9+(('main page'!$K$25*'main page'!$U$13*'normal case'!$AO$3)/'normal case'!$AO$4)*('normal case'!L494-controls!$B$9))</f>
        <v>6</v>
      </c>
      <c r="R494" s="98">
        <f ca="1">IF(controls!$B$44=1,'main page'!$K$24+'main page'!$K$11,IF(controls!$B$33=1,((I495-D494*W495-B495+B494*V495)/'main page'!$K$27)-'main page'!$K$11,((H495-D494*W495-B495+B494*V495)/'main page'!$K$27)-'main page'!$K$11))</f>
        <v>4</v>
      </c>
      <c r="T494" s="71">
        <f>IF(controls!$B$6=1,$AL$3*(1+('main page'!$K$35/100))^U494-$AL$3*(1+('main page'!$K$35/100))^U493,$AL$3*(1+('main page'!$G$8/100))*(1+('main page'!$K$35/100))^U494-$AL$3*(1+('main page'!$G$8/100))*(1+('main page'!$K$35/100))^U493)</f>
        <v>0</v>
      </c>
      <c r="U494" s="73">
        <v>487</v>
      </c>
      <c r="V494" s="161">
        <f ca="1">IF(controls!$B$4=1,IF(controls!$H493=1,controls!$B$34*V493+RAND()*('main page'!$K$16/100)-RAND()*('main page'!$K$16/100),0),0)</f>
        <v>0</v>
      </c>
      <c r="W494" s="40">
        <f ca="1">IF(controls!$B$4=1,IF(controls!$I493=1,controls!$B$34*W493+RAND()*('main page'!$K$16/100)-RAND()*('main page'!$K$16/100),0),0)</f>
        <v>0</v>
      </c>
      <c r="X494" s="49">
        <f ca="1">IF(controls!$B$33=1,D494-($I$3-'main page'!$K$27*2)*(1+('main page'!$K$35/100))^A493,D494-$AL$4)</f>
        <v>0</v>
      </c>
      <c r="Y494" s="49">
        <f ca="1">ABS(L494-(controls!$B$9/100)*100)</f>
        <v>0</v>
      </c>
      <c r="AA494" s="49" t="e">
        <f ca="1">IF(controls!$B$33=1,(B495-B494*V495-I495+D494*W495+'main page'!$K$27*('main page'!$K$24+'main page'!$K$11))/'main page'!$K$31,(B495-B494*V495+D494*W495-H495+'main page'!$K$27*('main page'!$K$24+'main page'!$K$11))/'main page'!$K$31)</f>
        <v>#DIV/0!</v>
      </c>
      <c r="AB494" s="49" t="e">
        <f ca="1">IF(controls!$B$45=1,LOG(AF494,1.01)+LOG(AE494,1.01)-LOG(AD494,1.01),-((M494-('main page'!$K$24+'main page'!$K$11))/(1-'normal case'!$AO$3))+'normal case'!AA494)</f>
        <v>#DIV/0!</v>
      </c>
      <c r="AC494" s="176" t="e">
        <f t="shared" ca="1" si="51"/>
        <v>#DIV/0!</v>
      </c>
      <c r="AD494" s="49">
        <f t="shared" ca="1" si="52"/>
        <v>16698.764312842504</v>
      </c>
      <c r="AE494" s="49">
        <f>AE493*(1+'main page'!$K$32/100)</f>
        <v>1</v>
      </c>
      <c r="AF494" s="49" t="e">
        <f ca="1">IF(ABS(IF(controls!$B$45=1,$AL$13,AD494*AC494/AE494)-AF493)&lt;0.00001,AF493,IF(controls!$B$45=1,$AL$13,AD494*AC494/AE494))</f>
        <v>#DIV/0!</v>
      </c>
      <c r="AG494" s="49">
        <f>IF(controls!$B$46=0,0,IF(controls!$B$33=2,B495-B494*V495-('normal case'!H495-D494*W495-'main page'!$K$27*'normal case'!M494+'main page'!$K$31*'normal case'!AB494)-(('main page'!$K$25*'main page'!$U$13*'main page'!$K$29)/(1+('main page'!$K$25^2)*'main page'!$U$13))*('normal case'!L494-'main page'!$U$8),B495-B494*V495-('normal case'!I495-D494*W495-'main page'!$K$27*'normal case'!M494+'main page'!$K$31*'normal case'!AB494)-(('main page'!$K$25*'main page'!$U$13*'main page'!$K$29)/(1+('main page'!$K$25^2)*'main page'!$U$13))*('normal case'!L494-'main page'!$U$8)))</f>
        <v>0</v>
      </c>
      <c r="AN494" s="40"/>
      <c r="AO494" s="40"/>
    </row>
    <row r="495" spans="1:41">
      <c r="A495" s="48">
        <v>493</v>
      </c>
      <c r="B495" s="75">
        <f ca="1">IF(controls!$B$33=1,B494*(1+V495)+T495,B494*(1+V495))</f>
        <v>100</v>
      </c>
      <c r="C495" s="80">
        <f t="shared" ca="1" si="53"/>
        <v>0</v>
      </c>
      <c r="D495" s="77">
        <f t="shared" ca="1" si="49"/>
        <v>100</v>
      </c>
      <c r="E495" s="77">
        <f ca="1">AG494+IF(controls!$B$33=1,G495,F495)</f>
        <v>100</v>
      </c>
      <c r="F495" s="94">
        <f ca="1">IF(controls!$B$44=0,H495-'main page'!$K$27*M494,H495-'main page'!$K$27*M494+'main page'!$K$31*AB494)</f>
        <v>100</v>
      </c>
      <c r="G495" s="75">
        <f ca="1">IF(controls!$B$44=0,I495-'main page'!$K$27*M494,I495-'main page'!$K$27*M494+'main page'!$K$31*'normal case'!AB494)</f>
        <v>100</v>
      </c>
      <c r="H495" s="75">
        <f t="shared" ca="1" si="54"/>
        <v>108</v>
      </c>
      <c r="I495" s="75">
        <f t="shared" ca="1" si="55"/>
        <v>108</v>
      </c>
      <c r="L495" s="75">
        <f ca="1">IF(ABS('main page'!$K$29*L494+(1-'main page'!$K$29)*(controls!$B$9/100)*100+'main page'!$K$25*(D495-B495)-L494)&lt;0.0000001,L494,'main page'!$K$29*L494+(1-'main page'!$K$29)*(controls!$B$9/100)*100+'main page'!$K$25*(D495-B495))</f>
        <v>2</v>
      </c>
      <c r="M495" s="96">
        <f ca="1">IF(controls!$B$10=1,M494,IF(SUM(controls!$B$44:$B$46)=2,N495-'main page'!$K$29*'normal case'!L495-(1-'main page'!$K$29)*'main page'!$K$32,N495-'main page'!$K$29*'normal case'!L495-(1-'main page'!$K$29)*controls!$B$9))</f>
        <v>4</v>
      </c>
      <c r="N495" s="208">
        <f ca="1">IF(controls!$B$45=1,IF(controls!$B$46=1,'main page'!$K$24+'main page'!$K$11+'main page'!$U$8,'main page'!$K$24+'main page'!$K$11+'main page'!$K$32),IF(controls!$B$44=1,IF(O495&lt;0,0,O495),IF(O495+'main page'!$K$11&lt;0,0,O495+'main page'!$K$11)))</f>
        <v>6</v>
      </c>
      <c r="O495" s="76">
        <f ca="1">IF(controls!$B$10=1,'normal case'!M495+'normal case'!L495,'normal case'!P495)</f>
        <v>6</v>
      </c>
      <c r="P495" s="74">
        <f t="shared" ca="1" si="50"/>
        <v>6</v>
      </c>
      <c r="Q495" s="210">
        <f ca="1">IF(controls!$B$44=0,R495+'main page'!$K$29*L495+(1-'main page'!$K$29)*controls!$B$9+(('main page'!$K$25*'main page'!$U$13*'main page'!$K$29)/('main page'!$K$27*(1+('main page'!$K$25^2)*'main page'!$U$13)))*(L495-controls!$B$9),R495+'main page'!$K$29*L495+(1-'main page'!$K$29)*controls!$B$9+(('main page'!$K$25*'main page'!$U$13*'normal case'!$AO$3)/'normal case'!$AO$4)*('normal case'!L495-controls!$B$9))</f>
        <v>6</v>
      </c>
      <c r="R495" s="98">
        <f ca="1">IF(controls!$B$44=1,'main page'!$K$24+'main page'!$K$11,IF(controls!$B$33=1,((I496-D495*W496-B496+B495*V496)/'main page'!$K$27)-'main page'!$K$11,((H496-D495*W496-B496+B495*V496)/'main page'!$K$27)-'main page'!$K$11))</f>
        <v>4</v>
      </c>
      <c r="T495" s="71">
        <f>IF(controls!$B$6=1,$AL$3*(1+('main page'!$K$35/100))^U495-$AL$3*(1+('main page'!$K$35/100))^U494,$AL$3*(1+('main page'!$G$8/100))*(1+('main page'!$K$35/100))^U495-$AL$3*(1+('main page'!$G$8/100))*(1+('main page'!$K$35/100))^U494)</f>
        <v>0</v>
      </c>
      <c r="U495" s="73">
        <v>488</v>
      </c>
      <c r="V495" s="161">
        <v>0</v>
      </c>
      <c r="W495" s="40">
        <v>0</v>
      </c>
      <c r="X495" s="49">
        <f ca="1">IF(controls!$B$33=1,D495-($I$3-'main page'!$K$27*2)*(1+('main page'!$K$35/100))^A494,D495-$AL$4)</f>
        <v>0</v>
      </c>
      <c r="Y495" s="49">
        <f ca="1">ABS(L495-(controls!$B$9/100)*100)</f>
        <v>0</v>
      </c>
      <c r="AA495" s="49" t="e">
        <f ca="1">IF(controls!$B$33=1,(B496-B495*V496-I496+D495*W496+'main page'!$K$27*('main page'!$K$24+'main page'!$K$11))/'main page'!$K$31,(B496-B495*V496+D495*W496-H496+'main page'!$K$27*('main page'!$K$24+'main page'!$K$11))/'main page'!$K$31)</f>
        <v>#DIV/0!</v>
      </c>
      <c r="AB495" s="49" t="e">
        <f ca="1">IF(controls!$B$45=1,LOG(AF495,1.01)+LOG(AE495,1.01)-LOG(AD495,1.01),-((M495-('main page'!$K$24+'main page'!$K$11))/(1-'normal case'!$AO$3))+'normal case'!AA495)</f>
        <v>#DIV/0!</v>
      </c>
      <c r="AC495" s="176" t="e">
        <f t="shared" ca="1" si="51"/>
        <v>#DIV/0!</v>
      </c>
      <c r="AD495" s="49">
        <f t="shared" ca="1" si="52"/>
        <v>17032.739599099354</v>
      </c>
      <c r="AE495" s="49">
        <f>AE494*(1+'main page'!$K$32/100)</f>
        <v>1</v>
      </c>
      <c r="AF495" s="49" t="e">
        <f ca="1">IF(ABS(IF(controls!$B$45=1,$AL$13,AD495*AC495/AE495)-AF494)&lt;0.00001,AF494,IF(controls!$B$45=1,$AL$13,AD495*AC495/AE495))</f>
        <v>#DIV/0!</v>
      </c>
      <c r="AG495" s="49">
        <f>IF(controls!$B$46=0,0,IF(controls!$B$33=2,B496-B495*V496-('normal case'!H496-D495*W496-'main page'!$K$27*'normal case'!M495+'main page'!$K$31*'normal case'!AB495)-(('main page'!$K$25*'main page'!$U$13*'main page'!$K$29)/(1+('main page'!$K$25^2)*'main page'!$U$13))*('normal case'!L495-'main page'!$U$8),B496-B495*V496-('normal case'!I496-D495*W496-'main page'!$K$27*'normal case'!M495+'main page'!$K$31*'normal case'!AB495)-(('main page'!$K$25*'main page'!$U$13*'main page'!$K$29)/(1+('main page'!$K$25^2)*'main page'!$U$13))*('normal case'!L495-'main page'!$U$8)))</f>
        <v>0</v>
      </c>
      <c r="AN495" s="40"/>
      <c r="AO495" s="40"/>
    </row>
    <row r="496" spans="1:41">
      <c r="A496" s="48">
        <v>494</v>
      </c>
      <c r="B496" s="75">
        <f ca="1">IF(controls!$B$33=1,B495*(1+V496)+T496,B495*(1+V496))</f>
        <v>100</v>
      </c>
      <c r="C496" s="80">
        <f t="shared" ca="1" si="53"/>
        <v>0</v>
      </c>
      <c r="D496" s="77">
        <f t="shared" ca="1" si="49"/>
        <v>100</v>
      </c>
      <c r="E496" s="77">
        <f ca="1">AG495+IF(controls!$B$33=1,G496,F496)</f>
        <v>100</v>
      </c>
      <c r="F496" s="94">
        <f ca="1">IF(controls!$B$44=0,H496-'main page'!$K$27*M495,H496-'main page'!$K$27*M495+'main page'!$K$31*AB495)</f>
        <v>100</v>
      </c>
      <c r="G496" s="75">
        <f ca="1">IF(controls!$B$44=0,I496-'main page'!$K$27*M495,I496-'main page'!$K$27*M495+'main page'!$K$31*'normal case'!AB495)</f>
        <v>100</v>
      </c>
      <c r="H496" s="75">
        <f t="shared" ca="1" si="54"/>
        <v>108</v>
      </c>
      <c r="I496" s="75">
        <f t="shared" ca="1" si="55"/>
        <v>108</v>
      </c>
      <c r="L496" s="75">
        <f ca="1">IF(ABS('main page'!$K$29*L495+(1-'main page'!$K$29)*(controls!$B$9/100)*100+'main page'!$K$25*(D496-B496)-L495)&lt;0.0000001,L495,'main page'!$K$29*L495+(1-'main page'!$K$29)*(controls!$B$9/100)*100+'main page'!$K$25*(D496-B496))</f>
        <v>2</v>
      </c>
      <c r="M496" s="96">
        <f ca="1">IF(controls!$B$10=1,M495,IF(SUM(controls!$B$44:$B$46)=2,N496-'main page'!$K$29*'normal case'!L496-(1-'main page'!$K$29)*'main page'!$K$32,N496-'main page'!$K$29*'normal case'!L496-(1-'main page'!$K$29)*controls!$B$9))</f>
        <v>4</v>
      </c>
      <c r="N496" s="208">
        <f ca="1">IF(controls!$B$45=1,IF(controls!$B$46=1,'main page'!$K$24+'main page'!$K$11+'main page'!$U$8,'main page'!$K$24+'main page'!$K$11+'main page'!$K$32),IF(controls!$B$44=1,IF(O496&lt;0,0,O496),IF(O496+'main page'!$K$11&lt;0,0,O496+'main page'!$K$11)))</f>
        <v>6</v>
      </c>
      <c r="O496" s="76">
        <f ca="1">IF(controls!$B$10=1,'normal case'!M496+'normal case'!L496,'normal case'!P496)</f>
        <v>6</v>
      </c>
      <c r="P496" s="74">
        <f t="shared" ca="1" si="50"/>
        <v>6</v>
      </c>
      <c r="Q496" s="210">
        <f ca="1">IF(controls!$B$44=0,R496+'main page'!$K$29*L496+(1-'main page'!$K$29)*controls!$B$9+(('main page'!$K$25*'main page'!$U$13*'main page'!$K$29)/('main page'!$K$27*(1+('main page'!$K$25^2)*'main page'!$U$13)))*(L496-controls!$B$9),R496+'main page'!$K$29*L496+(1-'main page'!$K$29)*controls!$B$9+(('main page'!$K$25*'main page'!$U$13*'normal case'!$AO$3)/'normal case'!$AO$4)*('normal case'!L496-controls!$B$9))</f>
        <v>6</v>
      </c>
      <c r="R496" s="98">
        <f ca="1">IF(controls!$B$44=1,'main page'!$K$24+'main page'!$K$11,IF(controls!$B$33=1,((I497-D496*W497-B497+B496*V497)/'main page'!$K$27)-'main page'!$K$11,((H497-D496*W497-B497+B496*V497)/'main page'!$K$27)-'main page'!$K$11))</f>
        <v>4</v>
      </c>
      <c r="T496" s="71">
        <f>IF(controls!$B$6=1,$AL$3*(1+('main page'!$K$35/100))^U496-$AL$3*(1+('main page'!$K$35/100))^U495,$AL$3*(1+('main page'!$G$8/100))*(1+('main page'!$K$35/100))^U496-$AL$3*(1+('main page'!$G$8/100))*(1+('main page'!$K$35/100))^U495)</f>
        <v>0</v>
      </c>
      <c r="U496" s="73">
        <v>489</v>
      </c>
      <c r="V496" s="161">
        <v>0</v>
      </c>
      <c r="W496" s="40">
        <v>0</v>
      </c>
      <c r="X496" s="49">
        <f ca="1">IF(controls!$B$33=1,D496-($I$3-'main page'!$K$27*2)*(1+('main page'!$K$35/100))^A495,D496-$AL$4)</f>
        <v>0</v>
      </c>
      <c r="Y496" s="49">
        <f ca="1">ABS(L496-(controls!$B$9/100)*100)</f>
        <v>0</v>
      </c>
      <c r="AA496" s="49" t="e">
        <f ca="1">IF(controls!$B$33=1,(B497-B496*V497-I497+D496*W497+'main page'!$K$27*('main page'!$K$24+'main page'!$K$11))/'main page'!$K$31,(B497-B496*V497+D496*W497-H497+'main page'!$K$27*('main page'!$K$24+'main page'!$K$11))/'main page'!$K$31)</f>
        <v>#DIV/0!</v>
      </c>
      <c r="AB496" s="49" t="e">
        <f ca="1">IF(controls!$B$45=1,LOG(AF496,1.01)+LOG(AE496,1.01)-LOG(AD496,1.01),-((M496-('main page'!$K$24+'main page'!$K$11))/(1-'normal case'!$AO$3))+'normal case'!AA496)</f>
        <v>#DIV/0!</v>
      </c>
      <c r="AC496" s="176" t="e">
        <f t="shared" ca="1" si="51"/>
        <v>#DIV/0!</v>
      </c>
      <c r="AD496" s="49">
        <f t="shared" ca="1" si="52"/>
        <v>17373.39439108134</v>
      </c>
      <c r="AE496" s="49">
        <f>AE495*(1+'main page'!$K$32/100)</f>
        <v>1</v>
      </c>
      <c r="AF496" s="49" t="e">
        <f ca="1">IF(ABS(IF(controls!$B$45=1,$AL$13,AD496*AC496/AE496)-AF495)&lt;0.00001,AF495,IF(controls!$B$45=1,$AL$13,AD496*AC496/AE496))</f>
        <v>#DIV/0!</v>
      </c>
      <c r="AG496" s="49">
        <f>IF(controls!$B$46=0,0,IF(controls!$B$33=2,B497-B496*V497-('normal case'!H497-D496*W497-'main page'!$K$27*'normal case'!M496+'main page'!$K$31*'normal case'!AB496)-(('main page'!$K$25*'main page'!$U$13*'main page'!$K$29)/(1+('main page'!$K$25^2)*'main page'!$U$13))*('normal case'!L496-'main page'!$U$8),B497-B496*V497-('normal case'!I497-D496*W497-'main page'!$K$27*'normal case'!M496+'main page'!$K$31*'normal case'!AB496)-(('main page'!$K$25*'main page'!$U$13*'main page'!$K$29)/(1+('main page'!$K$25^2)*'main page'!$U$13))*('normal case'!L496-'main page'!$U$8)))</f>
        <v>0</v>
      </c>
      <c r="AN496" s="40"/>
      <c r="AO496" s="40"/>
    </row>
    <row r="497" spans="1:41">
      <c r="A497" s="48">
        <v>495</v>
      </c>
      <c r="B497" s="75">
        <f ca="1">IF(controls!$B$33=1,B496*(1+V497)+T497,B496*(1+V497))</f>
        <v>100</v>
      </c>
      <c r="C497" s="80">
        <f t="shared" ca="1" si="53"/>
        <v>0</v>
      </c>
      <c r="D497" s="77">
        <f t="shared" ca="1" si="49"/>
        <v>100</v>
      </c>
      <c r="E497" s="77">
        <f ca="1">AG496+IF(controls!$B$33=1,G497,F497)</f>
        <v>100</v>
      </c>
      <c r="F497" s="94">
        <f ca="1">IF(controls!$B$44=0,H497-'main page'!$K$27*M496,H497-'main page'!$K$27*M496+'main page'!$K$31*AB496)</f>
        <v>100</v>
      </c>
      <c r="G497" s="75">
        <f ca="1">IF(controls!$B$44=0,I497-'main page'!$K$27*M496,I497-'main page'!$K$27*M496+'main page'!$K$31*'normal case'!AB496)</f>
        <v>100</v>
      </c>
      <c r="H497" s="75">
        <f t="shared" ca="1" si="54"/>
        <v>108</v>
      </c>
      <c r="I497" s="75">
        <f t="shared" ca="1" si="55"/>
        <v>108</v>
      </c>
      <c r="L497" s="75">
        <f ca="1">IF(ABS('main page'!$K$29*L496+(1-'main page'!$K$29)*(controls!$B$9/100)*100+'main page'!$K$25*(D497-B497)-L496)&lt;0.0000001,L496,'main page'!$K$29*L496+(1-'main page'!$K$29)*(controls!$B$9/100)*100+'main page'!$K$25*(D497-B497))</f>
        <v>2</v>
      </c>
      <c r="M497" s="96">
        <f ca="1">IF(controls!$B$10=1,M496,IF(SUM(controls!$B$44:$B$46)=2,N497-'main page'!$K$29*'normal case'!L497-(1-'main page'!$K$29)*'main page'!$K$32,N497-'main page'!$K$29*'normal case'!L497-(1-'main page'!$K$29)*controls!$B$9))</f>
        <v>4</v>
      </c>
      <c r="N497" s="208">
        <f ca="1">IF(controls!$B$45=1,IF(controls!$B$46=1,'main page'!$K$24+'main page'!$K$11+'main page'!$U$8,'main page'!$K$24+'main page'!$K$11+'main page'!$K$32),IF(controls!$B$44=1,IF(O497&lt;0,0,O497),IF(O497+'main page'!$K$11&lt;0,0,O497+'main page'!$K$11)))</f>
        <v>6</v>
      </c>
      <c r="O497" s="76">
        <f ca="1">IF(controls!$B$10=1,'normal case'!M497+'normal case'!L497,'normal case'!P497)</f>
        <v>6</v>
      </c>
      <c r="P497" s="74">
        <f t="shared" ca="1" si="50"/>
        <v>6</v>
      </c>
      <c r="Q497" s="210">
        <f ca="1">IF(controls!$B$44=0,R497+'main page'!$K$29*L497+(1-'main page'!$K$29)*controls!$B$9+(('main page'!$K$25*'main page'!$U$13*'main page'!$K$29)/('main page'!$K$27*(1+('main page'!$K$25^2)*'main page'!$U$13)))*(L497-controls!$B$9),R497+'main page'!$K$29*L497+(1-'main page'!$K$29)*controls!$B$9+(('main page'!$K$25*'main page'!$U$13*'normal case'!$AO$3)/'normal case'!$AO$4)*('normal case'!L497-controls!$B$9))</f>
        <v>6</v>
      </c>
      <c r="R497" s="98">
        <f ca="1">IF(controls!$B$44=1,'main page'!$K$24+'main page'!$K$11,IF(controls!$B$33=1,((I498-D497*W498-B498+B497*V498)/'main page'!$K$27)-'main page'!$K$11,((H498-D497*W498-B498+B497*V498)/'main page'!$K$27)-'main page'!$K$11))</f>
        <v>4</v>
      </c>
      <c r="T497" s="71">
        <f>IF(controls!$B$6=1,$AL$3*(1+('main page'!$K$35/100))^U497-$AL$3*(1+('main page'!$K$35/100))^U496,$AL$3*(1+('main page'!$G$8/100))*(1+('main page'!$K$35/100))^U497-$AL$3*(1+('main page'!$G$8/100))*(1+('main page'!$K$35/100))^U496)</f>
        <v>0</v>
      </c>
      <c r="U497" s="73">
        <v>490</v>
      </c>
      <c r="V497" s="161">
        <f ca="1">IF(controls!$B$4=1,IF(controls!$H496=1,controls!$B$34*V496+RAND()*('main page'!$K$16/100)-RAND()*('main page'!$K$16/100),0),0)</f>
        <v>0</v>
      </c>
      <c r="W497" s="40">
        <f ca="1">IF(controls!$B$4=1,IF(controls!$I496=1,controls!$B$34*W496+RAND()*('main page'!$K$16/100)-RAND()*('main page'!$K$16/100),0),0)</f>
        <v>0</v>
      </c>
      <c r="X497" s="49">
        <f ca="1">IF(controls!$B$33=1,D497-($I$3-'main page'!$K$27*2)*(1+('main page'!$K$35/100))^A496,D497-$AL$4)</f>
        <v>0</v>
      </c>
      <c r="Y497" s="49">
        <f ca="1">ABS(L497-(controls!$B$9/100)*100)</f>
        <v>0</v>
      </c>
      <c r="AA497" s="49" t="e">
        <f ca="1">IF(controls!$B$33=1,(B498-B497*V498-I498+D497*W498+'main page'!$K$27*('main page'!$K$24+'main page'!$K$11))/'main page'!$K$31,(B498-B497*V498+D497*W498-H498+'main page'!$K$27*('main page'!$K$24+'main page'!$K$11))/'main page'!$K$31)</f>
        <v>#DIV/0!</v>
      </c>
      <c r="AB497" s="49" t="e">
        <f ca="1">IF(controls!$B$45=1,LOG(AF497,1.01)+LOG(AE497,1.01)-LOG(AD497,1.01),-((M497-('main page'!$K$24+'main page'!$K$11))/(1-'normal case'!$AO$3))+'normal case'!AA497)</f>
        <v>#DIV/0!</v>
      </c>
      <c r="AC497" s="176" t="e">
        <f t="shared" ca="1" si="51"/>
        <v>#DIV/0!</v>
      </c>
      <c r="AD497" s="49">
        <f t="shared" ca="1" si="52"/>
        <v>17720.862278902965</v>
      </c>
      <c r="AE497" s="49">
        <f>AE496*(1+'main page'!$K$32/100)</f>
        <v>1</v>
      </c>
      <c r="AF497" s="49" t="e">
        <f ca="1">IF(ABS(IF(controls!$B$45=1,$AL$13,AD497*AC497/AE497)-AF496)&lt;0.00001,AF496,IF(controls!$B$45=1,$AL$13,AD497*AC497/AE497))</f>
        <v>#DIV/0!</v>
      </c>
      <c r="AG497" s="49">
        <f>IF(controls!$B$46=0,0,IF(controls!$B$33=2,B498-B497*V498-('normal case'!H498-D497*W498-'main page'!$K$27*'normal case'!M497+'main page'!$K$31*'normal case'!AB497)-(('main page'!$K$25*'main page'!$U$13*'main page'!$K$29)/(1+('main page'!$K$25^2)*'main page'!$U$13))*('normal case'!L497-'main page'!$U$8),B498-B497*V498-('normal case'!I498-D497*W498-'main page'!$K$27*'normal case'!M497+'main page'!$K$31*'normal case'!AB497)-(('main page'!$K$25*'main page'!$U$13*'main page'!$K$29)/(1+('main page'!$K$25^2)*'main page'!$U$13))*('normal case'!L497-'main page'!$U$8)))</f>
        <v>0</v>
      </c>
      <c r="AN497" s="40"/>
      <c r="AO497" s="40"/>
    </row>
    <row r="498" spans="1:41">
      <c r="A498" s="48">
        <v>496</v>
      </c>
      <c r="B498" s="75">
        <f ca="1">IF(controls!$B$33=1,B497*(1+V498)+T498,B497*(1+V498))</f>
        <v>100</v>
      </c>
      <c r="C498" s="80">
        <f t="shared" ca="1" si="53"/>
        <v>0</v>
      </c>
      <c r="D498" s="77">
        <f t="shared" ca="1" si="49"/>
        <v>100</v>
      </c>
      <c r="E498" s="77">
        <f ca="1">AG497+IF(controls!$B$33=1,G498,F498)</f>
        <v>100</v>
      </c>
      <c r="F498" s="94">
        <f ca="1">IF(controls!$B$44=0,H498-'main page'!$K$27*M497,H498-'main page'!$K$27*M497+'main page'!$K$31*AB497)</f>
        <v>100</v>
      </c>
      <c r="G498" s="75">
        <f ca="1">IF(controls!$B$44=0,I498-'main page'!$K$27*M497,I498-'main page'!$K$27*M497+'main page'!$K$31*'normal case'!AB497)</f>
        <v>100</v>
      </c>
      <c r="H498" s="75">
        <f t="shared" ca="1" si="54"/>
        <v>108</v>
      </c>
      <c r="I498" s="75">
        <f t="shared" ca="1" si="55"/>
        <v>108</v>
      </c>
      <c r="L498" s="75">
        <f ca="1">IF(ABS('main page'!$K$29*L497+(1-'main page'!$K$29)*(controls!$B$9/100)*100+'main page'!$K$25*(D498-B498)-L497)&lt;0.0000001,L497,'main page'!$K$29*L497+(1-'main page'!$K$29)*(controls!$B$9/100)*100+'main page'!$K$25*(D498-B498))</f>
        <v>2</v>
      </c>
      <c r="M498" s="96">
        <f ca="1">IF(controls!$B$10=1,M497,IF(SUM(controls!$B$44:$B$46)=2,N498-'main page'!$K$29*'normal case'!L498-(1-'main page'!$K$29)*'main page'!$K$32,N498-'main page'!$K$29*'normal case'!L498-(1-'main page'!$K$29)*controls!$B$9))</f>
        <v>4</v>
      </c>
      <c r="N498" s="208">
        <f ca="1">IF(controls!$B$45=1,IF(controls!$B$46=1,'main page'!$K$24+'main page'!$K$11+'main page'!$U$8,'main page'!$K$24+'main page'!$K$11+'main page'!$K$32),IF(controls!$B$44=1,IF(O498&lt;0,0,O498),IF(O498+'main page'!$K$11&lt;0,0,O498+'main page'!$K$11)))</f>
        <v>6</v>
      </c>
      <c r="O498" s="76">
        <f ca="1">IF(controls!$B$10=1,'normal case'!M498+'normal case'!L498,'normal case'!P498)</f>
        <v>6</v>
      </c>
      <c r="P498" s="74">
        <f t="shared" ca="1" si="50"/>
        <v>6</v>
      </c>
      <c r="Q498" s="210">
        <f ca="1">IF(controls!$B$44=0,R498+'main page'!$K$29*L498+(1-'main page'!$K$29)*controls!$B$9+(('main page'!$K$25*'main page'!$U$13*'main page'!$K$29)/('main page'!$K$27*(1+('main page'!$K$25^2)*'main page'!$U$13)))*(L498-controls!$B$9),R498+'main page'!$K$29*L498+(1-'main page'!$K$29)*controls!$B$9+(('main page'!$K$25*'main page'!$U$13*'normal case'!$AO$3)/'normal case'!$AO$4)*('normal case'!L498-controls!$B$9))</f>
        <v>6</v>
      </c>
      <c r="R498" s="98">
        <f ca="1">IF(controls!$B$44=1,'main page'!$K$24+'main page'!$K$11,IF(controls!$B$33=1,((I499-D498*W499-B499+B498*V499)/'main page'!$K$27)-'main page'!$K$11,((H499-D498*W499-B499+B498*V499)/'main page'!$K$27)-'main page'!$K$11))</f>
        <v>4</v>
      </c>
      <c r="T498" s="71">
        <f>IF(controls!$B$6=1,$AL$3*(1+('main page'!$K$35/100))^U498-$AL$3*(1+('main page'!$K$35/100))^U497,$AL$3*(1+('main page'!$G$8/100))*(1+('main page'!$K$35/100))^U498-$AL$3*(1+('main page'!$G$8/100))*(1+('main page'!$K$35/100))^U497)</f>
        <v>0</v>
      </c>
      <c r="U498" s="73">
        <v>491</v>
      </c>
      <c r="V498" s="161">
        <v>0</v>
      </c>
      <c r="W498" s="40">
        <v>0</v>
      </c>
      <c r="X498" s="49">
        <f ca="1">IF(controls!$B$33=1,D498-($I$3-'main page'!$K$27*2)*(1+('main page'!$K$35/100))^A497,D498-$AL$4)</f>
        <v>0</v>
      </c>
      <c r="Y498" s="49">
        <f ca="1">ABS(L498-(controls!$B$9/100)*100)</f>
        <v>0</v>
      </c>
      <c r="AA498" s="49" t="e">
        <f ca="1">IF(controls!$B$33=1,(B499-B498*V499-I499+D498*W499+'main page'!$K$27*('main page'!$K$24+'main page'!$K$11))/'main page'!$K$31,(B499-B498*V499+D498*W499-H499+'main page'!$K$27*('main page'!$K$24+'main page'!$K$11))/'main page'!$K$31)</f>
        <v>#DIV/0!</v>
      </c>
      <c r="AB498" s="49" t="e">
        <f ca="1">IF(controls!$B$45=1,LOG(AF498,1.01)+LOG(AE498,1.01)-LOG(AD498,1.01),-((M498-('main page'!$K$24+'main page'!$K$11))/(1-'normal case'!$AO$3))+'normal case'!AA498)</f>
        <v>#DIV/0!</v>
      </c>
      <c r="AC498" s="176" t="e">
        <f t="shared" ca="1" si="51"/>
        <v>#DIV/0!</v>
      </c>
      <c r="AD498" s="49">
        <f t="shared" ca="1" si="52"/>
        <v>18075.279524481026</v>
      </c>
      <c r="AE498" s="49">
        <f>AE497*(1+'main page'!$K$32/100)</f>
        <v>1</v>
      </c>
      <c r="AF498" s="49" t="e">
        <f ca="1">IF(ABS(IF(controls!$B$45=1,$AL$13,AD498*AC498/AE498)-AF497)&lt;0.00001,AF497,IF(controls!$B$45=1,$AL$13,AD498*AC498/AE498))</f>
        <v>#DIV/0!</v>
      </c>
      <c r="AG498" s="49">
        <f>IF(controls!$B$46=0,0,IF(controls!$B$33=2,B499-B498*V499-('normal case'!H499-D498*W499-'main page'!$K$27*'normal case'!M498+'main page'!$K$31*'normal case'!AB498)-(('main page'!$K$25*'main page'!$U$13*'main page'!$K$29)/(1+('main page'!$K$25^2)*'main page'!$U$13))*('normal case'!L498-'main page'!$U$8),B499-B498*V499-('normal case'!I499-D498*W499-'main page'!$K$27*'normal case'!M498+'main page'!$K$31*'normal case'!AB498)-(('main page'!$K$25*'main page'!$U$13*'main page'!$K$29)/(1+('main page'!$K$25^2)*'main page'!$U$13))*('normal case'!L498-'main page'!$U$8)))</f>
        <v>0</v>
      </c>
      <c r="AN498" s="40"/>
      <c r="AO498" s="40"/>
    </row>
    <row r="499" spans="1:41">
      <c r="A499" s="48">
        <v>497</v>
      </c>
      <c r="B499" s="75">
        <f ca="1">IF(controls!$B$33=1,B498*(1+V499)+T499,B498*(1+V499))</f>
        <v>100</v>
      </c>
      <c r="C499" s="80">
        <f t="shared" ca="1" si="53"/>
        <v>0</v>
      </c>
      <c r="D499" s="77">
        <f t="shared" ca="1" si="49"/>
        <v>100</v>
      </c>
      <c r="E499" s="77">
        <f ca="1">AG498+IF(controls!$B$33=1,G499,F499)</f>
        <v>100</v>
      </c>
      <c r="F499" s="94">
        <f ca="1">IF(controls!$B$44=0,H499-'main page'!$K$27*M498,H499-'main page'!$K$27*M498+'main page'!$K$31*AB498)</f>
        <v>100</v>
      </c>
      <c r="G499" s="75">
        <f ca="1">IF(controls!$B$44=0,I499-'main page'!$K$27*M498,I499-'main page'!$K$27*M498+'main page'!$K$31*'normal case'!AB498)</f>
        <v>100</v>
      </c>
      <c r="H499" s="75">
        <f t="shared" ca="1" si="54"/>
        <v>108</v>
      </c>
      <c r="I499" s="75">
        <f t="shared" ca="1" si="55"/>
        <v>108</v>
      </c>
      <c r="L499" s="75">
        <f ca="1">IF(ABS('main page'!$K$29*L498+(1-'main page'!$K$29)*(controls!$B$9/100)*100+'main page'!$K$25*(D499-B499)-L498)&lt;0.0000001,L498,'main page'!$K$29*L498+(1-'main page'!$K$29)*(controls!$B$9/100)*100+'main page'!$K$25*(D499-B499))</f>
        <v>2</v>
      </c>
      <c r="M499" s="96">
        <f ca="1">IF(controls!$B$10=1,M498,IF(SUM(controls!$B$44:$B$46)=2,N499-'main page'!$K$29*'normal case'!L499-(1-'main page'!$K$29)*'main page'!$K$32,N499-'main page'!$K$29*'normal case'!L499-(1-'main page'!$K$29)*controls!$B$9))</f>
        <v>4</v>
      </c>
      <c r="N499" s="208">
        <f ca="1">IF(controls!$B$45=1,IF(controls!$B$46=1,'main page'!$K$24+'main page'!$K$11+'main page'!$U$8,'main page'!$K$24+'main page'!$K$11+'main page'!$K$32),IF(controls!$B$44=1,IF(O499&lt;0,0,O499),IF(O499+'main page'!$K$11&lt;0,0,O499+'main page'!$K$11)))</f>
        <v>6</v>
      </c>
      <c r="O499" s="76">
        <f ca="1">IF(controls!$B$10=1,'normal case'!M499+'normal case'!L499,'normal case'!P499)</f>
        <v>6</v>
      </c>
      <c r="P499" s="74">
        <f t="shared" ca="1" si="50"/>
        <v>6</v>
      </c>
      <c r="Q499" s="210">
        <f ca="1">IF(controls!$B$44=0,R499+'main page'!$K$29*L499+(1-'main page'!$K$29)*controls!$B$9+(('main page'!$K$25*'main page'!$U$13*'main page'!$K$29)/('main page'!$K$27*(1+('main page'!$K$25^2)*'main page'!$U$13)))*(L499-controls!$B$9),R499+'main page'!$K$29*L499+(1-'main page'!$K$29)*controls!$B$9+(('main page'!$K$25*'main page'!$U$13*'normal case'!$AO$3)/'normal case'!$AO$4)*('normal case'!L499-controls!$B$9))</f>
        <v>6</v>
      </c>
      <c r="R499" s="98">
        <f ca="1">IF(controls!$B$44=1,'main page'!$K$24+'main page'!$K$11,IF(controls!$B$33=1,((I500-D499*W500-B500+B499*V500)/'main page'!$K$27)-'main page'!$K$11,((H500-D499*W500-B500+B499*V500)/'main page'!$K$27)-'main page'!$K$11))</f>
        <v>4</v>
      </c>
      <c r="T499" s="71">
        <f>IF(controls!$B$6=1,$AL$3*(1+('main page'!$K$35/100))^U499-$AL$3*(1+('main page'!$K$35/100))^U498,$AL$3*(1+('main page'!$G$8/100))*(1+('main page'!$K$35/100))^U499-$AL$3*(1+('main page'!$G$8/100))*(1+('main page'!$K$35/100))^U498)</f>
        <v>0</v>
      </c>
      <c r="U499" s="73">
        <v>492</v>
      </c>
      <c r="V499" s="161">
        <v>0</v>
      </c>
      <c r="W499" s="40">
        <v>0</v>
      </c>
      <c r="X499" s="49">
        <f ca="1">IF(controls!$B$33=1,D499-($I$3-'main page'!$K$27*2)*(1+('main page'!$K$35/100))^A498,D499-$AL$4)</f>
        <v>0</v>
      </c>
      <c r="Y499" s="49">
        <f ca="1">ABS(L499-(controls!$B$9/100)*100)</f>
        <v>0</v>
      </c>
      <c r="AA499" s="49" t="e">
        <f ca="1">IF(controls!$B$33=1,(B500-B499*V500-I500+D499*W500+'main page'!$K$27*('main page'!$K$24+'main page'!$K$11))/'main page'!$K$31,(B500-B499*V500+D499*W500-H500+'main page'!$K$27*('main page'!$K$24+'main page'!$K$11))/'main page'!$K$31)</f>
        <v>#DIV/0!</v>
      </c>
      <c r="AB499" s="49" t="e">
        <f ca="1">IF(controls!$B$45=1,LOG(AF499,1.01)+LOG(AE499,1.01)-LOG(AD499,1.01),-((M499-('main page'!$K$24+'main page'!$K$11))/(1-'normal case'!$AO$3))+'normal case'!AA499)</f>
        <v>#DIV/0!</v>
      </c>
      <c r="AC499" s="176" t="e">
        <f t="shared" ca="1" si="51"/>
        <v>#DIV/0!</v>
      </c>
      <c r="AD499" s="49">
        <f t="shared" ca="1" si="52"/>
        <v>18436.785114970648</v>
      </c>
      <c r="AE499" s="49">
        <f>AE498*(1+'main page'!$K$32/100)</f>
        <v>1</v>
      </c>
      <c r="AF499" s="49" t="e">
        <f ca="1">IF(ABS(IF(controls!$B$45=1,$AL$13,AD499*AC499/AE499)-AF498)&lt;0.00001,AF498,IF(controls!$B$45=1,$AL$13,AD499*AC499/AE499))</f>
        <v>#DIV/0!</v>
      </c>
      <c r="AG499" s="49">
        <f>IF(controls!$B$46=0,0,IF(controls!$B$33=2,B500-B499*V500-('normal case'!H500-D499*W500-'main page'!$K$27*'normal case'!M499+'main page'!$K$31*'normal case'!AB499)-(('main page'!$K$25*'main page'!$U$13*'main page'!$K$29)/(1+('main page'!$K$25^2)*'main page'!$U$13))*('normal case'!L499-'main page'!$U$8),B500-B499*V500-('normal case'!I500-D499*W500-'main page'!$K$27*'normal case'!M499+'main page'!$K$31*'normal case'!AB499)-(('main page'!$K$25*'main page'!$U$13*'main page'!$K$29)/(1+('main page'!$K$25^2)*'main page'!$U$13))*('normal case'!L499-'main page'!$U$8)))</f>
        <v>0</v>
      </c>
      <c r="AN499" s="40"/>
      <c r="AO499" s="40"/>
    </row>
    <row r="500" spans="1:41">
      <c r="A500" s="48">
        <v>498</v>
      </c>
      <c r="B500" s="75">
        <f ca="1">IF(controls!$B$33=1,B499*(1+V500)+T500,B499*(1+V500))</f>
        <v>100</v>
      </c>
      <c r="C500" s="80">
        <f t="shared" ca="1" si="53"/>
        <v>0</v>
      </c>
      <c r="D500" s="77">
        <f t="shared" ca="1" si="49"/>
        <v>100</v>
      </c>
      <c r="E500" s="77">
        <f ca="1">AG499+IF(controls!$B$33=1,G500,F500)</f>
        <v>100</v>
      </c>
      <c r="F500" s="94">
        <f ca="1">IF(controls!$B$44=0,H500-'main page'!$K$27*M499,H500-'main page'!$K$27*M499+'main page'!$K$31*AB499)</f>
        <v>100</v>
      </c>
      <c r="G500" s="75">
        <f ca="1">IF(controls!$B$44=0,I500-'main page'!$K$27*M499,I500-'main page'!$K$27*M499+'main page'!$K$31*'normal case'!AB499)</f>
        <v>100</v>
      </c>
      <c r="H500" s="75">
        <f t="shared" ca="1" si="54"/>
        <v>108</v>
      </c>
      <c r="I500" s="75">
        <f t="shared" ca="1" si="55"/>
        <v>108</v>
      </c>
      <c r="L500" s="75">
        <f ca="1">IF(ABS('main page'!$K$29*L499+(1-'main page'!$K$29)*(controls!$B$9/100)*100+'main page'!$K$25*(D500-B500)-L499)&lt;0.0000001,L499,'main page'!$K$29*L499+(1-'main page'!$K$29)*(controls!$B$9/100)*100+'main page'!$K$25*(D500-B500))</f>
        <v>2</v>
      </c>
      <c r="M500" s="96">
        <f ca="1">IF(controls!$B$10=1,M499,IF(SUM(controls!$B$44:$B$46)=2,N500-'main page'!$K$29*'normal case'!L500-(1-'main page'!$K$29)*'main page'!$K$32,N500-'main page'!$K$29*'normal case'!L500-(1-'main page'!$K$29)*controls!$B$9))</f>
        <v>4</v>
      </c>
      <c r="N500" s="208">
        <f ca="1">IF(controls!$B$45=1,IF(controls!$B$46=1,'main page'!$K$24+'main page'!$K$11+'main page'!$U$8,'main page'!$K$24+'main page'!$K$11+'main page'!$K$32),IF(controls!$B$44=1,IF(O500&lt;0,0,O500),IF(O500+'main page'!$K$11&lt;0,0,O500+'main page'!$K$11)))</f>
        <v>6</v>
      </c>
      <c r="O500" s="76">
        <f ca="1">IF(controls!$B$10=1,'normal case'!M500+'normal case'!L500,'normal case'!P500)</f>
        <v>6</v>
      </c>
      <c r="P500" s="74">
        <f t="shared" ca="1" si="50"/>
        <v>6</v>
      </c>
      <c r="Q500" s="210">
        <f ca="1">IF(controls!$B$44=0,R500+'main page'!$K$29*L500+(1-'main page'!$K$29)*controls!$B$9+(('main page'!$K$25*'main page'!$U$13*'main page'!$K$29)/('main page'!$K$27*(1+('main page'!$K$25^2)*'main page'!$U$13)))*(L500-controls!$B$9),R500+'main page'!$K$29*L500+(1-'main page'!$K$29)*controls!$B$9+(('main page'!$K$25*'main page'!$U$13*'normal case'!$AO$3)/'normal case'!$AO$4)*('normal case'!L500-controls!$B$9))</f>
        <v>6</v>
      </c>
      <c r="R500" s="98">
        <f ca="1">IF(controls!$B$44=1,'main page'!$K$24+'main page'!$K$11,IF(controls!$B$33=1,((I501-D500*W501-B501+B500*V501)/'main page'!$K$27)-'main page'!$K$11,((H501-D500*W501-B501+B500*V501)/'main page'!$K$27)-'main page'!$K$11))</f>
        <v>4</v>
      </c>
      <c r="T500" s="71">
        <f>IF(controls!$B$6=1,$AL$3*(1+('main page'!$K$35/100))^U500-$AL$3*(1+('main page'!$K$35/100))^U499,$AL$3*(1+('main page'!$G$8/100))*(1+('main page'!$K$35/100))^U500-$AL$3*(1+('main page'!$G$8/100))*(1+('main page'!$K$35/100))^U499)</f>
        <v>0</v>
      </c>
      <c r="U500" s="73">
        <v>493</v>
      </c>
      <c r="V500" s="161">
        <f ca="1">IF(controls!$B$4=1,IF(controls!$H499=1,controls!$B$34*V499+RAND()*('main page'!$K$16/100)-RAND()*('main page'!$K$16/100),0),0)</f>
        <v>0</v>
      </c>
      <c r="W500" s="40">
        <f ca="1">IF(controls!$B$4=1,IF(controls!$I499=1,controls!$B$34*W499+RAND()*('main page'!$K$16/100)-RAND()*('main page'!$K$16/100),0),0)</f>
        <v>0</v>
      </c>
      <c r="X500" s="49">
        <f ca="1">IF(controls!$B$33=1,D500-($I$3-'main page'!$K$27*2)*(1+('main page'!$K$35/100))^A499,D500-$AL$4)</f>
        <v>0</v>
      </c>
      <c r="Y500" s="49">
        <f ca="1">ABS(L500-(controls!$B$9/100)*100)</f>
        <v>0</v>
      </c>
      <c r="AA500" s="49" t="e">
        <f ca="1">IF(controls!$B$33=1,(B501-B500*V501-I501+D500*W501+'main page'!$K$27*('main page'!$K$24+'main page'!$K$11))/'main page'!$K$31,(B501-B500*V501+D500*W501-H501+'main page'!$K$27*('main page'!$K$24+'main page'!$K$11))/'main page'!$K$31)</f>
        <v>#DIV/0!</v>
      </c>
      <c r="AB500" s="49" t="e">
        <f ca="1">IF(controls!$B$45=1,LOG(AF500,1.01)+LOG(AE500,1.01)-LOG(AD500,1.01),-((M500-('main page'!$K$24+'main page'!$K$11))/(1-'normal case'!$AO$3))+'normal case'!AA500)</f>
        <v>#DIV/0!</v>
      </c>
      <c r="AC500" s="176" t="e">
        <f t="shared" ca="1" si="51"/>
        <v>#DIV/0!</v>
      </c>
      <c r="AD500" s="49">
        <f t="shared" ca="1" si="52"/>
        <v>18805.520817270062</v>
      </c>
      <c r="AE500" s="49">
        <f>AE499*(1+'main page'!$K$32/100)</f>
        <v>1</v>
      </c>
      <c r="AF500" s="49" t="e">
        <f ca="1">IF(ABS(IF(controls!$B$45=1,$AL$13,AD500*AC500/AE500)-AF499)&lt;0.00001,AF499,IF(controls!$B$45=1,$AL$13,AD500*AC500/AE500))</f>
        <v>#DIV/0!</v>
      </c>
      <c r="AG500" s="49">
        <f>IF(controls!$B$46=0,0,IF(controls!$B$33=2,B501-B500*V501-('normal case'!H501-D500*W501-'main page'!$K$27*'normal case'!M500+'main page'!$K$31*'normal case'!AB500)-(('main page'!$K$25*'main page'!$U$13*'main page'!$K$29)/(1+('main page'!$K$25^2)*'main page'!$U$13))*('normal case'!L500-'main page'!$U$8),B501-B500*V501-('normal case'!I501-D500*W501-'main page'!$K$27*'normal case'!M500+'main page'!$K$31*'normal case'!AB500)-(('main page'!$K$25*'main page'!$U$13*'main page'!$K$29)/(1+('main page'!$K$25^2)*'main page'!$U$13))*('normal case'!L500-'main page'!$U$8)))</f>
        <v>0</v>
      </c>
      <c r="AN500" s="40"/>
      <c r="AO500" s="40"/>
    </row>
    <row r="501" spans="1:41">
      <c r="A501" s="48">
        <v>499</v>
      </c>
      <c r="B501" s="75">
        <f ca="1">IF(controls!$B$33=1,B500*(1+V501)+T501,B500*(1+V501))</f>
        <v>100</v>
      </c>
      <c r="C501" s="80">
        <f t="shared" ca="1" si="53"/>
        <v>0</v>
      </c>
      <c r="D501" s="77">
        <f t="shared" ca="1" si="49"/>
        <v>100</v>
      </c>
      <c r="E501" s="77">
        <f ca="1">AG500+IF(controls!$B$33=1,G501,F501)</f>
        <v>100</v>
      </c>
      <c r="F501" s="94">
        <f ca="1">IF(controls!$B$44=0,H501-'main page'!$K$27*M500,H501-'main page'!$K$27*M500+'main page'!$K$31*AB500)</f>
        <v>100</v>
      </c>
      <c r="G501" s="75">
        <f ca="1">IF(controls!$B$44=0,I501-'main page'!$K$27*M500,I501-'main page'!$K$27*M500+'main page'!$K$31*'normal case'!AB500)</f>
        <v>100</v>
      </c>
      <c r="H501" s="75">
        <f t="shared" ca="1" si="54"/>
        <v>108</v>
      </c>
      <c r="I501" s="75">
        <f t="shared" ca="1" si="55"/>
        <v>108</v>
      </c>
      <c r="L501" s="75">
        <f ca="1">IF(ABS('main page'!$K$29*L500+(1-'main page'!$K$29)*(controls!$B$9/100)*100+'main page'!$K$25*(D501-B501)-L500)&lt;0.0000001,L500,'main page'!$K$29*L500+(1-'main page'!$K$29)*(controls!$B$9/100)*100+'main page'!$K$25*(D501-B501))</f>
        <v>2</v>
      </c>
      <c r="M501" s="96">
        <f ca="1">IF(controls!$B$10=1,M500,IF(SUM(controls!$B$44:$B$46)=2,N501-'main page'!$K$29*'normal case'!L501-(1-'main page'!$K$29)*'main page'!$K$32,N501-'main page'!$K$29*'normal case'!L501-(1-'main page'!$K$29)*controls!$B$9))</f>
        <v>4</v>
      </c>
      <c r="N501" s="208">
        <f ca="1">IF(controls!$B$45=1,IF(controls!$B$46=1,'main page'!$K$24+'main page'!$K$11+'main page'!$U$8,'main page'!$K$24+'main page'!$K$11+'main page'!$K$32),IF(controls!$B$44=1,IF(O501&lt;0,0,O501),IF(O501+'main page'!$K$11&lt;0,0,O501+'main page'!$K$11)))</f>
        <v>6</v>
      </c>
      <c r="O501" s="76">
        <f ca="1">IF(controls!$B$10=1,'normal case'!M501+'normal case'!L501,'normal case'!P501)</f>
        <v>6</v>
      </c>
      <c r="P501" s="74">
        <f t="shared" ca="1" si="50"/>
        <v>6</v>
      </c>
      <c r="Q501" s="210">
        <f ca="1">IF(controls!$B$44=0,R501+'main page'!$K$29*L501+(1-'main page'!$K$29)*controls!$B$9+(('main page'!$K$25*'main page'!$U$13*'main page'!$K$29)/('main page'!$K$27*(1+('main page'!$K$25^2)*'main page'!$U$13)))*(L501-controls!$B$9),R501+'main page'!$K$29*L501+(1-'main page'!$K$29)*controls!$B$9+(('main page'!$K$25*'main page'!$U$13*'normal case'!$AO$3)/'normal case'!$AO$4)*('normal case'!L501-controls!$B$9))</f>
        <v>6</v>
      </c>
      <c r="R501" s="98">
        <f ca="1">IF(controls!$B$44=1,'main page'!$K$24+'main page'!$K$11,IF(controls!$B$33=1,((I502-D501*W502-B502+B501*V502)/'main page'!$K$27)-'main page'!$K$11,((H502-D501*W502-B502+B501*V502)/'main page'!$K$27)-'main page'!$K$11))</f>
        <v>4</v>
      </c>
      <c r="T501" s="71">
        <f>IF(controls!$B$6=1,$AL$3*(1+('main page'!$K$35/100))^U501-$AL$3*(1+('main page'!$K$35/100))^U500,$AL$3*(1+('main page'!$G$8/100))*(1+('main page'!$K$35/100))^U501-$AL$3*(1+('main page'!$G$8/100))*(1+('main page'!$K$35/100))^U500)</f>
        <v>0</v>
      </c>
      <c r="U501" s="73">
        <v>494</v>
      </c>
      <c r="V501" s="161">
        <v>0</v>
      </c>
      <c r="W501" s="40">
        <v>0</v>
      </c>
      <c r="X501" s="49">
        <f ca="1">IF(controls!$B$33=1,D501-($I$3-'main page'!$K$27*2)*(1+('main page'!$K$35/100))^A500,D501-$AL$4)</f>
        <v>0</v>
      </c>
      <c r="Y501" s="49">
        <f ca="1">ABS(L501-(controls!$B$9/100)*100)</f>
        <v>0</v>
      </c>
      <c r="AA501" s="49" t="e">
        <f ca="1">IF(controls!$B$33=1,(B502-B501*V502-I502+D501*W502+'main page'!$K$27*('main page'!$K$24+'main page'!$K$11))/'main page'!$K$31,(B502-B501*V502+D501*W502-H502+'main page'!$K$27*('main page'!$K$24+'main page'!$K$11))/'main page'!$K$31)</f>
        <v>#DIV/0!</v>
      </c>
      <c r="AB501" s="49" t="e">
        <f ca="1">IF(controls!$B$45=1,LOG(AF501,1.01)+LOG(AE501,1.01)-LOG(AD501,1.01),-((M501-('main page'!$K$24+'main page'!$K$11))/(1-'normal case'!$AO$3))+'normal case'!AA501)</f>
        <v>#DIV/0!</v>
      </c>
      <c r="AC501" s="176" t="e">
        <f t="shared" ca="1" si="51"/>
        <v>#DIV/0!</v>
      </c>
      <c r="AD501" s="49">
        <f t="shared" ca="1" si="52"/>
        <v>19181.631233615462</v>
      </c>
      <c r="AE501" s="49">
        <f>AE500*(1+'main page'!$K$32/100)</f>
        <v>1</v>
      </c>
      <c r="AF501" s="49" t="e">
        <f ca="1">IF(ABS(IF(controls!$B$45=1,$AL$13,AD501*AC501/AE501)-AF500)&lt;0.00001,AF500,IF(controls!$B$45=1,$AL$13,AD501*AC501/AE501))</f>
        <v>#DIV/0!</v>
      </c>
      <c r="AG501" s="49">
        <f>IF(controls!$B$46=0,0,IF(controls!$B$33=2,B502-B501*V502-('normal case'!H502-D501*W502-'main page'!$K$27*'normal case'!M501+'main page'!$K$31*'normal case'!AB501)-(('main page'!$K$25*'main page'!$U$13*'main page'!$K$29)/(1+('main page'!$K$25^2)*'main page'!$U$13))*('normal case'!L501-'main page'!$U$8),B502-B501*V502-('normal case'!I502-D501*W502-'main page'!$K$27*'normal case'!M501+'main page'!$K$31*'normal case'!AB501)-(('main page'!$K$25*'main page'!$U$13*'main page'!$K$29)/(1+('main page'!$K$25^2)*'main page'!$U$13))*('normal case'!L501-'main page'!$U$8)))</f>
        <v>0</v>
      </c>
      <c r="AN501" s="40"/>
      <c r="AO501" s="40"/>
    </row>
    <row r="502" spans="1:41">
      <c r="A502" s="48">
        <v>500</v>
      </c>
      <c r="B502" s="75">
        <f ca="1">IF(controls!$B$33=1,B501*(1+V502)+T502,B501*(1+V502))</f>
        <v>100</v>
      </c>
      <c r="C502" s="80">
        <f t="shared" ca="1" si="53"/>
        <v>0</v>
      </c>
      <c r="D502" s="77">
        <f t="shared" ca="1" si="49"/>
        <v>100</v>
      </c>
      <c r="E502" s="77">
        <f ca="1">AG501+IF(controls!$B$33=1,G502,F502)</f>
        <v>100</v>
      </c>
      <c r="F502" s="94">
        <f ca="1">IF(controls!$B$44=0,H502-'main page'!$K$27*M501,H502-'main page'!$K$27*M501+'main page'!$K$31*AB501)</f>
        <v>100</v>
      </c>
      <c r="G502" s="75">
        <f ca="1">IF(controls!$B$44=0,I502-'main page'!$K$27*M501,I502-'main page'!$K$27*M501+'main page'!$K$31*'normal case'!AB501)</f>
        <v>100</v>
      </c>
      <c r="H502" s="75">
        <f t="shared" ca="1" si="54"/>
        <v>108</v>
      </c>
      <c r="I502" s="75">
        <f t="shared" ca="1" si="55"/>
        <v>108</v>
      </c>
      <c r="L502" s="75">
        <f ca="1">IF(ABS('main page'!$K$29*L501+(1-'main page'!$K$29)*(controls!$B$9/100)*100+'main page'!$K$25*(D502-B502)-L501)&lt;0.0000001,L501,'main page'!$K$29*L501+(1-'main page'!$K$29)*(controls!$B$9/100)*100+'main page'!$K$25*(D502-B502))</f>
        <v>2</v>
      </c>
      <c r="M502" s="96">
        <f ca="1">IF(controls!$B$10=1,M501,IF(SUM(controls!$B$44:$B$46)=2,N502-'main page'!$K$29*'normal case'!L502-(1-'main page'!$K$29)*'main page'!$K$32,N502-'main page'!$K$29*'normal case'!L502-(1-'main page'!$K$29)*controls!$B$9))</f>
        <v>0</v>
      </c>
      <c r="N502" s="208">
        <f ca="1">IF(controls!$B$45=1,IF(controls!$B$46=1,'main page'!$K$24+'main page'!$K$11+'main page'!$U$8,'main page'!$K$24+'main page'!$K$11+'main page'!$K$32),IF(controls!$B$44=1,IF(O502&lt;0,0,O502),IF(O502+'main page'!$K$11&lt;0,0,O502+'main page'!$K$11)))</f>
        <v>2</v>
      </c>
      <c r="O502" s="76">
        <f ca="1">IF(controls!$B$10=1,'normal case'!M502+'normal case'!L502,'normal case'!P502)</f>
        <v>2</v>
      </c>
      <c r="P502" s="74">
        <f t="shared" ca="1" si="50"/>
        <v>2</v>
      </c>
      <c r="Q502" s="210">
        <f ca="1">IF(controls!$B$44=0,R502+'main page'!$K$29*L502+(1-'main page'!$K$29)*controls!$B$9+(('main page'!$K$25*'main page'!$U$13*'main page'!$K$29)/('main page'!$K$27*(1+('main page'!$K$25^2)*'main page'!$U$13)))*(L502-controls!$B$9),R502+'main page'!$K$29*L502+(1-'main page'!$K$29)*controls!$B$9+(('main page'!$K$25*'main page'!$U$13*'normal case'!$AO$3)/'normal case'!$AO$4)*('normal case'!L502-controls!$B$9))</f>
        <v>2</v>
      </c>
      <c r="R502" s="98">
        <f ca="1">IF(controls!$B$44=1,'main page'!$K$24+'main page'!$K$11,IF(controls!$B$33=1,((I503-D502*W503-B503+B502*V503)/'main page'!$K$27)-'main page'!$K$11,((H503-D502*W503-B503+B502*V503)/'main page'!$K$27)-'main page'!$K$11))</f>
        <v>0</v>
      </c>
      <c r="T502" s="71">
        <f>IF(controls!$B$6=1,$AL$3*(1+('main page'!$K$35/100))^U502-$AL$3*(1+('main page'!$K$35/100))^U501,$AL$3*(1+('main page'!$G$8/100))*(1+('main page'!$K$35/100))^U502-$AL$3*(1+('main page'!$G$8/100))*(1+('main page'!$K$35/100))^U501)</f>
        <v>0</v>
      </c>
      <c r="U502" s="73">
        <v>495</v>
      </c>
      <c r="V502" s="161">
        <v>0</v>
      </c>
      <c r="W502" s="40">
        <v>0</v>
      </c>
      <c r="X502" s="49">
        <f ca="1">IF(controls!$B$33=1,D502-($I$3-'main page'!$K$27*2)*(1+('main page'!$K$35/100))^A501,D502-$AL$4)</f>
        <v>0</v>
      </c>
      <c r="Y502" s="49">
        <f ca="1">ABS(L502-(controls!$B$9/100)*100)</f>
        <v>0</v>
      </c>
      <c r="AA502" s="49" t="e">
        <f ca="1">IF(controls!$B$33=1,(B503-B502*V503-I503+D502*W503+'main page'!$K$27*('main page'!$K$24+'main page'!$K$11))/'main page'!$K$31,(B503-B502*V503+D502*W503-H503+'main page'!$K$27*('main page'!$K$24+'main page'!$K$11))/'main page'!$K$31)</f>
        <v>#DIV/0!</v>
      </c>
      <c r="AB502" s="49" t="e">
        <f ca="1">IF(controls!$B$45=1,LOG(AF502,1.01)+LOG(AE502,1.01)-LOG(AD502,1.01),-((M502-('main page'!$K$24+'main page'!$K$11))/(1-'normal case'!$AO$3))+'normal case'!AA502)</f>
        <v>#DIV/0!</v>
      </c>
      <c r="AC502" s="176" t="e">
        <f t="shared" ca="1" si="51"/>
        <v>#DIV/0!</v>
      </c>
      <c r="AD502" s="49">
        <f t="shared" ca="1" si="52"/>
        <v>19565.263858287773</v>
      </c>
      <c r="AE502" s="49">
        <f>AE501*(1+'main page'!$K$32/100)</f>
        <v>1</v>
      </c>
      <c r="AF502" s="49" t="e">
        <f ca="1">IF(ABS(IF(controls!$B$45=1,$AL$13,AD502*AC502/AE502)-AF501)&lt;0.00001,AF501,IF(controls!$B$45=1,$AL$13,AD502*AC502/AE502))</f>
        <v>#DIV/0!</v>
      </c>
      <c r="AG502" s="49">
        <f>IF(controls!$B$46=0,0,IF(controls!$B$33=2,B503-B502*V503-('normal case'!H503-D502*W503-'main page'!$K$27*'normal case'!M502+'main page'!$K$31*'normal case'!AB502)-(('main page'!$K$25*'main page'!$U$13*'main page'!$K$29)/(1+('main page'!$K$25^2)*'main page'!$U$13))*('normal case'!L502-'main page'!$U$8),B503-B502*V503-('normal case'!I503-D502*W503-'main page'!$K$27*'normal case'!M502+'main page'!$K$31*'normal case'!AB502)-(('main page'!$K$25*'main page'!$U$13*'main page'!$K$29)/(1+('main page'!$K$25^2)*'main page'!$U$13))*('normal case'!L502-'main page'!$U$8)))</f>
        <v>0</v>
      </c>
      <c r="AN502" s="40"/>
      <c r="AO502" s="40"/>
    </row>
  </sheetData>
  <sheetProtection selectLockedCells="1"/>
  <mergeCells count="9">
    <mergeCell ref="AA1:AF1"/>
    <mergeCell ref="B1:B2"/>
    <mergeCell ref="C1:I1"/>
    <mergeCell ref="N1:Q1"/>
    <mergeCell ref="X1:Y1"/>
    <mergeCell ref="V1:W1"/>
    <mergeCell ref="K1:K2"/>
    <mergeCell ref="J1:J2"/>
    <mergeCell ref="T1:U2"/>
  </mergeCells>
  <phoneticPr fontId="3" type="noConversion"/>
  <pageMargins left="0.75" right="0.75" top="1" bottom="1" header="0" footer="0"/>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14"/>
  <dimension ref="A1:IV86"/>
  <sheetViews>
    <sheetView showGridLines="0" showRowColHeaders="0" zoomScale="73" zoomScaleNormal="73" workbookViewId="0">
      <selection activeCell="G9" sqref="G9"/>
    </sheetView>
  </sheetViews>
  <sheetFormatPr defaultColWidth="10.90625" defaultRowHeight="12.5"/>
  <cols>
    <col min="1" max="1" width="23.1796875" customWidth="1"/>
    <col min="2" max="2" width="4.26953125" customWidth="1"/>
    <col min="3" max="3" width="3.7265625" customWidth="1"/>
    <col min="4" max="4" width="4" customWidth="1"/>
  </cols>
  <sheetData>
    <row r="1" spans="1:256" s="148" customFormat="1">
      <c r="A1" s="177"/>
      <c r="B1" s="177"/>
      <c r="C1" s="177"/>
      <c r="D1" s="177"/>
      <c r="E1" s="177"/>
      <c r="F1" s="177"/>
      <c r="G1" s="177"/>
      <c r="H1" s="177"/>
      <c r="I1" s="177"/>
      <c r="J1" s="177"/>
      <c r="K1" s="177"/>
      <c r="L1" s="177"/>
      <c r="M1" s="177"/>
      <c r="N1" s="177"/>
      <c r="O1" s="177"/>
      <c r="P1" s="177"/>
      <c r="Q1" s="177"/>
      <c r="R1" s="177"/>
      <c r="S1" s="177"/>
      <c r="T1" s="177"/>
      <c r="U1" s="177"/>
      <c r="V1" s="177"/>
      <c r="W1" s="177"/>
      <c r="X1" s="177"/>
      <c r="Y1" s="177"/>
      <c r="Z1" s="177"/>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row>
    <row r="2" spans="1:256" s="148" customFormat="1">
      <c r="A2" s="177"/>
      <c r="B2" s="177"/>
      <c r="C2" s="177"/>
      <c r="D2" s="177"/>
      <c r="E2" s="177"/>
      <c r="F2" s="177"/>
      <c r="G2" s="177"/>
      <c r="H2" s="177"/>
      <c r="I2" s="177"/>
      <c r="J2" s="177"/>
      <c r="K2" s="177"/>
      <c r="L2" s="177"/>
      <c r="M2" s="177"/>
      <c r="N2" s="177"/>
      <c r="O2" s="177"/>
      <c r="P2" s="177"/>
      <c r="Q2" s="177"/>
      <c r="R2" s="177"/>
      <c r="S2" s="177"/>
      <c r="T2" s="177"/>
      <c r="U2" s="177"/>
      <c r="V2" s="177"/>
      <c r="W2" s="177"/>
      <c r="X2" s="177"/>
      <c r="Y2" s="177"/>
      <c r="Z2" s="177"/>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row>
    <row r="3" spans="1:256" s="148" customFormat="1">
      <c r="A3" s="177"/>
      <c r="B3" s="177"/>
      <c r="C3" s="177"/>
      <c r="D3" s="177"/>
      <c r="E3" s="177"/>
      <c r="F3" s="177"/>
      <c r="G3" s="177"/>
      <c r="H3" s="177"/>
      <c r="I3" s="177"/>
      <c r="J3" s="177"/>
      <c r="K3" s="177"/>
      <c r="L3" s="177"/>
      <c r="M3" s="177"/>
      <c r="N3" s="177"/>
      <c r="O3" s="177"/>
      <c r="P3" s="177"/>
      <c r="Q3" s="177"/>
      <c r="R3" s="177"/>
      <c r="S3" s="177"/>
      <c r="T3" s="177"/>
      <c r="U3" s="177"/>
      <c r="V3" s="177"/>
      <c r="W3" s="177"/>
      <c r="X3" s="177"/>
      <c r="Y3" s="177"/>
      <c r="Z3" s="177"/>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row>
    <row r="4" spans="1:256" s="148" customFormat="1">
      <c r="A4" s="177"/>
      <c r="B4" s="177"/>
      <c r="C4" s="177"/>
      <c r="D4" s="177"/>
      <c r="E4" s="177"/>
      <c r="F4" s="177"/>
      <c r="G4" s="177"/>
      <c r="H4" s="177"/>
      <c r="I4" s="177"/>
      <c r="J4" s="177"/>
      <c r="K4" s="177"/>
      <c r="L4" s="177"/>
      <c r="M4" s="177"/>
      <c r="N4" s="177"/>
      <c r="O4" s="177"/>
      <c r="P4" s="177"/>
      <c r="Q4" s="177"/>
      <c r="R4" s="177"/>
      <c r="S4" s="177"/>
      <c r="T4" s="177"/>
      <c r="U4" s="177"/>
      <c r="V4" s="177"/>
      <c r="W4" s="177"/>
      <c r="X4" s="177"/>
      <c r="Y4" s="177"/>
      <c r="Z4" s="177"/>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row>
    <row r="5" spans="1:256" s="148" customFormat="1">
      <c r="A5" s="177"/>
      <c r="B5" s="177"/>
      <c r="C5" s="177"/>
      <c r="D5" s="177"/>
      <c r="E5" s="177"/>
      <c r="F5" s="177"/>
      <c r="G5" s="177"/>
      <c r="H5" s="177"/>
      <c r="I5" s="177"/>
      <c r="J5" s="177"/>
      <c r="K5" s="177"/>
      <c r="L5" s="177"/>
      <c r="M5" s="177"/>
      <c r="N5" s="177"/>
      <c r="O5" s="177"/>
      <c r="P5" s="177"/>
      <c r="Q5" s="177"/>
      <c r="R5" s="177"/>
      <c r="S5" s="177"/>
      <c r="T5" s="177"/>
      <c r="U5" s="177"/>
      <c r="V5" s="177"/>
      <c r="W5" s="177"/>
      <c r="X5" s="177"/>
      <c r="Y5" s="177"/>
      <c r="Z5" s="177"/>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row>
    <row r="6" spans="1:256" s="148" customFormat="1">
      <c r="A6" s="177"/>
      <c r="B6" s="177"/>
      <c r="C6" s="177"/>
      <c r="D6" s="177"/>
      <c r="E6" s="177"/>
      <c r="F6" s="177"/>
      <c r="G6" s="177"/>
      <c r="H6" s="177"/>
      <c r="I6" s="177"/>
      <c r="J6" s="177"/>
      <c r="K6" s="177"/>
      <c r="L6" s="177"/>
      <c r="M6" s="177"/>
      <c r="N6" s="177"/>
      <c r="O6" s="177"/>
      <c r="P6" s="177"/>
      <c r="Q6" s="177"/>
      <c r="R6" s="177"/>
      <c r="S6" s="177"/>
      <c r="T6" s="177"/>
      <c r="U6" s="177"/>
      <c r="V6" s="177"/>
      <c r="W6" s="177"/>
      <c r="X6" s="177"/>
      <c r="Y6" s="177"/>
      <c r="Z6" s="177"/>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row>
    <row r="7" spans="1:256" s="148" customFormat="1">
      <c r="A7" s="177"/>
      <c r="B7" s="177"/>
      <c r="C7" s="177"/>
      <c r="D7" s="177"/>
      <c r="E7" s="177"/>
      <c r="F7" s="177"/>
      <c r="G7" s="177"/>
      <c r="H7" s="177"/>
      <c r="I7" s="177"/>
      <c r="J7" s="177"/>
      <c r="K7" s="177"/>
      <c r="L7" s="177"/>
      <c r="M7" s="177"/>
      <c r="N7" s="177"/>
      <c r="O7" s="177"/>
      <c r="P7" s="177"/>
      <c r="Q7" s="177"/>
      <c r="R7" s="177"/>
      <c r="S7" s="177"/>
      <c r="T7" s="177"/>
      <c r="U7" s="177"/>
      <c r="V7" s="177"/>
      <c r="W7" s="177"/>
      <c r="X7" s="177"/>
      <c r="Y7" s="177"/>
      <c r="Z7" s="17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row>
    <row r="8" spans="1:256" s="148" customFormat="1">
      <c r="A8" s="177"/>
      <c r="B8" s="177"/>
      <c r="C8" s="177"/>
      <c r="D8" s="177"/>
      <c r="E8" s="177"/>
      <c r="F8" s="177"/>
      <c r="G8" s="177"/>
      <c r="H8" s="177"/>
      <c r="I8" s="177"/>
      <c r="J8" s="177"/>
      <c r="K8" s="177"/>
      <c r="L8" s="177"/>
      <c r="M8" s="177"/>
      <c r="N8" s="177"/>
      <c r="O8" s="177"/>
      <c r="P8" s="177"/>
      <c r="Q8" s="177"/>
      <c r="R8" s="177"/>
      <c r="S8" s="177"/>
      <c r="T8" s="177"/>
      <c r="U8" s="177"/>
      <c r="V8" s="177"/>
      <c r="W8" s="177"/>
      <c r="X8" s="177"/>
      <c r="Y8" s="177"/>
      <c r="Z8" s="177"/>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row>
    <row r="9" spans="1:256" s="148" customFormat="1">
      <c r="A9" s="177"/>
      <c r="B9" s="177"/>
      <c r="C9" s="177"/>
      <c r="D9" s="177"/>
      <c r="E9" s="177"/>
      <c r="F9" s="177"/>
      <c r="G9" s="177"/>
      <c r="H9" s="177"/>
      <c r="I9" s="177"/>
      <c r="J9" s="177"/>
      <c r="K9" s="177"/>
      <c r="L9" s="177"/>
      <c r="M9" s="177"/>
      <c r="N9" s="177"/>
      <c r="O9" s="177"/>
      <c r="P9" s="177"/>
      <c r="Q9" s="177"/>
      <c r="R9" s="177"/>
      <c r="S9" s="177"/>
      <c r="T9" s="177"/>
      <c r="U9" s="177"/>
      <c r="V9" s="177"/>
      <c r="W9" s="177"/>
      <c r="X9" s="177"/>
      <c r="Y9" s="177"/>
      <c r="Z9" s="177"/>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row>
    <row r="10" spans="1:256" s="148" customFormat="1">
      <c r="A10" s="177"/>
      <c r="B10" s="177"/>
      <c r="C10" s="177"/>
      <c r="D10" s="177"/>
      <c r="E10" s="177"/>
      <c r="F10" s="177"/>
      <c r="G10" s="177"/>
      <c r="H10" s="177"/>
      <c r="I10" s="177"/>
      <c r="J10" s="177"/>
      <c r="K10" s="177"/>
      <c r="L10" s="177"/>
      <c r="M10" s="177"/>
      <c r="N10" s="177"/>
      <c r="O10" s="177"/>
      <c r="P10" s="177"/>
      <c r="Q10" s="177"/>
      <c r="R10" s="177"/>
      <c r="S10" s="177"/>
      <c r="T10" s="177"/>
      <c r="U10" s="177"/>
      <c r="V10" s="177"/>
      <c r="W10" s="177"/>
      <c r="X10" s="177"/>
      <c r="Y10" s="177"/>
      <c r="Z10" s="177"/>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row>
    <row r="11" spans="1:256" s="148" customFormat="1">
      <c r="A11" s="177"/>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row>
    <row r="12" spans="1:256" s="148" customFormat="1">
      <c r="A12" s="177"/>
      <c r="B12" s="177"/>
      <c r="C12" s="177"/>
      <c r="D12" s="177"/>
      <c r="E12" s="177"/>
      <c r="F12" s="177"/>
      <c r="G12" s="177"/>
      <c r="H12" s="177"/>
      <c r="I12" s="177"/>
      <c r="J12" s="177"/>
      <c r="K12" s="177"/>
      <c r="L12" s="177"/>
      <c r="M12" s="177"/>
      <c r="N12" s="177"/>
      <c r="O12" s="177"/>
      <c r="P12" s="177"/>
      <c r="Q12" s="177"/>
      <c r="R12" s="177"/>
      <c r="S12" s="177"/>
      <c r="T12" s="177"/>
      <c r="U12" s="177"/>
      <c r="V12" s="177"/>
      <c r="W12" s="177"/>
      <c r="X12" s="177"/>
      <c r="Y12" s="177"/>
      <c r="Z12" s="177"/>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1:256" s="148" customFormat="1">
      <c r="A13" s="177"/>
      <c r="B13" s="177"/>
      <c r="C13" s="177"/>
      <c r="D13" s="177"/>
      <c r="E13" s="177"/>
      <c r="F13" s="177"/>
      <c r="G13" s="177"/>
      <c r="H13" s="177"/>
      <c r="I13" s="177"/>
      <c r="J13" s="177"/>
      <c r="K13" s="177"/>
      <c r="L13" s="177"/>
      <c r="M13" s="177"/>
      <c r="N13" s="177"/>
      <c r="O13" s="177"/>
      <c r="P13" s="177"/>
      <c r="Q13" s="177"/>
      <c r="R13" s="177"/>
      <c r="S13" s="177"/>
      <c r="T13" s="177"/>
      <c r="U13" s="177"/>
      <c r="V13" s="177"/>
      <c r="W13" s="177"/>
      <c r="X13" s="177"/>
      <c r="Y13" s="177"/>
      <c r="Z13" s="177"/>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1:256" s="148" customFormat="1" ht="13" thickBot="1">
      <c r="A14" s="177"/>
      <c r="B14" s="177"/>
      <c r="C14" s="177"/>
      <c r="D14" s="177"/>
      <c r="E14" s="177"/>
      <c r="F14" s="177"/>
      <c r="G14" s="177"/>
      <c r="H14" s="177"/>
      <c r="I14" s="177"/>
      <c r="J14" s="177"/>
      <c r="K14" s="177"/>
      <c r="L14" s="177"/>
      <c r="M14" s="177"/>
      <c r="N14" s="177"/>
      <c r="O14" s="177"/>
      <c r="P14" s="177"/>
      <c r="Q14" s="177"/>
      <c r="R14" s="177"/>
      <c r="S14" s="177"/>
      <c r="T14" s="177"/>
      <c r="U14" s="177"/>
      <c r="V14" s="177"/>
      <c r="W14" s="177"/>
      <c r="X14" s="177"/>
      <c r="Y14" s="177"/>
      <c r="Z14" s="177"/>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1:256" ht="14" thickTop="1" thickBot="1">
      <c r="A15" s="687" t="s">
        <v>123</v>
      </c>
      <c r="B15" s="688"/>
      <c r="C15" s="688"/>
      <c r="D15" s="689"/>
      <c r="E15" s="177"/>
      <c r="F15" s="177"/>
      <c r="G15" s="177"/>
      <c r="H15" s="177"/>
      <c r="I15" s="177"/>
      <c r="J15" s="177"/>
      <c r="K15" s="177"/>
      <c r="L15" s="177"/>
      <c r="M15" s="177"/>
      <c r="N15" s="177"/>
      <c r="O15" s="177"/>
      <c r="P15" s="177"/>
      <c r="Q15" s="177"/>
      <c r="R15" s="177"/>
      <c r="S15" s="177"/>
      <c r="T15" s="177"/>
      <c r="U15" s="177"/>
      <c r="V15" s="177"/>
      <c r="W15" s="177"/>
      <c r="X15" s="177"/>
      <c r="Y15" s="177"/>
      <c r="Z15" s="177"/>
    </row>
    <row r="16" spans="1:256" ht="13" thickTop="1">
      <c r="A16" s="693" t="str">
        <f>'main page'!A2</f>
        <v>Main page-Closed economy</v>
      </c>
      <c r="B16" s="694"/>
      <c r="C16" s="694"/>
      <c r="D16" s="695"/>
      <c r="E16" s="177"/>
      <c r="F16" s="177"/>
      <c r="G16" s="177"/>
      <c r="H16" s="177"/>
      <c r="I16" s="177"/>
      <c r="J16" s="177"/>
      <c r="K16" s="177"/>
      <c r="L16" s="177"/>
      <c r="M16" s="177"/>
      <c r="N16" s="177"/>
      <c r="O16" s="177"/>
      <c r="P16" s="177"/>
      <c r="Q16" s="177"/>
      <c r="R16" s="177"/>
      <c r="S16" s="177"/>
      <c r="T16" s="177"/>
      <c r="U16" s="177"/>
      <c r="V16" s="177"/>
      <c r="W16" s="177"/>
      <c r="X16" s="177"/>
      <c r="Y16" s="177"/>
      <c r="Z16" s="177"/>
    </row>
    <row r="17" spans="1:26">
      <c r="A17" s="696"/>
      <c r="B17" s="697"/>
      <c r="C17" s="697"/>
      <c r="D17" s="698"/>
      <c r="E17" s="177"/>
      <c r="F17" s="177"/>
      <c r="G17" s="177"/>
      <c r="H17" s="177"/>
      <c r="I17" s="177"/>
      <c r="J17" s="177"/>
      <c r="K17" s="177"/>
      <c r="L17" s="177"/>
      <c r="M17" s="177"/>
      <c r="N17" s="177"/>
      <c r="O17" s="177"/>
      <c r="P17" s="177"/>
      <c r="Q17" s="177"/>
      <c r="R17" s="177"/>
      <c r="S17" s="177"/>
      <c r="T17" s="177"/>
      <c r="U17" s="177"/>
      <c r="V17" s="177"/>
      <c r="W17" s="177"/>
      <c r="X17" s="177"/>
      <c r="Y17" s="177"/>
      <c r="Z17" s="177"/>
    </row>
    <row r="18" spans="1:26" ht="13">
      <c r="A18" s="699" t="s">
        <v>101</v>
      </c>
      <c r="B18" s="700"/>
      <c r="C18" s="701"/>
      <c r="D18" s="357" t="str">
        <f>IF('main page'!$G$8="","no","yes")</f>
        <v>no</v>
      </c>
      <c r="E18" s="177"/>
      <c r="F18" s="177"/>
      <c r="G18" s="177"/>
      <c r="H18" s="177"/>
      <c r="I18" s="177"/>
      <c r="J18" s="177"/>
      <c r="K18" s="177"/>
      <c r="L18" s="177"/>
      <c r="M18" s="177"/>
      <c r="N18" s="177"/>
      <c r="O18" s="177"/>
      <c r="P18" s="177"/>
      <c r="Q18" s="177"/>
      <c r="R18" s="177"/>
      <c r="S18" s="177"/>
      <c r="T18" s="177"/>
      <c r="U18" s="177"/>
      <c r="V18" s="177"/>
      <c r="W18" s="177"/>
      <c r="X18" s="177"/>
      <c r="Y18" s="177"/>
      <c r="Z18" s="177"/>
    </row>
    <row r="19" spans="1:26" ht="13">
      <c r="A19" s="699" t="s">
        <v>100</v>
      </c>
      <c r="B19" s="700"/>
      <c r="C19" s="701"/>
      <c r="D19" s="357" t="str">
        <f>IF('main page'!$K$8="","no","yes")</f>
        <v>no</v>
      </c>
      <c r="E19" s="177"/>
      <c r="F19" s="177"/>
      <c r="G19" s="177"/>
      <c r="H19" s="177"/>
      <c r="I19" s="177"/>
      <c r="J19" s="177"/>
      <c r="K19" s="177"/>
      <c r="L19" s="177"/>
      <c r="M19" s="177"/>
      <c r="N19" s="177"/>
      <c r="O19" s="177"/>
      <c r="P19" s="177"/>
      <c r="Q19" s="177"/>
      <c r="R19" s="177"/>
      <c r="S19" s="177"/>
      <c r="T19" s="177"/>
      <c r="U19" s="177"/>
      <c r="V19" s="177"/>
      <c r="W19" s="177"/>
      <c r="X19" s="177"/>
      <c r="Y19" s="177"/>
      <c r="Z19" s="177"/>
    </row>
    <row r="20" spans="1:26" ht="13">
      <c r="A20" s="699" t="s">
        <v>103</v>
      </c>
      <c r="B20" s="700"/>
      <c r="C20" s="701"/>
      <c r="D20" s="358" t="str">
        <f>IF(controls!$B$4=2,"no",IF('main page'!$H$16="","no","yes"))</f>
        <v>no</v>
      </c>
      <c r="E20" s="177"/>
      <c r="F20" s="177"/>
      <c r="G20" s="177"/>
      <c r="H20" s="177"/>
      <c r="I20" s="177"/>
      <c r="J20" s="177"/>
      <c r="K20" s="177"/>
      <c r="L20" s="177"/>
      <c r="M20" s="177"/>
      <c r="N20" s="177"/>
      <c r="O20" s="177"/>
      <c r="P20" s="177"/>
      <c r="Q20" s="177"/>
      <c r="R20" s="177"/>
      <c r="S20" s="177"/>
      <c r="T20" s="177"/>
      <c r="U20" s="177"/>
      <c r="V20" s="177"/>
      <c r="W20" s="177"/>
      <c r="X20" s="177"/>
      <c r="Y20" s="177"/>
      <c r="Z20" s="177"/>
    </row>
    <row r="21" spans="1:26" ht="13">
      <c r="A21" s="699" t="s">
        <v>104</v>
      </c>
      <c r="B21" s="700"/>
      <c r="C21" s="701"/>
      <c r="D21" s="358" t="str">
        <f>IF(controls!$B$5=2,"no",IF('main page'!$H$16="","no","yes"))</f>
        <v>no</v>
      </c>
      <c r="E21" s="177"/>
      <c r="F21" s="177"/>
      <c r="G21" s="177"/>
      <c r="H21" s="177"/>
      <c r="I21" s="177"/>
      <c r="J21" s="177"/>
      <c r="K21" s="177"/>
      <c r="L21" s="177"/>
      <c r="M21" s="177"/>
      <c r="N21" s="177"/>
      <c r="O21" s="177"/>
      <c r="P21" s="177"/>
      <c r="Q21" s="177"/>
      <c r="R21" s="177"/>
      <c r="S21" s="177"/>
      <c r="T21" s="177"/>
      <c r="U21" s="177"/>
      <c r="V21" s="177"/>
      <c r="W21" s="177"/>
      <c r="X21" s="177"/>
      <c r="Y21" s="177"/>
      <c r="Z21" s="177"/>
    </row>
    <row r="22" spans="1:26" ht="13">
      <c r="A22" s="699" t="s">
        <v>102</v>
      </c>
      <c r="B22" s="700"/>
      <c r="C22" s="701"/>
      <c r="D22" s="358" t="str">
        <f>IF(controls!$B$8=FALSE,"no",IF(controls!$B$8=TRUE,"yes",""))</f>
        <v>no</v>
      </c>
      <c r="E22" s="177"/>
      <c r="F22" s="177"/>
      <c r="G22" s="177"/>
      <c r="H22" s="177"/>
      <c r="I22" s="177"/>
      <c r="J22" s="177"/>
      <c r="K22" s="177"/>
      <c r="L22" s="177"/>
      <c r="M22" s="177"/>
      <c r="N22" s="177"/>
      <c r="O22" s="177"/>
      <c r="P22" s="177"/>
      <c r="Q22" s="177"/>
      <c r="R22" s="177"/>
      <c r="S22" s="177"/>
      <c r="T22" s="177"/>
      <c r="U22" s="177"/>
      <c r="V22" s="177"/>
      <c r="W22" s="177"/>
      <c r="X22" s="177"/>
      <c r="Y22" s="177"/>
      <c r="Z22" s="177"/>
    </row>
    <row r="23" spans="1:26" ht="13">
      <c r="A23" s="690" t="str">
        <f>IF('main page'!S43=1,"","Stabilization fiscal measure")</f>
        <v>Stabilization fiscal measure</v>
      </c>
      <c r="B23" s="691"/>
      <c r="C23" s="692"/>
      <c r="D23" s="358" t="str">
        <f>IF('main page'!S43=1,"",IF('main page'!$U$22="","no","yes"))</f>
        <v>no</v>
      </c>
      <c r="E23" s="177"/>
      <c r="F23" s="177"/>
      <c r="G23" s="177"/>
      <c r="H23" s="177"/>
      <c r="I23" s="177"/>
      <c r="J23" s="177"/>
      <c r="K23" s="177"/>
      <c r="L23" s="177"/>
      <c r="M23" s="177"/>
      <c r="N23" s="177"/>
      <c r="O23" s="177"/>
      <c r="P23" s="177"/>
      <c r="Q23" s="177"/>
      <c r="R23" s="177"/>
      <c r="S23" s="177"/>
      <c r="T23" s="177"/>
      <c r="U23" s="177"/>
      <c r="V23" s="177"/>
      <c r="W23" s="177"/>
      <c r="X23" s="177"/>
      <c r="Y23" s="177"/>
      <c r="Z23" s="177"/>
    </row>
    <row r="24" spans="1:26">
      <c r="A24" s="177"/>
      <c r="B24" s="177"/>
      <c r="C24" s="177"/>
      <c r="D24" s="177"/>
      <c r="E24" s="177"/>
      <c r="F24" s="177"/>
      <c r="G24" s="177"/>
      <c r="H24" s="177"/>
      <c r="I24" s="177"/>
      <c r="J24" s="177"/>
      <c r="K24" s="177"/>
      <c r="L24" s="177"/>
      <c r="M24" s="177"/>
      <c r="N24" s="177"/>
      <c r="O24" s="177"/>
      <c r="P24" s="177"/>
      <c r="Q24" s="177"/>
      <c r="R24" s="177"/>
      <c r="S24" s="177"/>
      <c r="T24" s="177"/>
      <c r="U24" s="177"/>
      <c r="V24" s="177"/>
      <c r="W24" s="177"/>
      <c r="X24" s="177"/>
      <c r="Y24" s="177"/>
      <c r="Z24" s="177"/>
    </row>
    <row r="25" spans="1:26">
      <c r="A25" s="177"/>
      <c r="B25" s="177"/>
      <c r="C25" s="177"/>
      <c r="D25" s="177"/>
      <c r="E25" s="177"/>
      <c r="F25" s="177"/>
      <c r="G25" s="177"/>
      <c r="H25" s="177"/>
      <c r="I25" s="177"/>
      <c r="J25" s="177"/>
      <c r="K25" s="177"/>
      <c r="L25" s="177"/>
      <c r="M25" s="177"/>
      <c r="N25" s="177"/>
      <c r="O25" s="177"/>
      <c r="P25" s="177"/>
      <c r="Q25" s="177"/>
      <c r="R25" s="177"/>
      <c r="S25" s="177"/>
      <c r="T25" s="177"/>
      <c r="U25" s="177"/>
      <c r="V25" s="177"/>
      <c r="W25" s="177"/>
      <c r="X25" s="177"/>
      <c r="Y25" s="177"/>
      <c r="Z25" s="177"/>
    </row>
    <row r="26" spans="1:26">
      <c r="A26" s="177"/>
      <c r="B26" s="177"/>
      <c r="C26" s="177"/>
      <c r="D26" s="177"/>
      <c r="E26" s="177"/>
      <c r="F26" s="177"/>
      <c r="G26" s="177"/>
      <c r="H26" s="177"/>
      <c r="I26" s="177"/>
      <c r="J26" s="177"/>
      <c r="K26" s="177"/>
      <c r="L26" s="177"/>
      <c r="M26" s="177"/>
      <c r="N26" s="177"/>
      <c r="O26" s="177"/>
      <c r="P26" s="177"/>
      <c r="Q26" s="177"/>
      <c r="R26" s="177"/>
      <c r="S26" s="177"/>
      <c r="T26" s="177"/>
      <c r="U26" s="177"/>
      <c r="V26" s="177"/>
      <c r="W26" s="177"/>
      <c r="X26" s="177"/>
      <c r="Y26" s="177"/>
      <c r="Z26" s="177"/>
    </row>
    <row r="27" spans="1:26">
      <c r="A27" s="177"/>
      <c r="B27" s="177"/>
      <c r="C27" s="177"/>
      <c r="D27" s="177"/>
      <c r="E27" s="177"/>
      <c r="F27" s="177"/>
      <c r="G27" s="177"/>
      <c r="H27" s="177"/>
      <c r="I27" s="177"/>
      <c r="J27" s="177"/>
      <c r="K27" s="177"/>
      <c r="L27" s="177"/>
      <c r="M27" s="177"/>
      <c r="N27" s="177"/>
      <c r="O27" s="177"/>
      <c r="P27" s="177"/>
      <c r="Q27" s="177"/>
      <c r="R27" s="177"/>
      <c r="S27" s="177"/>
      <c r="T27" s="177"/>
      <c r="U27" s="177"/>
      <c r="V27" s="177"/>
      <c r="W27" s="177"/>
      <c r="X27" s="177"/>
      <c r="Y27" s="177"/>
      <c r="Z27" s="177"/>
    </row>
    <row r="28" spans="1:26">
      <c r="A28" s="177"/>
      <c r="B28" s="177"/>
      <c r="C28" s="177"/>
      <c r="D28" s="177"/>
      <c r="E28" s="177"/>
      <c r="F28" s="177"/>
      <c r="G28" s="177"/>
      <c r="H28" s="177"/>
      <c r="I28" s="177"/>
      <c r="J28" s="177"/>
      <c r="K28" s="177"/>
      <c r="L28" s="177"/>
      <c r="M28" s="177"/>
      <c r="N28" s="177"/>
      <c r="O28" s="177"/>
      <c r="P28" s="177"/>
      <c r="Q28" s="177"/>
      <c r="R28" s="177"/>
      <c r="S28" s="177"/>
      <c r="T28" s="177"/>
      <c r="U28" s="177"/>
      <c r="V28" s="177"/>
      <c r="W28" s="177"/>
      <c r="X28" s="177"/>
      <c r="Y28" s="177"/>
      <c r="Z28" s="177"/>
    </row>
    <row r="29" spans="1:26">
      <c r="A29" s="177"/>
      <c r="B29" s="177"/>
      <c r="C29" s="177"/>
      <c r="D29" s="177"/>
      <c r="E29" s="177"/>
      <c r="F29" s="177"/>
      <c r="G29" s="177"/>
      <c r="H29" s="177"/>
      <c r="I29" s="177"/>
      <c r="J29" s="177"/>
      <c r="K29" s="177"/>
      <c r="L29" s="177"/>
      <c r="M29" s="177"/>
      <c r="N29" s="177"/>
      <c r="O29" s="177"/>
      <c r="P29" s="177"/>
      <c r="Q29" s="177"/>
      <c r="R29" s="177"/>
      <c r="S29" s="177"/>
      <c r="T29" s="177"/>
      <c r="U29" s="177"/>
      <c r="V29" s="177"/>
      <c r="W29" s="177"/>
      <c r="X29" s="177"/>
      <c r="Y29" s="177"/>
      <c r="Z29" s="177"/>
    </row>
    <row r="30" spans="1:26">
      <c r="A30" s="177"/>
      <c r="B30" s="177"/>
      <c r="C30" s="177"/>
      <c r="D30" s="177"/>
      <c r="E30" s="177"/>
      <c r="F30" s="177"/>
      <c r="G30" s="177"/>
      <c r="H30" s="177"/>
      <c r="I30" s="177"/>
      <c r="J30" s="177"/>
      <c r="K30" s="177"/>
      <c r="L30" s="177"/>
      <c r="M30" s="177"/>
      <c r="N30" s="177"/>
      <c r="O30" s="177"/>
      <c r="P30" s="177"/>
      <c r="Q30" s="177"/>
      <c r="R30" s="177"/>
      <c r="S30" s="177"/>
      <c r="T30" s="177"/>
      <c r="U30" s="177"/>
      <c r="V30" s="177"/>
      <c r="W30" s="177"/>
      <c r="X30" s="177"/>
      <c r="Y30" s="177"/>
      <c r="Z30" s="177"/>
    </row>
    <row r="31" spans="1:26">
      <c r="A31" s="177"/>
      <c r="B31" s="177"/>
      <c r="C31" s="177"/>
      <c r="D31" s="177"/>
      <c r="E31" s="177"/>
      <c r="F31" s="177"/>
      <c r="G31" s="177"/>
      <c r="H31" s="177"/>
      <c r="I31" s="177"/>
      <c r="J31" s="177"/>
      <c r="K31" s="177"/>
      <c r="L31" s="177"/>
      <c r="M31" s="177"/>
      <c r="N31" s="177"/>
      <c r="O31" s="177"/>
      <c r="P31" s="177"/>
      <c r="Q31" s="177"/>
      <c r="R31" s="177"/>
      <c r="S31" s="177"/>
      <c r="T31" s="177"/>
      <c r="U31" s="177"/>
      <c r="V31" s="177"/>
      <c r="W31" s="177"/>
      <c r="X31" s="177"/>
      <c r="Y31" s="177"/>
      <c r="Z31" s="177"/>
    </row>
    <row r="32" spans="1:26">
      <c r="A32" s="177"/>
      <c r="B32" s="177"/>
      <c r="C32" s="177"/>
      <c r="D32" s="177"/>
      <c r="E32" s="177"/>
      <c r="F32" s="177"/>
      <c r="G32" s="177"/>
      <c r="H32" s="177"/>
      <c r="I32" s="177"/>
      <c r="J32" s="177"/>
      <c r="K32" s="177"/>
      <c r="L32" s="177"/>
      <c r="M32" s="177"/>
      <c r="N32" s="177"/>
      <c r="O32" s="177"/>
      <c r="P32" s="177"/>
      <c r="Q32" s="177"/>
      <c r="R32" s="177"/>
      <c r="S32" s="177"/>
      <c r="T32" s="177"/>
      <c r="U32" s="177"/>
      <c r="V32" s="177"/>
      <c r="W32" s="177"/>
      <c r="X32" s="177"/>
      <c r="Y32" s="177"/>
      <c r="Z32" s="177"/>
    </row>
    <row r="33" spans="1:26">
      <c r="A33" s="177"/>
      <c r="B33" s="177"/>
      <c r="C33" s="177"/>
      <c r="D33" s="177"/>
      <c r="E33" s="177"/>
      <c r="F33" s="177"/>
      <c r="G33" s="177"/>
      <c r="H33" s="177"/>
      <c r="I33" s="177"/>
      <c r="J33" s="177"/>
      <c r="K33" s="177"/>
      <c r="L33" s="177"/>
      <c r="M33" s="177"/>
      <c r="N33" s="177"/>
      <c r="O33" s="177"/>
      <c r="P33" s="177"/>
      <c r="Q33" s="177"/>
      <c r="R33" s="177"/>
      <c r="S33" s="177"/>
      <c r="T33" s="177"/>
      <c r="U33" s="177"/>
      <c r="V33" s="177"/>
      <c r="W33" s="177"/>
      <c r="X33" s="177"/>
      <c r="Y33" s="177"/>
      <c r="Z33" s="177"/>
    </row>
    <row r="34" spans="1:26">
      <c r="A34" s="177"/>
      <c r="B34" s="177"/>
      <c r="C34" s="177"/>
      <c r="D34" s="177"/>
      <c r="E34" s="177"/>
      <c r="F34" s="177"/>
      <c r="G34" s="177"/>
      <c r="H34" s="177"/>
      <c r="I34" s="177"/>
      <c r="J34" s="177"/>
      <c r="K34" s="177"/>
      <c r="L34" s="177"/>
      <c r="M34" s="177"/>
      <c r="N34" s="177"/>
      <c r="O34" s="177"/>
      <c r="P34" s="177"/>
      <c r="Q34" s="177"/>
      <c r="R34" s="177"/>
      <c r="S34" s="177"/>
      <c r="T34" s="177"/>
      <c r="U34" s="177"/>
      <c r="V34" s="177"/>
      <c r="W34" s="177"/>
      <c r="X34" s="177"/>
      <c r="Y34" s="177"/>
      <c r="Z34" s="177"/>
    </row>
    <row r="35" spans="1:26">
      <c r="A35" s="177"/>
      <c r="B35" s="177"/>
      <c r="C35" s="177"/>
      <c r="D35" s="177"/>
      <c r="E35" s="177"/>
      <c r="F35" s="177"/>
      <c r="G35" s="177"/>
      <c r="H35" s="177"/>
      <c r="I35" s="177"/>
      <c r="J35" s="177"/>
      <c r="K35" s="177"/>
      <c r="L35" s="177"/>
      <c r="M35" s="177"/>
      <c r="N35" s="177"/>
      <c r="O35" s="177"/>
      <c r="P35" s="177"/>
      <c r="Q35" s="177"/>
      <c r="R35" s="177"/>
      <c r="S35" s="177"/>
      <c r="T35" s="177"/>
      <c r="U35" s="177"/>
      <c r="V35" s="177"/>
      <c r="W35" s="177"/>
      <c r="X35" s="177"/>
      <c r="Y35" s="177"/>
      <c r="Z35" s="177"/>
    </row>
    <row r="36" spans="1:26">
      <c r="A36" s="177"/>
      <c r="B36" s="177"/>
      <c r="C36" s="177"/>
      <c r="D36" s="177"/>
      <c r="E36" s="177"/>
      <c r="F36" s="177"/>
      <c r="G36" s="177"/>
      <c r="H36" s="177"/>
      <c r="I36" s="177"/>
      <c r="J36" s="177"/>
      <c r="K36" s="177"/>
      <c r="L36" s="177"/>
      <c r="M36" s="177"/>
      <c r="N36" s="177"/>
      <c r="O36" s="177"/>
      <c r="P36" s="177"/>
      <c r="Q36" s="177"/>
      <c r="R36" s="177"/>
      <c r="S36" s="177"/>
      <c r="T36" s="177"/>
      <c r="U36" s="177"/>
      <c r="V36" s="177"/>
      <c r="W36" s="177"/>
      <c r="X36" s="177"/>
      <c r="Y36" s="177"/>
      <c r="Z36" s="177"/>
    </row>
    <row r="37" spans="1:26">
      <c r="A37" s="177"/>
      <c r="B37" s="177"/>
      <c r="C37" s="177"/>
      <c r="D37" s="177"/>
      <c r="E37" s="177"/>
      <c r="F37" s="177"/>
      <c r="G37" s="177"/>
      <c r="H37" s="177"/>
      <c r="I37" s="177"/>
      <c r="J37" s="177"/>
      <c r="K37" s="177"/>
      <c r="L37" s="177"/>
      <c r="M37" s="177"/>
      <c r="N37" s="177"/>
      <c r="O37" s="177"/>
      <c r="P37" s="177"/>
      <c r="Q37" s="177"/>
      <c r="R37" s="177"/>
      <c r="S37" s="177"/>
      <c r="T37" s="177"/>
      <c r="U37" s="177"/>
      <c r="V37" s="177"/>
      <c r="W37" s="177"/>
      <c r="X37" s="177"/>
      <c r="Y37" s="177"/>
      <c r="Z37" s="177"/>
    </row>
    <row r="38" spans="1:26">
      <c r="A38" s="177"/>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row>
    <row r="39" spans="1:26">
      <c r="A39" s="177"/>
      <c r="B39" s="177"/>
      <c r="C39" s="177"/>
      <c r="D39" s="177"/>
      <c r="E39" s="177"/>
      <c r="F39" s="177"/>
      <c r="G39" s="177"/>
      <c r="H39" s="177"/>
      <c r="I39" s="177"/>
      <c r="J39" s="177"/>
      <c r="K39" s="177"/>
      <c r="L39" s="177"/>
      <c r="M39" s="177"/>
      <c r="N39" s="177"/>
      <c r="O39" s="177"/>
      <c r="P39" s="177"/>
      <c r="Q39" s="177"/>
      <c r="R39" s="177"/>
      <c r="S39" s="177"/>
      <c r="T39" s="177"/>
      <c r="U39" s="177"/>
      <c r="V39" s="177"/>
      <c r="W39" s="177"/>
      <c r="X39" s="177"/>
      <c r="Y39" s="177"/>
      <c r="Z39" s="177"/>
    </row>
    <row r="40" spans="1:26">
      <c r="A40" s="177"/>
      <c r="B40" s="177"/>
      <c r="C40" s="177"/>
      <c r="D40" s="177"/>
      <c r="E40" s="177"/>
      <c r="F40" s="177"/>
      <c r="G40" s="177"/>
      <c r="H40" s="177"/>
      <c r="I40" s="177"/>
      <c r="J40" s="177"/>
      <c r="K40" s="177"/>
      <c r="L40" s="177"/>
      <c r="M40" s="177"/>
      <c r="N40" s="177"/>
      <c r="O40" s="177"/>
      <c r="P40" s="177"/>
      <c r="Q40" s="177"/>
      <c r="R40" s="177"/>
      <c r="S40" s="177"/>
      <c r="T40" s="177"/>
      <c r="U40" s="177"/>
      <c r="V40" s="177"/>
      <c r="W40" s="177"/>
      <c r="X40" s="177"/>
      <c r="Y40" s="177"/>
      <c r="Z40" s="177"/>
    </row>
    <row r="41" spans="1:26">
      <c r="A41" s="177"/>
      <c r="B41" s="177"/>
      <c r="C41" s="177"/>
      <c r="D41" s="177"/>
      <c r="E41" s="177"/>
      <c r="F41" s="177"/>
      <c r="G41" s="177"/>
      <c r="H41" s="177"/>
      <c r="I41" s="177"/>
      <c r="J41" s="177"/>
      <c r="K41" s="177"/>
      <c r="L41" s="177"/>
      <c r="M41" s="177"/>
      <c r="N41" s="177"/>
      <c r="O41" s="177"/>
      <c r="P41" s="177"/>
      <c r="Q41" s="177"/>
      <c r="R41" s="177"/>
      <c r="S41" s="177"/>
      <c r="T41" s="177"/>
      <c r="U41" s="177"/>
      <c r="V41" s="177"/>
      <c r="W41" s="177"/>
      <c r="X41" s="177"/>
      <c r="Y41" s="177"/>
      <c r="Z41" s="177"/>
    </row>
    <row r="42" spans="1:26">
      <c r="A42" s="177"/>
      <c r="B42" s="177"/>
      <c r="C42" s="177"/>
      <c r="D42" s="177"/>
      <c r="E42" s="177"/>
      <c r="F42" s="177"/>
      <c r="G42" s="177"/>
      <c r="H42" s="177"/>
      <c r="I42" s="177"/>
      <c r="J42" s="177"/>
      <c r="K42" s="177"/>
      <c r="L42" s="177"/>
      <c r="M42" s="177"/>
      <c r="N42" s="177"/>
      <c r="O42" s="177"/>
      <c r="P42" s="177"/>
      <c r="Q42" s="177"/>
      <c r="R42" s="177"/>
      <c r="S42" s="177"/>
      <c r="T42" s="177"/>
      <c r="U42" s="177"/>
      <c r="V42" s="177"/>
      <c r="W42" s="177"/>
      <c r="X42" s="177"/>
      <c r="Y42" s="177"/>
      <c r="Z42" s="177"/>
    </row>
    <row r="43" spans="1:26">
      <c r="A43" s="177"/>
      <c r="B43" s="177"/>
      <c r="C43" s="177"/>
      <c r="D43" s="177"/>
      <c r="E43" s="177"/>
      <c r="F43" s="177"/>
      <c r="G43" s="177"/>
      <c r="H43" s="177"/>
      <c r="I43" s="177"/>
      <c r="J43" s="177"/>
      <c r="K43" s="177"/>
      <c r="L43" s="177"/>
      <c r="M43" s="177"/>
      <c r="N43" s="177"/>
      <c r="O43" s="177"/>
      <c r="P43" s="177"/>
      <c r="Q43" s="177"/>
      <c r="R43" s="177"/>
      <c r="S43" s="177"/>
      <c r="T43" s="177"/>
      <c r="U43" s="177"/>
      <c r="V43" s="177"/>
      <c r="W43" s="177"/>
      <c r="X43" s="177"/>
      <c r="Y43" s="177"/>
      <c r="Z43" s="177"/>
    </row>
    <row r="44" spans="1:26">
      <c r="A44" s="177"/>
      <c r="B44" s="177"/>
      <c r="C44" s="177"/>
      <c r="D44" s="177"/>
      <c r="E44" s="177"/>
      <c r="F44" s="177"/>
      <c r="G44" s="177"/>
      <c r="H44" s="177"/>
      <c r="I44" s="177"/>
      <c r="J44" s="177"/>
      <c r="K44" s="177"/>
      <c r="L44" s="177"/>
      <c r="M44" s="177"/>
      <c r="N44" s="177"/>
      <c r="O44" s="177"/>
      <c r="P44" s="177"/>
      <c r="Q44" s="177"/>
      <c r="R44" s="177"/>
      <c r="S44" s="177"/>
      <c r="T44" s="177"/>
      <c r="U44" s="177"/>
      <c r="V44" s="177"/>
      <c r="W44" s="177"/>
      <c r="X44" s="177"/>
      <c r="Y44" s="177"/>
      <c r="Z44" s="177"/>
    </row>
    <row r="45" spans="1:26">
      <c r="A45" s="177"/>
      <c r="B45" s="177"/>
      <c r="C45" s="177"/>
      <c r="D45" s="177"/>
      <c r="E45" s="177"/>
      <c r="F45" s="177"/>
      <c r="G45" s="177"/>
      <c r="H45" s="177"/>
      <c r="I45" s="177"/>
      <c r="J45" s="177"/>
      <c r="K45" s="177"/>
      <c r="L45" s="177"/>
      <c r="M45" s="177"/>
      <c r="N45" s="177"/>
      <c r="O45" s="177"/>
      <c r="P45" s="177"/>
      <c r="Q45" s="177"/>
      <c r="R45" s="177"/>
      <c r="S45" s="177"/>
      <c r="T45" s="177"/>
      <c r="U45" s="177"/>
      <c r="V45" s="177"/>
      <c r="W45" s="177"/>
      <c r="X45" s="177"/>
      <c r="Y45" s="177"/>
      <c r="Z45" s="177"/>
    </row>
    <row r="46" spans="1:26">
      <c r="A46" s="177"/>
      <c r="B46" s="177"/>
      <c r="C46" s="177"/>
      <c r="D46" s="177"/>
      <c r="E46" s="177"/>
      <c r="F46" s="177"/>
      <c r="G46" s="177"/>
      <c r="H46" s="177"/>
      <c r="I46" s="177"/>
      <c r="J46" s="177"/>
      <c r="K46" s="177"/>
      <c r="L46" s="177"/>
      <c r="M46" s="177"/>
      <c r="N46" s="177"/>
      <c r="O46" s="177"/>
      <c r="P46" s="177"/>
      <c r="Q46" s="177"/>
      <c r="R46" s="177"/>
      <c r="S46" s="177"/>
      <c r="T46" s="177"/>
      <c r="U46" s="177"/>
      <c r="V46" s="177"/>
      <c r="W46" s="177"/>
      <c r="X46" s="177"/>
      <c r="Y46" s="177"/>
      <c r="Z46" s="177"/>
    </row>
    <row r="47" spans="1:26">
      <c r="A47" s="177"/>
      <c r="B47" s="177"/>
      <c r="C47" s="177"/>
      <c r="D47" s="177"/>
      <c r="E47" s="177"/>
      <c r="F47" s="177"/>
      <c r="G47" s="177"/>
      <c r="H47" s="177"/>
      <c r="I47" s="177"/>
      <c r="J47" s="177"/>
      <c r="K47" s="177"/>
      <c r="L47" s="177"/>
      <c r="M47" s="177"/>
      <c r="N47" s="177"/>
      <c r="O47" s="177"/>
      <c r="P47" s="177"/>
      <c r="Q47" s="177"/>
      <c r="R47" s="177"/>
      <c r="S47" s="177"/>
      <c r="T47" s="177"/>
      <c r="U47" s="177"/>
      <c r="V47" s="177"/>
      <c r="W47" s="177"/>
      <c r="X47" s="177"/>
      <c r="Y47" s="177"/>
      <c r="Z47" s="177"/>
    </row>
    <row r="48" spans="1:26">
      <c r="A48" s="177"/>
      <c r="B48" s="177"/>
      <c r="C48" s="177"/>
      <c r="D48" s="177"/>
      <c r="E48" s="177"/>
      <c r="F48" s="177"/>
      <c r="G48" s="177"/>
      <c r="H48" s="177"/>
      <c r="I48" s="177"/>
      <c r="J48" s="177"/>
      <c r="K48" s="177"/>
      <c r="L48" s="177"/>
      <c r="M48" s="177"/>
      <c r="N48" s="177"/>
      <c r="O48" s="177"/>
      <c r="P48" s="177"/>
      <c r="Q48" s="177"/>
      <c r="R48" s="177"/>
      <c r="S48" s="177"/>
      <c r="T48" s="177"/>
      <c r="U48" s="177"/>
      <c r="V48" s="177"/>
      <c r="W48" s="177"/>
      <c r="X48" s="177"/>
      <c r="Y48" s="177"/>
      <c r="Z48" s="177"/>
    </row>
    <row r="49" spans="1:26">
      <c r="A49" s="177"/>
      <c r="B49" s="177"/>
      <c r="C49" s="177"/>
      <c r="D49" s="177"/>
      <c r="E49" s="177"/>
      <c r="F49" s="177"/>
      <c r="G49" s="177"/>
      <c r="H49" s="177"/>
      <c r="I49" s="177"/>
      <c r="J49" s="177"/>
      <c r="K49" s="177"/>
      <c r="L49" s="177"/>
      <c r="M49" s="177"/>
      <c r="N49" s="177"/>
      <c r="O49" s="177"/>
      <c r="P49" s="177"/>
      <c r="Q49" s="177"/>
      <c r="R49" s="177"/>
      <c r="S49" s="177"/>
      <c r="T49" s="177"/>
      <c r="U49" s="177"/>
      <c r="V49" s="177"/>
      <c r="W49" s="177"/>
      <c r="X49" s="177"/>
      <c r="Y49" s="177"/>
      <c r="Z49" s="177"/>
    </row>
    <row r="50" spans="1:26">
      <c r="A50" s="177"/>
      <c r="B50" s="177"/>
      <c r="C50" s="177"/>
      <c r="D50" s="177"/>
      <c r="P50" s="177"/>
      <c r="Q50" s="177"/>
      <c r="R50" s="177"/>
      <c r="S50" s="177"/>
      <c r="T50" s="177"/>
      <c r="U50" s="177"/>
      <c r="V50" s="177"/>
      <c r="W50" s="177"/>
      <c r="X50" s="177"/>
      <c r="Y50" s="177"/>
      <c r="Z50" s="177"/>
    </row>
    <row r="51" spans="1:26">
      <c r="A51" s="177"/>
      <c r="B51" s="177"/>
      <c r="C51" s="177"/>
      <c r="D51" s="177"/>
      <c r="E51" s="177"/>
      <c r="F51" s="177"/>
      <c r="G51" s="177"/>
      <c r="H51" s="177"/>
      <c r="I51" s="177"/>
      <c r="J51" s="177"/>
      <c r="K51" s="177"/>
      <c r="L51" s="177"/>
      <c r="M51" s="177"/>
      <c r="N51" s="177"/>
      <c r="O51" s="177"/>
      <c r="P51" s="177"/>
      <c r="Q51" s="177"/>
      <c r="R51" s="177"/>
      <c r="S51" s="177"/>
      <c r="T51" s="177"/>
      <c r="U51" s="177"/>
      <c r="V51" s="177"/>
      <c r="W51" s="177"/>
      <c r="X51" s="177"/>
      <c r="Y51" s="177"/>
      <c r="Z51" s="177"/>
    </row>
    <row r="52" spans="1:26">
      <c r="A52" s="177"/>
      <c r="B52" s="177"/>
      <c r="C52" s="177"/>
      <c r="D52" s="177"/>
      <c r="E52" s="177"/>
      <c r="F52" s="177"/>
      <c r="G52" s="177"/>
      <c r="H52" s="177"/>
      <c r="I52" s="177"/>
      <c r="J52" s="177"/>
      <c r="K52" s="177"/>
      <c r="L52" s="177"/>
      <c r="M52" s="177"/>
      <c r="N52" s="177"/>
      <c r="O52" s="177"/>
      <c r="P52" s="177"/>
      <c r="Q52" s="177"/>
      <c r="R52" s="177"/>
      <c r="S52" s="177"/>
      <c r="T52" s="177"/>
      <c r="U52" s="177"/>
      <c r="V52" s="177"/>
      <c r="W52" s="177"/>
      <c r="X52" s="177"/>
      <c r="Y52" s="177"/>
      <c r="Z52" s="177"/>
    </row>
    <row r="53" spans="1:26">
      <c r="A53" s="177"/>
      <c r="B53" s="177"/>
      <c r="C53" s="177"/>
      <c r="D53" s="177"/>
      <c r="E53" s="177"/>
      <c r="F53" s="177"/>
      <c r="G53" s="177"/>
      <c r="H53" s="177"/>
      <c r="I53" s="177"/>
      <c r="J53" s="177"/>
      <c r="K53" s="177"/>
      <c r="L53" s="177"/>
      <c r="M53" s="177"/>
      <c r="N53" s="177"/>
      <c r="O53" s="177"/>
      <c r="P53" s="177"/>
      <c r="Q53" s="177"/>
      <c r="R53" s="177"/>
      <c r="S53" s="177"/>
      <c r="T53" s="177"/>
      <c r="U53" s="177"/>
      <c r="V53" s="177"/>
      <c r="W53" s="177"/>
      <c r="X53" s="177"/>
      <c r="Y53" s="177"/>
      <c r="Z53" s="177"/>
    </row>
    <row r="54" spans="1:26">
      <c r="A54" s="177"/>
      <c r="B54" s="177"/>
      <c r="C54" s="177"/>
      <c r="D54" s="177"/>
      <c r="E54" s="177"/>
      <c r="F54" s="177"/>
      <c r="G54" s="177"/>
      <c r="H54" s="177"/>
      <c r="I54" s="177"/>
      <c r="J54" s="177"/>
      <c r="K54" s="177"/>
      <c r="L54" s="177"/>
      <c r="M54" s="177"/>
      <c r="N54" s="177"/>
      <c r="O54" s="177"/>
      <c r="P54" s="177"/>
      <c r="Q54" s="177"/>
      <c r="R54" s="177"/>
      <c r="S54" s="177"/>
      <c r="T54" s="177"/>
      <c r="U54" s="177"/>
      <c r="V54" s="177"/>
      <c r="W54" s="177"/>
      <c r="X54" s="177"/>
      <c r="Y54" s="177"/>
      <c r="Z54" s="177"/>
    </row>
    <row r="55" spans="1:26">
      <c r="A55" s="177"/>
      <c r="B55" s="177"/>
      <c r="C55" s="177"/>
      <c r="D55" s="177"/>
      <c r="E55" s="177"/>
      <c r="F55" s="177"/>
      <c r="G55" s="177"/>
      <c r="H55" s="177"/>
      <c r="I55" s="177"/>
      <c r="J55" s="177"/>
      <c r="K55" s="177"/>
      <c r="L55" s="177"/>
      <c r="M55" s="177"/>
      <c r="N55" s="177"/>
      <c r="O55" s="177"/>
      <c r="P55" s="177"/>
      <c r="Q55" s="177"/>
      <c r="R55" s="177"/>
      <c r="S55" s="177"/>
      <c r="T55" s="177"/>
      <c r="U55" s="177"/>
      <c r="V55" s="177"/>
      <c r="W55" s="177"/>
      <c r="X55" s="177"/>
      <c r="Y55" s="177"/>
      <c r="Z55" s="177"/>
    </row>
    <row r="56" spans="1:26">
      <c r="A56" s="177"/>
      <c r="B56" s="177"/>
      <c r="C56" s="177"/>
      <c r="D56" s="177"/>
      <c r="E56" s="177"/>
      <c r="F56" s="177"/>
      <c r="G56" s="177"/>
      <c r="H56" s="177"/>
      <c r="I56" s="177"/>
      <c r="J56" s="177"/>
      <c r="K56" s="177"/>
      <c r="L56" s="177"/>
      <c r="M56" s="177"/>
      <c r="N56" s="177"/>
      <c r="O56" s="177"/>
      <c r="P56" s="177"/>
      <c r="Q56" s="177"/>
      <c r="R56" s="177"/>
      <c r="S56" s="177"/>
      <c r="T56" s="177"/>
      <c r="U56" s="177"/>
      <c r="V56" s="177"/>
      <c r="W56" s="177"/>
      <c r="X56" s="177"/>
      <c r="Y56" s="177"/>
      <c r="Z56" s="177"/>
    </row>
    <row r="57" spans="1:26">
      <c r="A57" s="177"/>
      <c r="B57" s="177"/>
      <c r="C57" s="177"/>
      <c r="D57" s="177"/>
      <c r="E57" s="177"/>
      <c r="F57" s="177"/>
      <c r="G57" s="177"/>
      <c r="H57" s="177"/>
      <c r="I57" s="177"/>
      <c r="J57" s="177"/>
      <c r="K57" s="177"/>
      <c r="L57" s="177"/>
      <c r="M57" s="177"/>
      <c r="N57" s="177"/>
      <c r="O57" s="177"/>
      <c r="P57" s="177"/>
      <c r="Q57" s="177"/>
      <c r="R57" s="177"/>
      <c r="S57" s="177"/>
      <c r="T57" s="177"/>
      <c r="U57" s="177"/>
      <c r="V57" s="177"/>
      <c r="W57" s="177"/>
      <c r="X57" s="177"/>
      <c r="Y57" s="177"/>
      <c r="Z57" s="177"/>
    </row>
    <row r="58" spans="1:26">
      <c r="A58" s="177"/>
      <c r="B58" s="177"/>
      <c r="C58" s="177"/>
      <c r="D58" s="177"/>
      <c r="E58" s="177"/>
      <c r="F58" s="177"/>
      <c r="G58" s="177"/>
      <c r="H58" s="177"/>
      <c r="I58" s="177"/>
      <c r="J58" s="177"/>
      <c r="K58" s="177"/>
      <c r="L58" s="177"/>
      <c r="M58" s="177"/>
      <c r="N58" s="177"/>
      <c r="O58" s="177"/>
      <c r="P58" s="177"/>
      <c r="Q58" s="177"/>
      <c r="R58" s="177"/>
      <c r="S58" s="177"/>
      <c r="T58" s="177"/>
      <c r="U58" s="177"/>
      <c r="V58" s="177"/>
      <c r="W58" s="177"/>
      <c r="X58" s="177"/>
      <c r="Y58" s="177"/>
      <c r="Z58" s="177"/>
    </row>
    <row r="59" spans="1:26">
      <c r="A59" s="177"/>
      <c r="B59" s="177"/>
      <c r="C59" s="177"/>
      <c r="D59" s="177"/>
      <c r="E59" s="177"/>
      <c r="F59" s="177"/>
      <c r="G59" s="177"/>
      <c r="H59" s="177"/>
      <c r="I59" s="177"/>
      <c r="J59" s="177"/>
      <c r="K59" s="177"/>
      <c r="L59" s="177"/>
      <c r="M59" s="177"/>
      <c r="N59" s="177"/>
      <c r="O59" s="177"/>
      <c r="P59" s="177"/>
      <c r="Q59" s="177"/>
      <c r="R59" s="177"/>
      <c r="S59" s="177"/>
      <c r="T59" s="177"/>
      <c r="U59" s="177"/>
      <c r="V59" s="177"/>
      <c r="W59" s="177"/>
      <c r="X59" s="177"/>
      <c r="Y59" s="177"/>
      <c r="Z59" s="177"/>
    </row>
    <row r="60" spans="1:26">
      <c r="A60" s="177"/>
      <c r="B60" s="177"/>
      <c r="C60" s="177"/>
      <c r="D60" s="177"/>
      <c r="E60" s="177"/>
      <c r="F60" s="177"/>
      <c r="G60" s="177"/>
      <c r="H60" s="177"/>
      <c r="I60" s="177"/>
      <c r="J60" s="177"/>
      <c r="K60" s="177"/>
      <c r="L60" s="177"/>
      <c r="M60" s="177"/>
      <c r="N60" s="177"/>
      <c r="O60" s="177"/>
      <c r="P60" s="177"/>
      <c r="Q60" s="177"/>
      <c r="R60" s="177"/>
      <c r="S60" s="177"/>
      <c r="T60" s="177"/>
      <c r="U60" s="177"/>
      <c r="V60" s="177"/>
      <c r="W60" s="177"/>
      <c r="X60" s="177"/>
      <c r="Y60" s="177"/>
      <c r="Z60" s="177"/>
    </row>
    <row r="61" spans="1:26">
      <c r="A61" s="177"/>
      <c r="B61" s="177"/>
      <c r="C61" s="177"/>
      <c r="D61" s="177"/>
      <c r="E61" s="177"/>
      <c r="F61" s="177"/>
      <c r="G61" s="177"/>
      <c r="H61" s="177"/>
      <c r="I61" s="177"/>
      <c r="J61" s="177"/>
      <c r="K61" s="177"/>
      <c r="L61" s="177"/>
      <c r="M61" s="177"/>
      <c r="N61" s="177"/>
      <c r="O61" s="177"/>
      <c r="P61" s="177"/>
      <c r="Q61" s="177"/>
      <c r="R61" s="177"/>
      <c r="S61" s="177"/>
      <c r="T61" s="177"/>
      <c r="U61" s="177"/>
      <c r="V61" s="177"/>
      <c r="W61" s="177"/>
      <c r="X61" s="177"/>
      <c r="Y61" s="177"/>
      <c r="Z61" s="177"/>
    </row>
    <row r="62" spans="1:26">
      <c r="A62" s="177"/>
      <c r="B62" s="177"/>
      <c r="C62" s="177"/>
      <c r="D62" s="177"/>
      <c r="E62" s="177"/>
      <c r="F62" s="177"/>
      <c r="G62" s="177"/>
      <c r="H62" s="177"/>
      <c r="I62" s="177"/>
      <c r="J62" s="177"/>
      <c r="K62" s="177"/>
      <c r="L62" s="177"/>
      <c r="M62" s="177"/>
      <c r="N62" s="177"/>
      <c r="O62" s="177"/>
      <c r="P62" s="177"/>
      <c r="Q62" s="177"/>
      <c r="R62" s="177"/>
      <c r="S62" s="177"/>
      <c r="T62" s="177"/>
      <c r="U62" s="177"/>
      <c r="V62" s="177"/>
      <c r="W62" s="177"/>
      <c r="X62" s="177"/>
      <c r="Y62" s="177"/>
      <c r="Z62" s="177"/>
    </row>
    <row r="63" spans="1:26">
      <c r="A63" s="177"/>
      <c r="B63" s="177"/>
      <c r="C63" s="177"/>
      <c r="D63" s="177"/>
      <c r="E63" s="177"/>
      <c r="F63" s="177"/>
      <c r="G63" s="177"/>
      <c r="H63" s="177"/>
      <c r="I63" s="177"/>
      <c r="J63" s="177"/>
      <c r="K63" s="177"/>
      <c r="L63" s="177"/>
      <c r="M63" s="177"/>
      <c r="N63" s="177"/>
      <c r="O63" s="177"/>
      <c r="P63" s="177"/>
      <c r="Q63" s="177"/>
      <c r="R63" s="177"/>
      <c r="S63" s="177"/>
      <c r="T63" s="177"/>
      <c r="U63" s="177"/>
      <c r="V63" s="177"/>
      <c r="W63" s="177"/>
      <c r="X63" s="177"/>
      <c r="Y63" s="177"/>
      <c r="Z63" s="177"/>
    </row>
    <row r="64" spans="1:26">
      <c r="A64" s="177"/>
      <c r="B64" s="177"/>
      <c r="C64" s="177"/>
      <c r="D64" s="177"/>
      <c r="E64" s="177"/>
      <c r="F64" s="177"/>
      <c r="G64" s="177"/>
      <c r="H64" s="177"/>
      <c r="I64" s="177"/>
      <c r="J64" s="177"/>
      <c r="K64" s="177"/>
      <c r="L64" s="177"/>
      <c r="M64" s="177"/>
      <c r="N64" s="177"/>
      <c r="O64" s="177"/>
      <c r="P64" s="177"/>
      <c r="Q64" s="177"/>
      <c r="R64" s="177"/>
      <c r="S64" s="177"/>
      <c r="T64" s="177"/>
      <c r="U64" s="177"/>
      <c r="V64" s="177"/>
      <c r="W64" s="177"/>
      <c r="X64" s="177"/>
      <c r="Y64" s="177"/>
      <c r="Z64" s="177"/>
    </row>
    <row r="65" spans="1:26">
      <c r="A65" s="177"/>
      <c r="B65" s="177"/>
      <c r="C65" s="177"/>
      <c r="D65" s="177"/>
      <c r="E65" s="177"/>
      <c r="F65" s="177"/>
      <c r="G65" s="177"/>
      <c r="H65" s="177"/>
      <c r="I65" s="177"/>
      <c r="J65" s="177"/>
      <c r="K65" s="177"/>
      <c r="L65" s="177"/>
      <c r="M65" s="177"/>
      <c r="N65" s="177"/>
      <c r="O65" s="177"/>
      <c r="P65" s="177"/>
      <c r="Q65" s="177"/>
      <c r="R65" s="177"/>
      <c r="S65" s="177"/>
      <c r="T65" s="177"/>
      <c r="U65" s="177"/>
      <c r="V65" s="177"/>
      <c r="W65" s="177"/>
      <c r="X65" s="177"/>
      <c r="Y65" s="177"/>
      <c r="Z65" s="177"/>
    </row>
    <row r="66" spans="1:26">
      <c r="A66" s="177"/>
      <c r="B66" s="177"/>
      <c r="C66" s="177"/>
      <c r="D66" s="177"/>
      <c r="E66" s="177"/>
      <c r="F66" s="177"/>
      <c r="G66" s="177"/>
      <c r="H66" s="177"/>
      <c r="I66" s="177"/>
      <c r="J66" s="177"/>
      <c r="K66" s="177"/>
      <c r="L66" s="177"/>
      <c r="M66" s="177"/>
      <c r="N66" s="177"/>
      <c r="O66" s="177"/>
      <c r="P66" s="177"/>
      <c r="Q66" s="177"/>
      <c r="R66" s="177"/>
      <c r="S66" s="177"/>
      <c r="T66" s="177"/>
      <c r="U66" s="177"/>
      <c r="V66" s="177"/>
      <c r="W66" s="177"/>
      <c r="X66" s="177"/>
      <c r="Y66" s="177"/>
      <c r="Z66" s="177"/>
    </row>
    <row r="67" spans="1:26">
      <c r="A67" s="177"/>
      <c r="B67" s="177"/>
      <c r="C67" s="177"/>
      <c r="D67" s="177"/>
      <c r="E67" s="177"/>
      <c r="F67" s="177"/>
      <c r="G67" s="177"/>
      <c r="H67" s="177"/>
      <c r="I67" s="177"/>
      <c r="J67" s="177"/>
      <c r="K67" s="177"/>
      <c r="L67" s="177"/>
      <c r="M67" s="177"/>
      <c r="N67" s="177"/>
      <c r="O67" s="177"/>
      <c r="P67" s="177"/>
      <c r="Q67" s="177"/>
      <c r="R67" s="177"/>
      <c r="S67" s="177"/>
      <c r="T67" s="177"/>
      <c r="U67" s="177"/>
      <c r="V67" s="177"/>
      <c r="W67" s="177"/>
      <c r="X67" s="177"/>
      <c r="Y67" s="177"/>
      <c r="Z67" s="177"/>
    </row>
    <row r="68" spans="1:26">
      <c r="A68" s="177"/>
      <c r="B68" s="177"/>
      <c r="C68" s="177"/>
      <c r="D68" s="177"/>
      <c r="E68" s="177"/>
      <c r="F68" s="177"/>
      <c r="G68" s="177"/>
      <c r="H68" s="177"/>
      <c r="I68" s="177"/>
      <c r="J68" s="177"/>
      <c r="K68" s="177"/>
      <c r="L68" s="177"/>
      <c r="M68" s="177"/>
      <c r="N68" s="177"/>
      <c r="O68" s="177"/>
      <c r="P68" s="177"/>
      <c r="Q68" s="177"/>
      <c r="R68" s="177"/>
      <c r="S68" s="177"/>
      <c r="T68" s="177"/>
      <c r="U68" s="177"/>
      <c r="V68" s="177"/>
      <c r="W68" s="177"/>
      <c r="X68" s="177"/>
      <c r="Y68" s="177"/>
      <c r="Z68" s="177"/>
    </row>
    <row r="69" spans="1:26">
      <c r="A69" s="177"/>
      <c r="B69" s="177"/>
      <c r="C69" s="177"/>
      <c r="D69" s="177"/>
      <c r="E69" s="177"/>
      <c r="F69" s="177"/>
      <c r="G69" s="177"/>
      <c r="H69" s="177"/>
      <c r="I69" s="177"/>
      <c r="J69" s="177"/>
      <c r="K69" s="177"/>
      <c r="L69" s="177"/>
      <c r="M69" s="177"/>
      <c r="N69" s="177"/>
      <c r="O69" s="177"/>
      <c r="P69" s="177"/>
      <c r="Q69" s="177"/>
      <c r="R69" s="177"/>
      <c r="S69" s="177"/>
      <c r="T69" s="177"/>
      <c r="U69" s="177"/>
      <c r="V69" s="177"/>
      <c r="W69" s="177"/>
      <c r="X69" s="177"/>
      <c r="Y69" s="177"/>
      <c r="Z69" s="177"/>
    </row>
    <row r="70" spans="1:26">
      <c r="A70" s="177"/>
      <c r="B70" s="177"/>
      <c r="C70" s="177"/>
      <c r="D70" s="177"/>
      <c r="E70" s="177"/>
      <c r="F70" s="177"/>
      <c r="G70" s="177"/>
      <c r="H70" s="177"/>
      <c r="I70" s="177"/>
      <c r="J70" s="177"/>
      <c r="K70" s="177"/>
      <c r="L70" s="177"/>
      <c r="M70" s="177"/>
      <c r="N70" s="177"/>
      <c r="O70" s="177"/>
      <c r="P70" s="177"/>
      <c r="Q70" s="177"/>
      <c r="R70" s="177"/>
      <c r="S70" s="177"/>
      <c r="T70" s="177"/>
      <c r="U70" s="177"/>
      <c r="V70" s="177"/>
      <c r="W70" s="177"/>
      <c r="X70" s="177"/>
      <c r="Y70" s="177"/>
      <c r="Z70" s="177"/>
    </row>
    <row r="71" spans="1:26">
      <c r="A71" s="177"/>
      <c r="B71" s="177"/>
      <c r="C71" s="177"/>
      <c r="D71" s="177"/>
      <c r="E71" s="177"/>
      <c r="F71" s="177"/>
      <c r="G71" s="177"/>
      <c r="H71" s="177"/>
      <c r="I71" s="177"/>
      <c r="J71" s="177"/>
      <c r="K71" s="177"/>
      <c r="L71" s="177"/>
      <c r="M71" s="177"/>
      <c r="N71" s="177"/>
      <c r="O71" s="177"/>
      <c r="P71" s="177"/>
      <c r="Q71" s="177"/>
      <c r="R71" s="177"/>
      <c r="S71" s="177"/>
      <c r="T71" s="177"/>
      <c r="U71" s="177"/>
      <c r="V71" s="177"/>
      <c r="W71" s="177"/>
      <c r="X71" s="177"/>
      <c r="Y71" s="177"/>
      <c r="Z71" s="177"/>
    </row>
    <row r="72" spans="1:26">
      <c r="A72" s="177"/>
      <c r="B72" s="177"/>
      <c r="C72" s="177"/>
      <c r="D72" s="177"/>
      <c r="E72" s="177"/>
      <c r="F72" s="177"/>
      <c r="G72" s="177"/>
      <c r="H72" s="177"/>
      <c r="I72" s="177"/>
      <c r="J72" s="177"/>
      <c r="K72" s="177"/>
      <c r="L72" s="177"/>
      <c r="M72" s="177"/>
      <c r="N72" s="177"/>
      <c r="O72" s="177"/>
      <c r="P72" s="177"/>
      <c r="Q72" s="177"/>
      <c r="R72" s="177"/>
      <c r="S72" s="177"/>
      <c r="T72" s="177"/>
      <c r="U72" s="177"/>
      <c r="V72" s="177"/>
      <c r="W72" s="177"/>
      <c r="X72" s="177"/>
      <c r="Y72" s="177"/>
      <c r="Z72" s="177"/>
    </row>
    <row r="73" spans="1:26">
      <c r="A73" s="177"/>
      <c r="B73" s="177"/>
      <c r="C73" s="177"/>
      <c r="D73" s="177"/>
      <c r="E73" s="177"/>
      <c r="F73" s="177"/>
      <c r="G73" s="177"/>
      <c r="H73" s="177"/>
      <c r="I73" s="177"/>
      <c r="J73" s="177"/>
      <c r="K73" s="177"/>
      <c r="L73" s="177"/>
      <c r="M73" s="177"/>
      <c r="N73" s="177"/>
      <c r="O73" s="177"/>
      <c r="P73" s="177"/>
      <c r="Q73" s="177"/>
      <c r="R73" s="177"/>
      <c r="S73" s="177"/>
      <c r="T73" s="177"/>
      <c r="U73" s="177"/>
      <c r="V73" s="177"/>
      <c r="W73" s="177"/>
      <c r="X73" s="177"/>
      <c r="Y73" s="177"/>
      <c r="Z73" s="177"/>
    </row>
    <row r="74" spans="1:26">
      <c r="A74" s="177"/>
      <c r="B74" s="177"/>
      <c r="C74" s="177"/>
      <c r="D74" s="177"/>
      <c r="E74" s="177"/>
      <c r="F74" s="177"/>
      <c r="G74" s="177"/>
      <c r="H74" s="177"/>
      <c r="I74" s="177"/>
      <c r="J74" s="177"/>
      <c r="K74" s="177"/>
      <c r="L74" s="177"/>
      <c r="M74" s="177"/>
      <c r="N74" s="177"/>
      <c r="O74" s="177"/>
      <c r="P74" s="177"/>
      <c r="Q74" s="177"/>
      <c r="R74" s="177"/>
      <c r="S74" s="177"/>
      <c r="T74" s="177"/>
      <c r="U74" s="177"/>
      <c r="V74" s="177"/>
      <c r="W74" s="177"/>
      <c r="X74" s="177"/>
      <c r="Y74" s="177"/>
      <c r="Z74" s="177"/>
    </row>
    <row r="75" spans="1:26">
      <c r="A75" s="177"/>
      <c r="B75" s="177"/>
      <c r="C75" s="177"/>
      <c r="D75" s="177"/>
      <c r="E75" s="177"/>
      <c r="F75" s="177"/>
      <c r="G75" s="177"/>
      <c r="H75" s="177"/>
      <c r="I75" s="177"/>
      <c r="J75" s="177"/>
      <c r="K75" s="177"/>
      <c r="L75" s="177"/>
      <c r="M75" s="177"/>
      <c r="N75" s="177"/>
      <c r="O75" s="177"/>
      <c r="P75" s="177"/>
      <c r="Q75" s="177"/>
      <c r="R75" s="177"/>
      <c r="S75" s="177"/>
      <c r="T75" s="177"/>
      <c r="U75" s="177"/>
      <c r="V75" s="177"/>
      <c r="W75" s="177"/>
      <c r="X75" s="177"/>
      <c r="Y75" s="177"/>
      <c r="Z75" s="177"/>
    </row>
    <row r="76" spans="1:26">
      <c r="A76" s="177"/>
      <c r="B76" s="177"/>
      <c r="C76" s="177"/>
      <c r="D76" s="177"/>
      <c r="E76" s="177"/>
      <c r="F76" s="177"/>
      <c r="G76" s="177"/>
      <c r="H76" s="177"/>
      <c r="I76" s="177"/>
      <c r="J76" s="177"/>
      <c r="K76" s="177"/>
      <c r="L76" s="177"/>
      <c r="M76" s="177"/>
      <c r="N76" s="177"/>
      <c r="O76" s="177"/>
      <c r="P76" s="177"/>
      <c r="Q76" s="177"/>
      <c r="R76" s="177"/>
      <c r="S76" s="177"/>
      <c r="T76" s="177"/>
      <c r="U76" s="177"/>
      <c r="V76" s="177"/>
      <c r="W76" s="177"/>
      <c r="X76" s="177"/>
      <c r="Y76" s="177"/>
      <c r="Z76" s="177"/>
    </row>
    <row r="77" spans="1:26">
      <c r="A77" s="177"/>
      <c r="B77" s="177"/>
      <c r="C77" s="177"/>
      <c r="D77" s="177"/>
      <c r="E77" s="177"/>
      <c r="F77" s="177"/>
      <c r="G77" s="177"/>
      <c r="H77" s="177"/>
      <c r="I77" s="177"/>
      <c r="J77" s="177"/>
      <c r="K77" s="177"/>
      <c r="L77" s="177"/>
      <c r="M77" s="177"/>
      <c r="N77" s="177"/>
      <c r="O77" s="177"/>
      <c r="P77" s="177"/>
      <c r="Q77" s="177"/>
      <c r="R77" s="177"/>
      <c r="S77" s="177"/>
      <c r="T77" s="177"/>
      <c r="U77" s="177"/>
      <c r="V77" s="177"/>
      <c r="W77" s="177"/>
      <c r="X77" s="177"/>
      <c r="Y77" s="177"/>
      <c r="Z77" s="177"/>
    </row>
    <row r="78" spans="1:26">
      <c r="A78" s="177"/>
      <c r="B78" s="177"/>
      <c r="C78" s="177"/>
      <c r="D78" s="177"/>
      <c r="E78" s="177"/>
      <c r="F78" s="177"/>
      <c r="G78" s="177"/>
      <c r="H78" s="177"/>
      <c r="I78" s="177"/>
      <c r="J78" s="177"/>
      <c r="K78" s="177"/>
      <c r="L78" s="177"/>
      <c r="M78" s="177"/>
      <c r="N78" s="177"/>
      <c r="O78" s="177"/>
      <c r="P78" s="177"/>
      <c r="Q78" s="177"/>
      <c r="R78" s="177"/>
      <c r="S78" s="177"/>
      <c r="T78" s="177"/>
      <c r="U78" s="177"/>
      <c r="V78" s="177"/>
      <c r="W78" s="177"/>
      <c r="X78" s="177"/>
      <c r="Y78" s="177"/>
      <c r="Z78" s="177"/>
    </row>
    <row r="79" spans="1:26">
      <c r="A79" s="177"/>
      <c r="B79" s="177"/>
      <c r="C79" s="177"/>
      <c r="D79" s="177"/>
      <c r="E79" s="177"/>
      <c r="F79" s="177"/>
      <c r="G79" s="177"/>
      <c r="H79" s="177"/>
      <c r="I79" s="177"/>
      <c r="J79" s="177"/>
      <c r="K79" s="177"/>
      <c r="L79" s="177"/>
      <c r="M79" s="177"/>
      <c r="N79" s="177"/>
      <c r="O79" s="177"/>
      <c r="P79" s="177"/>
      <c r="Q79" s="177"/>
      <c r="R79" s="177"/>
      <c r="S79" s="177"/>
      <c r="T79" s="177"/>
      <c r="U79" s="177"/>
      <c r="V79" s="177"/>
      <c r="W79" s="177"/>
      <c r="X79" s="177"/>
      <c r="Y79" s="177"/>
      <c r="Z79" s="177"/>
    </row>
    <row r="80" spans="1:26">
      <c r="A80" s="177"/>
      <c r="B80" s="177"/>
      <c r="C80" s="177"/>
      <c r="D80" s="177"/>
      <c r="E80" s="177"/>
      <c r="F80" s="177"/>
      <c r="G80" s="177"/>
      <c r="H80" s="177"/>
      <c r="I80" s="177"/>
      <c r="J80" s="177"/>
      <c r="K80" s="177"/>
      <c r="L80" s="177"/>
      <c r="M80" s="177"/>
      <c r="N80" s="177"/>
      <c r="O80" s="177"/>
      <c r="P80" s="177"/>
      <c r="Q80" s="177"/>
      <c r="R80" s="177"/>
      <c r="S80" s="177"/>
      <c r="T80" s="177"/>
      <c r="U80" s="177"/>
      <c r="V80" s="177"/>
      <c r="W80" s="177"/>
      <c r="X80" s="177"/>
      <c r="Y80" s="177"/>
      <c r="Z80" s="177"/>
    </row>
    <row r="81" spans="1:26">
      <c r="A81" s="177"/>
      <c r="B81" s="177"/>
      <c r="C81" s="177"/>
      <c r="D81" s="177"/>
      <c r="E81" s="177"/>
      <c r="F81" s="177"/>
      <c r="G81" s="177"/>
      <c r="H81" s="177"/>
      <c r="I81" s="177"/>
      <c r="J81" s="177"/>
      <c r="K81" s="177"/>
      <c r="L81" s="177"/>
      <c r="M81" s="177"/>
      <c r="N81" s="177"/>
      <c r="O81" s="177"/>
      <c r="P81" s="177"/>
      <c r="Q81" s="177"/>
      <c r="R81" s="177"/>
      <c r="S81" s="177"/>
      <c r="T81" s="177"/>
      <c r="U81" s="177"/>
      <c r="V81" s="177"/>
      <c r="W81" s="177"/>
      <c r="X81" s="177"/>
      <c r="Y81" s="177"/>
      <c r="Z81" s="177"/>
    </row>
    <row r="82" spans="1:26">
      <c r="A82" s="177"/>
      <c r="B82" s="177"/>
      <c r="C82" s="177"/>
      <c r="D82" s="177"/>
      <c r="E82" s="177"/>
      <c r="F82" s="177"/>
      <c r="G82" s="177"/>
      <c r="H82" s="177"/>
      <c r="I82" s="177"/>
      <c r="J82" s="177"/>
      <c r="K82" s="177"/>
      <c r="L82" s="177"/>
      <c r="M82" s="177"/>
      <c r="N82" s="177"/>
      <c r="O82" s="177"/>
      <c r="P82" s="177"/>
      <c r="Q82" s="177"/>
      <c r="R82" s="177"/>
      <c r="S82" s="177"/>
      <c r="T82" s="177"/>
      <c r="U82" s="177"/>
      <c r="V82" s="177"/>
      <c r="W82" s="177"/>
      <c r="X82" s="177"/>
      <c r="Y82" s="177"/>
      <c r="Z82" s="177"/>
    </row>
    <row r="83" spans="1:26">
      <c r="A83" s="177"/>
      <c r="B83" s="177"/>
      <c r="C83" s="177"/>
      <c r="D83" s="177"/>
      <c r="E83" s="177"/>
      <c r="F83" s="177"/>
      <c r="G83" s="177"/>
      <c r="H83" s="177"/>
      <c r="I83" s="177"/>
      <c r="J83" s="177"/>
      <c r="K83" s="177"/>
      <c r="L83" s="177"/>
      <c r="M83" s="177"/>
      <c r="N83" s="177"/>
      <c r="O83" s="177"/>
      <c r="P83" s="177"/>
      <c r="Q83" s="177"/>
      <c r="R83" s="177"/>
      <c r="S83" s="177"/>
      <c r="T83" s="177"/>
      <c r="U83" s="177"/>
      <c r="V83" s="177"/>
      <c r="W83" s="177"/>
      <c r="X83" s="177"/>
      <c r="Y83" s="177"/>
      <c r="Z83" s="177"/>
    </row>
    <row r="84" spans="1:26">
      <c r="A84" s="177"/>
      <c r="B84" s="177"/>
      <c r="C84" s="177"/>
      <c r="D84" s="177"/>
      <c r="E84" s="177"/>
      <c r="F84" s="177"/>
      <c r="G84" s="177"/>
      <c r="H84" s="177"/>
      <c r="I84" s="177"/>
      <c r="J84" s="177"/>
      <c r="K84" s="177"/>
      <c r="L84" s="177"/>
      <c r="M84" s="177"/>
      <c r="N84" s="177"/>
      <c r="O84" s="177"/>
      <c r="P84" s="177"/>
      <c r="Q84" s="177"/>
      <c r="R84" s="177"/>
      <c r="S84" s="177"/>
      <c r="T84" s="177"/>
      <c r="U84" s="177"/>
      <c r="V84" s="177"/>
      <c r="W84" s="177"/>
      <c r="X84" s="177"/>
      <c r="Y84" s="177"/>
      <c r="Z84" s="177"/>
    </row>
    <row r="85" spans="1:26">
      <c r="A85" s="177"/>
      <c r="B85" s="177"/>
      <c r="C85" s="177"/>
      <c r="D85" s="177"/>
      <c r="E85" s="177"/>
      <c r="F85" s="177"/>
      <c r="G85" s="177"/>
      <c r="H85" s="177"/>
      <c r="I85" s="177"/>
      <c r="J85" s="177"/>
      <c r="K85" s="177"/>
      <c r="L85" s="177"/>
      <c r="M85" s="177"/>
      <c r="N85" s="177"/>
      <c r="O85" s="177"/>
      <c r="P85" s="177"/>
      <c r="Q85" s="177"/>
      <c r="R85" s="177"/>
      <c r="S85" s="177"/>
      <c r="T85" s="177"/>
      <c r="U85" s="177"/>
      <c r="V85" s="177"/>
      <c r="W85" s="177"/>
      <c r="X85" s="177"/>
      <c r="Y85" s="177"/>
      <c r="Z85" s="177"/>
    </row>
    <row r="86" spans="1:26">
      <c r="A86" s="177"/>
      <c r="B86" s="177"/>
      <c r="C86" s="177"/>
      <c r="D86" s="177"/>
      <c r="E86" s="177"/>
      <c r="F86" s="177"/>
      <c r="G86" s="177"/>
      <c r="H86" s="177"/>
      <c r="I86" s="177"/>
      <c r="J86" s="177"/>
      <c r="K86" s="177"/>
      <c r="L86" s="177"/>
      <c r="M86" s="177"/>
      <c r="N86" s="177"/>
      <c r="O86" s="177"/>
      <c r="P86" s="177"/>
      <c r="Q86" s="177"/>
      <c r="R86" s="177"/>
      <c r="S86" s="177"/>
      <c r="T86" s="177"/>
      <c r="U86" s="177"/>
      <c r="V86" s="177"/>
      <c r="W86" s="177"/>
      <c r="X86" s="177"/>
      <c r="Y86" s="177"/>
      <c r="Z86" s="177"/>
    </row>
  </sheetData>
  <sheetProtection selectLockedCells="1"/>
  <mergeCells count="8">
    <mergeCell ref="A15:D15"/>
    <mergeCell ref="A23:C23"/>
    <mergeCell ref="A16:D17"/>
    <mergeCell ref="A18:C18"/>
    <mergeCell ref="A19:C19"/>
    <mergeCell ref="A20:C20"/>
    <mergeCell ref="A21:C21"/>
    <mergeCell ref="A22:C22"/>
  </mergeCells>
  <phoneticPr fontId="3" type="noConversion"/>
  <conditionalFormatting sqref="K50">
    <cfRule type="cellIs" dxfId="32" priority="1" stopIfTrue="1" operator="equal">
      <formula>0</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7" r:id="rId4" name="Button 5">
              <controlPr defaultSize="0" print="0" autoFill="0" autoPict="0" macro="[0]!go_main_page">
                <anchor moveWithCells="1" sizeWithCells="1">
                  <from>
                    <xdr:col>0</xdr:col>
                    <xdr:colOff>76200</xdr:colOff>
                    <xdr:row>0</xdr:row>
                    <xdr:rowOff>50800</xdr:rowOff>
                  </from>
                  <to>
                    <xdr:col>0</xdr:col>
                    <xdr:colOff>1447800</xdr:colOff>
                    <xdr:row>3</xdr:row>
                    <xdr:rowOff>31750</xdr:rowOff>
                  </to>
                </anchor>
              </controlPr>
            </control>
          </mc:Choice>
        </mc:AlternateContent>
        <mc:AlternateContent xmlns:mc="http://schemas.openxmlformats.org/markup-compatibility/2006">
          <mc:Choice Requires="x14">
            <control shapeId="23558" r:id="rId5" name="Button 6">
              <controlPr defaultSize="0" print="0" autoFill="0" autoPict="0" macro="[0]!go_figures_public_finance">
                <anchor moveWithCells="1" sizeWithCells="1">
                  <from>
                    <xdr:col>0</xdr:col>
                    <xdr:colOff>76200</xdr:colOff>
                    <xdr:row>6</xdr:row>
                    <xdr:rowOff>152400</xdr:rowOff>
                  </from>
                  <to>
                    <xdr:col>0</xdr:col>
                    <xdr:colOff>1447800</xdr:colOff>
                    <xdr:row>10</xdr:row>
                    <xdr:rowOff>0</xdr:rowOff>
                  </to>
                </anchor>
              </controlPr>
            </control>
          </mc:Choice>
        </mc:AlternateContent>
        <mc:AlternateContent xmlns:mc="http://schemas.openxmlformats.org/markup-compatibility/2006">
          <mc:Choice Requires="x14">
            <control shapeId="23559" r:id="rId6" name="Button 7">
              <controlPr defaultSize="0" print="0" autoFill="0" autoPict="0" macro="[0]!go_numerical_results">
                <anchor moveWithCells="1" sizeWithCells="1">
                  <from>
                    <xdr:col>0</xdr:col>
                    <xdr:colOff>76200</xdr:colOff>
                    <xdr:row>10</xdr:row>
                    <xdr:rowOff>69850</xdr:rowOff>
                  </from>
                  <to>
                    <xdr:col>0</xdr:col>
                    <xdr:colOff>1447800</xdr:colOff>
                    <xdr:row>13</xdr:row>
                    <xdr:rowOff>38100</xdr:rowOff>
                  </to>
                </anchor>
              </controlPr>
            </control>
          </mc:Choice>
        </mc:AlternateContent>
        <mc:AlternateContent xmlns:mc="http://schemas.openxmlformats.org/markup-compatibility/2006">
          <mc:Choice Requires="x14">
            <control shapeId="23569" r:id="rId7" name="Button 17">
              <controlPr defaultSize="0" print="0" autoFill="0" autoPict="0" macro="[0]!go_figures_inflation_income_rates">
                <anchor moveWithCells="1" sizeWithCells="1">
                  <from>
                    <xdr:col>0</xdr:col>
                    <xdr:colOff>76200</xdr:colOff>
                    <xdr:row>3</xdr:row>
                    <xdr:rowOff>114300</xdr:rowOff>
                  </from>
                  <to>
                    <xdr:col>0</xdr:col>
                    <xdr:colOff>1447800</xdr:colOff>
                    <xdr:row>6</xdr:row>
                    <xdr:rowOff>76200</xdr:rowOff>
                  </to>
                </anchor>
              </controlPr>
            </control>
          </mc:Choice>
        </mc:AlternateContent>
        <mc:AlternateContent xmlns:mc="http://schemas.openxmlformats.org/markup-compatibility/2006">
          <mc:Choice Requires="x14">
            <control shapeId="23572" r:id="rId8" name="Button 20">
              <controlPr defaultSize="0" print="0" autoFill="0" autoPict="0" macro="[0]!change_timespan2">
                <anchor moveWithCells="1" sizeWithCells="1">
                  <from>
                    <xdr:col>0</xdr:col>
                    <xdr:colOff>57150</xdr:colOff>
                    <xdr:row>25</xdr:row>
                    <xdr:rowOff>12700</xdr:rowOff>
                  </from>
                  <to>
                    <xdr:col>0</xdr:col>
                    <xdr:colOff>1371600</xdr:colOff>
                    <xdr:row>28</xdr:row>
                    <xdr:rowOff>50800</xdr:rowOff>
                  </to>
                </anchor>
              </controlPr>
            </control>
          </mc:Choice>
        </mc:AlternateContent>
        <mc:AlternateContent xmlns:mc="http://schemas.openxmlformats.org/markup-compatibility/2006">
          <mc:Choice Requires="x14">
            <control shapeId="23573" r:id="rId9" name="Button 21">
              <controlPr defaultSize="0" print="0" autoFill="0" autoPict="0" macro="[0]!NIIP_aclaración">
                <anchor moveWithCells="1" sizeWithCells="1">
                  <from>
                    <xdr:col>10</xdr:col>
                    <xdr:colOff>336550</xdr:colOff>
                    <xdr:row>38</xdr:row>
                    <xdr:rowOff>95250</xdr:rowOff>
                  </from>
                  <to>
                    <xdr:col>10</xdr:col>
                    <xdr:colOff>495300</xdr:colOff>
                    <xdr:row>39</xdr:row>
                    <xdr:rowOff>76200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15"/>
  <dimension ref="A2:K510"/>
  <sheetViews>
    <sheetView workbookViewId="0">
      <selection activeCell="H5" sqref="H5"/>
    </sheetView>
  </sheetViews>
  <sheetFormatPr defaultColWidth="10.90625" defaultRowHeight="12.5"/>
  <cols>
    <col min="2" max="2" width="13.81640625" style="180" bestFit="1" customWidth="1"/>
    <col min="3" max="3" width="11.453125" style="180"/>
    <col min="4" max="4" width="35.453125" style="116" bestFit="1" customWidth="1"/>
    <col min="5" max="5" width="18.7265625" style="180" bestFit="1" customWidth="1"/>
    <col min="6" max="6" width="18.7265625" customWidth="1"/>
    <col min="8" max="8" width="11.453125" style="180"/>
    <col min="10" max="10" width="32" bestFit="1" customWidth="1"/>
  </cols>
  <sheetData>
    <row r="2" spans="1:11">
      <c r="B2" s="180" t="s">
        <v>145</v>
      </c>
      <c r="C2" s="180" t="s">
        <v>146</v>
      </c>
      <c r="D2" s="116" t="s">
        <v>147</v>
      </c>
      <c r="E2" s="180" t="s">
        <v>157</v>
      </c>
      <c r="F2" t="s">
        <v>156</v>
      </c>
      <c r="G2" t="s">
        <v>155</v>
      </c>
      <c r="H2" s="180" t="s">
        <v>148</v>
      </c>
    </row>
    <row r="3" spans="1:11">
      <c r="A3">
        <v>1</v>
      </c>
      <c r="B3" s="180" t="e">
        <f>('normal case'!AC3*($K$6*'normal case'!D3*('normal case'!AC3^'external balance'!$K$4)))/'normal case'!D3</f>
        <v>#DIV/0!</v>
      </c>
      <c r="C3" s="180" t="e">
        <f>($K$5*$K$7*((1+$K$8)^'normal case'!A2)*'normal case'!AC3^$K$3)/'normal case'!D3</f>
        <v>#DIV/0!</v>
      </c>
      <c r="D3" s="116" t="e">
        <f>(C3-B3)+((('main page'!$U$38/100)*'normal case'!$D$3)/'normal case'!$D$3)</f>
        <v>#DIV/0!</v>
      </c>
      <c r="E3" s="180">
        <f>(('normal case'!M3/100)*'external balance'!G3)/('normal case'!D3*'normal case'!AD3)</f>
        <v>0</v>
      </c>
      <c r="F3" s="180" t="e">
        <f>D3+E3</f>
        <v>#DIV/0!</v>
      </c>
      <c r="G3">
        <f>H3*('normal case'!D3*'normal case'!AD3)</f>
        <v>0</v>
      </c>
      <c r="H3" s="180">
        <f>'main page'!U39/100</f>
        <v>0</v>
      </c>
      <c r="J3" t="s">
        <v>149</v>
      </c>
      <c r="K3">
        <v>0.7</v>
      </c>
    </row>
    <row r="4" spans="1:11">
      <c r="A4">
        <v>2</v>
      </c>
      <c r="B4" s="180" t="e">
        <f ca="1">('normal case'!AC4*($K$6*'normal case'!D4*('normal case'!AC4^'external balance'!$K$4)))/'normal case'!D4</f>
        <v>#DIV/0!</v>
      </c>
      <c r="C4" s="180" t="e">
        <f ca="1">($K$5*$K$7*((1+$K$8)^'normal case'!A3)*'normal case'!AC4^$K$3)/'normal case'!D4</f>
        <v>#DIV/0!</v>
      </c>
      <c r="D4" s="116" t="e">
        <f ca="1">(C4-B4)+((('main page'!$U$38/100)*'normal case'!$D$3)/'normal case'!$D$3)</f>
        <v>#DIV/0!</v>
      </c>
      <c r="E4" s="180">
        <f ca="1">((('normal case'!M4/100)*'external balance'!H3)/('normal case'!D4/'normal case'!D3))</f>
        <v>0</v>
      </c>
      <c r="F4" s="180" t="e">
        <f ca="1">IF(ABS(D4+E4-F3)&lt;0.0000001,F3,D4+E4)</f>
        <v>#DIV/0!</v>
      </c>
      <c r="H4" s="180" t="e">
        <f ca="1">D4+((1+'normal case'!M4/100)/('normal case'!D4/'normal case'!D3))*'external balance'!H3</f>
        <v>#DIV/0!</v>
      </c>
      <c r="I4" s="180"/>
      <c r="J4" t="s">
        <v>150</v>
      </c>
      <c r="K4">
        <v>-0.7</v>
      </c>
    </row>
    <row r="5" spans="1:11">
      <c r="A5">
        <v>3</v>
      </c>
      <c r="B5" s="180" t="e">
        <f ca="1">('normal case'!AC5*($K$6*'normal case'!D5*('normal case'!AC5^'external balance'!$K$4)))/'normal case'!D5</f>
        <v>#DIV/0!</v>
      </c>
      <c r="C5" s="180" t="e">
        <f ca="1">($K$5*$K$7*((1+$K$8)^'normal case'!A4)*'normal case'!AC5^$K$3)/'normal case'!D5</f>
        <v>#DIV/0!</v>
      </c>
      <c r="D5" s="116" t="e">
        <f ca="1">(C5-B5)+((('main page'!$U$38/100)*'normal case'!$D$3)/'normal case'!$D$3)</f>
        <v>#DIV/0!</v>
      </c>
      <c r="E5" s="180" t="e">
        <f ca="1">((('normal case'!M5/100)*'external balance'!H4)/('normal case'!D5/'normal case'!D4))</f>
        <v>#DIV/0!</v>
      </c>
      <c r="F5" s="180" t="e">
        <f t="shared" ref="F5:F68" ca="1" si="0">IF(ABS(D5+E5-F4)&lt;0.0000001,F4,D5+E5)</f>
        <v>#DIV/0!</v>
      </c>
      <c r="H5" s="180" t="e">
        <f ca="1">D5+((1+'normal case'!M5/100)/('normal case'!D5/'normal case'!D4))*'external balance'!H4</f>
        <v>#DIV/0!</v>
      </c>
      <c r="I5" s="180"/>
      <c r="J5" t="s">
        <v>151</v>
      </c>
      <c r="K5">
        <v>0.3</v>
      </c>
    </row>
    <row r="6" spans="1:11">
      <c r="A6">
        <v>4</v>
      </c>
      <c r="B6" s="180" t="e">
        <f ca="1">('normal case'!AC6*($K$6*'normal case'!D6*('normal case'!AC6^'external balance'!$K$4)))/'normal case'!D6</f>
        <v>#DIV/0!</v>
      </c>
      <c r="C6" s="180" t="e">
        <f ca="1">($K$5*$K$7*((1+$K$8)^'normal case'!A5)*'normal case'!AC6^$K$3)/'normal case'!D6</f>
        <v>#DIV/0!</v>
      </c>
      <c r="D6" s="116" t="e">
        <f ca="1">(C6-B6)+((('main page'!$U$38/100)*'normal case'!$D$3)/'normal case'!$D$3)</f>
        <v>#DIV/0!</v>
      </c>
      <c r="E6" s="180" t="e">
        <f ca="1">((('normal case'!M6/100)*'external balance'!H5)/('normal case'!D6/'normal case'!D5))</f>
        <v>#DIV/0!</v>
      </c>
      <c r="F6" s="180" t="e">
        <f t="shared" ca="1" si="0"/>
        <v>#DIV/0!</v>
      </c>
      <c r="H6" s="180" t="e">
        <f ca="1">D6+((1+'normal case'!M6/100)/('normal case'!D6/'normal case'!D5))*'external balance'!H5</f>
        <v>#DIV/0!</v>
      </c>
      <c r="I6" s="180"/>
      <c r="J6" t="s">
        <v>152</v>
      </c>
      <c r="K6">
        <v>0.3</v>
      </c>
    </row>
    <row r="7" spans="1:11">
      <c r="A7">
        <v>5</v>
      </c>
      <c r="B7" s="180" t="e">
        <f ca="1">('normal case'!AC7*($K$6*'normal case'!D7*('normal case'!AC7^'external balance'!$K$4)))/'normal case'!D7</f>
        <v>#DIV/0!</v>
      </c>
      <c r="C7" s="180" t="e">
        <f ca="1">($K$5*$K$7*((1+$K$8)^'normal case'!A6)*'normal case'!AC7^$K$3)/'normal case'!D7</f>
        <v>#DIV/0!</v>
      </c>
      <c r="D7" s="116" t="e">
        <f ca="1">(C7-B7)+((('main page'!$U$38/100)*'normal case'!$D$3)/'normal case'!$D$3)</f>
        <v>#DIV/0!</v>
      </c>
      <c r="E7" s="180" t="e">
        <f ca="1">((('normal case'!M7/100)*'external balance'!H6)/('normal case'!D7/'normal case'!D6))</f>
        <v>#DIV/0!</v>
      </c>
      <c r="F7" s="180" t="e">
        <f t="shared" ca="1" si="0"/>
        <v>#DIV/0!</v>
      </c>
      <c r="H7" s="180" t="e">
        <f ca="1">D7+((1+'normal case'!M7/100)/('normal case'!D7/'normal case'!D6))*'external balance'!H6</f>
        <v>#DIV/0!</v>
      </c>
      <c r="I7" s="180"/>
      <c r="J7" t="s">
        <v>153</v>
      </c>
      <c r="K7">
        <f>'normal case'!E3</f>
        <v>100</v>
      </c>
    </row>
    <row r="8" spans="1:11">
      <c r="A8">
        <v>6</v>
      </c>
      <c r="B8" s="180" t="e">
        <f ca="1">('normal case'!AC8*($K$6*'normal case'!D8*('normal case'!AC8^'external balance'!$K$4)))/'normal case'!D8</f>
        <v>#DIV/0!</v>
      </c>
      <c r="C8" s="180" t="e">
        <f ca="1">($K$5*$K$7*((1+$K$8)^'normal case'!A7)*'normal case'!AC8^$K$3)/'normal case'!D8</f>
        <v>#DIV/0!</v>
      </c>
      <c r="D8" s="116" t="e">
        <f ca="1">(C8-B8)+((('main page'!$U$38/100)*'normal case'!$D$3)/'normal case'!$D$3)</f>
        <v>#DIV/0!</v>
      </c>
      <c r="E8" s="180" t="e">
        <f ca="1">((('normal case'!M8/100)*'external balance'!H7)/('normal case'!D8/'normal case'!D7))</f>
        <v>#DIV/0!</v>
      </c>
      <c r="F8" s="180" t="e">
        <f t="shared" ca="1" si="0"/>
        <v>#DIV/0!</v>
      </c>
      <c r="H8" s="180" t="e">
        <f ca="1">D8+((1+'normal case'!M8/100)/('normal case'!D8/'normal case'!D7))*'external balance'!H7</f>
        <v>#DIV/0!</v>
      </c>
      <c r="I8" s="180"/>
      <c r="J8" t="s">
        <v>154</v>
      </c>
      <c r="K8" s="180">
        <f>IF(controls!B33=2,0,'main page'!K36/100)</f>
        <v>0</v>
      </c>
    </row>
    <row r="9" spans="1:11">
      <c r="A9">
        <v>7</v>
      </c>
      <c r="B9" s="180" t="e">
        <f ca="1">('normal case'!AC9*($K$6*'normal case'!D9*('normal case'!AC9^'external balance'!$K$4)))/'normal case'!D9</f>
        <v>#DIV/0!</v>
      </c>
      <c r="C9" s="180" t="e">
        <f ca="1">($K$5*$K$7*((1+$K$8)^'normal case'!A8)*'normal case'!AC9^$K$3)/'normal case'!D9</f>
        <v>#DIV/0!</v>
      </c>
      <c r="D9" s="116" t="e">
        <f ca="1">(C9-B9)+((('main page'!$U$38/100)*'normal case'!$D$3)/'normal case'!$D$3)</f>
        <v>#DIV/0!</v>
      </c>
      <c r="E9" s="180" t="e">
        <f ca="1">((('normal case'!M9/100)*'external balance'!H8)/('normal case'!D9/'normal case'!D8))</f>
        <v>#DIV/0!</v>
      </c>
      <c r="F9" s="180" t="e">
        <f t="shared" ca="1" si="0"/>
        <v>#DIV/0!</v>
      </c>
      <c r="H9" s="180" t="e">
        <f ca="1">D9+((1+'normal case'!M9/100)/('normal case'!D9/'normal case'!D8))*'external balance'!H8</f>
        <v>#DIV/0!</v>
      </c>
      <c r="I9" s="180"/>
    </row>
    <row r="10" spans="1:11">
      <c r="A10">
        <v>8</v>
      </c>
      <c r="B10" s="180" t="e">
        <f ca="1">('normal case'!AC10*($K$6*'normal case'!D10*('normal case'!AC10^'external balance'!$K$4)))/'normal case'!D10</f>
        <v>#DIV/0!</v>
      </c>
      <c r="C10" s="180" t="e">
        <f ca="1">($K$5*$K$7*((1+$K$8)^'normal case'!A9)*'normal case'!AC10^$K$3)/'normal case'!D10</f>
        <v>#DIV/0!</v>
      </c>
      <c r="D10" s="116" t="e">
        <f ca="1">(C10-B10)+((('main page'!$U$38/100)*'normal case'!$D$3)/'normal case'!$D$3)</f>
        <v>#DIV/0!</v>
      </c>
      <c r="E10" s="180" t="e">
        <f ca="1">((('normal case'!M10/100)*'external balance'!H9)/('normal case'!D10/'normal case'!D9))</f>
        <v>#DIV/0!</v>
      </c>
      <c r="F10" s="180" t="e">
        <f t="shared" ca="1" si="0"/>
        <v>#DIV/0!</v>
      </c>
      <c r="H10" s="180" t="e">
        <f ca="1">D10+((1+'normal case'!M10/100)/('normal case'!D10/'normal case'!D9))*'external balance'!H9</f>
        <v>#DIV/0!</v>
      </c>
      <c r="I10" s="180"/>
    </row>
    <row r="11" spans="1:11">
      <c r="A11">
        <v>9</v>
      </c>
      <c r="B11" s="180" t="e">
        <f ca="1">('normal case'!AC11*($K$6*'normal case'!D11*('normal case'!AC11^'external balance'!$K$4)))/'normal case'!D11</f>
        <v>#DIV/0!</v>
      </c>
      <c r="C11" s="180" t="e">
        <f ca="1">($K$5*$K$7*((1+$K$8)^'normal case'!A10)*'normal case'!AC11^$K$3)/'normal case'!D11</f>
        <v>#DIV/0!</v>
      </c>
      <c r="D11" s="116" t="e">
        <f ca="1">(C11-B11)+((('main page'!$U$38/100)*'normal case'!$D$3)/'normal case'!$D$3)</f>
        <v>#DIV/0!</v>
      </c>
      <c r="E11" s="180" t="e">
        <f ca="1">((('normal case'!M11/100)*'external balance'!H10)/('normal case'!D11/'normal case'!D10))</f>
        <v>#DIV/0!</v>
      </c>
      <c r="F11" s="180" t="e">
        <f t="shared" ca="1" si="0"/>
        <v>#DIV/0!</v>
      </c>
      <c r="H11" s="180" t="e">
        <f ca="1">D11+((1+'normal case'!M11/100)/('normal case'!D11/'normal case'!D10))*'external balance'!H10</f>
        <v>#DIV/0!</v>
      </c>
      <c r="I11" s="180"/>
    </row>
    <row r="12" spans="1:11">
      <c r="A12">
        <v>10</v>
      </c>
      <c r="B12" s="180" t="e">
        <f ca="1">('normal case'!AC12*($K$6*'normal case'!D12*('normal case'!AC12^'external balance'!$K$4)))/'normal case'!D12</f>
        <v>#DIV/0!</v>
      </c>
      <c r="C12" s="180" t="e">
        <f ca="1">($K$5*$K$7*((1+$K$8)^'normal case'!A11)*'normal case'!AC12^$K$3)/'normal case'!D12</f>
        <v>#DIV/0!</v>
      </c>
      <c r="D12" s="116" t="e">
        <f ca="1">(C12-B12)+((('main page'!$U$38/100)*'normal case'!$D$3)/'normal case'!$D$3)</f>
        <v>#DIV/0!</v>
      </c>
      <c r="E12" s="180" t="e">
        <f ca="1">((('normal case'!M12/100)*'external balance'!H11)/('normal case'!D12/'normal case'!D11))</f>
        <v>#DIV/0!</v>
      </c>
      <c r="F12" s="180" t="e">
        <f t="shared" ca="1" si="0"/>
        <v>#DIV/0!</v>
      </c>
      <c r="H12" s="180" t="e">
        <f ca="1">D12+((1+'normal case'!M12/100)/('normal case'!D12/'normal case'!D11))*'external balance'!H11</f>
        <v>#DIV/0!</v>
      </c>
      <c r="I12" s="180"/>
    </row>
    <row r="13" spans="1:11">
      <c r="A13">
        <v>11</v>
      </c>
      <c r="B13" s="180" t="e">
        <f ca="1">('normal case'!AC13*($K$6*'normal case'!D13*('normal case'!AC13^'external balance'!$K$4)))/'normal case'!D13</f>
        <v>#DIV/0!</v>
      </c>
      <c r="C13" s="180" t="e">
        <f ca="1">($K$5*$K$7*((1+$K$8)^'normal case'!A12)*'normal case'!AC13^$K$3)/'normal case'!D13</f>
        <v>#DIV/0!</v>
      </c>
      <c r="D13" s="116" t="e">
        <f ca="1">(C13-B13)+((('main page'!$U$38/100)*'normal case'!$D$3)/'normal case'!$D$3)</f>
        <v>#DIV/0!</v>
      </c>
      <c r="E13" s="180" t="e">
        <f ca="1">((('normal case'!M13/100)*'external balance'!H12)/('normal case'!D13/'normal case'!D12))</f>
        <v>#DIV/0!</v>
      </c>
      <c r="F13" s="180" t="e">
        <f t="shared" ca="1" si="0"/>
        <v>#DIV/0!</v>
      </c>
      <c r="H13" s="180" t="e">
        <f ca="1">D13+((1+'normal case'!M13/100)/('normal case'!D13/'normal case'!D12))*'external balance'!H12</f>
        <v>#DIV/0!</v>
      </c>
      <c r="I13" s="180"/>
    </row>
    <row r="14" spans="1:11">
      <c r="A14">
        <v>12</v>
      </c>
      <c r="B14" s="180" t="e">
        <f ca="1">('normal case'!AC14*($K$6*'normal case'!D14*('normal case'!AC14^'external balance'!$K$4)))/'normal case'!D14</f>
        <v>#DIV/0!</v>
      </c>
      <c r="C14" s="180" t="e">
        <f ca="1">($K$5*$K$7*((1+$K$8)^'normal case'!A13)*'normal case'!AC14^$K$3)/'normal case'!D14</f>
        <v>#DIV/0!</v>
      </c>
      <c r="D14" s="116" t="e">
        <f ca="1">(C14-B14)+((('main page'!$U$38/100)*'normal case'!$D$3)/'normal case'!$D$3)</f>
        <v>#DIV/0!</v>
      </c>
      <c r="E14" s="180" t="e">
        <f ca="1">((('normal case'!M14/100)*'external balance'!H13)/('normal case'!D14/'normal case'!D13))</f>
        <v>#DIV/0!</v>
      </c>
      <c r="F14" s="180" t="e">
        <f t="shared" ca="1" si="0"/>
        <v>#DIV/0!</v>
      </c>
      <c r="H14" s="180" t="e">
        <f ca="1">D14+((1+'normal case'!M14/100)/('normal case'!D14/'normal case'!D13))*'external balance'!H13</f>
        <v>#DIV/0!</v>
      </c>
      <c r="I14" s="180"/>
    </row>
    <row r="15" spans="1:11">
      <c r="A15">
        <v>13</v>
      </c>
      <c r="B15" s="180" t="e">
        <f ca="1">('normal case'!AC15*($K$6*'normal case'!D15*('normal case'!AC15^'external balance'!$K$4)))/'normal case'!D15</f>
        <v>#DIV/0!</v>
      </c>
      <c r="C15" s="180" t="e">
        <f ca="1">($K$5*$K$7*((1+$K$8)^'normal case'!A14)*'normal case'!AC15^$K$3)/'normal case'!D15</f>
        <v>#DIV/0!</v>
      </c>
      <c r="D15" s="116" t="e">
        <f ca="1">(C15-B15)+((('main page'!$U$38/100)*'normal case'!$D$3)/'normal case'!$D$3)</f>
        <v>#DIV/0!</v>
      </c>
      <c r="E15" s="180" t="e">
        <f ca="1">((('normal case'!M15/100)*'external balance'!H14)/('normal case'!D15/'normal case'!D14))</f>
        <v>#DIV/0!</v>
      </c>
      <c r="F15" s="180" t="e">
        <f t="shared" ca="1" si="0"/>
        <v>#DIV/0!</v>
      </c>
      <c r="H15" s="180" t="e">
        <f ca="1">D15+((1+'normal case'!M15/100)/('normal case'!D15/'normal case'!D14))*'external balance'!H14</f>
        <v>#DIV/0!</v>
      </c>
      <c r="I15" s="180"/>
    </row>
    <row r="16" spans="1:11">
      <c r="A16">
        <v>14</v>
      </c>
      <c r="B16" s="180" t="e">
        <f ca="1">('normal case'!AC16*($K$6*'normal case'!D16*('normal case'!AC16^'external balance'!$K$4)))/'normal case'!D16</f>
        <v>#DIV/0!</v>
      </c>
      <c r="C16" s="180" t="e">
        <f ca="1">($K$5*$K$7*((1+$K$8)^'normal case'!A15)*'normal case'!AC16^$K$3)/'normal case'!D16</f>
        <v>#DIV/0!</v>
      </c>
      <c r="D16" s="116" t="e">
        <f ca="1">(C16-B16)+((('main page'!$U$38/100)*'normal case'!$D$3)/'normal case'!$D$3)</f>
        <v>#DIV/0!</v>
      </c>
      <c r="E16" s="180" t="e">
        <f ca="1">((('normal case'!M16/100)*'external balance'!H15)/('normal case'!D16/'normal case'!D15))</f>
        <v>#DIV/0!</v>
      </c>
      <c r="F16" s="180" t="e">
        <f t="shared" ca="1" si="0"/>
        <v>#DIV/0!</v>
      </c>
      <c r="H16" s="180" t="e">
        <f ca="1">D16+((1+'normal case'!M16/100)/('normal case'!D16/'normal case'!D15))*'external balance'!H15</f>
        <v>#DIV/0!</v>
      </c>
      <c r="I16" s="180"/>
      <c r="J16" s="117"/>
    </row>
    <row r="17" spans="1:9">
      <c r="A17">
        <v>15</v>
      </c>
      <c r="B17" s="180" t="e">
        <f ca="1">('normal case'!AC17*($K$6*'normal case'!D17*('normal case'!AC17^'external balance'!$K$4)))/'normal case'!D17</f>
        <v>#DIV/0!</v>
      </c>
      <c r="C17" s="180" t="e">
        <f ca="1">($K$5*$K$7*((1+$K$8)^'normal case'!A16)*'normal case'!AC17^$K$3)/'normal case'!D17</f>
        <v>#DIV/0!</v>
      </c>
      <c r="D17" s="116" t="e">
        <f ca="1">(C17-B17)+((('main page'!$U$38/100)*'normal case'!$D$3)/'normal case'!$D$3)</f>
        <v>#DIV/0!</v>
      </c>
      <c r="E17" s="180" t="e">
        <f ca="1">((('normal case'!M17/100)*'external balance'!H16)/('normal case'!D17/'normal case'!D16))</f>
        <v>#DIV/0!</v>
      </c>
      <c r="F17" s="180" t="e">
        <f t="shared" ca="1" si="0"/>
        <v>#DIV/0!</v>
      </c>
      <c r="H17" s="180" t="e">
        <f ca="1">D17+((1+'normal case'!M17/100)/('normal case'!D17/'normal case'!D16))*'external balance'!H16</f>
        <v>#DIV/0!</v>
      </c>
      <c r="I17" s="180"/>
    </row>
    <row r="18" spans="1:9">
      <c r="A18">
        <v>16</v>
      </c>
      <c r="B18" s="180" t="e">
        <f ca="1">('normal case'!AC18*($K$6*'normal case'!D18*('normal case'!AC18^'external balance'!$K$4)))/'normal case'!D18</f>
        <v>#DIV/0!</v>
      </c>
      <c r="C18" s="180" t="e">
        <f ca="1">($K$5*$K$7*((1+$K$8)^'normal case'!A17)*'normal case'!AC18^$K$3)/'normal case'!D18</f>
        <v>#DIV/0!</v>
      </c>
      <c r="D18" s="116" t="e">
        <f ca="1">(C18-B18)+((('main page'!$U$38/100)*'normal case'!$D$3)/'normal case'!$D$3)</f>
        <v>#DIV/0!</v>
      </c>
      <c r="E18" s="180" t="e">
        <f ca="1">((('normal case'!M18/100)*'external balance'!H17)/('normal case'!D18/'normal case'!D17))</f>
        <v>#DIV/0!</v>
      </c>
      <c r="F18" s="180" t="e">
        <f t="shared" ca="1" si="0"/>
        <v>#DIV/0!</v>
      </c>
      <c r="H18" s="180" t="e">
        <f ca="1">D18+((1+'normal case'!M18/100)/('normal case'!D18/'normal case'!D17))*'external balance'!H17</f>
        <v>#DIV/0!</v>
      </c>
      <c r="I18" s="180"/>
    </row>
    <row r="19" spans="1:9">
      <c r="A19">
        <v>17</v>
      </c>
      <c r="B19" s="180" t="e">
        <f ca="1">('normal case'!AC19*($K$6*'normal case'!D19*('normal case'!AC19^'external balance'!$K$4)))/'normal case'!D19</f>
        <v>#DIV/0!</v>
      </c>
      <c r="C19" s="180" t="e">
        <f ca="1">($K$5*$K$7*((1+$K$8)^'normal case'!A18)*'normal case'!AC19^$K$3)/'normal case'!D19</f>
        <v>#DIV/0!</v>
      </c>
      <c r="D19" s="116" t="e">
        <f ca="1">(C19-B19)+((('main page'!$U$38/100)*'normal case'!$D$3)/'normal case'!$D$3)</f>
        <v>#DIV/0!</v>
      </c>
      <c r="E19" s="180" t="e">
        <f ca="1">((('normal case'!M19/100)*'external balance'!H18)/('normal case'!D19/'normal case'!D18))</f>
        <v>#DIV/0!</v>
      </c>
      <c r="F19" s="180" t="e">
        <f t="shared" ca="1" si="0"/>
        <v>#DIV/0!</v>
      </c>
      <c r="H19" s="180" t="e">
        <f ca="1">D19+((1+'normal case'!M19/100)/('normal case'!D19/'normal case'!D18))*'external balance'!H18</f>
        <v>#DIV/0!</v>
      </c>
      <c r="I19" s="180"/>
    </row>
    <row r="20" spans="1:9">
      <c r="A20">
        <v>18</v>
      </c>
      <c r="B20" s="180" t="e">
        <f ca="1">('normal case'!AC20*($K$6*'normal case'!D20*('normal case'!AC20^'external balance'!$K$4)))/'normal case'!D20</f>
        <v>#DIV/0!</v>
      </c>
      <c r="C20" s="180" t="e">
        <f ca="1">($K$5*$K$7*((1+$K$8)^'normal case'!A19)*'normal case'!AC20^$K$3)/'normal case'!D20</f>
        <v>#DIV/0!</v>
      </c>
      <c r="D20" s="116" t="e">
        <f ca="1">(C20-B20)+((('main page'!$U$38/100)*'normal case'!$D$3)/'normal case'!$D$3)</f>
        <v>#DIV/0!</v>
      </c>
      <c r="E20" s="180" t="e">
        <f ca="1">((('normal case'!M20/100)*'external balance'!H19)/('normal case'!D20/'normal case'!D19))</f>
        <v>#DIV/0!</v>
      </c>
      <c r="F20" s="180" t="e">
        <f t="shared" ca="1" si="0"/>
        <v>#DIV/0!</v>
      </c>
      <c r="H20" s="180" t="e">
        <f ca="1">D20+((1+'normal case'!M20/100)/('normal case'!D20/'normal case'!D19))*'external balance'!H19</f>
        <v>#DIV/0!</v>
      </c>
      <c r="I20" s="180"/>
    </row>
    <row r="21" spans="1:9">
      <c r="A21">
        <v>19</v>
      </c>
      <c r="B21" s="180" t="e">
        <f ca="1">('normal case'!AC21*($K$6*'normal case'!D21*('normal case'!AC21^'external balance'!$K$4)))/'normal case'!D21</f>
        <v>#DIV/0!</v>
      </c>
      <c r="C21" s="180" t="e">
        <f ca="1">($K$5*$K$7*((1+$K$8)^'normal case'!A20)*'normal case'!AC21^$K$3)/'normal case'!D21</f>
        <v>#DIV/0!</v>
      </c>
      <c r="D21" s="116" t="e">
        <f ca="1">(C21-B21)+((('main page'!$U$38/100)*'normal case'!$D$3)/'normal case'!$D$3)</f>
        <v>#DIV/0!</v>
      </c>
      <c r="E21" s="180" t="e">
        <f ca="1">((('normal case'!M21/100)*'external balance'!H20)/('normal case'!D21/'normal case'!D20))</f>
        <v>#DIV/0!</v>
      </c>
      <c r="F21" s="180" t="e">
        <f t="shared" ca="1" si="0"/>
        <v>#DIV/0!</v>
      </c>
      <c r="H21" s="180" t="e">
        <f ca="1">D21+((1+'normal case'!M21/100)/('normal case'!D21/'normal case'!D20))*'external balance'!H20</f>
        <v>#DIV/0!</v>
      </c>
      <c r="I21" s="180"/>
    </row>
    <row r="22" spans="1:9">
      <c r="A22">
        <v>20</v>
      </c>
      <c r="B22" s="180" t="e">
        <f ca="1">('normal case'!AC22*($K$6*'normal case'!D22*('normal case'!AC22^'external balance'!$K$4)))/'normal case'!D22</f>
        <v>#DIV/0!</v>
      </c>
      <c r="C22" s="180" t="e">
        <f ca="1">($K$5*$K$7*((1+$K$8)^'normal case'!A21)*'normal case'!AC22^$K$3)/'normal case'!D22</f>
        <v>#DIV/0!</v>
      </c>
      <c r="D22" s="116" t="e">
        <f ca="1">(C22-B22)+((('main page'!$U$38/100)*'normal case'!$D$3)/'normal case'!$D$3)</f>
        <v>#DIV/0!</v>
      </c>
      <c r="E22" s="180" t="e">
        <f ca="1">((('normal case'!M22/100)*'external balance'!H21)/('normal case'!D22/'normal case'!D21))</f>
        <v>#DIV/0!</v>
      </c>
      <c r="F22" s="180" t="e">
        <f t="shared" ca="1" si="0"/>
        <v>#DIV/0!</v>
      </c>
      <c r="H22" s="180" t="e">
        <f ca="1">D22+((1+'normal case'!M22/100)/('normal case'!D22/'normal case'!D21))*'external balance'!H21</f>
        <v>#DIV/0!</v>
      </c>
      <c r="I22" s="180"/>
    </row>
    <row r="23" spans="1:9">
      <c r="A23">
        <v>21</v>
      </c>
      <c r="B23" s="180" t="e">
        <f ca="1">('normal case'!AC23*($K$6*'normal case'!D23*('normal case'!AC23^'external balance'!$K$4)))/'normal case'!D23</f>
        <v>#DIV/0!</v>
      </c>
      <c r="C23" s="180" t="e">
        <f ca="1">($K$5*$K$7*((1+$K$8)^'normal case'!A22)*'normal case'!AC23^$K$3)/'normal case'!D23</f>
        <v>#DIV/0!</v>
      </c>
      <c r="D23" s="116" t="e">
        <f ca="1">(C23-B23)+((('main page'!$U$38/100)*'normal case'!$D$3)/'normal case'!$D$3)</f>
        <v>#DIV/0!</v>
      </c>
      <c r="E23" s="180" t="e">
        <f ca="1">((('normal case'!M23/100)*'external balance'!H22)/('normal case'!D23/'normal case'!D22))</f>
        <v>#DIV/0!</v>
      </c>
      <c r="F23" s="180" t="e">
        <f t="shared" ca="1" si="0"/>
        <v>#DIV/0!</v>
      </c>
      <c r="H23" s="180" t="e">
        <f ca="1">D23+((1+'normal case'!M23/100)/('normal case'!D23/'normal case'!D22))*'external balance'!H22</f>
        <v>#DIV/0!</v>
      </c>
      <c r="I23" s="180"/>
    </row>
    <row r="24" spans="1:9">
      <c r="A24">
        <v>22</v>
      </c>
      <c r="B24" s="180" t="e">
        <f ca="1">('normal case'!AC24*($K$6*'normal case'!D24*('normal case'!AC24^'external balance'!$K$4)))/'normal case'!D24</f>
        <v>#DIV/0!</v>
      </c>
      <c r="C24" s="180" t="e">
        <f ca="1">($K$5*$K$7*((1+$K$8)^'normal case'!A23)*'normal case'!AC24^$K$3)/'normal case'!D24</f>
        <v>#DIV/0!</v>
      </c>
      <c r="D24" s="116" t="e">
        <f ca="1">(C24-B24)+((('main page'!$U$38/100)*'normal case'!$D$3)/'normal case'!$D$3)</f>
        <v>#DIV/0!</v>
      </c>
      <c r="E24" s="180" t="e">
        <f ca="1">((('normal case'!M24/100)*'external balance'!H23)/('normal case'!D24/'normal case'!D23))</f>
        <v>#DIV/0!</v>
      </c>
      <c r="F24" s="180" t="e">
        <f t="shared" ca="1" si="0"/>
        <v>#DIV/0!</v>
      </c>
      <c r="H24" s="180" t="e">
        <f ca="1">D24+((1+'normal case'!M24/100)/('normal case'!D24/'normal case'!D23))*'external balance'!H23</f>
        <v>#DIV/0!</v>
      </c>
      <c r="I24" s="180"/>
    </row>
    <row r="25" spans="1:9">
      <c r="A25">
        <v>23</v>
      </c>
      <c r="B25" s="180" t="e">
        <f ca="1">('normal case'!AC25*($K$6*'normal case'!D25*('normal case'!AC25^'external balance'!$K$4)))/'normal case'!D25</f>
        <v>#DIV/0!</v>
      </c>
      <c r="C25" s="180" t="e">
        <f ca="1">($K$5*$K$7*((1+$K$8)^'normal case'!A24)*'normal case'!AC25^$K$3)/'normal case'!D25</f>
        <v>#DIV/0!</v>
      </c>
      <c r="D25" s="116" t="e">
        <f ca="1">(C25-B25)+((('main page'!$U$38/100)*'normal case'!$D$3)/'normal case'!$D$3)</f>
        <v>#DIV/0!</v>
      </c>
      <c r="E25" s="180" t="e">
        <f ca="1">((('normal case'!M25/100)*'external balance'!H24)/('normal case'!D25/'normal case'!D24))</f>
        <v>#DIV/0!</v>
      </c>
      <c r="F25" s="180" t="e">
        <f t="shared" ca="1" si="0"/>
        <v>#DIV/0!</v>
      </c>
      <c r="H25" s="180" t="e">
        <f ca="1">D25+((1+'normal case'!M25/100)/('normal case'!D25/'normal case'!D24))*'external balance'!H24</f>
        <v>#DIV/0!</v>
      </c>
      <c r="I25" s="180"/>
    </row>
    <row r="26" spans="1:9">
      <c r="A26">
        <v>24</v>
      </c>
      <c r="B26" s="180" t="e">
        <f ca="1">('normal case'!AC26*($K$6*'normal case'!D26*('normal case'!AC26^'external balance'!$K$4)))/'normal case'!D26</f>
        <v>#DIV/0!</v>
      </c>
      <c r="C26" s="180" t="e">
        <f ca="1">($K$5*$K$7*((1+$K$8)^'normal case'!A25)*'normal case'!AC26^$K$3)/'normal case'!D26</f>
        <v>#DIV/0!</v>
      </c>
      <c r="D26" s="116" t="e">
        <f ca="1">(C26-B26)+((('main page'!$U$38/100)*'normal case'!$D$3)/'normal case'!$D$3)</f>
        <v>#DIV/0!</v>
      </c>
      <c r="E26" s="180" t="e">
        <f ca="1">((('normal case'!M26/100)*'external balance'!H25)/('normal case'!D26/'normal case'!D25))</f>
        <v>#DIV/0!</v>
      </c>
      <c r="F26" s="180" t="e">
        <f t="shared" ca="1" si="0"/>
        <v>#DIV/0!</v>
      </c>
      <c r="H26" s="180" t="e">
        <f ca="1">D26+((1+'normal case'!M26/100)/('normal case'!D26/'normal case'!D25))*'external balance'!H25</f>
        <v>#DIV/0!</v>
      </c>
      <c r="I26" s="180"/>
    </row>
    <row r="27" spans="1:9">
      <c r="A27">
        <v>25</v>
      </c>
      <c r="B27" s="180" t="e">
        <f ca="1">('normal case'!AC27*($K$6*'normal case'!D27*('normal case'!AC27^'external balance'!$K$4)))/'normal case'!D27</f>
        <v>#DIV/0!</v>
      </c>
      <c r="C27" s="180" t="e">
        <f ca="1">($K$5*$K$7*((1+$K$8)^'normal case'!A26)*'normal case'!AC27^$K$3)/'normal case'!D27</f>
        <v>#DIV/0!</v>
      </c>
      <c r="D27" s="116" t="e">
        <f ca="1">(C27-B27)+((('main page'!$U$38/100)*'normal case'!$D$3)/'normal case'!$D$3)</f>
        <v>#DIV/0!</v>
      </c>
      <c r="E27" s="180" t="e">
        <f ca="1">((('normal case'!M27/100)*'external balance'!H26)/('normal case'!D27/'normal case'!D26))</f>
        <v>#DIV/0!</v>
      </c>
      <c r="F27" s="180" t="e">
        <f t="shared" ca="1" si="0"/>
        <v>#DIV/0!</v>
      </c>
      <c r="H27" s="180" t="e">
        <f ca="1">D27+((1+'normal case'!M27/100)/('normal case'!D27/'normal case'!D26))*'external balance'!H26</f>
        <v>#DIV/0!</v>
      </c>
      <c r="I27" s="180"/>
    </row>
    <row r="28" spans="1:9">
      <c r="A28">
        <v>26</v>
      </c>
      <c r="B28" s="180" t="e">
        <f ca="1">('normal case'!AC28*($K$6*'normal case'!D28*('normal case'!AC28^'external balance'!$K$4)))/'normal case'!D28</f>
        <v>#DIV/0!</v>
      </c>
      <c r="C28" s="180" t="e">
        <f ca="1">($K$5*$K$7*((1+$K$8)^'normal case'!A27)*'normal case'!AC28^$K$3)/'normal case'!D28</f>
        <v>#DIV/0!</v>
      </c>
      <c r="D28" s="116" t="e">
        <f ca="1">(C28-B28)+((('main page'!$U$38/100)*'normal case'!$D$3)/'normal case'!$D$3)</f>
        <v>#DIV/0!</v>
      </c>
      <c r="E28" s="180" t="e">
        <f ca="1">((('normal case'!M28/100)*'external balance'!H27)/('normal case'!D28/'normal case'!D27))</f>
        <v>#DIV/0!</v>
      </c>
      <c r="F28" s="180" t="e">
        <f t="shared" ca="1" si="0"/>
        <v>#DIV/0!</v>
      </c>
      <c r="H28" s="180" t="e">
        <f ca="1">D28+((1+'normal case'!M28/100)/('normal case'!D28/'normal case'!D27))*'external balance'!H27</f>
        <v>#DIV/0!</v>
      </c>
      <c r="I28" s="180"/>
    </row>
    <row r="29" spans="1:9">
      <c r="A29">
        <v>27</v>
      </c>
      <c r="B29" s="180" t="e">
        <f ca="1">('normal case'!AC29*($K$6*'normal case'!D29*('normal case'!AC29^'external balance'!$K$4)))/'normal case'!D29</f>
        <v>#DIV/0!</v>
      </c>
      <c r="C29" s="180" t="e">
        <f ca="1">($K$5*$K$7*((1+$K$8)^'normal case'!A28)*'normal case'!AC29^$K$3)/'normal case'!D29</f>
        <v>#DIV/0!</v>
      </c>
      <c r="D29" s="116" t="e">
        <f ca="1">(C29-B29)+((('main page'!$U$38/100)*'normal case'!$D$3)/'normal case'!$D$3)</f>
        <v>#DIV/0!</v>
      </c>
      <c r="E29" s="180" t="e">
        <f ca="1">((('normal case'!M29/100)*'external balance'!H28)/('normal case'!D29/'normal case'!D28))</f>
        <v>#DIV/0!</v>
      </c>
      <c r="F29" s="180" t="e">
        <f t="shared" ca="1" si="0"/>
        <v>#DIV/0!</v>
      </c>
      <c r="H29" s="180" t="e">
        <f ca="1">D29+((1+'normal case'!M29/100)/('normal case'!D29/'normal case'!D28))*'external balance'!H28</f>
        <v>#DIV/0!</v>
      </c>
      <c r="I29" s="180"/>
    </row>
    <row r="30" spans="1:9">
      <c r="A30">
        <v>28</v>
      </c>
      <c r="B30" s="180" t="e">
        <f ca="1">('normal case'!AC30*($K$6*'normal case'!D30*('normal case'!AC30^'external balance'!$K$4)))/'normal case'!D30</f>
        <v>#DIV/0!</v>
      </c>
      <c r="C30" s="180" t="e">
        <f ca="1">($K$5*$K$7*((1+$K$8)^'normal case'!A29)*'normal case'!AC30^$K$3)/'normal case'!D30</f>
        <v>#DIV/0!</v>
      </c>
      <c r="D30" s="116" t="e">
        <f ca="1">(C30-B30)+((('main page'!$U$38/100)*'normal case'!$D$3)/'normal case'!$D$3)</f>
        <v>#DIV/0!</v>
      </c>
      <c r="E30" s="180" t="e">
        <f ca="1">((('normal case'!M30/100)*'external balance'!H29)/('normal case'!D30/'normal case'!D29))</f>
        <v>#DIV/0!</v>
      </c>
      <c r="F30" s="180" t="e">
        <f t="shared" ca="1" si="0"/>
        <v>#DIV/0!</v>
      </c>
      <c r="H30" s="180" t="e">
        <f ca="1">D30+((1+'normal case'!M30/100)/('normal case'!D30/'normal case'!D29))*'external balance'!H29</f>
        <v>#DIV/0!</v>
      </c>
      <c r="I30" s="180"/>
    </row>
    <row r="31" spans="1:9">
      <c r="A31">
        <v>29</v>
      </c>
      <c r="B31" s="180" t="e">
        <f ca="1">('normal case'!AC31*($K$6*'normal case'!D31*('normal case'!AC31^'external balance'!$K$4)))/'normal case'!D31</f>
        <v>#DIV/0!</v>
      </c>
      <c r="C31" s="180" t="e">
        <f ca="1">($K$5*$K$7*((1+$K$8)^'normal case'!A30)*'normal case'!AC31^$K$3)/'normal case'!D31</f>
        <v>#DIV/0!</v>
      </c>
      <c r="D31" s="116" t="e">
        <f ca="1">(C31-B31)+((('main page'!$U$38/100)*'normal case'!$D$3)/'normal case'!$D$3)</f>
        <v>#DIV/0!</v>
      </c>
      <c r="E31" s="180" t="e">
        <f ca="1">((('normal case'!M31/100)*'external balance'!H30)/('normal case'!D31/'normal case'!D30))</f>
        <v>#DIV/0!</v>
      </c>
      <c r="F31" s="180" t="e">
        <f t="shared" ca="1" si="0"/>
        <v>#DIV/0!</v>
      </c>
      <c r="H31" s="180" t="e">
        <f ca="1">D31+((1+'normal case'!M31/100)/('normal case'!D31/'normal case'!D30))*'external balance'!H30</f>
        <v>#DIV/0!</v>
      </c>
      <c r="I31" s="180"/>
    </row>
    <row r="32" spans="1:9">
      <c r="A32">
        <v>30</v>
      </c>
      <c r="B32" s="180" t="e">
        <f ca="1">('normal case'!AC32*($K$6*'normal case'!D32*('normal case'!AC32^'external balance'!$K$4)))/'normal case'!D32</f>
        <v>#DIV/0!</v>
      </c>
      <c r="C32" s="180" t="e">
        <f ca="1">($K$5*$K$7*((1+$K$8)^'normal case'!A31)*'normal case'!AC32^$K$3)/'normal case'!D32</f>
        <v>#DIV/0!</v>
      </c>
      <c r="D32" s="116" t="e">
        <f ca="1">(C32-B32)+((('main page'!$U$38/100)*'normal case'!$D$3)/'normal case'!$D$3)</f>
        <v>#DIV/0!</v>
      </c>
      <c r="E32" s="180" t="e">
        <f ca="1">((('normal case'!M32/100)*'external balance'!H31)/('normal case'!D32/'normal case'!D31))</f>
        <v>#DIV/0!</v>
      </c>
      <c r="F32" s="180" t="e">
        <f t="shared" ca="1" si="0"/>
        <v>#DIV/0!</v>
      </c>
      <c r="H32" s="180" t="e">
        <f ca="1">D32+((1+'normal case'!M32/100)/('normal case'!D32/'normal case'!D31))*'external balance'!H31</f>
        <v>#DIV/0!</v>
      </c>
      <c r="I32" s="180"/>
    </row>
    <row r="33" spans="1:9">
      <c r="A33">
        <v>31</v>
      </c>
      <c r="B33" s="180" t="e">
        <f ca="1">('normal case'!AC33*($K$6*'normal case'!D33*('normal case'!AC33^'external balance'!$K$4)))/'normal case'!D33</f>
        <v>#DIV/0!</v>
      </c>
      <c r="C33" s="180" t="e">
        <f ca="1">($K$5*$K$7*((1+$K$8)^'normal case'!A32)*'normal case'!AC33^$K$3)/'normal case'!D33</f>
        <v>#DIV/0!</v>
      </c>
      <c r="D33" s="116" t="e">
        <f ca="1">(C33-B33)+((('main page'!$U$38/100)*'normal case'!$D$3)/'normal case'!$D$3)</f>
        <v>#DIV/0!</v>
      </c>
      <c r="E33" s="180" t="e">
        <f ca="1">((('normal case'!M33/100)*'external balance'!H32)/('normal case'!D33/'normal case'!D32))</f>
        <v>#DIV/0!</v>
      </c>
      <c r="F33" s="180" t="e">
        <f t="shared" ca="1" si="0"/>
        <v>#DIV/0!</v>
      </c>
      <c r="H33" s="180" t="e">
        <f ca="1">D33+((1+'normal case'!M33/100)/('normal case'!D33/'normal case'!D32))*'external balance'!H32</f>
        <v>#DIV/0!</v>
      </c>
      <c r="I33" s="180"/>
    </row>
    <row r="34" spans="1:9">
      <c r="A34">
        <v>32</v>
      </c>
      <c r="B34" s="180" t="e">
        <f ca="1">('normal case'!AC34*($K$6*'normal case'!D34*('normal case'!AC34^'external balance'!$K$4)))/'normal case'!D34</f>
        <v>#DIV/0!</v>
      </c>
      <c r="C34" s="180" t="e">
        <f ca="1">($K$5*$K$7*((1+$K$8)^'normal case'!A33)*'normal case'!AC34^$K$3)/'normal case'!D34</f>
        <v>#DIV/0!</v>
      </c>
      <c r="D34" s="116" t="e">
        <f ca="1">(C34-B34)+((('main page'!$U$38/100)*'normal case'!$D$3)/'normal case'!$D$3)</f>
        <v>#DIV/0!</v>
      </c>
      <c r="E34" s="180" t="e">
        <f ca="1">((('normal case'!M34/100)*'external balance'!H33)/('normal case'!D34/'normal case'!D33))</f>
        <v>#DIV/0!</v>
      </c>
      <c r="F34" s="180" t="e">
        <f t="shared" ca="1" si="0"/>
        <v>#DIV/0!</v>
      </c>
      <c r="H34" s="180" t="e">
        <f ca="1">D34+((1+'normal case'!M34/100)/('normal case'!D34/'normal case'!D33))*'external balance'!H33</f>
        <v>#DIV/0!</v>
      </c>
      <c r="I34" s="180"/>
    </row>
    <row r="35" spans="1:9">
      <c r="A35">
        <v>33</v>
      </c>
      <c r="B35" s="180" t="e">
        <f ca="1">('normal case'!AC35*($K$6*'normal case'!D35*('normal case'!AC35^'external balance'!$K$4)))/'normal case'!D35</f>
        <v>#DIV/0!</v>
      </c>
      <c r="C35" s="180" t="e">
        <f ca="1">($K$5*$K$7*((1+$K$8)^'normal case'!A34)*'normal case'!AC35^$K$3)/'normal case'!D35</f>
        <v>#DIV/0!</v>
      </c>
      <c r="D35" s="116" t="e">
        <f ca="1">(C35-B35)+((('main page'!$U$38/100)*'normal case'!$D$3)/'normal case'!$D$3)</f>
        <v>#DIV/0!</v>
      </c>
      <c r="E35" s="180" t="e">
        <f ca="1">((('normal case'!M35/100)*'external balance'!H34)/('normal case'!D35/'normal case'!D34))</f>
        <v>#DIV/0!</v>
      </c>
      <c r="F35" s="180" t="e">
        <f t="shared" ca="1" si="0"/>
        <v>#DIV/0!</v>
      </c>
      <c r="H35" s="180" t="e">
        <f ca="1">D35+((1+'normal case'!M35/100)/('normal case'!D35/'normal case'!D34))*'external balance'!H34</f>
        <v>#DIV/0!</v>
      </c>
      <c r="I35" s="180"/>
    </row>
    <row r="36" spans="1:9">
      <c r="A36">
        <v>34</v>
      </c>
      <c r="B36" s="180" t="e">
        <f ca="1">('normal case'!AC36*($K$6*'normal case'!D36*('normal case'!AC36^'external balance'!$K$4)))/'normal case'!D36</f>
        <v>#DIV/0!</v>
      </c>
      <c r="C36" s="180" t="e">
        <f ca="1">($K$5*$K$7*((1+$K$8)^'normal case'!A35)*'normal case'!AC36^$K$3)/'normal case'!D36</f>
        <v>#DIV/0!</v>
      </c>
      <c r="D36" s="116" t="e">
        <f ca="1">(C36-B36)+((('main page'!$U$38/100)*'normal case'!$D$3)/'normal case'!$D$3)</f>
        <v>#DIV/0!</v>
      </c>
      <c r="E36" s="180" t="e">
        <f ca="1">((('normal case'!M36/100)*'external balance'!H35)/('normal case'!D36/'normal case'!D35))</f>
        <v>#DIV/0!</v>
      </c>
      <c r="F36" s="180" t="e">
        <f t="shared" ca="1" si="0"/>
        <v>#DIV/0!</v>
      </c>
      <c r="H36" s="180" t="e">
        <f ca="1">D36+((1+'normal case'!M36/100)/('normal case'!D36/'normal case'!D35))*'external balance'!H35</f>
        <v>#DIV/0!</v>
      </c>
      <c r="I36" s="180"/>
    </row>
    <row r="37" spans="1:9">
      <c r="A37">
        <v>35</v>
      </c>
      <c r="B37" s="180" t="e">
        <f ca="1">('normal case'!AC37*($K$6*'normal case'!D37*('normal case'!AC37^'external balance'!$K$4)))/'normal case'!D37</f>
        <v>#DIV/0!</v>
      </c>
      <c r="C37" s="180" t="e">
        <f ca="1">($K$5*$K$7*((1+$K$8)^'normal case'!A36)*'normal case'!AC37^$K$3)/'normal case'!D37</f>
        <v>#DIV/0!</v>
      </c>
      <c r="D37" s="116" t="e">
        <f ca="1">(C37-B37)+((('main page'!$U$38/100)*'normal case'!$D$3)/'normal case'!$D$3)</f>
        <v>#DIV/0!</v>
      </c>
      <c r="E37" s="180" t="e">
        <f ca="1">((('normal case'!M37/100)*'external balance'!H36)/('normal case'!D37/'normal case'!D36))</f>
        <v>#DIV/0!</v>
      </c>
      <c r="F37" s="180" t="e">
        <f t="shared" ca="1" si="0"/>
        <v>#DIV/0!</v>
      </c>
      <c r="H37" s="180" t="e">
        <f ca="1">D37+((1+'normal case'!M37/100)/('normal case'!D37/'normal case'!D36))*'external balance'!H36</f>
        <v>#DIV/0!</v>
      </c>
      <c r="I37" s="180"/>
    </row>
    <row r="38" spans="1:9">
      <c r="A38">
        <v>36</v>
      </c>
      <c r="B38" s="180" t="e">
        <f ca="1">('normal case'!AC38*($K$6*'normal case'!D38*('normal case'!AC38^'external balance'!$K$4)))/'normal case'!D38</f>
        <v>#DIV/0!</v>
      </c>
      <c r="C38" s="180" t="e">
        <f ca="1">($K$5*$K$7*((1+$K$8)^'normal case'!A37)*'normal case'!AC38^$K$3)/'normal case'!D38</f>
        <v>#DIV/0!</v>
      </c>
      <c r="D38" s="116" t="e">
        <f ca="1">(C38-B38)+((('main page'!$U$38/100)*'normal case'!$D$3)/'normal case'!$D$3)</f>
        <v>#DIV/0!</v>
      </c>
      <c r="E38" s="180" t="e">
        <f ca="1">((('normal case'!M38/100)*'external balance'!H37)/('normal case'!D38/'normal case'!D37))</f>
        <v>#DIV/0!</v>
      </c>
      <c r="F38" s="180" t="e">
        <f t="shared" ca="1" si="0"/>
        <v>#DIV/0!</v>
      </c>
      <c r="H38" s="180" t="e">
        <f ca="1">D38+((1+'normal case'!M38/100)/('normal case'!D38/'normal case'!D37))*'external balance'!H37</f>
        <v>#DIV/0!</v>
      </c>
      <c r="I38" s="180"/>
    </row>
    <row r="39" spans="1:9">
      <c r="A39">
        <v>37</v>
      </c>
      <c r="B39" s="180" t="e">
        <f ca="1">('normal case'!AC39*($K$6*'normal case'!D39*('normal case'!AC39^'external balance'!$K$4)))/'normal case'!D39</f>
        <v>#DIV/0!</v>
      </c>
      <c r="C39" s="180" t="e">
        <f ca="1">($K$5*$K$7*((1+$K$8)^'normal case'!A38)*'normal case'!AC39^$K$3)/'normal case'!D39</f>
        <v>#DIV/0!</v>
      </c>
      <c r="D39" s="116" t="e">
        <f ca="1">(C39-B39)+((('main page'!$U$38/100)*'normal case'!$D$3)/'normal case'!$D$3)</f>
        <v>#DIV/0!</v>
      </c>
      <c r="E39" s="180" t="e">
        <f ca="1">((('normal case'!M39/100)*'external balance'!H38)/('normal case'!D39/'normal case'!D38))</f>
        <v>#DIV/0!</v>
      </c>
      <c r="F39" s="180" t="e">
        <f t="shared" ca="1" si="0"/>
        <v>#DIV/0!</v>
      </c>
      <c r="H39" s="180" t="e">
        <f ca="1">D39+((1+'normal case'!M39/100)/('normal case'!D39/'normal case'!D38))*'external balance'!H38</f>
        <v>#DIV/0!</v>
      </c>
      <c r="I39" s="180"/>
    </row>
    <row r="40" spans="1:9">
      <c r="A40">
        <v>38</v>
      </c>
      <c r="B40" s="180" t="e">
        <f ca="1">('normal case'!AC40*($K$6*'normal case'!D40*('normal case'!AC40^'external balance'!$K$4)))/'normal case'!D40</f>
        <v>#DIV/0!</v>
      </c>
      <c r="C40" s="180" t="e">
        <f ca="1">($K$5*$K$7*((1+$K$8)^'normal case'!A39)*'normal case'!AC40^$K$3)/'normal case'!D40</f>
        <v>#DIV/0!</v>
      </c>
      <c r="D40" s="116" t="e">
        <f ca="1">(C40-B40)+((('main page'!$U$38/100)*'normal case'!$D$3)/'normal case'!$D$3)</f>
        <v>#DIV/0!</v>
      </c>
      <c r="E40" s="180" t="e">
        <f ca="1">((('normal case'!M40/100)*'external balance'!H39)/('normal case'!D40/'normal case'!D39))</f>
        <v>#DIV/0!</v>
      </c>
      <c r="F40" s="180" t="e">
        <f t="shared" ca="1" si="0"/>
        <v>#DIV/0!</v>
      </c>
      <c r="H40" s="180" t="e">
        <f ca="1">D40+((1+'normal case'!M40/100)/('normal case'!D40/'normal case'!D39))*'external balance'!H39</f>
        <v>#DIV/0!</v>
      </c>
      <c r="I40" s="180"/>
    </row>
    <row r="41" spans="1:9">
      <c r="A41">
        <v>39</v>
      </c>
      <c r="B41" s="180" t="e">
        <f ca="1">('normal case'!AC41*($K$6*'normal case'!D41*('normal case'!AC41^'external balance'!$K$4)))/'normal case'!D41</f>
        <v>#DIV/0!</v>
      </c>
      <c r="C41" s="180" t="e">
        <f ca="1">($K$5*$K$7*((1+$K$8)^'normal case'!A40)*'normal case'!AC41^$K$3)/'normal case'!D41</f>
        <v>#DIV/0!</v>
      </c>
      <c r="D41" s="116" t="e">
        <f ca="1">(C41-B41)+((('main page'!$U$38/100)*'normal case'!$D$3)/'normal case'!$D$3)</f>
        <v>#DIV/0!</v>
      </c>
      <c r="E41" s="180" t="e">
        <f ca="1">((('normal case'!M41/100)*'external balance'!H40)/('normal case'!D41/'normal case'!D40))</f>
        <v>#DIV/0!</v>
      </c>
      <c r="F41" s="180" t="e">
        <f t="shared" ca="1" si="0"/>
        <v>#DIV/0!</v>
      </c>
      <c r="H41" s="180" t="e">
        <f ca="1">D41+((1+'normal case'!M41/100)/('normal case'!D41/'normal case'!D40))*'external balance'!H40</f>
        <v>#DIV/0!</v>
      </c>
      <c r="I41" s="180"/>
    </row>
    <row r="42" spans="1:9">
      <c r="A42">
        <v>40</v>
      </c>
      <c r="B42" s="180" t="e">
        <f ca="1">('normal case'!AC42*($K$6*'normal case'!D42*('normal case'!AC42^'external balance'!$K$4)))/'normal case'!D42</f>
        <v>#DIV/0!</v>
      </c>
      <c r="C42" s="180" t="e">
        <f ca="1">($K$5*$K$7*((1+$K$8)^'normal case'!A41)*'normal case'!AC42^$K$3)/'normal case'!D42</f>
        <v>#DIV/0!</v>
      </c>
      <c r="D42" s="116" t="e">
        <f ca="1">(C42-B42)+((('main page'!$U$38/100)*'normal case'!$D$3)/'normal case'!$D$3)</f>
        <v>#DIV/0!</v>
      </c>
      <c r="E42" s="180" t="e">
        <f ca="1">((('normal case'!M42/100)*'external balance'!H41)/('normal case'!D42/'normal case'!D41))</f>
        <v>#DIV/0!</v>
      </c>
      <c r="F42" s="180" t="e">
        <f t="shared" ca="1" si="0"/>
        <v>#DIV/0!</v>
      </c>
      <c r="H42" s="180" t="e">
        <f ca="1">D42+((1+'normal case'!M42/100)/('normal case'!D42/'normal case'!D41))*'external balance'!H41</f>
        <v>#DIV/0!</v>
      </c>
      <c r="I42" s="180"/>
    </row>
    <row r="43" spans="1:9">
      <c r="A43">
        <v>41</v>
      </c>
      <c r="B43" s="180" t="e">
        <f ca="1">('normal case'!AC43*($K$6*'normal case'!D43*('normal case'!AC43^'external balance'!$K$4)))/'normal case'!D43</f>
        <v>#DIV/0!</v>
      </c>
      <c r="C43" s="180" t="e">
        <f ca="1">($K$5*$K$7*((1+$K$8)^'normal case'!A42)*'normal case'!AC43^$K$3)/'normal case'!D43</f>
        <v>#DIV/0!</v>
      </c>
      <c r="D43" s="116" t="e">
        <f ca="1">(C43-B43)+((('main page'!$U$38/100)*'normal case'!$D$3)/'normal case'!$D$3)</f>
        <v>#DIV/0!</v>
      </c>
      <c r="E43" s="180" t="e">
        <f ca="1">((('normal case'!M43/100)*'external balance'!H42)/('normal case'!D43/'normal case'!D42))</f>
        <v>#DIV/0!</v>
      </c>
      <c r="F43" s="180" t="e">
        <f t="shared" ca="1" si="0"/>
        <v>#DIV/0!</v>
      </c>
      <c r="H43" s="180" t="e">
        <f ca="1">D43+((1+'normal case'!M43/100)/('normal case'!D43/'normal case'!D42))*'external balance'!H42</f>
        <v>#DIV/0!</v>
      </c>
      <c r="I43" s="180"/>
    </row>
    <row r="44" spans="1:9">
      <c r="A44">
        <v>42</v>
      </c>
      <c r="B44" s="180" t="e">
        <f ca="1">('normal case'!AC44*($K$6*'normal case'!D44*('normal case'!AC44^'external balance'!$K$4)))/'normal case'!D44</f>
        <v>#DIV/0!</v>
      </c>
      <c r="C44" s="180" t="e">
        <f ca="1">($K$5*$K$7*((1+$K$8)^'normal case'!A43)*'normal case'!AC44^$K$3)/'normal case'!D44</f>
        <v>#DIV/0!</v>
      </c>
      <c r="D44" s="116" t="e">
        <f ca="1">(C44-B44)+((('main page'!$U$38/100)*'normal case'!$D$3)/'normal case'!$D$3)</f>
        <v>#DIV/0!</v>
      </c>
      <c r="E44" s="180" t="e">
        <f ca="1">((('normal case'!M44/100)*'external balance'!H43)/('normal case'!D44/'normal case'!D43))</f>
        <v>#DIV/0!</v>
      </c>
      <c r="F44" s="180" t="e">
        <f t="shared" ca="1" si="0"/>
        <v>#DIV/0!</v>
      </c>
      <c r="H44" s="180" t="e">
        <f ca="1">D44+((1+'normal case'!M44/100)/('normal case'!D44/'normal case'!D43))*'external balance'!H43</f>
        <v>#DIV/0!</v>
      </c>
      <c r="I44" s="180"/>
    </row>
    <row r="45" spans="1:9">
      <c r="A45">
        <v>43</v>
      </c>
      <c r="B45" s="180" t="e">
        <f ca="1">('normal case'!AC45*($K$6*'normal case'!D45*('normal case'!AC45^'external balance'!$K$4)))/'normal case'!D45</f>
        <v>#DIV/0!</v>
      </c>
      <c r="C45" s="180" t="e">
        <f ca="1">($K$5*$K$7*((1+$K$8)^'normal case'!A44)*'normal case'!AC45^$K$3)/'normal case'!D45</f>
        <v>#DIV/0!</v>
      </c>
      <c r="D45" s="116" t="e">
        <f ca="1">(C45-B45)+((('main page'!$U$38/100)*'normal case'!$D$3)/'normal case'!$D$3)</f>
        <v>#DIV/0!</v>
      </c>
      <c r="E45" s="180" t="e">
        <f ca="1">((('normal case'!M45/100)*'external balance'!H44)/('normal case'!D45/'normal case'!D44))</f>
        <v>#DIV/0!</v>
      </c>
      <c r="F45" s="180" t="e">
        <f t="shared" ca="1" si="0"/>
        <v>#DIV/0!</v>
      </c>
      <c r="H45" s="180" t="e">
        <f ca="1">D45+((1+'normal case'!M45/100)/('normal case'!D45/'normal case'!D44))*'external balance'!H44</f>
        <v>#DIV/0!</v>
      </c>
      <c r="I45" s="180"/>
    </row>
    <row r="46" spans="1:9">
      <c r="A46">
        <v>44</v>
      </c>
      <c r="B46" s="180" t="e">
        <f ca="1">('normal case'!AC46*($K$6*'normal case'!D46*('normal case'!AC46^'external balance'!$K$4)))/'normal case'!D46</f>
        <v>#DIV/0!</v>
      </c>
      <c r="C46" s="180" t="e">
        <f ca="1">($K$5*$K$7*((1+$K$8)^'normal case'!A45)*'normal case'!AC46^$K$3)/'normal case'!D46</f>
        <v>#DIV/0!</v>
      </c>
      <c r="D46" s="116" t="e">
        <f ca="1">(C46-B46)+((('main page'!$U$38/100)*'normal case'!$D$3)/'normal case'!$D$3)</f>
        <v>#DIV/0!</v>
      </c>
      <c r="E46" s="180" t="e">
        <f ca="1">((('normal case'!M46/100)*'external balance'!H45)/('normal case'!D46/'normal case'!D45))</f>
        <v>#DIV/0!</v>
      </c>
      <c r="F46" s="180" t="e">
        <f t="shared" ca="1" si="0"/>
        <v>#DIV/0!</v>
      </c>
      <c r="H46" s="180" t="e">
        <f ca="1">D46+((1+'normal case'!M46/100)/('normal case'!D46/'normal case'!D45))*'external balance'!H45</f>
        <v>#DIV/0!</v>
      </c>
      <c r="I46" s="180"/>
    </row>
    <row r="47" spans="1:9">
      <c r="A47">
        <v>45</v>
      </c>
      <c r="B47" s="180" t="e">
        <f ca="1">('normal case'!AC47*($K$6*'normal case'!D47*('normal case'!AC47^'external balance'!$K$4)))/'normal case'!D47</f>
        <v>#DIV/0!</v>
      </c>
      <c r="C47" s="180" t="e">
        <f ca="1">($K$5*$K$7*((1+$K$8)^'normal case'!A46)*'normal case'!AC47^$K$3)/'normal case'!D47</f>
        <v>#DIV/0!</v>
      </c>
      <c r="D47" s="116" t="e">
        <f ca="1">(C47-B47)+((('main page'!$U$38/100)*'normal case'!$D$3)/'normal case'!$D$3)</f>
        <v>#DIV/0!</v>
      </c>
      <c r="E47" s="180" t="e">
        <f ca="1">((('normal case'!M47/100)*'external balance'!H46)/('normal case'!D47/'normal case'!D46))</f>
        <v>#DIV/0!</v>
      </c>
      <c r="F47" s="180" t="e">
        <f t="shared" ca="1" si="0"/>
        <v>#DIV/0!</v>
      </c>
      <c r="H47" s="180" t="e">
        <f ca="1">D47+((1+'normal case'!M47/100)/('normal case'!D47/'normal case'!D46))*'external balance'!H46</f>
        <v>#DIV/0!</v>
      </c>
      <c r="I47" s="180"/>
    </row>
    <row r="48" spans="1:9">
      <c r="A48">
        <v>46</v>
      </c>
      <c r="B48" s="180" t="e">
        <f ca="1">('normal case'!AC48*($K$6*'normal case'!D48*('normal case'!AC48^'external balance'!$K$4)))/'normal case'!D48</f>
        <v>#DIV/0!</v>
      </c>
      <c r="C48" s="180" t="e">
        <f ca="1">($K$5*$K$7*((1+$K$8)^'normal case'!A47)*'normal case'!AC48^$K$3)/'normal case'!D48</f>
        <v>#DIV/0!</v>
      </c>
      <c r="D48" s="116" t="e">
        <f ca="1">(C48-B48)+((('main page'!$U$38/100)*'normal case'!$D$3)/'normal case'!$D$3)</f>
        <v>#DIV/0!</v>
      </c>
      <c r="E48" s="180" t="e">
        <f ca="1">((('normal case'!M48/100)*'external balance'!H47)/('normal case'!D48/'normal case'!D47))</f>
        <v>#DIV/0!</v>
      </c>
      <c r="F48" s="180" t="e">
        <f t="shared" ca="1" si="0"/>
        <v>#DIV/0!</v>
      </c>
      <c r="H48" s="180" t="e">
        <f ca="1">D48+((1+'normal case'!M48/100)/('normal case'!D48/'normal case'!D47))*'external balance'!H47</f>
        <v>#DIV/0!</v>
      </c>
      <c r="I48" s="180"/>
    </row>
    <row r="49" spans="1:9">
      <c r="A49">
        <v>47</v>
      </c>
      <c r="B49" s="180" t="e">
        <f ca="1">('normal case'!AC49*($K$6*'normal case'!D49*('normal case'!AC49^'external balance'!$K$4)))/'normal case'!D49</f>
        <v>#DIV/0!</v>
      </c>
      <c r="C49" s="180" t="e">
        <f ca="1">($K$5*$K$7*((1+$K$8)^'normal case'!A48)*'normal case'!AC49^$K$3)/'normal case'!D49</f>
        <v>#DIV/0!</v>
      </c>
      <c r="D49" s="116" t="e">
        <f ca="1">(C49-B49)+((('main page'!$U$38/100)*'normal case'!$D$3)/'normal case'!$D$3)</f>
        <v>#DIV/0!</v>
      </c>
      <c r="E49" s="180" t="e">
        <f ca="1">((('normal case'!M49/100)*'external balance'!H48)/('normal case'!D49/'normal case'!D48))</f>
        <v>#DIV/0!</v>
      </c>
      <c r="F49" s="180" t="e">
        <f t="shared" ca="1" si="0"/>
        <v>#DIV/0!</v>
      </c>
      <c r="H49" s="180" t="e">
        <f ca="1">D49+((1+'normal case'!M49/100)/('normal case'!D49/'normal case'!D48))*'external balance'!H48</f>
        <v>#DIV/0!</v>
      </c>
      <c r="I49" s="180"/>
    </row>
    <row r="50" spans="1:9">
      <c r="A50">
        <v>48</v>
      </c>
      <c r="B50" s="180" t="e">
        <f ca="1">('normal case'!AC50*($K$6*'normal case'!D50*('normal case'!AC50^'external balance'!$K$4)))/'normal case'!D50</f>
        <v>#DIV/0!</v>
      </c>
      <c r="C50" s="180" t="e">
        <f ca="1">($K$5*$K$7*((1+$K$8)^'normal case'!A49)*'normal case'!AC50^$K$3)/'normal case'!D50</f>
        <v>#DIV/0!</v>
      </c>
      <c r="D50" s="116" t="e">
        <f ca="1">(C50-B50)+((('main page'!$U$38/100)*'normal case'!$D$3)/'normal case'!$D$3)</f>
        <v>#DIV/0!</v>
      </c>
      <c r="E50" s="180" t="e">
        <f ca="1">((('normal case'!M50/100)*'external balance'!H49)/('normal case'!D50/'normal case'!D49))</f>
        <v>#DIV/0!</v>
      </c>
      <c r="F50" s="180" t="e">
        <f t="shared" ca="1" si="0"/>
        <v>#DIV/0!</v>
      </c>
      <c r="H50" s="180" t="e">
        <f ca="1">D50+((1+'normal case'!M50/100)/('normal case'!D50/'normal case'!D49))*'external balance'!H49</f>
        <v>#DIV/0!</v>
      </c>
      <c r="I50" s="180"/>
    </row>
    <row r="51" spans="1:9">
      <c r="A51">
        <v>49</v>
      </c>
      <c r="B51" s="180" t="e">
        <f ca="1">('normal case'!AC51*($K$6*'normal case'!D51*('normal case'!AC51^'external balance'!$K$4)))/'normal case'!D51</f>
        <v>#DIV/0!</v>
      </c>
      <c r="C51" s="180" t="e">
        <f ca="1">($K$5*$K$7*((1+$K$8)^'normal case'!A50)*'normal case'!AC51^$K$3)/'normal case'!D51</f>
        <v>#DIV/0!</v>
      </c>
      <c r="D51" s="116" t="e">
        <f ca="1">(C51-B51)+((('main page'!$U$38/100)*'normal case'!$D$3)/'normal case'!$D$3)</f>
        <v>#DIV/0!</v>
      </c>
      <c r="E51" s="180" t="e">
        <f ca="1">((('normal case'!M51/100)*'external balance'!H50)/('normal case'!D51/'normal case'!D50))</f>
        <v>#DIV/0!</v>
      </c>
      <c r="F51" s="180" t="e">
        <f t="shared" ca="1" si="0"/>
        <v>#DIV/0!</v>
      </c>
      <c r="H51" s="180" t="e">
        <f ca="1">D51+((1+'normal case'!M51/100)/('normal case'!D51/'normal case'!D50))*'external balance'!H50</f>
        <v>#DIV/0!</v>
      </c>
      <c r="I51" s="180"/>
    </row>
    <row r="52" spans="1:9">
      <c r="A52">
        <v>50</v>
      </c>
      <c r="B52" s="180" t="e">
        <f ca="1">('normal case'!AC52*($K$6*'normal case'!D52*('normal case'!AC52^'external balance'!$K$4)))/'normal case'!D52</f>
        <v>#DIV/0!</v>
      </c>
      <c r="C52" s="180" t="e">
        <f ca="1">($K$5*$K$7*((1+$K$8)^'normal case'!A51)*'normal case'!AC52^$K$3)/'normal case'!D52</f>
        <v>#DIV/0!</v>
      </c>
      <c r="D52" s="116" t="e">
        <f ca="1">(C52-B52)+((('main page'!$U$38/100)*'normal case'!$D$3)/'normal case'!$D$3)</f>
        <v>#DIV/0!</v>
      </c>
      <c r="E52" s="180" t="e">
        <f ca="1">((('normal case'!M52/100)*'external balance'!H51)/('normal case'!D52/'normal case'!D51))</f>
        <v>#DIV/0!</v>
      </c>
      <c r="F52" s="180" t="e">
        <f t="shared" ca="1" si="0"/>
        <v>#DIV/0!</v>
      </c>
      <c r="H52" s="180" t="e">
        <f ca="1">D52+((1+'normal case'!M52/100)/('normal case'!D52/'normal case'!D51))*'external balance'!H51</f>
        <v>#DIV/0!</v>
      </c>
      <c r="I52" s="180"/>
    </row>
    <row r="53" spans="1:9">
      <c r="A53">
        <v>51</v>
      </c>
      <c r="B53" s="180" t="e">
        <f ca="1">('normal case'!AC53*($K$6*'normal case'!D53*('normal case'!AC53^'external balance'!$K$4)))/'normal case'!D53</f>
        <v>#DIV/0!</v>
      </c>
      <c r="C53" s="180" t="e">
        <f ca="1">($K$5*$K$7*((1+$K$8)^'normal case'!A52)*'normal case'!AC53^$K$3)/'normal case'!D53</f>
        <v>#DIV/0!</v>
      </c>
      <c r="D53" s="116" t="e">
        <f ca="1">(C53-B53)+((('main page'!$U$38/100)*'normal case'!$D$3)/'normal case'!$D$3)</f>
        <v>#DIV/0!</v>
      </c>
      <c r="E53" s="180" t="e">
        <f ca="1">((('normal case'!M53/100)*'external balance'!H52)/('normal case'!D53/'normal case'!D52))</f>
        <v>#DIV/0!</v>
      </c>
      <c r="F53" s="180" t="e">
        <f t="shared" ca="1" si="0"/>
        <v>#DIV/0!</v>
      </c>
      <c r="H53" s="180" t="e">
        <f ca="1">D53+((1+'normal case'!M53/100)/('normal case'!D53/'normal case'!D52))*'external balance'!H52</f>
        <v>#DIV/0!</v>
      </c>
      <c r="I53" s="180"/>
    </row>
    <row r="54" spans="1:9">
      <c r="A54">
        <v>52</v>
      </c>
      <c r="B54" s="180" t="e">
        <f ca="1">('normal case'!AC54*($K$6*'normal case'!D54*('normal case'!AC54^'external balance'!$K$4)))/'normal case'!D54</f>
        <v>#DIV/0!</v>
      </c>
      <c r="C54" s="180" t="e">
        <f ca="1">($K$5*$K$7*((1+$K$8)^'normal case'!A53)*'normal case'!AC54^$K$3)/'normal case'!D54</f>
        <v>#DIV/0!</v>
      </c>
      <c r="D54" s="116" t="e">
        <f ca="1">(C54-B54)+((('main page'!$U$38/100)*'normal case'!$D$3)/'normal case'!$D$3)</f>
        <v>#DIV/0!</v>
      </c>
      <c r="E54" s="180" t="e">
        <f ca="1">((('normal case'!M54/100)*'external balance'!H53)/('normal case'!D54/'normal case'!D53))</f>
        <v>#DIV/0!</v>
      </c>
      <c r="F54" s="180" t="e">
        <f t="shared" ca="1" si="0"/>
        <v>#DIV/0!</v>
      </c>
      <c r="H54" s="180" t="e">
        <f ca="1">D54+((1+'normal case'!M54/100)/('normal case'!D54/'normal case'!D53))*'external balance'!H53</f>
        <v>#DIV/0!</v>
      </c>
      <c r="I54" s="180"/>
    </row>
    <row r="55" spans="1:9">
      <c r="A55">
        <v>53</v>
      </c>
      <c r="B55" s="180" t="e">
        <f ca="1">('normal case'!AC55*($K$6*'normal case'!D55*('normal case'!AC55^'external balance'!$K$4)))/'normal case'!D55</f>
        <v>#DIV/0!</v>
      </c>
      <c r="C55" s="180" t="e">
        <f ca="1">($K$5*$K$7*((1+$K$8)^'normal case'!A54)*'normal case'!AC55^$K$3)/'normal case'!D55</f>
        <v>#DIV/0!</v>
      </c>
      <c r="D55" s="116" t="e">
        <f ca="1">(C55-B55)+((('main page'!$U$38/100)*'normal case'!$D$3)/'normal case'!$D$3)</f>
        <v>#DIV/0!</v>
      </c>
      <c r="E55" s="180" t="e">
        <f ca="1">((('normal case'!M55/100)*'external balance'!H54)/('normal case'!D55/'normal case'!D54))</f>
        <v>#DIV/0!</v>
      </c>
      <c r="F55" s="180" t="e">
        <f t="shared" ca="1" si="0"/>
        <v>#DIV/0!</v>
      </c>
      <c r="H55" s="180" t="e">
        <f ca="1">D55+((1+'normal case'!M55/100)/('normal case'!D55/'normal case'!D54))*'external balance'!H54</f>
        <v>#DIV/0!</v>
      </c>
      <c r="I55" s="180"/>
    </row>
    <row r="56" spans="1:9">
      <c r="A56">
        <v>54</v>
      </c>
      <c r="B56" s="180" t="e">
        <f ca="1">('normal case'!AC56*($K$6*'normal case'!D56*('normal case'!AC56^'external balance'!$K$4)))/'normal case'!D56</f>
        <v>#DIV/0!</v>
      </c>
      <c r="C56" s="180" t="e">
        <f ca="1">($K$5*$K$7*((1+$K$8)^'normal case'!A55)*'normal case'!AC56^$K$3)/'normal case'!D56</f>
        <v>#DIV/0!</v>
      </c>
      <c r="D56" s="116" t="e">
        <f ca="1">(C56-B56)+((('main page'!$U$38/100)*'normal case'!$D$3)/'normal case'!$D$3)</f>
        <v>#DIV/0!</v>
      </c>
      <c r="E56" s="180" t="e">
        <f ca="1">((('normal case'!M56/100)*'external balance'!H55)/('normal case'!D56/'normal case'!D55))</f>
        <v>#DIV/0!</v>
      </c>
      <c r="F56" s="180" t="e">
        <f t="shared" ca="1" si="0"/>
        <v>#DIV/0!</v>
      </c>
      <c r="H56" s="180" t="e">
        <f ca="1">D56+((1+'normal case'!M56/100)/('normal case'!D56/'normal case'!D55))*'external balance'!H55</f>
        <v>#DIV/0!</v>
      </c>
      <c r="I56" s="180"/>
    </row>
    <row r="57" spans="1:9">
      <c r="A57">
        <v>55</v>
      </c>
      <c r="B57" s="180" t="e">
        <f ca="1">('normal case'!AC57*($K$6*'normal case'!D57*('normal case'!AC57^'external balance'!$K$4)))/'normal case'!D57</f>
        <v>#DIV/0!</v>
      </c>
      <c r="C57" s="180" t="e">
        <f ca="1">($K$5*$K$7*((1+$K$8)^'normal case'!A56)*'normal case'!AC57^$K$3)/'normal case'!D57</f>
        <v>#DIV/0!</v>
      </c>
      <c r="D57" s="116" t="e">
        <f ca="1">(C57-B57)+((('main page'!$U$38/100)*'normal case'!$D$3)/'normal case'!$D$3)</f>
        <v>#DIV/0!</v>
      </c>
      <c r="E57" s="180" t="e">
        <f ca="1">((('normal case'!M57/100)*'external balance'!H56)/('normal case'!D57/'normal case'!D56))</f>
        <v>#DIV/0!</v>
      </c>
      <c r="F57" s="180" t="e">
        <f t="shared" ca="1" si="0"/>
        <v>#DIV/0!</v>
      </c>
      <c r="H57" s="180" t="e">
        <f ca="1">D57+((1+'normal case'!M57/100)/('normal case'!D57/'normal case'!D56))*'external balance'!H56</f>
        <v>#DIV/0!</v>
      </c>
      <c r="I57" s="180"/>
    </row>
    <row r="58" spans="1:9">
      <c r="A58">
        <v>56</v>
      </c>
      <c r="B58" s="180" t="e">
        <f ca="1">('normal case'!AC58*($K$6*'normal case'!D58*('normal case'!AC58^'external balance'!$K$4)))/'normal case'!D58</f>
        <v>#DIV/0!</v>
      </c>
      <c r="C58" s="180" t="e">
        <f ca="1">($K$5*$K$7*((1+$K$8)^'normal case'!A57)*'normal case'!AC58^$K$3)/'normal case'!D58</f>
        <v>#DIV/0!</v>
      </c>
      <c r="D58" s="116" t="e">
        <f ca="1">(C58-B58)+((('main page'!$U$38/100)*'normal case'!$D$3)/'normal case'!$D$3)</f>
        <v>#DIV/0!</v>
      </c>
      <c r="E58" s="180" t="e">
        <f ca="1">((('normal case'!M58/100)*'external balance'!H57)/('normal case'!D58/'normal case'!D57))</f>
        <v>#DIV/0!</v>
      </c>
      <c r="F58" s="180" t="e">
        <f t="shared" ca="1" si="0"/>
        <v>#DIV/0!</v>
      </c>
      <c r="H58" s="180" t="e">
        <f ca="1">D58+((1+'normal case'!M58/100)/('normal case'!D58/'normal case'!D57))*'external balance'!H57</f>
        <v>#DIV/0!</v>
      </c>
      <c r="I58" s="180"/>
    </row>
    <row r="59" spans="1:9">
      <c r="A59">
        <v>57</v>
      </c>
      <c r="B59" s="180" t="e">
        <f ca="1">('normal case'!AC59*($K$6*'normal case'!D59*('normal case'!AC59^'external balance'!$K$4)))/'normal case'!D59</f>
        <v>#DIV/0!</v>
      </c>
      <c r="C59" s="180" t="e">
        <f ca="1">($K$5*$K$7*((1+$K$8)^'normal case'!A58)*'normal case'!AC59^$K$3)/'normal case'!D59</f>
        <v>#DIV/0!</v>
      </c>
      <c r="D59" s="116" t="e">
        <f ca="1">(C59-B59)+((('main page'!$U$38/100)*'normal case'!$D$3)/'normal case'!$D$3)</f>
        <v>#DIV/0!</v>
      </c>
      <c r="E59" s="180" t="e">
        <f ca="1">((('normal case'!M59/100)*'external balance'!H58)/('normal case'!D59/'normal case'!D58))</f>
        <v>#DIV/0!</v>
      </c>
      <c r="F59" s="180" t="e">
        <f t="shared" ca="1" si="0"/>
        <v>#DIV/0!</v>
      </c>
      <c r="H59" s="180" t="e">
        <f ca="1">D59+((1+'normal case'!M59/100)/('normal case'!D59/'normal case'!D58))*'external balance'!H58</f>
        <v>#DIV/0!</v>
      </c>
      <c r="I59" s="180"/>
    </row>
    <row r="60" spans="1:9">
      <c r="A60">
        <v>58</v>
      </c>
      <c r="B60" s="180" t="e">
        <f ca="1">('normal case'!AC60*($K$6*'normal case'!D60*('normal case'!AC60^'external balance'!$K$4)))/'normal case'!D60</f>
        <v>#DIV/0!</v>
      </c>
      <c r="C60" s="180" t="e">
        <f ca="1">($K$5*$K$7*((1+$K$8)^'normal case'!A59)*'normal case'!AC60^$K$3)/'normal case'!D60</f>
        <v>#DIV/0!</v>
      </c>
      <c r="D60" s="116" t="e">
        <f ca="1">(C60-B60)+((('main page'!$U$38/100)*'normal case'!$D$3)/'normal case'!$D$3)</f>
        <v>#DIV/0!</v>
      </c>
      <c r="E60" s="180" t="e">
        <f ca="1">((('normal case'!M60/100)*'external balance'!H59)/('normal case'!D60/'normal case'!D59))</f>
        <v>#DIV/0!</v>
      </c>
      <c r="F60" s="180" t="e">
        <f t="shared" ca="1" si="0"/>
        <v>#DIV/0!</v>
      </c>
      <c r="H60" s="180" t="e">
        <f ca="1">D60+((1+'normal case'!M60/100)/('normal case'!D60/'normal case'!D59))*'external balance'!H59</f>
        <v>#DIV/0!</v>
      </c>
      <c r="I60" s="180"/>
    </row>
    <row r="61" spans="1:9">
      <c r="A61">
        <v>59</v>
      </c>
      <c r="B61" s="180" t="e">
        <f ca="1">('normal case'!AC61*($K$6*'normal case'!D61*('normal case'!AC61^'external balance'!$K$4)))/'normal case'!D61</f>
        <v>#DIV/0!</v>
      </c>
      <c r="C61" s="180" t="e">
        <f ca="1">($K$5*$K$7*((1+$K$8)^'normal case'!A60)*'normal case'!AC61^$K$3)/'normal case'!D61</f>
        <v>#DIV/0!</v>
      </c>
      <c r="D61" s="116" t="e">
        <f ca="1">(C61-B61)+((('main page'!$U$38/100)*'normal case'!$D$3)/'normal case'!$D$3)</f>
        <v>#DIV/0!</v>
      </c>
      <c r="E61" s="180" t="e">
        <f ca="1">((('normal case'!M61/100)*'external balance'!H60)/('normal case'!D61/'normal case'!D60))</f>
        <v>#DIV/0!</v>
      </c>
      <c r="F61" s="180" t="e">
        <f t="shared" ca="1" si="0"/>
        <v>#DIV/0!</v>
      </c>
      <c r="H61" s="180" t="e">
        <f ca="1">D61+((1+'normal case'!M61/100)/('normal case'!D61/'normal case'!D60))*'external balance'!H60</f>
        <v>#DIV/0!</v>
      </c>
      <c r="I61" s="180"/>
    </row>
    <row r="62" spans="1:9">
      <c r="A62">
        <v>60</v>
      </c>
      <c r="B62" s="180" t="e">
        <f ca="1">('normal case'!AC62*($K$6*'normal case'!D62*('normal case'!AC62^'external balance'!$K$4)))/'normal case'!D62</f>
        <v>#DIV/0!</v>
      </c>
      <c r="C62" s="180" t="e">
        <f ca="1">($K$5*$K$7*((1+$K$8)^'normal case'!A61)*'normal case'!AC62^$K$3)/'normal case'!D62</f>
        <v>#DIV/0!</v>
      </c>
      <c r="D62" s="116" t="e">
        <f ca="1">(C62-B62)+((('main page'!$U$38/100)*'normal case'!$D$3)/'normal case'!$D$3)</f>
        <v>#DIV/0!</v>
      </c>
      <c r="E62" s="180" t="e">
        <f ca="1">((('normal case'!M62/100)*'external balance'!H61)/('normal case'!D62/'normal case'!D61))</f>
        <v>#DIV/0!</v>
      </c>
      <c r="F62" s="180" t="e">
        <f t="shared" ca="1" si="0"/>
        <v>#DIV/0!</v>
      </c>
      <c r="H62" s="180" t="e">
        <f ca="1">D62+((1+'normal case'!M62/100)/('normal case'!D62/'normal case'!D61))*'external balance'!H61</f>
        <v>#DIV/0!</v>
      </c>
      <c r="I62" s="180"/>
    </row>
    <row r="63" spans="1:9">
      <c r="A63">
        <v>61</v>
      </c>
      <c r="B63" s="180" t="e">
        <f ca="1">('normal case'!AC63*($K$6*'normal case'!D63*('normal case'!AC63^'external balance'!$K$4)))/'normal case'!D63</f>
        <v>#DIV/0!</v>
      </c>
      <c r="C63" s="180" t="e">
        <f ca="1">($K$5*$K$7*((1+$K$8)^'normal case'!A62)*'normal case'!AC63^$K$3)/'normal case'!D63</f>
        <v>#DIV/0!</v>
      </c>
      <c r="D63" s="116" t="e">
        <f ca="1">(C63-B63)+((('main page'!$U$38/100)*'normal case'!$D$3)/'normal case'!$D$3)</f>
        <v>#DIV/0!</v>
      </c>
      <c r="E63" s="180" t="e">
        <f ca="1">((('normal case'!M63/100)*'external balance'!H62)/('normal case'!D63/'normal case'!D62))</f>
        <v>#DIV/0!</v>
      </c>
      <c r="F63" s="180" t="e">
        <f t="shared" ca="1" si="0"/>
        <v>#DIV/0!</v>
      </c>
      <c r="H63" s="180" t="e">
        <f ca="1">D63+((1+'normal case'!M63/100)/('normal case'!D63/'normal case'!D62))*'external balance'!H62</f>
        <v>#DIV/0!</v>
      </c>
      <c r="I63" s="180"/>
    </row>
    <row r="64" spans="1:9">
      <c r="A64">
        <v>62</v>
      </c>
      <c r="B64" s="180" t="e">
        <f ca="1">('normal case'!AC64*($K$6*'normal case'!D64*('normal case'!AC64^'external balance'!$K$4)))/'normal case'!D64</f>
        <v>#DIV/0!</v>
      </c>
      <c r="C64" s="180" t="e">
        <f ca="1">($K$5*$K$7*((1+$K$8)^'normal case'!A63)*'normal case'!AC64^$K$3)/'normal case'!D64</f>
        <v>#DIV/0!</v>
      </c>
      <c r="D64" s="116" t="e">
        <f ca="1">(C64-B64)+((('main page'!$U$38/100)*'normal case'!$D$3)/'normal case'!$D$3)</f>
        <v>#DIV/0!</v>
      </c>
      <c r="E64" s="180" t="e">
        <f ca="1">((('normal case'!M64/100)*'external balance'!H63)/('normal case'!D64/'normal case'!D63))</f>
        <v>#DIV/0!</v>
      </c>
      <c r="F64" s="180" t="e">
        <f t="shared" ca="1" si="0"/>
        <v>#DIV/0!</v>
      </c>
      <c r="H64" s="180" t="e">
        <f ca="1">D64+((1+'normal case'!M64/100)/('normal case'!D64/'normal case'!D63))*'external balance'!H63</f>
        <v>#DIV/0!</v>
      </c>
      <c r="I64" s="180"/>
    </row>
    <row r="65" spans="1:9">
      <c r="A65">
        <v>63</v>
      </c>
      <c r="B65" s="180" t="e">
        <f ca="1">('normal case'!AC65*($K$6*'normal case'!D65*('normal case'!AC65^'external balance'!$K$4)))/'normal case'!D65</f>
        <v>#DIV/0!</v>
      </c>
      <c r="C65" s="180" t="e">
        <f ca="1">($K$5*$K$7*((1+$K$8)^'normal case'!A64)*'normal case'!AC65^$K$3)/'normal case'!D65</f>
        <v>#DIV/0!</v>
      </c>
      <c r="D65" s="116" t="e">
        <f ca="1">(C65-B65)+((('main page'!$U$38/100)*'normal case'!$D$3)/'normal case'!$D$3)</f>
        <v>#DIV/0!</v>
      </c>
      <c r="E65" s="180" t="e">
        <f ca="1">((('normal case'!M65/100)*'external balance'!H64)/('normal case'!D65/'normal case'!D64))</f>
        <v>#DIV/0!</v>
      </c>
      <c r="F65" s="180" t="e">
        <f t="shared" ca="1" si="0"/>
        <v>#DIV/0!</v>
      </c>
      <c r="H65" s="180" t="e">
        <f ca="1">D65+((1+'normal case'!M65/100)/('normal case'!D65/'normal case'!D64))*'external balance'!H64</f>
        <v>#DIV/0!</v>
      </c>
      <c r="I65" s="180"/>
    </row>
    <row r="66" spans="1:9">
      <c r="A66">
        <v>64</v>
      </c>
      <c r="B66" s="180" t="e">
        <f ca="1">('normal case'!AC66*($K$6*'normal case'!D66*('normal case'!AC66^'external balance'!$K$4)))/'normal case'!D66</f>
        <v>#DIV/0!</v>
      </c>
      <c r="C66" s="180" t="e">
        <f ca="1">($K$5*$K$7*((1+$K$8)^'normal case'!A65)*'normal case'!AC66^$K$3)/'normal case'!D66</f>
        <v>#DIV/0!</v>
      </c>
      <c r="D66" s="116" t="e">
        <f ca="1">(C66-B66)+((('main page'!$U$38/100)*'normal case'!$D$3)/'normal case'!$D$3)</f>
        <v>#DIV/0!</v>
      </c>
      <c r="E66" s="180" t="e">
        <f ca="1">((('normal case'!M66/100)*'external balance'!H65)/('normal case'!D66/'normal case'!D65))</f>
        <v>#DIV/0!</v>
      </c>
      <c r="F66" s="180" t="e">
        <f t="shared" ca="1" si="0"/>
        <v>#DIV/0!</v>
      </c>
      <c r="H66" s="180" t="e">
        <f ca="1">D66+((1+'normal case'!M66/100)/('normal case'!D66/'normal case'!D65))*'external balance'!H65</f>
        <v>#DIV/0!</v>
      </c>
      <c r="I66" s="180"/>
    </row>
    <row r="67" spans="1:9">
      <c r="A67">
        <v>65</v>
      </c>
      <c r="B67" s="180" t="e">
        <f ca="1">('normal case'!AC67*($K$6*'normal case'!D67*('normal case'!AC67^'external balance'!$K$4)))/'normal case'!D67</f>
        <v>#DIV/0!</v>
      </c>
      <c r="C67" s="180" t="e">
        <f ca="1">($K$5*$K$7*((1+$K$8)^'normal case'!A66)*'normal case'!AC67^$K$3)/'normal case'!D67</f>
        <v>#DIV/0!</v>
      </c>
      <c r="D67" s="116" t="e">
        <f ca="1">(C67-B67)+((('main page'!$U$38/100)*'normal case'!$D$3)/'normal case'!$D$3)</f>
        <v>#DIV/0!</v>
      </c>
      <c r="E67" s="180" t="e">
        <f ca="1">((('normal case'!M67/100)*'external balance'!H66)/('normal case'!D67/'normal case'!D66))</f>
        <v>#DIV/0!</v>
      </c>
      <c r="F67" s="180" t="e">
        <f t="shared" ca="1" si="0"/>
        <v>#DIV/0!</v>
      </c>
      <c r="H67" s="180" t="e">
        <f ca="1">D67+((1+'normal case'!M67/100)/('normal case'!D67/'normal case'!D66))*'external balance'!H66</f>
        <v>#DIV/0!</v>
      </c>
      <c r="I67" s="180"/>
    </row>
    <row r="68" spans="1:9">
      <c r="A68">
        <v>66</v>
      </c>
      <c r="B68" s="180" t="e">
        <f ca="1">('normal case'!AC68*($K$6*'normal case'!D68*('normal case'!AC68^'external balance'!$K$4)))/'normal case'!D68</f>
        <v>#DIV/0!</v>
      </c>
      <c r="C68" s="180" t="e">
        <f ca="1">($K$5*$K$7*((1+$K$8)^'normal case'!A67)*'normal case'!AC68^$K$3)/'normal case'!D68</f>
        <v>#DIV/0!</v>
      </c>
      <c r="D68" s="116" t="e">
        <f ca="1">(C68-B68)+((('main page'!$U$38/100)*'normal case'!$D$3)/'normal case'!$D$3)</f>
        <v>#DIV/0!</v>
      </c>
      <c r="E68" s="180" t="e">
        <f ca="1">((('normal case'!M68/100)*'external balance'!H67)/('normal case'!D68/'normal case'!D67))</f>
        <v>#DIV/0!</v>
      </c>
      <c r="F68" s="180" t="e">
        <f t="shared" ca="1" si="0"/>
        <v>#DIV/0!</v>
      </c>
      <c r="H68" s="180" t="e">
        <f ca="1">D68+((1+'normal case'!M68/100)/('normal case'!D68/'normal case'!D67))*'external balance'!H67</f>
        <v>#DIV/0!</v>
      </c>
      <c r="I68" s="180"/>
    </row>
    <row r="69" spans="1:9">
      <c r="A69">
        <v>67</v>
      </c>
      <c r="B69" s="180" t="e">
        <f ca="1">('normal case'!AC69*($K$6*'normal case'!D69*('normal case'!AC69^'external balance'!$K$4)))/'normal case'!D69</f>
        <v>#DIV/0!</v>
      </c>
      <c r="C69" s="180" t="e">
        <f ca="1">($K$5*$K$7*((1+$K$8)^'normal case'!A68)*'normal case'!AC69^$K$3)/'normal case'!D69</f>
        <v>#DIV/0!</v>
      </c>
      <c r="D69" s="116" t="e">
        <f ca="1">(C69-B69)+((('main page'!$U$38/100)*'normal case'!$D$3)/'normal case'!$D$3)</f>
        <v>#DIV/0!</v>
      </c>
      <c r="E69" s="180" t="e">
        <f ca="1">((('normal case'!M69/100)*'external balance'!H68)/('normal case'!D69/'normal case'!D68))</f>
        <v>#DIV/0!</v>
      </c>
      <c r="F69" s="180" t="e">
        <f t="shared" ref="F69:F132" ca="1" si="1">IF(ABS(D69+E69-F68)&lt;0.0000001,F68,D69+E69)</f>
        <v>#DIV/0!</v>
      </c>
      <c r="H69" s="180" t="e">
        <f ca="1">D69+((1+'normal case'!M69/100)/('normal case'!D69/'normal case'!D68))*'external balance'!H68</f>
        <v>#DIV/0!</v>
      </c>
      <c r="I69" s="180"/>
    </row>
    <row r="70" spans="1:9">
      <c r="A70">
        <v>68</v>
      </c>
      <c r="B70" s="180" t="e">
        <f ca="1">('normal case'!AC70*($K$6*'normal case'!D70*('normal case'!AC70^'external balance'!$K$4)))/'normal case'!D70</f>
        <v>#DIV/0!</v>
      </c>
      <c r="C70" s="180" t="e">
        <f ca="1">($K$5*$K$7*((1+$K$8)^'normal case'!A69)*'normal case'!AC70^$K$3)/'normal case'!D70</f>
        <v>#DIV/0!</v>
      </c>
      <c r="D70" s="116" t="e">
        <f ca="1">(C70-B70)+((('main page'!$U$38/100)*'normal case'!$D$3)/'normal case'!$D$3)</f>
        <v>#DIV/0!</v>
      </c>
      <c r="E70" s="180" t="e">
        <f ca="1">((('normal case'!M70/100)*'external balance'!H69)/('normal case'!D70/'normal case'!D69))</f>
        <v>#DIV/0!</v>
      </c>
      <c r="F70" s="180" t="e">
        <f t="shared" ca="1" si="1"/>
        <v>#DIV/0!</v>
      </c>
      <c r="H70" s="180" t="e">
        <f ca="1">D70+((1+'normal case'!M70/100)/('normal case'!D70/'normal case'!D69))*'external balance'!H69</f>
        <v>#DIV/0!</v>
      </c>
      <c r="I70" s="180"/>
    </row>
    <row r="71" spans="1:9">
      <c r="A71">
        <v>69</v>
      </c>
      <c r="B71" s="180" t="e">
        <f ca="1">('normal case'!AC71*($K$6*'normal case'!D71*('normal case'!AC71^'external balance'!$K$4)))/'normal case'!D71</f>
        <v>#DIV/0!</v>
      </c>
      <c r="C71" s="180" t="e">
        <f ca="1">($K$5*$K$7*((1+$K$8)^'normal case'!A70)*'normal case'!AC71^$K$3)/'normal case'!D71</f>
        <v>#DIV/0!</v>
      </c>
      <c r="D71" s="116" t="e">
        <f ca="1">(C71-B71)+((('main page'!$U$38/100)*'normal case'!$D$3)/'normal case'!$D$3)</f>
        <v>#DIV/0!</v>
      </c>
      <c r="E71" s="180" t="e">
        <f ca="1">((('normal case'!M71/100)*'external balance'!H70)/('normal case'!D71/'normal case'!D70))</f>
        <v>#DIV/0!</v>
      </c>
      <c r="F71" s="180" t="e">
        <f t="shared" ca="1" si="1"/>
        <v>#DIV/0!</v>
      </c>
      <c r="H71" s="180" t="e">
        <f ca="1">D71+((1+'normal case'!M71/100)/('normal case'!D71/'normal case'!D70))*'external balance'!H70</f>
        <v>#DIV/0!</v>
      </c>
      <c r="I71" s="180"/>
    </row>
    <row r="72" spans="1:9">
      <c r="A72">
        <v>70</v>
      </c>
      <c r="B72" s="180" t="e">
        <f ca="1">('normal case'!AC72*($K$6*'normal case'!D72*('normal case'!AC72^'external balance'!$K$4)))/'normal case'!D72</f>
        <v>#DIV/0!</v>
      </c>
      <c r="C72" s="180" t="e">
        <f ca="1">($K$5*$K$7*((1+$K$8)^'normal case'!A71)*'normal case'!AC72^$K$3)/'normal case'!D72</f>
        <v>#DIV/0!</v>
      </c>
      <c r="D72" s="116" t="e">
        <f ca="1">(C72-B72)+((('main page'!$U$38/100)*'normal case'!$D$3)/'normal case'!$D$3)</f>
        <v>#DIV/0!</v>
      </c>
      <c r="E72" s="180" t="e">
        <f ca="1">((('normal case'!M72/100)*'external balance'!H71)/('normal case'!D72/'normal case'!D71))</f>
        <v>#DIV/0!</v>
      </c>
      <c r="F72" s="180" t="e">
        <f t="shared" ca="1" si="1"/>
        <v>#DIV/0!</v>
      </c>
      <c r="H72" s="180" t="e">
        <f ca="1">D72+((1+'normal case'!M72/100)/('normal case'!D72/'normal case'!D71))*'external balance'!H71</f>
        <v>#DIV/0!</v>
      </c>
      <c r="I72" s="180"/>
    </row>
    <row r="73" spans="1:9">
      <c r="A73">
        <v>71</v>
      </c>
      <c r="B73" s="180" t="e">
        <f ca="1">('normal case'!AC73*($K$6*'normal case'!D73*('normal case'!AC73^'external balance'!$K$4)))/'normal case'!D73</f>
        <v>#DIV/0!</v>
      </c>
      <c r="C73" s="180" t="e">
        <f ca="1">($K$5*$K$7*((1+$K$8)^'normal case'!A72)*'normal case'!AC73^$K$3)/'normal case'!D73</f>
        <v>#DIV/0!</v>
      </c>
      <c r="D73" s="116" t="e">
        <f ca="1">(C73-B73)+((('main page'!$U$38/100)*'normal case'!$D$3)/'normal case'!$D$3)</f>
        <v>#DIV/0!</v>
      </c>
      <c r="E73" s="180" t="e">
        <f ca="1">((('normal case'!M73/100)*'external balance'!H72)/('normal case'!D73/'normal case'!D72))</f>
        <v>#DIV/0!</v>
      </c>
      <c r="F73" s="180" t="e">
        <f t="shared" ca="1" si="1"/>
        <v>#DIV/0!</v>
      </c>
      <c r="H73" s="180" t="e">
        <f ca="1">D73+((1+'normal case'!M73/100)/('normal case'!D73/'normal case'!D72))*'external balance'!H72</f>
        <v>#DIV/0!</v>
      </c>
      <c r="I73" s="180"/>
    </row>
    <row r="74" spans="1:9">
      <c r="A74">
        <v>72</v>
      </c>
      <c r="B74" s="180" t="e">
        <f ca="1">('normal case'!AC74*($K$6*'normal case'!D74*('normal case'!AC74^'external balance'!$K$4)))/'normal case'!D74</f>
        <v>#DIV/0!</v>
      </c>
      <c r="C74" s="180" t="e">
        <f ca="1">($K$5*$K$7*((1+$K$8)^'normal case'!A73)*'normal case'!AC74^$K$3)/'normal case'!D74</f>
        <v>#DIV/0!</v>
      </c>
      <c r="D74" s="116" t="e">
        <f ca="1">(C74-B74)+((('main page'!$U$38/100)*'normal case'!$D$3)/'normal case'!$D$3)</f>
        <v>#DIV/0!</v>
      </c>
      <c r="E74" s="180" t="e">
        <f ca="1">((('normal case'!M74/100)*'external balance'!H73)/('normal case'!D74/'normal case'!D73))</f>
        <v>#DIV/0!</v>
      </c>
      <c r="F74" s="180" t="e">
        <f t="shared" ca="1" si="1"/>
        <v>#DIV/0!</v>
      </c>
      <c r="H74" s="180" t="e">
        <f ca="1">D74+((1+'normal case'!M74/100)/('normal case'!D74/'normal case'!D73))*'external balance'!H73</f>
        <v>#DIV/0!</v>
      </c>
      <c r="I74" s="180"/>
    </row>
    <row r="75" spans="1:9">
      <c r="A75">
        <v>73</v>
      </c>
      <c r="B75" s="180" t="e">
        <f ca="1">('normal case'!AC75*($K$6*'normal case'!D75*('normal case'!AC75^'external balance'!$K$4)))/'normal case'!D75</f>
        <v>#DIV/0!</v>
      </c>
      <c r="C75" s="180" t="e">
        <f ca="1">($K$5*$K$7*((1+$K$8)^'normal case'!A74)*'normal case'!AC75^$K$3)/'normal case'!D75</f>
        <v>#DIV/0!</v>
      </c>
      <c r="D75" s="116" t="e">
        <f ca="1">(C75-B75)+((('main page'!$U$38/100)*'normal case'!$D$3)/'normal case'!$D$3)</f>
        <v>#DIV/0!</v>
      </c>
      <c r="E75" s="180" t="e">
        <f ca="1">((('normal case'!M75/100)*'external balance'!H74)/('normal case'!D75/'normal case'!D74))</f>
        <v>#DIV/0!</v>
      </c>
      <c r="F75" s="180" t="e">
        <f t="shared" ca="1" si="1"/>
        <v>#DIV/0!</v>
      </c>
      <c r="H75" s="180" t="e">
        <f ca="1">D75+((1+'normal case'!M75/100)/('normal case'!D75/'normal case'!D74))*'external balance'!H74</f>
        <v>#DIV/0!</v>
      </c>
      <c r="I75" s="180"/>
    </row>
    <row r="76" spans="1:9">
      <c r="A76">
        <v>74</v>
      </c>
      <c r="B76" s="180" t="e">
        <f ca="1">('normal case'!AC76*($K$6*'normal case'!D76*('normal case'!AC76^'external balance'!$K$4)))/'normal case'!D76</f>
        <v>#DIV/0!</v>
      </c>
      <c r="C76" s="180" t="e">
        <f ca="1">($K$5*$K$7*((1+$K$8)^'normal case'!A75)*'normal case'!AC76^$K$3)/'normal case'!D76</f>
        <v>#DIV/0!</v>
      </c>
      <c r="D76" s="116" t="e">
        <f ca="1">(C76-B76)+((('main page'!$U$38/100)*'normal case'!$D$3)/'normal case'!$D$3)</f>
        <v>#DIV/0!</v>
      </c>
      <c r="E76" s="180" t="e">
        <f ca="1">((('normal case'!M76/100)*'external balance'!H75)/('normal case'!D76/'normal case'!D75))</f>
        <v>#DIV/0!</v>
      </c>
      <c r="F76" s="180" t="e">
        <f t="shared" ca="1" si="1"/>
        <v>#DIV/0!</v>
      </c>
      <c r="H76" s="180" t="e">
        <f ca="1">D76+((1+'normal case'!M76/100)/('normal case'!D76/'normal case'!D75))*'external balance'!H75</f>
        <v>#DIV/0!</v>
      </c>
      <c r="I76" s="180"/>
    </row>
    <row r="77" spans="1:9">
      <c r="A77">
        <v>75</v>
      </c>
      <c r="B77" s="180" t="e">
        <f ca="1">('normal case'!AC77*($K$6*'normal case'!D77*('normal case'!AC77^'external balance'!$K$4)))/'normal case'!D77</f>
        <v>#DIV/0!</v>
      </c>
      <c r="C77" s="180" t="e">
        <f ca="1">($K$5*$K$7*((1+$K$8)^'normal case'!A76)*'normal case'!AC77^$K$3)/'normal case'!D77</f>
        <v>#DIV/0!</v>
      </c>
      <c r="D77" s="116" t="e">
        <f ca="1">(C77-B77)+((('main page'!$U$38/100)*'normal case'!$D$3)/'normal case'!$D$3)</f>
        <v>#DIV/0!</v>
      </c>
      <c r="E77" s="180" t="e">
        <f ca="1">((('normal case'!M77/100)*'external balance'!H76)/('normal case'!D77/'normal case'!D76))</f>
        <v>#DIV/0!</v>
      </c>
      <c r="F77" s="180" t="e">
        <f t="shared" ca="1" si="1"/>
        <v>#DIV/0!</v>
      </c>
      <c r="H77" s="180" t="e">
        <f ca="1">D77+((1+'normal case'!M77/100)/('normal case'!D77/'normal case'!D76))*'external balance'!H76</f>
        <v>#DIV/0!</v>
      </c>
      <c r="I77" s="180"/>
    </row>
    <row r="78" spans="1:9">
      <c r="A78">
        <v>76</v>
      </c>
      <c r="B78" s="180" t="e">
        <f ca="1">('normal case'!AC78*($K$6*'normal case'!D78*('normal case'!AC78^'external balance'!$K$4)))/'normal case'!D78</f>
        <v>#DIV/0!</v>
      </c>
      <c r="C78" s="180" t="e">
        <f ca="1">($K$5*$K$7*((1+$K$8)^'normal case'!A77)*'normal case'!AC78^$K$3)/'normal case'!D78</f>
        <v>#DIV/0!</v>
      </c>
      <c r="D78" s="116" t="e">
        <f ca="1">(C78-B78)+((('main page'!$U$38/100)*'normal case'!$D$3)/'normal case'!$D$3)</f>
        <v>#DIV/0!</v>
      </c>
      <c r="E78" s="180" t="e">
        <f ca="1">((('normal case'!M78/100)*'external balance'!H77)/('normal case'!D78/'normal case'!D77))</f>
        <v>#DIV/0!</v>
      </c>
      <c r="F78" s="180" t="e">
        <f t="shared" ca="1" si="1"/>
        <v>#DIV/0!</v>
      </c>
      <c r="H78" s="180" t="e">
        <f ca="1">D78+((1+'normal case'!M78/100)/('normal case'!D78/'normal case'!D77))*'external balance'!H77</f>
        <v>#DIV/0!</v>
      </c>
      <c r="I78" s="180"/>
    </row>
    <row r="79" spans="1:9">
      <c r="A79">
        <v>77</v>
      </c>
      <c r="B79" s="180" t="e">
        <f ca="1">('normal case'!AC79*($K$6*'normal case'!D79*('normal case'!AC79^'external balance'!$K$4)))/'normal case'!D79</f>
        <v>#DIV/0!</v>
      </c>
      <c r="C79" s="180" t="e">
        <f ca="1">($K$5*$K$7*((1+$K$8)^'normal case'!A78)*'normal case'!AC79^$K$3)/'normal case'!D79</f>
        <v>#DIV/0!</v>
      </c>
      <c r="D79" s="116" t="e">
        <f ca="1">(C79-B79)+((('main page'!$U$38/100)*'normal case'!$D$3)/'normal case'!$D$3)</f>
        <v>#DIV/0!</v>
      </c>
      <c r="E79" s="180" t="e">
        <f ca="1">((('normal case'!M79/100)*'external balance'!H78)/('normal case'!D79/'normal case'!D78))</f>
        <v>#DIV/0!</v>
      </c>
      <c r="F79" s="180" t="e">
        <f t="shared" ca="1" si="1"/>
        <v>#DIV/0!</v>
      </c>
      <c r="H79" s="180" t="e">
        <f ca="1">D79+((1+'normal case'!M79/100)/('normal case'!D79/'normal case'!D78))*'external balance'!H78</f>
        <v>#DIV/0!</v>
      </c>
      <c r="I79" s="180"/>
    </row>
    <row r="80" spans="1:9">
      <c r="A80">
        <v>78</v>
      </c>
      <c r="B80" s="180" t="e">
        <f ca="1">('normal case'!AC80*($K$6*'normal case'!D80*('normal case'!AC80^'external balance'!$K$4)))/'normal case'!D80</f>
        <v>#DIV/0!</v>
      </c>
      <c r="C80" s="180" t="e">
        <f ca="1">($K$5*$K$7*((1+$K$8)^'normal case'!A79)*'normal case'!AC80^$K$3)/'normal case'!D80</f>
        <v>#DIV/0!</v>
      </c>
      <c r="D80" s="116" t="e">
        <f ca="1">(C80-B80)+((('main page'!$U$38/100)*'normal case'!$D$3)/'normal case'!$D$3)</f>
        <v>#DIV/0!</v>
      </c>
      <c r="E80" s="180" t="e">
        <f ca="1">((('normal case'!M80/100)*'external balance'!H79)/('normal case'!D80/'normal case'!D79))</f>
        <v>#DIV/0!</v>
      </c>
      <c r="F80" s="180" t="e">
        <f t="shared" ca="1" si="1"/>
        <v>#DIV/0!</v>
      </c>
      <c r="H80" s="180" t="e">
        <f ca="1">D80+((1+'normal case'!M80/100)/('normal case'!D80/'normal case'!D79))*'external balance'!H79</f>
        <v>#DIV/0!</v>
      </c>
      <c r="I80" s="180"/>
    </row>
    <row r="81" spans="1:9">
      <c r="A81">
        <v>79</v>
      </c>
      <c r="B81" s="180" t="e">
        <f ca="1">('normal case'!AC81*($K$6*'normal case'!D81*('normal case'!AC81^'external balance'!$K$4)))/'normal case'!D81</f>
        <v>#DIV/0!</v>
      </c>
      <c r="C81" s="180" t="e">
        <f ca="1">($K$5*$K$7*((1+$K$8)^'normal case'!A80)*'normal case'!AC81^$K$3)/'normal case'!D81</f>
        <v>#DIV/0!</v>
      </c>
      <c r="D81" s="116" t="e">
        <f ca="1">(C81-B81)+((('main page'!$U$38/100)*'normal case'!$D$3)/'normal case'!$D$3)</f>
        <v>#DIV/0!</v>
      </c>
      <c r="E81" s="180" t="e">
        <f ca="1">((('normal case'!M81/100)*'external balance'!H80)/('normal case'!D81/'normal case'!D80))</f>
        <v>#DIV/0!</v>
      </c>
      <c r="F81" s="180" t="e">
        <f t="shared" ca="1" si="1"/>
        <v>#DIV/0!</v>
      </c>
      <c r="H81" s="180" t="e">
        <f ca="1">D81+((1+'normal case'!M81/100)/('normal case'!D81/'normal case'!D80))*'external balance'!H80</f>
        <v>#DIV/0!</v>
      </c>
      <c r="I81" s="180"/>
    </row>
    <row r="82" spans="1:9">
      <c r="A82">
        <v>80</v>
      </c>
      <c r="B82" s="180" t="e">
        <f ca="1">('normal case'!AC82*($K$6*'normal case'!D82*('normal case'!AC82^'external balance'!$K$4)))/'normal case'!D82</f>
        <v>#DIV/0!</v>
      </c>
      <c r="C82" s="180" t="e">
        <f ca="1">($K$5*$K$7*((1+$K$8)^'normal case'!A81)*'normal case'!AC82^$K$3)/'normal case'!D82</f>
        <v>#DIV/0!</v>
      </c>
      <c r="D82" s="116" t="e">
        <f ca="1">(C82-B82)+((('main page'!$U$38/100)*'normal case'!$D$3)/'normal case'!$D$3)</f>
        <v>#DIV/0!</v>
      </c>
      <c r="E82" s="180" t="e">
        <f ca="1">((('normal case'!M82/100)*'external balance'!H81)/('normal case'!D82/'normal case'!D81))</f>
        <v>#DIV/0!</v>
      </c>
      <c r="F82" s="180" t="e">
        <f t="shared" ca="1" si="1"/>
        <v>#DIV/0!</v>
      </c>
      <c r="H82" s="180" t="e">
        <f ca="1">D82+((1+'normal case'!M82/100)/('normal case'!D82/'normal case'!D81))*'external balance'!H81</f>
        <v>#DIV/0!</v>
      </c>
      <c r="I82" s="180"/>
    </row>
    <row r="83" spans="1:9">
      <c r="A83">
        <v>81</v>
      </c>
      <c r="B83" s="180" t="e">
        <f ca="1">('normal case'!AC83*($K$6*'normal case'!D83*('normal case'!AC83^'external balance'!$K$4)))/'normal case'!D83</f>
        <v>#DIV/0!</v>
      </c>
      <c r="C83" s="180" t="e">
        <f ca="1">($K$5*$K$7*((1+$K$8)^'normal case'!A82)*'normal case'!AC83^$K$3)/'normal case'!D83</f>
        <v>#DIV/0!</v>
      </c>
      <c r="D83" s="116" t="e">
        <f ca="1">(C83-B83)+((('main page'!$U$38/100)*'normal case'!$D$3)/'normal case'!$D$3)</f>
        <v>#DIV/0!</v>
      </c>
      <c r="E83" s="180" t="e">
        <f ca="1">((('normal case'!M83/100)*'external balance'!H82)/('normal case'!D83/'normal case'!D82))</f>
        <v>#DIV/0!</v>
      </c>
      <c r="F83" s="180" t="e">
        <f t="shared" ca="1" si="1"/>
        <v>#DIV/0!</v>
      </c>
      <c r="H83" s="180" t="e">
        <f ca="1">D83+((1+'normal case'!M83/100)/('normal case'!D83/'normal case'!D82))*'external balance'!H82</f>
        <v>#DIV/0!</v>
      </c>
      <c r="I83" s="180"/>
    </row>
    <row r="84" spans="1:9">
      <c r="A84">
        <v>82</v>
      </c>
      <c r="B84" s="180" t="e">
        <f ca="1">('normal case'!AC84*($K$6*'normal case'!D84*('normal case'!AC84^'external balance'!$K$4)))/'normal case'!D84</f>
        <v>#DIV/0!</v>
      </c>
      <c r="C84" s="180" t="e">
        <f ca="1">($K$5*$K$7*((1+$K$8)^'normal case'!A83)*'normal case'!AC84^$K$3)/'normal case'!D84</f>
        <v>#DIV/0!</v>
      </c>
      <c r="D84" s="116" t="e">
        <f ca="1">(C84-B84)+((('main page'!$U$38/100)*'normal case'!$D$3)/'normal case'!$D$3)</f>
        <v>#DIV/0!</v>
      </c>
      <c r="E84" s="180" t="e">
        <f ca="1">((('normal case'!M84/100)*'external balance'!H83)/('normal case'!D84/'normal case'!D83))</f>
        <v>#DIV/0!</v>
      </c>
      <c r="F84" s="180" t="e">
        <f t="shared" ca="1" si="1"/>
        <v>#DIV/0!</v>
      </c>
      <c r="H84" s="180" t="e">
        <f ca="1">D84+((1+'normal case'!M84/100)/('normal case'!D84/'normal case'!D83))*'external balance'!H83</f>
        <v>#DIV/0!</v>
      </c>
      <c r="I84" s="180"/>
    </row>
    <row r="85" spans="1:9">
      <c r="A85">
        <v>83</v>
      </c>
      <c r="B85" s="180" t="e">
        <f ca="1">('normal case'!AC85*($K$6*'normal case'!D85*('normal case'!AC85^'external balance'!$K$4)))/'normal case'!D85</f>
        <v>#DIV/0!</v>
      </c>
      <c r="C85" s="180" t="e">
        <f ca="1">($K$5*$K$7*((1+$K$8)^'normal case'!A84)*'normal case'!AC85^$K$3)/'normal case'!D85</f>
        <v>#DIV/0!</v>
      </c>
      <c r="D85" s="116" t="e">
        <f ca="1">(C85-B85)+((('main page'!$U$38/100)*'normal case'!$D$3)/'normal case'!$D$3)</f>
        <v>#DIV/0!</v>
      </c>
      <c r="E85" s="180" t="e">
        <f ca="1">((('normal case'!M85/100)*'external balance'!H84)/('normal case'!D85/'normal case'!D84))</f>
        <v>#DIV/0!</v>
      </c>
      <c r="F85" s="180" t="e">
        <f t="shared" ca="1" si="1"/>
        <v>#DIV/0!</v>
      </c>
      <c r="H85" s="180" t="e">
        <f ca="1">D85+((1+'normal case'!M85/100)/('normal case'!D85/'normal case'!D84))*'external balance'!H84</f>
        <v>#DIV/0!</v>
      </c>
      <c r="I85" s="180"/>
    </row>
    <row r="86" spans="1:9">
      <c r="A86">
        <v>84</v>
      </c>
      <c r="B86" s="180" t="e">
        <f ca="1">('normal case'!AC86*($K$6*'normal case'!D86*('normal case'!AC86^'external balance'!$K$4)))/'normal case'!D86</f>
        <v>#DIV/0!</v>
      </c>
      <c r="C86" s="180" t="e">
        <f ca="1">($K$5*$K$7*((1+$K$8)^'normal case'!A85)*'normal case'!AC86^$K$3)/'normal case'!D86</f>
        <v>#DIV/0!</v>
      </c>
      <c r="D86" s="116" t="e">
        <f ca="1">(C86-B86)+((('main page'!$U$38/100)*'normal case'!$D$3)/'normal case'!$D$3)</f>
        <v>#DIV/0!</v>
      </c>
      <c r="E86" s="180" t="e">
        <f ca="1">((('normal case'!M86/100)*'external balance'!H85)/('normal case'!D86/'normal case'!D85))</f>
        <v>#DIV/0!</v>
      </c>
      <c r="F86" s="180" t="e">
        <f t="shared" ca="1" si="1"/>
        <v>#DIV/0!</v>
      </c>
      <c r="H86" s="180" t="e">
        <f ca="1">D86+((1+'normal case'!M86/100)/('normal case'!D86/'normal case'!D85))*'external balance'!H85</f>
        <v>#DIV/0!</v>
      </c>
      <c r="I86" s="180"/>
    </row>
    <row r="87" spans="1:9">
      <c r="A87">
        <v>85</v>
      </c>
      <c r="B87" s="180" t="e">
        <f ca="1">('normal case'!AC87*($K$6*'normal case'!D87*('normal case'!AC87^'external balance'!$K$4)))/'normal case'!D87</f>
        <v>#DIV/0!</v>
      </c>
      <c r="C87" s="180" t="e">
        <f ca="1">($K$5*$K$7*((1+$K$8)^'normal case'!A86)*'normal case'!AC87^$K$3)/'normal case'!D87</f>
        <v>#DIV/0!</v>
      </c>
      <c r="D87" s="116" t="e">
        <f ca="1">(C87-B87)+((('main page'!$U$38/100)*'normal case'!$D$3)/'normal case'!$D$3)</f>
        <v>#DIV/0!</v>
      </c>
      <c r="E87" s="180" t="e">
        <f ca="1">((('normal case'!M87/100)*'external balance'!H86)/('normal case'!D87/'normal case'!D86))</f>
        <v>#DIV/0!</v>
      </c>
      <c r="F87" s="180" t="e">
        <f t="shared" ca="1" si="1"/>
        <v>#DIV/0!</v>
      </c>
      <c r="H87" s="180" t="e">
        <f ca="1">D87+((1+'normal case'!M87/100)/('normal case'!D87/'normal case'!D86))*'external balance'!H86</f>
        <v>#DIV/0!</v>
      </c>
      <c r="I87" s="180"/>
    </row>
    <row r="88" spans="1:9">
      <c r="A88">
        <v>86</v>
      </c>
      <c r="B88" s="180" t="e">
        <f ca="1">('normal case'!AC88*($K$6*'normal case'!D88*('normal case'!AC88^'external balance'!$K$4)))/'normal case'!D88</f>
        <v>#DIV/0!</v>
      </c>
      <c r="C88" s="180" t="e">
        <f ca="1">($K$5*$K$7*((1+$K$8)^'normal case'!A87)*'normal case'!AC88^$K$3)/'normal case'!D88</f>
        <v>#DIV/0!</v>
      </c>
      <c r="D88" s="116" t="e">
        <f ca="1">(C88-B88)+((('main page'!$U$38/100)*'normal case'!$D$3)/'normal case'!$D$3)</f>
        <v>#DIV/0!</v>
      </c>
      <c r="E88" s="180" t="e">
        <f ca="1">((('normal case'!M88/100)*'external balance'!H87)/('normal case'!D88/'normal case'!D87))</f>
        <v>#DIV/0!</v>
      </c>
      <c r="F88" s="180" t="e">
        <f t="shared" ca="1" si="1"/>
        <v>#DIV/0!</v>
      </c>
      <c r="H88" s="180" t="e">
        <f ca="1">D88+((1+'normal case'!M88/100)/('normal case'!D88/'normal case'!D87))*'external balance'!H87</f>
        <v>#DIV/0!</v>
      </c>
      <c r="I88" s="180"/>
    </row>
    <row r="89" spans="1:9">
      <c r="A89">
        <v>87</v>
      </c>
      <c r="B89" s="180" t="e">
        <f ca="1">('normal case'!AC89*($K$6*'normal case'!D89*('normal case'!AC89^'external balance'!$K$4)))/'normal case'!D89</f>
        <v>#DIV/0!</v>
      </c>
      <c r="C89" s="180" t="e">
        <f ca="1">($K$5*$K$7*((1+$K$8)^'normal case'!A88)*'normal case'!AC89^$K$3)/'normal case'!D89</f>
        <v>#DIV/0!</v>
      </c>
      <c r="D89" s="116" t="e">
        <f ca="1">(C89-B89)+((('main page'!$U$38/100)*'normal case'!$D$3)/'normal case'!$D$3)</f>
        <v>#DIV/0!</v>
      </c>
      <c r="E89" s="180" t="e">
        <f ca="1">((('normal case'!M89/100)*'external balance'!H88)/('normal case'!D89/'normal case'!D88))</f>
        <v>#DIV/0!</v>
      </c>
      <c r="F89" s="180" t="e">
        <f t="shared" ca="1" si="1"/>
        <v>#DIV/0!</v>
      </c>
      <c r="H89" s="180" t="e">
        <f ca="1">D89+((1+'normal case'!M89/100)/('normal case'!D89/'normal case'!D88))*'external balance'!H88</f>
        <v>#DIV/0!</v>
      </c>
      <c r="I89" s="180"/>
    </row>
    <row r="90" spans="1:9">
      <c r="A90">
        <v>88</v>
      </c>
      <c r="B90" s="180" t="e">
        <f ca="1">('normal case'!AC90*($K$6*'normal case'!D90*('normal case'!AC90^'external balance'!$K$4)))/'normal case'!D90</f>
        <v>#DIV/0!</v>
      </c>
      <c r="C90" s="180" t="e">
        <f ca="1">($K$5*$K$7*((1+$K$8)^'normal case'!A89)*'normal case'!AC90^$K$3)/'normal case'!D90</f>
        <v>#DIV/0!</v>
      </c>
      <c r="D90" s="116" t="e">
        <f ca="1">(C90-B90)+((('main page'!$U$38/100)*'normal case'!$D$3)/'normal case'!$D$3)</f>
        <v>#DIV/0!</v>
      </c>
      <c r="E90" s="180" t="e">
        <f ca="1">((('normal case'!M90/100)*'external balance'!H89)/('normal case'!D90/'normal case'!D89))</f>
        <v>#DIV/0!</v>
      </c>
      <c r="F90" s="180" t="e">
        <f t="shared" ca="1" si="1"/>
        <v>#DIV/0!</v>
      </c>
      <c r="H90" s="180" t="e">
        <f ca="1">D90+((1+'normal case'!M90/100)/('normal case'!D90/'normal case'!D89))*'external balance'!H89</f>
        <v>#DIV/0!</v>
      </c>
      <c r="I90" s="180"/>
    </row>
    <row r="91" spans="1:9">
      <c r="A91">
        <v>89</v>
      </c>
      <c r="B91" s="180" t="e">
        <f ca="1">('normal case'!AC91*($K$6*'normal case'!D91*('normal case'!AC91^'external balance'!$K$4)))/'normal case'!D91</f>
        <v>#DIV/0!</v>
      </c>
      <c r="C91" s="180" t="e">
        <f ca="1">($K$5*$K$7*((1+$K$8)^'normal case'!A90)*'normal case'!AC91^$K$3)/'normal case'!D91</f>
        <v>#DIV/0!</v>
      </c>
      <c r="D91" s="116" t="e">
        <f ca="1">(C91-B91)+((('main page'!$U$38/100)*'normal case'!$D$3)/'normal case'!$D$3)</f>
        <v>#DIV/0!</v>
      </c>
      <c r="E91" s="180" t="e">
        <f ca="1">((('normal case'!M91/100)*'external balance'!H90)/('normal case'!D91/'normal case'!D90))</f>
        <v>#DIV/0!</v>
      </c>
      <c r="F91" s="180" t="e">
        <f t="shared" ca="1" si="1"/>
        <v>#DIV/0!</v>
      </c>
      <c r="H91" s="180" t="e">
        <f ca="1">D91+((1+'normal case'!M91/100)/('normal case'!D91/'normal case'!D90))*'external balance'!H90</f>
        <v>#DIV/0!</v>
      </c>
      <c r="I91" s="180"/>
    </row>
    <row r="92" spans="1:9">
      <c r="A92">
        <v>90</v>
      </c>
      <c r="B92" s="180" t="e">
        <f ca="1">('normal case'!AC92*($K$6*'normal case'!D92*('normal case'!AC92^'external balance'!$K$4)))/'normal case'!D92</f>
        <v>#DIV/0!</v>
      </c>
      <c r="C92" s="180" t="e">
        <f ca="1">($K$5*$K$7*((1+$K$8)^'normal case'!A91)*'normal case'!AC92^$K$3)/'normal case'!D92</f>
        <v>#DIV/0!</v>
      </c>
      <c r="D92" s="116" t="e">
        <f ca="1">(C92-B92)+((('main page'!$U$38/100)*'normal case'!$D$3)/'normal case'!$D$3)</f>
        <v>#DIV/0!</v>
      </c>
      <c r="E92" s="180" t="e">
        <f ca="1">((('normal case'!M92/100)*'external balance'!H91)/('normal case'!D92/'normal case'!D91))</f>
        <v>#DIV/0!</v>
      </c>
      <c r="F92" s="180" t="e">
        <f t="shared" ca="1" si="1"/>
        <v>#DIV/0!</v>
      </c>
      <c r="H92" s="180" t="e">
        <f ca="1">D92+((1+'normal case'!M92/100)/('normal case'!D92/'normal case'!D91))*'external balance'!H91</f>
        <v>#DIV/0!</v>
      </c>
      <c r="I92" s="180"/>
    </row>
    <row r="93" spans="1:9">
      <c r="A93">
        <v>91</v>
      </c>
      <c r="B93" s="180" t="e">
        <f ca="1">('normal case'!AC93*($K$6*'normal case'!D93*('normal case'!AC93^'external balance'!$K$4)))/'normal case'!D93</f>
        <v>#DIV/0!</v>
      </c>
      <c r="C93" s="180" t="e">
        <f ca="1">($K$5*$K$7*((1+$K$8)^'normal case'!A92)*'normal case'!AC93^$K$3)/'normal case'!D93</f>
        <v>#DIV/0!</v>
      </c>
      <c r="D93" s="116" t="e">
        <f ca="1">(C93-B93)+((('main page'!$U$38/100)*'normal case'!$D$3)/'normal case'!$D$3)</f>
        <v>#DIV/0!</v>
      </c>
      <c r="E93" s="180" t="e">
        <f ca="1">((('normal case'!M93/100)*'external balance'!H92)/('normal case'!D93/'normal case'!D92))</f>
        <v>#DIV/0!</v>
      </c>
      <c r="F93" s="180" t="e">
        <f t="shared" ca="1" si="1"/>
        <v>#DIV/0!</v>
      </c>
      <c r="H93" s="180" t="e">
        <f ca="1">D93+((1+'normal case'!M93/100)/('normal case'!D93/'normal case'!D92))*'external balance'!H92</f>
        <v>#DIV/0!</v>
      </c>
      <c r="I93" s="180"/>
    </row>
    <row r="94" spans="1:9">
      <c r="A94">
        <v>92</v>
      </c>
      <c r="B94" s="180" t="e">
        <f ca="1">('normal case'!AC94*($K$6*'normal case'!D94*('normal case'!AC94^'external balance'!$K$4)))/'normal case'!D94</f>
        <v>#DIV/0!</v>
      </c>
      <c r="C94" s="180" t="e">
        <f ca="1">($K$5*$K$7*((1+$K$8)^'normal case'!A93)*'normal case'!AC94^$K$3)/'normal case'!D94</f>
        <v>#DIV/0!</v>
      </c>
      <c r="D94" s="116" t="e">
        <f ca="1">(C94-B94)+((('main page'!$U$38/100)*'normal case'!$D$3)/'normal case'!$D$3)</f>
        <v>#DIV/0!</v>
      </c>
      <c r="E94" s="180" t="e">
        <f ca="1">((('normal case'!M94/100)*'external balance'!H93)/('normal case'!D94/'normal case'!D93))</f>
        <v>#DIV/0!</v>
      </c>
      <c r="F94" s="180" t="e">
        <f t="shared" ca="1" si="1"/>
        <v>#DIV/0!</v>
      </c>
      <c r="H94" s="180" t="e">
        <f ca="1">D94+((1+'normal case'!M94/100)/('normal case'!D94/'normal case'!D93))*'external balance'!H93</f>
        <v>#DIV/0!</v>
      </c>
      <c r="I94" s="180"/>
    </row>
    <row r="95" spans="1:9">
      <c r="A95">
        <v>93</v>
      </c>
      <c r="B95" s="180" t="e">
        <f ca="1">('normal case'!AC95*($K$6*'normal case'!D95*('normal case'!AC95^'external balance'!$K$4)))/'normal case'!D95</f>
        <v>#DIV/0!</v>
      </c>
      <c r="C95" s="180" t="e">
        <f ca="1">($K$5*$K$7*((1+$K$8)^'normal case'!A94)*'normal case'!AC95^$K$3)/'normal case'!D95</f>
        <v>#DIV/0!</v>
      </c>
      <c r="D95" s="116" t="e">
        <f ca="1">(C95-B95)+((('main page'!$U$38/100)*'normal case'!$D$3)/'normal case'!$D$3)</f>
        <v>#DIV/0!</v>
      </c>
      <c r="E95" s="180" t="e">
        <f ca="1">((('normal case'!M95/100)*'external balance'!H94)/('normal case'!D95/'normal case'!D94))</f>
        <v>#DIV/0!</v>
      </c>
      <c r="F95" s="180" t="e">
        <f t="shared" ca="1" si="1"/>
        <v>#DIV/0!</v>
      </c>
      <c r="H95" s="180" t="e">
        <f ca="1">D95+((1+'normal case'!M95/100)/('normal case'!D95/'normal case'!D94))*'external balance'!H94</f>
        <v>#DIV/0!</v>
      </c>
      <c r="I95" s="180"/>
    </row>
    <row r="96" spans="1:9">
      <c r="A96">
        <v>94</v>
      </c>
      <c r="B96" s="180" t="e">
        <f ca="1">('normal case'!AC96*($K$6*'normal case'!D96*('normal case'!AC96^'external balance'!$K$4)))/'normal case'!D96</f>
        <v>#DIV/0!</v>
      </c>
      <c r="C96" s="180" t="e">
        <f ca="1">($K$5*$K$7*((1+$K$8)^'normal case'!A95)*'normal case'!AC96^$K$3)/'normal case'!D96</f>
        <v>#DIV/0!</v>
      </c>
      <c r="D96" s="116" t="e">
        <f ca="1">(C96-B96)+((('main page'!$U$38/100)*'normal case'!$D$3)/'normal case'!$D$3)</f>
        <v>#DIV/0!</v>
      </c>
      <c r="E96" s="180" t="e">
        <f ca="1">((('normal case'!M96/100)*'external balance'!H95)/('normal case'!D96/'normal case'!D95))</f>
        <v>#DIV/0!</v>
      </c>
      <c r="F96" s="180" t="e">
        <f t="shared" ca="1" si="1"/>
        <v>#DIV/0!</v>
      </c>
      <c r="H96" s="180" t="e">
        <f ca="1">D96+((1+'normal case'!M96/100)/('normal case'!D96/'normal case'!D95))*'external balance'!H95</f>
        <v>#DIV/0!</v>
      </c>
      <c r="I96" s="180"/>
    </row>
    <row r="97" spans="1:9">
      <c r="A97">
        <v>95</v>
      </c>
      <c r="B97" s="180" t="e">
        <f ca="1">('normal case'!AC97*($K$6*'normal case'!D97*('normal case'!AC97^'external balance'!$K$4)))/'normal case'!D97</f>
        <v>#DIV/0!</v>
      </c>
      <c r="C97" s="180" t="e">
        <f ca="1">($K$5*$K$7*((1+$K$8)^'normal case'!A96)*'normal case'!AC97^$K$3)/'normal case'!D97</f>
        <v>#DIV/0!</v>
      </c>
      <c r="D97" s="116" t="e">
        <f ca="1">(C97-B97)+((('main page'!$U$38/100)*'normal case'!$D$3)/'normal case'!$D$3)</f>
        <v>#DIV/0!</v>
      </c>
      <c r="E97" s="180" t="e">
        <f ca="1">((('normal case'!M97/100)*'external balance'!H96)/('normal case'!D97/'normal case'!D96))</f>
        <v>#DIV/0!</v>
      </c>
      <c r="F97" s="180" t="e">
        <f t="shared" ca="1" si="1"/>
        <v>#DIV/0!</v>
      </c>
      <c r="H97" s="180" t="e">
        <f ca="1">D97+((1+'normal case'!M97/100)/('normal case'!D97/'normal case'!D96))*'external balance'!H96</f>
        <v>#DIV/0!</v>
      </c>
      <c r="I97" s="180"/>
    </row>
    <row r="98" spans="1:9">
      <c r="A98">
        <v>96</v>
      </c>
      <c r="B98" s="180" t="e">
        <f ca="1">('normal case'!AC98*($K$6*'normal case'!D98*('normal case'!AC98^'external balance'!$K$4)))/'normal case'!D98</f>
        <v>#DIV/0!</v>
      </c>
      <c r="C98" s="180" t="e">
        <f ca="1">($K$5*$K$7*((1+$K$8)^'normal case'!A97)*'normal case'!AC98^$K$3)/'normal case'!D98</f>
        <v>#DIV/0!</v>
      </c>
      <c r="D98" s="116" t="e">
        <f ca="1">(C98-B98)+((('main page'!$U$38/100)*'normal case'!$D$3)/'normal case'!$D$3)</f>
        <v>#DIV/0!</v>
      </c>
      <c r="E98" s="180" t="e">
        <f ca="1">((('normal case'!M98/100)*'external balance'!H97)/('normal case'!D98/'normal case'!D97))</f>
        <v>#DIV/0!</v>
      </c>
      <c r="F98" s="180" t="e">
        <f t="shared" ca="1" si="1"/>
        <v>#DIV/0!</v>
      </c>
      <c r="H98" s="180" t="e">
        <f ca="1">D98+((1+'normal case'!M98/100)/('normal case'!D98/'normal case'!D97))*'external balance'!H97</f>
        <v>#DIV/0!</v>
      </c>
      <c r="I98" s="180"/>
    </row>
    <row r="99" spans="1:9">
      <c r="A99">
        <v>97</v>
      </c>
      <c r="B99" s="180" t="e">
        <f ca="1">('normal case'!AC99*($K$6*'normal case'!D99*('normal case'!AC99^'external balance'!$K$4)))/'normal case'!D99</f>
        <v>#DIV/0!</v>
      </c>
      <c r="C99" s="180" t="e">
        <f ca="1">($K$5*$K$7*((1+$K$8)^'normal case'!A98)*'normal case'!AC99^$K$3)/'normal case'!D99</f>
        <v>#DIV/0!</v>
      </c>
      <c r="D99" s="116" t="e">
        <f ca="1">(C99-B99)+((('main page'!$U$38/100)*'normal case'!$D$3)/'normal case'!$D$3)</f>
        <v>#DIV/0!</v>
      </c>
      <c r="E99" s="180" t="e">
        <f ca="1">((('normal case'!M99/100)*'external balance'!H98)/('normal case'!D99/'normal case'!D98))</f>
        <v>#DIV/0!</v>
      </c>
      <c r="F99" s="180" t="e">
        <f t="shared" ca="1" si="1"/>
        <v>#DIV/0!</v>
      </c>
      <c r="H99" s="180" t="e">
        <f ca="1">D99+((1+'normal case'!M99/100)/('normal case'!D99/'normal case'!D98))*'external balance'!H98</f>
        <v>#DIV/0!</v>
      </c>
      <c r="I99" s="180"/>
    </row>
    <row r="100" spans="1:9">
      <c r="A100">
        <v>98</v>
      </c>
      <c r="B100" s="180" t="e">
        <f ca="1">('normal case'!AC100*($K$6*'normal case'!D100*('normal case'!AC100^'external balance'!$K$4)))/'normal case'!D100</f>
        <v>#DIV/0!</v>
      </c>
      <c r="C100" s="180" t="e">
        <f ca="1">($K$5*$K$7*((1+$K$8)^'normal case'!A99)*'normal case'!AC100^$K$3)/'normal case'!D100</f>
        <v>#DIV/0!</v>
      </c>
      <c r="D100" s="116" t="e">
        <f ca="1">(C100-B100)+((('main page'!$U$38/100)*'normal case'!$D$3)/'normal case'!$D$3)</f>
        <v>#DIV/0!</v>
      </c>
      <c r="E100" s="180" t="e">
        <f ca="1">((('normal case'!M100/100)*'external balance'!H99)/('normal case'!D100/'normal case'!D99))</f>
        <v>#DIV/0!</v>
      </c>
      <c r="F100" s="180" t="e">
        <f t="shared" ca="1" si="1"/>
        <v>#DIV/0!</v>
      </c>
      <c r="H100" s="180" t="e">
        <f ca="1">D100+((1+'normal case'!M100/100)/('normal case'!D100/'normal case'!D99))*'external balance'!H99</f>
        <v>#DIV/0!</v>
      </c>
      <c r="I100" s="180"/>
    </row>
    <row r="101" spans="1:9">
      <c r="A101">
        <v>99</v>
      </c>
      <c r="B101" s="180" t="e">
        <f ca="1">('normal case'!AC101*($K$6*'normal case'!D101*('normal case'!AC101^'external balance'!$K$4)))/'normal case'!D101</f>
        <v>#DIV/0!</v>
      </c>
      <c r="C101" s="180" t="e">
        <f ca="1">($K$5*$K$7*((1+$K$8)^'normal case'!A100)*'normal case'!AC101^$K$3)/'normal case'!D101</f>
        <v>#DIV/0!</v>
      </c>
      <c r="D101" s="116" t="e">
        <f ca="1">(C101-B101)+((('main page'!$U$38/100)*'normal case'!$D$3)/'normal case'!$D$3)</f>
        <v>#DIV/0!</v>
      </c>
      <c r="E101" s="180" t="e">
        <f ca="1">((('normal case'!M101/100)*'external balance'!H100)/('normal case'!D101/'normal case'!D100))</f>
        <v>#DIV/0!</v>
      </c>
      <c r="F101" s="180" t="e">
        <f t="shared" ca="1" si="1"/>
        <v>#DIV/0!</v>
      </c>
      <c r="H101" s="180" t="e">
        <f ca="1">D101+((1+'normal case'!M101/100)/('normal case'!D101/'normal case'!D100))*'external balance'!H100</f>
        <v>#DIV/0!</v>
      </c>
      <c r="I101" s="180"/>
    </row>
    <row r="102" spans="1:9">
      <c r="A102">
        <v>100</v>
      </c>
      <c r="B102" s="180" t="e">
        <f ca="1">('normal case'!AC102*($K$6*'normal case'!D102*('normal case'!AC102^'external balance'!$K$4)))/'normal case'!D102</f>
        <v>#DIV/0!</v>
      </c>
      <c r="C102" s="180" t="e">
        <f ca="1">($K$5*$K$7*((1+$K$8)^'normal case'!A101)*'normal case'!AC102^$K$3)/'normal case'!D102</f>
        <v>#DIV/0!</v>
      </c>
      <c r="D102" s="116" t="e">
        <f ca="1">(C102-B102)+((('main page'!$U$38/100)*'normal case'!$D$3)/'normal case'!$D$3)</f>
        <v>#DIV/0!</v>
      </c>
      <c r="E102" s="180" t="e">
        <f ca="1">((('normal case'!M102/100)*'external balance'!H101)/('normal case'!D102/'normal case'!D101))</f>
        <v>#DIV/0!</v>
      </c>
      <c r="F102" s="180" t="e">
        <f t="shared" ca="1" si="1"/>
        <v>#DIV/0!</v>
      </c>
      <c r="H102" s="180" t="e">
        <f ca="1">D102+((1+'normal case'!M102/100)/('normal case'!D102/'normal case'!D101))*'external balance'!H101</f>
        <v>#DIV/0!</v>
      </c>
      <c r="I102" s="180"/>
    </row>
    <row r="103" spans="1:9">
      <c r="A103">
        <v>101</v>
      </c>
      <c r="B103" s="180" t="e">
        <f ca="1">('normal case'!AC103*($K$6*'normal case'!D103*('normal case'!AC103^'external balance'!$K$4)))/'normal case'!D103</f>
        <v>#DIV/0!</v>
      </c>
      <c r="C103" s="180" t="e">
        <f ca="1">($K$5*$K$7*((1+$K$8)^'normal case'!A102)*'normal case'!AC103^$K$3)/'normal case'!D103</f>
        <v>#DIV/0!</v>
      </c>
      <c r="D103" s="116" t="e">
        <f ca="1">(C103-B103)+((('main page'!$U$38/100)*'normal case'!$D$3)/'normal case'!$D$3)</f>
        <v>#DIV/0!</v>
      </c>
      <c r="E103" s="180" t="e">
        <f ca="1">((('normal case'!M103/100)*'external balance'!H102)/('normal case'!D103/'normal case'!D102))</f>
        <v>#DIV/0!</v>
      </c>
      <c r="F103" s="180" t="e">
        <f t="shared" ca="1" si="1"/>
        <v>#DIV/0!</v>
      </c>
      <c r="H103" s="180" t="e">
        <f ca="1">D103+((1+'normal case'!M103/100)/('normal case'!D103/'normal case'!D102))*'external balance'!H102</f>
        <v>#DIV/0!</v>
      </c>
      <c r="I103" s="180"/>
    </row>
    <row r="104" spans="1:9">
      <c r="A104">
        <v>102</v>
      </c>
      <c r="B104" s="180" t="e">
        <f ca="1">('normal case'!AC104*($K$6*'normal case'!D104*('normal case'!AC104^'external balance'!$K$4)))/'normal case'!D104</f>
        <v>#DIV/0!</v>
      </c>
      <c r="C104" s="180" t="e">
        <f ca="1">($K$5*$K$7*((1+$K$8)^'normal case'!A103)*'normal case'!AC104^$K$3)/'normal case'!D104</f>
        <v>#DIV/0!</v>
      </c>
      <c r="D104" s="116" t="e">
        <f ca="1">(C104-B104)+((('main page'!$U$38/100)*'normal case'!$D$3)/'normal case'!$D$3)</f>
        <v>#DIV/0!</v>
      </c>
      <c r="E104" s="180" t="e">
        <f ca="1">((('normal case'!M104/100)*'external balance'!H103)/('normal case'!D104/'normal case'!D103))</f>
        <v>#DIV/0!</v>
      </c>
      <c r="F104" s="180" t="e">
        <f t="shared" ca="1" si="1"/>
        <v>#DIV/0!</v>
      </c>
      <c r="H104" s="180" t="e">
        <f ca="1">D104+((1+'normal case'!M104/100)/('normal case'!D104/'normal case'!D103))*'external balance'!H103</f>
        <v>#DIV/0!</v>
      </c>
      <c r="I104" s="180"/>
    </row>
    <row r="105" spans="1:9">
      <c r="A105">
        <v>103</v>
      </c>
      <c r="B105" s="180" t="e">
        <f ca="1">('normal case'!AC105*($K$6*'normal case'!D105*('normal case'!AC105^'external balance'!$K$4)))/'normal case'!D105</f>
        <v>#DIV/0!</v>
      </c>
      <c r="C105" s="180" t="e">
        <f ca="1">($K$5*$K$7*((1+$K$8)^'normal case'!A104)*'normal case'!AC105^$K$3)/'normal case'!D105</f>
        <v>#DIV/0!</v>
      </c>
      <c r="D105" s="116" t="e">
        <f ca="1">(C105-B105)+((('main page'!$U$38/100)*'normal case'!$D$3)/'normal case'!$D$3)</f>
        <v>#DIV/0!</v>
      </c>
      <c r="E105" s="180" t="e">
        <f ca="1">((('normal case'!M105/100)*'external balance'!H104)/('normal case'!D105/'normal case'!D104))</f>
        <v>#DIV/0!</v>
      </c>
      <c r="F105" s="180" t="e">
        <f t="shared" ca="1" si="1"/>
        <v>#DIV/0!</v>
      </c>
      <c r="H105" s="180" t="e">
        <f ca="1">D105+((1+'normal case'!M105/100)/('normal case'!D105/'normal case'!D104))*'external balance'!H104</f>
        <v>#DIV/0!</v>
      </c>
      <c r="I105" s="180"/>
    </row>
    <row r="106" spans="1:9">
      <c r="A106">
        <v>104</v>
      </c>
      <c r="B106" s="180" t="e">
        <f ca="1">('normal case'!AC106*($K$6*'normal case'!D106*('normal case'!AC106^'external balance'!$K$4)))/'normal case'!D106</f>
        <v>#DIV/0!</v>
      </c>
      <c r="C106" s="180" t="e">
        <f ca="1">($K$5*$K$7*((1+$K$8)^'normal case'!A105)*'normal case'!AC106^$K$3)/'normal case'!D106</f>
        <v>#DIV/0!</v>
      </c>
      <c r="D106" s="116" t="e">
        <f ca="1">(C106-B106)+((('main page'!$U$38/100)*'normal case'!$D$3)/'normal case'!$D$3)</f>
        <v>#DIV/0!</v>
      </c>
      <c r="E106" s="180" t="e">
        <f ca="1">((('normal case'!M106/100)*'external balance'!H105)/('normal case'!D106/'normal case'!D105))</f>
        <v>#DIV/0!</v>
      </c>
      <c r="F106" s="180" t="e">
        <f t="shared" ca="1" si="1"/>
        <v>#DIV/0!</v>
      </c>
      <c r="H106" s="180" t="e">
        <f ca="1">D106+((1+'normal case'!M106/100)/('normal case'!D106/'normal case'!D105))*'external balance'!H105</f>
        <v>#DIV/0!</v>
      </c>
      <c r="I106" s="180"/>
    </row>
    <row r="107" spans="1:9">
      <c r="A107">
        <v>105</v>
      </c>
      <c r="B107" s="180" t="e">
        <f ca="1">('normal case'!AC107*($K$6*'normal case'!D107*('normal case'!AC107^'external balance'!$K$4)))/'normal case'!D107</f>
        <v>#DIV/0!</v>
      </c>
      <c r="C107" s="180" t="e">
        <f ca="1">($K$5*$K$7*((1+$K$8)^'normal case'!A106)*'normal case'!AC107^$K$3)/'normal case'!D107</f>
        <v>#DIV/0!</v>
      </c>
      <c r="D107" s="116" t="e">
        <f ca="1">(C107-B107)+((('main page'!$U$38/100)*'normal case'!$D$3)/'normal case'!$D$3)</f>
        <v>#DIV/0!</v>
      </c>
      <c r="E107" s="180" t="e">
        <f ca="1">((('normal case'!M107/100)*'external balance'!H106)/('normal case'!D107/'normal case'!D106))</f>
        <v>#DIV/0!</v>
      </c>
      <c r="F107" s="180" t="e">
        <f t="shared" ca="1" si="1"/>
        <v>#DIV/0!</v>
      </c>
      <c r="H107" s="180" t="e">
        <f ca="1">D107+((1+'normal case'!M107/100)/('normal case'!D107/'normal case'!D106))*'external balance'!H106</f>
        <v>#DIV/0!</v>
      </c>
      <c r="I107" s="180"/>
    </row>
    <row r="108" spans="1:9">
      <c r="A108">
        <v>106</v>
      </c>
      <c r="B108" s="180" t="e">
        <f ca="1">('normal case'!AC108*($K$6*'normal case'!D108*('normal case'!AC108^'external balance'!$K$4)))/'normal case'!D108</f>
        <v>#DIV/0!</v>
      </c>
      <c r="C108" s="180" t="e">
        <f ca="1">($K$5*$K$7*((1+$K$8)^'normal case'!A107)*'normal case'!AC108^$K$3)/'normal case'!D108</f>
        <v>#DIV/0!</v>
      </c>
      <c r="D108" s="116" t="e">
        <f ca="1">(C108-B108)+((('main page'!$U$38/100)*'normal case'!$D$3)/'normal case'!$D$3)</f>
        <v>#DIV/0!</v>
      </c>
      <c r="E108" s="180" t="e">
        <f ca="1">((('normal case'!M108/100)*'external balance'!H107)/('normal case'!D108/'normal case'!D107))</f>
        <v>#DIV/0!</v>
      </c>
      <c r="F108" s="180" t="e">
        <f t="shared" ca="1" si="1"/>
        <v>#DIV/0!</v>
      </c>
      <c r="H108" s="180" t="e">
        <f ca="1">D108+((1+'normal case'!M108/100)/('normal case'!D108/'normal case'!D107))*'external balance'!H107</f>
        <v>#DIV/0!</v>
      </c>
      <c r="I108" s="180"/>
    </row>
    <row r="109" spans="1:9">
      <c r="A109">
        <v>107</v>
      </c>
      <c r="B109" s="180" t="e">
        <f ca="1">('normal case'!AC109*($K$6*'normal case'!D109*('normal case'!AC109^'external balance'!$K$4)))/'normal case'!D109</f>
        <v>#DIV/0!</v>
      </c>
      <c r="C109" s="180" t="e">
        <f ca="1">($K$5*$K$7*((1+$K$8)^'normal case'!A108)*'normal case'!AC109^$K$3)/'normal case'!D109</f>
        <v>#DIV/0!</v>
      </c>
      <c r="D109" s="116" t="e">
        <f ca="1">(C109-B109)+((('main page'!$U$38/100)*'normal case'!$D$3)/'normal case'!$D$3)</f>
        <v>#DIV/0!</v>
      </c>
      <c r="E109" s="180" t="e">
        <f ca="1">((('normal case'!M109/100)*'external balance'!H108)/('normal case'!D109/'normal case'!D108))</f>
        <v>#DIV/0!</v>
      </c>
      <c r="F109" s="180" t="e">
        <f t="shared" ca="1" si="1"/>
        <v>#DIV/0!</v>
      </c>
      <c r="H109" s="180" t="e">
        <f ca="1">D109+((1+'normal case'!M109/100)/('normal case'!D109/'normal case'!D108))*'external balance'!H108</f>
        <v>#DIV/0!</v>
      </c>
      <c r="I109" s="180"/>
    </row>
    <row r="110" spans="1:9">
      <c r="A110">
        <v>108</v>
      </c>
      <c r="B110" s="180" t="e">
        <f ca="1">('normal case'!AC110*($K$6*'normal case'!D110*('normal case'!AC110^'external balance'!$K$4)))/'normal case'!D110</f>
        <v>#DIV/0!</v>
      </c>
      <c r="C110" s="180" t="e">
        <f ca="1">($K$5*$K$7*((1+$K$8)^'normal case'!A109)*'normal case'!AC110^$K$3)/'normal case'!D110</f>
        <v>#DIV/0!</v>
      </c>
      <c r="D110" s="116" t="e">
        <f ca="1">(C110-B110)+((('main page'!$U$38/100)*'normal case'!$D$3)/'normal case'!$D$3)</f>
        <v>#DIV/0!</v>
      </c>
      <c r="E110" s="180" t="e">
        <f ca="1">((('normal case'!M110/100)*'external balance'!H109)/('normal case'!D110/'normal case'!D109))</f>
        <v>#DIV/0!</v>
      </c>
      <c r="F110" s="180" t="e">
        <f t="shared" ca="1" si="1"/>
        <v>#DIV/0!</v>
      </c>
      <c r="H110" s="180" t="e">
        <f ca="1">D110+((1+'normal case'!M110/100)/('normal case'!D110/'normal case'!D109))*'external balance'!H109</f>
        <v>#DIV/0!</v>
      </c>
      <c r="I110" s="180"/>
    </row>
    <row r="111" spans="1:9">
      <c r="A111">
        <v>109</v>
      </c>
      <c r="B111" s="180" t="e">
        <f ca="1">('normal case'!AC111*($K$6*'normal case'!D111*('normal case'!AC111^'external balance'!$K$4)))/'normal case'!D111</f>
        <v>#DIV/0!</v>
      </c>
      <c r="C111" s="180" t="e">
        <f ca="1">($K$5*$K$7*((1+$K$8)^'normal case'!A110)*'normal case'!AC111^$K$3)/'normal case'!D111</f>
        <v>#DIV/0!</v>
      </c>
      <c r="D111" s="116" t="e">
        <f ca="1">(C111-B111)+((('main page'!$U$38/100)*'normal case'!$D$3)/'normal case'!$D$3)</f>
        <v>#DIV/0!</v>
      </c>
      <c r="E111" s="180" t="e">
        <f ca="1">((('normal case'!M111/100)*'external balance'!H110)/('normal case'!D111/'normal case'!D110))</f>
        <v>#DIV/0!</v>
      </c>
      <c r="F111" s="180" t="e">
        <f t="shared" ca="1" si="1"/>
        <v>#DIV/0!</v>
      </c>
      <c r="H111" s="180" t="e">
        <f ca="1">D111+((1+'normal case'!M111/100)/('normal case'!D111/'normal case'!D110))*'external balance'!H110</f>
        <v>#DIV/0!</v>
      </c>
      <c r="I111" s="180"/>
    </row>
    <row r="112" spans="1:9">
      <c r="A112">
        <v>110</v>
      </c>
      <c r="B112" s="180" t="e">
        <f ca="1">('normal case'!AC112*($K$6*'normal case'!D112*('normal case'!AC112^'external balance'!$K$4)))/'normal case'!D112</f>
        <v>#DIV/0!</v>
      </c>
      <c r="C112" s="180" t="e">
        <f ca="1">($K$5*$K$7*((1+$K$8)^'normal case'!A111)*'normal case'!AC112^$K$3)/'normal case'!D112</f>
        <v>#DIV/0!</v>
      </c>
      <c r="D112" s="116" t="e">
        <f ca="1">(C112-B112)+((('main page'!$U$38/100)*'normal case'!$D$3)/'normal case'!$D$3)</f>
        <v>#DIV/0!</v>
      </c>
      <c r="E112" s="180" t="e">
        <f ca="1">((('normal case'!M112/100)*'external balance'!H111)/('normal case'!D112/'normal case'!D111))</f>
        <v>#DIV/0!</v>
      </c>
      <c r="F112" s="180" t="e">
        <f t="shared" ca="1" si="1"/>
        <v>#DIV/0!</v>
      </c>
      <c r="H112" s="180" t="e">
        <f ca="1">D112+((1+'normal case'!M112/100)/('normal case'!D112/'normal case'!D111))*'external balance'!H111</f>
        <v>#DIV/0!</v>
      </c>
      <c r="I112" s="180"/>
    </row>
    <row r="113" spans="1:9">
      <c r="A113">
        <v>111</v>
      </c>
      <c r="B113" s="180" t="e">
        <f ca="1">('normal case'!AC113*($K$6*'normal case'!D113*('normal case'!AC113^'external balance'!$K$4)))/'normal case'!D113</f>
        <v>#DIV/0!</v>
      </c>
      <c r="C113" s="180" t="e">
        <f ca="1">($K$5*$K$7*((1+$K$8)^'normal case'!A112)*'normal case'!AC113^$K$3)/'normal case'!D113</f>
        <v>#DIV/0!</v>
      </c>
      <c r="D113" s="116" t="e">
        <f ca="1">(C113-B113)+((('main page'!$U$38/100)*'normal case'!$D$3)/'normal case'!$D$3)</f>
        <v>#DIV/0!</v>
      </c>
      <c r="E113" s="180" t="e">
        <f ca="1">((('normal case'!M113/100)*'external balance'!H112)/('normal case'!D113/'normal case'!D112))</f>
        <v>#DIV/0!</v>
      </c>
      <c r="F113" s="180" t="e">
        <f t="shared" ca="1" si="1"/>
        <v>#DIV/0!</v>
      </c>
      <c r="H113" s="180" t="e">
        <f ca="1">D113+((1+'normal case'!M113/100)/('normal case'!D113/'normal case'!D112))*'external balance'!H112</f>
        <v>#DIV/0!</v>
      </c>
      <c r="I113" s="180"/>
    </row>
    <row r="114" spans="1:9">
      <c r="A114">
        <v>112</v>
      </c>
      <c r="B114" s="180" t="e">
        <f ca="1">('normal case'!AC114*($K$6*'normal case'!D114*('normal case'!AC114^'external balance'!$K$4)))/'normal case'!D114</f>
        <v>#DIV/0!</v>
      </c>
      <c r="C114" s="180" t="e">
        <f ca="1">($K$5*$K$7*((1+$K$8)^'normal case'!A113)*'normal case'!AC114^$K$3)/'normal case'!D114</f>
        <v>#DIV/0!</v>
      </c>
      <c r="D114" s="116" t="e">
        <f ca="1">(C114-B114)+((('main page'!$U$38/100)*'normal case'!$D$3)/'normal case'!$D$3)</f>
        <v>#DIV/0!</v>
      </c>
      <c r="E114" s="180" t="e">
        <f ca="1">((('normal case'!M114/100)*'external balance'!H113)/('normal case'!D114/'normal case'!D113))</f>
        <v>#DIV/0!</v>
      </c>
      <c r="F114" s="180" t="e">
        <f t="shared" ca="1" si="1"/>
        <v>#DIV/0!</v>
      </c>
      <c r="H114" s="180" t="e">
        <f ca="1">D114+((1+'normal case'!M114/100)/('normal case'!D114/'normal case'!D113))*'external balance'!H113</f>
        <v>#DIV/0!</v>
      </c>
      <c r="I114" s="180"/>
    </row>
    <row r="115" spans="1:9">
      <c r="A115">
        <v>113</v>
      </c>
      <c r="B115" s="180" t="e">
        <f ca="1">('normal case'!AC115*($K$6*'normal case'!D115*('normal case'!AC115^'external balance'!$K$4)))/'normal case'!D115</f>
        <v>#DIV/0!</v>
      </c>
      <c r="C115" s="180" t="e">
        <f ca="1">($K$5*$K$7*((1+$K$8)^'normal case'!A114)*'normal case'!AC115^$K$3)/'normal case'!D115</f>
        <v>#DIV/0!</v>
      </c>
      <c r="D115" s="116" t="e">
        <f ca="1">(C115-B115)+((('main page'!$U$38/100)*'normal case'!$D$3)/'normal case'!$D$3)</f>
        <v>#DIV/0!</v>
      </c>
      <c r="E115" s="180" t="e">
        <f ca="1">((('normal case'!M115/100)*'external balance'!H114)/('normal case'!D115/'normal case'!D114))</f>
        <v>#DIV/0!</v>
      </c>
      <c r="F115" s="180" t="e">
        <f t="shared" ca="1" si="1"/>
        <v>#DIV/0!</v>
      </c>
      <c r="H115" s="180" t="e">
        <f ca="1">D115+((1+'normal case'!M115/100)/('normal case'!D115/'normal case'!D114))*'external balance'!H114</f>
        <v>#DIV/0!</v>
      </c>
      <c r="I115" s="180"/>
    </row>
    <row r="116" spans="1:9">
      <c r="A116">
        <v>114</v>
      </c>
      <c r="B116" s="180" t="e">
        <f ca="1">('normal case'!AC116*($K$6*'normal case'!D116*('normal case'!AC116^'external balance'!$K$4)))/'normal case'!D116</f>
        <v>#DIV/0!</v>
      </c>
      <c r="C116" s="180" t="e">
        <f ca="1">($K$5*$K$7*((1+$K$8)^'normal case'!A115)*'normal case'!AC116^$K$3)/'normal case'!D116</f>
        <v>#DIV/0!</v>
      </c>
      <c r="D116" s="116" t="e">
        <f ca="1">(C116-B116)+((('main page'!$U$38/100)*'normal case'!$D$3)/'normal case'!$D$3)</f>
        <v>#DIV/0!</v>
      </c>
      <c r="E116" s="180" t="e">
        <f ca="1">((('normal case'!M116/100)*'external balance'!H115)/('normal case'!D116/'normal case'!D115))</f>
        <v>#DIV/0!</v>
      </c>
      <c r="F116" s="180" t="e">
        <f t="shared" ca="1" si="1"/>
        <v>#DIV/0!</v>
      </c>
      <c r="H116" s="180" t="e">
        <f ca="1">D116+((1+'normal case'!M116/100)/('normal case'!D116/'normal case'!D115))*'external balance'!H115</f>
        <v>#DIV/0!</v>
      </c>
      <c r="I116" s="180"/>
    </row>
    <row r="117" spans="1:9">
      <c r="A117">
        <v>115</v>
      </c>
      <c r="B117" s="180" t="e">
        <f ca="1">('normal case'!AC117*($K$6*'normal case'!D117*('normal case'!AC117^'external balance'!$K$4)))/'normal case'!D117</f>
        <v>#DIV/0!</v>
      </c>
      <c r="C117" s="180" t="e">
        <f ca="1">($K$5*$K$7*((1+$K$8)^'normal case'!A116)*'normal case'!AC117^$K$3)/'normal case'!D117</f>
        <v>#DIV/0!</v>
      </c>
      <c r="D117" s="116" t="e">
        <f ca="1">(C117-B117)+((('main page'!$U$38/100)*'normal case'!$D$3)/'normal case'!$D$3)</f>
        <v>#DIV/0!</v>
      </c>
      <c r="E117" s="180" t="e">
        <f ca="1">((('normal case'!M117/100)*'external balance'!H116)/('normal case'!D117/'normal case'!D116))</f>
        <v>#DIV/0!</v>
      </c>
      <c r="F117" s="180" t="e">
        <f t="shared" ca="1" si="1"/>
        <v>#DIV/0!</v>
      </c>
      <c r="H117" s="180" t="e">
        <f ca="1">D117+((1+'normal case'!M117/100)/('normal case'!D117/'normal case'!D116))*'external balance'!H116</f>
        <v>#DIV/0!</v>
      </c>
      <c r="I117" s="180"/>
    </row>
    <row r="118" spans="1:9">
      <c r="A118">
        <v>116</v>
      </c>
      <c r="B118" s="180" t="e">
        <f ca="1">('normal case'!AC118*($K$6*'normal case'!D118*('normal case'!AC118^'external balance'!$K$4)))/'normal case'!D118</f>
        <v>#DIV/0!</v>
      </c>
      <c r="C118" s="180" t="e">
        <f ca="1">($K$5*$K$7*((1+$K$8)^'normal case'!A117)*'normal case'!AC118^$K$3)/'normal case'!D118</f>
        <v>#DIV/0!</v>
      </c>
      <c r="D118" s="116" t="e">
        <f ca="1">(C118-B118)+((('main page'!$U$38/100)*'normal case'!$D$3)/'normal case'!$D$3)</f>
        <v>#DIV/0!</v>
      </c>
      <c r="E118" s="180" t="e">
        <f ca="1">((('normal case'!M118/100)*'external balance'!H117)/('normal case'!D118/'normal case'!D117))</f>
        <v>#DIV/0!</v>
      </c>
      <c r="F118" s="180" t="e">
        <f t="shared" ca="1" si="1"/>
        <v>#DIV/0!</v>
      </c>
      <c r="H118" s="180" t="e">
        <f ca="1">D118+((1+'normal case'!M118/100)/('normal case'!D118/'normal case'!D117))*'external balance'!H117</f>
        <v>#DIV/0!</v>
      </c>
      <c r="I118" s="180"/>
    </row>
    <row r="119" spans="1:9">
      <c r="A119">
        <v>117</v>
      </c>
      <c r="B119" s="180" t="e">
        <f ca="1">('normal case'!AC119*($K$6*'normal case'!D119*('normal case'!AC119^'external balance'!$K$4)))/'normal case'!D119</f>
        <v>#DIV/0!</v>
      </c>
      <c r="C119" s="180" t="e">
        <f ca="1">($K$5*$K$7*((1+$K$8)^'normal case'!A118)*'normal case'!AC119^$K$3)/'normal case'!D119</f>
        <v>#DIV/0!</v>
      </c>
      <c r="D119" s="116" t="e">
        <f ca="1">(C119-B119)+((('main page'!$U$38/100)*'normal case'!$D$3)/'normal case'!$D$3)</f>
        <v>#DIV/0!</v>
      </c>
      <c r="E119" s="180" t="e">
        <f ca="1">((('normal case'!M119/100)*'external balance'!H118)/('normal case'!D119/'normal case'!D118))</f>
        <v>#DIV/0!</v>
      </c>
      <c r="F119" s="180" t="e">
        <f t="shared" ca="1" si="1"/>
        <v>#DIV/0!</v>
      </c>
      <c r="H119" s="180" t="e">
        <f ca="1">D119+((1+'normal case'!M119/100)/('normal case'!D119/'normal case'!D118))*'external balance'!H118</f>
        <v>#DIV/0!</v>
      </c>
      <c r="I119" s="180"/>
    </row>
    <row r="120" spans="1:9">
      <c r="A120">
        <v>118</v>
      </c>
      <c r="B120" s="180" t="e">
        <f ca="1">('normal case'!AC120*($K$6*'normal case'!D120*('normal case'!AC120^'external balance'!$K$4)))/'normal case'!D120</f>
        <v>#DIV/0!</v>
      </c>
      <c r="C120" s="180" t="e">
        <f ca="1">($K$5*$K$7*((1+$K$8)^'normal case'!A119)*'normal case'!AC120^$K$3)/'normal case'!D120</f>
        <v>#DIV/0!</v>
      </c>
      <c r="D120" s="116" t="e">
        <f ca="1">(C120-B120)+((('main page'!$U$38/100)*'normal case'!$D$3)/'normal case'!$D$3)</f>
        <v>#DIV/0!</v>
      </c>
      <c r="E120" s="180" t="e">
        <f ca="1">((('normal case'!M120/100)*'external balance'!H119)/('normal case'!D120/'normal case'!D119))</f>
        <v>#DIV/0!</v>
      </c>
      <c r="F120" s="180" t="e">
        <f t="shared" ca="1" si="1"/>
        <v>#DIV/0!</v>
      </c>
      <c r="H120" s="180" t="e">
        <f ca="1">D120+((1+'normal case'!M120/100)/('normal case'!D120/'normal case'!D119))*'external balance'!H119</f>
        <v>#DIV/0!</v>
      </c>
      <c r="I120" s="180"/>
    </row>
    <row r="121" spans="1:9">
      <c r="A121">
        <v>119</v>
      </c>
      <c r="B121" s="180" t="e">
        <f ca="1">('normal case'!AC121*($K$6*'normal case'!D121*('normal case'!AC121^'external balance'!$K$4)))/'normal case'!D121</f>
        <v>#DIV/0!</v>
      </c>
      <c r="C121" s="180" t="e">
        <f ca="1">($K$5*$K$7*((1+$K$8)^'normal case'!A120)*'normal case'!AC121^$K$3)/'normal case'!D121</f>
        <v>#DIV/0!</v>
      </c>
      <c r="D121" s="116" t="e">
        <f ca="1">(C121-B121)+((('main page'!$U$38/100)*'normal case'!$D$3)/'normal case'!$D$3)</f>
        <v>#DIV/0!</v>
      </c>
      <c r="E121" s="180" t="e">
        <f ca="1">((('normal case'!M121/100)*'external balance'!H120)/('normal case'!D121/'normal case'!D120))</f>
        <v>#DIV/0!</v>
      </c>
      <c r="F121" s="180" t="e">
        <f t="shared" ca="1" si="1"/>
        <v>#DIV/0!</v>
      </c>
      <c r="H121" s="180" t="e">
        <f ca="1">D121+((1+'normal case'!M121/100)/('normal case'!D121/'normal case'!D120))*'external balance'!H120</f>
        <v>#DIV/0!</v>
      </c>
      <c r="I121" s="180"/>
    </row>
    <row r="122" spans="1:9">
      <c r="A122">
        <v>120</v>
      </c>
      <c r="B122" s="180" t="e">
        <f ca="1">('normal case'!AC122*($K$6*'normal case'!D122*('normal case'!AC122^'external balance'!$K$4)))/'normal case'!D122</f>
        <v>#DIV/0!</v>
      </c>
      <c r="C122" s="180" t="e">
        <f ca="1">($K$5*$K$7*((1+$K$8)^'normal case'!A121)*'normal case'!AC122^$K$3)/'normal case'!D122</f>
        <v>#DIV/0!</v>
      </c>
      <c r="D122" s="116" t="e">
        <f ca="1">(C122-B122)+((('main page'!$U$38/100)*'normal case'!$D$3)/'normal case'!$D$3)</f>
        <v>#DIV/0!</v>
      </c>
      <c r="E122" s="180" t="e">
        <f ca="1">((('normal case'!M122/100)*'external balance'!H121)/('normal case'!D122/'normal case'!D121))</f>
        <v>#DIV/0!</v>
      </c>
      <c r="F122" s="180" t="e">
        <f t="shared" ca="1" si="1"/>
        <v>#DIV/0!</v>
      </c>
      <c r="H122" s="180" t="e">
        <f ca="1">D122+((1+'normal case'!M122/100)/('normal case'!D122/'normal case'!D121))*'external balance'!H121</f>
        <v>#DIV/0!</v>
      </c>
      <c r="I122" s="180"/>
    </row>
    <row r="123" spans="1:9">
      <c r="A123">
        <v>121</v>
      </c>
      <c r="B123" s="180" t="e">
        <f ca="1">('normal case'!AC123*($K$6*'normal case'!D123*('normal case'!AC123^'external balance'!$K$4)))/'normal case'!D123</f>
        <v>#DIV/0!</v>
      </c>
      <c r="C123" s="180" t="e">
        <f ca="1">($K$5*$K$7*((1+$K$8)^'normal case'!A122)*'normal case'!AC123^$K$3)/'normal case'!D123</f>
        <v>#DIV/0!</v>
      </c>
      <c r="D123" s="116" t="e">
        <f ca="1">(C123-B123)+((('main page'!$U$38/100)*'normal case'!$D$3)/'normal case'!$D$3)</f>
        <v>#DIV/0!</v>
      </c>
      <c r="E123" s="180" t="e">
        <f ca="1">((('normal case'!M123/100)*'external balance'!H122)/('normal case'!D123/'normal case'!D122))</f>
        <v>#DIV/0!</v>
      </c>
      <c r="F123" s="180" t="e">
        <f t="shared" ca="1" si="1"/>
        <v>#DIV/0!</v>
      </c>
      <c r="H123" s="180" t="e">
        <f ca="1">D123+((1+'normal case'!M123/100)/('normal case'!D123/'normal case'!D122))*'external balance'!H122</f>
        <v>#DIV/0!</v>
      </c>
      <c r="I123" s="180"/>
    </row>
    <row r="124" spans="1:9">
      <c r="A124">
        <v>122</v>
      </c>
      <c r="B124" s="180" t="e">
        <f ca="1">('normal case'!AC124*($K$6*'normal case'!D124*('normal case'!AC124^'external balance'!$K$4)))/'normal case'!D124</f>
        <v>#DIV/0!</v>
      </c>
      <c r="C124" s="180" t="e">
        <f ca="1">($K$5*$K$7*((1+$K$8)^'normal case'!A123)*'normal case'!AC124^$K$3)/'normal case'!D124</f>
        <v>#DIV/0!</v>
      </c>
      <c r="D124" s="116" t="e">
        <f ca="1">(C124-B124)+((('main page'!$U$38/100)*'normal case'!$D$3)/'normal case'!$D$3)</f>
        <v>#DIV/0!</v>
      </c>
      <c r="E124" s="180" t="e">
        <f ca="1">((('normal case'!M124/100)*'external balance'!H123)/('normal case'!D124/'normal case'!D123))</f>
        <v>#DIV/0!</v>
      </c>
      <c r="F124" s="180" t="e">
        <f t="shared" ca="1" si="1"/>
        <v>#DIV/0!</v>
      </c>
      <c r="H124" s="180" t="e">
        <f ca="1">D124+((1+'normal case'!M124/100)/('normal case'!D124/'normal case'!D123))*'external balance'!H123</f>
        <v>#DIV/0!</v>
      </c>
      <c r="I124" s="180"/>
    </row>
    <row r="125" spans="1:9">
      <c r="A125">
        <v>123</v>
      </c>
      <c r="B125" s="180" t="e">
        <f ca="1">('normal case'!AC125*($K$6*'normal case'!D125*('normal case'!AC125^'external balance'!$K$4)))/'normal case'!D125</f>
        <v>#DIV/0!</v>
      </c>
      <c r="C125" s="180" t="e">
        <f ca="1">($K$5*$K$7*((1+$K$8)^'normal case'!A124)*'normal case'!AC125^$K$3)/'normal case'!D125</f>
        <v>#DIV/0!</v>
      </c>
      <c r="D125" s="116" t="e">
        <f ca="1">(C125-B125)+((('main page'!$U$38/100)*'normal case'!$D$3)/'normal case'!$D$3)</f>
        <v>#DIV/0!</v>
      </c>
      <c r="E125" s="180" t="e">
        <f ca="1">((('normal case'!M125/100)*'external balance'!H124)/('normal case'!D125/'normal case'!D124))</f>
        <v>#DIV/0!</v>
      </c>
      <c r="F125" s="180" t="e">
        <f t="shared" ca="1" si="1"/>
        <v>#DIV/0!</v>
      </c>
      <c r="H125" s="180" t="e">
        <f ca="1">D125+((1+'normal case'!M125/100)/('normal case'!D125/'normal case'!D124))*'external balance'!H124</f>
        <v>#DIV/0!</v>
      </c>
      <c r="I125" s="180"/>
    </row>
    <row r="126" spans="1:9">
      <c r="A126">
        <v>124</v>
      </c>
      <c r="B126" s="180" t="e">
        <f ca="1">('normal case'!AC126*($K$6*'normal case'!D126*('normal case'!AC126^'external balance'!$K$4)))/'normal case'!D126</f>
        <v>#DIV/0!</v>
      </c>
      <c r="C126" s="180" t="e">
        <f ca="1">($K$5*$K$7*((1+$K$8)^'normal case'!A125)*'normal case'!AC126^$K$3)/'normal case'!D126</f>
        <v>#DIV/0!</v>
      </c>
      <c r="D126" s="116" t="e">
        <f ca="1">(C126-B126)+((('main page'!$U$38/100)*'normal case'!$D$3)/'normal case'!$D$3)</f>
        <v>#DIV/0!</v>
      </c>
      <c r="E126" s="180" t="e">
        <f ca="1">((('normal case'!M126/100)*'external balance'!H125)/('normal case'!D126/'normal case'!D125))</f>
        <v>#DIV/0!</v>
      </c>
      <c r="F126" s="180" t="e">
        <f t="shared" ca="1" si="1"/>
        <v>#DIV/0!</v>
      </c>
      <c r="H126" s="180" t="e">
        <f ca="1">D126+((1+'normal case'!M126/100)/('normal case'!D126/'normal case'!D125))*'external balance'!H125</f>
        <v>#DIV/0!</v>
      </c>
      <c r="I126" s="180"/>
    </row>
    <row r="127" spans="1:9">
      <c r="A127">
        <v>125</v>
      </c>
      <c r="B127" s="180" t="e">
        <f ca="1">('normal case'!AC127*($K$6*'normal case'!D127*('normal case'!AC127^'external balance'!$K$4)))/'normal case'!D127</f>
        <v>#DIV/0!</v>
      </c>
      <c r="C127" s="180" t="e">
        <f ca="1">($K$5*$K$7*((1+$K$8)^'normal case'!A126)*'normal case'!AC127^$K$3)/'normal case'!D127</f>
        <v>#DIV/0!</v>
      </c>
      <c r="D127" s="116" t="e">
        <f ca="1">(C127-B127)+((('main page'!$U$38/100)*'normal case'!$D$3)/'normal case'!$D$3)</f>
        <v>#DIV/0!</v>
      </c>
      <c r="E127" s="180" t="e">
        <f ca="1">((('normal case'!M127/100)*'external balance'!H126)/('normal case'!D127/'normal case'!D126))</f>
        <v>#DIV/0!</v>
      </c>
      <c r="F127" s="180" t="e">
        <f t="shared" ca="1" si="1"/>
        <v>#DIV/0!</v>
      </c>
      <c r="H127" s="180" t="e">
        <f ca="1">D127+((1+'normal case'!M127/100)/('normal case'!D127/'normal case'!D126))*'external balance'!H126</f>
        <v>#DIV/0!</v>
      </c>
      <c r="I127" s="180"/>
    </row>
    <row r="128" spans="1:9">
      <c r="A128">
        <v>126</v>
      </c>
      <c r="B128" s="180" t="e">
        <f ca="1">('normal case'!AC128*($K$6*'normal case'!D128*('normal case'!AC128^'external balance'!$K$4)))/'normal case'!D128</f>
        <v>#DIV/0!</v>
      </c>
      <c r="C128" s="180" t="e">
        <f ca="1">($K$5*$K$7*((1+$K$8)^'normal case'!A127)*'normal case'!AC128^$K$3)/'normal case'!D128</f>
        <v>#DIV/0!</v>
      </c>
      <c r="D128" s="116" t="e">
        <f ca="1">(C128-B128)+((('main page'!$U$38/100)*'normal case'!$D$3)/'normal case'!$D$3)</f>
        <v>#DIV/0!</v>
      </c>
      <c r="E128" s="180" t="e">
        <f ca="1">((('normal case'!M128/100)*'external balance'!H127)/('normal case'!D128/'normal case'!D127))</f>
        <v>#DIV/0!</v>
      </c>
      <c r="F128" s="180" t="e">
        <f t="shared" ca="1" si="1"/>
        <v>#DIV/0!</v>
      </c>
      <c r="H128" s="180" t="e">
        <f ca="1">D128+((1+'normal case'!M128/100)/('normal case'!D128/'normal case'!D127))*'external balance'!H127</f>
        <v>#DIV/0!</v>
      </c>
      <c r="I128" s="180"/>
    </row>
    <row r="129" spans="1:9">
      <c r="A129">
        <v>127</v>
      </c>
      <c r="B129" s="180" t="e">
        <f ca="1">('normal case'!AC129*($K$6*'normal case'!D129*('normal case'!AC129^'external balance'!$K$4)))/'normal case'!D129</f>
        <v>#DIV/0!</v>
      </c>
      <c r="C129" s="180" t="e">
        <f ca="1">($K$5*$K$7*((1+$K$8)^'normal case'!A128)*'normal case'!AC129^$K$3)/'normal case'!D129</f>
        <v>#DIV/0!</v>
      </c>
      <c r="D129" s="116" t="e">
        <f ca="1">(C129-B129)+((('main page'!$U$38/100)*'normal case'!$D$3)/'normal case'!$D$3)</f>
        <v>#DIV/0!</v>
      </c>
      <c r="E129" s="180" t="e">
        <f ca="1">((('normal case'!M129/100)*'external balance'!H128)/('normal case'!D129/'normal case'!D128))</f>
        <v>#DIV/0!</v>
      </c>
      <c r="F129" s="180" t="e">
        <f t="shared" ca="1" si="1"/>
        <v>#DIV/0!</v>
      </c>
      <c r="H129" s="180" t="e">
        <f ca="1">D129+((1+'normal case'!M129/100)/('normal case'!D129/'normal case'!D128))*'external balance'!H128</f>
        <v>#DIV/0!</v>
      </c>
      <c r="I129" s="180"/>
    </row>
    <row r="130" spans="1:9">
      <c r="A130">
        <v>128</v>
      </c>
      <c r="B130" s="180" t="e">
        <f ca="1">('normal case'!AC130*($K$6*'normal case'!D130*('normal case'!AC130^'external balance'!$K$4)))/'normal case'!D130</f>
        <v>#DIV/0!</v>
      </c>
      <c r="C130" s="180" t="e">
        <f ca="1">($K$5*$K$7*((1+$K$8)^'normal case'!A129)*'normal case'!AC130^$K$3)/'normal case'!D130</f>
        <v>#DIV/0!</v>
      </c>
      <c r="D130" s="116" t="e">
        <f ca="1">(C130-B130)+((('main page'!$U$38/100)*'normal case'!$D$3)/'normal case'!$D$3)</f>
        <v>#DIV/0!</v>
      </c>
      <c r="E130" s="180" t="e">
        <f ca="1">((('normal case'!M130/100)*'external balance'!H129)/('normal case'!D130/'normal case'!D129))</f>
        <v>#DIV/0!</v>
      </c>
      <c r="F130" s="180" t="e">
        <f t="shared" ca="1" si="1"/>
        <v>#DIV/0!</v>
      </c>
      <c r="H130" s="180" t="e">
        <f ca="1">D130+((1+'normal case'!M130/100)/('normal case'!D130/'normal case'!D129))*'external balance'!H129</f>
        <v>#DIV/0!</v>
      </c>
      <c r="I130" s="180"/>
    </row>
    <row r="131" spans="1:9">
      <c r="A131">
        <v>129</v>
      </c>
      <c r="B131" s="180" t="e">
        <f ca="1">('normal case'!AC131*($K$6*'normal case'!D131*('normal case'!AC131^'external balance'!$K$4)))/'normal case'!D131</f>
        <v>#DIV/0!</v>
      </c>
      <c r="C131" s="180" t="e">
        <f ca="1">($K$5*$K$7*((1+$K$8)^'normal case'!A130)*'normal case'!AC131^$K$3)/'normal case'!D131</f>
        <v>#DIV/0!</v>
      </c>
      <c r="D131" s="116" t="e">
        <f ca="1">(C131-B131)+((('main page'!$U$38/100)*'normal case'!$D$3)/'normal case'!$D$3)</f>
        <v>#DIV/0!</v>
      </c>
      <c r="E131" s="180" t="e">
        <f ca="1">((('normal case'!M131/100)*'external balance'!H130)/('normal case'!D131/'normal case'!D130))</f>
        <v>#DIV/0!</v>
      </c>
      <c r="F131" s="180" t="e">
        <f t="shared" ca="1" si="1"/>
        <v>#DIV/0!</v>
      </c>
      <c r="H131" s="180" t="e">
        <f ca="1">D131+((1+'normal case'!M131/100)/('normal case'!D131/'normal case'!D130))*'external balance'!H130</f>
        <v>#DIV/0!</v>
      </c>
      <c r="I131" s="180"/>
    </row>
    <row r="132" spans="1:9">
      <c r="A132">
        <v>130</v>
      </c>
      <c r="B132" s="180" t="e">
        <f ca="1">('normal case'!AC132*($K$6*'normal case'!D132*('normal case'!AC132^'external balance'!$K$4)))/'normal case'!D132</f>
        <v>#DIV/0!</v>
      </c>
      <c r="C132" s="180" t="e">
        <f ca="1">($K$5*$K$7*((1+$K$8)^'normal case'!A131)*'normal case'!AC132^$K$3)/'normal case'!D132</f>
        <v>#DIV/0!</v>
      </c>
      <c r="D132" s="116" t="e">
        <f ca="1">(C132-B132)+((('main page'!$U$38/100)*'normal case'!$D$3)/'normal case'!$D$3)</f>
        <v>#DIV/0!</v>
      </c>
      <c r="E132" s="180" t="e">
        <f ca="1">((('normal case'!M132/100)*'external balance'!H131)/('normal case'!D132/'normal case'!D131))</f>
        <v>#DIV/0!</v>
      </c>
      <c r="F132" s="180" t="e">
        <f t="shared" ca="1" si="1"/>
        <v>#DIV/0!</v>
      </c>
      <c r="H132" s="180" t="e">
        <f ca="1">D132+((1+'normal case'!M132/100)/('normal case'!D132/'normal case'!D131))*'external balance'!H131</f>
        <v>#DIV/0!</v>
      </c>
      <c r="I132" s="180"/>
    </row>
    <row r="133" spans="1:9">
      <c r="A133">
        <v>131</v>
      </c>
      <c r="B133" s="180" t="e">
        <f ca="1">('normal case'!AC133*($K$6*'normal case'!D133*('normal case'!AC133^'external balance'!$K$4)))/'normal case'!D133</f>
        <v>#DIV/0!</v>
      </c>
      <c r="C133" s="180" t="e">
        <f ca="1">($K$5*$K$7*((1+$K$8)^'normal case'!A132)*'normal case'!AC133^$K$3)/'normal case'!D133</f>
        <v>#DIV/0!</v>
      </c>
      <c r="D133" s="116" t="e">
        <f ca="1">(C133-B133)+((('main page'!$U$38/100)*'normal case'!$D$3)/'normal case'!$D$3)</f>
        <v>#DIV/0!</v>
      </c>
      <c r="E133" s="180" t="e">
        <f ca="1">((('normal case'!M133/100)*'external balance'!H132)/('normal case'!D133/'normal case'!D132))</f>
        <v>#DIV/0!</v>
      </c>
      <c r="F133" s="180" t="e">
        <f t="shared" ref="F133:F196" ca="1" si="2">IF(ABS(D133+E133-F132)&lt;0.0000001,F132,D133+E133)</f>
        <v>#DIV/0!</v>
      </c>
      <c r="H133" s="180" t="e">
        <f ca="1">D133+((1+'normal case'!M133/100)/('normal case'!D133/'normal case'!D132))*'external balance'!H132</f>
        <v>#DIV/0!</v>
      </c>
      <c r="I133" s="180"/>
    </row>
    <row r="134" spans="1:9">
      <c r="A134">
        <v>132</v>
      </c>
      <c r="B134" s="180" t="e">
        <f ca="1">('normal case'!AC134*($K$6*'normal case'!D134*('normal case'!AC134^'external balance'!$K$4)))/'normal case'!D134</f>
        <v>#DIV/0!</v>
      </c>
      <c r="C134" s="180" t="e">
        <f ca="1">($K$5*$K$7*((1+$K$8)^'normal case'!A133)*'normal case'!AC134^$K$3)/'normal case'!D134</f>
        <v>#DIV/0!</v>
      </c>
      <c r="D134" s="116" t="e">
        <f ca="1">(C134-B134)+((('main page'!$U$38/100)*'normal case'!$D$3)/'normal case'!$D$3)</f>
        <v>#DIV/0!</v>
      </c>
      <c r="E134" s="180" t="e">
        <f ca="1">((('normal case'!M134/100)*'external balance'!H133)/('normal case'!D134/'normal case'!D133))</f>
        <v>#DIV/0!</v>
      </c>
      <c r="F134" s="180" t="e">
        <f t="shared" ca="1" si="2"/>
        <v>#DIV/0!</v>
      </c>
      <c r="H134" s="180" t="e">
        <f ca="1">D134+((1+'normal case'!M134/100)/('normal case'!D134/'normal case'!D133))*'external balance'!H133</f>
        <v>#DIV/0!</v>
      </c>
      <c r="I134" s="180"/>
    </row>
    <row r="135" spans="1:9">
      <c r="A135">
        <v>133</v>
      </c>
      <c r="B135" s="180" t="e">
        <f ca="1">('normal case'!AC135*($K$6*'normal case'!D135*('normal case'!AC135^'external balance'!$K$4)))/'normal case'!D135</f>
        <v>#DIV/0!</v>
      </c>
      <c r="C135" s="180" t="e">
        <f ca="1">($K$5*$K$7*((1+$K$8)^'normal case'!A134)*'normal case'!AC135^$K$3)/'normal case'!D135</f>
        <v>#DIV/0!</v>
      </c>
      <c r="D135" s="116" t="e">
        <f ca="1">(C135-B135)+((('main page'!$U$38/100)*'normal case'!$D$3)/'normal case'!$D$3)</f>
        <v>#DIV/0!</v>
      </c>
      <c r="E135" s="180" t="e">
        <f ca="1">((('normal case'!M135/100)*'external balance'!H134)/('normal case'!D135/'normal case'!D134))</f>
        <v>#DIV/0!</v>
      </c>
      <c r="F135" s="180" t="e">
        <f t="shared" ca="1" si="2"/>
        <v>#DIV/0!</v>
      </c>
      <c r="H135" s="180" t="e">
        <f ca="1">D135+((1+'normal case'!M135/100)/('normal case'!D135/'normal case'!D134))*'external balance'!H134</f>
        <v>#DIV/0!</v>
      </c>
      <c r="I135" s="180"/>
    </row>
    <row r="136" spans="1:9">
      <c r="A136">
        <v>134</v>
      </c>
      <c r="B136" s="180" t="e">
        <f ca="1">('normal case'!AC136*($K$6*'normal case'!D136*('normal case'!AC136^'external balance'!$K$4)))/'normal case'!D136</f>
        <v>#DIV/0!</v>
      </c>
      <c r="C136" s="180" t="e">
        <f ca="1">($K$5*$K$7*((1+$K$8)^'normal case'!A135)*'normal case'!AC136^$K$3)/'normal case'!D136</f>
        <v>#DIV/0!</v>
      </c>
      <c r="D136" s="116" t="e">
        <f ca="1">(C136-B136)+((('main page'!$U$38/100)*'normal case'!$D$3)/'normal case'!$D$3)</f>
        <v>#DIV/0!</v>
      </c>
      <c r="E136" s="180" t="e">
        <f ca="1">((('normal case'!M136/100)*'external balance'!H135)/('normal case'!D136/'normal case'!D135))</f>
        <v>#DIV/0!</v>
      </c>
      <c r="F136" s="180" t="e">
        <f t="shared" ca="1" si="2"/>
        <v>#DIV/0!</v>
      </c>
      <c r="H136" s="180" t="e">
        <f ca="1">D136+((1+'normal case'!M136/100)/('normal case'!D136/'normal case'!D135))*'external balance'!H135</f>
        <v>#DIV/0!</v>
      </c>
      <c r="I136" s="180"/>
    </row>
    <row r="137" spans="1:9">
      <c r="A137">
        <v>135</v>
      </c>
      <c r="B137" s="180" t="e">
        <f ca="1">('normal case'!AC137*($K$6*'normal case'!D137*('normal case'!AC137^'external balance'!$K$4)))/'normal case'!D137</f>
        <v>#DIV/0!</v>
      </c>
      <c r="C137" s="180" t="e">
        <f ca="1">($K$5*$K$7*((1+$K$8)^'normal case'!A136)*'normal case'!AC137^$K$3)/'normal case'!D137</f>
        <v>#DIV/0!</v>
      </c>
      <c r="D137" s="116" t="e">
        <f ca="1">(C137-B137)+((('main page'!$U$38/100)*'normal case'!$D$3)/'normal case'!$D$3)</f>
        <v>#DIV/0!</v>
      </c>
      <c r="E137" s="180" t="e">
        <f ca="1">((('normal case'!M137/100)*'external balance'!H136)/('normal case'!D137/'normal case'!D136))</f>
        <v>#DIV/0!</v>
      </c>
      <c r="F137" s="180" t="e">
        <f t="shared" ca="1" si="2"/>
        <v>#DIV/0!</v>
      </c>
      <c r="H137" s="180" t="e">
        <f ca="1">D137+((1+'normal case'!M137/100)/('normal case'!D137/'normal case'!D136))*'external balance'!H136</f>
        <v>#DIV/0!</v>
      </c>
      <c r="I137" s="180"/>
    </row>
    <row r="138" spans="1:9">
      <c r="A138">
        <v>136</v>
      </c>
      <c r="B138" s="180" t="e">
        <f ca="1">('normal case'!AC138*($K$6*'normal case'!D138*('normal case'!AC138^'external balance'!$K$4)))/'normal case'!D138</f>
        <v>#DIV/0!</v>
      </c>
      <c r="C138" s="180" t="e">
        <f ca="1">($K$5*$K$7*((1+$K$8)^'normal case'!A137)*'normal case'!AC138^$K$3)/'normal case'!D138</f>
        <v>#DIV/0!</v>
      </c>
      <c r="D138" s="116" t="e">
        <f ca="1">(C138-B138)+((('main page'!$U$38/100)*'normal case'!$D$3)/'normal case'!$D$3)</f>
        <v>#DIV/0!</v>
      </c>
      <c r="E138" s="180" t="e">
        <f ca="1">((('normal case'!M138/100)*'external balance'!H137)/('normal case'!D138/'normal case'!D137))</f>
        <v>#DIV/0!</v>
      </c>
      <c r="F138" s="180" t="e">
        <f t="shared" ca="1" si="2"/>
        <v>#DIV/0!</v>
      </c>
      <c r="H138" s="180" t="e">
        <f ca="1">D138+((1+'normal case'!M138/100)/('normal case'!D138/'normal case'!D137))*'external balance'!H137</f>
        <v>#DIV/0!</v>
      </c>
      <c r="I138" s="180"/>
    </row>
    <row r="139" spans="1:9">
      <c r="A139">
        <v>137</v>
      </c>
      <c r="B139" s="180" t="e">
        <f ca="1">('normal case'!AC139*($K$6*'normal case'!D139*('normal case'!AC139^'external balance'!$K$4)))/'normal case'!D139</f>
        <v>#DIV/0!</v>
      </c>
      <c r="C139" s="180" t="e">
        <f ca="1">($K$5*$K$7*((1+$K$8)^'normal case'!A138)*'normal case'!AC139^$K$3)/'normal case'!D139</f>
        <v>#DIV/0!</v>
      </c>
      <c r="D139" s="116" t="e">
        <f ca="1">(C139-B139)+((('main page'!$U$38/100)*'normal case'!$D$3)/'normal case'!$D$3)</f>
        <v>#DIV/0!</v>
      </c>
      <c r="E139" s="180" t="e">
        <f ca="1">((('normal case'!M139/100)*'external balance'!H138)/('normal case'!D139/'normal case'!D138))</f>
        <v>#DIV/0!</v>
      </c>
      <c r="F139" s="180" t="e">
        <f t="shared" ca="1" si="2"/>
        <v>#DIV/0!</v>
      </c>
      <c r="H139" s="180" t="e">
        <f ca="1">D139+((1+'normal case'!M139/100)/('normal case'!D139/'normal case'!D138))*'external balance'!H138</f>
        <v>#DIV/0!</v>
      </c>
      <c r="I139" s="180"/>
    </row>
    <row r="140" spans="1:9">
      <c r="A140">
        <v>138</v>
      </c>
      <c r="B140" s="180" t="e">
        <f ca="1">('normal case'!AC140*($K$6*'normal case'!D140*('normal case'!AC140^'external balance'!$K$4)))/'normal case'!D140</f>
        <v>#DIV/0!</v>
      </c>
      <c r="C140" s="180" t="e">
        <f ca="1">($K$5*$K$7*((1+$K$8)^'normal case'!A139)*'normal case'!AC140^$K$3)/'normal case'!D140</f>
        <v>#DIV/0!</v>
      </c>
      <c r="D140" s="116" t="e">
        <f ca="1">(C140-B140)+((('main page'!$U$38/100)*'normal case'!$D$3)/'normal case'!$D$3)</f>
        <v>#DIV/0!</v>
      </c>
      <c r="E140" s="180" t="e">
        <f ca="1">((('normal case'!M140/100)*'external balance'!H139)/('normal case'!D140/'normal case'!D139))</f>
        <v>#DIV/0!</v>
      </c>
      <c r="F140" s="180" t="e">
        <f t="shared" ca="1" si="2"/>
        <v>#DIV/0!</v>
      </c>
      <c r="H140" s="180" t="e">
        <f ca="1">D140+((1+'normal case'!M140/100)/('normal case'!D140/'normal case'!D139))*'external balance'!H139</f>
        <v>#DIV/0!</v>
      </c>
      <c r="I140" s="180"/>
    </row>
    <row r="141" spans="1:9">
      <c r="A141">
        <v>139</v>
      </c>
      <c r="B141" s="180" t="e">
        <f ca="1">('normal case'!AC141*($K$6*'normal case'!D141*('normal case'!AC141^'external balance'!$K$4)))/'normal case'!D141</f>
        <v>#DIV/0!</v>
      </c>
      <c r="C141" s="180" t="e">
        <f ca="1">($K$5*$K$7*((1+$K$8)^'normal case'!A140)*'normal case'!AC141^$K$3)/'normal case'!D141</f>
        <v>#DIV/0!</v>
      </c>
      <c r="D141" s="116" t="e">
        <f ca="1">(C141-B141)+((('main page'!$U$38/100)*'normal case'!$D$3)/'normal case'!$D$3)</f>
        <v>#DIV/0!</v>
      </c>
      <c r="E141" s="180" t="e">
        <f ca="1">((('normal case'!M141/100)*'external balance'!H140)/('normal case'!D141/'normal case'!D140))</f>
        <v>#DIV/0!</v>
      </c>
      <c r="F141" s="180" t="e">
        <f t="shared" ca="1" si="2"/>
        <v>#DIV/0!</v>
      </c>
      <c r="H141" s="180" t="e">
        <f ca="1">D141+((1+'normal case'!M141/100)/('normal case'!D141/'normal case'!D140))*'external balance'!H140</f>
        <v>#DIV/0!</v>
      </c>
      <c r="I141" s="180"/>
    </row>
    <row r="142" spans="1:9">
      <c r="A142">
        <v>140</v>
      </c>
      <c r="B142" s="180" t="e">
        <f ca="1">('normal case'!AC142*($K$6*'normal case'!D142*('normal case'!AC142^'external balance'!$K$4)))/'normal case'!D142</f>
        <v>#DIV/0!</v>
      </c>
      <c r="C142" s="180" t="e">
        <f ca="1">($K$5*$K$7*((1+$K$8)^'normal case'!A141)*'normal case'!AC142^$K$3)/'normal case'!D142</f>
        <v>#DIV/0!</v>
      </c>
      <c r="D142" s="116" t="e">
        <f ca="1">(C142-B142)+((('main page'!$U$38/100)*'normal case'!$D$3)/'normal case'!$D$3)</f>
        <v>#DIV/0!</v>
      </c>
      <c r="E142" s="180" t="e">
        <f ca="1">((('normal case'!M142/100)*'external balance'!H141)/('normal case'!D142/'normal case'!D141))</f>
        <v>#DIV/0!</v>
      </c>
      <c r="F142" s="180" t="e">
        <f t="shared" ca="1" si="2"/>
        <v>#DIV/0!</v>
      </c>
      <c r="H142" s="180" t="e">
        <f ca="1">D142+((1+'normal case'!M142/100)/('normal case'!D142/'normal case'!D141))*'external balance'!H141</f>
        <v>#DIV/0!</v>
      </c>
      <c r="I142" s="180"/>
    </row>
    <row r="143" spans="1:9">
      <c r="A143">
        <v>141</v>
      </c>
      <c r="B143" s="180" t="e">
        <f ca="1">('normal case'!AC143*($K$6*'normal case'!D143*('normal case'!AC143^'external balance'!$K$4)))/'normal case'!D143</f>
        <v>#DIV/0!</v>
      </c>
      <c r="C143" s="180" t="e">
        <f ca="1">($K$5*$K$7*((1+$K$8)^'normal case'!A142)*'normal case'!AC143^$K$3)/'normal case'!D143</f>
        <v>#DIV/0!</v>
      </c>
      <c r="D143" s="116" t="e">
        <f ca="1">(C143-B143)+((('main page'!$U$38/100)*'normal case'!$D$3)/'normal case'!$D$3)</f>
        <v>#DIV/0!</v>
      </c>
      <c r="E143" s="180" t="e">
        <f ca="1">((('normal case'!M143/100)*'external balance'!H142)/('normal case'!D143/'normal case'!D142))</f>
        <v>#DIV/0!</v>
      </c>
      <c r="F143" s="180" t="e">
        <f t="shared" ca="1" si="2"/>
        <v>#DIV/0!</v>
      </c>
      <c r="H143" s="180" t="e">
        <f ca="1">D143+((1+'normal case'!M143/100)/('normal case'!D143/'normal case'!D142))*'external balance'!H142</f>
        <v>#DIV/0!</v>
      </c>
      <c r="I143" s="180"/>
    </row>
    <row r="144" spans="1:9">
      <c r="A144">
        <v>142</v>
      </c>
      <c r="B144" s="180" t="e">
        <f ca="1">('normal case'!AC144*($K$6*'normal case'!D144*('normal case'!AC144^'external balance'!$K$4)))/'normal case'!D144</f>
        <v>#DIV/0!</v>
      </c>
      <c r="C144" s="180" t="e">
        <f ca="1">($K$5*$K$7*((1+$K$8)^'normal case'!A143)*'normal case'!AC144^$K$3)/'normal case'!D144</f>
        <v>#DIV/0!</v>
      </c>
      <c r="D144" s="116" t="e">
        <f ca="1">(C144-B144)+((('main page'!$U$38/100)*'normal case'!$D$3)/'normal case'!$D$3)</f>
        <v>#DIV/0!</v>
      </c>
      <c r="E144" s="180" t="e">
        <f ca="1">((('normal case'!M144/100)*'external balance'!H143)/('normal case'!D144/'normal case'!D143))</f>
        <v>#DIV/0!</v>
      </c>
      <c r="F144" s="180" t="e">
        <f t="shared" ca="1" si="2"/>
        <v>#DIV/0!</v>
      </c>
      <c r="H144" s="180" t="e">
        <f ca="1">D144+((1+'normal case'!M144/100)/('normal case'!D144/'normal case'!D143))*'external balance'!H143</f>
        <v>#DIV/0!</v>
      </c>
      <c r="I144" s="180"/>
    </row>
    <row r="145" spans="1:9">
      <c r="A145">
        <v>143</v>
      </c>
      <c r="B145" s="180" t="e">
        <f ca="1">('normal case'!AC145*($K$6*'normal case'!D145*('normal case'!AC145^'external balance'!$K$4)))/'normal case'!D145</f>
        <v>#DIV/0!</v>
      </c>
      <c r="C145" s="180" t="e">
        <f ca="1">($K$5*$K$7*((1+$K$8)^'normal case'!A144)*'normal case'!AC145^$K$3)/'normal case'!D145</f>
        <v>#DIV/0!</v>
      </c>
      <c r="D145" s="116" t="e">
        <f ca="1">(C145-B145)+((('main page'!$U$38/100)*'normal case'!$D$3)/'normal case'!$D$3)</f>
        <v>#DIV/0!</v>
      </c>
      <c r="E145" s="180" t="e">
        <f ca="1">((('normal case'!M145/100)*'external balance'!H144)/('normal case'!D145/'normal case'!D144))</f>
        <v>#DIV/0!</v>
      </c>
      <c r="F145" s="180" t="e">
        <f t="shared" ca="1" si="2"/>
        <v>#DIV/0!</v>
      </c>
      <c r="H145" s="180" t="e">
        <f ca="1">D145+((1+'normal case'!M145/100)/('normal case'!D145/'normal case'!D144))*'external balance'!H144</f>
        <v>#DIV/0!</v>
      </c>
      <c r="I145" s="180"/>
    </row>
    <row r="146" spans="1:9">
      <c r="A146">
        <v>144</v>
      </c>
      <c r="B146" s="180" t="e">
        <f ca="1">('normal case'!AC146*($K$6*'normal case'!D146*('normal case'!AC146^'external balance'!$K$4)))/'normal case'!D146</f>
        <v>#DIV/0!</v>
      </c>
      <c r="C146" s="180" t="e">
        <f ca="1">($K$5*$K$7*((1+$K$8)^'normal case'!A145)*'normal case'!AC146^$K$3)/'normal case'!D146</f>
        <v>#DIV/0!</v>
      </c>
      <c r="D146" s="116" t="e">
        <f ca="1">(C146-B146)+((('main page'!$U$38/100)*'normal case'!$D$3)/'normal case'!$D$3)</f>
        <v>#DIV/0!</v>
      </c>
      <c r="E146" s="180" t="e">
        <f ca="1">((('normal case'!M146/100)*'external balance'!H145)/('normal case'!D146/'normal case'!D145))</f>
        <v>#DIV/0!</v>
      </c>
      <c r="F146" s="180" t="e">
        <f t="shared" ca="1" si="2"/>
        <v>#DIV/0!</v>
      </c>
      <c r="H146" s="180" t="e">
        <f ca="1">D146+((1+'normal case'!M146/100)/('normal case'!D146/'normal case'!D145))*'external balance'!H145</f>
        <v>#DIV/0!</v>
      </c>
      <c r="I146" s="180"/>
    </row>
    <row r="147" spans="1:9">
      <c r="A147">
        <v>145</v>
      </c>
      <c r="B147" s="180" t="e">
        <f ca="1">('normal case'!AC147*($K$6*'normal case'!D147*('normal case'!AC147^'external balance'!$K$4)))/'normal case'!D147</f>
        <v>#DIV/0!</v>
      </c>
      <c r="C147" s="180" t="e">
        <f ca="1">($K$5*$K$7*((1+$K$8)^'normal case'!A146)*'normal case'!AC147^$K$3)/'normal case'!D147</f>
        <v>#DIV/0!</v>
      </c>
      <c r="D147" s="116" t="e">
        <f ca="1">(C147-B147)+((('main page'!$U$38/100)*'normal case'!$D$3)/'normal case'!$D$3)</f>
        <v>#DIV/0!</v>
      </c>
      <c r="E147" s="180" t="e">
        <f ca="1">((('normal case'!M147/100)*'external balance'!H146)/('normal case'!D147/'normal case'!D146))</f>
        <v>#DIV/0!</v>
      </c>
      <c r="F147" s="180" t="e">
        <f t="shared" ca="1" si="2"/>
        <v>#DIV/0!</v>
      </c>
      <c r="H147" s="180" t="e">
        <f ca="1">D147+((1+'normal case'!M147/100)/('normal case'!D147/'normal case'!D146))*'external balance'!H146</f>
        <v>#DIV/0!</v>
      </c>
      <c r="I147" s="180"/>
    </row>
    <row r="148" spans="1:9">
      <c r="A148">
        <v>146</v>
      </c>
      <c r="B148" s="180" t="e">
        <f ca="1">('normal case'!AC148*($K$6*'normal case'!D148*('normal case'!AC148^'external balance'!$K$4)))/'normal case'!D148</f>
        <v>#DIV/0!</v>
      </c>
      <c r="C148" s="180" t="e">
        <f ca="1">($K$5*$K$7*((1+$K$8)^'normal case'!A147)*'normal case'!AC148^$K$3)/'normal case'!D148</f>
        <v>#DIV/0!</v>
      </c>
      <c r="D148" s="116" t="e">
        <f ca="1">(C148-B148)+((('main page'!$U$38/100)*'normal case'!$D$3)/'normal case'!$D$3)</f>
        <v>#DIV/0!</v>
      </c>
      <c r="E148" s="180" t="e">
        <f ca="1">((('normal case'!M148/100)*'external balance'!H147)/('normal case'!D148/'normal case'!D147))</f>
        <v>#DIV/0!</v>
      </c>
      <c r="F148" s="180" t="e">
        <f t="shared" ca="1" si="2"/>
        <v>#DIV/0!</v>
      </c>
      <c r="H148" s="180" t="e">
        <f ca="1">D148+((1+'normal case'!M148/100)/('normal case'!D148/'normal case'!D147))*'external balance'!H147</f>
        <v>#DIV/0!</v>
      </c>
      <c r="I148" s="180"/>
    </row>
    <row r="149" spans="1:9">
      <c r="A149">
        <v>147</v>
      </c>
      <c r="B149" s="180" t="e">
        <f ca="1">('normal case'!AC149*($K$6*'normal case'!D149*('normal case'!AC149^'external balance'!$K$4)))/'normal case'!D149</f>
        <v>#DIV/0!</v>
      </c>
      <c r="C149" s="180" t="e">
        <f ca="1">($K$5*$K$7*((1+$K$8)^'normal case'!A148)*'normal case'!AC149^$K$3)/'normal case'!D149</f>
        <v>#DIV/0!</v>
      </c>
      <c r="D149" s="116" t="e">
        <f ca="1">(C149-B149)+((('main page'!$U$38/100)*'normal case'!$D$3)/'normal case'!$D$3)</f>
        <v>#DIV/0!</v>
      </c>
      <c r="E149" s="180" t="e">
        <f ca="1">((('normal case'!M149/100)*'external balance'!H148)/('normal case'!D149/'normal case'!D148))</f>
        <v>#DIV/0!</v>
      </c>
      <c r="F149" s="180" t="e">
        <f t="shared" ca="1" si="2"/>
        <v>#DIV/0!</v>
      </c>
      <c r="H149" s="180" t="e">
        <f ca="1">D149+((1+'normal case'!M149/100)/('normal case'!D149/'normal case'!D148))*'external balance'!H148</f>
        <v>#DIV/0!</v>
      </c>
      <c r="I149" s="180"/>
    </row>
    <row r="150" spans="1:9">
      <c r="A150">
        <v>148</v>
      </c>
      <c r="B150" s="180" t="e">
        <f ca="1">('normal case'!AC150*($K$6*'normal case'!D150*('normal case'!AC150^'external balance'!$K$4)))/'normal case'!D150</f>
        <v>#DIV/0!</v>
      </c>
      <c r="C150" s="180" t="e">
        <f ca="1">($K$5*$K$7*((1+$K$8)^'normal case'!A149)*'normal case'!AC150^$K$3)/'normal case'!D150</f>
        <v>#DIV/0!</v>
      </c>
      <c r="D150" s="116" t="e">
        <f ca="1">(C150-B150)+((('main page'!$U$38/100)*'normal case'!$D$3)/'normal case'!$D$3)</f>
        <v>#DIV/0!</v>
      </c>
      <c r="E150" s="180" t="e">
        <f ca="1">((('normal case'!M150/100)*'external balance'!H149)/('normal case'!D150/'normal case'!D149))</f>
        <v>#DIV/0!</v>
      </c>
      <c r="F150" s="180" t="e">
        <f t="shared" ca="1" si="2"/>
        <v>#DIV/0!</v>
      </c>
      <c r="H150" s="180" t="e">
        <f ca="1">D150+((1+'normal case'!M150/100)/('normal case'!D150/'normal case'!D149))*'external balance'!H149</f>
        <v>#DIV/0!</v>
      </c>
      <c r="I150" s="180"/>
    </row>
    <row r="151" spans="1:9">
      <c r="A151">
        <v>149</v>
      </c>
      <c r="B151" s="180" t="e">
        <f ca="1">('normal case'!AC151*($K$6*'normal case'!D151*('normal case'!AC151^'external balance'!$K$4)))/'normal case'!D151</f>
        <v>#DIV/0!</v>
      </c>
      <c r="C151" s="180" t="e">
        <f ca="1">($K$5*$K$7*((1+$K$8)^'normal case'!A150)*'normal case'!AC151^$K$3)/'normal case'!D151</f>
        <v>#DIV/0!</v>
      </c>
      <c r="D151" s="116" t="e">
        <f ca="1">(C151-B151)+((('main page'!$U$38/100)*'normal case'!$D$3)/'normal case'!$D$3)</f>
        <v>#DIV/0!</v>
      </c>
      <c r="E151" s="180" t="e">
        <f ca="1">((('normal case'!M151/100)*'external balance'!H150)/('normal case'!D151/'normal case'!D150))</f>
        <v>#DIV/0!</v>
      </c>
      <c r="F151" s="180" t="e">
        <f t="shared" ca="1" si="2"/>
        <v>#DIV/0!</v>
      </c>
      <c r="H151" s="180" t="e">
        <f ca="1">D151+((1+'normal case'!M151/100)/('normal case'!D151/'normal case'!D150))*'external balance'!H150</f>
        <v>#DIV/0!</v>
      </c>
      <c r="I151" s="180"/>
    </row>
    <row r="152" spans="1:9">
      <c r="A152">
        <v>150</v>
      </c>
      <c r="B152" s="180" t="e">
        <f ca="1">('normal case'!AC152*($K$6*'normal case'!D152*('normal case'!AC152^'external balance'!$K$4)))/'normal case'!D152</f>
        <v>#DIV/0!</v>
      </c>
      <c r="C152" s="180" t="e">
        <f ca="1">($K$5*$K$7*((1+$K$8)^'normal case'!A151)*'normal case'!AC152^$K$3)/'normal case'!D152</f>
        <v>#DIV/0!</v>
      </c>
      <c r="D152" s="116" t="e">
        <f ca="1">(C152-B152)+((('main page'!$U$38/100)*'normal case'!$D$3)/'normal case'!$D$3)</f>
        <v>#DIV/0!</v>
      </c>
      <c r="E152" s="180" t="e">
        <f ca="1">((('normal case'!M152/100)*'external balance'!H151)/('normal case'!D152/'normal case'!D151))</f>
        <v>#DIV/0!</v>
      </c>
      <c r="F152" s="180" t="e">
        <f t="shared" ca="1" si="2"/>
        <v>#DIV/0!</v>
      </c>
      <c r="H152" s="180" t="e">
        <f ca="1">D152+((1+'normal case'!M152/100)/('normal case'!D152/'normal case'!D151))*'external balance'!H151</f>
        <v>#DIV/0!</v>
      </c>
      <c r="I152" s="180"/>
    </row>
    <row r="153" spans="1:9">
      <c r="A153">
        <v>151</v>
      </c>
      <c r="B153" s="180" t="e">
        <f ca="1">('normal case'!AC153*($K$6*'normal case'!D153*('normal case'!AC153^'external balance'!$K$4)))/'normal case'!D153</f>
        <v>#DIV/0!</v>
      </c>
      <c r="C153" s="180" t="e">
        <f ca="1">($K$5*$K$7*((1+$K$8)^'normal case'!A152)*'normal case'!AC153^$K$3)/'normal case'!D153</f>
        <v>#DIV/0!</v>
      </c>
      <c r="D153" s="116" t="e">
        <f ca="1">(C153-B153)+((('main page'!$U$38/100)*'normal case'!$D$3)/'normal case'!$D$3)</f>
        <v>#DIV/0!</v>
      </c>
      <c r="E153" s="180" t="e">
        <f ca="1">((('normal case'!M153/100)*'external balance'!H152)/('normal case'!D153/'normal case'!D152))</f>
        <v>#DIV/0!</v>
      </c>
      <c r="F153" s="180" t="e">
        <f t="shared" ca="1" si="2"/>
        <v>#DIV/0!</v>
      </c>
      <c r="H153" s="180" t="e">
        <f ca="1">D153+((1+'normal case'!M153/100)/('normal case'!D153/'normal case'!D152))*'external balance'!H152</f>
        <v>#DIV/0!</v>
      </c>
      <c r="I153" s="180"/>
    </row>
    <row r="154" spans="1:9">
      <c r="A154">
        <v>152</v>
      </c>
      <c r="B154" s="180" t="e">
        <f ca="1">('normal case'!AC154*($K$6*'normal case'!D154*('normal case'!AC154^'external balance'!$K$4)))/'normal case'!D154</f>
        <v>#DIV/0!</v>
      </c>
      <c r="C154" s="180" t="e">
        <f ca="1">($K$5*$K$7*((1+$K$8)^'normal case'!A153)*'normal case'!AC154^$K$3)/'normal case'!D154</f>
        <v>#DIV/0!</v>
      </c>
      <c r="D154" s="116" t="e">
        <f ca="1">(C154-B154)+((('main page'!$U$38/100)*'normal case'!$D$3)/'normal case'!$D$3)</f>
        <v>#DIV/0!</v>
      </c>
      <c r="E154" s="180" t="e">
        <f ca="1">((('normal case'!M154/100)*'external balance'!H153)/('normal case'!D154/'normal case'!D153))</f>
        <v>#DIV/0!</v>
      </c>
      <c r="F154" s="180" t="e">
        <f t="shared" ca="1" si="2"/>
        <v>#DIV/0!</v>
      </c>
      <c r="H154" s="180" t="e">
        <f ca="1">D154+((1+'normal case'!M154/100)/('normal case'!D154/'normal case'!D153))*'external balance'!H153</f>
        <v>#DIV/0!</v>
      </c>
      <c r="I154" s="180"/>
    </row>
    <row r="155" spans="1:9">
      <c r="A155">
        <v>153</v>
      </c>
      <c r="B155" s="180" t="e">
        <f ca="1">('normal case'!AC155*($K$6*'normal case'!D155*('normal case'!AC155^'external balance'!$K$4)))/'normal case'!D155</f>
        <v>#DIV/0!</v>
      </c>
      <c r="C155" s="180" t="e">
        <f ca="1">($K$5*$K$7*((1+$K$8)^'normal case'!A154)*'normal case'!AC155^$K$3)/'normal case'!D155</f>
        <v>#DIV/0!</v>
      </c>
      <c r="D155" s="116" t="e">
        <f ca="1">(C155-B155)+((('main page'!$U$38/100)*'normal case'!$D$3)/'normal case'!$D$3)</f>
        <v>#DIV/0!</v>
      </c>
      <c r="E155" s="180" t="e">
        <f ca="1">((('normal case'!M155/100)*'external balance'!H154)/('normal case'!D155/'normal case'!D154))</f>
        <v>#DIV/0!</v>
      </c>
      <c r="F155" s="180" t="e">
        <f t="shared" ca="1" si="2"/>
        <v>#DIV/0!</v>
      </c>
      <c r="H155" s="180" t="e">
        <f ca="1">D155+((1+'normal case'!M155/100)/('normal case'!D155/'normal case'!D154))*'external balance'!H154</f>
        <v>#DIV/0!</v>
      </c>
      <c r="I155" s="180"/>
    </row>
    <row r="156" spans="1:9">
      <c r="A156">
        <v>154</v>
      </c>
      <c r="B156" s="180" t="e">
        <f ca="1">('normal case'!AC156*($K$6*'normal case'!D156*('normal case'!AC156^'external balance'!$K$4)))/'normal case'!D156</f>
        <v>#DIV/0!</v>
      </c>
      <c r="C156" s="180" t="e">
        <f ca="1">($K$5*$K$7*((1+$K$8)^'normal case'!A155)*'normal case'!AC156^$K$3)/'normal case'!D156</f>
        <v>#DIV/0!</v>
      </c>
      <c r="D156" s="116" t="e">
        <f ca="1">(C156-B156)+((('main page'!$U$38/100)*'normal case'!$D$3)/'normal case'!$D$3)</f>
        <v>#DIV/0!</v>
      </c>
      <c r="E156" s="180" t="e">
        <f ca="1">((('normal case'!M156/100)*'external balance'!H155)/('normal case'!D156/'normal case'!D155))</f>
        <v>#DIV/0!</v>
      </c>
      <c r="F156" s="180" t="e">
        <f t="shared" ca="1" si="2"/>
        <v>#DIV/0!</v>
      </c>
      <c r="H156" s="180" t="e">
        <f ca="1">D156+((1+'normal case'!M156/100)/('normal case'!D156/'normal case'!D155))*'external balance'!H155</f>
        <v>#DIV/0!</v>
      </c>
      <c r="I156" s="180"/>
    </row>
    <row r="157" spans="1:9">
      <c r="A157">
        <v>155</v>
      </c>
      <c r="B157" s="180" t="e">
        <f ca="1">('normal case'!AC157*($K$6*'normal case'!D157*('normal case'!AC157^'external balance'!$K$4)))/'normal case'!D157</f>
        <v>#DIV/0!</v>
      </c>
      <c r="C157" s="180" t="e">
        <f ca="1">($K$5*$K$7*((1+$K$8)^'normal case'!A156)*'normal case'!AC157^$K$3)/'normal case'!D157</f>
        <v>#DIV/0!</v>
      </c>
      <c r="D157" s="116" t="e">
        <f ca="1">(C157-B157)+((('main page'!$U$38/100)*'normal case'!$D$3)/'normal case'!$D$3)</f>
        <v>#DIV/0!</v>
      </c>
      <c r="E157" s="180" t="e">
        <f ca="1">((('normal case'!M157/100)*'external balance'!H156)/('normal case'!D157/'normal case'!D156))</f>
        <v>#DIV/0!</v>
      </c>
      <c r="F157" s="180" t="e">
        <f t="shared" ca="1" si="2"/>
        <v>#DIV/0!</v>
      </c>
      <c r="H157" s="180" t="e">
        <f ca="1">D157+((1+'normal case'!M157/100)/('normal case'!D157/'normal case'!D156))*'external balance'!H156</f>
        <v>#DIV/0!</v>
      </c>
      <c r="I157" s="180"/>
    </row>
    <row r="158" spans="1:9">
      <c r="A158">
        <v>156</v>
      </c>
      <c r="B158" s="180" t="e">
        <f ca="1">('normal case'!AC158*($K$6*'normal case'!D158*('normal case'!AC158^'external balance'!$K$4)))/'normal case'!D158</f>
        <v>#DIV/0!</v>
      </c>
      <c r="C158" s="180" t="e">
        <f ca="1">($K$5*$K$7*((1+$K$8)^'normal case'!A157)*'normal case'!AC158^$K$3)/'normal case'!D158</f>
        <v>#DIV/0!</v>
      </c>
      <c r="D158" s="116" t="e">
        <f ca="1">(C158-B158)+((('main page'!$U$38/100)*'normal case'!$D$3)/'normal case'!$D$3)</f>
        <v>#DIV/0!</v>
      </c>
      <c r="E158" s="180" t="e">
        <f ca="1">((('normal case'!M158/100)*'external balance'!H157)/('normal case'!D158/'normal case'!D157))</f>
        <v>#DIV/0!</v>
      </c>
      <c r="F158" s="180" t="e">
        <f t="shared" ca="1" si="2"/>
        <v>#DIV/0!</v>
      </c>
      <c r="H158" s="180" t="e">
        <f ca="1">D158+((1+'normal case'!M158/100)/('normal case'!D158/'normal case'!D157))*'external balance'!H157</f>
        <v>#DIV/0!</v>
      </c>
      <c r="I158" s="180"/>
    </row>
    <row r="159" spans="1:9">
      <c r="A159">
        <v>157</v>
      </c>
      <c r="B159" s="180" t="e">
        <f ca="1">('normal case'!AC159*($K$6*'normal case'!D159*('normal case'!AC159^'external balance'!$K$4)))/'normal case'!D159</f>
        <v>#DIV/0!</v>
      </c>
      <c r="C159" s="180" t="e">
        <f ca="1">($K$5*$K$7*((1+$K$8)^'normal case'!A158)*'normal case'!AC159^$K$3)/'normal case'!D159</f>
        <v>#DIV/0!</v>
      </c>
      <c r="D159" s="116" t="e">
        <f ca="1">(C159-B159)+((('main page'!$U$38/100)*'normal case'!$D$3)/'normal case'!$D$3)</f>
        <v>#DIV/0!</v>
      </c>
      <c r="E159" s="180" t="e">
        <f ca="1">((('normal case'!M159/100)*'external balance'!H158)/('normal case'!D159/'normal case'!D158))</f>
        <v>#DIV/0!</v>
      </c>
      <c r="F159" s="180" t="e">
        <f t="shared" ca="1" si="2"/>
        <v>#DIV/0!</v>
      </c>
      <c r="H159" s="180" t="e">
        <f ca="1">D159+((1+'normal case'!M159/100)/('normal case'!D159/'normal case'!D158))*'external balance'!H158</f>
        <v>#DIV/0!</v>
      </c>
      <c r="I159" s="180"/>
    </row>
    <row r="160" spans="1:9">
      <c r="A160">
        <v>158</v>
      </c>
      <c r="B160" s="180" t="e">
        <f ca="1">('normal case'!AC160*($K$6*'normal case'!D160*('normal case'!AC160^'external balance'!$K$4)))/'normal case'!D160</f>
        <v>#DIV/0!</v>
      </c>
      <c r="C160" s="180" t="e">
        <f ca="1">($K$5*$K$7*((1+$K$8)^'normal case'!A159)*'normal case'!AC160^$K$3)/'normal case'!D160</f>
        <v>#DIV/0!</v>
      </c>
      <c r="D160" s="116" t="e">
        <f ca="1">(C160-B160)+((('main page'!$U$38/100)*'normal case'!$D$3)/'normal case'!$D$3)</f>
        <v>#DIV/0!</v>
      </c>
      <c r="E160" s="180" t="e">
        <f ca="1">((('normal case'!M160/100)*'external balance'!H159)/('normal case'!D160/'normal case'!D159))</f>
        <v>#DIV/0!</v>
      </c>
      <c r="F160" s="180" t="e">
        <f t="shared" ca="1" si="2"/>
        <v>#DIV/0!</v>
      </c>
      <c r="H160" s="180" t="e">
        <f ca="1">D160+((1+'normal case'!M160/100)/('normal case'!D160/'normal case'!D159))*'external balance'!H159</f>
        <v>#DIV/0!</v>
      </c>
      <c r="I160" s="180"/>
    </row>
    <row r="161" spans="1:9">
      <c r="A161">
        <v>159</v>
      </c>
      <c r="B161" s="180" t="e">
        <f ca="1">('normal case'!AC161*($K$6*'normal case'!D161*('normal case'!AC161^'external balance'!$K$4)))/'normal case'!D161</f>
        <v>#DIV/0!</v>
      </c>
      <c r="C161" s="180" t="e">
        <f ca="1">($K$5*$K$7*((1+$K$8)^'normal case'!A160)*'normal case'!AC161^$K$3)/'normal case'!D161</f>
        <v>#DIV/0!</v>
      </c>
      <c r="D161" s="116" t="e">
        <f ca="1">(C161-B161)+((('main page'!$U$38/100)*'normal case'!$D$3)/'normal case'!$D$3)</f>
        <v>#DIV/0!</v>
      </c>
      <c r="E161" s="180" t="e">
        <f ca="1">((('normal case'!M161/100)*'external balance'!H160)/('normal case'!D161/'normal case'!D160))</f>
        <v>#DIV/0!</v>
      </c>
      <c r="F161" s="180" t="e">
        <f t="shared" ca="1" si="2"/>
        <v>#DIV/0!</v>
      </c>
      <c r="H161" s="180" t="e">
        <f ca="1">D161+((1+'normal case'!M161/100)/('normal case'!D161/'normal case'!D160))*'external balance'!H160</f>
        <v>#DIV/0!</v>
      </c>
      <c r="I161" s="180"/>
    </row>
    <row r="162" spans="1:9">
      <c r="A162">
        <v>160</v>
      </c>
      <c r="B162" s="180" t="e">
        <f ca="1">('normal case'!AC162*($K$6*'normal case'!D162*('normal case'!AC162^'external balance'!$K$4)))/'normal case'!D162</f>
        <v>#DIV/0!</v>
      </c>
      <c r="C162" s="180" t="e">
        <f ca="1">($K$5*$K$7*((1+$K$8)^'normal case'!A161)*'normal case'!AC162^$K$3)/'normal case'!D162</f>
        <v>#DIV/0!</v>
      </c>
      <c r="D162" s="116" t="e">
        <f ca="1">(C162-B162)+((('main page'!$U$38/100)*'normal case'!$D$3)/'normal case'!$D$3)</f>
        <v>#DIV/0!</v>
      </c>
      <c r="E162" s="180" t="e">
        <f ca="1">((('normal case'!M162/100)*'external balance'!H161)/('normal case'!D162/'normal case'!D161))</f>
        <v>#DIV/0!</v>
      </c>
      <c r="F162" s="180" t="e">
        <f t="shared" ca="1" si="2"/>
        <v>#DIV/0!</v>
      </c>
      <c r="H162" s="180" t="e">
        <f ca="1">D162+((1+'normal case'!M162/100)/('normal case'!D162/'normal case'!D161))*'external balance'!H161</f>
        <v>#DIV/0!</v>
      </c>
      <c r="I162" s="180"/>
    </row>
    <row r="163" spans="1:9">
      <c r="A163">
        <v>161</v>
      </c>
      <c r="B163" s="180" t="e">
        <f ca="1">('normal case'!AC163*($K$6*'normal case'!D163*('normal case'!AC163^'external balance'!$K$4)))/'normal case'!D163</f>
        <v>#DIV/0!</v>
      </c>
      <c r="C163" s="180" t="e">
        <f ca="1">($K$5*$K$7*((1+$K$8)^'normal case'!A162)*'normal case'!AC163^$K$3)/'normal case'!D163</f>
        <v>#DIV/0!</v>
      </c>
      <c r="D163" s="116" t="e">
        <f ca="1">(C163-B163)+((('main page'!$U$38/100)*'normal case'!$D$3)/'normal case'!$D$3)</f>
        <v>#DIV/0!</v>
      </c>
      <c r="E163" s="180" t="e">
        <f ca="1">((('normal case'!M163/100)*'external balance'!H162)/('normal case'!D163/'normal case'!D162))</f>
        <v>#DIV/0!</v>
      </c>
      <c r="F163" s="180" t="e">
        <f t="shared" ca="1" si="2"/>
        <v>#DIV/0!</v>
      </c>
      <c r="H163" s="180" t="e">
        <f ca="1">D163+((1+'normal case'!M163/100)/('normal case'!D163/'normal case'!D162))*'external balance'!H162</f>
        <v>#DIV/0!</v>
      </c>
      <c r="I163" s="180"/>
    </row>
    <row r="164" spans="1:9">
      <c r="A164">
        <v>162</v>
      </c>
      <c r="B164" s="180" t="e">
        <f ca="1">('normal case'!AC164*($K$6*'normal case'!D164*('normal case'!AC164^'external balance'!$K$4)))/'normal case'!D164</f>
        <v>#DIV/0!</v>
      </c>
      <c r="C164" s="180" t="e">
        <f ca="1">($K$5*$K$7*((1+$K$8)^'normal case'!A163)*'normal case'!AC164^$K$3)/'normal case'!D164</f>
        <v>#DIV/0!</v>
      </c>
      <c r="D164" s="116" t="e">
        <f ca="1">(C164-B164)+((('main page'!$U$38/100)*'normal case'!$D$3)/'normal case'!$D$3)</f>
        <v>#DIV/0!</v>
      </c>
      <c r="E164" s="180" t="e">
        <f ca="1">((('normal case'!M164/100)*'external balance'!H163)/('normal case'!D164/'normal case'!D163))</f>
        <v>#DIV/0!</v>
      </c>
      <c r="F164" s="180" t="e">
        <f t="shared" ca="1" si="2"/>
        <v>#DIV/0!</v>
      </c>
      <c r="H164" s="180" t="e">
        <f ca="1">D164+((1+'normal case'!M164/100)/('normal case'!D164/'normal case'!D163))*'external balance'!H163</f>
        <v>#DIV/0!</v>
      </c>
      <c r="I164" s="180"/>
    </row>
    <row r="165" spans="1:9">
      <c r="A165">
        <v>163</v>
      </c>
      <c r="B165" s="180" t="e">
        <f ca="1">('normal case'!AC165*($K$6*'normal case'!D165*('normal case'!AC165^'external balance'!$K$4)))/'normal case'!D165</f>
        <v>#DIV/0!</v>
      </c>
      <c r="C165" s="180" t="e">
        <f ca="1">($K$5*$K$7*((1+$K$8)^'normal case'!A164)*'normal case'!AC165^$K$3)/'normal case'!D165</f>
        <v>#DIV/0!</v>
      </c>
      <c r="D165" s="116" t="e">
        <f ca="1">(C165-B165)+((('main page'!$U$38/100)*'normal case'!$D$3)/'normal case'!$D$3)</f>
        <v>#DIV/0!</v>
      </c>
      <c r="E165" s="180" t="e">
        <f ca="1">((('normal case'!M165/100)*'external balance'!H164)/('normal case'!D165/'normal case'!D164))</f>
        <v>#DIV/0!</v>
      </c>
      <c r="F165" s="180" t="e">
        <f t="shared" ca="1" si="2"/>
        <v>#DIV/0!</v>
      </c>
      <c r="H165" s="180" t="e">
        <f ca="1">D165+((1+'normal case'!M165/100)/('normal case'!D165/'normal case'!D164))*'external balance'!H164</f>
        <v>#DIV/0!</v>
      </c>
      <c r="I165" s="180"/>
    </row>
    <row r="166" spans="1:9">
      <c r="A166">
        <v>164</v>
      </c>
      <c r="B166" s="180" t="e">
        <f ca="1">('normal case'!AC166*($K$6*'normal case'!D166*('normal case'!AC166^'external balance'!$K$4)))/'normal case'!D166</f>
        <v>#DIV/0!</v>
      </c>
      <c r="C166" s="180" t="e">
        <f ca="1">($K$5*$K$7*((1+$K$8)^'normal case'!A165)*'normal case'!AC166^$K$3)/'normal case'!D166</f>
        <v>#DIV/0!</v>
      </c>
      <c r="D166" s="116" t="e">
        <f ca="1">(C166-B166)+((('main page'!$U$38/100)*'normal case'!$D$3)/'normal case'!$D$3)</f>
        <v>#DIV/0!</v>
      </c>
      <c r="E166" s="180" t="e">
        <f ca="1">((('normal case'!M166/100)*'external balance'!H165)/('normal case'!D166/'normal case'!D165))</f>
        <v>#DIV/0!</v>
      </c>
      <c r="F166" s="180" t="e">
        <f t="shared" ca="1" si="2"/>
        <v>#DIV/0!</v>
      </c>
      <c r="H166" s="180" t="e">
        <f ca="1">D166+((1+'normal case'!M166/100)/('normal case'!D166/'normal case'!D165))*'external balance'!H165</f>
        <v>#DIV/0!</v>
      </c>
      <c r="I166" s="180"/>
    </row>
    <row r="167" spans="1:9">
      <c r="A167">
        <v>165</v>
      </c>
      <c r="B167" s="180" t="e">
        <f ca="1">('normal case'!AC167*($K$6*'normal case'!D167*('normal case'!AC167^'external balance'!$K$4)))/'normal case'!D167</f>
        <v>#DIV/0!</v>
      </c>
      <c r="C167" s="180" t="e">
        <f ca="1">($K$5*$K$7*((1+$K$8)^'normal case'!A166)*'normal case'!AC167^$K$3)/'normal case'!D167</f>
        <v>#DIV/0!</v>
      </c>
      <c r="D167" s="116" t="e">
        <f ca="1">(C167-B167)+((('main page'!$U$38/100)*'normal case'!$D$3)/'normal case'!$D$3)</f>
        <v>#DIV/0!</v>
      </c>
      <c r="E167" s="180" t="e">
        <f ca="1">((('normal case'!M167/100)*'external balance'!H166)/('normal case'!D167/'normal case'!D166))</f>
        <v>#DIV/0!</v>
      </c>
      <c r="F167" s="180" t="e">
        <f t="shared" ca="1" si="2"/>
        <v>#DIV/0!</v>
      </c>
      <c r="H167" s="180" t="e">
        <f ca="1">D167+((1+'normal case'!M167/100)/('normal case'!D167/'normal case'!D166))*'external balance'!H166</f>
        <v>#DIV/0!</v>
      </c>
      <c r="I167" s="180"/>
    </row>
    <row r="168" spans="1:9">
      <c r="A168">
        <v>166</v>
      </c>
      <c r="B168" s="180" t="e">
        <f ca="1">('normal case'!AC168*($K$6*'normal case'!D168*('normal case'!AC168^'external balance'!$K$4)))/'normal case'!D168</f>
        <v>#DIV/0!</v>
      </c>
      <c r="C168" s="180" t="e">
        <f ca="1">($K$5*$K$7*((1+$K$8)^'normal case'!A167)*'normal case'!AC168^$K$3)/'normal case'!D168</f>
        <v>#DIV/0!</v>
      </c>
      <c r="D168" s="116" t="e">
        <f ca="1">(C168-B168)+((('main page'!$U$38/100)*'normal case'!$D$3)/'normal case'!$D$3)</f>
        <v>#DIV/0!</v>
      </c>
      <c r="E168" s="180" t="e">
        <f ca="1">((('normal case'!M168/100)*'external balance'!H167)/('normal case'!D168/'normal case'!D167))</f>
        <v>#DIV/0!</v>
      </c>
      <c r="F168" s="180" t="e">
        <f t="shared" ca="1" si="2"/>
        <v>#DIV/0!</v>
      </c>
      <c r="H168" s="180" t="e">
        <f ca="1">D168+((1+'normal case'!M168/100)/('normal case'!D168/'normal case'!D167))*'external balance'!H167</f>
        <v>#DIV/0!</v>
      </c>
      <c r="I168" s="180"/>
    </row>
    <row r="169" spans="1:9">
      <c r="A169">
        <v>167</v>
      </c>
      <c r="B169" s="180" t="e">
        <f ca="1">('normal case'!AC169*($K$6*'normal case'!D169*('normal case'!AC169^'external balance'!$K$4)))/'normal case'!D169</f>
        <v>#DIV/0!</v>
      </c>
      <c r="C169" s="180" t="e">
        <f ca="1">($K$5*$K$7*((1+$K$8)^'normal case'!A168)*'normal case'!AC169^$K$3)/'normal case'!D169</f>
        <v>#DIV/0!</v>
      </c>
      <c r="D169" s="116" t="e">
        <f ca="1">(C169-B169)+((('main page'!$U$38/100)*'normal case'!$D$3)/'normal case'!$D$3)</f>
        <v>#DIV/0!</v>
      </c>
      <c r="E169" s="180" t="e">
        <f ca="1">((('normal case'!M169/100)*'external balance'!H168)/('normal case'!D169/'normal case'!D168))</f>
        <v>#DIV/0!</v>
      </c>
      <c r="F169" s="180" t="e">
        <f t="shared" ca="1" si="2"/>
        <v>#DIV/0!</v>
      </c>
      <c r="H169" s="180" t="e">
        <f ca="1">D169+((1+'normal case'!M169/100)/('normal case'!D169/'normal case'!D168))*'external balance'!H168</f>
        <v>#DIV/0!</v>
      </c>
      <c r="I169" s="180"/>
    </row>
    <row r="170" spans="1:9">
      <c r="A170">
        <v>168</v>
      </c>
      <c r="B170" s="180" t="e">
        <f ca="1">('normal case'!AC170*($K$6*'normal case'!D170*('normal case'!AC170^'external balance'!$K$4)))/'normal case'!D170</f>
        <v>#DIV/0!</v>
      </c>
      <c r="C170" s="180" t="e">
        <f ca="1">($K$5*$K$7*((1+$K$8)^'normal case'!A169)*'normal case'!AC170^$K$3)/'normal case'!D170</f>
        <v>#DIV/0!</v>
      </c>
      <c r="D170" s="116" t="e">
        <f ca="1">(C170-B170)+((('main page'!$U$38/100)*'normal case'!$D$3)/'normal case'!$D$3)</f>
        <v>#DIV/0!</v>
      </c>
      <c r="E170" s="180" t="e">
        <f ca="1">((('normal case'!M170/100)*'external balance'!H169)/('normal case'!D170/'normal case'!D169))</f>
        <v>#DIV/0!</v>
      </c>
      <c r="F170" s="180" t="e">
        <f t="shared" ca="1" si="2"/>
        <v>#DIV/0!</v>
      </c>
      <c r="H170" s="180" t="e">
        <f ca="1">D170+((1+'normal case'!M170/100)/('normal case'!D170/'normal case'!D169))*'external balance'!H169</f>
        <v>#DIV/0!</v>
      </c>
      <c r="I170" s="180"/>
    </row>
    <row r="171" spans="1:9">
      <c r="A171">
        <v>169</v>
      </c>
      <c r="B171" s="180" t="e">
        <f ca="1">('normal case'!AC171*($K$6*'normal case'!D171*('normal case'!AC171^'external balance'!$K$4)))/'normal case'!D171</f>
        <v>#DIV/0!</v>
      </c>
      <c r="C171" s="180" t="e">
        <f ca="1">($K$5*$K$7*((1+$K$8)^'normal case'!A170)*'normal case'!AC171^$K$3)/'normal case'!D171</f>
        <v>#DIV/0!</v>
      </c>
      <c r="D171" s="116" t="e">
        <f ca="1">(C171-B171)+((('main page'!$U$38/100)*'normal case'!$D$3)/'normal case'!$D$3)</f>
        <v>#DIV/0!</v>
      </c>
      <c r="E171" s="180" t="e">
        <f ca="1">((('normal case'!M171/100)*'external balance'!H170)/('normal case'!D171/'normal case'!D170))</f>
        <v>#DIV/0!</v>
      </c>
      <c r="F171" s="180" t="e">
        <f t="shared" ca="1" si="2"/>
        <v>#DIV/0!</v>
      </c>
      <c r="H171" s="180" t="e">
        <f ca="1">D171+((1+'normal case'!M171/100)/('normal case'!D171/'normal case'!D170))*'external balance'!H170</f>
        <v>#DIV/0!</v>
      </c>
      <c r="I171" s="180"/>
    </row>
    <row r="172" spans="1:9">
      <c r="A172">
        <v>170</v>
      </c>
      <c r="B172" s="180" t="e">
        <f ca="1">('normal case'!AC172*($K$6*'normal case'!D172*('normal case'!AC172^'external balance'!$K$4)))/'normal case'!D172</f>
        <v>#DIV/0!</v>
      </c>
      <c r="C172" s="180" t="e">
        <f ca="1">($K$5*$K$7*((1+$K$8)^'normal case'!A171)*'normal case'!AC172^$K$3)/'normal case'!D172</f>
        <v>#DIV/0!</v>
      </c>
      <c r="D172" s="116" t="e">
        <f ca="1">(C172-B172)+((('main page'!$U$38/100)*'normal case'!$D$3)/'normal case'!$D$3)</f>
        <v>#DIV/0!</v>
      </c>
      <c r="E172" s="180" t="e">
        <f ca="1">((('normal case'!M172/100)*'external balance'!H171)/('normal case'!D172/'normal case'!D171))</f>
        <v>#DIV/0!</v>
      </c>
      <c r="F172" s="180" t="e">
        <f t="shared" ca="1" si="2"/>
        <v>#DIV/0!</v>
      </c>
      <c r="H172" s="180" t="e">
        <f ca="1">D172+((1+'normal case'!M172/100)/('normal case'!D172/'normal case'!D171))*'external balance'!H171</f>
        <v>#DIV/0!</v>
      </c>
      <c r="I172" s="180"/>
    </row>
    <row r="173" spans="1:9">
      <c r="A173">
        <v>171</v>
      </c>
      <c r="B173" s="180" t="e">
        <f ca="1">('normal case'!AC173*($K$6*'normal case'!D173*('normal case'!AC173^'external balance'!$K$4)))/'normal case'!D173</f>
        <v>#DIV/0!</v>
      </c>
      <c r="C173" s="180" t="e">
        <f ca="1">($K$5*$K$7*((1+$K$8)^'normal case'!A172)*'normal case'!AC173^$K$3)/'normal case'!D173</f>
        <v>#DIV/0!</v>
      </c>
      <c r="D173" s="116" t="e">
        <f ca="1">(C173-B173)+((('main page'!$U$38/100)*'normal case'!$D$3)/'normal case'!$D$3)</f>
        <v>#DIV/0!</v>
      </c>
      <c r="E173" s="180" t="e">
        <f ca="1">((('normal case'!M173/100)*'external balance'!H172)/('normal case'!D173/'normal case'!D172))</f>
        <v>#DIV/0!</v>
      </c>
      <c r="F173" s="180" t="e">
        <f t="shared" ca="1" si="2"/>
        <v>#DIV/0!</v>
      </c>
      <c r="H173" s="180" t="e">
        <f ca="1">D173+((1+'normal case'!M173/100)/('normal case'!D173/'normal case'!D172))*'external balance'!H172</f>
        <v>#DIV/0!</v>
      </c>
      <c r="I173" s="180"/>
    </row>
    <row r="174" spans="1:9">
      <c r="A174">
        <v>172</v>
      </c>
      <c r="B174" s="180" t="e">
        <f ca="1">('normal case'!AC174*($K$6*'normal case'!D174*('normal case'!AC174^'external balance'!$K$4)))/'normal case'!D174</f>
        <v>#DIV/0!</v>
      </c>
      <c r="C174" s="180" t="e">
        <f ca="1">($K$5*$K$7*((1+$K$8)^'normal case'!A173)*'normal case'!AC174^$K$3)/'normal case'!D174</f>
        <v>#DIV/0!</v>
      </c>
      <c r="D174" s="116" t="e">
        <f ca="1">(C174-B174)+((('main page'!$U$38/100)*'normal case'!$D$3)/'normal case'!$D$3)</f>
        <v>#DIV/0!</v>
      </c>
      <c r="E174" s="180" t="e">
        <f ca="1">((('normal case'!M174/100)*'external balance'!H173)/('normal case'!D174/'normal case'!D173))</f>
        <v>#DIV/0!</v>
      </c>
      <c r="F174" s="180" t="e">
        <f t="shared" ca="1" si="2"/>
        <v>#DIV/0!</v>
      </c>
      <c r="H174" s="180" t="e">
        <f ca="1">D174+((1+'normal case'!M174/100)/('normal case'!D174/'normal case'!D173))*'external balance'!H173</f>
        <v>#DIV/0!</v>
      </c>
      <c r="I174" s="180"/>
    </row>
    <row r="175" spans="1:9">
      <c r="A175">
        <v>173</v>
      </c>
      <c r="B175" s="180" t="e">
        <f ca="1">('normal case'!AC175*($K$6*'normal case'!D175*('normal case'!AC175^'external balance'!$K$4)))/'normal case'!D175</f>
        <v>#DIV/0!</v>
      </c>
      <c r="C175" s="180" t="e">
        <f ca="1">($K$5*$K$7*((1+$K$8)^'normal case'!A174)*'normal case'!AC175^$K$3)/'normal case'!D175</f>
        <v>#DIV/0!</v>
      </c>
      <c r="D175" s="116" t="e">
        <f ca="1">(C175-B175)+((('main page'!$U$38/100)*'normal case'!$D$3)/'normal case'!$D$3)</f>
        <v>#DIV/0!</v>
      </c>
      <c r="E175" s="180" t="e">
        <f ca="1">((('normal case'!M175/100)*'external balance'!H174)/('normal case'!D175/'normal case'!D174))</f>
        <v>#DIV/0!</v>
      </c>
      <c r="F175" s="180" t="e">
        <f t="shared" ca="1" si="2"/>
        <v>#DIV/0!</v>
      </c>
      <c r="H175" s="180" t="e">
        <f ca="1">D175+((1+'normal case'!M175/100)/('normal case'!D175/'normal case'!D174))*'external balance'!H174</f>
        <v>#DIV/0!</v>
      </c>
      <c r="I175" s="180"/>
    </row>
    <row r="176" spans="1:9">
      <c r="A176">
        <v>174</v>
      </c>
      <c r="B176" s="180" t="e">
        <f ca="1">('normal case'!AC176*($K$6*'normal case'!D176*('normal case'!AC176^'external balance'!$K$4)))/'normal case'!D176</f>
        <v>#DIV/0!</v>
      </c>
      <c r="C176" s="180" t="e">
        <f ca="1">($K$5*$K$7*((1+$K$8)^'normal case'!A175)*'normal case'!AC176^$K$3)/'normal case'!D176</f>
        <v>#DIV/0!</v>
      </c>
      <c r="D176" s="116" t="e">
        <f ca="1">(C176-B176)+((('main page'!$U$38/100)*'normal case'!$D$3)/'normal case'!$D$3)</f>
        <v>#DIV/0!</v>
      </c>
      <c r="E176" s="180" t="e">
        <f ca="1">((('normal case'!M176/100)*'external balance'!H175)/('normal case'!D176/'normal case'!D175))</f>
        <v>#DIV/0!</v>
      </c>
      <c r="F176" s="180" t="e">
        <f t="shared" ca="1" si="2"/>
        <v>#DIV/0!</v>
      </c>
      <c r="H176" s="180" t="e">
        <f ca="1">D176+((1+'normal case'!M176/100)/('normal case'!D176/'normal case'!D175))*'external balance'!H175</f>
        <v>#DIV/0!</v>
      </c>
      <c r="I176" s="180"/>
    </row>
    <row r="177" spans="1:9">
      <c r="A177">
        <v>175</v>
      </c>
      <c r="B177" s="180" t="e">
        <f ca="1">('normal case'!AC177*($K$6*'normal case'!D177*('normal case'!AC177^'external balance'!$K$4)))/'normal case'!D177</f>
        <v>#DIV/0!</v>
      </c>
      <c r="C177" s="180" t="e">
        <f ca="1">($K$5*$K$7*((1+$K$8)^'normal case'!A176)*'normal case'!AC177^$K$3)/'normal case'!D177</f>
        <v>#DIV/0!</v>
      </c>
      <c r="D177" s="116" t="e">
        <f ca="1">(C177-B177)+((('main page'!$U$38/100)*'normal case'!$D$3)/'normal case'!$D$3)</f>
        <v>#DIV/0!</v>
      </c>
      <c r="E177" s="180" t="e">
        <f ca="1">((('normal case'!M177/100)*'external balance'!H176)/('normal case'!D177/'normal case'!D176))</f>
        <v>#DIV/0!</v>
      </c>
      <c r="F177" s="180" t="e">
        <f t="shared" ca="1" si="2"/>
        <v>#DIV/0!</v>
      </c>
      <c r="H177" s="180" t="e">
        <f ca="1">D177+((1+'normal case'!M177/100)/('normal case'!D177/'normal case'!D176))*'external balance'!H176</f>
        <v>#DIV/0!</v>
      </c>
      <c r="I177" s="180"/>
    </row>
    <row r="178" spans="1:9">
      <c r="A178">
        <v>176</v>
      </c>
      <c r="B178" s="180" t="e">
        <f ca="1">('normal case'!AC178*($K$6*'normal case'!D178*('normal case'!AC178^'external balance'!$K$4)))/'normal case'!D178</f>
        <v>#DIV/0!</v>
      </c>
      <c r="C178" s="180" t="e">
        <f ca="1">($K$5*$K$7*((1+$K$8)^'normal case'!A177)*'normal case'!AC178^$K$3)/'normal case'!D178</f>
        <v>#DIV/0!</v>
      </c>
      <c r="D178" s="116" t="e">
        <f ca="1">(C178-B178)+((('main page'!$U$38/100)*'normal case'!$D$3)/'normal case'!$D$3)</f>
        <v>#DIV/0!</v>
      </c>
      <c r="E178" s="180" t="e">
        <f ca="1">((('normal case'!M178/100)*'external balance'!H177)/('normal case'!D178/'normal case'!D177))</f>
        <v>#DIV/0!</v>
      </c>
      <c r="F178" s="180" t="e">
        <f t="shared" ca="1" si="2"/>
        <v>#DIV/0!</v>
      </c>
      <c r="H178" s="180" t="e">
        <f ca="1">D178+((1+'normal case'!M178/100)/('normal case'!D178/'normal case'!D177))*'external balance'!H177</f>
        <v>#DIV/0!</v>
      </c>
      <c r="I178" s="180"/>
    </row>
    <row r="179" spans="1:9">
      <c r="A179">
        <v>177</v>
      </c>
      <c r="B179" s="180" t="e">
        <f ca="1">('normal case'!AC179*($K$6*'normal case'!D179*('normal case'!AC179^'external balance'!$K$4)))/'normal case'!D179</f>
        <v>#DIV/0!</v>
      </c>
      <c r="C179" s="180" t="e">
        <f ca="1">($K$5*$K$7*((1+$K$8)^'normal case'!A178)*'normal case'!AC179^$K$3)/'normal case'!D179</f>
        <v>#DIV/0!</v>
      </c>
      <c r="D179" s="116" t="e">
        <f ca="1">(C179-B179)+((('main page'!$U$38/100)*'normal case'!$D$3)/'normal case'!$D$3)</f>
        <v>#DIV/0!</v>
      </c>
      <c r="E179" s="180" t="e">
        <f ca="1">((('normal case'!M179/100)*'external balance'!H178)/('normal case'!D179/'normal case'!D178))</f>
        <v>#DIV/0!</v>
      </c>
      <c r="F179" s="180" t="e">
        <f t="shared" ca="1" si="2"/>
        <v>#DIV/0!</v>
      </c>
      <c r="H179" s="180" t="e">
        <f ca="1">D179+((1+'normal case'!M179/100)/('normal case'!D179/'normal case'!D178))*'external balance'!H178</f>
        <v>#DIV/0!</v>
      </c>
      <c r="I179" s="180"/>
    </row>
    <row r="180" spans="1:9">
      <c r="A180">
        <v>178</v>
      </c>
      <c r="B180" s="180" t="e">
        <f ca="1">('normal case'!AC180*($K$6*'normal case'!D180*('normal case'!AC180^'external balance'!$K$4)))/'normal case'!D180</f>
        <v>#DIV/0!</v>
      </c>
      <c r="C180" s="180" t="e">
        <f ca="1">($K$5*$K$7*((1+$K$8)^'normal case'!A179)*'normal case'!AC180^$K$3)/'normal case'!D180</f>
        <v>#DIV/0!</v>
      </c>
      <c r="D180" s="116" t="e">
        <f ca="1">(C180-B180)+((('main page'!$U$38/100)*'normal case'!$D$3)/'normal case'!$D$3)</f>
        <v>#DIV/0!</v>
      </c>
      <c r="E180" s="180" t="e">
        <f ca="1">((('normal case'!M180/100)*'external balance'!H179)/('normal case'!D180/'normal case'!D179))</f>
        <v>#DIV/0!</v>
      </c>
      <c r="F180" s="180" t="e">
        <f t="shared" ca="1" si="2"/>
        <v>#DIV/0!</v>
      </c>
      <c r="H180" s="180" t="e">
        <f ca="1">D180+((1+'normal case'!M180/100)/('normal case'!D180/'normal case'!D179))*'external balance'!H179</f>
        <v>#DIV/0!</v>
      </c>
      <c r="I180" s="180"/>
    </row>
    <row r="181" spans="1:9">
      <c r="A181">
        <v>179</v>
      </c>
      <c r="B181" s="180" t="e">
        <f ca="1">('normal case'!AC181*($K$6*'normal case'!D181*('normal case'!AC181^'external balance'!$K$4)))/'normal case'!D181</f>
        <v>#DIV/0!</v>
      </c>
      <c r="C181" s="180" t="e">
        <f ca="1">($K$5*$K$7*((1+$K$8)^'normal case'!A180)*'normal case'!AC181^$K$3)/'normal case'!D181</f>
        <v>#DIV/0!</v>
      </c>
      <c r="D181" s="116" t="e">
        <f ca="1">(C181-B181)+((('main page'!$U$38/100)*'normal case'!$D$3)/'normal case'!$D$3)</f>
        <v>#DIV/0!</v>
      </c>
      <c r="E181" s="180" t="e">
        <f ca="1">((('normal case'!M181/100)*'external balance'!H180)/('normal case'!D181/'normal case'!D180))</f>
        <v>#DIV/0!</v>
      </c>
      <c r="F181" s="180" t="e">
        <f t="shared" ca="1" si="2"/>
        <v>#DIV/0!</v>
      </c>
      <c r="H181" s="180" t="e">
        <f ca="1">D181+((1+'normal case'!M181/100)/('normal case'!D181/'normal case'!D180))*'external balance'!H180</f>
        <v>#DIV/0!</v>
      </c>
      <c r="I181" s="180"/>
    </row>
    <row r="182" spans="1:9">
      <c r="A182">
        <v>180</v>
      </c>
      <c r="B182" s="180" t="e">
        <f ca="1">('normal case'!AC182*($K$6*'normal case'!D182*('normal case'!AC182^'external balance'!$K$4)))/'normal case'!D182</f>
        <v>#DIV/0!</v>
      </c>
      <c r="C182" s="180" t="e">
        <f ca="1">($K$5*$K$7*((1+$K$8)^'normal case'!A181)*'normal case'!AC182^$K$3)/'normal case'!D182</f>
        <v>#DIV/0!</v>
      </c>
      <c r="D182" s="116" t="e">
        <f ca="1">(C182-B182)+((('main page'!$U$38/100)*'normal case'!$D$3)/'normal case'!$D$3)</f>
        <v>#DIV/0!</v>
      </c>
      <c r="E182" s="180" t="e">
        <f ca="1">((('normal case'!M182/100)*'external balance'!H181)/('normal case'!D182/'normal case'!D181))</f>
        <v>#DIV/0!</v>
      </c>
      <c r="F182" s="180" t="e">
        <f t="shared" ca="1" si="2"/>
        <v>#DIV/0!</v>
      </c>
      <c r="H182" s="180" t="e">
        <f ca="1">D182+((1+'normal case'!M182/100)/('normal case'!D182/'normal case'!D181))*'external balance'!H181</f>
        <v>#DIV/0!</v>
      </c>
      <c r="I182" s="180"/>
    </row>
    <row r="183" spans="1:9">
      <c r="A183">
        <v>181</v>
      </c>
      <c r="B183" s="180" t="e">
        <f ca="1">('normal case'!AC183*($K$6*'normal case'!D183*('normal case'!AC183^'external balance'!$K$4)))/'normal case'!D183</f>
        <v>#DIV/0!</v>
      </c>
      <c r="C183" s="180" t="e">
        <f ca="1">($K$5*$K$7*((1+$K$8)^'normal case'!A182)*'normal case'!AC183^$K$3)/'normal case'!D183</f>
        <v>#DIV/0!</v>
      </c>
      <c r="D183" s="116" t="e">
        <f ca="1">(C183-B183)+((('main page'!$U$38/100)*'normal case'!$D$3)/'normal case'!$D$3)</f>
        <v>#DIV/0!</v>
      </c>
      <c r="E183" s="180" t="e">
        <f ca="1">((('normal case'!M183/100)*'external balance'!H182)/('normal case'!D183/'normal case'!D182))</f>
        <v>#DIV/0!</v>
      </c>
      <c r="F183" s="180" t="e">
        <f t="shared" ca="1" si="2"/>
        <v>#DIV/0!</v>
      </c>
      <c r="H183" s="180" t="e">
        <f ca="1">D183+((1+'normal case'!M183/100)/('normal case'!D183/'normal case'!D182))*'external balance'!H182</f>
        <v>#DIV/0!</v>
      </c>
      <c r="I183" s="180"/>
    </row>
    <row r="184" spans="1:9">
      <c r="A184">
        <v>182</v>
      </c>
      <c r="B184" s="180" t="e">
        <f ca="1">('normal case'!AC184*($K$6*'normal case'!D184*('normal case'!AC184^'external balance'!$K$4)))/'normal case'!D184</f>
        <v>#DIV/0!</v>
      </c>
      <c r="C184" s="180" t="e">
        <f ca="1">($K$5*$K$7*((1+$K$8)^'normal case'!A183)*'normal case'!AC184^$K$3)/'normal case'!D184</f>
        <v>#DIV/0!</v>
      </c>
      <c r="D184" s="116" t="e">
        <f ca="1">(C184-B184)+((('main page'!$U$38/100)*'normal case'!$D$3)/'normal case'!$D$3)</f>
        <v>#DIV/0!</v>
      </c>
      <c r="E184" s="180" t="e">
        <f ca="1">((('normal case'!M184/100)*'external balance'!H183)/('normal case'!D184/'normal case'!D183))</f>
        <v>#DIV/0!</v>
      </c>
      <c r="F184" s="180" t="e">
        <f t="shared" ca="1" si="2"/>
        <v>#DIV/0!</v>
      </c>
      <c r="H184" s="180" t="e">
        <f ca="1">D184+((1+'normal case'!M184/100)/('normal case'!D184/'normal case'!D183))*'external balance'!H183</f>
        <v>#DIV/0!</v>
      </c>
      <c r="I184" s="180"/>
    </row>
    <row r="185" spans="1:9">
      <c r="A185">
        <v>183</v>
      </c>
      <c r="B185" s="180" t="e">
        <f ca="1">('normal case'!AC185*($K$6*'normal case'!D185*('normal case'!AC185^'external balance'!$K$4)))/'normal case'!D185</f>
        <v>#DIV/0!</v>
      </c>
      <c r="C185" s="180" t="e">
        <f ca="1">($K$5*$K$7*((1+$K$8)^'normal case'!A184)*'normal case'!AC185^$K$3)/'normal case'!D185</f>
        <v>#DIV/0!</v>
      </c>
      <c r="D185" s="116" t="e">
        <f ca="1">(C185-B185)+((('main page'!$U$38/100)*'normal case'!$D$3)/'normal case'!$D$3)</f>
        <v>#DIV/0!</v>
      </c>
      <c r="E185" s="180" t="e">
        <f ca="1">((('normal case'!M185/100)*'external balance'!H184)/('normal case'!D185/'normal case'!D184))</f>
        <v>#DIV/0!</v>
      </c>
      <c r="F185" s="180" t="e">
        <f t="shared" ca="1" si="2"/>
        <v>#DIV/0!</v>
      </c>
      <c r="H185" s="180" t="e">
        <f ca="1">D185+((1+'normal case'!M185/100)/('normal case'!D185/'normal case'!D184))*'external balance'!H184</f>
        <v>#DIV/0!</v>
      </c>
      <c r="I185" s="180"/>
    </row>
    <row r="186" spans="1:9">
      <c r="A186">
        <v>184</v>
      </c>
      <c r="B186" s="180" t="e">
        <f ca="1">('normal case'!AC186*($K$6*'normal case'!D186*('normal case'!AC186^'external balance'!$K$4)))/'normal case'!D186</f>
        <v>#DIV/0!</v>
      </c>
      <c r="C186" s="180" t="e">
        <f ca="1">($K$5*$K$7*((1+$K$8)^'normal case'!A185)*'normal case'!AC186^$K$3)/'normal case'!D186</f>
        <v>#DIV/0!</v>
      </c>
      <c r="D186" s="116" t="e">
        <f ca="1">(C186-B186)+((('main page'!$U$38/100)*'normal case'!$D$3)/'normal case'!$D$3)</f>
        <v>#DIV/0!</v>
      </c>
      <c r="E186" s="180" t="e">
        <f ca="1">((('normal case'!M186/100)*'external balance'!H185)/('normal case'!D186/'normal case'!D185))</f>
        <v>#DIV/0!</v>
      </c>
      <c r="F186" s="180" t="e">
        <f t="shared" ca="1" si="2"/>
        <v>#DIV/0!</v>
      </c>
      <c r="H186" s="180" t="e">
        <f ca="1">D186+((1+'normal case'!M186/100)/('normal case'!D186/'normal case'!D185))*'external balance'!H185</f>
        <v>#DIV/0!</v>
      </c>
      <c r="I186" s="180"/>
    </row>
    <row r="187" spans="1:9">
      <c r="A187">
        <v>185</v>
      </c>
      <c r="B187" s="180" t="e">
        <f ca="1">('normal case'!AC187*($K$6*'normal case'!D187*('normal case'!AC187^'external balance'!$K$4)))/'normal case'!D187</f>
        <v>#DIV/0!</v>
      </c>
      <c r="C187" s="180" t="e">
        <f ca="1">($K$5*$K$7*((1+$K$8)^'normal case'!A186)*'normal case'!AC187^$K$3)/'normal case'!D187</f>
        <v>#DIV/0!</v>
      </c>
      <c r="D187" s="116" t="e">
        <f ca="1">(C187-B187)+((('main page'!$U$38/100)*'normal case'!$D$3)/'normal case'!$D$3)</f>
        <v>#DIV/0!</v>
      </c>
      <c r="E187" s="180" t="e">
        <f ca="1">((('normal case'!M187/100)*'external balance'!H186)/('normal case'!D187/'normal case'!D186))</f>
        <v>#DIV/0!</v>
      </c>
      <c r="F187" s="180" t="e">
        <f t="shared" ca="1" si="2"/>
        <v>#DIV/0!</v>
      </c>
      <c r="H187" s="180" t="e">
        <f ca="1">D187+((1+'normal case'!M187/100)/('normal case'!D187/'normal case'!D186))*'external balance'!H186</f>
        <v>#DIV/0!</v>
      </c>
      <c r="I187" s="180"/>
    </row>
    <row r="188" spans="1:9">
      <c r="A188">
        <v>186</v>
      </c>
      <c r="B188" s="180" t="e">
        <f ca="1">('normal case'!AC188*($K$6*'normal case'!D188*('normal case'!AC188^'external balance'!$K$4)))/'normal case'!D188</f>
        <v>#DIV/0!</v>
      </c>
      <c r="C188" s="180" t="e">
        <f ca="1">($K$5*$K$7*((1+$K$8)^'normal case'!A187)*'normal case'!AC188^$K$3)/'normal case'!D188</f>
        <v>#DIV/0!</v>
      </c>
      <c r="D188" s="116" t="e">
        <f ca="1">(C188-B188)+((('main page'!$U$38/100)*'normal case'!$D$3)/'normal case'!$D$3)</f>
        <v>#DIV/0!</v>
      </c>
      <c r="E188" s="180" t="e">
        <f ca="1">((('normal case'!M188/100)*'external balance'!H187)/('normal case'!D188/'normal case'!D187))</f>
        <v>#DIV/0!</v>
      </c>
      <c r="F188" s="180" t="e">
        <f t="shared" ca="1" si="2"/>
        <v>#DIV/0!</v>
      </c>
      <c r="H188" s="180" t="e">
        <f ca="1">D188+((1+'normal case'!M188/100)/('normal case'!D188/'normal case'!D187))*'external balance'!H187</f>
        <v>#DIV/0!</v>
      </c>
      <c r="I188" s="180"/>
    </row>
    <row r="189" spans="1:9">
      <c r="A189">
        <v>187</v>
      </c>
      <c r="B189" s="180" t="e">
        <f ca="1">('normal case'!AC189*($K$6*'normal case'!D189*('normal case'!AC189^'external balance'!$K$4)))/'normal case'!D189</f>
        <v>#DIV/0!</v>
      </c>
      <c r="C189" s="180" t="e">
        <f ca="1">($K$5*$K$7*((1+$K$8)^'normal case'!A188)*'normal case'!AC189^$K$3)/'normal case'!D189</f>
        <v>#DIV/0!</v>
      </c>
      <c r="D189" s="116" t="e">
        <f ca="1">(C189-B189)+((('main page'!$U$38/100)*'normal case'!$D$3)/'normal case'!$D$3)</f>
        <v>#DIV/0!</v>
      </c>
      <c r="E189" s="180" t="e">
        <f ca="1">((('normal case'!M189/100)*'external balance'!H188)/('normal case'!D189/'normal case'!D188))</f>
        <v>#DIV/0!</v>
      </c>
      <c r="F189" s="180" t="e">
        <f t="shared" ca="1" si="2"/>
        <v>#DIV/0!</v>
      </c>
      <c r="H189" s="180" t="e">
        <f ca="1">D189+((1+'normal case'!M189/100)/('normal case'!D189/'normal case'!D188))*'external balance'!H188</f>
        <v>#DIV/0!</v>
      </c>
      <c r="I189" s="180"/>
    </row>
    <row r="190" spans="1:9">
      <c r="A190">
        <v>188</v>
      </c>
      <c r="B190" s="180" t="e">
        <f ca="1">('normal case'!AC190*($K$6*'normal case'!D190*('normal case'!AC190^'external balance'!$K$4)))/'normal case'!D190</f>
        <v>#DIV/0!</v>
      </c>
      <c r="C190" s="180" t="e">
        <f ca="1">($K$5*$K$7*((1+$K$8)^'normal case'!A189)*'normal case'!AC190^$K$3)/'normal case'!D190</f>
        <v>#DIV/0!</v>
      </c>
      <c r="D190" s="116" t="e">
        <f ca="1">(C190-B190)+((('main page'!$U$38/100)*'normal case'!$D$3)/'normal case'!$D$3)</f>
        <v>#DIV/0!</v>
      </c>
      <c r="E190" s="180" t="e">
        <f ca="1">((('normal case'!M190/100)*'external balance'!H189)/('normal case'!D190/'normal case'!D189))</f>
        <v>#DIV/0!</v>
      </c>
      <c r="F190" s="180" t="e">
        <f t="shared" ca="1" si="2"/>
        <v>#DIV/0!</v>
      </c>
      <c r="H190" s="180" t="e">
        <f ca="1">D190+((1+'normal case'!M190/100)/('normal case'!D190/'normal case'!D189))*'external balance'!H189</f>
        <v>#DIV/0!</v>
      </c>
      <c r="I190" s="180"/>
    </row>
    <row r="191" spans="1:9">
      <c r="A191">
        <v>189</v>
      </c>
      <c r="B191" s="180" t="e">
        <f ca="1">('normal case'!AC191*($K$6*'normal case'!D191*('normal case'!AC191^'external balance'!$K$4)))/'normal case'!D191</f>
        <v>#DIV/0!</v>
      </c>
      <c r="C191" s="180" t="e">
        <f ca="1">($K$5*$K$7*((1+$K$8)^'normal case'!A190)*'normal case'!AC191^$K$3)/'normal case'!D191</f>
        <v>#DIV/0!</v>
      </c>
      <c r="D191" s="116" t="e">
        <f ca="1">(C191-B191)+((('main page'!$U$38/100)*'normal case'!$D$3)/'normal case'!$D$3)</f>
        <v>#DIV/0!</v>
      </c>
      <c r="E191" s="180" t="e">
        <f ca="1">((('normal case'!M191/100)*'external balance'!H190)/('normal case'!D191/'normal case'!D190))</f>
        <v>#DIV/0!</v>
      </c>
      <c r="F191" s="180" t="e">
        <f t="shared" ca="1" si="2"/>
        <v>#DIV/0!</v>
      </c>
      <c r="H191" s="180" t="e">
        <f ca="1">D191+((1+'normal case'!M191/100)/('normal case'!D191/'normal case'!D190))*'external balance'!H190</f>
        <v>#DIV/0!</v>
      </c>
      <c r="I191" s="180"/>
    </row>
    <row r="192" spans="1:9">
      <c r="A192">
        <v>190</v>
      </c>
      <c r="B192" s="180" t="e">
        <f ca="1">('normal case'!AC192*($K$6*'normal case'!D192*('normal case'!AC192^'external balance'!$K$4)))/'normal case'!D192</f>
        <v>#DIV/0!</v>
      </c>
      <c r="C192" s="180" t="e">
        <f ca="1">($K$5*$K$7*((1+$K$8)^'normal case'!A191)*'normal case'!AC192^$K$3)/'normal case'!D192</f>
        <v>#DIV/0!</v>
      </c>
      <c r="D192" s="116" t="e">
        <f ca="1">(C192-B192)+((('main page'!$U$38/100)*'normal case'!$D$3)/'normal case'!$D$3)</f>
        <v>#DIV/0!</v>
      </c>
      <c r="E192" s="180" t="e">
        <f ca="1">((('normal case'!M192/100)*'external balance'!H191)/('normal case'!D192/'normal case'!D191))</f>
        <v>#DIV/0!</v>
      </c>
      <c r="F192" s="180" t="e">
        <f t="shared" ca="1" si="2"/>
        <v>#DIV/0!</v>
      </c>
      <c r="H192" s="180" t="e">
        <f ca="1">D192+((1+'normal case'!M192/100)/('normal case'!D192/'normal case'!D191))*'external balance'!H191</f>
        <v>#DIV/0!</v>
      </c>
      <c r="I192" s="180"/>
    </row>
    <row r="193" spans="1:9">
      <c r="A193">
        <v>191</v>
      </c>
      <c r="B193" s="180" t="e">
        <f ca="1">('normal case'!AC193*($K$6*'normal case'!D193*('normal case'!AC193^'external balance'!$K$4)))/'normal case'!D193</f>
        <v>#DIV/0!</v>
      </c>
      <c r="C193" s="180" t="e">
        <f ca="1">($K$5*$K$7*((1+$K$8)^'normal case'!A192)*'normal case'!AC193^$K$3)/'normal case'!D193</f>
        <v>#DIV/0!</v>
      </c>
      <c r="D193" s="116" t="e">
        <f ca="1">(C193-B193)+((('main page'!$U$38/100)*'normal case'!$D$3)/'normal case'!$D$3)</f>
        <v>#DIV/0!</v>
      </c>
      <c r="E193" s="180" t="e">
        <f ca="1">((('normal case'!M193/100)*'external balance'!H192)/('normal case'!D193/'normal case'!D192))</f>
        <v>#DIV/0!</v>
      </c>
      <c r="F193" s="180" t="e">
        <f t="shared" ca="1" si="2"/>
        <v>#DIV/0!</v>
      </c>
      <c r="H193" s="180" t="e">
        <f ca="1">D193+((1+'normal case'!M193/100)/('normal case'!D193/'normal case'!D192))*'external balance'!H192</f>
        <v>#DIV/0!</v>
      </c>
      <c r="I193" s="180"/>
    </row>
    <row r="194" spans="1:9">
      <c r="A194">
        <v>192</v>
      </c>
      <c r="B194" s="180" t="e">
        <f ca="1">('normal case'!AC194*($K$6*'normal case'!D194*('normal case'!AC194^'external balance'!$K$4)))/'normal case'!D194</f>
        <v>#DIV/0!</v>
      </c>
      <c r="C194" s="180" t="e">
        <f ca="1">($K$5*$K$7*((1+$K$8)^'normal case'!A193)*'normal case'!AC194^$K$3)/'normal case'!D194</f>
        <v>#DIV/0!</v>
      </c>
      <c r="D194" s="116" t="e">
        <f ca="1">(C194-B194)+((('main page'!$U$38/100)*'normal case'!$D$3)/'normal case'!$D$3)</f>
        <v>#DIV/0!</v>
      </c>
      <c r="E194" s="180" t="e">
        <f ca="1">((('normal case'!M194/100)*'external balance'!H193)/('normal case'!D194/'normal case'!D193))</f>
        <v>#DIV/0!</v>
      </c>
      <c r="F194" s="180" t="e">
        <f t="shared" ca="1" si="2"/>
        <v>#DIV/0!</v>
      </c>
      <c r="H194" s="180" t="e">
        <f ca="1">D194+((1+'normal case'!M194/100)/('normal case'!D194/'normal case'!D193))*'external balance'!H193</f>
        <v>#DIV/0!</v>
      </c>
      <c r="I194" s="180"/>
    </row>
    <row r="195" spans="1:9">
      <c r="A195">
        <v>193</v>
      </c>
      <c r="B195" s="180" t="e">
        <f ca="1">('normal case'!AC195*($K$6*'normal case'!D195*('normal case'!AC195^'external balance'!$K$4)))/'normal case'!D195</f>
        <v>#DIV/0!</v>
      </c>
      <c r="C195" s="180" t="e">
        <f ca="1">($K$5*$K$7*((1+$K$8)^'normal case'!A194)*'normal case'!AC195^$K$3)/'normal case'!D195</f>
        <v>#DIV/0!</v>
      </c>
      <c r="D195" s="116" t="e">
        <f ca="1">(C195-B195)+((('main page'!$U$38/100)*'normal case'!$D$3)/'normal case'!$D$3)</f>
        <v>#DIV/0!</v>
      </c>
      <c r="E195" s="180" t="e">
        <f ca="1">((('normal case'!M195/100)*'external balance'!H194)/('normal case'!D195/'normal case'!D194))</f>
        <v>#DIV/0!</v>
      </c>
      <c r="F195" s="180" t="e">
        <f t="shared" ca="1" si="2"/>
        <v>#DIV/0!</v>
      </c>
      <c r="H195" s="180" t="e">
        <f ca="1">D195+((1+'normal case'!M195/100)/('normal case'!D195/'normal case'!D194))*'external balance'!H194</f>
        <v>#DIV/0!</v>
      </c>
      <c r="I195" s="180"/>
    </row>
    <row r="196" spans="1:9">
      <c r="A196">
        <v>194</v>
      </c>
      <c r="B196" s="180" t="e">
        <f ca="1">('normal case'!AC196*($K$6*'normal case'!D196*('normal case'!AC196^'external balance'!$K$4)))/'normal case'!D196</f>
        <v>#DIV/0!</v>
      </c>
      <c r="C196" s="180" t="e">
        <f ca="1">($K$5*$K$7*((1+$K$8)^'normal case'!A195)*'normal case'!AC196^$K$3)/'normal case'!D196</f>
        <v>#DIV/0!</v>
      </c>
      <c r="D196" s="116" t="e">
        <f ca="1">(C196-B196)+((('main page'!$U$38/100)*'normal case'!$D$3)/'normal case'!$D$3)</f>
        <v>#DIV/0!</v>
      </c>
      <c r="E196" s="180" t="e">
        <f ca="1">((('normal case'!M196/100)*'external balance'!H195)/('normal case'!D196/'normal case'!D195))</f>
        <v>#DIV/0!</v>
      </c>
      <c r="F196" s="180" t="e">
        <f t="shared" ca="1" si="2"/>
        <v>#DIV/0!</v>
      </c>
      <c r="H196" s="180" t="e">
        <f ca="1">D196+((1+'normal case'!M196/100)/('normal case'!D196/'normal case'!D195))*'external balance'!H195</f>
        <v>#DIV/0!</v>
      </c>
      <c r="I196" s="180"/>
    </row>
    <row r="197" spans="1:9">
      <c r="A197">
        <v>195</v>
      </c>
      <c r="B197" s="180" t="e">
        <f ca="1">('normal case'!AC197*($K$6*'normal case'!D197*('normal case'!AC197^'external balance'!$K$4)))/'normal case'!D197</f>
        <v>#DIV/0!</v>
      </c>
      <c r="C197" s="180" t="e">
        <f ca="1">($K$5*$K$7*((1+$K$8)^'normal case'!A196)*'normal case'!AC197^$K$3)/'normal case'!D197</f>
        <v>#DIV/0!</v>
      </c>
      <c r="D197" s="116" t="e">
        <f ca="1">(C197-B197)+((('main page'!$U$38/100)*'normal case'!$D$3)/'normal case'!$D$3)</f>
        <v>#DIV/0!</v>
      </c>
      <c r="E197" s="180" t="e">
        <f ca="1">((('normal case'!M197/100)*'external balance'!H196)/('normal case'!D197/'normal case'!D196))</f>
        <v>#DIV/0!</v>
      </c>
      <c r="F197" s="180" t="e">
        <f t="shared" ref="F197:F260" ca="1" si="3">IF(ABS(D197+E197-F196)&lt;0.0000001,F196,D197+E197)</f>
        <v>#DIV/0!</v>
      </c>
      <c r="H197" s="180" t="e">
        <f ca="1">D197+((1+'normal case'!M197/100)/('normal case'!D197/'normal case'!D196))*'external balance'!H196</f>
        <v>#DIV/0!</v>
      </c>
      <c r="I197" s="180"/>
    </row>
    <row r="198" spans="1:9">
      <c r="A198">
        <v>196</v>
      </c>
      <c r="B198" s="180" t="e">
        <f ca="1">('normal case'!AC198*($K$6*'normal case'!D198*('normal case'!AC198^'external balance'!$K$4)))/'normal case'!D198</f>
        <v>#DIV/0!</v>
      </c>
      <c r="C198" s="180" t="e">
        <f ca="1">($K$5*$K$7*((1+$K$8)^'normal case'!A197)*'normal case'!AC198^$K$3)/'normal case'!D198</f>
        <v>#DIV/0!</v>
      </c>
      <c r="D198" s="116" t="e">
        <f ca="1">(C198-B198)+((('main page'!$U$38/100)*'normal case'!$D$3)/'normal case'!$D$3)</f>
        <v>#DIV/0!</v>
      </c>
      <c r="E198" s="180" t="e">
        <f ca="1">((('normal case'!M198/100)*'external balance'!H197)/('normal case'!D198/'normal case'!D197))</f>
        <v>#DIV/0!</v>
      </c>
      <c r="F198" s="180" t="e">
        <f t="shared" ca="1" si="3"/>
        <v>#DIV/0!</v>
      </c>
      <c r="H198" s="180" t="e">
        <f ca="1">D198+((1+'normal case'!M198/100)/('normal case'!D198/'normal case'!D197))*'external balance'!H197</f>
        <v>#DIV/0!</v>
      </c>
      <c r="I198" s="180"/>
    </row>
    <row r="199" spans="1:9">
      <c r="A199">
        <v>197</v>
      </c>
      <c r="B199" s="180" t="e">
        <f ca="1">('normal case'!AC199*($K$6*'normal case'!D199*('normal case'!AC199^'external balance'!$K$4)))/'normal case'!D199</f>
        <v>#DIV/0!</v>
      </c>
      <c r="C199" s="180" t="e">
        <f ca="1">($K$5*$K$7*((1+$K$8)^'normal case'!A198)*'normal case'!AC199^$K$3)/'normal case'!D199</f>
        <v>#DIV/0!</v>
      </c>
      <c r="D199" s="116" t="e">
        <f ca="1">(C199-B199)+((('main page'!$U$38/100)*'normal case'!$D$3)/'normal case'!$D$3)</f>
        <v>#DIV/0!</v>
      </c>
      <c r="E199" s="180" t="e">
        <f ca="1">((('normal case'!M199/100)*'external balance'!H198)/('normal case'!D199/'normal case'!D198))</f>
        <v>#DIV/0!</v>
      </c>
      <c r="F199" s="180" t="e">
        <f t="shared" ca="1" si="3"/>
        <v>#DIV/0!</v>
      </c>
      <c r="H199" s="180" t="e">
        <f ca="1">D199+((1+'normal case'!M199/100)/('normal case'!D199/'normal case'!D198))*'external balance'!H198</f>
        <v>#DIV/0!</v>
      </c>
      <c r="I199" s="180"/>
    </row>
    <row r="200" spans="1:9">
      <c r="A200">
        <v>198</v>
      </c>
      <c r="B200" s="180" t="e">
        <f ca="1">('normal case'!AC200*($K$6*'normal case'!D200*('normal case'!AC200^'external balance'!$K$4)))/'normal case'!D200</f>
        <v>#DIV/0!</v>
      </c>
      <c r="C200" s="180" t="e">
        <f ca="1">($K$5*$K$7*((1+$K$8)^'normal case'!A199)*'normal case'!AC200^$K$3)/'normal case'!D200</f>
        <v>#DIV/0!</v>
      </c>
      <c r="D200" s="116" t="e">
        <f ca="1">(C200-B200)+((('main page'!$U$38/100)*'normal case'!$D$3)/'normal case'!$D$3)</f>
        <v>#DIV/0!</v>
      </c>
      <c r="E200" s="180" t="e">
        <f ca="1">((('normal case'!M200/100)*'external balance'!H199)/('normal case'!D200/'normal case'!D199))</f>
        <v>#DIV/0!</v>
      </c>
      <c r="F200" s="180" t="e">
        <f t="shared" ca="1" si="3"/>
        <v>#DIV/0!</v>
      </c>
      <c r="H200" s="180" t="e">
        <f ca="1">D200+((1+'normal case'!M200/100)/('normal case'!D200/'normal case'!D199))*'external balance'!H199</f>
        <v>#DIV/0!</v>
      </c>
      <c r="I200" s="180"/>
    </row>
    <row r="201" spans="1:9">
      <c r="B201" s="180" t="e">
        <f ca="1">('normal case'!AC201*($K$6*'normal case'!D201*('normal case'!AC201^'external balance'!$K$4)))/'normal case'!D201</f>
        <v>#DIV/0!</v>
      </c>
      <c r="C201" s="180" t="e">
        <f ca="1">($K$5*$K$7*((1+$K$8)^'normal case'!A200)*'normal case'!AC201^$K$3)/'normal case'!D201</f>
        <v>#DIV/0!</v>
      </c>
      <c r="D201" s="116" t="e">
        <f ca="1">(C201-B201)+((('main page'!$U$38/100)*'normal case'!$D$3)/'normal case'!$D$3)</f>
        <v>#DIV/0!</v>
      </c>
      <c r="E201" s="180" t="e">
        <f ca="1">((('normal case'!M201/100)*'external balance'!H200)/('normal case'!D201/'normal case'!D200))</f>
        <v>#DIV/0!</v>
      </c>
      <c r="F201" s="180" t="e">
        <f t="shared" ca="1" si="3"/>
        <v>#DIV/0!</v>
      </c>
      <c r="H201" s="180" t="e">
        <f ca="1">D201+((1+'normal case'!M201/100)/('normal case'!D201/'normal case'!D200))*'external balance'!H200</f>
        <v>#DIV/0!</v>
      </c>
      <c r="I201" s="180"/>
    </row>
    <row r="202" spans="1:9">
      <c r="B202" s="180" t="e">
        <f ca="1">('normal case'!AC202*($K$6*'normal case'!D202*('normal case'!AC202^'external balance'!$K$4)))/'normal case'!D202</f>
        <v>#DIV/0!</v>
      </c>
      <c r="C202" s="180" t="e">
        <f ca="1">($K$5*$K$7*((1+$K$8)^'normal case'!A201)*'normal case'!AC202^$K$3)/'normal case'!D202</f>
        <v>#DIV/0!</v>
      </c>
      <c r="D202" s="116" t="e">
        <f ca="1">(C202-B202)+((('main page'!$U$38/100)*'normal case'!$D$3)/'normal case'!$D$3)</f>
        <v>#DIV/0!</v>
      </c>
      <c r="E202" s="180" t="e">
        <f ca="1">((('normal case'!M202/100)*'external balance'!H201)/('normal case'!D202/'normal case'!D201))</f>
        <v>#DIV/0!</v>
      </c>
      <c r="F202" s="180" t="e">
        <f t="shared" ca="1" si="3"/>
        <v>#DIV/0!</v>
      </c>
      <c r="H202" s="180" t="e">
        <f ca="1">D202+((1+'normal case'!M202/100)/('normal case'!D202/'normal case'!D201))*'external balance'!H201</f>
        <v>#DIV/0!</v>
      </c>
      <c r="I202" s="180"/>
    </row>
    <row r="203" spans="1:9">
      <c r="B203" s="180" t="e">
        <f ca="1">('normal case'!AC203*($K$6*'normal case'!D203*('normal case'!AC203^'external balance'!$K$4)))/'normal case'!D203</f>
        <v>#DIV/0!</v>
      </c>
      <c r="C203" s="180" t="e">
        <f ca="1">($K$5*$K$7*((1+$K$8)^'normal case'!A202)*'normal case'!AC203^$K$3)/'normal case'!D203</f>
        <v>#DIV/0!</v>
      </c>
      <c r="D203" s="116" t="e">
        <f ca="1">(C203-B203)+((('main page'!$U$38/100)*'normal case'!$D$3)/'normal case'!$D$3)</f>
        <v>#DIV/0!</v>
      </c>
      <c r="E203" s="180" t="e">
        <f ca="1">((('normal case'!M203/100)*'external balance'!H202)/('normal case'!D203/'normal case'!D202))</f>
        <v>#DIV/0!</v>
      </c>
      <c r="F203" s="180" t="e">
        <f t="shared" ca="1" si="3"/>
        <v>#DIV/0!</v>
      </c>
      <c r="H203" s="180" t="e">
        <f ca="1">D203+((1+'normal case'!M203/100)/('normal case'!D203/'normal case'!D202))*'external balance'!H202</f>
        <v>#DIV/0!</v>
      </c>
      <c r="I203" s="180"/>
    </row>
    <row r="204" spans="1:9">
      <c r="B204" s="180" t="e">
        <f ca="1">('normal case'!AC204*($K$6*'normal case'!D204*('normal case'!AC204^'external balance'!$K$4)))/'normal case'!D204</f>
        <v>#DIV/0!</v>
      </c>
      <c r="C204" s="180" t="e">
        <f ca="1">($K$5*$K$7*((1+$K$8)^'normal case'!A203)*'normal case'!AC204^$K$3)/'normal case'!D204</f>
        <v>#DIV/0!</v>
      </c>
      <c r="D204" s="116" t="e">
        <f ca="1">(C204-B204)+((('main page'!$U$38/100)*'normal case'!$D$3)/'normal case'!$D$3)</f>
        <v>#DIV/0!</v>
      </c>
      <c r="E204" s="180" t="e">
        <f ca="1">((('normal case'!M204/100)*'external balance'!H203)/('normal case'!D204/'normal case'!D203))</f>
        <v>#DIV/0!</v>
      </c>
      <c r="F204" s="180" t="e">
        <f t="shared" ca="1" si="3"/>
        <v>#DIV/0!</v>
      </c>
      <c r="H204" s="180" t="e">
        <f ca="1">D204+((1+'normal case'!M204/100)/('normal case'!D204/'normal case'!D203))*'external balance'!H203</f>
        <v>#DIV/0!</v>
      </c>
      <c r="I204" s="180"/>
    </row>
    <row r="205" spans="1:9">
      <c r="B205" s="180" t="e">
        <f ca="1">('normal case'!AC205*($K$6*'normal case'!D205*('normal case'!AC205^'external balance'!$K$4)))/'normal case'!D205</f>
        <v>#DIV/0!</v>
      </c>
      <c r="C205" s="180" t="e">
        <f ca="1">($K$5*$K$7*((1+$K$8)^'normal case'!A204)*'normal case'!AC205^$K$3)/'normal case'!D205</f>
        <v>#DIV/0!</v>
      </c>
      <c r="D205" s="116" t="e">
        <f ca="1">(C205-B205)+((('main page'!$U$38/100)*'normal case'!$D$3)/'normal case'!$D$3)</f>
        <v>#DIV/0!</v>
      </c>
      <c r="E205" s="180" t="e">
        <f ca="1">((('normal case'!M205/100)*'external balance'!H204)/('normal case'!D205/'normal case'!D204))</f>
        <v>#DIV/0!</v>
      </c>
      <c r="F205" s="180" t="e">
        <f t="shared" ca="1" si="3"/>
        <v>#DIV/0!</v>
      </c>
      <c r="H205" s="180" t="e">
        <f ca="1">D205+((1+'normal case'!M205/100)/('normal case'!D205/'normal case'!D204))*'external balance'!H204</f>
        <v>#DIV/0!</v>
      </c>
      <c r="I205" s="180"/>
    </row>
    <row r="206" spans="1:9">
      <c r="B206" s="180" t="e">
        <f ca="1">('normal case'!AC206*($K$6*'normal case'!D206*('normal case'!AC206^'external balance'!$K$4)))/'normal case'!D206</f>
        <v>#DIV/0!</v>
      </c>
      <c r="C206" s="180" t="e">
        <f ca="1">($K$5*$K$7*((1+$K$8)^'normal case'!A205)*'normal case'!AC206^$K$3)/'normal case'!D206</f>
        <v>#DIV/0!</v>
      </c>
      <c r="D206" s="116" t="e">
        <f ca="1">(C206-B206)+((('main page'!$U$38/100)*'normal case'!$D$3)/'normal case'!$D$3)</f>
        <v>#DIV/0!</v>
      </c>
      <c r="E206" s="180" t="e">
        <f ca="1">((('normal case'!M206/100)*'external balance'!H205)/('normal case'!D206/'normal case'!D205))</f>
        <v>#DIV/0!</v>
      </c>
      <c r="F206" s="180" t="e">
        <f t="shared" ca="1" si="3"/>
        <v>#DIV/0!</v>
      </c>
      <c r="H206" s="180" t="e">
        <f ca="1">D206+((1+'normal case'!M206/100)/('normal case'!D206/'normal case'!D205))*'external balance'!H205</f>
        <v>#DIV/0!</v>
      </c>
      <c r="I206" s="180"/>
    </row>
    <row r="207" spans="1:9">
      <c r="B207" s="180" t="e">
        <f ca="1">('normal case'!AC207*($K$6*'normal case'!D207*('normal case'!AC207^'external balance'!$K$4)))/'normal case'!D207</f>
        <v>#DIV/0!</v>
      </c>
      <c r="C207" s="180" t="e">
        <f ca="1">($K$5*$K$7*((1+$K$8)^'normal case'!A206)*'normal case'!AC207^$K$3)/'normal case'!D207</f>
        <v>#DIV/0!</v>
      </c>
      <c r="D207" s="116" t="e">
        <f ca="1">(C207-B207)+((('main page'!$U$38/100)*'normal case'!$D$3)/'normal case'!$D$3)</f>
        <v>#DIV/0!</v>
      </c>
      <c r="E207" s="180" t="e">
        <f ca="1">((('normal case'!M207/100)*'external balance'!H206)/('normal case'!D207/'normal case'!D206))</f>
        <v>#DIV/0!</v>
      </c>
      <c r="F207" s="180" t="e">
        <f t="shared" ca="1" si="3"/>
        <v>#DIV/0!</v>
      </c>
      <c r="H207" s="180" t="e">
        <f ca="1">D207+((1+'normal case'!M207/100)/('normal case'!D207/'normal case'!D206))*'external balance'!H206</f>
        <v>#DIV/0!</v>
      </c>
      <c r="I207" s="180"/>
    </row>
    <row r="208" spans="1:9">
      <c r="B208" s="180" t="e">
        <f ca="1">('normal case'!AC208*($K$6*'normal case'!D208*('normal case'!AC208^'external balance'!$K$4)))/'normal case'!D208</f>
        <v>#DIV/0!</v>
      </c>
      <c r="C208" s="180" t="e">
        <f ca="1">($K$5*$K$7*((1+$K$8)^'normal case'!A207)*'normal case'!AC208^$K$3)/'normal case'!D208</f>
        <v>#DIV/0!</v>
      </c>
      <c r="D208" s="116" t="e">
        <f ca="1">(C208-B208)+((('main page'!$U$38/100)*'normal case'!$D$3)/'normal case'!$D$3)</f>
        <v>#DIV/0!</v>
      </c>
      <c r="E208" s="180" t="e">
        <f ca="1">((('normal case'!M208/100)*'external balance'!H207)/('normal case'!D208/'normal case'!D207))</f>
        <v>#DIV/0!</v>
      </c>
      <c r="F208" s="180" t="e">
        <f t="shared" ca="1" si="3"/>
        <v>#DIV/0!</v>
      </c>
      <c r="H208" s="180" t="e">
        <f ca="1">D208+((1+'normal case'!M208/100)/('normal case'!D208/'normal case'!D207))*'external balance'!H207</f>
        <v>#DIV/0!</v>
      </c>
      <c r="I208" s="180"/>
    </row>
    <row r="209" spans="2:9">
      <c r="B209" s="180" t="e">
        <f ca="1">('normal case'!AC209*($K$6*'normal case'!D209*('normal case'!AC209^'external balance'!$K$4)))/'normal case'!D209</f>
        <v>#DIV/0!</v>
      </c>
      <c r="C209" s="180" t="e">
        <f ca="1">($K$5*$K$7*((1+$K$8)^'normal case'!A208)*'normal case'!AC209^$K$3)/'normal case'!D209</f>
        <v>#DIV/0!</v>
      </c>
      <c r="D209" s="116" t="e">
        <f ca="1">(C209-B209)+((('main page'!$U$38/100)*'normal case'!$D$3)/'normal case'!$D$3)</f>
        <v>#DIV/0!</v>
      </c>
      <c r="E209" s="180" t="e">
        <f ca="1">((('normal case'!M209/100)*'external balance'!H208)/('normal case'!D209/'normal case'!D208))</f>
        <v>#DIV/0!</v>
      </c>
      <c r="F209" s="180" t="e">
        <f t="shared" ca="1" si="3"/>
        <v>#DIV/0!</v>
      </c>
      <c r="H209" s="180" t="e">
        <f ca="1">D209+((1+'normal case'!M209/100)/('normal case'!D209/'normal case'!D208))*'external balance'!H208</f>
        <v>#DIV/0!</v>
      </c>
      <c r="I209" s="180"/>
    </row>
    <row r="210" spans="2:9">
      <c r="B210" s="180" t="e">
        <f ca="1">('normal case'!AC210*($K$6*'normal case'!D210*('normal case'!AC210^'external balance'!$K$4)))/'normal case'!D210</f>
        <v>#DIV/0!</v>
      </c>
      <c r="C210" s="180" t="e">
        <f ca="1">($K$5*$K$7*((1+$K$8)^'normal case'!A209)*'normal case'!AC210^$K$3)/'normal case'!D210</f>
        <v>#DIV/0!</v>
      </c>
      <c r="D210" s="116" t="e">
        <f ca="1">(C210-B210)+((('main page'!$U$38/100)*'normal case'!$D$3)/'normal case'!$D$3)</f>
        <v>#DIV/0!</v>
      </c>
      <c r="E210" s="180" t="e">
        <f ca="1">((('normal case'!M210/100)*'external balance'!H209)/('normal case'!D210/'normal case'!D209))</f>
        <v>#DIV/0!</v>
      </c>
      <c r="F210" s="180" t="e">
        <f t="shared" ca="1" si="3"/>
        <v>#DIV/0!</v>
      </c>
      <c r="H210" s="180" t="e">
        <f ca="1">D210+((1+'normal case'!M210/100)/('normal case'!D210/'normal case'!D209))*'external balance'!H209</f>
        <v>#DIV/0!</v>
      </c>
      <c r="I210" s="180"/>
    </row>
    <row r="211" spans="2:9">
      <c r="B211" s="180" t="e">
        <f ca="1">('normal case'!AC211*($K$6*'normal case'!D211*('normal case'!AC211^'external balance'!$K$4)))/'normal case'!D211</f>
        <v>#DIV/0!</v>
      </c>
      <c r="C211" s="180" t="e">
        <f ca="1">($K$5*$K$7*((1+$K$8)^'normal case'!A210)*'normal case'!AC211^$K$3)/'normal case'!D211</f>
        <v>#DIV/0!</v>
      </c>
      <c r="D211" s="116" t="e">
        <f ca="1">(C211-B211)+((('main page'!$U$38/100)*'normal case'!$D$3)/'normal case'!$D$3)</f>
        <v>#DIV/0!</v>
      </c>
      <c r="E211" s="180" t="e">
        <f ca="1">((('normal case'!M211/100)*'external balance'!H210)/('normal case'!D211/'normal case'!D210))</f>
        <v>#DIV/0!</v>
      </c>
      <c r="F211" s="180" t="e">
        <f t="shared" ca="1" si="3"/>
        <v>#DIV/0!</v>
      </c>
      <c r="H211" s="180" t="e">
        <f ca="1">D211+((1+'normal case'!M211/100)/('normal case'!D211/'normal case'!D210))*'external balance'!H210</f>
        <v>#DIV/0!</v>
      </c>
      <c r="I211" s="180"/>
    </row>
    <row r="212" spans="2:9">
      <c r="B212" s="180" t="e">
        <f ca="1">('normal case'!AC212*($K$6*'normal case'!D212*('normal case'!AC212^'external balance'!$K$4)))/'normal case'!D212</f>
        <v>#DIV/0!</v>
      </c>
      <c r="C212" s="180" t="e">
        <f ca="1">($K$5*$K$7*((1+$K$8)^'normal case'!A211)*'normal case'!AC212^$K$3)/'normal case'!D212</f>
        <v>#DIV/0!</v>
      </c>
      <c r="D212" s="116" t="e">
        <f ca="1">(C212-B212)+((('main page'!$U$38/100)*'normal case'!$D$3)/'normal case'!$D$3)</f>
        <v>#DIV/0!</v>
      </c>
      <c r="E212" s="180" t="e">
        <f ca="1">((('normal case'!M212/100)*'external balance'!H211)/('normal case'!D212/'normal case'!D211))</f>
        <v>#DIV/0!</v>
      </c>
      <c r="F212" s="180" t="e">
        <f t="shared" ca="1" si="3"/>
        <v>#DIV/0!</v>
      </c>
      <c r="H212" s="180" t="e">
        <f ca="1">D212+((1+'normal case'!M212/100)/('normal case'!D212/'normal case'!D211))*'external balance'!H211</f>
        <v>#DIV/0!</v>
      </c>
      <c r="I212" s="180"/>
    </row>
    <row r="213" spans="2:9">
      <c r="B213" s="180" t="e">
        <f ca="1">('normal case'!AC213*($K$6*'normal case'!D213*('normal case'!AC213^'external balance'!$K$4)))/'normal case'!D213</f>
        <v>#DIV/0!</v>
      </c>
      <c r="C213" s="180" t="e">
        <f ca="1">($K$5*$K$7*((1+$K$8)^'normal case'!A212)*'normal case'!AC213^$K$3)/'normal case'!D213</f>
        <v>#DIV/0!</v>
      </c>
      <c r="D213" s="116" t="e">
        <f ca="1">(C213-B213)+((('main page'!$U$38/100)*'normal case'!$D$3)/'normal case'!$D$3)</f>
        <v>#DIV/0!</v>
      </c>
      <c r="E213" s="180" t="e">
        <f ca="1">((('normal case'!M213/100)*'external balance'!H212)/('normal case'!D213/'normal case'!D212))</f>
        <v>#DIV/0!</v>
      </c>
      <c r="F213" s="180" t="e">
        <f t="shared" ca="1" si="3"/>
        <v>#DIV/0!</v>
      </c>
      <c r="H213" s="180" t="e">
        <f ca="1">D213+((1+'normal case'!M213/100)/('normal case'!D213/'normal case'!D212))*'external balance'!H212</f>
        <v>#DIV/0!</v>
      </c>
      <c r="I213" s="180"/>
    </row>
    <row r="214" spans="2:9">
      <c r="B214" s="180" t="e">
        <f ca="1">('normal case'!AC214*($K$6*'normal case'!D214*('normal case'!AC214^'external balance'!$K$4)))/'normal case'!D214</f>
        <v>#DIV/0!</v>
      </c>
      <c r="C214" s="180" t="e">
        <f ca="1">($K$5*$K$7*((1+$K$8)^'normal case'!A213)*'normal case'!AC214^$K$3)/'normal case'!D214</f>
        <v>#DIV/0!</v>
      </c>
      <c r="D214" s="116" t="e">
        <f ca="1">(C214-B214)+((('main page'!$U$38/100)*'normal case'!$D$3)/'normal case'!$D$3)</f>
        <v>#DIV/0!</v>
      </c>
      <c r="E214" s="180" t="e">
        <f ca="1">((('normal case'!M214/100)*'external balance'!H213)/('normal case'!D214/'normal case'!D213))</f>
        <v>#DIV/0!</v>
      </c>
      <c r="F214" s="180" t="e">
        <f t="shared" ca="1" si="3"/>
        <v>#DIV/0!</v>
      </c>
      <c r="H214" s="180" t="e">
        <f ca="1">D214+((1+'normal case'!M214/100)/('normal case'!D214/'normal case'!D213))*'external balance'!H213</f>
        <v>#DIV/0!</v>
      </c>
      <c r="I214" s="180"/>
    </row>
    <row r="215" spans="2:9">
      <c r="B215" s="180" t="e">
        <f ca="1">('normal case'!AC215*($K$6*'normal case'!D215*('normal case'!AC215^'external balance'!$K$4)))/'normal case'!D215</f>
        <v>#DIV/0!</v>
      </c>
      <c r="C215" s="180" t="e">
        <f ca="1">($K$5*$K$7*((1+$K$8)^'normal case'!A214)*'normal case'!AC215^$K$3)/'normal case'!D215</f>
        <v>#DIV/0!</v>
      </c>
      <c r="D215" s="116" t="e">
        <f ca="1">(C215-B215)+((('main page'!$U$38/100)*'normal case'!$D$3)/'normal case'!$D$3)</f>
        <v>#DIV/0!</v>
      </c>
      <c r="E215" s="180" t="e">
        <f ca="1">((('normal case'!M215/100)*'external balance'!H214)/('normal case'!D215/'normal case'!D214))</f>
        <v>#DIV/0!</v>
      </c>
      <c r="F215" s="180" t="e">
        <f t="shared" ca="1" si="3"/>
        <v>#DIV/0!</v>
      </c>
      <c r="H215" s="180" t="e">
        <f ca="1">D215+((1+'normal case'!M215/100)/('normal case'!D215/'normal case'!D214))*'external balance'!H214</f>
        <v>#DIV/0!</v>
      </c>
      <c r="I215" s="180"/>
    </row>
    <row r="216" spans="2:9">
      <c r="B216" s="180" t="e">
        <f ca="1">('normal case'!AC216*($K$6*'normal case'!D216*('normal case'!AC216^'external balance'!$K$4)))/'normal case'!D216</f>
        <v>#DIV/0!</v>
      </c>
      <c r="C216" s="180" t="e">
        <f ca="1">($K$5*$K$7*((1+$K$8)^'normal case'!A215)*'normal case'!AC216^$K$3)/'normal case'!D216</f>
        <v>#DIV/0!</v>
      </c>
      <c r="D216" s="116" t="e">
        <f ca="1">(C216-B216)+((('main page'!$U$38/100)*'normal case'!$D$3)/'normal case'!$D$3)</f>
        <v>#DIV/0!</v>
      </c>
      <c r="E216" s="180" t="e">
        <f ca="1">((('normal case'!M216/100)*'external balance'!H215)/('normal case'!D216/'normal case'!D215))</f>
        <v>#DIV/0!</v>
      </c>
      <c r="F216" s="180" t="e">
        <f t="shared" ca="1" si="3"/>
        <v>#DIV/0!</v>
      </c>
      <c r="H216" s="180" t="e">
        <f ca="1">D216+((1+'normal case'!M216/100)/('normal case'!D216/'normal case'!D215))*'external balance'!H215</f>
        <v>#DIV/0!</v>
      </c>
      <c r="I216" s="180"/>
    </row>
    <row r="217" spans="2:9">
      <c r="B217" s="180" t="e">
        <f ca="1">('normal case'!AC217*($K$6*'normal case'!D217*('normal case'!AC217^'external balance'!$K$4)))/'normal case'!D217</f>
        <v>#DIV/0!</v>
      </c>
      <c r="C217" s="180" t="e">
        <f ca="1">($K$5*$K$7*((1+$K$8)^'normal case'!A216)*'normal case'!AC217^$K$3)/'normal case'!D217</f>
        <v>#DIV/0!</v>
      </c>
      <c r="D217" s="116" t="e">
        <f ca="1">(C217-B217)+((('main page'!$U$38/100)*'normal case'!$D$3)/'normal case'!$D$3)</f>
        <v>#DIV/0!</v>
      </c>
      <c r="E217" s="180" t="e">
        <f ca="1">((('normal case'!M217/100)*'external balance'!H216)/('normal case'!D217/'normal case'!D216))</f>
        <v>#DIV/0!</v>
      </c>
      <c r="F217" s="180" t="e">
        <f t="shared" ca="1" si="3"/>
        <v>#DIV/0!</v>
      </c>
      <c r="H217" s="180" t="e">
        <f ca="1">D217+((1+'normal case'!M217/100)/('normal case'!D217/'normal case'!D216))*'external balance'!H216</f>
        <v>#DIV/0!</v>
      </c>
      <c r="I217" s="180"/>
    </row>
    <row r="218" spans="2:9">
      <c r="B218" s="180" t="e">
        <f ca="1">('normal case'!AC218*($K$6*'normal case'!D218*('normal case'!AC218^'external balance'!$K$4)))/'normal case'!D218</f>
        <v>#DIV/0!</v>
      </c>
      <c r="C218" s="180" t="e">
        <f ca="1">($K$5*$K$7*((1+$K$8)^'normal case'!A217)*'normal case'!AC218^$K$3)/'normal case'!D218</f>
        <v>#DIV/0!</v>
      </c>
      <c r="D218" s="116" t="e">
        <f ca="1">(C218-B218)+((('main page'!$U$38/100)*'normal case'!$D$3)/'normal case'!$D$3)</f>
        <v>#DIV/0!</v>
      </c>
      <c r="E218" s="180" t="e">
        <f ca="1">((('normal case'!M218/100)*'external balance'!H217)/('normal case'!D218/'normal case'!D217))</f>
        <v>#DIV/0!</v>
      </c>
      <c r="F218" s="180" t="e">
        <f t="shared" ca="1" si="3"/>
        <v>#DIV/0!</v>
      </c>
      <c r="H218" s="180" t="e">
        <f ca="1">D218+((1+'normal case'!M218/100)/('normal case'!D218/'normal case'!D217))*'external balance'!H217</f>
        <v>#DIV/0!</v>
      </c>
      <c r="I218" s="180"/>
    </row>
    <row r="219" spans="2:9">
      <c r="B219" s="180" t="e">
        <f ca="1">('normal case'!AC219*($K$6*'normal case'!D219*('normal case'!AC219^'external balance'!$K$4)))/'normal case'!D219</f>
        <v>#DIV/0!</v>
      </c>
      <c r="C219" s="180" t="e">
        <f ca="1">($K$5*$K$7*((1+$K$8)^'normal case'!A218)*'normal case'!AC219^$K$3)/'normal case'!D219</f>
        <v>#DIV/0!</v>
      </c>
      <c r="D219" s="116" t="e">
        <f ca="1">(C219-B219)+((('main page'!$U$38/100)*'normal case'!$D$3)/'normal case'!$D$3)</f>
        <v>#DIV/0!</v>
      </c>
      <c r="E219" s="180" t="e">
        <f ca="1">((('normal case'!M219/100)*'external balance'!H218)/('normal case'!D219/'normal case'!D218))</f>
        <v>#DIV/0!</v>
      </c>
      <c r="F219" s="180" t="e">
        <f t="shared" ca="1" si="3"/>
        <v>#DIV/0!</v>
      </c>
      <c r="H219" s="180" t="e">
        <f ca="1">D219+((1+'normal case'!M219/100)/('normal case'!D219/'normal case'!D218))*'external balance'!H218</f>
        <v>#DIV/0!</v>
      </c>
      <c r="I219" s="180"/>
    </row>
    <row r="220" spans="2:9">
      <c r="B220" s="180" t="e">
        <f ca="1">('normal case'!AC220*($K$6*'normal case'!D220*('normal case'!AC220^'external balance'!$K$4)))/'normal case'!D220</f>
        <v>#DIV/0!</v>
      </c>
      <c r="C220" s="180" t="e">
        <f ca="1">($K$5*$K$7*((1+$K$8)^'normal case'!A219)*'normal case'!AC220^$K$3)/'normal case'!D220</f>
        <v>#DIV/0!</v>
      </c>
      <c r="D220" s="116" t="e">
        <f ca="1">(C220-B220)+((('main page'!$U$38/100)*'normal case'!$D$3)/'normal case'!$D$3)</f>
        <v>#DIV/0!</v>
      </c>
      <c r="E220" s="180" t="e">
        <f ca="1">((('normal case'!M220/100)*'external balance'!H219)/('normal case'!D220/'normal case'!D219))</f>
        <v>#DIV/0!</v>
      </c>
      <c r="F220" s="180" t="e">
        <f t="shared" ca="1" si="3"/>
        <v>#DIV/0!</v>
      </c>
      <c r="H220" s="180" t="e">
        <f ca="1">D220+((1+'normal case'!M220/100)/('normal case'!D220/'normal case'!D219))*'external balance'!H219</f>
        <v>#DIV/0!</v>
      </c>
      <c r="I220" s="180"/>
    </row>
    <row r="221" spans="2:9">
      <c r="B221" s="180" t="e">
        <f ca="1">('normal case'!AC221*($K$6*'normal case'!D221*('normal case'!AC221^'external balance'!$K$4)))/'normal case'!D221</f>
        <v>#DIV/0!</v>
      </c>
      <c r="C221" s="180" t="e">
        <f ca="1">($K$5*$K$7*((1+$K$8)^'normal case'!A220)*'normal case'!AC221^$K$3)/'normal case'!D221</f>
        <v>#DIV/0!</v>
      </c>
      <c r="D221" s="116" t="e">
        <f ca="1">(C221-B221)+((('main page'!$U$38/100)*'normal case'!$D$3)/'normal case'!$D$3)</f>
        <v>#DIV/0!</v>
      </c>
      <c r="E221" s="180" t="e">
        <f ca="1">((('normal case'!M221/100)*'external balance'!H220)/('normal case'!D221/'normal case'!D220))</f>
        <v>#DIV/0!</v>
      </c>
      <c r="F221" s="180" t="e">
        <f t="shared" ca="1" si="3"/>
        <v>#DIV/0!</v>
      </c>
      <c r="H221" s="180" t="e">
        <f ca="1">D221+((1+'normal case'!M221/100)/('normal case'!D221/'normal case'!D220))*'external balance'!H220</f>
        <v>#DIV/0!</v>
      </c>
      <c r="I221" s="180"/>
    </row>
    <row r="222" spans="2:9">
      <c r="B222" s="180" t="e">
        <f ca="1">('normal case'!AC222*($K$6*'normal case'!D222*('normal case'!AC222^'external balance'!$K$4)))/'normal case'!D222</f>
        <v>#DIV/0!</v>
      </c>
      <c r="C222" s="180" t="e">
        <f ca="1">($K$5*$K$7*((1+$K$8)^'normal case'!A221)*'normal case'!AC222^$K$3)/'normal case'!D222</f>
        <v>#DIV/0!</v>
      </c>
      <c r="D222" s="116" t="e">
        <f ca="1">(C222-B222)+((('main page'!$U$38/100)*'normal case'!$D$3)/'normal case'!$D$3)</f>
        <v>#DIV/0!</v>
      </c>
      <c r="E222" s="180" t="e">
        <f ca="1">((('normal case'!M222/100)*'external balance'!H221)/('normal case'!D222/'normal case'!D221))</f>
        <v>#DIV/0!</v>
      </c>
      <c r="F222" s="180" t="e">
        <f t="shared" ca="1" si="3"/>
        <v>#DIV/0!</v>
      </c>
      <c r="H222" s="180" t="e">
        <f ca="1">D222+((1+'normal case'!M222/100)/('normal case'!D222/'normal case'!D221))*'external balance'!H221</f>
        <v>#DIV/0!</v>
      </c>
      <c r="I222" s="180"/>
    </row>
    <row r="223" spans="2:9">
      <c r="B223" s="180" t="e">
        <f ca="1">('normal case'!AC223*($K$6*'normal case'!D223*('normal case'!AC223^'external balance'!$K$4)))/'normal case'!D223</f>
        <v>#DIV/0!</v>
      </c>
      <c r="C223" s="180" t="e">
        <f ca="1">($K$5*$K$7*((1+$K$8)^'normal case'!A222)*'normal case'!AC223^$K$3)/'normal case'!D223</f>
        <v>#DIV/0!</v>
      </c>
      <c r="D223" s="116" t="e">
        <f ca="1">(C223-B223)+((('main page'!$U$38/100)*'normal case'!$D$3)/'normal case'!$D$3)</f>
        <v>#DIV/0!</v>
      </c>
      <c r="E223" s="180" t="e">
        <f ca="1">((('normal case'!M223/100)*'external balance'!H222)/('normal case'!D223/'normal case'!D222))</f>
        <v>#DIV/0!</v>
      </c>
      <c r="F223" s="180" t="e">
        <f t="shared" ca="1" si="3"/>
        <v>#DIV/0!</v>
      </c>
      <c r="H223" s="180" t="e">
        <f ca="1">D223+((1+'normal case'!M223/100)/('normal case'!D223/'normal case'!D222))*'external balance'!H222</f>
        <v>#DIV/0!</v>
      </c>
      <c r="I223" s="180"/>
    </row>
    <row r="224" spans="2:9">
      <c r="B224" s="180" t="e">
        <f ca="1">('normal case'!AC224*($K$6*'normal case'!D224*('normal case'!AC224^'external balance'!$K$4)))/'normal case'!D224</f>
        <v>#DIV/0!</v>
      </c>
      <c r="C224" s="180" t="e">
        <f ca="1">($K$5*$K$7*((1+$K$8)^'normal case'!A223)*'normal case'!AC224^$K$3)/'normal case'!D224</f>
        <v>#DIV/0!</v>
      </c>
      <c r="D224" s="116" t="e">
        <f ca="1">(C224-B224)+((('main page'!$U$38/100)*'normal case'!$D$3)/'normal case'!$D$3)</f>
        <v>#DIV/0!</v>
      </c>
      <c r="E224" s="180" t="e">
        <f ca="1">((('normal case'!M224/100)*'external balance'!H223)/('normal case'!D224/'normal case'!D223))</f>
        <v>#DIV/0!</v>
      </c>
      <c r="F224" s="180" t="e">
        <f t="shared" ca="1" si="3"/>
        <v>#DIV/0!</v>
      </c>
      <c r="H224" s="180" t="e">
        <f ca="1">D224+((1+'normal case'!M224/100)/('normal case'!D224/'normal case'!D223))*'external balance'!H223</f>
        <v>#DIV/0!</v>
      </c>
      <c r="I224" s="180"/>
    </row>
    <row r="225" spans="2:9">
      <c r="B225" s="180" t="e">
        <f ca="1">('normal case'!AC225*($K$6*'normal case'!D225*('normal case'!AC225^'external balance'!$K$4)))/'normal case'!D225</f>
        <v>#DIV/0!</v>
      </c>
      <c r="C225" s="180" t="e">
        <f ca="1">($K$5*$K$7*((1+$K$8)^'normal case'!A224)*'normal case'!AC225^$K$3)/'normal case'!D225</f>
        <v>#DIV/0!</v>
      </c>
      <c r="D225" s="116" t="e">
        <f ca="1">(C225-B225)+((('main page'!$U$38/100)*'normal case'!$D$3)/'normal case'!$D$3)</f>
        <v>#DIV/0!</v>
      </c>
      <c r="E225" s="180" t="e">
        <f ca="1">((('normal case'!M225/100)*'external balance'!H224)/('normal case'!D225/'normal case'!D224))</f>
        <v>#DIV/0!</v>
      </c>
      <c r="F225" s="180" t="e">
        <f t="shared" ca="1" si="3"/>
        <v>#DIV/0!</v>
      </c>
      <c r="H225" s="180" t="e">
        <f ca="1">D225+((1+'normal case'!M225/100)/('normal case'!D225/'normal case'!D224))*'external balance'!H224</f>
        <v>#DIV/0!</v>
      </c>
      <c r="I225" s="180"/>
    </row>
    <row r="226" spans="2:9">
      <c r="B226" s="180" t="e">
        <f ca="1">('normal case'!AC226*($K$6*'normal case'!D226*('normal case'!AC226^'external balance'!$K$4)))/'normal case'!D226</f>
        <v>#DIV/0!</v>
      </c>
      <c r="C226" s="180" t="e">
        <f ca="1">($K$5*$K$7*((1+$K$8)^'normal case'!A225)*'normal case'!AC226^$K$3)/'normal case'!D226</f>
        <v>#DIV/0!</v>
      </c>
      <c r="D226" s="116" t="e">
        <f ca="1">(C226-B226)+((('main page'!$U$38/100)*'normal case'!$D$3)/'normal case'!$D$3)</f>
        <v>#DIV/0!</v>
      </c>
      <c r="E226" s="180" t="e">
        <f ca="1">((('normal case'!M226/100)*'external balance'!H225)/('normal case'!D226/'normal case'!D225))</f>
        <v>#DIV/0!</v>
      </c>
      <c r="F226" s="180" t="e">
        <f t="shared" ca="1" si="3"/>
        <v>#DIV/0!</v>
      </c>
      <c r="H226" s="180" t="e">
        <f ca="1">D226+((1+'normal case'!M226/100)/('normal case'!D226/'normal case'!D225))*'external balance'!H225</f>
        <v>#DIV/0!</v>
      </c>
      <c r="I226" s="180"/>
    </row>
    <row r="227" spans="2:9">
      <c r="B227" s="180" t="e">
        <f ca="1">('normal case'!AC227*($K$6*'normal case'!D227*('normal case'!AC227^'external balance'!$K$4)))/'normal case'!D227</f>
        <v>#DIV/0!</v>
      </c>
      <c r="C227" s="180" t="e">
        <f ca="1">($K$5*$K$7*((1+$K$8)^'normal case'!A226)*'normal case'!AC227^$K$3)/'normal case'!D227</f>
        <v>#DIV/0!</v>
      </c>
      <c r="D227" s="116" t="e">
        <f ca="1">(C227-B227)+((('main page'!$U$38/100)*'normal case'!$D$3)/'normal case'!$D$3)</f>
        <v>#DIV/0!</v>
      </c>
      <c r="E227" s="180" t="e">
        <f ca="1">((('normal case'!M227/100)*'external balance'!H226)/('normal case'!D227/'normal case'!D226))</f>
        <v>#DIV/0!</v>
      </c>
      <c r="F227" s="180" t="e">
        <f t="shared" ca="1" si="3"/>
        <v>#DIV/0!</v>
      </c>
      <c r="H227" s="180" t="e">
        <f ca="1">D227+((1+'normal case'!M227/100)/('normal case'!D227/'normal case'!D226))*'external balance'!H226</f>
        <v>#DIV/0!</v>
      </c>
      <c r="I227" s="180"/>
    </row>
    <row r="228" spans="2:9">
      <c r="B228" s="180" t="e">
        <f ca="1">('normal case'!AC228*($K$6*'normal case'!D228*('normal case'!AC228^'external balance'!$K$4)))/'normal case'!D228</f>
        <v>#DIV/0!</v>
      </c>
      <c r="C228" s="180" t="e">
        <f ca="1">($K$5*$K$7*((1+$K$8)^'normal case'!A227)*'normal case'!AC228^$K$3)/'normal case'!D228</f>
        <v>#DIV/0!</v>
      </c>
      <c r="D228" s="116" t="e">
        <f ca="1">(C228-B228)+((('main page'!$U$38/100)*'normal case'!$D$3)/'normal case'!$D$3)</f>
        <v>#DIV/0!</v>
      </c>
      <c r="E228" s="180" t="e">
        <f ca="1">((('normal case'!M228/100)*'external balance'!H227)/('normal case'!D228/'normal case'!D227))</f>
        <v>#DIV/0!</v>
      </c>
      <c r="F228" s="180" t="e">
        <f t="shared" ca="1" si="3"/>
        <v>#DIV/0!</v>
      </c>
      <c r="H228" s="180" t="e">
        <f ca="1">D228+((1+'normal case'!M228/100)/('normal case'!D228/'normal case'!D227))*'external balance'!H227</f>
        <v>#DIV/0!</v>
      </c>
      <c r="I228" s="180"/>
    </row>
    <row r="229" spans="2:9">
      <c r="B229" s="180" t="e">
        <f ca="1">('normal case'!AC229*($K$6*'normal case'!D229*('normal case'!AC229^'external balance'!$K$4)))/'normal case'!D229</f>
        <v>#DIV/0!</v>
      </c>
      <c r="C229" s="180" t="e">
        <f ca="1">($K$5*$K$7*((1+$K$8)^'normal case'!A228)*'normal case'!AC229^$K$3)/'normal case'!D229</f>
        <v>#DIV/0!</v>
      </c>
      <c r="D229" s="116" t="e">
        <f ca="1">(C229-B229)+((('main page'!$U$38/100)*'normal case'!$D$3)/'normal case'!$D$3)</f>
        <v>#DIV/0!</v>
      </c>
      <c r="E229" s="180" t="e">
        <f ca="1">((('normal case'!M229/100)*'external balance'!H228)/('normal case'!D229/'normal case'!D228))</f>
        <v>#DIV/0!</v>
      </c>
      <c r="F229" s="180" t="e">
        <f t="shared" ca="1" si="3"/>
        <v>#DIV/0!</v>
      </c>
      <c r="H229" s="180" t="e">
        <f ca="1">D229+((1+'normal case'!M229/100)/('normal case'!D229/'normal case'!D228))*'external balance'!H228</f>
        <v>#DIV/0!</v>
      </c>
      <c r="I229" s="180"/>
    </row>
    <row r="230" spans="2:9">
      <c r="B230" s="180" t="e">
        <f ca="1">('normal case'!AC230*($K$6*'normal case'!D230*('normal case'!AC230^'external balance'!$K$4)))/'normal case'!D230</f>
        <v>#DIV/0!</v>
      </c>
      <c r="C230" s="180" t="e">
        <f ca="1">($K$5*$K$7*((1+$K$8)^'normal case'!A229)*'normal case'!AC230^$K$3)/'normal case'!D230</f>
        <v>#DIV/0!</v>
      </c>
      <c r="D230" s="116" t="e">
        <f ca="1">(C230-B230)+((('main page'!$U$38/100)*'normal case'!$D$3)/'normal case'!$D$3)</f>
        <v>#DIV/0!</v>
      </c>
      <c r="E230" s="180" t="e">
        <f ca="1">((('normal case'!M230/100)*'external balance'!H229)/('normal case'!D230/'normal case'!D229))</f>
        <v>#DIV/0!</v>
      </c>
      <c r="F230" s="180" t="e">
        <f t="shared" ca="1" si="3"/>
        <v>#DIV/0!</v>
      </c>
      <c r="H230" s="180" t="e">
        <f ca="1">D230+((1+'normal case'!M230/100)/('normal case'!D230/'normal case'!D229))*'external balance'!H229</f>
        <v>#DIV/0!</v>
      </c>
      <c r="I230" s="180"/>
    </row>
    <row r="231" spans="2:9">
      <c r="B231" s="180" t="e">
        <f ca="1">('normal case'!AC231*($K$6*'normal case'!D231*('normal case'!AC231^'external balance'!$K$4)))/'normal case'!D231</f>
        <v>#DIV/0!</v>
      </c>
      <c r="C231" s="180" t="e">
        <f ca="1">($K$5*$K$7*((1+$K$8)^'normal case'!A230)*'normal case'!AC231^$K$3)/'normal case'!D231</f>
        <v>#DIV/0!</v>
      </c>
      <c r="D231" s="116" t="e">
        <f ca="1">(C231-B231)+((('main page'!$U$38/100)*'normal case'!$D$3)/'normal case'!$D$3)</f>
        <v>#DIV/0!</v>
      </c>
      <c r="E231" s="180" t="e">
        <f ca="1">((('normal case'!M231/100)*'external balance'!H230)/('normal case'!D231/'normal case'!D230))</f>
        <v>#DIV/0!</v>
      </c>
      <c r="F231" s="180" t="e">
        <f t="shared" ca="1" si="3"/>
        <v>#DIV/0!</v>
      </c>
      <c r="H231" s="180" t="e">
        <f ca="1">D231+((1+'normal case'!M231/100)/('normal case'!D231/'normal case'!D230))*'external balance'!H230</f>
        <v>#DIV/0!</v>
      </c>
      <c r="I231" s="180"/>
    </row>
    <row r="232" spans="2:9">
      <c r="B232" s="180" t="e">
        <f ca="1">('normal case'!AC232*($K$6*'normal case'!D232*('normal case'!AC232^'external balance'!$K$4)))/'normal case'!D232</f>
        <v>#DIV/0!</v>
      </c>
      <c r="C232" s="180" t="e">
        <f ca="1">($K$5*$K$7*((1+$K$8)^'normal case'!A231)*'normal case'!AC232^$K$3)/'normal case'!D232</f>
        <v>#DIV/0!</v>
      </c>
      <c r="D232" s="116" t="e">
        <f ca="1">(C232-B232)+((('main page'!$U$38/100)*'normal case'!$D$3)/'normal case'!$D$3)</f>
        <v>#DIV/0!</v>
      </c>
      <c r="E232" s="180" t="e">
        <f ca="1">((('normal case'!M232/100)*'external balance'!H231)/('normal case'!D232/'normal case'!D231))</f>
        <v>#DIV/0!</v>
      </c>
      <c r="F232" s="180" t="e">
        <f t="shared" ca="1" si="3"/>
        <v>#DIV/0!</v>
      </c>
      <c r="H232" s="180" t="e">
        <f ca="1">D232+((1+'normal case'!M232/100)/('normal case'!D232/'normal case'!D231))*'external balance'!H231</f>
        <v>#DIV/0!</v>
      </c>
      <c r="I232" s="180"/>
    </row>
    <row r="233" spans="2:9">
      <c r="B233" s="180" t="e">
        <f ca="1">('normal case'!AC233*($K$6*'normal case'!D233*('normal case'!AC233^'external balance'!$K$4)))/'normal case'!D233</f>
        <v>#DIV/0!</v>
      </c>
      <c r="C233" s="180" t="e">
        <f ca="1">($K$5*$K$7*((1+$K$8)^'normal case'!A232)*'normal case'!AC233^$K$3)/'normal case'!D233</f>
        <v>#DIV/0!</v>
      </c>
      <c r="D233" s="116" t="e">
        <f ca="1">(C233-B233)+((('main page'!$U$38/100)*'normal case'!$D$3)/'normal case'!$D$3)</f>
        <v>#DIV/0!</v>
      </c>
      <c r="E233" s="180" t="e">
        <f ca="1">((('normal case'!M233/100)*'external balance'!H232)/('normal case'!D233/'normal case'!D232))</f>
        <v>#DIV/0!</v>
      </c>
      <c r="F233" s="180" t="e">
        <f t="shared" ca="1" si="3"/>
        <v>#DIV/0!</v>
      </c>
      <c r="H233" s="180" t="e">
        <f ca="1">D233+((1+'normal case'!M233/100)/('normal case'!D233/'normal case'!D232))*'external balance'!H232</f>
        <v>#DIV/0!</v>
      </c>
      <c r="I233" s="180"/>
    </row>
    <row r="234" spans="2:9">
      <c r="B234" s="180" t="e">
        <f ca="1">('normal case'!AC234*($K$6*'normal case'!D234*('normal case'!AC234^'external balance'!$K$4)))/'normal case'!D234</f>
        <v>#DIV/0!</v>
      </c>
      <c r="C234" s="180" t="e">
        <f ca="1">($K$5*$K$7*((1+$K$8)^'normal case'!A233)*'normal case'!AC234^$K$3)/'normal case'!D234</f>
        <v>#DIV/0!</v>
      </c>
      <c r="D234" s="116" t="e">
        <f ca="1">(C234-B234)+((('main page'!$U$38/100)*'normal case'!$D$3)/'normal case'!$D$3)</f>
        <v>#DIV/0!</v>
      </c>
      <c r="E234" s="180" t="e">
        <f ca="1">((('normal case'!M234/100)*'external balance'!H233)/('normal case'!D234/'normal case'!D233))</f>
        <v>#DIV/0!</v>
      </c>
      <c r="F234" s="180" t="e">
        <f t="shared" ca="1" si="3"/>
        <v>#DIV/0!</v>
      </c>
      <c r="H234" s="180" t="e">
        <f ca="1">D234+((1+'normal case'!M234/100)/('normal case'!D234/'normal case'!D233))*'external balance'!H233</f>
        <v>#DIV/0!</v>
      </c>
      <c r="I234" s="180"/>
    </row>
    <row r="235" spans="2:9">
      <c r="B235" s="180" t="e">
        <f ca="1">('normal case'!AC235*($K$6*'normal case'!D235*('normal case'!AC235^'external balance'!$K$4)))/'normal case'!D235</f>
        <v>#DIV/0!</v>
      </c>
      <c r="C235" s="180" t="e">
        <f ca="1">($K$5*$K$7*((1+$K$8)^'normal case'!A234)*'normal case'!AC235^$K$3)/'normal case'!D235</f>
        <v>#DIV/0!</v>
      </c>
      <c r="D235" s="116" t="e">
        <f ca="1">(C235-B235)+((('main page'!$U$38/100)*'normal case'!$D$3)/'normal case'!$D$3)</f>
        <v>#DIV/0!</v>
      </c>
      <c r="E235" s="180" t="e">
        <f ca="1">((('normal case'!M235/100)*'external balance'!H234)/('normal case'!D235/'normal case'!D234))</f>
        <v>#DIV/0!</v>
      </c>
      <c r="F235" s="180" t="e">
        <f t="shared" ca="1" si="3"/>
        <v>#DIV/0!</v>
      </c>
      <c r="H235" s="180" t="e">
        <f ca="1">D235+((1+'normal case'!M235/100)/('normal case'!D235/'normal case'!D234))*'external balance'!H234</f>
        <v>#DIV/0!</v>
      </c>
      <c r="I235" s="180"/>
    </row>
    <row r="236" spans="2:9">
      <c r="B236" s="180" t="e">
        <f ca="1">('normal case'!AC236*($K$6*'normal case'!D236*('normal case'!AC236^'external balance'!$K$4)))/'normal case'!D236</f>
        <v>#DIV/0!</v>
      </c>
      <c r="C236" s="180" t="e">
        <f ca="1">($K$5*$K$7*((1+$K$8)^'normal case'!A235)*'normal case'!AC236^$K$3)/'normal case'!D236</f>
        <v>#DIV/0!</v>
      </c>
      <c r="D236" s="116" t="e">
        <f ca="1">(C236-B236)+((('main page'!$U$38/100)*'normal case'!$D$3)/'normal case'!$D$3)</f>
        <v>#DIV/0!</v>
      </c>
      <c r="E236" s="180" t="e">
        <f ca="1">((('normal case'!M236/100)*'external balance'!H235)/('normal case'!D236/'normal case'!D235))</f>
        <v>#DIV/0!</v>
      </c>
      <c r="F236" s="180" t="e">
        <f t="shared" ca="1" si="3"/>
        <v>#DIV/0!</v>
      </c>
      <c r="H236" s="180" t="e">
        <f ca="1">D236+((1+'normal case'!M236/100)/('normal case'!D236/'normal case'!D235))*'external balance'!H235</f>
        <v>#DIV/0!</v>
      </c>
      <c r="I236" s="180"/>
    </row>
    <row r="237" spans="2:9">
      <c r="B237" s="180" t="e">
        <f ca="1">('normal case'!AC237*($K$6*'normal case'!D237*('normal case'!AC237^'external balance'!$K$4)))/'normal case'!D237</f>
        <v>#DIV/0!</v>
      </c>
      <c r="C237" s="180" t="e">
        <f ca="1">($K$5*$K$7*((1+$K$8)^'normal case'!A236)*'normal case'!AC237^$K$3)/'normal case'!D237</f>
        <v>#DIV/0!</v>
      </c>
      <c r="D237" s="116" t="e">
        <f ca="1">(C237-B237)+((('main page'!$U$38/100)*'normal case'!$D$3)/'normal case'!$D$3)</f>
        <v>#DIV/0!</v>
      </c>
      <c r="E237" s="180" t="e">
        <f ca="1">((('normal case'!M237/100)*'external balance'!H236)/('normal case'!D237/'normal case'!D236))</f>
        <v>#DIV/0!</v>
      </c>
      <c r="F237" s="180" t="e">
        <f t="shared" ca="1" si="3"/>
        <v>#DIV/0!</v>
      </c>
      <c r="H237" s="180" t="e">
        <f ca="1">D237+((1+'normal case'!M237/100)/('normal case'!D237/'normal case'!D236))*'external balance'!H236</f>
        <v>#DIV/0!</v>
      </c>
      <c r="I237" s="180"/>
    </row>
    <row r="238" spans="2:9">
      <c r="B238" s="180" t="e">
        <f ca="1">('normal case'!AC238*($K$6*'normal case'!D238*('normal case'!AC238^'external balance'!$K$4)))/'normal case'!D238</f>
        <v>#DIV/0!</v>
      </c>
      <c r="C238" s="180" t="e">
        <f ca="1">($K$5*$K$7*((1+$K$8)^'normal case'!A237)*'normal case'!AC238^$K$3)/'normal case'!D238</f>
        <v>#DIV/0!</v>
      </c>
      <c r="D238" s="116" t="e">
        <f ca="1">(C238-B238)+((('main page'!$U$38/100)*'normal case'!$D$3)/'normal case'!$D$3)</f>
        <v>#DIV/0!</v>
      </c>
      <c r="E238" s="180" t="e">
        <f ca="1">((('normal case'!M238/100)*'external balance'!H237)/('normal case'!D238/'normal case'!D237))</f>
        <v>#DIV/0!</v>
      </c>
      <c r="F238" s="180" t="e">
        <f t="shared" ca="1" si="3"/>
        <v>#DIV/0!</v>
      </c>
      <c r="H238" s="180" t="e">
        <f ca="1">D238+((1+'normal case'!M238/100)/('normal case'!D238/'normal case'!D237))*'external balance'!H237</f>
        <v>#DIV/0!</v>
      </c>
      <c r="I238" s="180"/>
    </row>
    <row r="239" spans="2:9">
      <c r="B239" s="180" t="e">
        <f ca="1">('normal case'!AC239*($K$6*'normal case'!D239*('normal case'!AC239^'external balance'!$K$4)))/'normal case'!D239</f>
        <v>#DIV/0!</v>
      </c>
      <c r="C239" s="180" t="e">
        <f ca="1">($K$5*$K$7*((1+$K$8)^'normal case'!A238)*'normal case'!AC239^$K$3)/'normal case'!D239</f>
        <v>#DIV/0!</v>
      </c>
      <c r="D239" s="116" t="e">
        <f ca="1">(C239-B239)+((('main page'!$U$38/100)*'normal case'!$D$3)/'normal case'!$D$3)</f>
        <v>#DIV/0!</v>
      </c>
      <c r="E239" s="180" t="e">
        <f ca="1">((('normal case'!M239/100)*'external balance'!H238)/('normal case'!D239/'normal case'!D238))</f>
        <v>#DIV/0!</v>
      </c>
      <c r="F239" s="180" t="e">
        <f t="shared" ca="1" si="3"/>
        <v>#DIV/0!</v>
      </c>
      <c r="H239" s="180" t="e">
        <f ca="1">D239+((1+'normal case'!M239/100)/('normal case'!D239/'normal case'!D238))*'external balance'!H238</f>
        <v>#DIV/0!</v>
      </c>
      <c r="I239" s="180"/>
    </row>
    <row r="240" spans="2:9">
      <c r="B240" s="180" t="e">
        <f ca="1">('normal case'!AC240*($K$6*'normal case'!D240*('normal case'!AC240^'external balance'!$K$4)))/'normal case'!D240</f>
        <v>#DIV/0!</v>
      </c>
      <c r="C240" s="180" t="e">
        <f ca="1">($K$5*$K$7*((1+$K$8)^'normal case'!A239)*'normal case'!AC240^$K$3)/'normal case'!D240</f>
        <v>#DIV/0!</v>
      </c>
      <c r="D240" s="116" t="e">
        <f ca="1">(C240-B240)+((('main page'!$U$38/100)*'normal case'!$D$3)/'normal case'!$D$3)</f>
        <v>#DIV/0!</v>
      </c>
      <c r="E240" s="180" t="e">
        <f ca="1">((('normal case'!M240/100)*'external balance'!H239)/('normal case'!D240/'normal case'!D239))</f>
        <v>#DIV/0!</v>
      </c>
      <c r="F240" s="180" t="e">
        <f t="shared" ca="1" si="3"/>
        <v>#DIV/0!</v>
      </c>
      <c r="H240" s="180" t="e">
        <f ca="1">D240+((1+'normal case'!M240/100)/('normal case'!D240/'normal case'!D239))*'external balance'!H239</f>
        <v>#DIV/0!</v>
      </c>
      <c r="I240" s="180"/>
    </row>
    <row r="241" spans="2:9">
      <c r="B241" s="180" t="e">
        <f ca="1">('normal case'!AC241*($K$6*'normal case'!D241*('normal case'!AC241^'external balance'!$K$4)))/'normal case'!D241</f>
        <v>#DIV/0!</v>
      </c>
      <c r="C241" s="180" t="e">
        <f ca="1">($K$5*$K$7*((1+$K$8)^'normal case'!A240)*'normal case'!AC241^$K$3)/'normal case'!D241</f>
        <v>#DIV/0!</v>
      </c>
      <c r="D241" s="116" t="e">
        <f ca="1">(C241-B241)+((('main page'!$U$38/100)*'normal case'!$D$3)/'normal case'!$D$3)</f>
        <v>#DIV/0!</v>
      </c>
      <c r="E241" s="180" t="e">
        <f ca="1">((('normal case'!M241/100)*'external balance'!H240)/('normal case'!D241/'normal case'!D240))</f>
        <v>#DIV/0!</v>
      </c>
      <c r="F241" s="180" t="e">
        <f t="shared" ca="1" si="3"/>
        <v>#DIV/0!</v>
      </c>
      <c r="H241" s="180" t="e">
        <f ca="1">D241+((1+'normal case'!M241/100)/('normal case'!D241/'normal case'!D240))*'external balance'!H240</f>
        <v>#DIV/0!</v>
      </c>
      <c r="I241" s="180"/>
    </row>
    <row r="242" spans="2:9">
      <c r="B242" s="180" t="e">
        <f ca="1">('normal case'!AC242*($K$6*'normal case'!D242*('normal case'!AC242^'external balance'!$K$4)))/'normal case'!D242</f>
        <v>#DIV/0!</v>
      </c>
      <c r="C242" s="180" t="e">
        <f ca="1">($K$5*$K$7*((1+$K$8)^'normal case'!A241)*'normal case'!AC242^$K$3)/'normal case'!D242</f>
        <v>#DIV/0!</v>
      </c>
      <c r="D242" s="116" t="e">
        <f ca="1">(C242-B242)+((('main page'!$U$38/100)*'normal case'!$D$3)/'normal case'!$D$3)</f>
        <v>#DIV/0!</v>
      </c>
      <c r="E242" s="180" t="e">
        <f ca="1">((('normal case'!M242/100)*'external balance'!H241)/('normal case'!D242/'normal case'!D241))</f>
        <v>#DIV/0!</v>
      </c>
      <c r="F242" s="180" t="e">
        <f t="shared" ca="1" si="3"/>
        <v>#DIV/0!</v>
      </c>
      <c r="H242" s="180" t="e">
        <f ca="1">D242+((1+'normal case'!M242/100)/('normal case'!D242/'normal case'!D241))*'external balance'!H241</f>
        <v>#DIV/0!</v>
      </c>
      <c r="I242" s="180"/>
    </row>
    <row r="243" spans="2:9">
      <c r="B243" s="180" t="e">
        <f ca="1">('normal case'!AC243*($K$6*'normal case'!D243*('normal case'!AC243^'external balance'!$K$4)))/'normal case'!D243</f>
        <v>#DIV/0!</v>
      </c>
      <c r="C243" s="180" t="e">
        <f ca="1">($K$5*$K$7*((1+$K$8)^'normal case'!A242)*'normal case'!AC243^$K$3)/'normal case'!D243</f>
        <v>#DIV/0!</v>
      </c>
      <c r="D243" s="116" t="e">
        <f ca="1">(C243-B243)+((('main page'!$U$38/100)*'normal case'!$D$3)/'normal case'!$D$3)</f>
        <v>#DIV/0!</v>
      </c>
      <c r="E243" s="180" t="e">
        <f ca="1">((('normal case'!M243/100)*'external balance'!H242)/('normal case'!D243/'normal case'!D242))</f>
        <v>#DIV/0!</v>
      </c>
      <c r="F243" s="180" t="e">
        <f t="shared" ca="1" si="3"/>
        <v>#DIV/0!</v>
      </c>
      <c r="H243" s="180" t="e">
        <f ca="1">D243+((1+'normal case'!M243/100)/('normal case'!D243/'normal case'!D242))*'external balance'!H242</f>
        <v>#DIV/0!</v>
      </c>
      <c r="I243" s="180"/>
    </row>
    <row r="244" spans="2:9">
      <c r="B244" s="180" t="e">
        <f ca="1">('normal case'!AC244*($K$6*'normal case'!D244*('normal case'!AC244^'external balance'!$K$4)))/'normal case'!D244</f>
        <v>#DIV/0!</v>
      </c>
      <c r="C244" s="180" t="e">
        <f ca="1">($K$5*$K$7*((1+$K$8)^'normal case'!A243)*'normal case'!AC244^$K$3)/'normal case'!D244</f>
        <v>#DIV/0!</v>
      </c>
      <c r="D244" s="116" t="e">
        <f ca="1">(C244-B244)+((('main page'!$U$38/100)*'normal case'!$D$3)/'normal case'!$D$3)</f>
        <v>#DIV/0!</v>
      </c>
      <c r="E244" s="180" t="e">
        <f ca="1">((('normal case'!M244/100)*'external balance'!H243)/('normal case'!D244/'normal case'!D243))</f>
        <v>#DIV/0!</v>
      </c>
      <c r="F244" s="180" t="e">
        <f t="shared" ca="1" si="3"/>
        <v>#DIV/0!</v>
      </c>
      <c r="H244" s="180" t="e">
        <f ca="1">D244+((1+'normal case'!M244/100)/('normal case'!D244/'normal case'!D243))*'external balance'!H243</f>
        <v>#DIV/0!</v>
      </c>
      <c r="I244" s="180"/>
    </row>
    <row r="245" spans="2:9">
      <c r="B245" s="180" t="e">
        <f ca="1">('normal case'!AC245*($K$6*'normal case'!D245*('normal case'!AC245^'external balance'!$K$4)))/'normal case'!D245</f>
        <v>#DIV/0!</v>
      </c>
      <c r="C245" s="180" t="e">
        <f ca="1">($K$5*$K$7*((1+$K$8)^'normal case'!A244)*'normal case'!AC245^$K$3)/'normal case'!D245</f>
        <v>#DIV/0!</v>
      </c>
      <c r="D245" s="116" t="e">
        <f ca="1">(C245-B245)+((('main page'!$U$38/100)*'normal case'!$D$3)/'normal case'!$D$3)</f>
        <v>#DIV/0!</v>
      </c>
      <c r="E245" s="180" t="e">
        <f ca="1">((('normal case'!M245/100)*'external balance'!H244)/('normal case'!D245/'normal case'!D244))</f>
        <v>#DIV/0!</v>
      </c>
      <c r="F245" s="180" t="e">
        <f t="shared" ca="1" si="3"/>
        <v>#DIV/0!</v>
      </c>
      <c r="H245" s="180" t="e">
        <f ca="1">D245+((1+'normal case'!M245/100)/('normal case'!D245/'normal case'!D244))*'external balance'!H244</f>
        <v>#DIV/0!</v>
      </c>
      <c r="I245" s="180"/>
    </row>
    <row r="246" spans="2:9">
      <c r="B246" s="180" t="e">
        <f ca="1">('normal case'!AC246*($K$6*'normal case'!D246*('normal case'!AC246^'external balance'!$K$4)))/'normal case'!D246</f>
        <v>#DIV/0!</v>
      </c>
      <c r="C246" s="180" t="e">
        <f ca="1">($K$5*$K$7*((1+$K$8)^'normal case'!A245)*'normal case'!AC246^$K$3)/'normal case'!D246</f>
        <v>#DIV/0!</v>
      </c>
      <c r="D246" s="116" t="e">
        <f ca="1">(C246-B246)+((('main page'!$U$38/100)*'normal case'!$D$3)/'normal case'!$D$3)</f>
        <v>#DIV/0!</v>
      </c>
      <c r="E246" s="180" t="e">
        <f ca="1">((('normal case'!M246/100)*'external balance'!H245)/('normal case'!D246/'normal case'!D245))</f>
        <v>#DIV/0!</v>
      </c>
      <c r="F246" s="180" t="e">
        <f t="shared" ca="1" si="3"/>
        <v>#DIV/0!</v>
      </c>
      <c r="H246" s="180" t="e">
        <f ca="1">D246+((1+'normal case'!M246/100)/('normal case'!D246/'normal case'!D245))*'external balance'!H245</f>
        <v>#DIV/0!</v>
      </c>
      <c r="I246" s="180"/>
    </row>
    <row r="247" spans="2:9">
      <c r="B247" s="180" t="e">
        <f ca="1">('normal case'!AC247*($K$6*'normal case'!D247*('normal case'!AC247^'external balance'!$K$4)))/'normal case'!D247</f>
        <v>#DIV/0!</v>
      </c>
      <c r="C247" s="180" t="e">
        <f ca="1">($K$5*$K$7*((1+$K$8)^'normal case'!A246)*'normal case'!AC247^$K$3)/'normal case'!D247</f>
        <v>#DIV/0!</v>
      </c>
      <c r="D247" s="116" t="e">
        <f ca="1">(C247-B247)+((('main page'!$U$38/100)*'normal case'!$D$3)/'normal case'!$D$3)</f>
        <v>#DIV/0!</v>
      </c>
      <c r="E247" s="180" t="e">
        <f ca="1">((('normal case'!M247/100)*'external balance'!H246)/('normal case'!D247/'normal case'!D246))</f>
        <v>#DIV/0!</v>
      </c>
      <c r="F247" s="180" t="e">
        <f t="shared" ca="1" si="3"/>
        <v>#DIV/0!</v>
      </c>
      <c r="H247" s="180" t="e">
        <f ca="1">D247+((1+'normal case'!M247/100)/('normal case'!D247/'normal case'!D246))*'external balance'!H246</f>
        <v>#DIV/0!</v>
      </c>
      <c r="I247" s="180"/>
    </row>
    <row r="248" spans="2:9">
      <c r="B248" s="180" t="e">
        <f ca="1">('normal case'!AC248*($K$6*'normal case'!D248*('normal case'!AC248^'external balance'!$K$4)))/'normal case'!D248</f>
        <v>#DIV/0!</v>
      </c>
      <c r="C248" s="180" t="e">
        <f ca="1">($K$5*$K$7*((1+$K$8)^'normal case'!A247)*'normal case'!AC248^$K$3)/'normal case'!D248</f>
        <v>#DIV/0!</v>
      </c>
      <c r="D248" s="116" t="e">
        <f ca="1">(C248-B248)+((('main page'!$U$38/100)*'normal case'!$D$3)/'normal case'!$D$3)</f>
        <v>#DIV/0!</v>
      </c>
      <c r="E248" s="180" t="e">
        <f ca="1">((('normal case'!M248/100)*'external balance'!H247)/('normal case'!D248/'normal case'!D247))</f>
        <v>#DIV/0!</v>
      </c>
      <c r="F248" s="180" t="e">
        <f t="shared" ca="1" si="3"/>
        <v>#DIV/0!</v>
      </c>
      <c r="H248" s="180" t="e">
        <f ca="1">D248+((1+'normal case'!M248/100)/('normal case'!D248/'normal case'!D247))*'external balance'!H247</f>
        <v>#DIV/0!</v>
      </c>
      <c r="I248" s="180"/>
    </row>
    <row r="249" spans="2:9">
      <c r="B249" s="180" t="e">
        <f ca="1">('normal case'!AC249*($K$6*'normal case'!D249*('normal case'!AC249^'external balance'!$K$4)))/'normal case'!D249</f>
        <v>#DIV/0!</v>
      </c>
      <c r="C249" s="180" t="e">
        <f ca="1">($K$5*$K$7*((1+$K$8)^'normal case'!A248)*'normal case'!AC249^$K$3)/'normal case'!D249</f>
        <v>#DIV/0!</v>
      </c>
      <c r="D249" s="116" t="e">
        <f ca="1">(C249-B249)+((('main page'!$U$38/100)*'normal case'!$D$3)/'normal case'!$D$3)</f>
        <v>#DIV/0!</v>
      </c>
      <c r="E249" s="180" t="e">
        <f ca="1">((('normal case'!M249/100)*'external balance'!H248)/('normal case'!D249/'normal case'!D248))</f>
        <v>#DIV/0!</v>
      </c>
      <c r="F249" s="180" t="e">
        <f t="shared" ca="1" si="3"/>
        <v>#DIV/0!</v>
      </c>
      <c r="H249" s="180" t="e">
        <f ca="1">D249+((1+'normal case'!M249/100)/('normal case'!D249/'normal case'!D248))*'external balance'!H248</f>
        <v>#DIV/0!</v>
      </c>
      <c r="I249" s="180"/>
    </row>
    <row r="250" spans="2:9">
      <c r="B250" s="180" t="e">
        <f ca="1">('normal case'!AC250*($K$6*'normal case'!D250*('normal case'!AC250^'external balance'!$K$4)))/'normal case'!D250</f>
        <v>#DIV/0!</v>
      </c>
      <c r="C250" s="180" t="e">
        <f ca="1">($K$5*$K$7*((1+$K$8)^'normal case'!A249)*'normal case'!AC250^$K$3)/'normal case'!D250</f>
        <v>#DIV/0!</v>
      </c>
      <c r="D250" s="116" t="e">
        <f ca="1">(C250-B250)+((('main page'!$U$38/100)*'normal case'!$D$3)/'normal case'!$D$3)</f>
        <v>#DIV/0!</v>
      </c>
      <c r="E250" s="180" t="e">
        <f ca="1">((('normal case'!M250/100)*'external balance'!H249)/('normal case'!D250/'normal case'!D249))</f>
        <v>#DIV/0!</v>
      </c>
      <c r="F250" s="180" t="e">
        <f t="shared" ca="1" si="3"/>
        <v>#DIV/0!</v>
      </c>
      <c r="H250" s="180" t="e">
        <f ca="1">D250+((1+'normal case'!M250/100)/('normal case'!D250/'normal case'!D249))*'external balance'!H249</f>
        <v>#DIV/0!</v>
      </c>
      <c r="I250" s="180"/>
    </row>
    <row r="251" spans="2:9">
      <c r="B251" s="180" t="e">
        <f ca="1">('normal case'!AC251*($K$6*'normal case'!D251*('normal case'!AC251^'external balance'!$K$4)))/'normal case'!D251</f>
        <v>#DIV/0!</v>
      </c>
      <c r="C251" s="180" t="e">
        <f ca="1">($K$5*$K$7*((1+$K$8)^'normal case'!A250)*'normal case'!AC251^$K$3)/'normal case'!D251</f>
        <v>#DIV/0!</v>
      </c>
      <c r="D251" s="116" t="e">
        <f ca="1">(C251-B251)+((('main page'!$U$38/100)*'normal case'!$D$3)/'normal case'!$D$3)</f>
        <v>#DIV/0!</v>
      </c>
      <c r="E251" s="180" t="e">
        <f ca="1">((('normal case'!M251/100)*'external balance'!H250)/('normal case'!D251/'normal case'!D250))</f>
        <v>#DIV/0!</v>
      </c>
      <c r="F251" s="180" t="e">
        <f t="shared" ca="1" si="3"/>
        <v>#DIV/0!</v>
      </c>
      <c r="H251" s="180" t="e">
        <f ca="1">D251+((1+'normal case'!M251/100)/('normal case'!D251/'normal case'!D250))*'external balance'!H250</f>
        <v>#DIV/0!</v>
      </c>
      <c r="I251" s="180"/>
    </row>
    <row r="252" spans="2:9">
      <c r="B252" s="180" t="e">
        <f ca="1">('normal case'!AC252*($K$6*'normal case'!D252*('normal case'!AC252^'external balance'!$K$4)))/'normal case'!D252</f>
        <v>#DIV/0!</v>
      </c>
      <c r="C252" s="180" t="e">
        <f ca="1">($K$5*$K$7*((1+$K$8)^'normal case'!A251)*'normal case'!AC252^$K$3)/'normal case'!D252</f>
        <v>#DIV/0!</v>
      </c>
      <c r="D252" s="116" t="e">
        <f ca="1">(C252-B252)+((('main page'!$U$38/100)*'normal case'!$D$3)/'normal case'!$D$3)</f>
        <v>#DIV/0!</v>
      </c>
      <c r="E252" s="180" t="e">
        <f ca="1">((('normal case'!M252/100)*'external balance'!H251)/('normal case'!D252/'normal case'!D251))</f>
        <v>#DIV/0!</v>
      </c>
      <c r="F252" s="180" t="e">
        <f t="shared" ca="1" si="3"/>
        <v>#DIV/0!</v>
      </c>
      <c r="H252" s="180" t="e">
        <f ca="1">D252+((1+'normal case'!M252/100)/('normal case'!D252/'normal case'!D251))*'external balance'!H251</f>
        <v>#DIV/0!</v>
      </c>
      <c r="I252" s="180"/>
    </row>
    <row r="253" spans="2:9">
      <c r="B253" s="180" t="e">
        <f ca="1">('normal case'!AC253*($K$6*'normal case'!D253*('normal case'!AC253^'external balance'!$K$4)))/'normal case'!D253</f>
        <v>#DIV/0!</v>
      </c>
      <c r="C253" s="180" t="e">
        <f ca="1">($K$5*$K$7*((1+$K$8)^'normal case'!A252)*'normal case'!AC253^$K$3)/'normal case'!D253</f>
        <v>#DIV/0!</v>
      </c>
      <c r="D253" s="116" t="e">
        <f ca="1">(C253-B253)+((('main page'!$U$38/100)*'normal case'!$D$3)/'normal case'!$D$3)</f>
        <v>#DIV/0!</v>
      </c>
      <c r="E253" s="180" t="e">
        <f ca="1">((('normal case'!M253/100)*'external balance'!H252)/('normal case'!D253/'normal case'!D252))</f>
        <v>#DIV/0!</v>
      </c>
      <c r="F253" s="180" t="e">
        <f t="shared" ca="1" si="3"/>
        <v>#DIV/0!</v>
      </c>
      <c r="H253" s="180" t="e">
        <f ca="1">D253+((1+'normal case'!M253/100)/('normal case'!D253/'normal case'!D252))*'external balance'!H252</f>
        <v>#DIV/0!</v>
      </c>
      <c r="I253" s="180"/>
    </row>
    <row r="254" spans="2:9">
      <c r="B254" s="180" t="e">
        <f ca="1">('normal case'!AC254*($K$6*'normal case'!D254*('normal case'!AC254^'external balance'!$K$4)))/'normal case'!D254</f>
        <v>#DIV/0!</v>
      </c>
      <c r="C254" s="180" t="e">
        <f ca="1">($K$5*$K$7*((1+$K$8)^'normal case'!A253)*'normal case'!AC254^$K$3)/'normal case'!D254</f>
        <v>#DIV/0!</v>
      </c>
      <c r="D254" s="116" t="e">
        <f ca="1">(C254-B254)+((('main page'!$U$38/100)*'normal case'!$D$3)/'normal case'!$D$3)</f>
        <v>#DIV/0!</v>
      </c>
      <c r="E254" s="180" t="e">
        <f ca="1">((('normal case'!M254/100)*'external balance'!H253)/('normal case'!D254/'normal case'!D253))</f>
        <v>#DIV/0!</v>
      </c>
      <c r="F254" s="180" t="e">
        <f t="shared" ca="1" si="3"/>
        <v>#DIV/0!</v>
      </c>
      <c r="H254" s="180" t="e">
        <f ca="1">D254+((1+'normal case'!M254/100)/('normal case'!D254/'normal case'!D253))*'external balance'!H253</f>
        <v>#DIV/0!</v>
      </c>
      <c r="I254" s="180"/>
    </row>
    <row r="255" spans="2:9">
      <c r="B255" s="180" t="e">
        <f ca="1">('normal case'!AC255*($K$6*'normal case'!D255*('normal case'!AC255^'external balance'!$K$4)))/'normal case'!D255</f>
        <v>#DIV/0!</v>
      </c>
      <c r="C255" s="180" t="e">
        <f ca="1">($K$5*$K$7*((1+$K$8)^'normal case'!A254)*'normal case'!AC255^$K$3)/'normal case'!D255</f>
        <v>#DIV/0!</v>
      </c>
      <c r="D255" s="116" t="e">
        <f ca="1">(C255-B255)+((('main page'!$U$38/100)*'normal case'!$D$3)/'normal case'!$D$3)</f>
        <v>#DIV/0!</v>
      </c>
      <c r="E255" s="180" t="e">
        <f ca="1">((('normal case'!M255/100)*'external balance'!H254)/('normal case'!D255/'normal case'!D254))</f>
        <v>#DIV/0!</v>
      </c>
      <c r="F255" s="180" t="e">
        <f t="shared" ca="1" si="3"/>
        <v>#DIV/0!</v>
      </c>
      <c r="H255" s="180" t="e">
        <f ca="1">D255+((1+'normal case'!M255/100)/('normal case'!D255/'normal case'!D254))*'external balance'!H254</f>
        <v>#DIV/0!</v>
      </c>
      <c r="I255" s="180"/>
    </row>
    <row r="256" spans="2:9">
      <c r="B256" s="180" t="e">
        <f ca="1">('normal case'!AC256*($K$6*'normal case'!D256*('normal case'!AC256^'external balance'!$K$4)))/'normal case'!D256</f>
        <v>#DIV/0!</v>
      </c>
      <c r="C256" s="180" t="e">
        <f ca="1">($K$5*$K$7*((1+$K$8)^'normal case'!A255)*'normal case'!AC256^$K$3)/'normal case'!D256</f>
        <v>#DIV/0!</v>
      </c>
      <c r="D256" s="116" t="e">
        <f ca="1">(C256-B256)+((('main page'!$U$38/100)*'normal case'!$D$3)/'normal case'!$D$3)</f>
        <v>#DIV/0!</v>
      </c>
      <c r="E256" s="180" t="e">
        <f ca="1">((('normal case'!M256/100)*'external balance'!H255)/('normal case'!D256/'normal case'!D255))</f>
        <v>#DIV/0!</v>
      </c>
      <c r="F256" s="180" t="e">
        <f t="shared" ca="1" si="3"/>
        <v>#DIV/0!</v>
      </c>
      <c r="H256" s="180" t="e">
        <f ca="1">D256+((1+'normal case'!M256/100)/('normal case'!D256/'normal case'!D255))*'external balance'!H255</f>
        <v>#DIV/0!</v>
      </c>
      <c r="I256" s="180"/>
    </row>
    <row r="257" spans="2:9">
      <c r="B257" s="180" t="e">
        <f ca="1">('normal case'!AC257*($K$6*'normal case'!D257*('normal case'!AC257^'external balance'!$K$4)))/'normal case'!D257</f>
        <v>#DIV/0!</v>
      </c>
      <c r="C257" s="180" t="e">
        <f ca="1">($K$5*$K$7*((1+$K$8)^'normal case'!A256)*'normal case'!AC257^$K$3)/'normal case'!D257</f>
        <v>#DIV/0!</v>
      </c>
      <c r="D257" s="116" t="e">
        <f ca="1">(C257-B257)+((('main page'!$U$38/100)*'normal case'!$D$3)/'normal case'!$D$3)</f>
        <v>#DIV/0!</v>
      </c>
      <c r="E257" s="180" t="e">
        <f ca="1">((('normal case'!M257/100)*'external balance'!H256)/('normal case'!D257/'normal case'!D256))</f>
        <v>#DIV/0!</v>
      </c>
      <c r="F257" s="180" t="e">
        <f t="shared" ca="1" si="3"/>
        <v>#DIV/0!</v>
      </c>
      <c r="H257" s="180" t="e">
        <f ca="1">D257+((1+'normal case'!M257/100)/('normal case'!D257/'normal case'!D256))*'external balance'!H256</f>
        <v>#DIV/0!</v>
      </c>
      <c r="I257" s="180"/>
    </row>
    <row r="258" spans="2:9">
      <c r="B258" s="180" t="e">
        <f ca="1">('normal case'!AC258*($K$6*'normal case'!D258*('normal case'!AC258^'external balance'!$K$4)))/'normal case'!D258</f>
        <v>#DIV/0!</v>
      </c>
      <c r="C258" s="180" t="e">
        <f ca="1">($K$5*$K$7*((1+$K$8)^'normal case'!A257)*'normal case'!AC258^$K$3)/'normal case'!D258</f>
        <v>#DIV/0!</v>
      </c>
      <c r="D258" s="116" t="e">
        <f ca="1">(C258-B258)+((('main page'!$U$38/100)*'normal case'!$D$3)/'normal case'!$D$3)</f>
        <v>#DIV/0!</v>
      </c>
      <c r="E258" s="180" t="e">
        <f ca="1">((('normal case'!M258/100)*'external balance'!H257)/('normal case'!D258/'normal case'!D257))</f>
        <v>#DIV/0!</v>
      </c>
      <c r="F258" s="180" t="e">
        <f t="shared" ca="1" si="3"/>
        <v>#DIV/0!</v>
      </c>
      <c r="H258" s="180" t="e">
        <f ca="1">D258+((1+'normal case'!M258/100)/('normal case'!D258/'normal case'!D257))*'external balance'!H257</f>
        <v>#DIV/0!</v>
      </c>
      <c r="I258" s="180"/>
    </row>
    <row r="259" spans="2:9">
      <c r="B259" s="180" t="e">
        <f ca="1">('normal case'!AC259*($K$6*'normal case'!D259*('normal case'!AC259^'external balance'!$K$4)))/'normal case'!D259</f>
        <v>#DIV/0!</v>
      </c>
      <c r="C259" s="180" t="e">
        <f ca="1">($K$5*$K$7*((1+$K$8)^'normal case'!A258)*'normal case'!AC259^$K$3)/'normal case'!D259</f>
        <v>#DIV/0!</v>
      </c>
      <c r="D259" s="116" t="e">
        <f ca="1">(C259-B259)+((('main page'!$U$38/100)*'normal case'!$D$3)/'normal case'!$D$3)</f>
        <v>#DIV/0!</v>
      </c>
      <c r="E259" s="180" t="e">
        <f ca="1">((('normal case'!M259/100)*'external balance'!H258)/('normal case'!D259/'normal case'!D258))</f>
        <v>#DIV/0!</v>
      </c>
      <c r="F259" s="180" t="e">
        <f t="shared" ca="1" si="3"/>
        <v>#DIV/0!</v>
      </c>
      <c r="H259" s="180" t="e">
        <f ca="1">D259+((1+'normal case'!M259/100)/('normal case'!D259/'normal case'!D258))*'external balance'!H258</f>
        <v>#DIV/0!</v>
      </c>
      <c r="I259" s="180"/>
    </row>
    <row r="260" spans="2:9">
      <c r="B260" s="180" t="e">
        <f ca="1">('normal case'!AC260*($K$6*'normal case'!D260*('normal case'!AC260^'external balance'!$K$4)))/'normal case'!D260</f>
        <v>#DIV/0!</v>
      </c>
      <c r="C260" s="180" t="e">
        <f ca="1">($K$5*$K$7*((1+$K$8)^'normal case'!A259)*'normal case'!AC260^$K$3)/'normal case'!D260</f>
        <v>#DIV/0!</v>
      </c>
      <c r="D260" s="116" t="e">
        <f ca="1">(C260-B260)+((('main page'!$U$38/100)*'normal case'!$D$3)/'normal case'!$D$3)</f>
        <v>#DIV/0!</v>
      </c>
      <c r="E260" s="180" t="e">
        <f ca="1">((('normal case'!M260/100)*'external balance'!H259)/('normal case'!D260/'normal case'!D259))</f>
        <v>#DIV/0!</v>
      </c>
      <c r="F260" s="180" t="e">
        <f t="shared" ca="1" si="3"/>
        <v>#DIV/0!</v>
      </c>
      <c r="H260" s="180" t="e">
        <f ca="1">D260+((1+'normal case'!M260/100)/('normal case'!D260/'normal case'!D259))*'external balance'!H259</f>
        <v>#DIV/0!</v>
      </c>
      <c r="I260" s="180"/>
    </row>
    <row r="261" spans="2:9">
      <c r="B261" s="180" t="e">
        <f ca="1">('normal case'!AC261*($K$6*'normal case'!D261*('normal case'!AC261^'external balance'!$K$4)))/'normal case'!D261</f>
        <v>#DIV/0!</v>
      </c>
      <c r="C261" s="180" t="e">
        <f ca="1">($K$5*$K$7*((1+$K$8)^'normal case'!A260)*'normal case'!AC261^$K$3)/'normal case'!D261</f>
        <v>#DIV/0!</v>
      </c>
      <c r="D261" s="116" t="e">
        <f ca="1">(C261-B261)+((('main page'!$U$38/100)*'normal case'!$D$3)/'normal case'!$D$3)</f>
        <v>#DIV/0!</v>
      </c>
      <c r="E261" s="180" t="e">
        <f ca="1">((('normal case'!M261/100)*'external balance'!H260)/('normal case'!D261/'normal case'!D260))</f>
        <v>#DIV/0!</v>
      </c>
      <c r="F261" s="180" t="e">
        <f t="shared" ref="F261:F304" ca="1" si="4">IF(ABS(D261+E261-F260)&lt;0.0000001,F260,D261+E261)</f>
        <v>#DIV/0!</v>
      </c>
      <c r="H261" s="180" t="e">
        <f ca="1">D261+((1+'normal case'!M261/100)/('normal case'!D261/'normal case'!D260))*'external balance'!H260</f>
        <v>#DIV/0!</v>
      </c>
      <c r="I261" s="180"/>
    </row>
    <row r="262" spans="2:9">
      <c r="B262" s="180" t="e">
        <f ca="1">('normal case'!AC262*($K$6*'normal case'!D262*('normal case'!AC262^'external balance'!$K$4)))/'normal case'!D262</f>
        <v>#DIV/0!</v>
      </c>
      <c r="C262" s="180" t="e">
        <f ca="1">($K$5*$K$7*((1+$K$8)^'normal case'!A261)*'normal case'!AC262^$K$3)/'normal case'!D262</f>
        <v>#DIV/0!</v>
      </c>
      <c r="D262" s="116" t="e">
        <f ca="1">(C262-B262)+((('main page'!$U$38/100)*'normal case'!$D$3)/'normal case'!$D$3)</f>
        <v>#DIV/0!</v>
      </c>
      <c r="E262" s="180" t="e">
        <f ca="1">((('normal case'!M262/100)*'external balance'!H261)/('normal case'!D262/'normal case'!D261))</f>
        <v>#DIV/0!</v>
      </c>
      <c r="F262" s="180" t="e">
        <f t="shared" ca="1" si="4"/>
        <v>#DIV/0!</v>
      </c>
      <c r="H262" s="180" t="e">
        <f ca="1">D262+((1+'normal case'!M262/100)/('normal case'!D262/'normal case'!D261))*'external balance'!H261</f>
        <v>#DIV/0!</v>
      </c>
      <c r="I262" s="180"/>
    </row>
    <row r="263" spans="2:9">
      <c r="B263" s="180" t="e">
        <f ca="1">('normal case'!AC263*($K$6*'normal case'!D263*('normal case'!AC263^'external balance'!$K$4)))/'normal case'!D263</f>
        <v>#DIV/0!</v>
      </c>
      <c r="C263" s="180" t="e">
        <f ca="1">($K$5*$K$7*((1+$K$8)^'normal case'!A262)*'normal case'!AC263^$K$3)/'normal case'!D263</f>
        <v>#DIV/0!</v>
      </c>
      <c r="D263" s="116" t="e">
        <f ca="1">(C263-B263)+((('main page'!$U$38/100)*'normal case'!$D$3)/'normal case'!$D$3)</f>
        <v>#DIV/0!</v>
      </c>
      <c r="E263" s="180" t="e">
        <f ca="1">((('normal case'!M263/100)*'external balance'!H262)/('normal case'!D263/'normal case'!D262))</f>
        <v>#DIV/0!</v>
      </c>
      <c r="F263" s="180" t="e">
        <f t="shared" ca="1" si="4"/>
        <v>#DIV/0!</v>
      </c>
      <c r="H263" s="180" t="e">
        <f ca="1">D263+((1+'normal case'!M263/100)/('normal case'!D263/'normal case'!D262))*'external balance'!H262</f>
        <v>#DIV/0!</v>
      </c>
      <c r="I263" s="180"/>
    </row>
    <row r="264" spans="2:9">
      <c r="B264" s="180" t="e">
        <f ca="1">('normal case'!AC264*($K$6*'normal case'!D264*('normal case'!AC264^'external balance'!$K$4)))/'normal case'!D264</f>
        <v>#DIV/0!</v>
      </c>
      <c r="C264" s="180" t="e">
        <f ca="1">($K$5*$K$7*((1+$K$8)^'normal case'!A263)*'normal case'!AC264^$K$3)/'normal case'!D264</f>
        <v>#DIV/0!</v>
      </c>
      <c r="D264" s="116" t="e">
        <f ca="1">(C264-B264)+((('main page'!$U$38/100)*'normal case'!$D$3)/'normal case'!$D$3)</f>
        <v>#DIV/0!</v>
      </c>
      <c r="E264" s="180" t="e">
        <f ca="1">((('normal case'!M264/100)*'external balance'!H263)/('normal case'!D264/'normal case'!D263))</f>
        <v>#DIV/0!</v>
      </c>
      <c r="F264" s="180" t="e">
        <f t="shared" ca="1" si="4"/>
        <v>#DIV/0!</v>
      </c>
      <c r="H264" s="180" t="e">
        <f ca="1">D264+((1+'normal case'!M264/100)/('normal case'!D264/'normal case'!D263))*'external balance'!H263</f>
        <v>#DIV/0!</v>
      </c>
      <c r="I264" s="180"/>
    </row>
    <row r="265" spans="2:9">
      <c r="B265" s="180" t="e">
        <f ca="1">('normal case'!AC265*($K$6*'normal case'!D265*('normal case'!AC265^'external balance'!$K$4)))/'normal case'!D265</f>
        <v>#DIV/0!</v>
      </c>
      <c r="C265" s="180" t="e">
        <f ca="1">($K$5*$K$7*((1+$K$8)^'normal case'!A264)*'normal case'!AC265^$K$3)/'normal case'!D265</f>
        <v>#DIV/0!</v>
      </c>
      <c r="D265" s="116" t="e">
        <f ca="1">(C265-B265)+((('main page'!$U$38/100)*'normal case'!$D$3)/'normal case'!$D$3)</f>
        <v>#DIV/0!</v>
      </c>
      <c r="E265" s="180" t="e">
        <f ca="1">((('normal case'!M265/100)*'external balance'!H264)/('normal case'!D265/'normal case'!D264))</f>
        <v>#DIV/0!</v>
      </c>
      <c r="F265" s="180" t="e">
        <f t="shared" ca="1" si="4"/>
        <v>#DIV/0!</v>
      </c>
      <c r="H265" s="180" t="e">
        <f ca="1">D265+((1+'normal case'!M265/100)/('normal case'!D265/'normal case'!D264))*'external balance'!H264</f>
        <v>#DIV/0!</v>
      </c>
      <c r="I265" s="180"/>
    </row>
    <row r="266" spans="2:9">
      <c r="B266" s="180" t="e">
        <f ca="1">('normal case'!AC266*($K$6*'normal case'!D266*('normal case'!AC266^'external balance'!$K$4)))/'normal case'!D266</f>
        <v>#DIV/0!</v>
      </c>
      <c r="C266" s="180" t="e">
        <f ca="1">($K$5*$K$7*((1+$K$8)^'normal case'!A265)*'normal case'!AC266^$K$3)/'normal case'!D266</f>
        <v>#DIV/0!</v>
      </c>
      <c r="D266" s="116" t="e">
        <f ca="1">(C266-B266)+((('main page'!$U$38/100)*'normal case'!$D$3)/'normal case'!$D$3)</f>
        <v>#DIV/0!</v>
      </c>
      <c r="E266" s="180" t="e">
        <f ca="1">((('normal case'!M266/100)*'external balance'!H265)/('normal case'!D266/'normal case'!D265))</f>
        <v>#DIV/0!</v>
      </c>
      <c r="F266" s="180" t="e">
        <f t="shared" ca="1" si="4"/>
        <v>#DIV/0!</v>
      </c>
      <c r="H266" s="180" t="e">
        <f ca="1">D266+((1+'normal case'!M266/100)/('normal case'!D266/'normal case'!D265))*'external balance'!H265</f>
        <v>#DIV/0!</v>
      </c>
      <c r="I266" s="180"/>
    </row>
    <row r="267" spans="2:9">
      <c r="B267" s="180" t="e">
        <f ca="1">('normal case'!AC267*($K$6*'normal case'!D267*('normal case'!AC267^'external balance'!$K$4)))/'normal case'!D267</f>
        <v>#DIV/0!</v>
      </c>
      <c r="C267" s="180" t="e">
        <f ca="1">($K$5*$K$7*((1+$K$8)^'normal case'!A266)*'normal case'!AC267^$K$3)/'normal case'!D267</f>
        <v>#DIV/0!</v>
      </c>
      <c r="D267" s="116" t="e">
        <f ca="1">(C267-B267)+((('main page'!$U$38/100)*'normal case'!$D$3)/'normal case'!$D$3)</f>
        <v>#DIV/0!</v>
      </c>
      <c r="E267" s="180" t="e">
        <f ca="1">((('normal case'!M267/100)*'external balance'!H266)/('normal case'!D267/'normal case'!D266))</f>
        <v>#DIV/0!</v>
      </c>
      <c r="F267" s="180" t="e">
        <f t="shared" ca="1" si="4"/>
        <v>#DIV/0!</v>
      </c>
      <c r="H267" s="180" t="e">
        <f ca="1">D267+((1+'normal case'!M267/100)/('normal case'!D267/'normal case'!D266))*'external balance'!H266</f>
        <v>#DIV/0!</v>
      </c>
      <c r="I267" s="180"/>
    </row>
    <row r="268" spans="2:9">
      <c r="B268" s="180" t="e">
        <f ca="1">('normal case'!AC268*($K$6*'normal case'!D268*('normal case'!AC268^'external balance'!$K$4)))/'normal case'!D268</f>
        <v>#DIV/0!</v>
      </c>
      <c r="C268" s="180" t="e">
        <f ca="1">($K$5*$K$7*((1+$K$8)^'normal case'!A267)*'normal case'!AC268^$K$3)/'normal case'!D268</f>
        <v>#DIV/0!</v>
      </c>
      <c r="D268" s="116" t="e">
        <f ca="1">(C268-B268)+((('main page'!$U$38/100)*'normal case'!$D$3)/'normal case'!$D$3)</f>
        <v>#DIV/0!</v>
      </c>
      <c r="E268" s="180" t="e">
        <f ca="1">((('normal case'!M268/100)*'external balance'!H267)/('normal case'!D268/'normal case'!D267))</f>
        <v>#DIV/0!</v>
      </c>
      <c r="F268" s="180" t="e">
        <f t="shared" ca="1" si="4"/>
        <v>#DIV/0!</v>
      </c>
      <c r="H268" s="180" t="e">
        <f ca="1">D268+((1+'normal case'!M268/100)/('normal case'!D268/'normal case'!D267))*'external balance'!H267</f>
        <v>#DIV/0!</v>
      </c>
      <c r="I268" s="180"/>
    </row>
    <row r="269" spans="2:9">
      <c r="B269" s="180" t="e">
        <f ca="1">('normal case'!AC269*($K$6*'normal case'!D269*('normal case'!AC269^'external balance'!$K$4)))/'normal case'!D269</f>
        <v>#DIV/0!</v>
      </c>
      <c r="C269" s="180" t="e">
        <f ca="1">($K$5*$K$7*((1+$K$8)^'normal case'!A268)*'normal case'!AC269^$K$3)/'normal case'!D269</f>
        <v>#DIV/0!</v>
      </c>
      <c r="D269" s="116" t="e">
        <f ca="1">(C269-B269)+((('main page'!$U$38/100)*'normal case'!$D$3)/'normal case'!$D$3)</f>
        <v>#DIV/0!</v>
      </c>
      <c r="E269" s="180" t="e">
        <f ca="1">((('normal case'!M269/100)*'external balance'!H268)/('normal case'!D269/'normal case'!D268))</f>
        <v>#DIV/0!</v>
      </c>
      <c r="F269" s="180" t="e">
        <f t="shared" ca="1" si="4"/>
        <v>#DIV/0!</v>
      </c>
      <c r="H269" s="180" t="e">
        <f ca="1">D269+((1+'normal case'!M269/100)/('normal case'!D269/'normal case'!D268))*'external balance'!H268</f>
        <v>#DIV/0!</v>
      </c>
      <c r="I269" s="180"/>
    </row>
    <row r="270" spans="2:9">
      <c r="B270" s="180" t="e">
        <f ca="1">('normal case'!AC270*($K$6*'normal case'!D270*('normal case'!AC270^'external balance'!$K$4)))/'normal case'!D270</f>
        <v>#DIV/0!</v>
      </c>
      <c r="C270" s="180" t="e">
        <f ca="1">($K$5*$K$7*((1+$K$8)^'normal case'!A269)*'normal case'!AC270^$K$3)/'normal case'!D270</f>
        <v>#DIV/0!</v>
      </c>
      <c r="D270" s="116" t="e">
        <f ca="1">(C270-B270)+((('main page'!$U$38/100)*'normal case'!$D$3)/'normal case'!$D$3)</f>
        <v>#DIV/0!</v>
      </c>
      <c r="E270" s="180" t="e">
        <f ca="1">((('normal case'!M270/100)*'external balance'!H269)/('normal case'!D270/'normal case'!D269))</f>
        <v>#DIV/0!</v>
      </c>
      <c r="F270" s="180" t="e">
        <f t="shared" ca="1" si="4"/>
        <v>#DIV/0!</v>
      </c>
      <c r="H270" s="180" t="e">
        <f ca="1">D270+((1+'normal case'!M270/100)/('normal case'!D270/'normal case'!D269))*'external balance'!H269</f>
        <v>#DIV/0!</v>
      </c>
      <c r="I270" s="180"/>
    </row>
    <row r="271" spans="2:9">
      <c r="B271" s="180" t="e">
        <f ca="1">('normal case'!AC271*($K$6*'normal case'!D271*('normal case'!AC271^'external balance'!$K$4)))/'normal case'!D271</f>
        <v>#DIV/0!</v>
      </c>
      <c r="C271" s="180" t="e">
        <f ca="1">($K$5*$K$7*((1+$K$8)^'normal case'!A270)*'normal case'!AC271^$K$3)/'normal case'!D271</f>
        <v>#DIV/0!</v>
      </c>
      <c r="D271" s="116" t="e">
        <f ca="1">(C271-B271)+((('main page'!$U$38/100)*'normal case'!$D$3)/'normal case'!$D$3)</f>
        <v>#DIV/0!</v>
      </c>
      <c r="E271" s="180" t="e">
        <f ca="1">((('normal case'!M271/100)*'external balance'!H270)/('normal case'!D271/'normal case'!D270))</f>
        <v>#DIV/0!</v>
      </c>
      <c r="F271" s="180" t="e">
        <f t="shared" ca="1" si="4"/>
        <v>#DIV/0!</v>
      </c>
      <c r="H271" s="180" t="e">
        <f ca="1">D271+((1+'normal case'!M271/100)/('normal case'!D271/'normal case'!D270))*'external balance'!H270</f>
        <v>#DIV/0!</v>
      </c>
      <c r="I271" s="180"/>
    </row>
    <row r="272" spans="2:9">
      <c r="B272" s="180" t="e">
        <f ca="1">('normal case'!AC272*($K$6*'normal case'!D272*('normal case'!AC272^'external balance'!$K$4)))/'normal case'!D272</f>
        <v>#DIV/0!</v>
      </c>
      <c r="C272" s="180" t="e">
        <f ca="1">($K$5*$K$7*((1+$K$8)^'normal case'!A271)*'normal case'!AC272^$K$3)/'normal case'!D272</f>
        <v>#DIV/0!</v>
      </c>
      <c r="D272" s="116" t="e">
        <f ca="1">(C272-B272)+((('main page'!$U$38/100)*'normal case'!$D$3)/'normal case'!$D$3)</f>
        <v>#DIV/0!</v>
      </c>
      <c r="E272" s="180" t="e">
        <f ca="1">((('normal case'!M272/100)*'external balance'!H271)/('normal case'!D272/'normal case'!D271))</f>
        <v>#DIV/0!</v>
      </c>
      <c r="F272" s="180" t="e">
        <f t="shared" ca="1" si="4"/>
        <v>#DIV/0!</v>
      </c>
      <c r="H272" s="180" t="e">
        <f ca="1">D272+((1+'normal case'!M272/100)/('normal case'!D272/'normal case'!D271))*'external balance'!H271</f>
        <v>#DIV/0!</v>
      </c>
      <c r="I272" s="180"/>
    </row>
    <row r="273" spans="2:9">
      <c r="B273" s="180" t="e">
        <f ca="1">('normal case'!AC273*($K$6*'normal case'!D273*('normal case'!AC273^'external balance'!$K$4)))/'normal case'!D273</f>
        <v>#DIV/0!</v>
      </c>
      <c r="C273" s="180" t="e">
        <f ca="1">($K$5*$K$7*((1+$K$8)^'normal case'!A272)*'normal case'!AC273^$K$3)/'normal case'!D273</f>
        <v>#DIV/0!</v>
      </c>
      <c r="D273" s="116" t="e">
        <f ca="1">(C273-B273)+((('main page'!$U$38/100)*'normal case'!$D$3)/'normal case'!$D$3)</f>
        <v>#DIV/0!</v>
      </c>
      <c r="E273" s="180" t="e">
        <f ca="1">((('normal case'!M273/100)*'external balance'!H272)/('normal case'!D273/'normal case'!D272))</f>
        <v>#DIV/0!</v>
      </c>
      <c r="F273" s="180" t="e">
        <f t="shared" ca="1" si="4"/>
        <v>#DIV/0!</v>
      </c>
      <c r="H273" s="180" t="e">
        <f ca="1">D273+((1+'normal case'!M273/100)/('normal case'!D273/'normal case'!D272))*'external balance'!H272</f>
        <v>#DIV/0!</v>
      </c>
      <c r="I273" s="180"/>
    </row>
    <row r="274" spans="2:9">
      <c r="B274" s="180" t="e">
        <f ca="1">('normal case'!AC274*($K$6*'normal case'!D274*('normal case'!AC274^'external balance'!$K$4)))/'normal case'!D274</f>
        <v>#DIV/0!</v>
      </c>
      <c r="C274" s="180" t="e">
        <f ca="1">($K$5*$K$7*((1+$K$8)^'normal case'!A273)*'normal case'!AC274^$K$3)/'normal case'!D274</f>
        <v>#DIV/0!</v>
      </c>
      <c r="D274" s="116" t="e">
        <f ca="1">(C274-B274)+((('main page'!$U$38/100)*'normal case'!$D$3)/'normal case'!$D$3)</f>
        <v>#DIV/0!</v>
      </c>
      <c r="E274" s="180" t="e">
        <f ca="1">((('normal case'!M274/100)*'external balance'!H273)/('normal case'!D274/'normal case'!D273))</f>
        <v>#DIV/0!</v>
      </c>
      <c r="F274" s="180" t="e">
        <f t="shared" ca="1" si="4"/>
        <v>#DIV/0!</v>
      </c>
      <c r="H274" s="180" t="e">
        <f ca="1">D274+((1+'normal case'!M274/100)/('normal case'!D274/'normal case'!D273))*'external balance'!H273</f>
        <v>#DIV/0!</v>
      </c>
      <c r="I274" s="180"/>
    </row>
    <row r="275" spans="2:9">
      <c r="B275" s="180" t="e">
        <f ca="1">('normal case'!AC275*($K$6*'normal case'!D275*('normal case'!AC275^'external balance'!$K$4)))/'normal case'!D275</f>
        <v>#DIV/0!</v>
      </c>
      <c r="C275" s="180" t="e">
        <f ca="1">($K$5*$K$7*((1+$K$8)^'normal case'!A274)*'normal case'!AC275^$K$3)/'normal case'!D275</f>
        <v>#DIV/0!</v>
      </c>
      <c r="D275" s="116" t="e">
        <f ca="1">(C275-B275)+((('main page'!$U$38/100)*'normal case'!$D$3)/'normal case'!$D$3)</f>
        <v>#DIV/0!</v>
      </c>
      <c r="E275" s="180" t="e">
        <f ca="1">((('normal case'!M275/100)*'external balance'!H274)/('normal case'!D275/'normal case'!D274))</f>
        <v>#DIV/0!</v>
      </c>
      <c r="F275" s="180" t="e">
        <f t="shared" ca="1" si="4"/>
        <v>#DIV/0!</v>
      </c>
      <c r="H275" s="180" t="e">
        <f ca="1">D275+((1+'normal case'!M275/100)/('normal case'!D275/'normal case'!D274))*'external balance'!H274</f>
        <v>#DIV/0!</v>
      </c>
      <c r="I275" s="180"/>
    </row>
    <row r="276" spans="2:9">
      <c r="B276" s="180" t="e">
        <f ca="1">('normal case'!AC276*($K$6*'normal case'!D276*('normal case'!AC276^'external balance'!$K$4)))/'normal case'!D276</f>
        <v>#DIV/0!</v>
      </c>
      <c r="C276" s="180" t="e">
        <f ca="1">($K$5*$K$7*((1+$K$8)^'normal case'!A275)*'normal case'!AC276^$K$3)/'normal case'!D276</f>
        <v>#DIV/0!</v>
      </c>
      <c r="D276" s="116" t="e">
        <f ca="1">(C276-B276)+((('main page'!$U$38/100)*'normal case'!$D$3)/'normal case'!$D$3)</f>
        <v>#DIV/0!</v>
      </c>
      <c r="E276" s="180" t="e">
        <f ca="1">((('normal case'!M276/100)*'external balance'!H275)/('normal case'!D276/'normal case'!D275))</f>
        <v>#DIV/0!</v>
      </c>
      <c r="F276" s="180" t="e">
        <f t="shared" ca="1" si="4"/>
        <v>#DIV/0!</v>
      </c>
      <c r="H276" s="180" t="e">
        <f ca="1">D276+((1+'normal case'!M276/100)/('normal case'!D276/'normal case'!D275))*'external balance'!H275</f>
        <v>#DIV/0!</v>
      </c>
      <c r="I276" s="180"/>
    </row>
    <row r="277" spans="2:9">
      <c r="B277" s="180" t="e">
        <f ca="1">('normal case'!AC277*($K$6*'normal case'!D277*('normal case'!AC277^'external balance'!$K$4)))/'normal case'!D277</f>
        <v>#DIV/0!</v>
      </c>
      <c r="C277" s="180" t="e">
        <f ca="1">($K$5*$K$7*((1+$K$8)^'normal case'!A276)*'normal case'!AC277^$K$3)/'normal case'!D277</f>
        <v>#DIV/0!</v>
      </c>
      <c r="D277" s="116" t="e">
        <f ca="1">(C277-B277)+((('main page'!$U$38/100)*'normal case'!$D$3)/'normal case'!$D$3)</f>
        <v>#DIV/0!</v>
      </c>
      <c r="E277" s="180" t="e">
        <f ca="1">((('normal case'!M277/100)*'external balance'!H276)/('normal case'!D277/'normal case'!D276))</f>
        <v>#DIV/0!</v>
      </c>
      <c r="F277" s="180" t="e">
        <f t="shared" ca="1" si="4"/>
        <v>#DIV/0!</v>
      </c>
      <c r="H277" s="180" t="e">
        <f ca="1">D277+((1+'normal case'!M277/100)/('normal case'!D277/'normal case'!D276))*'external balance'!H276</f>
        <v>#DIV/0!</v>
      </c>
      <c r="I277" s="180"/>
    </row>
    <row r="278" spans="2:9">
      <c r="B278" s="180" t="e">
        <f ca="1">('normal case'!AC278*($K$6*'normal case'!D278*('normal case'!AC278^'external balance'!$K$4)))/'normal case'!D278</f>
        <v>#DIV/0!</v>
      </c>
      <c r="C278" s="180" t="e">
        <f ca="1">($K$5*$K$7*((1+$K$8)^'normal case'!A277)*'normal case'!AC278^$K$3)/'normal case'!D278</f>
        <v>#DIV/0!</v>
      </c>
      <c r="D278" s="116" t="e">
        <f ca="1">(C278-B278)+((('main page'!$U$38/100)*'normal case'!$D$3)/'normal case'!$D$3)</f>
        <v>#DIV/0!</v>
      </c>
      <c r="E278" s="180" t="e">
        <f ca="1">((('normal case'!M278/100)*'external balance'!H277)/('normal case'!D278/'normal case'!D277))</f>
        <v>#DIV/0!</v>
      </c>
      <c r="F278" s="180" t="e">
        <f t="shared" ca="1" si="4"/>
        <v>#DIV/0!</v>
      </c>
      <c r="H278" s="180" t="e">
        <f ca="1">D278+((1+'normal case'!M278/100)/('normal case'!D278/'normal case'!D277))*'external balance'!H277</f>
        <v>#DIV/0!</v>
      </c>
      <c r="I278" s="180"/>
    </row>
    <row r="279" spans="2:9">
      <c r="B279" s="180" t="e">
        <f ca="1">('normal case'!AC279*($K$6*'normal case'!D279*('normal case'!AC279^'external balance'!$K$4)))/'normal case'!D279</f>
        <v>#DIV/0!</v>
      </c>
      <c r="C279" s="180" t="e">
        <f ca="1">($K$5*$K$7*((1+$K$8)^'normal case'!A278)*'normal case'!AC279^$K$3)/'normal case'!D279</f>
        <v>#DIV/0!</v>
      </c>
      <c r="D279" s="116" t="e">
        <f ca="1">(C279-B279)+((('main page'!$U$38/100)*'normal case'!$D$3)/'normal case'!$D$3)</f>
        <v>#DIV/0!</v>
      </c>
      <c r="E279" s="180" t="e">
        <f ca="1">((('normal case'!M279/100)*'external balance'!H278)/('normal case'!D279/'normal case'!D278))</f>
        <v>#DIV/0!</v>
      </c>
      <c r="F279" s="180" t="e">
        <f t="shared" ca="1" si="4"/>
        <v>#DIV/0!</v>
      </c>
      <c r="H279" s="180" t="e">
        <f ca="1">D279+((1+'normal case'!M279/100)/('normal case'!D279/'normal case'!D278))*'external balance'!H278</f>
        <v>#DIV/0!</v>
      </c>
      <c r="I279" s="180"/>
    </row>
    <row r="280" spans="2:9">
      <c r="B280" s="180" t="e">
        <f ca="1">('normal case'!AC280*($K$6*'normal case'!D280*('normal case'!AC280^'external balance'!$K$4)))/'normal case'!D280</f>
        <v>#DIV/0!</v>
      </c>
      <c r="C280" s="180" t="e">
        <f ca="1">($K$5*$K$7*((1+$K$8)^'normal case'!A279)*'normal case'!AC280^$K$3)/'normal case'!D280</f>
        <v>#DIV/0!</v>
      </c>
      <c r="D280" s="116" t="e">
        <f ca="1">(C280-B280)+((('main page'!$U$38/100)*'normal case'!$D$3)/'normal case'!$D$3)</f>
        <v>#DIV/0!</v>
      </c>
      <c r="E280" s="180" t="e">
        <f ca="1">((('normal case'!M280/100)*'external balance'!H279)/('normal case'!D280/'normal case'!D279))</f>
        <v>#DIV/0!</v>
      </c>
      <c r="F280" s="180" t="e">
        <f t="shared" ca="1" si="4"/>
        <v>#DIV/0!</v>
      </c>
      <c r="H280" s="180" t="e">
        <f ca="1">D280+((1+'normal case'!M280/100)/('normal case'!D280/'normal case'!D279))*'external balance'!H279</f>
        <v>#DIV/0!</v>
      </c>
      <c r="I280" s="180"/>
    </row>
    <row r="281" spans="2:9">
      <c r="B281" s="180" t="e">
        <f ca="1">('normal case'!AC281*($K$6*'normal case'!D281*('normal case'!AC281^'external balance'!$K$4)))/'normal case'!D281</f>
        <v>#DIV/0!</v>
      </c>
      <c r="C281" s="180" t="e">
        <f ca="1">($K$5*$K$7*((1+$K$8)^'normal case'!A280)*'normal case'!AC281^$K$3)/'normal case'!D281</f>
        <v>#DIV/0!</v>
      </c>
      <c r="D281" s="116" t="e">
        <f ca="1">(C281-B281)+((('main page'!$U$38/100)*'normal case'!$D$3)/'normal case'!$D$3)</f>
        <v>#DIV/0!</v>
      </c>
      <c r="E281" s="180" t="e">
        <f ca="1">((('normal case'!M281/100)*'external balance'!H280)/('normal case'!D281/'normal case'!D280))</f>
        <v>#DIV/0!</v>
      </c>
      <c r="F281" s="180" t="e">
        <f t="shared" ca="1" si="4"/>
        <v>#DIV/0!</v>
      </c>
      <c r="H281" s="180" t="e">
        <f ca="1">D281+((1+'normal case'!M281/100)/('normal case'!D281/'normal case'!D280))*'external balance'!H280</f>
        <v>#DIV/0!</v>
      </c>
      <c r="I281" s="180"/>
    </row>
    <row r="282" spans="2:9">
      <c r="B282" s="180" t="e">
        <f ca="1">('normal case'!AC282*($K$6*'normal case'!D282*('normal case'!AC282^'external balance'!$K$4)))/'normal case'!D282</f>
        <v>#DIV/0!</v>
      </c>
      <c r="C282" s="180" t="e">
        <f ca="1">($K$5*$K$7*((1+$K$8)^'normal case'!A281)*'normal case'!AC282^$K$3)/'normal case'!D282</f>
        <v>#DIV/0!</v>
      </c>
      <c r="D282" s="116" t="e">
        <f ca="1">(C282-B282)+((('main page'!$U$38/100)*'normal case'!$D$3)/'normal case'!$D$3)</f>
        <v>#DIV/0!</v>
      </c>
      <c r="E282" s="180" t="e">
        <f ca="1">((('normal case'!M282/100)*'external balance'!H281)/('normal case'!D282/'normal case'!D281))</f>
        <v>#DIV/0!</v>
      </c>
      <c r="F282" s="180" t="e">
        <f t="shared" ca="1" si="4"/>
        <v>#DIV/0!</v>
      </c>
      <c r="H282" s="180" t="e">
        <f ca="1">D282+((1+'normal case'!M282/100)/('normal case'!D282/'normal case'!D281))*'external balance'!H281</f>
        <v>#DIV/0!</v>
      </c>
      <c r="I282" s="180"/>
    </row>
    <row r="283" spans="2:9">
      <c r="B283" s="180" t="e">
        <f ca="1">('normal case'!AC283*($K$6*'normal case'!D283*('normal case'!AC283^'external balance'!$K$4)))/'normal case'!D283</f>
        <v>#DIV/0!</v>
      </c>
      <c r="C283" s="180" t="e">
        <f ca="1">($K$5*$K$7*((1+$K$8)^'normal case'!A282)*'normal case'!AC283^$K$3)/'normal case'!D283</f>
        <v>#DIV/0!</v>
      </c>
      <c r="D283" s="116" t="e">
        <f ca="1">(C283-B283)+((('main page'!$U$38/100)*'normal case'!$D$3)/'normal case'!$D$3)</f>
        <v>#DIV/0!</v>
      </c>
      <c r="E283" s="180" t="e">
        <f ca="1">((('normal case'!M283/100)*'external balance'!H282)/('normal case'!D283/'normal case'!D282))</f>
        <v>#DIV/0!</v>
      </c>
      <c r="F283" s="180" t="e">
        <f t="shared" ca="1" si="4"/>
        <v>#DIV/0!</v>
      </c>
      <c r="H283" s="180" t="e">
        <f ca="1">D283+((1+'normal case'!M283/100)/('normal case'!D283/'normal case'!D282))*'external balance'!H282</f>
        <v>#DIV/0!</v>
      </c>
      <c r="I283" s="180"/>
    </row>
    <row r="284" spans="2:9">
      <c r="B284" s="180" t="e">
        <f ca="1">('normal case'!AC284*($K$6*'normal case'!D284*('normal case'!AC284^'external balance'!$K$4)))/'normal case'!D284</f>
        <v>#DIV/0!</v>
      </c>
      <c r="C284" s="180" t="e">
        <f ca="1">($K$5*$K$7*((1+$K$8)^'normal case'!A283)*'normal case'!AC284^$K$3)/'normal case'!D284</f>
        <v>#DIV/0!</v>
      </c>
      <c r="D284" s="116" t="e">
        <f ca="1">(C284-B284)+((('main page'!$U$38/100)*'normal case'!$D$3)/'normal case'!$D$3)</f>
        <v>#DIV/0!</v>
      </c>
      <c r="E284" s="180" t="e">
        <f ca="1">((('normal case'!M284/100)*'external balance'!H283)/('normal case'!D284/'normal case'!D283))</f>
        <v>#DIV/0!</v>
      </c>
      <c r="F284" s="180" t="e">
        <f t="shared" ca="1" si="4"/>
        <v>#DIV/0!</v>
      </c>
      <c r="H284" s="180" t="e">
        <f ca="1">D284+((1+'normal case'!M284/100)/('normal case'!D284/'normal case'!D283))*'external balance'!H283</f>
        <v>#DIV/0!</v>
      </c>
      <c r="I284" s="180"/>
    </row>
    <row r="285" spans="2:9">
      <c r="B285" s="180" t="e">
        <f ca="1">('normal case'!AC285*($K$6*'normal case'!D285*('normal case'!AC285^'external balance'!$K$4)))/'normal case'!D285</f>
        <v>#DIV/0!</v>
      </c>
      <c r="C285" s="180" t="e">
        <f ca="1">($K$5*$K$7*((1+$K$8)^'normal case'!A284)*'normal case'!AC285^$K$3)/'normal case'!D285</f>
        <v>#DIV/0!</v>
      </c>
      <c r="D285" s="116" t="e">
        <f ca="1">(C285-B285)+((('main page'!$U$38/100)*'normal case'!$D$3)/'normal case'!$D$3)</f>
        <v>#DIV/0!</v>
      </c>
      <c r="E285" s="180" t="e">
        <f ca="1">((('normal case'!M285/100)*'external balance'!H284)/('normal case'!D285/'normal case'!D284))</f>
        <v>#DIV/0!</v>
      </c>
      <c r="F285" s="180" t="e">
        <f t="shared" ca="1" si="4"/>
        <v>#DIV/0!</v>
      </c>
      <c r="H285" s="180" t="e">
        <f ca="1">D285+((1+'normal case'!M285/100)/('normal case'!D285/'normal case'!D284))*'external balance'!H284</f>
        <v>#DIV/0!</v>
      </c>
      <c r="I285" s="180"/>
    </row>
    <row r="286" spans="2:9">
      <c r="B286" s="180" t="e">
        <f ca="1">('normal case'!AC286*($K$6*'normal case'!D286*('normal case'!AC286^'external balance'!$K$4)))/'normal case'!D286</f>
        <v>#DIV/0!</v>
      </c>
      <c r="C286" s="180" t="e">
        <f ca="1">($K$5*$K$7*((1+$K$8)^'normal case'!A285)*'normal case'!AC286^$K$3)/'normal case'!D286</f>
        <v>#DIV/0!</v>
      </c>
      <c r="D286" s="116" t="e">
        <f ca="1">(C286-B286)+((('main page'!$U$38/100)*'normal case'!$D$3)/'normal case'!$D$3)</f>
        <v>#DIV/0!</v>
      </c>
      <c r="E286" s="180" t="e">
        <f ca="1">((('normal case'!M286/100)*'external balance'!H285)/('normal case'!D286/'normal case'!D285))</f>
        <v>#DIV/0!</v>
      </c>
      <c r="F286" s="180" t="e">
        <f t="shared" ca="1" si="4"/>
        <v>#DIV/0!</v>
      </c>
      <c r="H286" s="180" t="e">
        <f ca="1">D286+((1+'normal case'!M286/100)/('normal case'!D286/'normal case'!D285))*'external balance'!H285</f>
        <v>#DIV/0!</v>
      </c>
      <c r="I286" s="180"/>
    </row>
    <row r="287" spans="2:9">
      <c r="B287" s="180" t="e">
        <f ca="1">('normal case'!AC287*($K$6*'normal case'!D287*('normal case'!AC287^'external balance'!$K$4)))/'normal case'!D287</f>
        <v>#DIV/0!</v>
      </c>
      <c r="C287" s="180" t="e">
        <f ca="1">($K$5*$K$7*((1+$K$8)^'normal case'!A286)*'normal case'!AC287^$K$3)/'normal case'!D287</f>
        <v>#DIV/0!</v>
      </c>
      <c r="D287" s="116" t="e">
        <f ca="1">(C287-B287)+((('main page'!$U$38/100)*'normal case'!$D$3)/'normal case'!$D$3)</f>
        <v>#DIV/0!</v>
      </c>
      <c r="E287" s="180" t="e">
        <f ca="1">((('normal case'!M287/100)*'external balance'!H286)/('normal case'!D287/'normal case'!D286))</f>
        <v>#DIV/0!</v>
      </c>
      <c r="F287" s="180" t="e">
        <f t="shared" ca="1" si="4"/>
        <v>#DIV/0!</v>
      </c>
      <c r="H287" s="180" t="e">
        <f ca="1">D287+((1+'normal case'!M287/100)/('normal case'!D287/'normal case'!D286))*'external balance'!H286</f>
        <v>#DIV/0!</v>
      </c>
      <c r="I287" s="180"/>
    </row>
    <row r="288" spans="2:9">
      <c r="B288" s="180" t="e">
        <f ca="1">('normal case'!AC288*($K$6*'normal case'!D288*('normal case'!AC288^'external balance'!$K$4)))/'normal case'!D288</f>
        <v>#DIV/0!</v>
      </c>
      <c r="C288" s="180" t="e">
        <f ca="1">($K$5*$K$7*((1+$K$8)^'normal case'!A287)*'normal case'!AC288^$K$3)/'normal case'!D288</f>
        <v>#DIV/0!</v>
      </c>
      <c r="D288" s="116" t="e">
        <f ca="1">(C288-B288)+((('main page'!$U$38/100)*'normal case'!$D$3)/'normal case'!$D$3)</f>
        <v>#DIV/0!</v>
      </c>
      <c r="E288" s="180" t="e">
        <f ca="1">((('normal case'!M288/100)*'external balance'!H287)/('normal case'!D288/'normal case'!D287))</f>
        <v>#DIV/0!</v>
      </c>
      <c r="F288" s="180" t="e">
        <f t="shared" ca="1" si="4"/>
        <v>#DIV/0!</v>
      </c>
      <c r="H288" s="180" t="e">
        <f ca="1">D288+((1+'normal case'!M288/100)/('normal case'!D288/'normal case'!D287))*'external balance'!H287</f>
        <v>#DIV/0!</v>
      </c>
      <c r="I288" s="180"/>
    </row>
    <row r="289" spans="2:9">
      <c r="B289" s="180" t="e">
        <f ca="1">('normal case'!AC289*($K$6*'normal case'!D289*('normal case'!AC289^'external balance'!$K$4)))/'normal case'!D289</f>
        <v>#DIV/0!</v>
      </c>
      <c r="C289" s="180" t="e">
        <f ca="1">($K$5*$K$7*((1+$K$8)^'normal case'!A288)*'normal case'!AC289^$K$3)/'normal case'!D289</f>
        <v>#DIV/0!</v>
      </c>
      <c r="D289" s="116" t="e">
        <f ca="1">(C289-B289)+((('main page'!$U$38/100)*'normal case'!$D$3)/'normal case'!$D$3)</f>
        <v>#DIV/0!</v>
      </c>
      <c r="E289" s="180" t="e">
        <f ca="1">((('normal case'!M289/100)*'external balance'!H288)/('normal case'!D289/'normal case'!D288))</f>
        <v>#DIV/0!</v>
      </c>
      <c r="F289" s="180" t="e">
        <f t="shared" ca="1" si="4"/>
        <v>#DIV/0!</v>
      </c>
      <c r="H289" s="180" t="e">
        <f ca="1">D289+((1+'normal case'!M289/100)/('normal case'!D289/'normal case'!D288))*'external balance'!H288</f>
        <v>#DIV/0!</v>
      </c>
      <c r="I289" s="180"/>
    </row>
    <row r="290" spans="2:9">
      <c r="B290" s="180" t="e">
        <f ca="1">('normal case'!AC290*($K$6*'normal case'!D290*('normal case'!AC290^'external balance'!$K$4)))/'normal case'!D290</f>
        <v>#DIV/0!</v>
      </c>
      <c r="C290" s="180" t="e">
        <f ca="1">($K$5*$K$7*((1+$K$8)^'normal case'!A289)*'normal case'!AC290^$K$3)/'normal case'!D290</f>
        <v>#DIV/0!</v>
      </c>
      <c r="D290" s="116" t="e">
        <f ca="1">(C290-B290)+((('main page'!$U$38/100)*'normal case'!$D$3)/'normal case'!$D$3)</f>
        <v>#DIV/0!</v>
      </c>
      <c r="E290" s="180" t="e">
        <f ca="1">((('normal case'!M290/100)*'external balance'!H289)/('normal case'!D290/'normal case'!D289))</f>
        <v>#DIV/0!</v>
      </c>
      <c r="F290" s="180" t="e">
        <f t="shared" ca="1" si="4"/>
        <v>#DIV/0!</v>
      </c>
      <c r="H290" s="180" t="e">
        <f ca="1">D290+((1+'normal case'!M290/100)/('normal case'!D290/'normal case'!D289))*'external balance'!H289</f>
        <v>#DIV/0!</v>
      </c>
      <c r="I290" s="180"/>
    </row>
    <row r="291" spans="2:9">
      <c r="B291" s="180" t="e">
        <f ca="1">('normal case'!AC291*($K$6*'normal case'!D291*('normal case'!AC291^'external balance'!$K$4)))/'normal case'!D291</f>
        <v>#DIV/0!</v>
      </c>
      <c r="C291" s="180" t="e">
        <f ca="1">($K$5*$K$7*((1+$K$8)^'normal case'!A290)*'normal case'!AC291^$K$3)/'normal case'!D291</f>
        <v>#DIV/0!</v>
      </c>
      <c r="D291" s="116" t="e">
        <f ca="1">(C291-B291)+((('main page'!$U$38/100)*'normal case'!$D$3)/'normal case'!$D$3)</f>
        <v>#DIV/0!</v>
      </c>
      <c r="E291" s="180" t="e">
        <f ca="1">((('normal case'!M291/100)*'external balance'!H290)/('normal case'!D291/'normal case'!D290))</f>
        <v>#DIV/0!</v>
      </c>
      <c r="F291" s="180" t="e">
        <f t="shared" ca="1" si="4"/>
        <v>#DIV/0!</v>
      </c>
      <c r="H291" s="180" t="e">
        <f ca="1">D291+((1+'normal case'!M291/100)/('normal case'!D291/'normal case'!D290))*'external balance'!H290</f>
        <v>#DIV/0!</v>
      </c>
      <c r="I291" s="180"/>
    </row>
    <row r="292" spans="2:9">
      <c r="B292" s="180" t="e">
        <f ca="1">('normal case'!AC292*($K$6*'normal case'!D292*('normal case'!AC292^'external balance'!$K$4)))/'normal case'!D292</f>
        <v>#DIV/0!</v>
      </c>
      <c r="C292" s="180" t="e">
        <f ca="1">($K$5*$K$7*((1+$K$8)^'normal case'!A291)*'normal case'!AC292^$K$3)/'normal case'!D292</f>
        <v>#DIV/0!</v>
      </c>
      <c r="D292" s="116" t="e">
        <f ca="1">(C292-B292)+((('main page'!$U$38/100)*'normal case'!$D$3)/'normal case'!$D$3)</f>
        <v>#DIV/0!</v>
      </c>
      <c r="E292" s="180" t="e">
        <f ca="1">((('normal case'!M292/100)*'external balance'!H291)/('normal case'!D292/'normal case'!D291))</f>
        <v>#DIV/0!</v>
      </c>
      <c r="F292" s="180" t="e">
        <f t="shared" ca="1" si="4"/>
        <v>#DIV/0!</v>
      </c>
      <c r="H292" s="180" t="e">
        <f ca="1">D292+((1+'normal case'!M292/100)/('normal case'!D292/'normal case'!D291))*'external balance'!H291</f>
        <v>#DIV/0!</v>
      </c>
      <c r="I292" s="180"/>
    </row>
    <row r="293" spans="2:9">
      <c r="B293" s="180" t="e">
        <f ca="1">('normal case'!AC293*($K$6*'normal case'!D293*('normal case'!AC293^'external balance'!$K$4)))/'normal case'!D293</f>
        <v>#DIV/0!</v>
      </c>
      <c r="C293" s="180" t="e">
        <f ca="1">($K$5*$K$7*((1+$K$8)^'normal case'!A292)*'normal case'!AC293^$K$3)/'normal case'!D293</f>
        <v>#DIV/0!</v>
      </c>
      <c r="D293" s="116" t="e">
        <f ca="1">(C293-B293)+((('main page'!$U$38/100)*'normal case'!$D$3)/'normal case'!$D$3)</f>
        <v>#DIV/0!</v>
      </c>
      <c r="E293" s="180" t="e">
        <f ca="1">((('normal case'!M293/100)*'external balance'!H292)/('normal case'!D293/'normal case'!D292))</f>
        <v>#DIV/0!</v>
      </c>
      <c r="F293" s="180" t="e">
        <f t="shared" ca="1" si="4"/>
        <v>#DIV/0!</v>
      </c>
      <c r="H293" s="180" t="e">
        <f ca="1">D293+((1+'normal case'!M293/100)/('normal case'!D293/'normal case'!D292))*'external balance'!H292</f>
        <v>#DIV/0!</v>
      </c>
      <c r="I293" s="180"/>
    </row>
    <row r="294" spans="2:9">
      <c r="B294" s="180" t="e">
        <f ca="1">('normal case'!AC294*($K$6*'normal case'!D294*('normal case'!AC294^'external balance'!$K$4)))/'normal case'!D294</f>
        <v>#DIV/0!</v>
      </c>
      <c r="C294" s="180" t="e">
        <f ca="1">($K$5*$K$7*((1+$K$8)^'normal case'!A293)*'normal case'!AC294^$K$3)/'normal case'!D294</f>
        <v>#DIV/0!</v>
      </c>
      <c r="D294" s="116" t="e">
        <f ca="1">(C294-B294)+((('main page'!$U$38/100)*'normal case'!$D$3)/'normal case'!$D$3)</f>
        <v>#DIV/0!</v>
      </c>
      <c r="E294" s="180" t="e">
        <f ca="1">((('normal case'!M294/100)*'external balance'!H293)/('normal case'!D294/'normal case'!D293))</f>
        <v>#DIV/0!</v>
      </c>
      <c r="F294" s="180" t="e">
        <f t="shared" ca="1" si="4"/>
        <v>#DIV/0!</v>
      </c>
      <c r="H294" s="180" t="e">
        <f ca="1">D294+((1+'normal case'!M294/100)/('normal case'!D294/'normal case'!D293))*'external balance'!H293</f>
        <v>#DIV/0!</v>
      </c>
      <c r="I294" s="180"/>
    </row>
    <row r="295" spans="2:9">
      <c r="B295" s="180" t="e">
        <f ca="1">('normal case'!AC295*($K$6*'normal case'!D295*('normal case'!AC295^'external balance'!$K$4)))/'normal case'!D295</f>
        <v>#DIV/0!</v>
      </c>
      <c r="C295" s="180" t="e">
        <f ca="1">($K$5*$K$7*((1+$K$8)^'normal case'!A294)*'normal case'!AC295^$K$3)/'normal case'!D295</f>
        <v>#DIV/0!</v>
      </c>
      <c r="D295" s="116" t="e">
        <f ca="1">(C295-B295)+((('main page'!$U$38/100)*'normal case'!$D$3)/'normal case'!$D$3)</f>
        <v>#DIV/0!</v>
      </c>
      <c r="E295" s="180" t="e">
        <f ca="1">((('normal case'!M295/100)*'external balance'!H294)/('normal case'!D295/'normal case'!D294))</f>
        <v>#DIV/0!</v>
      </c>
      <c r="F295" s="180" t="e">
        <f t="shared" ca="1" si="4"/>
        <v>#DIV/0!</v>
      </c>
      <c r="H295" s="180" t="e">
        <f ca="1">D295+((1+'normal case'!M295/100)/('normal case'!D295/'normal case'!D294))*'external balance'!H294</f>
        <v>#DIV/0!</v>
      </c>
      <c r="I295" s="180"/>
    </row>
    <row r="296" spans="2:9">
      <c r="B296" s="180" t="e">
        <f ca="1">('normal case'!AC296*($K$6*'normal case'!D296*('normal case'!AC296^'external balance'!$K$4)))/'normal case'!D296</f>
        <v>#DIV/0!</v>
      </c>
      <c r="C296" s="180" t="e">
        <f ca="1">($K$5*$K$7*((1+$K$8)^'normal case'!A295)*'normal case'!AC296^$K$3)/'normal case'!D296</f>
        <v>#DIV/0!</v>
      </c>
      <c r="D296" s="116" t="e">
        <f ca="1">(C296-B296)+((('main page'!$U$38/100)*'normal case'!$D$3)/'normal case'!$D$3)</f>
        <v>#DIV/0!</v>
      </c>
      <c r="E296" s="180" t="e">
        <f ca="1">((('normal case'!M296/100)*'external balance'!H295)/('normal case'!D296/'normal case'!D295))</f>
        <v>#DIV/0!</v>
      </c>
      <c r="F296" s="180" t="e">
        <f t="shared" ca="1" si="4"/>
        <v>#DIV/0!</v>
      </c>
      <c r="H296" s="180" t="e">
        <f ca="1">D296+((1+'normal case'!M296/100)/('normal case'!D296/'normal case'!D295))*'external balance'!H295</f>
        <v>#DIV/0!</v>
      </c>
      <c r="I296" s="180"/>
    </row>
    <row r="297" spans="2:9">
      <c r="B297" s="180" t="e">
        <f ca="1">('normal case'!AC297*($K$6*'normal case'!D297*('normal case'!AC297^'external balance'!$K$4)))/'normal case'!D297</f>
        <v>#DIV/0!</v>
      </c>
      <c r="C297" s="180" t="e">
        <f ca="1">($K$5*$K$7*((1+$K$8)^'normal case'!A296)*'normal case'!AC297^$K$3)/'normal case'!D297</f>
        <v>#DIV/0!</v>
      </c>
      <c r="D297" s="116" t="e">
        <f ca="1">(C297-B297)+((('main page'!$U$38/100)*'normal case'!$D$3)/'normal case'!$D$3)</f>
        <v>#DIV/0!</v>
      </c>
      <c r="E297" s="180" t="e">
        <f ca="1">((('normal case'!M297/100)*'external balance'!H296)/('normal case'!D297/'normal case'!D296))</f>
        <v>#DIV/0!</v>
      </c>
      <c r="F297" s="180" t="e">
        <f t="shared" ca="1" si="4"/>
        <v>#DIV/0!</v>
      </c>
      <c r="H297" s="180" t="e">
        <f ca="1">D297+((1+'normal case'!M297/100)/('normal case'!D297/'normal case'!D296))*'external balance'!H296</f>
        <v>#DIV/0!</v>
      </c>
      <c r="I297" s="180"/>
    </row>
    <row r="298" spans="2:9">
      <c r="B298" s="180" t="e">
        <f ca="1">('normal case'!AC298*($K$6*'normal case'!D298*('normal case'!AC298^'external balance'!$K$4)))/'normal case'!D298</f>
        <v>#DIV/0!</v>
      </c>
      <c r="C298" s="180" t="e">
        <f ca="1">($K$5*$K$7*((1+$K$8)^'normal case'!A297)*'normal case'!AC298^$K$3)/'normal case'!D298</f>
        <v>#DIV/0!</v>
      </c>
      <c r="D298" s="116" t="e">
        <f ca="1">(C298-B298)+((('main page'!$U$38/100)*'normal case'!$D$3)/'normal case'!$D$3)</f>
        <v>#DIV/0!</v>
      </c>
      <c r="E298" s="180" t="e">
        <f ca="1">((('normal case'!M298/100)*'external balance'!H297)/('normal case'!D298/'normal case'!D297))</f>
        <v>#DIV/0!</v>
      </c>
      <c r="F298" s="180" t="e">
        <f t="shared" ca="1" si="4"/>
        <v>#DIV/0!</v>
      </c>
      <c r="H298" s="180" t="e">
        <f ca="1">D298+((1+'normal case'!M298/100)/('normal case'!D298/'normal case'!D297))*'external balance'!H297</f>
        <v>#DIV/0!</v>
      </c>
      <c r="I298" s="180"/>
    </row>
    <row r="299" spans="2:9">
      <c r="B299" s="180" t="e">
        <f ca="1">('normal case'!AC299*($K$6*'normal case'!D299*('normal case'!AC299^'external balance'!$K$4)))/'normal case'!D299</f>
        <v>#DIV/0!</v>
      </c>
      <c r="C299" s="180" t="e">
        <f ca="1">($K$5*$K$7*((1+$K$8)^'normal case'!A298)*'normal case'!AC299^$K$3)/'normal case'!D299</f>
        <v>#DIV/0!</v>
      </c>
      <c r="D299" s="116" t="e">
        <f ca="1">(C299-B299)+((('main page'!$U$38/100)*'normal case'!$D$3)/'normal case'!$D$3)</f>
        <v>#DIV/0!</v>
      </c>
      <c r="E299" s="180" t="e">
        <f ca="1">((('normal case'!M299/100)*'external balance'!H298)/('normal case'!D299/'normal case'!D298))</f>
        <v>#DIV/0!</v>
      </c>
      <c r="F299" s="180" t="e">
        <f t="shared" ca="1" si="4"/>
        <v>#DIV/0!</v>
      </c>
      <c r="H299" s="180" t="e">
        <f ca="1">D299+((1+'normal case'!M299/100)/('normal case'!D299/'normal case'!D298))*'external balance'!H298</f>
        <v>#DIV/0!</v>
      </c>
      <c r="I299" s="180"/>
    </row>
    <row r="300" spans="2:9">
      <c r="B300" s="180" t="e">
        <f ca="1">('normal case'!AC300*($K$6*'normal case'!D300*('normal case'!AC300^'external balance'!$K$4)))/'normal case'!D300</f>
        <v>#DIV/0!</v>
      </c>
      <c r="C300" s="180" t="e">
        <f ca="1">($K$5*$K$7*((1+$K$8)^'normal case'!A299)*'normal case'!AC300^$K$3)/'normal case'!D300</f>
        <v>#DIV/0!</v>
      </c>
      <c r="D300" s="116" t="e">
        <f ca="1">(C300-B300)+((('main page'!$U$38/100)*'normal case'!$D$3)/'normal case'!$D$3)</f>
        <v>#DIV/0!</v>
      </c>
      <c r="E300" s="180" t="e">
        <f ca="1">((('normal case'!M300/100)*'external balance'!H299)/('normal case'!D300/'normal case'!D299))</f>
        <v>#DIV/0!</v>
      </c>
      <c r="F300" s="180" t="e">
        <f t="shared" ca="1" si="4"/>
        <v>#DIV/0!</v>
      </c>
      <c r="H300" s="180" t="e">
        <f ca="1">D300+((1+'normal case'!M300/100)/('normal case'!D300/'normal case'!D299))*'external balance'!H299</f>
        <v>#DIV/0!</v>
      </c>
      <c r="I300" s="180"/>
    </row>
    <row r="301" spans="2:9">
      <c r="B301" s="180" t="e">
        <f ca="1">('normal case'!AC301*($K$6*'normal case'!D301*('normal case'!AC301^'external balance'!$K$4)))/'normal case'!D301</f>
        <v>#DIV/0!</v>
      </c>
      <c r="C301" s="180" t="e">
        <f ca="1">($K$5*$K$7*((1+$K$8)^'normal case'!A300)*'normal case'!AC301^$K$3)/'normal case'!D301</f>
        <v>#DIV/0!</v>
      </c>
      <c r="D301" s="116" t="e">
        <f ca="1">(C301-B301)+((('main page'!$U$38/100)*'normal case'!$D$3)/'normal case'!$D$3)</f>
        <v>#DIV/0!</v>
      </c>
      <c r="E301" s="180" t="e">
        <f ca="1">((('normal case'!M301/100)*'external balance'!H300)/('normal case'!D301/'normal case'!D300))</f>
        <v>#DIV/0!</v>
      </c>
      <c r="F301" s="180" t="e">
        <f t="shared" ca="1" si="4"/>
        <v>#DIV/0!</v>
      </c>
      <c r="H301" s="180" t="e">
        <f ca="1">D301+((1+'normal case'!M301/100)/('normal case'!D301/'normal case'!D300))*'external balance'!H300</f>
        <v>#DIV/0!</v>
      </c>
      <c r="I301" s="180"/>
    </row>
    <row r="302" spans="2:9">
      <c r="B302" s="180" t="e">
        <f ca="1">('normal case'!AC302*($K$6*'normal case'!D302*('normal case'!AC302^'external balance'!$K$4)))/'normal case'!D302</f>
        <v>#DIV/0!</v>
      </c>
      <c r="C302" s="180" t="e">
        <f ca="1">($K$5*$K$7*((1+$K$8)^'normal case'!A301)*'normal case'!AC302^$K$3)/'normal case'!D302</f>
        <v>#DIV/0!</v>
      </c>
      <c r="D302" s="116" t="e">
        <f ca="1">(C302-B302)+((('main page'!$U$38/100)*'normal case'!$D$3)/'normal case'!$D$3)</f>
        <v>#DIV/0!</v>
      </c>
      <c r="E302" s="180" t="e">
        <f ca="1">((('normal case'!M302/100)*'external balance'!H301)/('normal case'!D302/'normal case'!D301))</f>
        <v>#DIV/0!</v>
      </c>
      <c r="F302" s="180" t="e">
        <f t="shared" ca="1" si="4"/>
        <v>#DIV/0!</v>
      </c>
      <c r="H302" s="180" t="e">
        <f ca="1">D302+((1+'normal case'!M302/100)/('normal case'!D302/'normal case'!D301))*'external balance'!H301</f>
        <v>#DIV/0!</v>
      </c>
      <c r="I302" s="180"/>
    </row>
    <row r="303" spans="2:9">
      <c r="B303" s="180" t="e">
        <f ca="1">('normal case'!AC303*($K$6*'normal case'!D303*('normal case'!AC303^'external balance'!$K$4)))/'normal case'!D303</f>
        <v>#DIV/0!</v>
      </c>
      <c r="C303" s="180" t="e">
        <f ca="1">($K$5*$K$7*((1+$K$8)^'normal case'!A302)*'normal case'!AC303^$K$3)/'normal case'!D303</f>
        <v>#DIV/0!</v>
      </c>
      <c r="D303" s="116" t="e">
        <f ca="1">(C303-B303)+((('main page'!$U$38/100)*'normal case'!$D$3)/'normal case'!$D$3)</f>
        <v>#DIV/0!</v>
      </c>
      <c r="E303" s="180" t="e">
        <f ca="1">((('normal case'!M303/100)*'external balance'!H302)/('normal case'!D303/'normal case'!D302))</f>
        <v>#DIV/0!</v>
      </c>
      <c r="F303" s="180" t="e">
        <f t="shared" ca="1" si="4"/>
        <v>#DIV/0!</v>
      </c>
      <c r="H303" s="180" t="e">
        <f ca="1">D303+((1+'normal case'!M303/100)/('normal case'!D303/'normal case'!D302))*'external balance'!H302</f>
        <v>#DIV/0!</v>
      </c>
      <c r="I303" s="180"/>
    </row>
    <row r="304" spans="2:9">
      <c r="B304" s="180" t="e">
        <f ca="1">('normal case'!AC304*($K$6*'normal case'!D304*('normal case'!AC304^'external balance'!$K$4)))/'normal case'!D304</f>
        <v>#DIV/0!</v>
      </c>
      <c r="C304" s="180" t="e">
        <f ca="1">($K$5*$K$7*((1+$K$8)^'normal case'!A303)*'normal case'!AC304^$K$3)/'normal case'!D304</f>
        <v>#DIV/0!</v>
      </c>
      <c r="D304" s="116" t="e">
        <f ca="1">(C304-B304)+((('main page'!$U$38/100)*'normal case'!$D$3)/'normal case'!$D$3)</f>
        <v>#DIV/0!</v>
      </c>
      <c r="E304" s="180" t="e">
        <f ca="1">((('normal case'!M304/100)*'external balance'!H303)/('normal case'!D304/'normal case'!D303))</f>
        <v>#DIV/0!</v>
      </c>
      <c r="F304" s="180" t="e">
        <f t="shared" ca="1" si="4"/>
        <v>#DIV/0!</v>
      </c>
      <c r="H304" s="180" t="e">
        <f ca="1">D304+((1+'normal case'!M304/100)/('normal case'!D304/'normal case'!D303))*'external balance'!H303</f>
        <v>#DIV/0!</v>
      </c>
      <c r="I304" s="180"/>
    </row>
    <row r="305" spans="2:8">
      <c r="B305" s="180" t="e">
        <f ca="1">('normal case'!AC305*($K$6*'normal case'!D305*('normal case'!AC305^'external balance'!$K$4)))/'normal case'!D305</f>
        <v>#DIV/0!</v>
      </c>
      <c r="C305" s="180" t="e">
        <f ca="1">($K$5*$K$7*((1+$K$8)^'normal case'!A304)*'normal case'!AC305^$K$3)/'normal case'!D305</f>
        <v>#DIV/0!</v>
      </c>
      <c r="D305" s="116" t="e">
        <f ca="1">(C305-B305)+((('main page'!$U$38/100)*'normal case'!$D$3)/'normal case'!$D$3)</f>
        <v>#DIV/0!</v>
      </c>
      <c r="E305" s="180" t="e">
        <f ca="1">((('normal case'!M305/100)*'external balance'!H304)/('normal case'!D305/'normal case'!D304))</f>
        <v>#DIV/0!</v>
      </c>
      <c r="F305" s="180" t="e">
        <f t="shared" ref="F305:F368" ca="1" si="5">IF(ABS(D305+E305-F304)&lt;0.0000001,F304,D305+E305)</f>
        <v>#DIV/0!</v>
      </c>
      <c r="H305" s="180" t="e">
        <f ca="1">D305+((1+'normal case'!M305/100)/('normal case'!D305/'normal case'!D304))*'external balance'!H304</f>
        <v>#DIV/0!</v>
      </c>
    </row>
    <row r="306" spans="2:8">
      <c r="B306" s="180" t="e">
        <f ca="1">('normal case'!AC306*($K$6*'normal case'!D306*('normal case'!AC306^'external balance'!$K$4)))/'normal case'!D306</f>
        <v>#DIV/0!</v>
      </c>
      <c r="C306" s="180" t="e">
        <f ca="1">($K$5*$K$7*((1+$K$8)^'normal case'!A305)*'normal case'!AC306^$K$3)/'normal case'!D306</f>
        <v>#DIV/0!</v>
      </c>
      <c r="D306" s="116" t="e">
        <f ca="1">(C306-B306)+((('main page'!$U$38/100)*'normal case'!$D$3)/'normal case'!$D$3)</f>
        <v>#DIV/0!</v>
      </c>
      <c r="E306" s="180" t="e">
        <f ca="1">((('normal case'!M306/100)*'external balance'!H305)/('normal case'!D306/'normal case'!D305))</f>
        <v>#DIV/0!</v>
      </c>
      <c r="F306" s="180" t="e">
        <f t="shared" ca="1" si="5"/>
        <v>#DIV/0!</v>
      </c>
      <c r="H306" s="180" t="e">
        <f ca="1">D306+((1+'normal case'!M306/100)/('normal case'!D306/'normal case'!D305))*'external balance'!H305</f>
        <v>#DIV/0!</v>
      </c>
    </row>
    <row r="307" spans="2:8">
      <c r="B307" s="180" t="e">
        <f ca="1">('normal case'!AC307*($K$6*'normal case'!D307*('normal case'!AC307^'external balance'!$K$4)))/'normal case'!D307</f>
        <v>#DIV/0!</v>
      </c>
      <c r="C307" s="180" t="e">
        <f ca="1">($K$5*$K$7*((1+$K$8)^'normal case'!A306)*'normal case'!AC307^$K$3)/'normal case'!D307</f>
        <v>#DIV/0!</v>
      </c>
      <c r="D307" s="116" t="e">
        <f ca="1">(C307-B307)+((('main page'!$U$38/100)*'normal case'!$D$3)/'normal case'!$D$3)</f>
        <v>#DIV/0!</v>
      </c>
      <c r="E307" s="180" t="e">
        <f ca="1">((('normal case'!M307/100)*'external balance'!H306)/('normal case'!D307/'normal case'!D306))</f>
        <v>#DIV/0!</v>
      </c>
      <c r="F307" s="180" t="e">
        <f t="shared" ca="1" si="5"/>
        <v>#DIV/0!</v>
      </c>
      <c r="H307" s="180" t="e">
        <f ca="1">D307+((1+'normal case'!M307/100)/('normal case'!D307/'normal case'!D306))*'external balance'!H306</f>
        <v>#DIV/0!</v>
      </c>
    </row>
    <row r="308" spans="2:8">
      <c r="B308" s="180" t="e">
        <f ca="1">('normal case'!AC308*($K$6*'normal case'!D308*('normal case'!AC308^'external balance'!$K$4)))/'normal case'!D308</f>
        <v>#DIV/0!</v>
      </c>
      <c r="C308" s="180" t="e">
        <f ca="1">($K$5*$K$7*((1+$K$8)^'normal case'!A307)*'normal case'!AC308^$K$3)/'normal case'!D308</f>
        <v>#DIV/0!</v>
      </c>
      <c r="D308" s="116" t="e">
        <f ca="1">(C308-B308)+((('main page'!$U$38/100)*'normal case'!$D$3)/'normal case'!$D$3)</f>
        <v>#DIV/0!</v>
      </c>
      <c r="E308" s="180" t="e">
        <f ca="1">((('normal case'!M308/100)*'external balance'!H307)/('normal case'!D308/'normal case'!D307))</f>
        <v>#DIV/0!</v>
      </c>
      <c r="F308" s="180" t="e">
        <f t="shared" ca="1" si="5"/>
        <v>#DIV/0!</v>
      </c>
      <c r="H308" s="180" t="e">
        <f ca="1">D308+((1+'normal case'!M308/100)/('normal case'!D308/'normal case'!D307))*'external balance'!H307</f>
        <v>#DIV/0!</v>
      </c>
    </row>
    <row r="309" spans="2:8">
      <c r="B309" s="180" t="e">
        <f ca="1">('normal case'!AC309*($K$6*'normal case'!D309*('normal case'!AC309^'external balance'!$K$4)))/'normal case'!D309</f>
        <v>#DIV/0!</v>
      </c>
      <c r="C309" s="180" t="e">
        <f ca="1">($K$5*$K$7*((1+$K$8)^'normal case'!A308)*'normal case'!AC309^$K$3)/'normal case'!D309</f>
        <v>#DIV/0!</v>
      </c>
      <c r="D309" s="116" t="e">
        <f ca="1">(C309-B309)+((('main page'!$U$38/100)*'normal case'!$D$3)/'normal case'!$D$3)</f>
        <v>#DIV/0!</v>
      </c>
      <c r="E309" s="180" t="e">
        <f ca="1">((('normal case'!M309/100)*'external balance'!H308)/('normal case'!D309/'normal case'!D308))</f>
        <v>#DIV/0!</v>
      </c>
      <c r="F309" s="180" t="e">
        <f t="shared" ca="1" si="5"/>
        <v>#DIV/0!</v>
      </c>
      <c r="H309" s="180" t="e">
        <f ca="1">D309+((1+'normal case'!M309/100)/('normal case'!D309/'normal case'!D308))*'external balance'!H308</f>
        <v>#DIV/0!</v>
      </c>
    </row>
    <row r="310" spans="2:8">
      <c r="B310" s="180" t="e">
        <f ca="1">('normal case'!AC310*($K$6*'normal case'!D310*('normal case'!AC310^'external balance'!$K$4)))/'normal case'!D310</f>
        <v>#DIV/0!</v>
      </c>
      <c r="C310" s="180" t="e">
        <f ca="1">($K$5*$K$7*((1+$K$8)^'normal case'!A309)*'normal case'!AC310^$K$3)/'normal case'!D310</f>
        <v>#DIV/0!</v>
      </c>
      <c r="D310" s="116" t="e">
        <f ca="1">(C310-B310)+((('main page'!$U$38/100)*'normal case'!$D$3)/'normal case'!$D$3)</f>
        <v>#DIV/0!</v>
      </c>
      <c r="E310" s="180" t="e">
        <f ca="1">((('normal case'!M310/100)*'external balance'!H309)/('normal case'!D310/'normal case'!D309))</f>
        <v>#DIV/0!</v>
      </c>
      <c r="F310" s="180" t="e">
        <f t="shared" ca="1" si="5"/>
        <v>#DIV/0!</v>
      </c>
      <c r="H310" s="180" t="e">
        <f ca="1">D310+((1+'normal case'!M310/100)/('normal case'!D310/'normal case'!D309))*'external balance'!H309</f>
        <v>#DIV/0!</v>
      </c>
    </row>
    <row r="311" spans="2:8">
      <c r="B311" s="180" t="e">
        <f ca="1">('normal case'!AC311*($K$6*'normal case'!D311*('normal case'!AC311^'external balance'!$K$4)))/'normal case'!D311</f>
        <v>#DIV/0!</v>
      </c>
      <c r="C311" s="180" t="e">
        <f ca="1">($K$5*$K$7*((1+$K$8)^'normal case'!A310)*'normal case'!AC311^$K$3)/'normal case'!D311</f>
        <v>#DIV/0!</v>
      </c>
      <c r="D311" s="116" t="e">
        <f ca="1">(C311-B311)+((('main page'!$U$38/100)*'normal case'!$D$3)/'normal case'!$D$3)</f>
        <v>#DIV/0!</v>
      </c>
      <c r="E311" s="180" t="e">
        <f ca="1">((('normal case'!M311/100)*'external balance'!H310)/('normal case'!D311/'normal case'!D310))</f>
        <v>#DIV/0!</v>
      </c>
      <c r="F311" s="180" t="e">
        <f t="shared" ca="1" si="5"/>
        <v>#DIV/0!</v>
      </c>
      <c r="H311" s="180" t="e">
        <f ca="1">D311+((1+'normal case'!M311/100)/('normal case'!D311/'normal case'!D310))*'external balance'!H310</f>
        <v>#DIV/0!</v>
      </c>
    </row>
    <row r="312" spans="2:8">
      <c r="B312" s="180" t="e">
        <f ca="1">('normal case'!AC312*($K$6*'normal case'!D312*('normal case'!AC312^'external balance'!$K$4)))/'normal case'!D312</f>
        <v>#DIV/0!</v>
      </c>
      <c r="C312" s="180" t="e">
        <f ca="1">($K$5*$K$7*((1+$K$8)^'normal case'!A311)*'normal case'!AC312^$K$3)/'normal case'!D312</f>
        <v>#DIV/0!</v>
      </c>
      <c r="D312" s="116" t="e">
        <f ca="1">(C312-B312)+((('main page'!$U$38/100)*'normal case'!$D$3)/'normal case'!$D$3)</f>
        <v>#DIV/0!</v>
      </c>
      <c r="E312" s="180" t="e">
        <f ca="1">((('normal case'!M312/100)*'external balance'!H311)/('normal case'!D312/'normal case'!D311))</f>
        <v>#DIV/0!</v>
      </c>
      <c r="F312" s="180" t="e">
        <f t="shared" ca="1" si="5"/>
        <v>#DIV/0!</v>
      </c>
      <c r="H312" s="180" t="e">
        <f ca="1">D312+((1+'normal case'!M312/100)/('normal case'!D312/'normal case'!D311))*'external balance'!H311</f>
        <v>#DIV/0!</v>
      </c>
    </row>
    <row r="313" spans="2:8">
      <c r="B313" s="180" t="e">
        <f ca="1">('normal case'!AC313*($K$6*'normal case'!D313*('normal case'!AC313^'external balance'!$K$4)))/'normal case'!D313</f>
        <v>#DIV/0!</v>
      </c>
      <c r="C313" s="180" t="e">
        <f ca="1">($K$5*$K$7*((1+$K$8)^'normal case'!A312)*'normal case'!AC313^$K$3)/'normal case'!D313</f>
        <v>#DIV/0!</v>
      </c>
      <c r="D313" s="116" t="e">
        <f ca="1">(C313-B313)+((('main page'!$U$38/100)*'normal case'!$D$3)/'normal case'!$D$3)</f>
        <v>#DIV/0!</v>
      </c>
      <c r="E313" s="180" t="e">
        <f ca="1">((('normal case'!M313/100)*'external balance'!H312)/('normal case'!D313/'normal case'!D312))</f>
        <v>#DIV/0!</v>
      </c>
      <c r="F313" s="180" t="e">
        <f t="shared" ca="1" si="5"/>
        <v>#DIV/0!</v>
      </c>
      <c r="H313" s="180" t="e">
        <f ca="1">D313+((1+'normal case'!M313/100)/('normal case'!D313/'normal case'!D312))*'external balance'!H312</f>
        <v>#DIV/0!</v>
      </c>
    </row>
    <row r="314" spans="2:8">
      <c r="B314" s="180" t="e">
        <f ca="1">('normal case'!AC314*($K$6*'normal case'!D314*('normal case'!AC314^'external balance'!$K$4)))/'normal case'!D314</f>
        <v>#DIV/0!</v>
      </c>
      <c r="C314" s="180" t="e">
        <f ca="1">($K$5*$K$7*((1+$K$8)^'normal case'!A313)*'normal case'!AC314^$K$3)/'normal case'!D314</f>
        <v>#DIV/0!</v>
      </c>
      <c r="D314" s="116" t="e">
        <f ca="1">(C314-B314)+((('main page'!$U$38/100)*'normal case'!$D$3)/'normal case'!$D$3)</f>
        <v>#DIV/0!</v>
      </c>
      <c r="E314" s="180" t="e">
        <f ca="1">((('normal case'!M314/100)*'external balance'!H313)/('normal case'!D314/'normal case'!D313))</f>
        <v>#DIV/0!</v>
      </c>
      <c r="F314" s="180" t="e">
        <f t="shared" ca="1" si="5"/>
        <v>#DIV/0!</v>
      </c>
      <c r="H314" s="180" t="e">
        <f ca="1">D314+((1+'normal case'!M314/100)/('normal case'!D314/'normal case'!D313))*'external balance'!H313</f>
        <v>#DIV/0!</v>
      </c>
    </row>
    <row r="315" spans="2:8">
      <c r="B315" s="180" t="e">
        <f ca="1">('normal case'!AC315*($K$6*'normal case'!D315*('normal case'!AC315^'external balance'!$K$4)))/'normal case'!D315</f>
        <v>#DIV/0!</v>
      </c>
      <c r="C315" s="180" t="e">
        <f ca="1">($K$5*$K$7*((1+$K$8)^'normal case'!A314)*'normal case'!AC315^$K$3)/'normal case'!D315</f>
        <v>#DIV/0!</v>
      </c>
      <c r="D315" s="116" t="e">
        <f ca="1">(C315-B315)+((('main page'!$U$38/100)*'normal case'!$D$3)/'normal case'!$D$3)</f>
        <v>#DIV/0!</v>
      </c>
      <c r="E315" s="180" t="e">
        <f ca="1">((('normal case'!M315/100)*'external balance'!H314)/('normal case'!D315/'normal case'!D314))</f>
        <v>#DIV/0!</v>
      </c>
      <c r="F315" s="180" t="e">
        <f t="shared" ca="1" si="5"/>
        <v>#DIV/0!</v>
      </c>
      <c r="H315" s="180" t="e">
        <f ca="1">D315+((1+'normal case'!M315/100)/('normal case'!D315/'normal case'!D314))*'external balance'!H314</f>
        <v>#DIV/0!</v>
      </c>
    </row>
    <row r="316" spans="2:8">
      <c r="B316" s="180" t="e">
        <f ca="1">('normal case'!AC316*($K$6*'normal case'!D316*('normal case'!AC316^'external balance'!$K$4)))/'normal case'!D316</f>
        <v>#DIV/0!</v>
      </c>
      <c r="C316" s="180" t="e">
        <f ca="1">($K$5*$K$7*((1+$K$8)^'normal case'!A315)*'normal case'!AC316^$K$3)/'normal case'!D316</f>
        <v>#DIV/0!</v>
      </c>
      <c r="D316" s="116" t="e">
        <f ca="1">(C316-B316)+((('main page'!$U$38/100)*'normal case'!$D$3)/'normal case'!$D$3)</f>
        <v>#DIV/0!</v>
      </c>
      <c r="E316" s="180" t="e">
        <f ca="1">((('normal case'!M316/100)*'external balance'!H315)/('normal case'!D316/'normal case'!D315))</f>
        <v>#DIV/0!</v>
      </c>
      <c r="F316" s="180" t="e">
        <f t="shared" ca="1" si="5"/>
        <v>#DIV/0!</v>
      </c>
      <c r="H316" s="180" t="e">
        <f ca="1">D316+((1+'normal case'!M316/100)/('normal case'!D316/'normal case'!D315))*'external balance'!H315</f>
        <v>#DIV/0!</v>
      </c>
    </row>
    <row r="317" spans="2:8">
      <c r="B317" s="180" t="e">
        <f ca="1">('normal case'!AC317*($K$6*'normal case'!D317*('normal case'!AC317^'external balance'!$K$4)))/'normal case'!D317</f>
        <v>#DIV/0!</v>
      </c>
      <c r="C317" s="180" t="e">
        <f ca="1">($K$5*$K$7*((1+$K$8)^'normal case'!A316)*'normal case'!AC317^$K$3)/'normal case'!D317</f>
        <v>#DIV/0!</v>
      </c>
      <c r="D317" s="116" t="e">
        <f ca="1">(C317-B317)+((('main page'!$U$38/100)*'normal case'!$D$3)/'normal case'!$D$3)</f>
        <v>#DIV/0!</v>
      </c>
      <c r="E317" s="180" t="e">
        <f ca="1">((('normal case'!M317/100)*'external balance'!H316)/('normal case'!D317/'normal case'!D316))</f>
        <v>#DIV/0!</v>
      </c>
      <c r="F317" s="180" t="e">
        <f t="shared" ca="1" si="5"/>
        <v>#DIV/0!</v>
      </c>
      <c r="H317" s="180" t="e">
        <f ca="1">D317+((1+'normal case'!M317/100)/('normal case'!D317/'normal case'!D316))*'external balance'!H316</f>
        <v>#DIV/0!</v>
      </c>
    </row>
    <row r="318" spans="2:8">
      <c r="B318" s="180" t="e">
        <f ca="1">('normal case'!AC318*($K$6*'normal case'!D318*('normal case'!AC318^'external balance'!$K$4)))/'normal case'!D318</f>
        <v>#DIV/0!</v>
      </c>
      <c r="C318" s="180" t="e">
        <f ca="1">($K$5*$K$7*((1+$K$8)^'normal case'!A317)*'normal case'!AC318^$K$3)/'normal case'!D318</f>
        <v>#DIV/0!</v>
      </c>
      <c r="D318" s="116" t="e">
        <f ca="1">(C318-B318)+((('main page'!$U$38/100)*'normal case'!$D$3)/'normal case'!$D$3)</f>
        <v>#DIV/0!</v>
      </c>
      <c r="E318" s="180" t="e">
        <f ca="1">((('normal case'!M318/100)*'external balance'!H317)/('normal case'!D318/'normal case'!D317))</f>
        <v>#DIV/0!</v>
      </c>
      <c r="F318" s="180" t="e">
        <f t="shared" ca="1" si="5"/>
        <v>#DIV/0!</v>
      </c>
      <c r="H318" s="180" t="e">
        <f ca="1">D318+((1+'normal case'!M318/100)/('normal case'!D318/'normal case'!D317))*'external balance'!H317</f>
        <v>#DIV/0!</v>
      </c>
    </row>
    <row r="319" spans="2:8">
      <c r="B319" s="180" t="e">
        <f ca="1">('normal case'!AC319*($K$6*'normal case'!D319*('normal case'!AC319^'external balance'!$K$4)))/'normal case'!D319</f>
        <v>#DIV/0!</v>
      </c>
      <c r="C319" s="180" t="e">
        <f ca="1">($K$5*$K$7*((1+$K$8)^'normal case'!A318)*'normal case'!AC319^$K$3)/'normal case'!D319</f>
        <v>#DIV/0!</v>
      </c>
      <c r="D319" s="116" t="e">
        <f ca="1">(C319-B319)+((('main page'!$U$38/100)*'normal case'!$D$3)/'normal case'!$D$3)</f>
        <v>#DIV/0!</v>
      </c>
      <c r="E319" s="180" t="e">
        <f ca="1">((('normal case'!M319/100)*'external balance'!H318)/('normal case'!D319/'normal case'!D318))</f>
        <v>#DIV/0!</v>
      </c>
      <c r="F319" s="180" t="e">
        <f t="shared" ca="1" si="5"/>
        <v>#DIV/0!</v>
      </c>
      <c r="H319" s="180" t="e">
        <f ca="1">D319+((1+'normal case'!M319/100)/('normal case'!D319/'normal case'!D318))*'external balance'!H318</f>
        <v>#DIV/0!</v>
      </c>
    </row>
    <row r="320" spans="2:8">
      <c r="B320" s="180" t="e">
        <f ca="1">('normal case'!AC320*($K$6*'normal case'!D320*('normal case'!AC320^'external balance'!$K$4)))/'normal case'!D320</f>
        <v>#DIV/0!</v>
      </c>
      <c r="C320" s="180" t="e">
        <f ca="1">($K$5*$K$7*((1+$K$8)^'normal case'!A319)*'normal case'!AC320^$K$3)/'normal case'!D320</f>
        <v>#DIV/0!</v>
      </c>
      <c r="D320" s="116" t="e">
        <f ca="1">(C320-B320)+((('main page'!$U$38/100)*'normal case'!$D$3)/'normal case'!$D$3)</f>
        <v>#DIV/0!</v>
      </c>
      <c r="E320" s="180" t="e">
        <f ca="1">((('normal case'!M320/100)*'external balance'!H319)/('normal case'!D320/'normal case'!D319))</f>
        <v>#DIV/0!</v>
      </c>
      <c r="F320" s="180" t="e">
        <f t="shared" ca="1" si="5"/>
        <v>#DIV/0!</v>
      </c>
      <c r="H320" s="180" t="e">
        <f ca="1">D320+((1+'normal case'!M320/100)/('normal case'!D320/'normal case'!D319))*'external balance'!H319</f>
        <v>#DIV/0!</v>
      </c>
    </row>
    <row r="321" spans="2:8">
      <c r="B321" s="180" t="e">
        <f ca="1">('normal case'!AC321*($K$6*'normal case'!D321*('normal case'!AC321^'external balance'!$K$4)))/'normal case'!D321</f>
        <v>#DIV/0!</v>
      </c>
      <c r="C321" s="180" t="e">
        <f ca="1">($K$5*$K$7*((1+$K$8)^'normal case'!A320)*'normal case'!AC321^$K$3)/'normal case'!D321</f>
        <v>#DIV/0!</v>
      </c>
      <c r="D321" s="116" t="e">
        <f ca="1">(C321-B321)+((('main page'!$U$38/100)*'normal case'!$D$3)/'normal case'!$D$3)</f>
        <v>#DIV/0!</v>
      </c>
      <c r="E321" s="180" t="e">
        <f ca="1">((('normal case'!M321/100)*'external balance'!H320)/('normal case'!D321/'normal case'!D320))</f>
        <v>#DIV/0!</v>
      </c>
      <c r="F321" s="180" t="e">
        <f t="shared" ca="1" si="5"/>
        <v>#DIV/0!</v>
      </c>
      <c r="H321" s="180" t="e">
        <f ca="1">D321+((1+'normal case'!M321/100)/('normal case'!D321/'normal case'!D320))*'external balance'!H320</f>
        <v>#DIV/0!</v>
      </c>
    </row>
    <row r="322" spans="2:8">
      <c r="B322" s="180" t="e">
        <f ca="1">('normal case'!AC322*($K$6*'normal case'!D322*('normal case'!AC322^'external balance'!$K$4)))/'normal case'!D322</f>
        <v>#DIV/0!</v>
      </c>
      <c r="C322" s="180" t="e">
        <f ca="1">($K$5*$K$7*((1+$K$8)^'normal case'!A321)*'normal case'!AC322^$K$3)/'normal case'!D322</f>
        <v>#DIV/0!</v>
      </c>
      <c r="D322" s="116" t="e">
        <f ca="1">(C322-B322)+((('main page'!$U$38/100)*'normal case'!$D$3)/'normal case'!$D$3)</f>
        <v>#DIV/0!</v>
      </c>
      <c r="E322" s="180" t="e">
        <f ca="1">((('normal case'!M322/100)*'external balance'!H321)/('normal case'!D322/'normal case'!D321))</f>
        <v>#DIV/0!</v>
      </c>
      <c r="F322" s="180" t="e">
        <f t="shared" ca="1" si="5"/>
        <v>#DIV/0!</v>
      </c>
      <c r="H322" s="180" t="e">
        <f ca="1">D322+((1+'normal case'!M322/100)/('normal case'!D322/'normal case'!D321))*'external balance'!H321</f>
        <v>#DIV/0!</v>
      </c>
    </row>
    <row r="323" spans="2:8">
      <c r="B323" s="180" t="e">
        <f ca="1">('normal case'!AC323*($K$6*'normal case'!D323*('normal case'!AC323^'external balance'!$K$4)))/'normal case'!D323</f>
        <v>#DIV/0!</v>
      </c>
      <c r="C323" s="180" t="e">
        <f ca="1">($K$5*$K$7*((1+$K$8)^'normal case'!A322)*'normal case'!AC323^$K$3)/'normal case'!D323</f>
        <v>#DIV/0!</v>
      </c>
      <c r="D323" s="116" t="e">
        <f ca="1">(C323-B323)+((('main page'!$U$38/100)*'normal case'!$D$3)/'normal case'!$D$3)</f>
        <v>#DIV/0!</v>
      </c>
      <c r="E323" s="180" t="e">
        <f ca="1">((('normal case'!M323/100)*'external balance'!H322)/('normal case'!D323/'normal case'!D322))</f>
        <v>#DIV/0!</v>
      </c>
      <c r="F323" s="180" t="e">
        <f t="shared" ca="1" si="5"/>
        <v>#DIV/0!</v>
      </c>
      <c r="H323" s="180" t="e">
        <f ca="1">D323+((1+'normal case'!M323/100)/('normal case'!D323/'normal case'!D322))*'external balance'!H322</f>
        <v>#DIV/0!</v>
      </c>
    </row>
    <row r="324" spans="2:8">
      <c r="B324" s="180" t="e">
        <f ca="1">('normal case'!AC324*($K$6*'normal case'!D324*('normal case'!AC324^'external balance'!$K$4)))/'normal case'!D324</f>
        <v>#DIV/0!</v>
      </c>
      <c r="C324" s="180" t="e">
        <f ca="1">($K$5*$K$7*((1+$K$8)^'normal case'!A323)*'normal case'!AC324^$K$3)/'normal case'!D324</f>
        <v>#DIV/0!</v>
      </c>
      <c r="D324" s="116" t="e">
        <f ca="1">(C324-B324)+((('main page'!$U$38/100)*'normal case'!$D$3)/'normal case'!$D$3)</f>
        <v>#DIV/0!</v>
      </c>
      <c r="E324" s="180" t="e">
        <f ca="1">((('normal case'!M324/100)*'external balance'!H323)/('normal case'!D324/'normal case'!D323))</f>
        <v>#DIV/0!</v>
      </c>
      <c r="F324" s="180" t="e">
        <f t="shared" ca="1" si="5"/>
        <v>#DIV/0!</v>
      </c>
      <c r="H324" s="180" t="e">
        <f ca="1">D324+((1+'normal case'!M324/100)/('normal case'!D324/'normal case'!D323))*'external balance'!H323</f>
        <v>#DIV/0!</v>
      </c>
    </row>
    <row r="325" spans="2:8">
      <c r="B325" s="180" t="e">
        <f ca="1">('normal case'!AC325*($K$6*'normal case'!D325*('normal case'!AC325^'external balance'!$K$4)))/'normal case'!D325</f>
        <v>#DIV/0!</v>
      </c>
      <c r="C325" s="180" t="e">
        <f ca="1">($K$5*$K$7*((1+$K$8)^'normal case'!A324)*'normal case'!AC325^$K$3)/'normal case'!D325</f>
        <v>#DIV/0!</v>
      </c>
      <c r="D325" s="116" t="e">
        <f ca="1">(C325-B325)+((('main page'!$U$38/100)*'normal case'!$D$3)/'normal case'!$D$3)</f>
        <v>#DIV/0!</v>
      </c>
      <c r="E325" s="180" t="e">
        <f ca="1">((('normal case'!M325/100)*'external balance'!H324)/('normal case'!D325/'normal case'!D324))</f>
        <v>#DIV/0!</v>
      </c>
      <c r="F325" s="180" t="e">
        <f t="shared" ca="1" si="5"/>
        <v>#DIV/0!</v>
      </c>
      <c r="H325" s="180" t="e">
        <f ca="1">D325+((1+'normal case'!M325/100)/('normal case'!D325/'normal case'!D324))*'external balance'!H324</f>
        <v>#DIV/0!</v>
      </c>
    </row>
    <row r="326" spans="2:8">
      <c r="B326" s="180" t="e">
        <f ca="1">('normal case'!AC326*($K$6*'normal case'!D326*('normal case'!AC326^'external balance'!$K$4)))/'normal case'!D326</f>
        <v>#DIV/0!</v>
      </c>
      <c r="C326" s="180" t="e">
        <f ca="1">($K$5*$K$7*((1+$K$8)^'normal case'!A325)*'normal case'!AC326^$K$3)/'normal case'!D326</f>
        <v>#DIV/0!</v>
      </c>
      <c r="D326" s="116" t="e">
        <f ca="1">(C326-B326)+((('main page'!$U$38/100)*'normal case'!$D$3)/'normal case'!$D$3)</f>
        <v>#DIV/0!</v>
      </c>
      <c r="E326" s="180" t="e">
        <f ca="1">((('normal case'!M326/100)*'external balance'!H325)/('normal case'!D326/'normal case'!D325))</f>
        <v>#DIV/0!</v>
      </c>
      <c r="F326" s="180" t="e">
        <f t="shared" ca="1" si="5"/>
        <v>#DIV/0!</v>
      </c>
      <c r="H326" s="180" t="e">
        <f ca="1">D326+((1+'normal case'!M326/100)/('normal case'!D326/'normal case'!D325))*'external balance'!H325</f>
        <v>#DIV/0!</v>
      </c>
    </row>
    <row r="327" spans="2:8">
      <c r="B327" s="180" t="e">
        <f ca="1">('normal case'!AC327*($K$6*'normal case'!D327*('normal case'!AC327^'external balance'!$K$4)))/'normal case'!D327</f>
        <v>#DIV/0!</v>
      </c>
      <c r="C327" s="180" t="e">
        <f ca="1">($K$5*$K$7*((1+$K$8)^'normal case'!A326)*'normal case'!AC327^$K$3)/'normal case'!D327</f>
        <v>#DIV/0!</v>
      </c>
      <c r="D327" s="116" t="e">
        <f ca="1">(C327-B327)+((('main page'!$U$38/100)*'normal case'!$D$3)/'normal case'!$D$3)</f>
        <v>#DIV/0!</v>
      </c>
      <c r="E327" s="180" t="e">
        <f ca="1">((('normal case'!M327/100)*'external balance'!H326)/('normal case'!D327/'normal case'!D326))</f>
        <v>#DIV/0!</v>
      </c>
      <c r="F327" s="180" t="e">
        <f t="shared" ca="1" si="5"/>
        <v>#DIV/0!</v>
      </c>
      <c r="H327" s="180" t="e">
        <f ca="1">D327+((1+'normal case'!M327/100)/('normal case'!D327/'normal case'!D326))*'external balance'!H326</f>
        <v>#DIV/0!</v>
      </c>
    </row>
    <row r="328" spans="2:8">
      <c r="B328" s="180" t="e">
        <f ca="1">('normal case'!AC328*($K$6*'normal case'!D328*('normal case'!AC328^'external balance'!$K$4)))/'normal case'!D328</f>
        <v>#DIV/0!</v>
      </c>
      <c r="C328" s="180" t="e">
        <f ca="1">($K$5*$K$7*((1+$K$8)^'normal case'!A327)*'normal case'!AC328^$K$3)/'normal case'!D328</f>
        <v>#DIV/0!</v>
      </c>
      <c r="D328" s="116" t="e">
        <f ca="1">(C328-B328)+((('main page'!$U$38/100)*'normal case'!$D$3)/'normal case'!$D$3)</f>
        <v>#DIV/0!</v>
      </c>
      <c r="E328" s="180" t="e">
        <f ca="1">((('normal case'!M328/100)*'external balance'!H327)/('normal case'!D328/'normal case'!D327))</f>
        <v>#DIV/0!</v>
      </c>
      <c r="F328" s="180" t="e">
        <f t="shared" ca="1" si="5"/>
        <v>#DIV/0!</v>
      </c>
      <c r="H328" s="180" t="e">
        <f ca="1">D328+((1+'normal case'!M328/100)/('normal case'!D328/'normal case'!D327))*'external balance'!H327</f>
        <v>#DIV/0!</v>
      </c>
    </row>
    <row r="329" spans="2:8">
      <c r="B329" s="180" t="e">
        <f ca="1">('normal case'!AC329*($K$6*'normal case'!D329*('normal case'!AC329^'external balance'!$K$4)))/'normal case'!D329</f>
        <v>#DIV/0!</v>
      </c>
      <c r="C329" s="180" t="e">
        <f ca="1">($K$5*$K$7*((1+$K$8)^'normal case'!A328)*'normal case'!AC329^$K$3)/'normal case'!D329</f>
        <v>#DIV/0!</v>
      </c>
      <c r="D329" s="116" t="e">
        <f ca="1">(C329-B329)+((('main page'!$U$38/100)*'normal case'!$D$3)/'normal case'!$D$3)</f>
        <v>#DIV/0!</v>
      </c>
      <c r="E329" s="180" t="e">
        <f ca="1">((('normal case'!M329/100)*'external balance'!H328)/('normal case'!D329/'normal case'!D328))</f>
        <v>#DIV/0!</v>
      </c>
      <c r="F329" s="180" t="e">
        <f t="shared" ca="1" si="5"/>
        <v>#DIV/0!</v>
      </c>
      <c r="H329" s="180" t="e">
        <f ca="1">D329+((1+'normal case'!M329/100)/('normal case'!D329/'normal case'!D328))*'external balance'!H328</f>
        <v>#DIV/0!</v>
      </c>
    </row>
    <row r="330" spans="2:8">
      <c r="B330" s="180" t="e">
        <f ca="1">('normal case'!AC330*($K$6*'normal case'!D330*('normal case'!AC330^'external balance'!$K$4)))/'normal case'!D330</f>
        <v>#DIV/0!</v>
      </c>
      <c r="C330" s="180" t="e">
        <f ca="1">($K$5*$K$7*((1+$K$8)^'normal case'!A329)*'normal case'!AC330^$K$3)/'normal case'!D330</f>
        <v>#DIV/0!</v>
      </c>
      <c r="D330" s="116" t="e">
        <f ca="1">(C330-B330)+((('main page'!$U$38/100)*'normal case'!$D$3)/'normal case'!$D$3)</f>
        <v>#DIV/0!</v>
      </c>
      <c r="E330" s="180" t="e">
        <f ca="1">((('normal case'!M330/100)*'external balance'!H329)/('normal case'!D330/'normal case'!D329))</f>
        <v>#DIV/0!</v>
      </c>
      <c r="F330" s="180" t="e">
        <f t="shared" ca="1" si="5"/>
        <v>#DIV/0!</v>
      </c>
      <c r="H330" s="180" t="e">
        <f ca="1">D330+((1+'normal case'!M330/100)/('normal case'!D330/'normal case'!D329))*'external balance'!H329</f>
        <v>#DIV/0!</v>
      </c>
    </row>
    <row r="331" spans="2:8">
      <c r="B331" s="180" t="e">
        <f ca="1">('normal case'!AC331*($K$6*'normal case'!D331*('normal case'!AC331^'external balance'!$K$4)))/'normal case'!D331</f>
        <v>#DIV/0!</v>
      </c>
      <c r="C331" s="180" t="e">
        <f ca="1">($K$5*$K$7*((1+$K$8)^'normal case'!A330)*'normal case'!AC331^$K$3)/'normal case'!D331</f>
        <v>#DIV/0!</v>
      </c>
      <c r="D331" s="116" t="e">
        <f ca="1">(C331-B331)+((('main page'!$U$38/100)*'normal case'!$D$3)/'normal case'!$D$3)</f>
        <v>#DIV/0!</v>
      </c>
      <c r="E331" s="180" t="e">
        <f ca="1">((('normal case'!M331/100)*'external balance'!H330)/('normal case'!D331/'normal case'!D330))</f>
        <v>#DIV/0!</v>
      </c>
      <c r="F331" s="180" t="e">
        <f t="shared" ca="1" si="5"/>
        <v>#DIV/0!</v>
      </c>
      <c r="H331" s="180" t="e">
        <f ca="1">D331+((1+'normal case'!M331/100)/('normal case'!D331/'normal case'!D330))*'external balance'!H330</f>
        <v>#DIV/0!</v>
      </c>
    </row>
    <row r="332" spans="2:8">
      <c r="B332" s="180" t="e">
        <f ca="1">('normal case'!AC332*($K$6*'normal case'!D332*('normal case'!AC332^'external balance'!$K$4)))/'normal case'!D332</f>
        <v>#DIV/0!</v>
      </c>
      <c r="C332" s="180" t="e">
        <f ca="1">($K$5*$K$7*((1+$K$8)^'normal case'!A331)*'normal case'!AC332^$K$3)/'normal case'!D332</f>
        <v>#DIV/0!</v>
      </c>
      <c r="D332" s="116" t="e">
        <f ca="1">(C332-B332)+((('main page'!$U$38/100)*'normal case'!$D$3)/'normal case'!$D$3)</f>
        <v>#DIV/0!</v>
      </c>
      <c r="E332" s="180" t="e">
        <f ca="1">((('normal case'!M332/100)*'external balance'!H331)/('normal case'!D332/'normal case'!D331))</f>
        <v>#DIV/0!</v>
      </c>
      <c r="F332" s="180" t="e">
        <f t="shared" ca="1" si="5"/>
        <v>#DIV/0!</v>
      </c>
      <c r="H332" s="180" t="e">
        <f ca="1">D332+((1+'normal case'!M332/100)/('normal case'!D332/'normal case'!D331))*'external balance'!H331</f>
        <v>#DIV/0!</v>
      </c>
    </row>
    <row r="333" spans="2:8">
      <c r="B333" s="180" t="e">
        <f ca="1">('normal case'!AC333*($K$6*'normal case'!D333*('normal case'!AC333^'external balance'!$K$4)))/'normal case'!D333</f>
        <v>#DIV/0!</v>
      </c>
      <c r="C333" s="180" t="e">
        <f ca="1">($K$5*$K$7*((1+$K$8)^'normal case'!A332)*'normal case'!AC333^$K$3)/'normal case'!D333</f>
        <v>#DIV/0!</v>
      </c>
      <c r="D333" s="116" t="e">
        <f ca="1">(C333-B333)+((('main page'!$U$38/100)*'normal case'!$D$3)/'normal case'!$D$3)</f>
        <v>#DIV/0!</v>
      </c>
      <c r="E333" s="180" t="e">
        <f ca="1">((('normal case'!M333/100)*'external balance'!H332)/('normal case'!D333/'normal case'!D332))</f>
        <v>#DIV/0!</v>
      </c>
      <c r="F333" s="180" t="e">
        <f t="shared" ca="1" si="5"/>
        <v>#DIV/0!</v>
      </c>
      <c r="H333" s="180" t="e">
        <f ca="1">D333+((1+'normal case'!M333/100)/('normal case'!D333/'normal case'!D332))*'external balance'!H332</f>
        <v>#DIV/0!</v>
      </c>
    </row>
    <row r="334" spans="2:8">
      <c r="B334" s="180" t="e">
        <f ca="1">('normal case'!AC334*($K$6*'normal case'!D334*('normal case'!AC334^'external balance'!$K$4)))/'normal case'!D334</f>
        <v>#DIV/0!</v>
      </c>
      <c r="C334" s="180" t="e">
        <f ca="1">($K$5*$K$7*((1+$K$8)^'normal case'!A333)*'normal case'!AC334^$K$3)/'normal case'!D334</f>
        <v>#DIV/0!</v>
      </c>
      <c r="D334" s="116" t="e">
        <f ca="1">(C334-B334)+((('main page'!$U$38/100)*'normal case'!$D$3)/'normal case'!$D$3)</f>
        <v>#DIV/0!</v>
      </c>
      <c r="E334" s="180" t="e">
        <f ca="1">((('normal case'!M334/100)*'external balance'!H333)/('normal case'!D334/'normal case'!D333))</f>
        <v>#DIV/0!</v>
      </c>
      <c r="F334" s="180" t="e">
        <f t="shared" ca="1" si="5"/>
        <v>#DIV/0!</v>
      </c>
      <c r="H334" s="180" t="e">
        <f ca="1">D334+((1+'normal case'!M334/100)/('normal case'!D334/'normal case'!D333))*'external balance'!H333</f>
        <v>#DIV/0!</v>
      </c>
    </row>
    <row r="335" spans="2:8">
      <c r="B335" s="180" t="e">
        <f ca="1">('normal case'!AC335*($K$6*'normal case'!D335*('normal case'!AC335^'external balance'!$K$4)))/'normal case'!D335</f>
        <v>#DIV/0!</v>
      </c>
      <c r="C335" s="180" t="e">
        <f ca="1">($K$5*$K$7*((1+$K$8)^'normal case'!A334)*'normal case'!AC335^$K$3)/'normal case'!D335</f>
        <v>#DIV/0!</v>
      </c>
      <c r="D335" s="116" t="e">
        <f ca="1">(C335-B335)+((('main page'!$U$38/100)*'normal case'!$D$3)/'normal case'!$D$3)</f>
        <v>#DIV/0!</v>
      </c>
      <c r="E335" s="180" t="e">
        <f ca="1">((('normal case'!M335/100)*'external balance'!H334)/('normal case'!D335/'normal case'!D334))</f>
        <v>#DIV/0!</v>
      </c>
      <c r="F335" s="180" t="e">
        <f t="shared" ca="1" si="5"/>
        <v>#DIV/0!</v>
      </c>
      <c r="H335" s="180" t="e">
        <f ca="1">D335+((1+'normal case'!M335/100)/('normal case'!D335/'normal case'!D334))*'external balance'!H334</f>
        <v>#DIV/0!</v>
      </c>
    </row>
    <row r="336" spans="2:8">
      <c r="B336" s="180" t="e">
        <f ca="1">('normal case'!AC336*($K$6*'normal case'!D336*('normal case'!AC336^'external balance'!$K$4)))/'normal case'!D336</f>
        <v>#DIV/0!</v>
      </c>
      <c r="C336" s="180" t="e">
        <f ca="1">($K$5*$K$7*((1+$K$8)^'normal case'!A335)*'normal case'!AC336^$K$3)/'normal case'!D336</f>
        <v>#DIV/0!</v>
      </c>
      <c r="D336" s="116" t="e">
        <f ca="1">(C336-B336)+((('main page'!$U$38/100)*'normal case'!$D$3)/'normal case'!$D$3)</f>
        <v>#DIV/0!</v>
      </c>
      <c r="E336" s="180" t="e">
        <f ca="1">((('normal case'!M336/100)*'external balance'!H335)/('normal case'!D336/'normal case'!D335))</f>
        <v>#DIV/0!</v>
      </c>
      <c r="F336" s="180" t="e">
        <f t="shared" ca="1" si="5"/>
        <v>#DIV/0!</v>
      </c>
      <c r="H336" s="180" t="e">
        <f ca="1">D336+((1+'normal case'!M336/100)/('normal case'!D336/'normal case'!D335))*'external balance'!H335</f>
        <v>#DIV/0!</v>
      </c>
    </row>
    <row r="337" spans="2:8">
      <c r="B337" s="180" t="e">
        <f ca="1">('normal case'!AC337*($K$6*'normal case'!D337*('normal case'!AC337^'external balance'!$K$4)))/'normal case'!D337</f>
        <v>#DIV/0!</v>
      </c>
      <c r="C337" s="180" t="e">
        <f ca="1">($K$5*$K$7*((1+$K$8)^'normal case'!A336)*'normal case'!AC337^$K$3)/'normal case'!D337</f>
        <v>#DIV/0!</v>
      </c>
      <c r="D337" s="116" t="e">
        <f ca="1">(C337-B337)+((('main page'!$U$38/100)*'normal case'!$D$3)/'normal case'!$D$3)</f>
        <v>#DIV/0!</v>
      </c>
      <c r="E337" s="180" t="e">
        <f ca="1">((('normal case'!M337/100)*'external balance'!H336)/('normal case'!D337/'normal case'!D336))</f>
        <v>#DIV/0!</v>
      </c>
      <c r="F337" s="180" t="e">
        <f t="shared" ca="1" si="5"/>
        <v>#DIV/0!</v>
      </c>
      <c r="H337" s="180" t="e">
        <f ca="1">D337+((1+'normal case'!M337/100)/('normal case'!D337/'normal case'!D336))*'external balance'!H336</f>
        <v>#DIV/0!</v>
      </c>
    </row>
    <row r="338" spans="2:8">
      <c r="B338" s="180" t="e">
        <f ca="1">('normal case'!AC338*($K$6*'normal case'!D338*('normal case'!AC338^'external balance'!$K$4)))/'normal case'!D338</f>
        <v>#DIV/0!</v>
      </c>
      <c r="C338" s="180" t="e">
        <f ca="1">($K$5*$K$7*((1+$K$8)^'normal case'!A337)*'normal case'!AC338^$K$3)/'normal case'!D338</f>
        <v>#DIV/0!</v>
      </c>
      <c r="D338" s="116" t="e">
        <f ca="1">(C338-B338)+((('main page'!$U$38/100)*'normal case'!$D$3)/'normal case'!$D$3)</f>
        <v>#DIV/0!</v>
      </c>
      <c r="E338" s="180" t="e">
        <f ca="1">((('normal case'!M338/100)*'external balance'!H337)/('normal case'!D338/'normal case'!D337))</f>
        <v>#DIV/0!</v>
      </c>
      <c r="F338" s="180" t="e">
        <f t="shared" ca="1" si="5"/>
        <v>#DIV/0!</v>
      </c>
      <c r="H338" s="180" t="e">
        <f ca="1">D338+((1+'normal case'!M338/100)/('normal case'!D338/'normal case'!D337))*'external balance'!H337</f>
        <v>#DIV/0!</v>
      </c>
    </row>
    <row r="339" spans="2:8">
      <c r="B339" s="180" t="e">
        <f ca="1">('normal case'!AC339*($K$6*'normal case'!D339*('normal case'!AC339^'external balance'!$K$4)))/'normal case'!D339</f>
        <v>#DIV/0!</v>
      </c>
      <c r="C339" s="180" t="e">
        <f ca="1">($K$5*$K$7*((1+$K$8)^'normal case'!A338)*'normal case'!AC339^$K$3)/'normal case'!D339</f>
        <v>#DIV/0!</v>
      </c>
      <c r="D339" s="116" t="e">
        <f ca="1">(C339-B339)+((('main page'!$U$38/100)*'normal case'!$D$3)/'normal case'!$D$3)</f>
        <v>#DIV/0!</v>
      </c>
      <c r="E339" s="180" t="e">
        <f ca="1">((('normal case'!M339/100)*'external balance'!H338)/('normal case'!D339/'normal case'!D338))</f>
        <v>#DIV/0!</v>
      </c>
      <c r="F339" s="180" t="e">
        <f t="shared" ca="1" si="5"/>
        <v>#DIV/0!</v>
      </c>
      <c r="H339" s="180" t="e">
        <f ca="1">D339+((1+'normal case'!M339/100)/('normal case'!D339/'normal case'!D338))*'external balance'!H338</f>
        <v>#DIV/0!</v>
      </c>
    </row>
    <row r="340" spans="2:8">
      <c r="B340" s="180" t="e">
        <f ca="1">('normal case'!AC340*($K$6*'normal case'!D340*('normal case'!AC340^'external balance'!$K$4)))/'normal case'!D340</f>
        <v>#DIV/0!</v>
      </c>
      <c r="C340" s="180" t="e">
        <f ca="1">($K$5*$K$7*((1+$K$8)^'normal case'!A339)*'normal case'!AC340^$K$3)/'normal case'!D340</f>
        <v>#DIV/0!</v>
      </c>
      <c r="D340" s="116" t="e">
        <f ca="1">(C340-B340)+((('main page'!$U$38/100)*'normal case'!$D$3)/'normal case'!$D$3)</f>
        <v>#DIV/0!</v>
      </c>
      <c r="E340" s="180" t="e">
        <f ca="1">((('normal case'!M340/100)*'external balance'!H339)/('normal case'!D340/'normal case'!D339))</f>
        <v>#DIV/0!</v>
      </c>
      <c r="F340" s="180" t="e">
        <f t="shared" ca="1" si="5"/>
        <v>#DIV/0!</v>
      </c>
      <c r="H340" s="180" t="e">
        <f ca="1">D340+((1+'normal case'!M340/100)/('normal case'!D340/'normal case'!D339))*'external balance'!H339</f>
        <v>#DIV/0!</v>
      </c>
    </row>
    <row r="341" spans="2:8">
      <c r="B341" s="180" t="e">
        <f ca="1">('normal case'!AC341*($K$6*'normal case'!D341*('normal case'!AC341^'external balance'!$K$4)))/'normal case'!D341</f>
        <v>#DIV/0!</v>
      </c>
      <c r="C341" s="180" t="e">
        <f ca="1">($K$5*$K$7*((1+$K$8)^'normal case'!A340)*'normal case'!AC341^$K$3)/'normal case'!D341</f>
        <v>#DIV/0!</v>
      </c>
      <c r="D341" s="116" t="e">
        <f ca="1">(C341-B341)+((('main page'!$U$38/100)*'normal case'!$D$3)/'normal case'!$D$3)</f>
        <v>#DIV/0!</v>
      </c>
      <c r="E341" s="180" t="e">
        <f ca="1">((('normal case'!M341/100)*'external balance'!H340)/('normal case'!D341/'normal case'!D340))</f>
        <v>#DIV/0!</v>
      </c>
      <c r="F341" s="180" t="e">
        <f t="shared" ca="1" si="5"/>
        <v>#DIV/0!</v>
      </c>
      <c r="H341" s="180" t="e">
        <f ca="1">D341+((1+'normal case'!M341/100)/('normal case'!D341/'normal case'!D340))*'external balance'!H340</f>
        <v>#DIV/0!</v>
      </c>
    </row>
    <row r="342" spans="2:8">
      <c r="B342" s="180" t="e">
        <f ca="1">('normal case'!AC342*($K$6*'normal case'!D342*('normal case'!AC342^'external balance'!$K$4)))/'normal case'!D342</f>
        <v>#DIV/0!</v>
      </c>
      <c r="C342" s="180" t="e">
        <f ca="1">($K$5*$K$7*((1+$K$8)^'normal case'!A341)*'normal case'!AC342^$K$3)/'normal case'!D342</f>
        <v>#DIV/0!</v>
      </c>
      <c r="D342" s="116" t="e">
        <f ca="1">(C342-B342)+((('main page'!$U$38/100)*'normal case'!$D$3)/'normal case'!$D$3)</f>
        <v>#DIV/0!</v>
      </c>
      <c r="E342" s="180" t="e">
        <f ca="1">((('normal case'!M342/100)*'external balance'!H341)/('normal case'!D342/'normal case'!D341))</f>
        <v>#DIV/0!</v>
      </c>
      <c r="F342" s="180" t="e">
        <f t="shared" ca="1" si="5"/>
        <v>#DIV/0!</v>
      </c>
      <c r="H342" s="180" t="e">
        <f ca="1">D342+((1+'normal case'!M342/100)/('normal case'!D342/'normal case'!D341))*'external balance'!H341</f>
        <v>#DIV/0!</v>
      </c>
    </row>
    <row r="343" spans="2:8">
      <c r="B343" s="180" t="e">
        <f ca="1">('normal case'!AC343*($K$6*'normal case'!D343*('normal case'!AC343^'external balance'!$K$4)))/'normal case'!D343</f>
        <v>#DIV/0!</v>
      </c>
      <c r="C343" s="180" t="e">
        <f ca="1">($K$5*$K$7*((1+$K$8)^'normal case'!A342)*'normal case'!AC343^$K$3)/'normal case'!D343</f>
        <v>#DIV/0!</v>
      </c>
      <c r="D343" s="116" t="e">
        <f ca="1">(C343-B343)+((('main page'!$U$38/100)*'normal case'!$D$3)/'normal case'!$D$3)</f>
        <v>#DIV/0!</v>
      </c>
      <c r="E343" s="180" t="e">
        <f ca="1">((('normal case'!M343/100)*'external balance'!H342)/('normal case'!D343/'normal case'!D342))</f>
        <v>#DIV/0!</v>
      </c>
      <c r="F343" s="180" t="e">
        <f t="shared" ca="1" si="5"/>
        <v>#DIV/0!</v>
      </c>
      <c r="H343" s="180" t="e">
        <f ca="1">D343+((1+'normal case'!M343/100)/('normal case'!D343/'normal case'!D342))*'external balance'!H342</f>
        <v>#DIV/0!</v>
      </c>
    </row>
    <row r="344" spans="2:8">
      <c r="B344" s="180" t="e">
        <f ca="1">('normal case'!AC344*($K$6*'normal case'!D344*('normal case'!AC344^'external balance'!$K$4)))/'normal case'!D344</f>
        <v>#DIV/0!</v>
      </c>
      <c r="C344" s="180" t="e">
        <f ca="1">($K$5*$K$7*((1+$K$8)^'normal case'!A343)*'normal case'!AC344^$K$3)/'normal case'!D344</f>
        <v>#DIV/0!</v>
      </c>
      <c r="D344" s="116" t="e">
        <f ca="1">(C344-B344)+((('main page'!$U$38/100)*'normal case'!$D$3)/'normal case'!$D$3)</f>
        <v>#DIV/0!</v>
      </c>
      <c r="E344" s="180" t="e">
        <f ca="1">((('normal case'!M344/100)*'external balance'!H343)/('normal case'!D344/'normal case'!D343))</f>
        <v>#DIV/0!</v>
      </c>
      <c r="F344" s="180" t="e">
        <f t="shared" ca="1" si="5"/>
        <v>#DIV/0!</v>
      </c>
      <c r="H344" s="180" t="e">
        <f ca="1">D344+((1+'normal case'!M344/100)/('normal case'!D344/'normal case'!D343))*'external balance'!H343</f>
        <v>#DIV/0!</v>
      </c>
    </row>
    <row r="345" spans="2:8">
      <c r="B345" s="180" t="e">
        <f ca="1">('normal case'!AC345*($K$6*'normal case'!D345*('normal case'!AC345^'external balance'!$K$4)))/'normal case'!D345</f>
        <v>#DIV/0!</v>
      </c>
      <c r="C345" s="180" t="e">
        <f ca="1">($K$5*$K$7*((1+$K$8)^'normal case'!A344)*'normal case'!AC345^$K$3)/'normal case'!D345</f>
        <v>#DIV/0!</v>
      </c>
      <c r="D345" s="116" t="e">
        <f ca="1">(C345-B345)+((('main page'!$U$38/100)*'normal case'!$D$3)/'normal case'!$D$3)</f>
        <v>#DIV/0!</v>
      </c>
      <c r="E345" s="180" t="e">
        <f ca="1">((('normal case'!M345/100)*'external balance'!H344)/('normal case'!D345/'normal case'!D344))</f>
        <v>#DIV/0!</v>
      </c>
      <c r="F345" s="180" t="e">
        <f t="shared" ca="1" si="5"/>
        <v>#DIV/0!</v>
      </c>
      <c r="H345" s="180" t="e">
        <f ca="1">D345+((1+'normal case'!M345/100)/('normal case'!D345/'normal case'!D344))*'external balance'!H344</f>
        <v>#DIV/0!</v>
      </c>
    </row>
    <row r="346" spans="2:8">
      <c r="B346" s="180" t="e">
        <f ca="1">('normal case'!AC346*($K$6*'normal case'!D346*('normal case'!AC346^'external balance'!$K$4)))/'normal case'!D346</f>
        <v>#DIV/0!</v>
      </c>
      <c r="C346" s="180" t="e">
        <f ca="1">($K$5*$K$7*((1+$K$8)^'normal case'!A345)*'normal case'!AC346^$K$3)/'normal case'!D346</f>
        <v>#DIV/0!</v>
      </c>
      <c r="D346" s="116" t="e">
        <f ca="1">(C346-B346)+((('main page'!$U$38/100)*'normal case'!$D$3)/'normal case'!$D$3)</f>
        <v>#DIV/0!</v>
      </c>
      <c r="E346" s="180" t="e">
        <f ca="1">((('normal case'!M346/100)*'external balance'!H345)/('normal case'!D346/'normal case'!D345))</f>
        <v>#DIV/0!</v>
      </c>
      <c r="F346" s="180" t="e">
        <f t="shared" ca="1" si="5"/>
        <v>#DIV/0!</v>
      </c>
      <c r="H346" s="180" t="e">
        <f ca="1">D346+((1+'normal case'!M346/100)/('normal case'!D346/'normal case'!D345))*'external balance'!H345</f>
        <v>#DIV/0!</v>
      </c>
    </row>
    <row r="347" spans="2:8">
      <c r="B347" s="180" t="e">
        <f ca="1">('normal case'!AC347*($K$6*'normal case'!D347*('normal case'!AC347^'external balance'!$K$4)))/'normal case'!D347</f>
        <v>#DIV/0!</v>
      </c>
      <c r="C347" s="180" t="e">
        <f ca="1">($K$5*$K$7*((1+$K$8)^'normal case'!A346)*'normal case'!AC347^$K$3)/'normal case'!D347</f>
        <v>#DIV/0!</v>
      </c>
      <c r="D347" s="116" t="e">
        <f ca="1">(C347-B347)+((('main page'!$U$38/100)*'normal case'!$D$3)/'normal case'!$D$3)</f>
        <v>#DIV/0!</v>
      </c>
      <c r="E347" s="180" t="e">
        <f ca="1">((('normal case'!M347/100)*'external balance'!H346)/('normal case'!D347/'normal case'!D346))</f>
        <v>#DIV/0!</v>
      </c>
      <c r="F347" s="180" t="e">
        <f t="shared" ca="1" si="5"/>
        <v>#DIV/0!</v>
      </c>
      <c r="H347" s="180" t="e">
        <f ca="1">D347+((1+'normal case'!M347/100)/('normal case'!D347/'normal case'!D346))*'external balance'!H346</f>
        <v>#DIV/0!</v>
      </c>
    </row>
    <row r="348" spans="2:8">
      <c r="B348" s="180" t="e">
        <f ca="1">('normal case'!AC348*($K$6*'normal case'!D348*('normal case'!AC348^'external balance'!$K$4)))/'normal case'!D348</f>
        <v>#DIV/0!</v>
      </c>
      <c r="C348" s="180" t="e">
        <f ca="1">($K$5*$K$7*((1+$K$8)^'normal case'!A347)*'normal case'!AC348^$K$3)/'normal case'!D348</f>
        <v>#DIV/0!</v>
      </c>
      <c r="D348" s="116" t="e">
        <f ca="1">(C348-B348)+((('main page'!$U$38/100)*'normal case'!$D$3)/'normal case'!$D$3)</f>
        <v>#DIV/0!</v>
      </c>
      <c r="E348" s="180" t="e">
        <f ca="1">((('normal case'!M348/100)*'external balance'!H347)/('normal case'!D348/'normal case'!D347))</f>
        <v>#DIV/0!</v>
      </c>
      <c r="F348" s="180" t="e">
        <f t="shared" ca="1" si="5"/>
        <v>#DIV/0!</v>
      </c>
      <c r="H348" s="180" t="e">
        <f ca="1">D348+((1+'normal case'!M348/100)/('normal case'!D348/'normal case'!D347))*'external balance'!H347</f>
        <v>#DIV/0!</v>
      </c>
    </row>
    <row r="349" spans="2:8">
      <c r="B349" s="180" t="e">
        <f ca="1">('normal case'!AC349*($K$6*'normal case'!D349*('normal case'!AC349^'external balance'!$K$4)))/'normal case'!D349</f>
        <v>#DIV/0!</v>
      </c>
      <c r="C349" s="180" t="e">
        <f ca="1">($K$5*$K$7*((1+$K$8)^'normal case'!A348)*'normal case'!AC349^$K$3)/'normal case'!D349</f>
        <v>#DIV/0!</v>
      </c>
      <c r="D349" s="116" t="e">
        <f ca="1">(C349-B349)+((('main page'!$U$38/100)*'normal case'!$D$3)/'normal case'!$D$3)</f>
        <v>#DIV/0!</v>
      </c>
      <c r="E349" s="180" t="e">
        <f ca="1">((('normal case'!M349/100)*'external balance'!H348)/('normal case'!D349/'normal case'!D348))</f>
        <v>#DIV/0!</v>
      </c>
      <c r="F349" s="180" t="e">
        <f t="shared" ca="1" si="5"/>
        <v>#DIV/0!</v>
      </c>
      <c r="H349" s="180" t="e">
        <f ca="1">D349+((1+'normal case'!M349/100)/('normal case'!D349/'normal case'!D348))*'external balance'!H348</f>
        <v>#DIV/0!</v>
      </c>
    </row>
    <row r="350" spans="2:8">
      <c r="B350" s="180" t="e">
        <f ca="1">('normal case'!AC350*($K$6*'normal case'!D350*('normal case'!AC350^'external balance'!$K$4)))/'normal case'!D350</f>
        <v>#DIV/0!</v>
      </c>
      <c r="C350" s="180" t="e">
        <f ca="1">($K$5*$K$7*((1+$K$8)^'normal case'!A349)*'normal case'!AC350^$K$3)/'normal case'!D350</f>
        <v>#DIV/0!</v>
      </c>
      <c r="D350" s="116" t="e">
        <f ca="1">(C350-B350)+((('main page'!$U$38/100)*'normal case'!$D$3)/'normal case'!$D$3)</f>
        <v>#DIV/0!</v>
      </c>
      <c r="E350" s="180" t="e">
        <f ca="1">((('normal case'!M350/100)*'external balance'!H349)/('normal case'!D350/'normal case'!D349))</f>
        <v>#DIV/0!</v>
      </c>
      <c r="F350" s="180" t="e">
        <f t="shared" ca="1" si="5"/>
        <v>#DIV/0!</v>
      </c>
      <c r="H350" s="180" t="e">
        <f ca="1">D350+((1+'normal case'!M350/100)/('normal case'!D350/'normal case'!D349))*'external balance'!H349</f>
        <v>#DIV/0!</v>
      </c>
    </row>
    <row r="351" spans="2:8">
      <c r="B351" s="180" t="e">
        <f ca="1">('normal case'!AC351*($K$6*'normal case'!D351*('normal case'!AC351^'external balance'!$K$4)))/'normal case'!D351</f>
        <v>#DIV/0!</v>
      </c>
      <c r="C351" s="180" t="e">
        <f ca="1">($K$5*$K$7*((1+$K$8)^'normal case'!A350)*'normal case'!AC351^$K$3)/'normal case'!D351</f>
        <v>#DIV/0!</v>
      </c>
      <c r="D351" s="116" t="e">
        <f ca="1">(C351-B351)+((('main page'!$U$38/100)*'normal case'!$D$3)/'normal case'!$D$3)</f>
        <v>#DIV/0!</v>
      </c>
      <c r="E351" s="180" t="e">
        <f ca="1">((('normal case'!M351/100)*'external balance'!H350)/('normal case'!D351/'normal case'!D350))</f>
        <v>#DIV/0!</v>
      </c>
      <c r="F351" s="180" t="e">
        <f t="shared" ca="1" si="5"/>
        <v>#DIV/0!</v>
      </c>
      <c r="H351" s="180" t="e">
        <f ca="1">D351+((1+'normal case'!M351/100)/('normal case'!D351/'normal case'!D350))*'external balance'!H350</f>
        <v>#DIV/0!</v>
      </c>
    </row>
    <row r="352" spans="2:8">
      <c r="B352" s="180" t="e">
        <f ca="1">('normal case'!AC352*($K$6*'normal case'!D352*('normal case'!AC352^'external balance'!$K$4)))/'normal case'!D352</f>
        <v>#DIV/0!</v>
      </c>
      <c r="C352" s="180" t="e">
        <f ca="1">($K$5*$K$7*((1+$K$8)^'normal case'!A351)*'normal case'!AC352^$K$3)/'normal case'!D352</f>
        <v>#DIV/0!</v>
      </c>
      <c r="D352" s="116" t="e">
        <f ca="1">(C352-B352)+((('main page'!$U$38/100)*'normal case'!$D$3)/'normal case'!$D$3)</f>
        <v>#DIV/0!</v>
      </c>
      <c r="E352" s="180" t="e">
        <f ca="1">((('normal case'!M352/100)*'external balance'!H351)/('normal case'!D352/'normal case'!D351))</f>
        <v>#DIV/0!</v>
      </c>
      <c r="F352" s="180" t="e">
        <f t="shared" ca="1" si="5"/>
        <v>#DIV/0!</v>
      </c>
      <c r="H352" s="180" t="e">
        <f ca="1">D352+((1+'normal case'!M352/100)/('normal case'!D352/'normal case'!D351))*'external balance'!H351</f>
        <v>#DIV/0!</v>
      </c>
    </row>
    <row r="353" spans="2:8">
      <c r="B353" s="180" t="e">
        <f ca="1">('normal case'!AC353*($K$6*'normal case'!D353*('normal case'!AC353^'external balance'!$K$4)))/'normal case'!D353</f>
        <v>#DIV/0!</v>
      </c>
      <c r="C353" s="180" t="e">
        <f ca="1">($K$5*$K$7*((1+$K$8)^'normal case'!A352)*'normal case'!AC353^$K$3)/'normal case'!D353</f>
        <v>#DIV/0!</v>
      </c>
      <c r="D353" s="116" t="e">
        <f ca="1">(C353-B353)+((('main page'!$U$38/100)*'normal case'!$D$3)/'normal case'!$D$3)</f>
        <v>#DIV/0!</v>
      </c>
      <c r="E353" s="180" t="e">
        <f ca="1">((('normal case'!M353/100)*'external balance'!H352)/('normal case'!D353/'normal case'!D352))</f>
        <v>#DIV/0!</v>
      </c>
      <c r="F353" s="180" t="e">
        <f t="shared" ca="1" si="5"/>
        <v>#DIV/0!</v>
      </c>
      <c r="H353" s="180" t="e">
        <f ca="1">D353+((1+'normal case'!M353/100)/('normal case'!D353/'normal case'!D352))*'external balance'!H352</f>
        <v>#DIV/0!</v>
      </c>
    </row>
    <row r="354" spans="2:8">
      <c r="B354" s="180" t="e">
        <f ca="1">('normal case'!AC354*($K$6*'normal case'!D354*('normal case'!AC354^'external balance'!$K$4)))/'normal case'!D354</f>
        <v>#DIV/0!</v>
      </c>
      <c r="C354" s="180" t="e">
        <f ca="1">($K$5*$K$7*((1+$K$8)^'normal case'!A353)*'normal case'!AC354^$K$3)/'normal case'!D354</f>
        <v>#DIV/0!</v>
      </c>
      <c r="D354" s="116" t="e">
        <f ca="1">(C354-B354)+((('main page'!$U$38/100)*'normal case'!$D$3)/'normal case'!$D$3)</f>
        <v>#DIV/0!</v>
      </c>
      <c r="E354" s="180" t="e">
        <f ca="1">((('normal case'!M354/100)*'external balance'!H353)/('normal case'!D354/'normal case'!D353))</f>
        <v>#DIV/0!</v>
      </c>
      <c r="F354" s="180" t="e">
        <f t="shared" ca="1" si="5"/>
        <v>#DIV/0!</v>
      </c>
      <c r="H354" s="180" t="e">
        <f ca="1">D354+((1+'normal case'!M354/100)/('normal case'!D354/'normal case'!D353))*'external balance'!H353</f>
        <v>#DIV/0!</v>
      </c>
    </row>
    <row r="355" spans="2:8">
      <c r="B355" s="180" t="e">
        <f ca="1">('normal case'!AC355*($K$6*'normal case'!D355*('normal case'!AC355^'external balance'!$K$4)))/'normal case'!D355</f>
        <v>#DIV/0!</v>
      </c>
      <c r="C355" s="180" t="e">
        <f ca="1">($K$5*$K$7*((1+$K$8)^'normal case'!A354)*'normal case'!AC355^$K$3)/'normal case'!D355</f>
        <v>#DIV/0!</v>
      </c>
      <c r="D355" s="116" t="e">
        <f ca="1">(C355-B355)+((('main page'!$U$38/100)*'normal case'!$D$3)/'normal case'!$D$3)</f>
        <v>#DIV/0!</v>
      </c>
      <c r="E355" s="180" t="e">
        <f ca="1">((('normal case'!M355/100)*'external balance'!H354)/('normal case'!D355/'normal case'!D354))</f>
        <v>#DIV/0!</v>
      </c>
      <c r="F355" s="180" t="e">
        <f t="shared" ca="1" si="5"/>
        <v>#DIV/0!</v>
      </c>
      <c r="H355" s="180" t="e">
        <f ca="1">D355+((1+'normal case'!M355/100)/('normal case'!D355/'normal case'!D354))*'external balance'!H354</f>
        <v>#DIV/0!</v>
      </c>
    </row>
    <row r="356" spans="2:8">
      <c r="B356" s="180" t="e">
        <f ca="1">('normal case'!AC356*($K$6*'normal case'!D356*('normal case'!AC356^'external balance'!$K$4)))/'normal case'!D356</f>
        <v>#DIV/0!</v>
      </c>
      <c r="C356" s="180" t="e">
        <f ca="1">($K$5*$K$7*((1+$K$8)^'normal case'!A355)*'normal case'!AC356^$K$3)/'normal case'!D356</f>
        <v>#DIV/0!</v>
      </c>
      <c r="D356" s="116" t="e">
        <f ca="1">(C356-B356)+((('main page'!$U$38/100)*'normal case'!$D$3)/'normal case'!$D$3)</f>
        <v>#DIV/0!</v>
      </c>
      <c r="E356" s="180" t="e">
        <f ca="1">((('normal case'!M356/100)*'external balance'!H355)/('normal case'!D356/'normal case'!D355))</f>
        <v>#DIV/0!</v>
      </c>
      <c r="F356" s="180" t="e">
        <f t="shared" ca="1" si="5"/>
        <v>#DIV/0!</v>
      </c>
      <c r="H356" s="180" t="e">
        <f ca="1">D356+((1+'normal case'!M356/100)/('normal case'!D356/'normal case'!D355))*'external balance'!H355</f>
        <v>#DIV/0!</v>
      </c>
    </row>
    <row r="357" spans="2:8">
      <c r="B357" s="180" t="e">
        <f ca="1">('normal case'!AC357*($K$6*'normal case'!D357*('normal case'!AC357^'external balance'!$K$4)))/'normal case'!D357</f>
        <v>#DIV/0!</v>
      </c>
      <c r="C357" s="180" t="e">
        <f ca="1">($K$5*$K$7*((1+$K$8)^'normal case'!A356)*'normal case'!AC357^$K$3)/'normal case'!D357</f>
        <v>#DIV/0!</v>
      </c>
      <c r="D357" s="116" t="e">
        <f ca="1">(C357-B357)+((('main page'!$U$38/100)*'normal case'!$D$3)/'normal case'!$D$3)</f>
        <v>#DIV/0!</v>
      </c>
      <c r="E357" s="180" t="e">
        <f ca="1">((('normal case'!M357/100)*'external balance'!H356)/('normal case'!D357/'normal case'!D356))</f>
        <v>#DIV/0!</v>
      </c>
      <c r="F357" s="180" t="e">
        <f t="shared" ca="1" si="5"/>
        <v>#DIV/0!</v>
      </c>
      <c r="H357" s="180" t="e">
        <f ca="1">D357+((1+'normal case'!M357/100)/('normal case'!D357/'normal case'!D356))*'external balance'!H356</f>
        <v>#DIV/0!</v>
      </c>
    </row>
    <row r="358" spans="2:8">
      <c r="B358" s="180" t="e">
        <f ca="1">('normal case'!AC358*($K$6*'normal case'!D358*('normal case'!AC358^'external balance'!$K$4)))/'normal case'!D358</f>
        <v>#DIV/0!</v>
      </c>
      <c r="C358" s="180" t="e">
        <f ca="1">($K$5*$K$7*((1+$K$8)^'normal case'!A357)*'normal case'!AC358^$K$3)/'normal case'!D358</f>
        <v>#DIV/0!</v>
      </c>
      <c r="D358" s="116" t="e">
        <f ca="1">(C358-B358)+((('main page'!$U$38/100)*'normal case'!$D$3)/'normal case'!$D$3)</f>
        <v>#DIV/0!</v>
      </c>
      <c r="E358" s="180" t="e">
        <f ca="1">((('normal case'!M358/100)*'external balance'!H357)/('normal case'!D358/'normal case'!D357))</f>
        <v>#DIV/0!</v>
      </c>
      <c r="F358" s="180" t="e">
        <f t="shared" ca="1" si="5"/>
        <v>#DIV/0!</v>
      </c>
      <c r="H358" s="180" t="e">
        <f ca="1">D358+((1+'normal case'!M358/100)/('normal case'!D358/'normal case'!D357))*'external balance'!H357</f>
        <v>#DIV/0!</v>
      </c>
    </row>
    <row r="359" spans="2:8">
      <c r="B359" s="180" t="e">
        <f ca="1">('normal case'!AC359*($K$6*'normal case'!D359*('normal case'!AC359^'external balance'!$K$4)))/'normal case'!D359</f>
        <v>#DIV/0!</v>
      </c>
      <c r="C359" s="180" t="e">
        <f ca="1">($K$5*$K$7*((1+$K$8)^'normal case'!A358)*'normal case'!AC359^$K$3)/'normal case'!D359</f>
        <v>#DIV/0!</v>
      </c>
      <c r="D359" s="116" t="e">
        <f ca="1">(C359-B359)+((('main page'!$U$38/100)*'normal case'!$D$3)/'normal case'!$D$3)</f>
        <v>#DIV/0!</v>
      </c>
      <c r="E359" s="180" t="e">
        <f ca="1">((('normal case'!M359/100)*'external balance'!H358)/('normal case'!D359/'normal case'!D358))</f>
        <v>#DIV/0!</v>
      </c>
      <c r="F359" s="180" t="e">
        <f t="shared" ca="1" si="5"/>
        <v>#DIV/0!</v>
      </c>
      <c r="H359" s="180" t="e">
        <f ca="1">D359+((1+'normal case'!M359/100)/('normal case'!D359/'normal case'!D358))*'external balance'!H358</f>
        <v>#DIV/0!</v>
      </c>
    </row>
    <row r="360" spans="2:8">
      <c r="B360" s="180" t="e">
        <f ca="1">('normal case'!AC360*($K$6*'normal case'!D360*('normal case'!AC360^'external balance'!$K$4)))/'normal case'!D360</f>
        <v>#DIV/0!</v>
      </c>
      <c r="C360" s="180" t="e">
        <f ca="1">($K$5*$K$7*((1+$K$8)^'normal case'!A359)*'normal case'!AC360^$K$3)/'normal case'!D360</f>
        <v>#DIV/0!</v>
      </c>
      <c r="D360" s="116" t="e">
        <f ca="1">(C360-B360)+((('main page'!$U$38/100)*'normal case'!$D$3)/'normal case'!$D$3)</f>
        <v>#DIV/0!</v>
      </c>
      <c r="E360" s="180" t="e">
        <f ca="1">((('normal case'!M360/100)*'external balance'!H359)/('normal case'!D360/'normal case'!D359))</f>
        <v>#DIV/0!</v>
      </c>
      <c r="F360" s="180" t="e">
        <f t="shared" ca="1" si="5"/>
        <v>#DIV/0!</v>
      </c>
      <c r="H360" s="180" t="e">
        <f ca="1">D360+((1+'normal case'!M360/100)/('normal case'!D360/'normal case'!D359))*'external balance'!H359</f>
        <v>#DIV/0!</v>
      </c>
    </row>
    <row r="361" spans="2:8">
      <c r="B361" s="180" t="e">
        <f ca="1">('normal case'!AC361*($K$6*'normal case'!D361*('normal case'!AC361^'external balance'!$K$4)))/'normal case'!D361</f>
        <v>#DIV/0!</v>
      </c>
      <c r="C361" s="180" t="e">
        <f ca="1">($K$5*$K$7*((1+$K$8)^'normal case'!A360)*'normal case'!AC361^$K$3)/'normal case'!D361</f>
        <v>#DIV/0!</v>
      </c>
      <c r="D361" s="116" t="e">
        <f ca="1">(C361-B361)+((('main page'!$U$38/100)*'normal case'!$D$3)/'normal case'!$D$3)</f>
        <v>#DIV/0!</v>
      </c>
      <c r="E361" s="180" t="e">
        <f ca="1">((('normal case'!M361/100)*'external balance'!H360)/('normal case'!D361/'normal case'!D360))</f>
        <v>#DIV/0!</v>
      </c>
      <c r="F361" s="180" t="e">
        <f t="shared" ca="1" si="5"/>
        <v>#DIV/0!</v>
      </c>
      <c r="H361" s="180" t="e">
        <f ca="1">D361+((1+'normal case'!M361/100)/('normal case'!D361/'normal case'!D360))*'external balance'!H360</f>
        <v>#DIV/0!</v>
      </c>
    </row>
    <row r="362" spans="2:8">
      <c r="B362" s="180" t="e">
        <f ca="1">('normal case'!AC362*($K$6*'normal case'!D362*('normal case'!AC362^'external balance'!$K$4)))/'normal case'!D362</f>
        <v>#DIV/0!</v>
      </c>
      <c r="C362" s="180" t="e">
        <f ca="1">($K$5*$K$7*((1+$K$8)^'normal case'!A361)*'normal case'!AC362^$K$3)/'normal case'!D362</f>
        <v>#DIV/0!</v>
      </c>
      <c r="D362" s="116" t="e">
        <f ca="1">(C362-B362)+((('main page'!$U$38/100)*'normal case'!$D$3)/'normal case'!$D$3)</f>
        <v>#DIV/0!</v>
      </c>
      <c r="E362" s="180" t="e">
        <f ca="1">((('normal case'!M362/100)*'external balance'!H361)/('normal case'!D362/'normal case'!D361))</f>
        <v>#DIV/0!</v>
      </c>
      <c r="F362" s="180" t="e">
        <f t="shared" ca="1" si="5"/>
        <v>#DIV/0!</v>
      </c>
      <c r="H362" s="180" t="e">
        <f ca="1">D362+((1+'normal case'!M362/100)/('normal case'!D362/'normal case'!D361))*'external balance'!H361</f>
        <v>#DIV/0!</v>
      </c>
    </row>
    <row r="363" spans="2:8">
      <c r="B363" s="180" t="e">
        <f ca="1">('normal case'!AC363*($K$6*'normal case'!D363*('normal case'!AC363^'external balance'!$K$4)))/'normal case'!D363</f>
        <v>#DIV/0!</v>
      </c>
      <c r="C363" s="180" t="e">
        <f ca="1">($K$5*$K$7*((1+$K$8)^'normal case'!A362)*'normal case'!AC363^$K$3)/'normal case'!D363</f>
        <v>#DIV/0!</v>
      </c>
      <c r="D363" s="116" t="e">
        <f ca="1">(C363-B363)+((('main page'!$U$38/100)*'normal case'!$D$3)/'normal case'!$D$3)</f>
        <v>#DIV/0!</v>
      </c>
      <c r="E363" s="180" t="e">
        <f ca="1">((('normal case'!M363/100)*'external balance'!H362)/('normal case'!D363/'normal case'!D362))</f>
        <v>#DIV/0!</v>
      </c>
      <c r="F363" s="180" t="e">
        <f t="shared" ca="1" si="5"/>
        <v>#DIV/0!</v>
      </c>
      <c r="H363" s="180" t="e">
        <f ca="1">D363+((1+'normal case'!M363/100)/('normal case'!D363/'normal case'!D362))*'external balance'!H362</f>
        <v>#DIV/0!</v>
      </c>
    </row>
    <row r="364" spans="2:8">
      <c r="B364" s="180" t="e">
        <f ca="1">('normal case'!AC364*($K$6*'normal case'!D364*('normal case'!AC364^'external balance'!$K$4)))/'normal case'!D364</f>
        <v>#DIV/0!</v>
      </c>
      <c r="C364" s="180" t="e">
        <f ca="1">($K$5*$K$7*((1+$K$8)^'normal case'!A363)*'normal case'!AC364^$K$3)/'normal case'!D364</f>
        <v>#DIV/0!</v>
      </c>
      <c r="D364" s="116" t="e">
        <f ca="1">(C364-B364)+((('main page'!$U$38/100)*'normal case'!$D$3)/'normal case'!$D$3)</f>
        <v>#DIV/0!</v>
      </c>
      <c r="E364" s="180" t="e">
        <f ca="1">((('normal case'!M364/100)*'external balance'!H363)/('normal case'!D364/'normal case'!D363))</f>
        <v>#DIV/0!</v>
      </c>
      <c r="F364" s="180" t="e">
        <f t="shared" ca="1" si="5"/>
        <v>#DIV/0!</v>
      </c>
      <c r="H364" s="180" t="e">
        <f ca="1">D364+((1+'normal case'!M364/100)/('normal case'!D364/'normal case'!D363))*'external balance'!H363</f>
        <v>#DIV/0!</v>
      </c>
    </row>
    <row r="365" spans="2:8">
      <c r="B365" s="180" t="e">
        <f ca="1">('normal case'!AC365*($K$6*'normal case'!D365*('normal case'!AC365^'external balance'!$K$4)))/'normal case'!D365</f>
        <v>#DIV/0!</v>
      </c>
      <c r="C365" s="180" t="e">
        <f ca="1">($K$5*$K$7*((1+$K$8)^'normal case'!A364)*'normal case'!AC365^$K$3)/'normal case'!D365</f>
        <v>#DIV/0!</v>
      </c>
      <c r="D365" s="116" t="e">
        <f ca="1">(C365-B365)+((('main page'!$U$38/100)*'normal case'!$D$3)/'normal case'!$D$3)</f>
        <v>#DIV/0!</v>
      </c>
      <c r="E365" s="180" t="e">
        <f ca="1">((('normal case'!M365/100)*'external balance'!H364)/('normal case'!D365/'normal case'!D364))</f>
        <v>#DIV/0!</v>
      </c>
      <c r="F365" s="180" t="e">
        <f t="shared" ca="1" si="5"/>
        <v>#DIV/0!</v>
      </c>
      <c r="H365" s="180" t="e">
        <f ca="1">D365+((1+'normal case'!M365/100)/('normal case'!D365/'normal case'!D364))*'external balance'!H364</f>
        <v>#DIV/0!</v>
      </c>
    </row>
    <row r="366" spans="2:8">
      <c r="B366" s="180" t="e">
        <f ca="1">('normal case'!AC366*($K$6*'normal case'!D366*('normal case'!AC366^'external balance'!$K$4)))/'normal case'!D366</f>
        <v>#DIV/0!</v>
      </c>
      <c r="C366" s="180" t="e">
        <f ca="1">($K$5*$K$7*((1+$K$8)^'normal case'!A365)*'normal case'!AC366^$K$3)/'normal case'!D366</f>
        <v>#DIV/0!</v>
      </c>
      <c r="D366" s="116" t="e">
        <f ca="1">(C366-B366)+((('main page'!$U$38/100)*'normal case'!$D$3)/'normal case'!$D$3)</f>
        <v>#DIV/0!</v>
      </c>
      <c r="E366" s="180" t="e">
        <f ca="1">((('normal case'!M366/100)*'external balance'!H365)/('normal case'!D366/'normal case'!D365))</f>
        <v>#DIV/0!</v>
      </c>
      <c r="F366" s="180" t="e">
        <f t="shared" ca="1" si="5"/>
        <v>#DIV/0!</v>
      </c>
      <c r="H366" s="180" t="e">
        <f ca="1">D366+((1+'normal case'!M366/100)/('normal case'!D366/'normal case'!D365))*'external balance'!H365</f>
        <v>#DIV/0!</v>
      </c>
    </row>
    <row r="367" spans="2:8">
      <c r="B367" s="180" t="e">
        <f ca="1">('normal case'!AC367*($K$6*'normal case'!D367*('normal case'!AC367^'external balance'!$K$4)))/'normal case'!D367</f>
        <v>#DIV/0!</v>
      </c>
      <c r="C367" s="180" t="e">
        <f ca="1">($K$5*$K$7*((1+$K$8)^'normal case'!A366)*'normal case'!AC367^$K$3)/'normal case'!D367</f>
        <v>#DIV/0!</v>
      </c>
      <c r="D367" s="116" t="e">
        <f ca="1">(C367-B367)+((('main page'!$U$38/100)*'normal case'!$D$3)/'normal case'!$D$3)</f>
        <v>#DIV/0!</v>
      </c>
      <c r="E367" s="180" t="e">
        <f ca="1">((('normal case'!M367/100)*'external balance'!H366)/('normal case'!D367/'normal case'!D366))</f>
        <v>#DIV/0!</v>
      </c>
      <c r="F367" s="180" t="e">
        <f t="shared" ca="1" si="5"/>
        <v>#DIV/0!</v>
      </c>
      <c r="H367" s="180" t="e">
        <f ca="1">D367+((1+'normal case'!M367/100)/('normal case'!D367/'normal case'!D366))*'external balance'!H366</f>
        <v>#DIV/0!</v>
      </c>
    </row>
    <row r="368" spans="2:8">
      <c r="B368" s="180" t="e">
        <f ca="1">('normal case'!AC368*($K$6*'normal case'!D368*('normal case'!AC368^'external balance'!$K$4)))/'normal case'!D368</f>
        <v>#DIV/0!</v>
      </c>
      <c r="C368" s="180" t="e">
        <f ca="1">($K$5*$K$7*((1+$K$8)^'normal case'!A367)*'normal case'!AC368^$K$3)/'normal case'!D368</f>
        <v>#DIV/0!</v>
      </c>
      <c r="D368" s="116" t="e">
        <f ca="1">(C368-B368)+((('main page'!$U$38/100)*'normal case'!$D$3)/'normal case'!$D$3)</f>
        <v>#DIV/0!</v>
      </c>
      <c r="E368" s="180" t="e">
        <f ca="1">((('normal case'!M368/100)*'external balance'!H367)/('normal case'!D368/'normal case'!D367))</f>
        <v>#DIV/0!</v>
      </c>
      <c r="F368" s="180" t="e">
        <f t="shared" ca="1" si="5"/>
        <v>#DIV/0!</v>
      </c>
      <c r="H368" s="180" t="e">
        <f ca="1">D368+((1+'normal case'!M368/100)/('normal case'!D368/'normal case'!D367))*'external balance'!H367</f>
        <v>#DIV/0!</v>
      </c>
    </row>
    <row r="369" spans="2:8">
      <c r="B369" s="180" t="e">
        <f ca="1">('normal case'!AC369*($K$6*'normal case'!D369*('normal case'!AC369^'external balance'!$K$4)))/'normal case'!D369</f>
        <v>#DIV/0!</v>
      </c>
      <c r="C369" s="180" t="e">
        <f ca="1">($K$5*$K$7*((1+$K$8)^'normal case'!A368)*'normal case'!AC369^$K$3)/'normal case'!D369</f>
        <v>#DIV/0!</v>
      </c>
      <c r="D369" s="116" t="e">
        <f ca="1">(C369-B369)+((('main page'!$U$38/100)*'normal case'!$D$3)/'normal case'!$D$3)</f>
        <v>#DIV/0!</v>
      </c>
      <c r="E369" s="180" t="e">
        <f ca="1">((('normal case'!M369/100)*'external balance'!H368)/('normal case'!D369/'normal case'!D368))</f>
        <v>#DIV/0!</v>
      </c>
      <c r="F369" s="180" t="e">
        <f t="shared" ref="F369:F432" ca="1" si="6">IF(ABS(D369+E369-F368)&lt;0.0000001,F368,D369+E369)</f>
        <v>#DIV/0!</v>
      </c>
      <c r="H369" s="180" t="e">
        <f ca="1">D369+((1+'normal case'!M369/100)/('normal case'!D369/'normal case'!D368))*'external balance'!H368</f>
        <v>#DIV/0!</v>
      </c>
    </row>
    <row r="370" spans="2:8">
      <c r="B370" s="180" t="e">
        <f ca="1">('normal case'!AC370*($K$6*'normal case'!D370*('normal case'!AC370^'external balance'!$K$4)))/'normal case'!D370</f>
        <v>#DIV/0!</v>
      </c>
      <c r="C370" s="180" t="e">
        <f ca="1">($K$5*$K$7*((1+$K$8)^'normal case'!A369)*'normal case'!AC370^$K$3)/'normal case'!D370</f>
        <v>#DIV/0!</v>
      </c>
      <c r="D370" s="116" t="e">
        <f ca="1">(C370-B370)+((('main page'!$U$38/100)*'normal case'!$D$3)/'normal case'!$D$3)</f>
        <v>#DIV/0!</v>
      </c>
      <c r="E370" s="180" t="e">
        <f ca="1">((('normal case'!M370/100)*'external balance'!H369)/('normal case'!D370/'normal case'!D369))</f>
        <v>#DIV/0!</v>
      </c>
      <c r="F370" s="180" t="e">
        <f t="shared" ca="1" si="6"/>
        <v>#DIV/0!</v>
      </c>
      <c r="H370" s="180" t="e">
        <f ca="1">D370+((1+'normal case'!M370/100)/('normal case'!D370/'normal case'!D369))*'external balance'!H369</f>
        <v>#DIV/0!</v>
      </c>
    </row>
    <row r="371" spans="2:8">
      <c r="B371" s="180" t="e">
        <f ca="1">('normal case'!AC371*($K$6*'normal case'!D371*('normal case'!AC371^'external balance'!$K$4)))/'normal case'!D371</f>
        <v>#DIV/0!</v>
      </c>
      <c r="C371" s="180" t="e">
        <f ca="1">($K$5*$K$7*((1+$K$8)^'normal case'!A370)*'normal case'!AC371^$K$3)/'normal case'!D371</f>
        <v>#DIV/0!</v>
      </c>
      <c r="D371" s="116" t="e">
        <f ca="1">(C371-B371)+((('main page'!$U$38/100)*'normal case'!$D$3)/'normal case'!$D$3)</f>
        <v>#DIV/0!</v>
      </c>
      <c r="E371" s="180" t="e">
        <f ca="1">((('normal case'!M371/100)*'external balance'!H370)/('normal case'!D371/'normal case'!D370))</f>
        <v>#DIV/0!</v>
      </c>
      <c r="F371" s="180" t="e">
        <f t="shared" ca="1" si="6"/>
        <v>#DIV/0!</v>
      </c>
      <c r="H371" s="180" t="e">
        <f ca="1">D371+((1+'normal case'!M371/100)/('normal case'!D371/'normal case'!D370))*'external balance'!H370</f>
        <v>#DIV/0!</v>
      </c>
    </row>
    <row r="372" spans="2:8">
      <c r="B372" s="180" t="e">
        <f ca="1">('normal case'!AC372*($K$6*'normal case'!D372*('normal case'!AC372^'external balance'!$K$4)))/'normal case'!D372</f>
        <v>#DIV/0!</v>
      </c>
      <c r="C372" s="180" t="e">
        <f ca="1">($K$5*$K$7*((1+$K$8)^'normal case'!A371)*'normal case'!AC372^$K$3)/'normal case'!D372</f>
        <v>#DIV/0!</v>
      </c>
      <c r="D372" s="116" t="e">
        <f ca="1">(C372-B372)+((('main page'!$U$38/100)*'normal case'!$D$3)/'normal case'!$D$3)</f>
        <v>#DIV/0!</v>
      </c>
      <c r="E372" s="180" t="e">
        <f ca="1">((('normal case'!M372/100)*'external balance'!H371)/('normal case'!D372/'normal case'!D371))</f>
        <v>#DIV/0!</v>
      </c>
      <c r="F372" s="180" t="e">
        <f t="shared" ca="1" si="6"/>
        <v>#DIV/0!</v>
      </c>
      <c r="H372" s="180" t="e">
        <f ca="1">D372+((1+'normal case'!M372/100)/('normal case'!D372/'normal case'!D371))*'external balance'!H371</f>
        <v>#DIV/0!</v>
      </c>
    </row>
    <row r="373" spans="2:8">
      <c r="B373" s="180" t="e">
        <f ca="1">('normal case'!AC373*($K$6*'normal case'!D373*('normal case'!AC373^'external balance'!$K$4)))/'normal case'!D373</f>
        <v>#DIV/0!</v>
      </c>
      <c r="C373" s="180" t="e">
        <f ca="1">($K$5*$K$7*((1+$K$8)^'normal case'!A372)*'normal case'!AC373^$K$3)/'normal case'!D373</f>
        <v>#DIV/0!</v>
      </c>
      <c r="D373" s="116" t="e">
        <f ca="1">(C373-B373)+((('main page'!$U$38/100)*'normal case'!$D$3)/'normal case'!$D$3)</f>
        <v>#DIV/0!</v>
      </c>
      <c r="E373" s="180" t="e">
        <f ca="1">((('normal case'!M373/100)*'external balance'!H372)/('normal case'!D373/'normal case'!D372))</f>
        <v>#DIV/0!</v>
      </c>
      <c r="F373" s="180" t="e">
        <f t="shared" ca="1" si="6"/>
        <v>#DIV/0!</v>
      </c>
      <c r="H373" s="180" t="e">
        <f ca="1">D373+((1+'normal case'!M373/100)/('normal case'!D373/'normal case'!D372))*'external balance'!H372</f>
        <v>#DIV/0!</v>
      </c>
    </row>
    <row r="374" spans="2:8">
      <c r="B374" s="180" t="e">
        <f ca="1">('normal case'!AC374*($K$6*'normal case'!D374*('normal case'!AC374^'external balance'!$K$4)))/'normal case'!D374</f>
        <v>#DIV/0!</v>
      </c>
      <c r="C374" s="180" t="e">
        <f ca="1">($K$5*$K$7*((1+$K$8)^'normal case'!A373)*'normal case'!AC374^$K$3)/'normal case'!D374</f>
        <v>#DIV/0!</v>
      </c>
      <c r="D374" s="116" t="e">
        <f ca="1">(C374-B374)+((('main page'!$U$38/100)*'normal case'!$D$3)/'normal case'!$D$3)</f>
        <v>#DIV/0!</v>
      </c>
      <c r="E374" s="180" t="e">
        <f ca="1">((('normal case'!M374/100)*'external balance'!H373)/('normal case'!D374/'normal case'!D373))</f>
        <v>#DIV/0!</v>
      </c>
      <c r="F374" s="180" t="e">
        <f t="shared" ca="1" si="6"/>
        <v>#DIV/0!</v>
      </c>
      <c r="H374" s="180" t="e">
        <f ca="1">D374+((1+'normal case'!M374/100)/('normal case'!D374/'normal case'!D373))*'external balance'!H373</f>
        <v>#DIV/0!</v>
      </c>
    </row>
    <row r="375" spans="2:8">
      <c r="B375" s="180" t="e">
        <f ca="1">('normal case'!AC375*($K$6*'normal case'!D375*('normal case'!AC375^'external balance'!$K$4)))/'normal case'!D375</f>
        <v>#DIV/0!</v>
      </c>
      <c r="C375" s="180" t="e">
        <f ca="1">($K$5*$K$7*((1+$K$8)^'normal case'!A374)*'normal case'!AC375^$K$3)/'normal case'!D375</f>
        <v>#DIV/0!</v>
      </c>
      <c r="D375" s="116" t="e">
        <f ca="1">(C375-B375)+((('main page'!$U$38/100)*'normal case'!$D$3)/'normal case'!$D$3)</f>
        <v>#DIV/0!</v>
      </c>
      <c r="E375" s="180" t="e">
        <f ca="1">((('normal case'!M375/100)*'external balance'!H374)/('normal case'!D375/'normal case'!D374))</f>
        <v>#DIV/0!</v>
      </c>
      <c r="F375" s="180" t="e">
        <f t="shared" ca="1" si="6"/>
        <v>#DIV/0!</v>
      </c>
      <c r="H375" s="180" t="e">
        <f ca="1">D375+((1+'normal case'!M375/100)/('normal case'!D375/'normal case'!D374))*'external balance'!H374</f>
        <v>#DIV/0!</v>
      </c>
    </row>
    <row r="376" spans="2:8">
      <c r="B376" s="180" t="e">
        <f ca="1">('normal case'!AC376*($K$6*'normal case'!D376*('normal case'!AC376^'external balance'!$K$4)))/'normal case'!D376</f>
        <v>#DIV/0!</v>
      </c>
      <c r="C376" s="180" t="e">
        <f ca="1">($K$5*$K$7*((1+$K$8)^'normal case'!A375)*'normal case'!AC376^$K$3)/'normal case'!D376</f>
        <v>#DIV/0!</v>
      </c>
      <c r="D376" s="116" t="e">
        <f ca="1">(C376-B376)+((('main page'!$U$38/100)*'normal case'!$D$3)/'normal case'!$D$3)</f>
        <v>#DIV/0!</v>
      </c>
      <c r="E376" s="180" t="e">
        <f ca="1">((('normal case'!M376/100)*'external balance'!H375)/('normal case'!D376/'normal case'!D375))</f>
        <v>#DIV/0!</v>
      </c>
      <c r="F376" s="180" t="e">
        <f t="shared" ca="1" si="6"/>
        <v>#DIV/0!</v>
      </c>
      <c r="H376" s="180" t="e">
        <f ca="1">D376+((1+'normal case'!M376/100)/('normal case'!D376/'normal case'!D375))*'external balance'!H375</f>
        <v>#DIV/0!</v>
      </c>
    </row>
    <row r="377" spans="2:8">
      <c r="B377" s="180" t="e">
        <f ca="1">('normal case'!AC377*($K$6*'normal case'!D377*('normal case'!AC377^'external balance'!$K$4)))/'normal case'!D377</f>
        <v>#DIV/0!</v>
      </c>
      <c r="C377" s="180" t="e">
        <f ca="1">($K$5*$K$7*((1+$K$8)^'normal case'!A376)*'normal case'!AC377^$K$3)/'normal case'!D377</f>
        <v>#DIV/0!</v>
      </c>
      <c r="D377" s="116" t="e">
        <f ca="1">(C377-B377)+((('main page'!$U$38/100)*'normal case'!$D$3)/'normal case'!$D$3)</f>
        <v>#DIV/0!</v>
      </c>
      <c r="E377" s="180" t="e">
        <f ca="1">((('normal case'!M377/100)*'external balance'!H376)/('normal case'!D377/'normal case'!D376))</f>
        <v>#DIV/0!</v>
      </c>
      <c r="F377" s="180" t="e">
        <f t="shared" ca="1" si="6"/>
        <v>#DIV/0!</v>
      </c>
      <c r="H377" s="180" t="e">
        <f ca="1">D377+((1+'normal case'!M377/100)/('normal case'!D377/'normal case'!D376))*'external balance'!H376</f>
        <v>#DIV/0!</v>
      </c>
    </row>
    <row r="378" spans="2:8">
      <c r="B378" s="180" t="e">
        <f ca="1">('normal case'!AC378*($K$6*'normal case'!D378*('normal case'!AC378^'external balance'!$K$4)))/'normal case'!D378</f>
        <v>#DIV/0!</v>
      </c>
      <c r="C378" s="180" t="e">
        <f ca="1">($K$5*$K$7*((1+$K$8)^'normal case'!A377)*'normal case'!AC378^$K$3)/'normal case'!D378</f>
        <v>#DIV/0!</v>
      </c>
      <c r="D378" s="116" t="e">
        <f ca="1">(C378-B378)+((('main page'!$U$38/100)*'normal case'!$D$3)/'normal case'!$D$3)</f>
        <v>#DIV/0!</v>
      </c>
      <c r="E378" s="180" t="e">
        <f ca="1">((('normal case'!M378/100)*'external balance'!H377)/('normal case'!D378/'normal case'!D377))</f>
        <v>#DIV/0!</v>
      </c>
      <c r="F378" s="180" t="e">
        <f t="shared" ca="1" si="6"/>
        <v>#DIV/0!</v>
      </c>
      <c r="H378" s="180" t="e">
        <f ca="1">D378+((1+'normal case'!M378/100)/('normal case'!D378/'normal case'!D377))*'external balance'!H377</f>
        <v>#DIV/0!</v>
      </c>
    </row>
    <row r="379" spans="2:8">
      <c r="B379" s="180" t="e">
        <f ca="1">('normal case'!AC379*($K$6*'normal case'!D379*('normal case'!AC379^'external balance'!$K$4)))/'normal case'!D379</f>
        <v>#DIV/0!</v>
      </c>
      <c r="C379" s="180" t="e">
        <f ca="1">($K$5*$K$7*((1+$K$8)^'normal case'!A378)*'normal case'!AC379^$K$3)/'normal case'!D379</f>
        <v>#DIV/0!</v>
      </c>
      <c r="D379" s="116" t="e">
        <f ca="1">(C379-B379)+((('main page'!$U$38/100)*'normal case'!$D$3)/'normal case'!$D$3)</f>
        <v>#DIV/0!</v>
      </c>
      <c r="E379" s="180" t="e">
        <f ca="1">((('normal case'!M379/100)*'external balance'!H378)/('normal case'!D379/'normal case'!D378))</f>
        <v>#DIV/0!</v>
      </c>
      <c r="F379" s="180" t="e">
        <f t="shared" ca="1" si="6"/>
        <v>#DIV/0!</v>
      </c>
      <c r="H379" s="180" t="e">
        <f ca="1">D379+((1+'normal case'!M379/100)/('normal case'!D379/'normal case'!D378))*'external balance'!H378</f>
        <v>#DIV/0!</v>
      </c>
    </row>
    <row r="380" spans="2:8">
      <c r="B380" s="180" t="e">
        <f ca="1">('normal case'!AC380*($K$6*'normal case'!D380*('normal case'!AC380^'external balance'!$K$4)))/'normal case'!D380</f>
        <v>#DIV/0!</v>
      </c>
      <c r="C380" s="180" t="e">
        <f ca="1">($K$5*$K$7*((1+$K$8)^'normal case'!A379)*'normal case'!AC380^$K$3)/'normal case'!D380</f>
        <v>#DIV/0!</v>
      </c>
      <c r="D380" s="116" t="e">
        <f ca="1">(C380-B380)+((('main page'!$U$38/100)*'normal case'!$D$3)/'normal case'!$D$3)</f>
        <v>#DIV/0!</v>
      </c>
      <c r="E380" s="180" t="e">
        <f ca="1">((('normal case'!M380/100)*'external balance'!H379)/('normal case'!D380/'normal case'!D379))</f>
        <v>#DIV/0!</v>
      </c>
      <c r="F380" s="180" t="e">
        <f t="shared" ca="1" si="6"/>
        <v>#DIV/0!</v>
      </c>
      <c r="H380" s="180" t="e">
        <f ca="1">D380+((1+'normal case'!M380/100)/('normal case'!D380/'normal case'!D379))*'external balance'!H379</f>
        <v>#DIV/0!</v>
      </c>
    </row>
    <row r="381" spans="2:8">
      <c r="B381" s="180" t="e">
        <f ca="1">('normal case'!AC381*($K$6*'normal case'!D381*('normal case'!AC381^'external balance'!$K$4)))/'normal case'!D381</f>
        <v>#DIV/0!</v>
      </c>
      <c r="C381" s="180" t="e">
        <f ca="1">($K$5*$K$7*((1+$K$8)^'normal case'!A380)*'normal case'!AC381^$K$3)/'normal case'!D381</f>
        <v>#DIV/0!</v>
      </c>
      <c r="D381" s="116" t="e">
        <f ca="1">(C381-B381)+((('main page'!$U$38/100)*'normal case'!$D$3)/'normal case'!$D$3)</f>
        <v>#DIV/0!</v>
      </c>
      <c r="E381" s="180" t="e">
        <f ca="1">((('normal case'!M381/100)*'external balance'!H380)/('normal case'!D381/'normal case'!D380))</f>
        <v>#DIV/0!</v>
      </c>
      <c r="F381" s="180" t="e">
        <f t="shared" ca="1" si="6"/>
        <v>#DIV/0!</v>
      </c>
      <c r="H381" s="180" t="e">
        <f ca="1">D381+((1+'normal case'!M381/100)/('normal case'!D381/'normal case'!D380))*'external balance'!H380</f>
        <v>#DIV/0!</v>
      </c>
    </row>
    <row r="382" spans="2:8">
      <c r="B382" s="180" t="e">
        <f ca="1">('normal case'!AC382*($K$6*'normal case'!D382*('normal case'!AC382^'external balance'!$K$4)))/'normal case'!D382</f>
        <v>#DIV/0!</v>
      </c>
      <c r="C382" s="180" t="e">
        <f ca="1">($K$5*$K$7*((1+$K$8)^'normal case'!A381)*'normal case'!AC382^$K$3)/'normal case'!D382</f>
        <v>#DIV/0!</v>
      </c>
      <c r="D382" s="116" t="e">
        <f ca="1">(C382-B382)+((('main page'!$U$38/100)*'normal case'!$D$3)/'normal case'!$D$3)</f>
        <v>#DIV/0!</v>
      </c>
      <c r="E382" s="180" t="e">
        <f ca="1">((('normal case'!M382/100)*'external balance'!H381)/('normal case'!D382/'normal case'!D381))</f>
        <v>#DIV/0!</v>
      </c>
      <c r="F382" s="180" t="e">
        <f t="shared" ca="1" si="6"/>
        <v>#DIV/0!</v>
      </c>
      <c r="H382" s="180" t="e">
        <f ca="1">D382+((1+'normal case'!M382/100)/('normal case'!D382/'normal case'!D381))*'external balance'!H381</f>
        <v>#DIV/0!</v>
      </c>
    </row>
    <row r="383" spans="2:8">
      <c r="B383" s="180" t="e">
        <f ca="1">('normal case'!AC383*($K$6*'normal case'!D383*('normal case'!AC383^'external balance'!$K$4)))/'normal case'!D383</f>
        <v>#DIV/0!</v>
      </c>
      <c r="C383" s="180" t="e">
        <f ca="1">($K$5*$K$7*((1+$K$8)^'normal case'!A382)*'normal case'!AC383^$K$3)/'normal case'!D383</f>
        <v>#DIV/0!</v>
      </c>
      <c r="D383" s="116" t="e">
        <f ca="1">(C383-B383)+((('main page'!$U$38/100)*'normal case'!$D$3)/'normal case'!$D$3)</f>
        <v>#DIV/0!</v>
      </c>
      <c r="E383" s="180" t="e">
        <f ca="1">((('normal case'!M383/100)*'external balance'!H382)/('normal case'!D383/'normal case'!D382))</f>
        <v>#DIV/0!</v>
      </c>
      <c r="F383" s="180" t="e">
        <f t="shared" ca="1" si="6"/>
        <v>#DIV/0!</v>
      </c>
      <c r="H383" s="180" t="e">
        <f ca="1">D383+((1+'normal case'!M383/100)/('normal case'!D383/'normal case'!D382))*'external balance'!H382</f>
        <v>#DIV/0!</v>
      </c>
    </row>
    <row r="384" spans="2:8">
      <c r="B384" s="180" t="e">
        <f ca="1">('normal case'!AC384*($K$6*'normal case'!D384*('normal case'!AC384^'external balance'!$K$4)))/'normal case'!D384</f>
        <v>#DIV/0!</v>
      </c>
      <c r="C384" s="180" t="e">
        <f ca="1">($K$5*$K$7*((1+$K$8)^'normal case'!A383)*'normal case'!AC384^$K$3)/'normal case'!D384</f>
        <v>#DIV/0!</v>
      </c>
      <c r="D384" s="116" t="e">
        <f ca="1">(C384-B384)+((('main page'!$U$38/100)*'normal case'!$D$3)/'normal case'!$D$3)</f>
        <v>#DIV/0!</v>
      </c>
      <c r="E384" s="180" t="e">
        <f ca="1">((('normal case'!M384/100)*'external balance'!H383)/('normal case'!D384/'normal case'!D383))</f>
        <v>#DIV/0!</v>
      </c>
      <c r="F384" s="180" t="e">
        <f t="shared" ca="1" si="6"/>
        <v>#DIV/0!</v>
      </c>
      <c r="H384" s="180" t="e">
        <f ca="1">D384+((1+'normal case'!M384/100)/('normal case'!D384/'normal case'!D383))*'external balance'!H383</f>
        <v>#DIV/0!</v>
      </c>
    </row>
    <row r="385" spans="2:8">
      <c r="B385" s="180" t="e">
        <f ca="1">('normal case'!AC385*($K$6*'normal case'!D385*('normal case'!AC385^'external balance'!$K$4)))/'normal case'!D385</f>
        <v>#DIV/0!</v>
      </c>
      <c r="C385" s="180" t="e">
        <f ca="1">($K$5*$K$7*((1+$K$8)^'normal case'!A384)*'normal case'!AC385^$K$3)/'normal case'!D385</f>
        <v>#DIV/0!</v>
      </c>
      <c r="D385" s="116" t="e">
        <f ca="1">(C385-B385)+((('main page'!$U$38/100)*'normal case'!$D$3)/'normal case'!$D$3)</f>
        <v>#DIV/0!</v>
      </c>
      <c r="E385" s="180" t="e">
        <f ca="1">((('normal case'!M385/100)*'external balance'!H384)/('normal case'!D385/'normal case'!D384))</f>
        <v>#DIV/0!</v>
      </c>
      <c r="F385" s="180" t="e">
        <f t="shared" ca="1" si="6"/>
        <v>#DIV/0!</v>
      </c>
      <c r="H385" s="180" t="e">
        <f ca="1">D385+((1+'normal case'!M385/100)/('normal case'!D385/'normal case'!D384))*'external balance'!H384</f>
        <v>#DIV/0!</v>
      </c>
    </row>
    <row r="386" spans="2:8">
      <c r="B386" s="180" t="e">
        <f ca="1">('normal case'!AC386*($K$6*'normal case'!D386*('normal case'!AC386^'external balance'!$K$4)))/'normal case'!D386</f>
        <v>#DIV/0!</v>
      </c>
      <c r="C386" s="180" t="e">
        <f ca="1">($K$5*$K$7*((1+$K$8)^'normal case'!A385)*'normal case'!AC386^$K$3)/'normal case'!D386</f>
        <v>#DIV/0!</v>
      </c>
      <c r="D386" s="116" t="e">
        <f ca="1">(C386-B386)+((('main page'!$U$38/100)*'normal case'!$D$3)/'normal case'!$D$3)</f>
        <v>#DIV/0!</v>
      </c>
      <c r="E386" s="180" t="e">
        <f ca="1">((('normal case'!M386/100)*'external balance'!H385)/('normal case'!D386/'normal case'!D385))</f>
        <v>#DIV/0!</v>
      </c>
      <c r="F386" s="180" t="e">
        <f t="shared" ca="1" si="6"/>
        <v>#DIV/0!</v>
      </c>
      <c r="H386" s="180" t="e">
        <f ca="1">D386+((1+'normal case'!M386/100)/('normal case'!D386/'normal case'!D385))*'external balance'!H385</f>
        <v>#DIV/0!</v>
      </c>
    </row>
    <row r="387" spans="2:8">
      <c r="B387" s="180" t="e">
        <f ca="1">('normal case'!AC387*($K$6*'normal case'!D387*('normal case'!AC387^'external balance'!$K$4)))/'normal case'!D387</f>
        <v>#DIV/0!</v>
      </c>
      <c r="C387" s="180" t="e">
        <f ca="1">($K$5*$K$7*((1+$K$8)^'normal case'!A386)*'normal case'!AC387^$K$3)/'normal case'!D387</f>
        <v>#DIV/0!</v>
      </c>
      <c r="D387" s="116" t="e">
        <f ca="1">(C387-B387)+((('main page'!$U$38/100)*'normal case'!$D$3)/'normal case'!$D$3)</f>
        <v>#DIV/0!</v>
      </c>
      <c r="E387" s="180" t="e">
        <f ca="1">((('normal case'!M387/100)*'external balance'!H386)/('normal case'!D387/'normal case'!D386))</f>
        <v>#DIV/0!</v>
      </c>
      <c r="F387" s="180" t="e">
        <f t="shared" ca="1" si="6"/>
        <v>#DIV/0!</v>
      </c>
      <c r="H387" s="180" t="e">
        <f ca="1">D387+((1+'normal case'!M387/100)/('normal case'!D387/'normal case'!D386))*'external balance'!H386</f>
        <v>#DIV/0!</v>
      </c>
    </row>
    <row r="388" spans="2:8">
      <c r="B388" s="180" t="e">
        <f ca="1">('normal case'!AC388*($K$6*'normal case'!D388*('normal case'!AC388^'external balance'!$K$4)))/'normal case'!D388</f>
        <v>#DIV/0!</v>
      </c>
      <c r="C388" s="180" t="e">
        <f ca="1">($K$5*$K$7*((1+$K$8)^'normal case'!A387)*'normal case'!AC388^$K$3)/'normal case'!D388</f>
        <v>#DIV/0!</v>
      </c>
      <c r="D388" s="116" t="e">
        <f ca="1">(C388-B388)+((('main page'!$U$38/100)*'normal case'!$D$3)/'normal case'!$D$3)</f>
        <v>#DIV/0!</v>
      </c>
      <c r="E388" s="180" t="e">
        <f ca="1">((('normal case'!M388/100)*'external balance'!H387)/('normal case'!D388/'normal case'!D387))</f>
        <v>#DIV/0!</v>
      </c>
      <c r="F388" s="180" t="e">
        <f t="shared" ca="1" si="6"/>
        <v>#DIV/0!</v>
      </c>
      <c r="H388" s="180" t="e">
        <f ca="1">D388+((1+'normal case'!M388/100)/('normal case'!D388/'normal case'!D387))*'external balance'!H387</f>
        <v>#DIV/0!</v>
      </c>
    </row>
    <row r="389" spans="2:8">
      <c r="B389" s="180" t="e">
        <f ca="1">('normal case'!AC389*($K$6*'normal case'!D389*('normal case'!AC389^'external balance'!$K$4)))/'normal case'!D389</f>
        <v>#DIV/0!</v>
      </c>
      <c r="C389" s="180" t="e">
        <f ca="1">($K$5*$K$7*((1+$K$8)^'normal case'!A388)*'normal case'!AC389^$K$3)/'normal case'!D389</f>
        <v>#DIV/0!</v>
      </c>
      <c r="D389" s="116" t="e">
        <f ca="1">(C389-B389)+((('main page'!$U$38/100)*'normal case'!$D$3)/'normal case'!$D$3)</f>
        <v>#DIV/0!</v>
      </c>
      <c r="E389" s="180" t="e">
        <f ca="1">((('normal case'!M389/100)*'external balance'!H388)/('normal case'!D389/'normal case'!D388))</f>
        <v>#DIV/0!</v>
      </c>
      <c r="F389" s="180" t="e">
        <f t="shared" ca="1" si="6"/>
        <v>#DIV/0!</v>
      </c>
      <c r="H389" s="180" t="e">
        <f ca="1">D389+((1+'normal case'!M389/100)/('normal case'!D389/'normal case'!D388))*'external balance'!H388</f>
        <v>#DIV/0!</v>
      </c>
    </row>
    <row r="390" spans="2:8">
      <c r="B390" s="180" t="e">
        <f ca="1">('normal case'!AC390*($K$6*'normal case'!D390*('normal case'!AC390^'external balance'!$K$4)))/'normal case'!D390</f>
        <v>#DIV/0!</v>
      </c>
      <c r="C390" s="180" t="e">
        <f ca="1">($K$5*$K$7*((1+$K$8)^'normal case'!A389)*'normal case'!AC390^$K$3)/'normal case'!D390</f>
        <v>#DIV/0!</v>
      </c>
      <c r="D390" s="116" t="e">
        <f ca="1">(C390-B390)+((('main page'!$U$38/100)*'normal case'!$D$3)/'normal case'!$D$3)</f>
        <v>#DIV/0!</v>
      </c>
      <c r="E390" s="180" t="e">
        <f ca="1">((('normal case'!M390/100)*'external balance'!H389)/('normal case'!D390/'normal case'!D389))</f>
        <v>#DIV/0!</v>
      </c>
      <c r="F390" s="180" t="e">
        <f t="shared" ca="1" si="6"/>
        <v>#DIV/0!</v>
      </c>
      <c r="H390" s="180" t="e">
        <f ca="1">D390+((1+'normal case'!M390/100)/('normal case'!D390/'normal case'!D389))*'external balance'!H389</f>
        <v>#DIV/0!</v>
      </c>
    </row>
    <row r="391" spans="2:8">
      <c r="B391" s="180" t="e">
        <f ca="1">('normal case'!AC391*($K$6*'normal case'!D391*('normal case'!AC391^'external balance'!$K$4)))/'normal case'!D391</f>
        <v>#DIV/0!</v>
      </c>
      <c r="C391" s="180" t="e">
        <f ca="1">($K$5*$K$7*((1+$K$8)^'normal case'!A390)*'normal case'!AC391^$K$3)/'normal case'!D391</f>
        <v>#DIV/0!</v>
      </c>
      <c r="D391" s="116" t="e">
        <f ca="1">(C391-B391)+((('main page'!$U$38/100)*'normal case'!$D$3)/'normal case'!$D$3)</f>
        <v>#DIV/0!</v>
      </c>
      <c r="E391" s="180" t="e">
        <f ca="1">((('normal case'!M391/100)*'external balance'!H390)/('normal case'!D391/'normal case'!D390))</f>
        <v>#DIV/0!</v>
      </c>
      <c r="F391" s="180" t="e">
        <f t="shared" ca="1" si="6"/>
        <v>#DIV/0!</v>
      </c>
      <c r="H391" s="180" t="e">
        <f ca="1">D391+((1+'normal case'!M391/100)/('normal case'!D391/'normal case'!D390))*'external balance'!H390</f>
        <v>#DIV/0!</v>
      </c>
    </row>
    <row r="392" spans="2:8">
      <c r="B392" s="180" t="e">
        <f ca="1">('normal case'!AC392*($K$6*'normal case'!D392*('normal case'!AC392^'external balance'!$K$4)))/'normal case'!D392</f>
        <v>#DIV/0!</v>
      </c>
      <c r="C392" s="180" t="e">
        <f ca="1">($K$5*$K$7*((1+$K$8)^'normal case'!A391)*'normal case'!AC392^$K$3)/'normal case'!D392</f>
        <v>#DIV/0!</v>
      </c>
      <c r="D392" s="116" t="e">
        <f ca="1">(C392-B392)+((('main page'!$U$38/100)*'normal case'!$D$3)/'normal case'!$D$3)</f>
        <v>#DIV/0!</v>
      </c>
      <c r="E392" s="180" t="e">
        <f ca="1">((('normal case'!M392/100)*'external balance'!H391)/('normal case'!D392/'normal case'!D391))</f>
        <v>#DIV/0!</v>
      </c>
      <c r="F392" s="180" t="e">
        <f t="shared" ca="1" si="6"/>
        <v>#DIV/0!</v>
      </c>
      <c r="H392" s="180" t="e">
        <f ca="1">D392+((1+'normal case'!M392/100)/('normal case'!D392/'normal case'!D391))*'external balance'!H391</f>
        <v>#DIV/0!</v>
      </c>
    </row>
    <row r="393" spans="2:8">
      <c r="B393" s="180" t="e">
        <f ca="1">('normal case'!AC393*($K$6*'normal case'!D393*('normal case'!AC393^'external balance'!$K$4)))/'normal case'!D393</f>
        <v>#DIV/0!</v>
      </c>
      <c r="C393" s="180" t="e">
        <f ca="1">($K$5*$K$7*((1+$K$8)^'normal case'!A392)*'normal case'!AC393^$K$3)/'normal case'!D393</f>
        <v>#DIV/0!</v>
      </c>
      <c r="D393" s="116" t="e">
        <f ca="1">(C393-B393)+((('main page'!$U$38/100)*'normal case'!$D$3)/'normal case'!$D$3)</f>
        <v>#DIV/0!</v>
      </c>
      <c r="E393" s="180" t="e">
        <f ca="1">((('normal case'!M393/100)*'external balance'!H392)/('normal case'!D393/'normal case'!D392))</f>
        <v>#DIV/0!</v>
      </c>
      <c r="F393" s="180" t="e">
        <f t="shared" ca="1" si="6"/>
        <v>#DIV/0!</v>
      </c>
      <c r="H393" s="180" t="e">
        <f ca="1">D393+((1+'normal case'!M393/100)/('normal case'!D393/'normal case'!D392))*'external balance'!H392</f>
        <v>#DIV/0!</v>
      </c>
    </row>
    <row r="394" spans="2:8">
      <c r="B394" s="180" t="e">
        <f ca="1">('normal case'!AC394*($K$6*'normal case'!D394*('normal case'!AC394^'external balance'!$K$4)))/'normal case'!D394</f>
        <v>#DIV/0!</v>
      </c>
      <c r="C394" s="180" t="e">
        <f ca="1">($K$5*$K$7*((1+$K$8)^'normal case'!A393)*'normal case'!AC394^$K$3)/'normal case'!D394</f>
        <v>#DIV/0!</v>
      </c>
      <c r="D394" s="116" t="e">
        <f ca="1">(C394-B394)+((('main page'!$U$38/100)*'normal case'!$D$3)/'normal case'!$D$3)</f>
        <v>#DIV/0!</v>
      </c>
      <c r="E394" s="180" t="e">
        <f ca="1">((('normal case'!M394/100)*'external balance'!H393)/('normal case'!D394/'normal case'!D393))</f>
        <v>#DIV/0!</v>
      </c>
      <c r="F394" s="180" t="e">
        <f t="shared" ca="1" si="6"/>
        <v>#DIV/0!</v>
      </c>
      <c r="H394" s="180" t="e">
        <f ca="1">D394+((1+'normal case'!M394/100)/('normal case'!D394/'normal case'!D393))*'external balance'!H393</f>
        <v>#DIV/0!</v>
      </c>
    </row>
    <row r="395" spans="2:8">
      <c r="B395" s="180" t="e">
        <f ca="1">('normal case'!AC395*($K$6*'normal case'!D395*('normal case'!AC395^'external balance'!$K$4)))/'normal case'!D395</f>
        <v>#DIV/0!</v>
      </c>
      <c r="C395" s="180" t="e">
        <f ca="1">($K$5*$K$7*((1+$K$8)^'normal case'!A394)*'normal case'!AC395^$K$3)/'normal case'!D395</f>
        <v>#DIV/0!</v>
      </c>
      <c r="D395" s="116" t="e">
        <f ca="1">(C395-B395)+((('main page'!$U$38/100)*'normal case'!$D$3)/'normal case'!$D$3)</f>
        <v>#DIV/0!</v>
      </c>
      <c r="E395" s="180" t="e">
        <f ca="1">((('normal case'!M395/100)*'external balance'!H394)/('normal case'!D395/'normal case'!D394))</f>
        <v>#DIV/0!</v>
      </c>
      <c r="F395" s="180" t="e">
        <f t="shared" ca="1" si="6"/>
        <v>#DIV/0!</v>
      </c>
      <c r="H395" s="180" t="e">
        <f ca="1">D395+((1+'normal case'!M395/100)/('normal case'!D395/'normal case'!D394))*'external balance'!H394</f>
        <v>#DIV/0!</v>
      </c>
    </row>
    <row r="396" spans="2:8">
      <c r="B396" s="180" t="e">
        <f ca="1">('normal case'!AC396*($K$6*'normal case'!D396*('normal case'!AC396^'external balance'!$K$4)))/'normal case'!D396</f>
        <v>#DIV/0!</v>
      </c>
      <c r="C396" s="180" t="e">
        <f ca="1">($K$5*$K$7*((1+$K$8)^'normal case'!A395)*'normal case'!AC396^$K$3)/'normal case'!D396</f>
        <v>#DIV/0!</v>
      </c>
      <c r="D396" s="116" t="e">
        <f ca="1">(C396-B396)+((('main page'!$U$38/100)*'normal case'!$D$3)/'normal case'!$D$3)</f>
        <v>#DIV/0!</v>
      </c>
      <c r="E396" s="180" t="e">
        <f ca="1">((('normal case'!M396/100)*'external balance'!H395)/('normal case'!D396/'normal case'!D395))</f>
        <v>#DIV/0!</v>
      </c>
      <c r="F396" s="180" t="e">
        <f t="shared" ca="1" si="6"/>
        <v>#DIV/0!</v>
      </c>
      <c r="H396" s="180" t="e">
        <f ca="1">D396+((1+'normal case'!M396/100)/('normal case'!D396/'normal case'!D395))*'external balance'!H395</f>
        <v>#DIV/0!</v>
      </c>
    </row>
    <row r="397" spans="2:8">
      <c r="B397" s="180" t="e">
        <f ca="1">('normal case'!AC397*($K$6*'normal case'!D397*('normal case'!AC397^'external balance'!$K$4)))/'normal case'!D397</f>
        <v>#DIV/0!</v>
      </c>
      <c r="C397" s="180" t="e">
        <f ca="1">($K$5*$K$7*((1+$K$8)^'normal case'!A396)*'normal case'!AC397^$K$3)/'normal case'!D397</f>
        <v>#DIV/0!</v>
      </c>
      <c r="D397" s="116" t="e">
        <f ca="1">(C397-B397)+((('main page'!$U$38/100)*'normal case'!$D$3)/'normal case'!$D$3)</f>
        <v>#DIV/0!</v>
      </c>
      <c r="E397" s="180" t="e">
        <f ca="1">((('normal case'!M397/100)*'external balance'!H396)/('normal case'!D397/'normal case'!D396))</f>
        <v>#DIV/0!</v>
      </c>
      <c r="F397" s="180" t="e">
        <f t="shared" ca="1" si="6"/>
        <v>#DIV/0!</v>
      </c>
      <c r="H397" s="180" t="e">
        <f ca="1">D397+((1+'normal case'!M397/100)/('normal case'!D397/'normal case'!D396))*'external balance'!H396</f>
        <v>#DIV/0!</v>
      </c>
    </row>
    <row r="398" spans="2:8">
      <c r="B398" s="180" t="e">
        <f ca="1">('normal case'!AC398*($K$6*'normal case'!D398*('normal case'!AC398^'external balance'!$K$4)))/'normal case'!D398</f>
        <v>#DIV/0!</v>
      </c>
      <c r="C398" s="180" t="e">
        <f ca="1">($K$5*$K$7*((1+$K$8)^'normal case'!A397)*'normal case'!AC398^$K$3)/'normal case'!D398</f>
        <v>#DIV/0!</v>
      </c>
      <c r="D398" s="116" t="e">
        <f ca="1">(C398-B398)+((('main page'!$U$38/100)*'normal case'!$D$3)/'normal case'!$D$3)</f>
        <v>#DIV/0!</v>
      </c>
      <c r="E398" s="180" t="e">
        <f ca="1">((('normal case'!M398/100)*'external balance'!H397)/('normal case'!D398/'normal case'!D397))</f>
        <v>#DIV/0!</v>
      </c>
      <c r="F398" s="180" t="e">
        <f t="shared" ca="1" si="6"/>
        <v>#DIV/0!</v>
      </c>
      <c r="H398" s="180" t="e">
        <f ca="1">D398+((1+'normal case'!M398/100)/('normal case'!D398/'normal case'!D397))*'external balance'!H397</f>
        <v>#DIV/0!</v>
      </c>
    </row>
    <row r="399" spans="2:8">
      <c r="B399" s="180" t="e">
        <f ca="1">('normal case'!AC399*($K$6*'normal case'!D399*('normal case'!AC399^'external balance'!$K$4)))/'normal case'!D399</f>
        <v>#DIV/0!</v>
      </c>
      <c r="C399" s="180" t="e">
        <f ca="1">($K$5*$K$7*((1+$K$8)^'normal case'!A398)*'normal case'!AC399^$K$3)/'normal case'!D399</f>
        <v>#DIV/0!</v>
      </c>
      <c r="D399" s="116" t="e">
        <f ca="1">(C399-B399)+((('main page'!$U$38/100)*'normal case'!$D$3)/'normal case'!$D$3)</f>
        <v>#DIV/0!</v>
      </c>
      <c r="E399" s="180" t="e">
        <f ca="1">((('normal case'!M399/100)*'external balance'!H398)/('normal case'!D399/'normal case'!D398))</f>
        <v>#DIV/0!</v>
      </c>
      <c r="F399" s="180" t="e">
        <f t="shared" ca="1" si="6"/>
        <v>#DIV/0!</v>
      </c>
      <c r="H399" s="180" t="e">
        <f ca="1">D399+((1+'normal case'!M399/100)/('normal case'!D399/'normal case'!D398))*'external balance'!H398</f>
        <v>#DIV/0!</v>
      </c>
    </row>
    <row r="400" spans="2:8">
      <c r="B400" s="180" t="e">
        <f ca="1">('normal case'!AC400*($K$6*'normal case'!D400*('normal case'!AC400^'external balance'!$K$4)))/'normal case'!D400</f>
        <v>#DIV/0!</v>
      </c>
      <c r="C400" s="180" t="e">
        <f ca="1">($K$5*$K$7*((1+$K$8)^'normal case'!A399)*'normal case'!AC400^$K$3)/'normal case'!D400</f>
        <v>#DIV/0!</v>
      </c>
      <c r="D400" s="116" t="e">
        <f ca="1">(C400-B400)+((('main page'!$U$38/100)*'normal case'!$D$3)/'normal case'!$D$3)</f>
        <v>#DIV/0!</v>
      </c>
      <c r="E400" s="180" t="e">
        <f ca="1">((('normal case'!M400/100)*'external balance'!H399)/('normal case'!D400/'normal case'!D399))</f>
        <v>#DIV/0!</v>
      </c>
      <c r="F400" s="180" t="e">
        <f t="shared" ca="1" si="6"/>
        <v>#DIV/0!</v>
      </c>
      <c r="H400" s="180" t="e">
        <f ca="1">D400+((1+'normal case'!M400/100)/('normal case'!D400/'normal case'!D399))*'external balance'!H399</f>
        <v>#DIV/0!</v>
      </c>
    </row>
    <row r="401" spans="2:8">
      <c r="B401" s="180" t="e">
        <f ca="1">('normal case'!AC401*($K$6*'normal case'!D401*('normal case'!AC401^'external balance'!$K$4)))/'normal case'!D401</f>
        <v>#DIV/0!</v>
      </c>
      <c r="C401" s="180" t="e">
        <f ca="1">($K$5*$K$7*((1+$K$8)^'normal case'!A400)*'normal case'!AC401^$K$3)/'normal case'!D401</f>
        <v>#DIV/0!</v>
      </c>
      <c r="D401" s="116" t="e">
        <f ca="1">(C401-B401)+((('main page'!$U$38/100)*'normal case'!$D$3)/'normal case'!$D$3)</f>
        <v>#DIV/0!</v>
      </c>
      <c r="E401" s="180" t="e">
        <f ca="1">((('normal case'!M401/100)*'external balance'!H400)/('normal case'!D401/'normal case'!D400))</f>
        <v>#DIV/0!</v>
      </c>
      <c r="F401" s="180" t="e">
        <f t="shared" ca="1" si="6"/>
        <v>#DIV/0!</v>
      </c>
      <c r="H401" s="180" t="e">
        <f ca="1">D401+((1+'normal case'!M401/100)/('normal case'!D401/'normal case'!D400))*'external balance'!H400</f>
        <v>#DIV/0!</v>
      </c>
    </row>
    <row r="402" spans="2:8">
      <c r="B402" s="180" t="e">
        <f ca="1">('normal case'!AC402*($K$6*'normal case'!D402*('normal case'!AC402^'external balance'!$K$4)))/'normal case'!D402</f>
        <v>#DIV/0!</v>
      </c>
      <c r="C402" s="180" t="e">
        <f ca="1">($K$5*$K$7*((1+$K$8)^'normal case'!A401)*'normal case'!AC402^$K$3)/'normal case'!D402</f>
        <v>#DIV/0!</v>
      </c>
      <c r="D402" s="116" t="e">
        <f ca="1">(C402-B402)+((('main page'!$U$38/100)*'normal case'!$D$3)/'normal case'!$D$3)</f>
        <v>#DIV/0!</v>
      </c>
      <c r="E402" s="180" t="e">
        <f ca="1">((('normal case'!M402/100)*'external balance'!H401)/('normal case'!D402/'normal case'!D401))</f>
        <v>#DIV/0!</v>
      </c>
      <c r="F402" s="180" t="e">
        <f t="shared" ca="1" si="6"/>
        <v>#DIV/0!</v>
      </c>
      <c r="H402" s="180" t="e">
        <f ca="1">D402+((1+'normal case'!M402/100)/('normal case'!D402/'normal case'!D401))*'external balance'!H401</f>
        <v>#DIV/0!</v>
      </c>
    </row>
    <row r="403" spans="2:8">
      <c r="B403" s="180" t="e">
        <f ca="1">('normal case'!AC403*($K$6*'normal case'!D403*('normal case'!AC403^'external balance'!$K$4)))/'normal case'!D403</f>
        <v>#DIV/0!</v>
      </c>
      <c r="C403" s="180" t="e">
        <f ca="1">($K$5*$K$7*((1+$K$8)^'normal case'!A402)*'normal case'!AC403^$K$3)/'normal case'!D403</f>
        <v>#DIV/0!</v>
      </c>
      <c r="D403" s="116" t="e">
        <f ca="1">(C403-B403)+((('main page'!$U$38/100)*'normal case'!$D$3)/'normal case'!$D$3)</f>
        <v>#DIV/0!</v>
      </c>
      <c r="E403" s="180" t="e">
        <f ca="1">((('normal case'!M403/100)*'external balance'!H402)/('normal case'!D403/'normal case'!D402))</f>
        <v>#DIV/0!</v>
      </c>
      <c r="F403" s="180" t="e">
        <f t="shared" ca="1" si="6"/>
        <v>#DIV/0!</v>
      </c>
      <c r="H403" s="180" t="e">
        <f ca="1">D403+((1+'normal case'!M403/100)/('normal case'!D403/'normal case'!D402))*'external balance'!H402</f>
        <v>#DIV/0!</v>
      </c>
    </row>
    <row r="404" spans="2:8">
      <c r="B404" s="180" t="e">
        <f ca="1">('normal case'!AC404*($K$6*'normal case'!D404*('normal case'!AC404^'external balance'!$K$4)))/'normal case'!D404</f>
        <v>#DIV/0!</v>
      </c>
      <c r="C404" s="180" t="e">
        <f ca="1">($K$5*$K$7*((1+$K$8)^'normal case'!A403)*'normal case'!AC404^$K$3)/'normal case'!D404</f>
        <v>#DIV/0!</v>
      </c>
      <c r="D404" s="116" t="e">
        <f ca="1">(C404-B404)+((('main page'!$U$38/100)*'normal case'!$D$3)/'normal case'!$D$3)</f>
        <v>#DIV/0!</v>
      </c>
      <c r="E404" s="180" t="e">
        <f ca="1">((('normal case'!M404/100)*'external balance'!H403)/('normal case'!D404/'normal case'!D403))</f>
        <v>#DIV/0!</v>
      </c>
      <c r="F404" s="180" t="e">
        <f t="shared" ca="1" si="6"/>
        <v>#DIV/0!</v>
      </c>
      <c r="H404" s="180" t="e">
        <f ca="1">D404+((1+'normal case'!M404/100)/('normal case'!D404/'normal case'!D403))*'external balance'!H403</f>
        <v>#DIV/0!</v>
      </c>
    </row>
    <row r="405" spans="2:8">
      <c r="B405" s="180" t="e">
        <f ca="1">('normal case'!AC405*($K$6*'normal case'!D405*('normal case'!AC405^'external balance'!$K$4)))/'normal case'!D405</f>
        <v>#DIV/0!</v>
      </c>
      <c r="C405" s="180" t="e">
        <f ca="1">($K$5*$K$7*((1+$K$8)^'normal case'!A404)*'normal case'!AC405^$K$3)/'normal case'!D405</f>
        <v>#DIV/0!</v>
      </c>
      <c r="D405" s="116" t="e">
        <f ca="1">(C405-B405)+((('main page'!$U$38/100)*'normal case'!$D$3)/'normal case'!$D$3)</f>
        <v>#DIV/0!</v>
      </c>
      <c r="E405" s="180" t="e">
        <f ca="1">((('normal case'!M405/100)*'external balance'!H404)/('normal case'!D405/'normal case'!D404))</f>
        <v>#DIV/0!</v>
      </c>
      <c r="F405" s="180" t="e">
        <f t="shared" ca="1" si="6"/>
        <v>#DIV/0!</v>
      </c>
      <c r="H405" s="180" t="e">
        <f ca="1">D405+((1+'normal case'!M405/100)/('normal case'!D405/'normal case'!D404))*'external balance'!H404</f>
        <v>#DIV/0!</v>
      </c>
    </row>
    <row r="406" spans="2:8">
      <c r="B406" s="180" t="e">
        <f ca="1">('normal case'!AC406*($K$6*'normal case'!D406*('normal case'!AC406^'external balance'!$K$4)))/'normal case'!D406</f>
        <v>#DIV/0!</v>
      </c>
      <c r="C406" s="180" t="e">
        <f ca="1">($K$5*$K$7*((1+$K$8)^'normal case'!A405)*'normal case'!AC406^$K$3)/'normal case'!D406</f>
        <v>#DIV/0!</v>
      </c>
      <c r="D406" s="116" t="e">
        <f ca="1">(C406-B406)+((('main page'!$U$38/100)*'normal case'!$D$3)/'normal case'!$D$3)</f>
        <v>#DIV/0!</v>
      </c>
      <c r="E406" s="180" t="e">
        <f ca="1">((('normal case'!M406/100)*'external balance'!H405)/('normal case'!D406/'normal case'!D405))</f>
        <v>#DIV/0!</v>
      </c>
      <c r="F406" s="180" t="e">
        <f t="shared" ca="1" si="6"/>
        <v>#DIV/0!</v>
      </c>
      <c r="H406" s="180" t="e">
        <f ca="1">D406+((1+'normal case'!M406/100)/('normal case'!D406/'normal case'!D405))*'external balance'!H405</f>
        <v>#DIV/0!</v>
      </c>
    </row>
    <row r="407" spans="2:8">
      <c r="B407" s="180" t="e">
        <f ca="1">('normal case'!AC407*($K$6*'normal case'!D407*('normal case'!AC407^'external balance'!$K$4)))/'normal case'!D407</f>
        <v>#DIV/0!</v>
      </c>
      <c r="C407" s="180" t="e">
        <f ca="1">($K$5*$K$7*((1+$K$8)^'normal case'!A406)*'normal case'!AC407^$K$3)/'normal case'!D407</f>
        <v>#DIV/0!</v>
      </c>
      <c r="D407" s="116" t="e">
        <f ca="1">(C407-B407)+((('main page'!$U$38/100)*'normal case'!$D$3)/'normal case'!$D$3)</f>
        <v>#DIV/0!</v>
      </c>
      <c r="E407" s="180" t="e">
        <f ca="1">((('normal case'!M407/100)*'external balance'!H406)/('normal case'!D407/'normal case'!D406))</f>
        <v>#DIV/0!</v>
      </c>
      <c r="F407" s="180" t="e">
        <f t="shared" ca="1" si="6"/>
        <v>#DIV/0!</v>
      </c>
      <c r="H407" s="180" t="e">
        <f ca="1">D407+((1+'normal case'!M407/100)/('normal case'!D407/'normal case'!D406))*'external balance'!H406</f>
        <v>#DIV/0!</v>
      </c>
    </row>
    <row r="408" spans="2:8">
      <c r="B408" s="180" t="e">
        <f ca="1">('normal case'!AC408*($K$6*'normal case'!D408*('normal case'!AC408^'external balance'!$K$4)))/'normal case'!D408</f>
        <v>#DIV/0!</v>
      </c>
      <c r="C408" s="180" t="e">
        <f ca="1">($K$5*$K$7*((1+$K$8)^'normal case'!A407)*'normal case'!AC408^$K$3)/'normal case'!D408</f>
        <v>#DIV/0!</v>
      </c>
      <c r="D408" s="116" t="e">
        <f ca="1">(C408-B408)+((('main page'!$U$38/100)*'normal case'!$D$3)/'normal case'!$D$3)</f>
        <v>#DIV/0!</v>
      </c>
      <c r="E408" s="180" t="e">
        <f ca="1">((('normal case'!M408/100)*'external balance'!H407)/('normal case'!D408/'normal case'!D407))</f>
        <v>#DIV/0!</v>
      </c>
      <c r="F408" s="180" t="e">
        <f t="shared" ca="1" si="6"/>
        <v>#DIV/0!</v>
      </c>
      <c r="H408" s="180" t="e">
        <f ca="1">D408+((1+'normal case'!M408/100)/('normal case'!D408/'normal case'!D407))*'external balance'!H407</f>
        <v>#DIV/0!</v>
      </c>
    </row>
    <row r="409" spans="2:8">
      <c r="B409" s="180" t="e">
        <f ca="1">('normal case'!AC409*($K$6*'normal case'!D409*('normal case'!AC409^'external balance'!$K$4)))/'normal case'!D409</f>
        <v>#DIV/0!</v>
      </c>
      <c r="C409" s="180" t="e">
        <f ca="1">($K$5*$K$7*((1+$K$8)^'normal case'!A408)*'normal case'!AC409^$K$3)/'normal case'!D409</f>
        <v>#DIV/0!</v>
      </c>
      <c r="D409" s="116" t="e">
        <f ca="1">(C409-B409)+((('main page'!$U$38/100)*'normal case'!$D$3)/'normal case'!$D$3)</f>
        <v>#DIV/0!</v>
      </c>
      <c r="E409" s="180" t="e">
        <f ca="1">((('normal case'!M409/100)*'external balance'!H408)/('normal case'!D409/'normal case'!D408))</f>
        <v>#DIV/0!</v>
      </c>
      <c r="F409" s="180" t="e">
        <f t="shared" ca="1" si="6"/>
        <v>#DIV/0!</v>
      </c>
      <c r="H409" s="180" t="e">
        <f ca="1">D409+((1+'normal case'!M409/100)/('normal case'!D409/'normal case'!D408))*'external balance'!H408</f>
        <v>#DIV/0!</v>
      </c>
    </row>
    <row r="410" spans="2:8">
      <c r="B410" s="180" t="e">
        <f ca="1">('normal case'!AC410*($K$6*'normal case'!D410*('normal case'!AC410^'external balance'!$K$4)))/'normal case'!D410</f>
        <v>#DIV/0!</v>
      </c>
      <c r="C410" s="180" t="e">
        <f ca="1">($K$5*$K$7*((1+$K$8)^'normal case'!A409)*'normal case'!AC410^$K$3)/'normal case'!D410</f>
        <v>#DIV/0!</v>
      </c>
      <c r="D410" s="116" t="e">
        <f ca="1">(C410-B410)+((('main page'!$U$38/100)*'normal case'!$D$3)/'normal case'!$D$3)</f>
        <v>#DIV/0!</v>
      </c>
      <c r="E410" s="180" t="e">
        <f ca="1">((('normal case'!M410/100)*'external balance'!H409)/('normal case'!D410/'normal case'!D409))</f>
        <v>#DIV/0!</v>
      </c>
      <c r="F410" s="180" t="e">
        <f t="shared" ca="1" si="6"/>
        <v>#DIV/0!</v>
      </c>
      <c r="H410" s="180" t="e">
        <f ca="1">D410+((1+'normal case'!M410/100)/('normal case'!D410/'normal case'!D409))*'external balance'!H409</f>
        <v>#DIV/0!</v>
      </c>
    </row>
    <row r="411" spans="2:8">
      <c r="B411" s="180" t="e">
        <f ca="1">('normal case'!AC411*($K$6*'normal case'!D411*('normal case'!AC411^'external balance'!$K$4)))/'normal case'!D411</f>
        <v>#DIV/0!</v>
      </c>
      <c r="C411" s="180" t="e">
        <f ca="1">($K$5*$K$7*((1+$K$8)^'normal case'!A410)*'normal case'!AC411^$K$3)/'normal case'!D411</f>
        <v>#DIV/0!</v>
      </c>
      <c r="D411" s="116" t="e">
        <f ca="1">(C411-B411)+((('main page'!$U$38/100)*'normal case'!$D$3)/'normal case'!$D$3)</f>
        <v>#DIV/0!</v>
      </c>
      <c r="E411" s="180" t="e">
        <f ca="1">((('normal case'!M411/100)*'external balance'!H410)/('normal case'!D411/'normal case'!D410))</f>
        <v>#DIV/0!</v>
      </c>
      <c r="F411" s="180" t="e">
        <f t="shared" ca="1" si="6"/>
        <v>#DIV/0!</v>
      </c>
      <c r="H411" s="180" t="e">
        <f ca="1">D411+((1+'normal case'!M411/100)/('normal case'!D411/'normal case'!D410))*'external balance'!H410</f>
        <v>#DIV/0!</v>
      </c>
    </row>
    <row r="412" spans="2:8">
      <c r="B412" s="180" t="e">
        <f ca="1">('normal case'!AC412*($K$6*'normal case'!D412*('normal case'!AC412^'external balance'!$K$4)))/'normal case'!D412</f>
        <v>#DIV/0!</v>
      </c>
      <c r="C412" s="180" t="e">
        <f ca="1">($K$5*$K$7*((1+$K$8)^'normal case'!A411)*'normal case'!AC412^$K$3)/'normal case'!D412</f>
        <v>#DIV/0!</v>
      </c>
      <c r="D412" s="116" t="e">
        <f ca="1">(C412-B412)+((('main page'!$U$38/100)*'normal case'!$D$3)/'normal case'!$D$3)</f>
        <v>#DIV/0!</v>
      </c>
      <c r="E412" s="180" t="e">
        <f ca="1">((('normal case'!M412/100)*'external balance'!H411)/('normal case'!D412/'normal case'!D411))</f>
        <v>#DIV/0!</v>
      </c>
      <c r="F412" s="180" t="e">
        <f t="shared" ca="1" si="6"/>
        <v>#DIV/0!</v>
      </c>
      <c r="H412" s="180" t="e">
        <f ca="1">D412+((1+'normal case'!M412/100)/('normal case'!D412/'normal case'!D411))*'external balance'!H411</f>
        <v>#DIV/0!</v>
      </c>
    </row>
    <row r="413" spans="2:8">
      <c r="B413" s="180" t="e">
        <f ca="1">('normal case'!AC413*($K$6*'normal case'!D413*('normal case'!AC413^'external balance'!$K$4)))/'normal case'!D413</f>
        <v>#DIV/0!</v>
      </c>
      <c r="C413" s="180" t="e">
        <f ca="1">($K$5*$K$7*((1+$K$8)^'normal case'!A412)*'normal case'!AC413^$K$3)/'normal case'!D413</f>
        <v>#DIV/0!</v>
      </c>
      <c r="D413" s="116" t="e">
        <f ca="1">(C413-B413)+((('main page'!$U$38/100)*'normal case'!$D$3)/'normal case'!$D$3)</f>
        <v>#DIV/0!</v>
      </c>
      <c r="E413" s="180" t="e">
        <f ca="1">((('normal case'!M413/100)*'external balance'!H412)/('normal case'!D413/'normal case'!D412))</f>
        <v>#DIV/0!</v>
      </c>
      <c r="F413" s="180" t="e">
        <f t="shared" ca="1" si="6"/>
        <v>#DIV/0!</v>
      </c>
      <c r="H413" s="180" t="e">
        <f ca="1">D413+((1+'normal case'!M413/100)/('normal case'!D413/'normal case'!D412))*'external balance'!H412</f>
        <v>#DIV/0!</v>
      </c>
    </row>
    <row r="414" spans="2:8">
      <c r="B414" s="180" t="e">
        <f ca="1">('normal case'!AC414*($K$6*'normal case'!D414*('normal case'!AC414^'external balance'!$K$4)))/'normal case'!D414</f>
        <v>#DIV/0!</v>
      </c>
      <c r="C414" s="180" t="e">
        <f ca="1">($K$5*$K$7*((1+$K$8)^'normal case'!A413)*'normal case'!AC414^$K$3)/'normal case'!D414</f>
        <v>#DIV/0!</v>
      </c>
      <c r="D414" s="116" t="e">
        <f ca="1">(C414-B414)+((('main page'!$U$38/100)*'normal case'!$D$3)/'normal case'!$D$3)</f>
        <v>#DIV/0!</v>
      </c>
      <c r="E414" s="180" t="e">
        <f ca="1">((('normal case'!M414/100)*'external balance'!H413)/('normal case'!D414/'normal case'!D413))</f>
        <v>#DIV/0!</v>
      </c>
      <c r="F414" s="180" t="e">
        <f t="shared" ca="1" si="6"/>
        <v>#DIV/0!</v>
      </c>
      <c r="H414" s="180" t="e">
        <f ca="1">D414+((1+'normal case'!M414/100)/('normal case'!D414/'normal case'!D413))*'external balance'!H413</f>
        <v>#DIV/0!</v>
      </c>
    </row>
    <row r="415" spans="2:8">
      <c r="B415" s="180" t="e">
        <f ca="1">('normal case'!AC415*($K$6*'normal case'!D415*('normal case'!AC415^'external balance'!$K$4)))/'normal case'!D415</f>
        <v>#DIV/0!</v>
      </c>
      <c r="C415" s="180" t="e">
        <f ca="1">($K$5*$K$7*((1+$K$8)^'normal case'!A414)*'normal case'!AC415^$K$3)/'normal case'!D415</f>
        <v>#DIV/0!</v>
      </c>
      <c r="D415" s="116" t="e">
        <f ca="1">(C415-B415)+((('main page'!$U$38/100)*'normal case'!$D$3)/'normal case'!$D$3)</f>
        <v>#DIV/0!</v>
      </c>
      <c r="E415" s="180" t="e">
        <f ca="1">((('normal case'!M415/100)*'external balance'!H414)/('normal case'!D415/'normal case'!D414))</f>
        <v>#DIV/0!</v>
      </c>
      <c r="F415" s="180" t="e">
        <f t="shared" ca="1" si="6"/>
        <v>#DIV/0!</v>
      </c>
      <c r="H415" s="180" t="e">
        <f ca="1">D415+((1+'normal case'!M415/100)/('normal case'!D415/'normal case'!D414))*'external balance'!H414</f>
        <v>#DIV/0!</v>
      </c>
    </row>
    <row r="416" spans="2:8">
      <c r="B416" s="180" t="e">
        <f ca="1">('normal case'!AC416*($K$6*'normal case'!D416*('normal case'!AC416^'external balance'!$K$4)))/'normal case'!D416</f>
        <v>#DIV/0!</v>
      </c>
      <c r="C416" s="180" t="e">
        <f ca="1">($K$5*$K$7*((1+$K$8)^'normal case'!A415)*'normal case'!AC416^$K$3)/'normal case'!D416</f>
        <v>#DIV/0!</v>
      </c>
      <c r="D416" s="116" t="e">
        <f ca="1">(C416-B416)+((('main page'!$U$38/100)*'normal case'!$D$3)/'normal case'!$D$3)</f>
        <v>#DIV/0!</v>
      </c>
      <c r="E416" s="180" t="e">
        <f ca="1">((('normal case'!M416/100)*'external balance'!H415)/('normal case'!D416/'normal case'!D415))</f>
        <v>#DIV/0!</v>
      </c>
      <c r="F416" s="180" t="e">
        <f t="shared" ca="1" si="6"/>
        <v>#DIV/0!</v>
      </c>
      <c r="H416" s="180" t="e">
        <f ca="1">D416+((1+'normal case'!M416/100)/('normal case'!D416/'normal case'!D415))*'external balance'!H415</f>
        <v>#DIV/0!</v>
      </c>
    </row>
    <row r="417" spans="2:8">
      <c r="B417" s="180" t="e">
        <f ca="1">('normal case'!AC417*($K$6*'normal case'!D417*('normal case'!AC417^'external balance'!$K$4)))/'normal case'!D417</f>
        <v>#DIV/0!</v>
      </c>
      <c r="C417" s="180" t="e">
        <f ca="1">($K$5*$K$7*((1+$K$8)^'normal case'!A416)*'normal case'!AC417^$K$3)/'normal case'!D417</f>
        <v>#DIV/0!</v>
      </c>
      <c r="D417" s="116" t="e">
        <f ca="1">(C417-B417)+((('main page'!$U$38/100)*'normal case'!$D$3)/'normal case'!$D$3)</f>
        <v>#DIV/0!</v>
      </c>
      <c r="E417" s="180" t="e">
        <f ca="1">((('normal case'!M417/100)*'external balance'!H416)/('normal case'!D417/'normal case'!D416))</f>
        <v>#DIV/0!</v>
      </c>
      <c r="F417" s="180" t="e">
        <f t="shared" ca="1" si="6"/>
        <v>#DIV/0!</v>
      </c>
      <c r="H417" s="180" t="e">
        <f ca="1">D417+((1+'normal case'!M417/100)/('normal case'!D417/'normal case'!D416))*'external balance'!H416</f>
        <v>#DIV/0!</v>
      </c>
    </row>
    <row r="418" spans="2:8">
      <c r="B418" s="180" t="e">
        <f ca="1">('normal case'!AC418*($K$6*'normal case'!D418*('normal case'!AC418^'external balance'!$K$4)))/'normal case'!D418</f>
        <v>#DIV/0!</v>
      </c>
      <c r="C418" s="180" t="e">
        <f ca="1">($K$5*$K$7*((1+$K$8)^'normal case'!A417)*'normal case'!AC418^$K$3)/'normal case'!D418</f>
        <v>#DIV/0!</v>
      </c>
      <c r="D418" s="116" t="e">
        <f ca="1">(C418-B418)+((('main page'!$U$38/100)*'normal case'!$D$3)/'normal case'!$D$3)</f>
        <v>#DIV/0!</v>
      </c>
      <c r="E418" s="180" t="e">
        <f ca="1">((('normal case'!M418/100)*'external balance'!H417)/('normal case'!D418/'normal case'!D417))</f>
        <v>#DIV/0!</v>
      </c>
      <c r="F418" s="180" t="e">
        <f t="shared" ca="1" si="6"/>
        <v>#DIV/0!</v>
      </c>
      <c r="H418" s="180" t="e">
        <f ca="1">D418+((1+'normal case'!M418/100)/('normal case'!D418/'normal case'!D417))*'external balance'!H417</f>
        <v>#DIV/0!</v>
      </c>
    </row>
    <row r="419" spans="2:8">
      <c r="B419" s="180" t="e">
        <f ca="1">('normal case'!AC419*($K$6*'normal case'!D419*('normal case'!AC419^'external balance'!$K$4)))/'normal case'!D419</f>
        <v>#DIV/0!</v>
      </c>
      <c r="C419" s="180" t="e">
        <f ca="1">($K$5*$K$7*((1+$K$8)^'normal case'!A418)*'normal case'!AC419^$K$3)/'normal case'!D419</f>
        <v>#DIV/0!</v>
      </c>
      <c r="D419" s="116" t="e">
        <f ca="1">(C419-B419)+((('main page'!$U$38/100)*'normal case'!$D$3)/'normal case'!$D$3)</f>
        <v>#DIV/0!</v>
      </c>
      <c r="E419" s="180" t="e">
        <f ca="1">((('normal case'!M419/100)*'external balance'!H418)/('normal case'!D419/'normal case'!D418))</f>
        <v>#DIV/0!</v>
      </c>
      <c r="F419" s="180" t="e">
        <f t="shared" ca="1" si="6"/>
        <v>#DIV/0!</v>
      </c>
      <c r="H419" s="180" t="e">
        <f ca="1">D419+((1+'normal case'!M419/100)/('normal case'!D419/'normal case'!D418))*'external balance'!H418</f>
        <v>#DIV/0!</v>
      </c>
    </row>
    <row r="420" spans="2:8">
      <c r="B420" s="180" t="e">
        <f ca="1">('normal case'!AC420*($K$6*'normal case'!D420*('normal case'!AC420^'external balance'!$K$4)))/'normal case'!D420</f>
        <v>#DIV/0!</v>
      </c>
      <c r="C420" s="180" t="e">
        <f ca="1">($K$5*$K$7*((1+$K$8)^'normal case'!A419)*'normal case'!AC420^$K$3)/'normal case'!D420</f>
        <v>#DIV/0!</v>
      </c>
      <c r="D420" s="116" t="e">
        <f ca="1">(C420-B420)+((('main page'!$U$38/100)*'normal case'!$D$3)/'normal case'!$D$3)</f>
        <v>#DIV/0!</v>
      </c>
      <c r="E420" s="180" t="e">
        <f ca="1">((('normal case'!M420/100)*'external balance'!H419)/('normal case'!D420/'normal case'!D419))</f>
        <v>#DIV/0!</v>
      </c>
      <c r="F420" s="180" t="e">
        <f t="shared" ca="1" si="6"/>
        <v>#DIV/0!</v>
      </c>
      <c r="H420" s="180" t="e">
        <f ca="1">D420+((1+'normal case'!M420/100)/('normal case'!D420/'normal case'!D419))*'external balance'!H419</f>
        <v>#DIV/0!</v>
      </c>
    </row>
    <row r="421" spans="2:8">
      <c r="B421" s="180" t="e">
        <f ca="1">('normal case'!AC421*($K$6*'normal case'!D421*('normal case'!AC421^'external balance'!$K$4)))/'normal case'!D421</f>
        <v>#DIV/0!</v>
      </c>
      <c r="C421" s="180" t="e">
        <f ca="1">($K$5*$K$7*((1+$K$8)^'normal case'!A420)*'normal case'!AC421^$K$3)/'normal case'!D421</f>
        <v>#DIV/0!</v>
      </c>
      <c r="D421" s="116" t="e">
        <f ca="1">(C421-B421)+((('main page'!$U$38/100)*'normal case'!$D$3)/'normal case'!$D$3)</f>
        <v>#DIV/0!</v>
      </c>
      <c r="E421" s="180" t="e">
        <f ca="1">((('normal case'!M421/100)*'external balance'!H420)/('normal case'!D421/'normal case'!D420))</f>
        <v>#DIV/0!</v>
      </c>
      <c r="F421" s="180" t="e">
        <f t="shared" ca="1" si="6"/>
        <v>#DIV/0!</v>
      </c>
      <c r="H421" s="180" t="e">
        <f ca="1">D421+((1+'normal case'!M421/100)/('normal case'!D421/'normal case'!D420))*'external balance'!H420</f>
        <v>#DIV/0!</v>
      </c>
    </row>
    <row r="422" spans="2:8">
      <c r="B422" s="180" t="e">
        <f ca="1">('normal case'!AC422*($K$6*'normal case'!D422*('normal case'!AC422^'external balance'!$K$4)))/'normal case'!D422</f>
        <v>#DIV/0!</v>
      </c>
      <c r="C422" s="180" t="e">
        <f ca="1">($K$5*$K$7*((1+$K$8)^'normal case'!A421)*'normal case'!AC422^$K$3)/'normal case'!D422</f>
        <v>#DIV/0!</v>
      </c>
      <c r="D422" s="116" t="e">
        <f ca="1">(C422-B422)+((('main page'!$U$38/100)*'normal case'!$D$3)/'normal case'!$D$3)</f>
        <v>#DIV/0!</v>
      </c>
      <c r="E422" s="180" t="e">
        <f ca="1">((('normal case'!M422/100)*'external balance'!H421)/('normal case'!D422/'normal case'!D421))</f>
        <v>#DIV/0!</v>
      </c>
      <c r="F422" s="180" t="e">
        <f t="shared" ca="1" si="6"/>
        <v>#DIV/0!</v>
      </c>
      <c r="H422" s="180" t="e">
        <f ca="1">D422+((1+'normal case'!M422/100)/('normal case'!D422/'normal case'!D421))*'external balance'!H421</f>
        <v>#DIV/0!</v>
      </c>
    </row>
    <row r="423" spans="2:8">
      <c r="B423" s="180" t="e">
        <f ca="1">('normal case'!AC423*($K$6*'normal case'!D423*('normal case'!AC423^'external balance'!$K$4)))/'normal case'!D423</f>
        <v>#DIV/0!</v>
      </c>
      <c r="C423" s="180" t="e">
        <f ca="1">($K$5*$K$7*((1+$K$8)^'normal case'!A422)*'normal case'!AC423^$K$3)/'normal case'!D423</f>
        <v>#DIV/0!</v>
      </c>
      <c r="D423" s="116" t="e">
        <f ca="1">(C423-B423)+((('main page'!$U$38/100)*'normal case'!$D$3)/'normal case'!$D$3)</f>
        <v>#DIV/0!</v>
      </c>
      <c r="E423" s="180" t="e">
        <f ca="1">((('normal case'!M423/100)*'external balance'!H422)/('normal case'!D423/'normal case'!D422))</f>
        <v>#DIV/0!</v>
      </c>
      <c r="F423" s="180" t="e">
        <f t="shared" ca="1" si="6"/>
        <v>#DIV/0!</v>
      </c>
      <c r="H423" s="180" t="e">
        <f ca="1">D423+((1+'normal case'!M423/100)/('normal case'!D423/'normal case'!D422))*'external balance'!H422</f>
        <v>#DIV/0!</v>
      </c>
    </row>
    <row r="424" spans="2:8">
      <c r="B424" s="180" t="e">
        <f ca="1">('normal case'!AC424*($K$6*'normal case'!D424*('normal case'!AC424^'external balance'!$K$4)))/'normal case'!D424</f>
        <v>#DIV/0!</v>
      </c>
      <c r="C424" s="180" t="e">
        <f ca="1">($K$5*$K$7*((1+$K$8)^'normal case'!A423)*'normal case'!AC424^$K$3)/'normal case'!D424</f>
        <v>#DIV/0!</v>
      </c>
      <c r="D424" s="116" t="e">
        <f ca="1">(C424-B424)+((('main page'!$U$38/100)*'normal case'!$D$3)/'normal case'!$D$3)</f>
        <v>#DIV/0!</v>
      </c>
      <c r="E424" s="180" t="e">
        <f ca="1">((('normal case'!M424/100)*'external balance'!H423)/('normal case'!D424/'normal case'!D423))</f>
        <v>#DIV/0!</v>
      </c>
      <c r="F424" s="180" t="e">
        <f t="shared" ca="1" si="6"/>
        <v>#DIV/0!</v>
      </c>
      <c r="H424" s="180" t="e">
        <f ca="1">D424+((1+'normal case'!M424/100)/('normal case'!D424/'normal case'!D423))*'external balance'!H423</f>
        <v>#DIV/0!</v>
      </c>
    </row>
    <row r="425" spans="2:8">
      <c r="B425" s="180" t="e">
        <f ca="1">('normal case'!AC425*($K$6*'normal case'!D425*('normal case'!AC425^'external balance'!$K$4)))/'normal case'!D425</f>
        <v>#DIV/0!</v>
      </c>
      <c r="C425" s="180" t="e">
        <f ca="1">($K$5*$K$7*((1+$K$8)^'normal case'!A424)*'normal case'!AC425^$K$3)/'normal case'!D425</f>
        <v>#DIV/0!</v>
      </c>
      <c r="D425" s="116" t="e">
        <f ca="1">(C425-B425)+((('main page'!$U$38/100)*'normal case'!$D$3)/'normal case'!$D$3)</f>
        <v>#DIV/0!</v>
      </c>
      <c r="E425" s="180" t="e">
        <f ca="1">((('normal case'!M425/100)*'external balance'!H424)/('normal case'!D425/'normal case'!D424))</f>
        <v>#DIV/0!</v>
      </c>
      <c r="F425" s="180" t="e">
        <f t="shared" ca="1" si="6"/>
        <v>#DIV/0!</v>
      </c>
      <c r="H425" s="180" t="e">
        <f ca="1">D425+((1+'normal case'!M425/100)/('normal case'!D425/'normal case'!D424))*'external balance'!H424</f>
        <v>#DIV/0!</v>
      </c>
    </row>
    <row r="426" spans="2:8">
      <c r="B426" s="180" t="e">
        <f ca="1">('normal case'!AC426*($K$6*'normal case'!D426*('normal case'!AC426^'external balance'!$K$4)))/'normal case'!D426</f>
        <v>#DIV/0!</v>
      </c>
      <c r="C426" s="180" t="e">
        <f ca="1">($K$5*$K$7*((1+$K$8)^'normal case'!A425)*'normal case'!AC426^$K$3)/'normal case'!D426</f>
        <v>#DIV/0!</v>
      </c>
      <c r="D426" s="116" t="e">
        <f ca="1">(C426-B426)+((('main page'!$U$38/100)*'normal case'!$D$3)/'normal case'!$D$3)</f>
        <v>#DIV/0!</v>
      </c>
      <c r="E426" s="180" t="e">
        <f ca="1">((('normal case'!M426/100)*'external balance'!H425)/('normal case'!D426/'normal case'!D425))</f>
        <v>#DIV/0!</v>
      </c>
      <c r="F426" s="180" t="e">
        <f t="shared" ca="1" si="6"/>
        <v>#DIV/0!</v>
      </c>
      <c r="H426" s="180" t="e">
        <f ca="1">D426+((1+'normal case'!M426/100)/('normal case'!D426/'normal case'!D425))*'external balance'!H425</f>
        <v>#DIV/0!</v>
      </c>
    </row>
    <row r="427" spans="2:8">
      <c r="B427" s="180" t="e">
        <f ca="1">('normal case'!AC427*($K$6*'normal case'!D427*('normal case'!AC427^'external balance'!$K$4)))/'normal case'!D427</f>
        <v>#DIV/0!</v>
      </c>
      <c r="C427" s="180" t="e">
        <f ca="1">($K$5*$K$7*((1+$K$8)^'normal case'!A426)*'normal case'!AC427^$K$3)/'normal case'!D427</f>
        <v>#DIV/0!</v>
      </c>
      <c r="D427" s="116" t="e">
        <f ca="1">(C427-B427)+((('main page'!$U$38/100)*'normal case'!$D$3)/'normal case'!$D$3)</f>
        <v>#DIV/0!</v>
      </c>
      <c r="E427" s="180" t="e">
        <f ca="1">((('normal case'!M427/100)*'external balance'!H426)/('normal case'!D427/'normal case'!D426))</f>
        <v>#DIV/0!</v>
      </c>
      <c r="F427" s="180" t="e">
        <f t="shared" ca="1" si="6"/>
        <v>#DIV/0!</v>
      </c>
      <c r="H427" s="180" t="e">
        <f ca="1">D427+((1+'normal case'!M427/100)/('normal case'!D427/'normal case'!D426))*'external balance'!H426</f>
        <v>#DIV/0!</v>
      </c>
    </row>
    <row r="428" spans="2:8">
      <c r="B428" s="180" t="e">
        <f ca="1">('normal case'!AC428*($K$6*'normal case'!D428*('normal case'!AC428^'external balance'!$K$4)))/'normal case'!D428</f>
        <v>#DIV/0!</v>
      </c>
      <c r="C428" s="180" t="e">
        <f ca="1">($K$5*$K$7*((1+$K$8)^'normal case'!A427)*'normal case'!AC428^$K$3)/'normal case'!D428</f>
        <v>#DIV/0!</v>
      </c>
      <c r="D428" s="116" t="e">
        <f ca="1">(C428-B428)+((('main page'!$U$38/100)*'normal case'!$D$3)/'normal case'!$D$3)</f>
        <v>#DIV/0!</v>
      </c>
      <c r="E428" s="180" t="e">
        <f ca="1">((('normal case'!M428/100)*'external balance'!H427)/('normal case'!D428/'normal case'!D427))</f>
        <v>#DIV/0!</v>
      </c>
      <c r="F428" s="180" t="e">
        <f t="shared" ca="1" si="6"/>
        <v>#DIV/0!</v>
      </c>
      <c r="H428" s="180" t="e">
        <f ca="1">D428+((1+'normal case'!M428/100)/('normal case'!D428/'normal case'!D427))*'external balance'!H427</f>
        <v>#DIV/0!</v>
      </c>
    </row>
    <row r="429" spans="2:8">
      <c r="B429" s="180" t="e">
        <f ca="1">('normal case'!AC429*($K$6*'normal case'!D429*('normal case'!AC429^'external balance'!$K$4)))/'normal case'!D429</f>
        <v>#DIV/0!</v>
      </c>
      <c r="C429" s="180" t="e">
        <f ca="1">($K$5*$K$7*((1+$K$8)^'normal case'!A428)*'normal case'!AC429^$K$3)/'normal case'!D429</f>
        <v>#DIV/0!</v>
      </c>
      <c r="D429" s="116" t="e">
        <f ca="1">(C429-B429)+((('main page'!$U$38/100)*'normal case'!$D$3)/'normal case'!$D$3)</f>
        <v>#DIV/0!</v>
      </c>
      <c r="E429" s="180" t="e">
        <f ca="1">((('normal case'!M429/100)*'external balance'!H428)/('normal case'!D429/'normal case'!D428))</f>
        <v>#DIV/0!</v>
      </c>
      <c r="F429" s="180" t="e">
        <f t="shared" ca="1" si="6"/>
        <v>#DIV/0!</v>
      </c>
      <c r="H429" s="180" t="e">
        <f ca="1">D429+((1+'normal case'!M429/100)/('normal case'!D429/'normal case'!D428))*'external balance'!H428</f>
        <v>#DIV/0!</v>
      </c>
    </row>
    <row r="430" spans="2:8">
      <c r="B430" s="180" t="e">
        <f ca="1">('normal case'!AC430*($K$6*'normal case'!D430*('normal case'!AC430^'external balance'!$K$4)))/'normal case'!D430</f>
        <v>#DIV/0!</v>
      </c>
      <c r="C430" s="180" t="e">
        <f ca="1">($K$5*$K$7*((1+$K$8)^'normal case'!A429)*'normal case'!AC430^$K$3)/'normal case'!D430</f>
        <v>#DIV/0!</v>
      </c>
      <c r="D430" s="116" t="e">
        <f ca="1">(C430-B430)+((('main page'!$U$38/100)*'normal case'!$D$3)/'normal case'!$D$3)</f>
        <v>#DIV/0!</v>
      </c>
      <c r="E430" s="180" t="e">
        <f ca="1">((('normal case'!M430/100)*'external balance'!H429)/('normal case'!D430/'normal case'!D429))</f>
        <v>#DIV/0!</v>
      </c>
      <c r="F430" s="180" t="e">
        <f t="shared" ca="1" si="6"/>
        <v>#DIV/0!</v>
      </c>
      <c r="H430" s="180" t="e">
        <f ca="1">D430+((1+'normal case'!M430/100)/('normal case'!D430/'normal case'!D429))*'external balance'!H429</f>
        <v>#DIV/0!</v>
      </c>
    </row>
    <row r="431" spans="2:8">
      <c r="B431" s="180" t="e">
        <f ca="1">('normal case'!AC431*($K$6*'normal case'!D431*('normal case'!AC431^'external balance'!$K$4)))/'normal case'!D431</f>
        <v>#DIV/0!</v>
      </c>
      <c r="C431" s="180" t="e">
        <f ca="1">($K$5*$K$7*((1+$K$8)^'normal case'!A430)*'normal case'!AC431^$K$3)/'normal case'!D431</f>
        <v>#DIV/0!</v>
      </c>
      <c r="D431" s="116" t="e">
        <f ca="1">(C431-B431)+((('main page'!$U$38/100)*'normal case'!$D$3)/'normal case'!$D$3)</f>
        <v>#DIV/0!</v>
      </c>
      <c r="E431" s="180" t="e">
        <f ca="1">((('normal case'!M431/100)*'external balance'!H430)/('normal case'!D431/'normal case'!D430))</f>
        <v>#DIV/0!</v>
      </c>
      <c r="F431" s="180" t="e">
        <f t="shared" ca="1" si="6"/>
        <v>#DIV/0!</v>
      </c>
      <c r="H431" s="180" t="e">
        <f ca="1">D431+((1+'normal case'!M431/100)/('normal case'!D431/'normal case'!D430))*'external balance'!H430</f>
        <v>#DIV/0!</v>
      </c>
    </row>
    <row r="432" spans="2:8">
      <c r="B432" s="180" t="e">
        <f ca="1">('normal case'!AC432*($K$6*'normal case'!D432*('normal case'!AC432^'external balance'!$K$4)))/'normal case'!D432</f>
        <v>#DIV/0!</v>
      </c>
      <c r="C432" s="180" t="e">
        <f ca="1">($K$5*$K$7*((1+$K$8)^'normal case'!A431)*'normal case'!AC432^$K$3)/'normal case'!D432</f>
        <v>#DIV/0!</v>
      </c>
      <c r="D432" s="116" t="e">
        <f ca="1">(C432-B432)+((('main page'!$U$38/100)*'normal case'!$D$3)/'normal case'!$D$3)</f>
        <v>#DIV/0!</v>
      </c>
      <c r="E432" s="180" t="e">
        <f ca="1">((('normal case'!M432/100)*'external balance'!H431)/('normal case'!D432/'normal case'!D431))</f>
        <v>#DIV/0!</v>
      </c>
      <c r="F432" s="180" t="e">
        <f t="shared" ca="1" si="6"/>
        <v>#DIV/0!</v>
      </c>
      <c r="H432" s="180" t="e">
        <f ca="1">D432+((1+'normal case'!M432/100)/('normal case'!D432/'normal case'!D431))*'external balance'!H431</f>
        <v>#DIV/0!</v>
      </c>
    </row>
    <row r="433" spans="2:8">
      <c r="B433" s="180" t="e">
        <f ca="1">('normal case'!AC433*($K$6*'normal case'!D433*('normal case'!AC433^'external balance'!$K$4)))/'normal case'!D433</f>
        <v>#DIV/0!</v>
      </c>
      <c r="C433" s="180" t="e">
        <f ca="1">($K$5*$K$7*((1+$K$8)^'normal case'!A432)*'normal case'!AC433^$K$3)/'normal case'!D433</f>
        <v>#DIV/0!</v>
      </c>
      <c r="D433" s="116" t="e">
        <f ca="1">(C433-B433)+((('main page'!$U$38/100)*'normal case'!$D$3)/'normal case'!$D$3)</f>
        <v>#DIV/0!</v>
      </c>
      <c r="E433" s="180" t="e">
        <f ca="1">((('normal case'!M433/100)*'external balance'!H432)/('normal case'!D433/'normal case'!D432))</f>
        <v>#DIV/0!</v>
      </c>
      <c r="F433" s="180" t="e">
        <f t="shared" ref="F433:F496" ca="1" si="7">IF(ABS(D433+E433-F432)&lt;0.0000001,F432,D433+E433)</f>
        <v>#DIV/0!</v>
      </c>
      <c r="H433" s="180" t="e">
        <f ca="1">D433+((1+'normal case'!M433/100)/('normal case'!D433/'normal case'!D432))*'external balance'!H432</f>
        <v>#DIV/0!</v>
      </c>
    </row>
    <row r="434" spans="2:8">
      <c r="B434" s="180" t="e">
        <f ca="1">('normal case'!AC434*($K$6*'normal case'!D434*('normal case'!AC434^'external balance'!$K$4)))/'normal case'!D434</f>
        <v>#DIV/0!</v>
      </c>
      <c r="C434" s="180" t="e">
        <f ca="1">($K$5*$K$7*((1+$K$8)^'normal case'!A433)*'normal case'!AC434^$K$3)/'normal case'!D434</f>
        <v>#DIV/0!</v>
      </c>
      <c r="D434" s="116" t="e">
        <f ca="1">(C434-B434)+((('main page'!$U$38/100)*'normal case'!$D$3)/'normal case'!$D$3)</f>
        <v>#DIV/0!</v>
      </c>
      <c r="E434" s="180" t="e">
        <f ca="1">((('normal case'!M434/100)*'external balance'!H433)/('normal case'!D434/'normal case'!D433))</f>
        <v>#DIV/0!</v>
      </c>
      <c r="F434" s="180" t="e">
        <f t="shared" ca="1" si="7"/>
        <v>#DIV/0!</v>
      </c>
      <c r="H434" s="180" t="e">
        <f ca="1">D434+((1+'normal case'!M434/100)/('normal case'!D434/'normal case'!D433))*'external balance'!H433</f>
        <v>#DIV/0!</v>
      </c>
    </row>
    <row r="435" spans="2:8">
      <c r="B435" s="180" t="e">
        <f ca="1">('normal case'!AC435*($K$6*'normal case'!D435*('normal case'!AC435^'external balance'!$K$4)))/'normal case'!D435</f>
        <v>#DIV/0!</v>
      </c>
      <c r="C435" s="180" t="e">
        <f ca="1">($K$5*$K$7*((1+$K$8)^'normal case'!A434)*'normal case'!AC435^$K$3)/'normal case'!D435</f>
        <v>#DIV/0!</v>
      </c>
      <c r="D435" s="116" t="e">
        <f ca="1">(C435-B435)+((('main page'!$U$38/100)*'normal case'!$D$3)/'normal case'!$D$3)</f>
        <v>#DIV/0!</v>
      </c>
      <c r="E435" s="180" t="e">
        <f ca="1">((('normal case'!M435/100)*'external balance'!H434)/('normal case'!D435/'normal case'!D434))</f>
        <v>#DIV/0!</v>
      </c>
      <c r="F435" s="180" t="e">
        <f t="shared" ca="1" si="7"/>
        <v>#DIV/0!</v>
      </c>
      <c r="H435" s="180" t="e">
        <f ca="1">D435+((1+'normal case'!M435/100)/('normal case'!D435/'normal case'!D434))*'external balance'!H434</f>
        <v>#DIV/0!</v>
      </c>
    </row>
    <row r="436" spans="2:8">
      <c r="B436" s="180" t="e">
        <f ca="1">('normal case'!AC436*($K$6*'normal case'!D436*('normal case'!AC436^'external balance'!$K$4)))/'normal case'!D436</f>
        <v>#DIV/0!</v>
      </c>
      <c r="C436" s="180" t="e">
        <f ca="1">($K$5*$K$7*((1+$K$8)^'normal case'!A435)*'normal case'!AC436^$K$3)/'normal case'!D436</f>
        <v>#DIV/0!</v>
      </c>
      <c r="D436" s="116" t="e">
        <f ca="1">(C436-B436)+((('main page'!$U$38/100)*'normal case'!$D$3)/'normal case'!$D$3)</f>
        <v>#DIV/0!</v>
      </c>
      <c r="E436" s="180" t="e">
        <f ca="1">((('normal case'!M436/100)*'external balance'!H435)/('normal case'!D436/'normal case'!D435))</f>
        <v>#DIV/0!</v>
      </c>
      <c r="F436" s="180" t="e">
        <f t="shared" ca="1" si="7"/>
        <v>#DIV/0!</v>
      </c>
      <c r="H436" s="180" t="e">
        <f ca="1">D436+((1+'normal case'!M436/100)/('normal case'!D436/'normal case'!D435))*'external balance'!H435</f>
        <v>#DIV/0!</v>
      </c>
    </row>
    <row r="437" spans="2:8">
      <c r="B437" s="180" t="e">
        <f ca="1">('normal case'!AC437*($K$6*'normal case'!D437*('normal case'!AC437^'external balance'!$K$4)))/'normal case'!D437</f>
        <v>#DIV/0!</v>
      </c>
      <c r="C437" s="180" t="e">
        <f ca="1">($K$5*$K$7*((1+$K$8)^'normal case'!A436)*'normal case'!AC437^$K$3)/'normal case'!D437</f>
        <v>#DIV/0!</v>
      </c>
      <c r="D437" s="116" t="e">
        <f ca="1">(C437-B437)+((('main page'!$U$38/100)*'normal case'!$D$3)/'normal case'!$D$3)</f>
        <v>#DIV/0!</v>
      </c>
      <c r="E437" s="180" t="e">
        <f ca="1">((('normal case'!M437/100)*'external balance'!H436)/('normal case'!D437/'normal case'!D436))</f>
        <v>#DIV/0!</v>
      </c>
      <c r="F437" s="180" t="e">
        <f t="shared" ca="1" si="7"/>
        <v>#DIV/0!</v>
      </c>
      <c r="H437" s="180" t="e">
        <f ca="1">D437+((1+'normal case'!M437/100)/('normal case'!D437/'normal case'!D436))*'external balance'!H436</f>
        <v>#DIV/0!</v>
      </c>
    </row>
    <row r="438" spans="2:8">
      <c r="B438" s="180" t="e">
        <f ca="1">('normal case'!AC438*($K$6*'normal case'!D438*('normal case'!AC438^'external balance'!$K$4)))/'normal case'!D438</f>
        <v>#DIV/0!</v>
      </c>
      <c r="C438" s="180" t="e">
        <f ca="1">($K$5*$K$7*((1+$K$8)^'normal case'!A437)*'normal case'!AC438^$K$3)/'normal case'!D438</f>
        <v>#DIV/0!</v>
      </c>
      <c r="D438" s="116" t="e">
        <f ca="1">(C438-B438)+((('main page'!$U$38/100)*'normal case'!$D$3)/'normal case'!$D$3)</f>
        <v>#DIV/0!</v>
      </c>
      <c r="E438" s="180" t="e">
        <f ca="1">((('normal case'!M438/100)*'external balance'!H437)/('normal case'!D438/'normal case'!D437))</f>
        <v>#DIV/0!</v>
      </c>
      <c r="F438" s="180" t="e">
        <f t="shared" ca="1" si="7"/>
        <v>#DIV/0!</v>
      </c>
      <c r="H438" s="180" t="e">
        <f ca="1">D438+((1+'normal case'!M438/100)/('normal case'!D438/'normal case'!D437))*'external balance'!H437</f>
        <v>#DIV/0!</v>
      </c>
    </row>
    <row r="439" spans="2:8">
      <c r="B439" s="180" t="e">
        <f ca="1">('normal case'!AC439*($K$6*'normal case'!D439*('normal case'!AC439^'external balance'!$K$4)))/'normal case'!D439</f>
        <v>#DIV/0!</v>
      </c>
      <c r="C439" s="180" t="e">
        <f ca="1">($K$5*$K$7*((1+$K$8)^'normal case'!A438)*'normal case'!AC439^$K$3)/'normal case'!D439</f>
        <v>#DIV/0!</v>
      </c>
      <c r="D439" s="116" t="e">
        <f ca="1">(C439-B439)+((('main page'!$U$38/100)*'normal case'!$D$3)/'normal case'!$D$3)</f>
        <v>#DIV/0!</v>
      </c>
      <c r="E439" s="180" t="e">
        <f ca="1">((('normal case'!M439/100)*'external balance'!H438)/('normal case'!D439/'normal case'!D438))</f>
        <v>#DIV/0!</v>
      </c>
      <c r="F439" s="180" t="e">
        <f t="shared" ca="1" si="7"/>
        <v>#DIV/0!</v>
      </c>
      <c r="H439" s="180" t="e">
        <f ca="1">D439+((1+'normal case'!M439/100)/('normal case'!D439/'normal case'!D438))*'external balance'!H438</f>
        <v>#DIV/0!</v>
      </c>
    </row>
    <row r="440" spans="2:8">
      <c r="B440" s="180" t="e">
        <f ca="1">('normal case'!AC440*($K$6*'normal case'!D440*('normal case'!AC440^'external balance'!$K$4)))/'normal case'!D440</f>
        <v>#DIV/0!</v>
      </c>
      <c r="C440" s="180" t="e">
        <f ca="1">($K$5*$K$7*((1+$K$8)^'normal case'!A439)*'normal case'!AC440^$K$3)/'normal case'!D440</f>
        <v>#DIV/0!</v>
      </c>
      <c r="D440" s="116" t="e">
        <f ca="1">(C440-B440)+((('main page'!$U$38/100)*'normal case'!$D$3)/'normal case'!$D$3)</f>
        <v>#DIV/0!</v>
      </c>
      <c r="E440" s="180" t="e">
        <f ca="1">((('normal case'!M440/100)*'external balance'!H439)/('normal case'!D440/'normal case'!D439))</f>
        <v>#DIV/0!</v>
      </c>
      <c r="F440" s="180" t="e">
        <f t="shared" ca="1" si="7"/>
        <v>#DIV/0!</v>
      </c>
      <c r="H440" s="180" t="e">
        <f ca="1">D440+((1+'normal case'!M440/100)/('normal case'!D440/'normal case'!D439))*'external balance'!H439</f>
        <v>#DIV/0!</v>
      </c>
    </row>
    <row r="441" spans="2:8">
      <c r="B441" s="180" t="e">
        <f ca="1">('normal case'!AC441*($K$6*'normal case'!D441*('normal case'!AC441^'external balance'!$K$4)))/'normal case'!D441</f>
        <v>#DIV/0!</v>
      </c>
      <c r="C441" s="180" t="e">
        <f ca="1">($K$5*$K$7*((1+$K$8)^'normal case'!A440)*'normal case'!AC441^$K$3)/'normal case'!D441</f>
        <v>#DIV/0!</v>
      </c>
      <c r="D441" s="116" t="e">
        <f ca="1">(C441-B441)+((('main page'!$U$38/100)*'normal case'!$D$3)/'normal case'!$D$3)</f>
        <v>#DIV/0!</v>
      </c>
      <c r="E441" s="180" t="e">
        <f ca="1">((('normal case'!M441/100)*'external balance'!H440)/('normal case'!D441/'normal case'!D440))</f>
        <v>#DIV/0!</v>
      </c>
      <c r="F441" s="180" t="e">
        <f t="shared" ca="1" si="7"/>
        <v>#DIV/0!</v>
      </c>
      <c r="H441" s="180" t="e">
        <f ca="1">D441+((1+'normal case'!M441/100)/('normal case'!D441/'normal case'!D440))*'external balance'!H440</f>
        <v>#DIV/0!</v>
      </c>
    </row>
    <row r="442" spans="2:8">
      <c r="B442" s="180" t="e">
        <f ca="1">('normal case'!AC442*($K$6*'normal case'!D442*('normal case'!AC442^'external balance'!$K$4)))/'normal case'!D442</f>
        <v>#DIV/0!</v>
      </c>
      <c r="C442" s="180" t="e">
        <f ca="1">($K$5*$K$7*((1+$K$8)^'normal case'!A441)*'normal case'!AC442^$K$3)/'normal case'!D442</f>
        <v>#DIV/0!</v>
      </c>
      <c r="D442" s="116" t="e">
        <f ca="1">(C442-B442)+((('main page'!$U$38/100)*'normal case'!$D$3)/'normal case'!$D$3)</f>
        <v>#DIV/0!</v>
      </c>
      <c r="E442" s="180" t="e">
        <f ca="1">((('normal case'!M442/100)*'external balance'!H441)/('normal case'!D442/'normal case'!D441))</f>
        <v>#DIV/0!</v>
      </c>
      <c r="F442" s="180" t="e">
        <f t="shared" ca="1" si="7"/>
        <v>#DIV/0!</v>
      </c>
      <c r="H442" s="180" t="e">
        <f ca="1">D442+((1+'normal case'!M442/100)/('normal case'!D442/'normal case'!D441))*'external balance'!H441</f>
        <v>#DIV/0!</v>
      </c>
    </row>
    <row r="443" spans="2:8">
      <c r="B443" s="180" t="e">
        <f ca="1">('normal case'!AC443*($K$6*'normal case'!D443*('normal case'!AC443^'external balance'!$K$4)))/'normal case'!D443</f>
        <v>#DIV/0!</v>
      </c>
      <c r="C443" s="180" t="e">
        <f ca="1">($K$5*$K$7*((1+$K$8)^'normal case'!A442)*'normal case'!AC443^$K$3)/'normal case'!D443</f>
        <v>#DIV/0!</v>
      </c>
      <c r="D443" s="116" t="e">
        <f ca="1">(C443-B443)+((('main page'!$U$38/100)*'normal case'!$D$3)/'normal case'!$D$3)</f>
        <v>#DIV/0!</v>
      </c>
      <c r="E443" s="180" t="e">
        <f ca="1">((('normal case'!M443/100)*'external balance'!H442)/('normal case'!D443/'normal case'!D442))</f>
        <v>#DIV/0!</v>
      </c>
      <c r="F443" s="180" t="e">
        <f t="shared" ca="1" si="7"/>
        <v>#DIV/0!</v>
      </c>
      <c r="H443" s="180" t="e">
        <f ca="1">D443+((1+'normal case'!M443/100)/('normal case'!D443/'normal case'!D442))*'external balance'!H442</f>
        <v>#DIV/0!</v>
      </c>
    </row>
    <row r="444" spans="2:8">
      <c r="B444" s="180" t="e">
        <f ca="1">('normal case'!AC444*($K$6*'normal case'!D444*('normal case'!AC444^'external balance'!$K$4)))/'normal case'!D444</f>
        <v>#DIV/0!</v>
      </c>
      <c r="C444" s="180" t="e">
        <f ca="1">($K$5*$K$7*((1+$K$8)^'normal case'!A443)*'normal case'!AC444^$K$3)/'normal case'!D444</f>
        <v>#DIV/0!</v>
      </c>
      <c r="D444" s="116" t="e">
        <f ca="1">(C444-B444)+((('main page'!$U$38/100)*'normal case'!$D$3)/'normal case'!$D$3)</f>
        <v>#DIV/0!</v>
      </c>
      <c r="E444" s="180" t="e">
        <f ca="1">((('normal case'!M444/100)*'external balance'!H443)/('normal case'!D444/'normal case'!D443))</f>
        <v>#DIV/0!</v>
      </c>
      <c r="F444" s="180" t="e">
        <f t="shared" ca="1" si="7"/>
        <v>#DIV/0!</v>
      </c>
      <c r="H444" s="180" t="e">
        <f ca="1">D444+((1+'normal case'!M444/100)/('normal case'!D444/'normal case'!D443))*'external balance'!H443</f>
        <v>#DIV/0!</v>
      </c>
    </row>
    <row r="445" spans="2:8">
      <c r="B445" s="180" t="e">
        <f ca="1">('normal case'!AC445*($K$6*'normal case'!D445*('normal case'!AC445^'external balance'!$K$4)))/'normal case'!D445</f>
        <v>#DIV/0!</v>
      </c>
      <c r="C445" s="180" t="e">
        <f ca="1">($K$5*$K$7*((1+$K$8)^'normal case'!A444)*'normal case'!AC445^$K$3)/'normal case'!D445</f>
        <v>#DIV/0!</v>
      </c>
      <c r="D445" s="116" t="e">
        <f ca="1">(C445-B445)+((('main page'!$U$38/100)*'normal case'!$D$3)/'normal case'!$D$3)</f>
        <v>#DIV/0!</v>
      </c>
      <c r="E445" s="180" t="e">
        <f ca="1">((('normal case'!M445/100)*'external balance'!H444)/('normal case'!D445/'normal case'!D444))</f>
        <v>#DIV/0!</v>
      </c>
      <c r="F445" s="180" t="e">
        <f t="shared" ca="1" si="7"/>
        <v>#DIV/0!</v>
      </c>
      <c r="H445" s="180" t="e">
        <f ca="1">D445+((1+'normal case'!M445/100)/('normal case'!D445/'normal case'!D444))*'external balance'!H444</f>
        <v>#DIV/0!</v>
      </c>
    </row>
    <row r="446" spans="2:8">
      <c r="B446" s="180" t="e">
        <f ca="1">('normal case'!AC446*($K$6*'normal case'!D446*('normal case'!AC446^'external balance'!$K$4)))/'normal case'!D446</f>
        <v>#DIV/0!</v>
      </c>
      <c r="C446" s="180" t="e">
        <f ca="1">($K$5*$K$7*((1+$K$8)^'normal case'!A445)*'normal case'!AC446^$K$3)/'normal case'!D446</f>
        <v>#DIV/0!</v>
      </c>
      <c r="D446" s="116" t="e">
        <f ca="1">(C446-B446)+((('main page'!$U$38/100)*'normal case'!$D$3)/'normal case'!$D$3)</f>
        <v>#DIV/0!</v>
      </c>
      <c r="E446" s="180" t="e">
        <f ca="1">((('normal case'!M446/100)*'external balance'!H445)/('normal case'!D446/'normal case'!D445))</f>
        <v>#DIV/0!</v>
      </c>
      <c r="F446" s="180" t="e">
        <f t="shared" ca="1" si="7"/>
        <v>#DIV/0!</v>
      </c>
      <c r="H446" s="180" t="e">
        <f ca="1">D446+((1+'normal case'!M446/100)/('normal case'!D446/'normal case'!D445))*'external balance'!H445</f>
        <v>#DIV/0!</v>
      </c>
    </row>
    <row r="447" spans="2:8">
      <c r="B447" s="180" t="e">
        <f ca="1">('normal case'!AC447*($K$6*'normal case'!D447*('normal case'!AC447^'external balance'!$K$4)))/'normal case'!D447</f>
        <v>#DIV/0!</v>
      </c>
      <c r="C447" s="180" t="e">
        <f ca="1">($K$5*$K$7*((1+$K$8)^'normal case'!A446)*'normal case'!AC447^$K$3)/'normal case'!D447</f>
        <v>#DIV/0!</v>
      </c>
      <c r="D447" s="116" t="e">
        <f ca="1">(C447-B447)+((('main page'!$U$38/100)*'normal case'!$D$3)/'normal case'!$D$3)</f>
        <v>#DIV/0!</v>
      </c>
      <c r="E447" s="180" t="e">
        <f ca="1">((('normal case'!M447/100)*'external balance'!H446)/('normal case'!D447/'normal case'!D446))</f>
        <v>#DIV/0!</v>
      </c>
      <c r="F447" s="180" t="e">
        <f t="shared" ca="1" si="7"/>
        <v>#DIV/0!</v>
      </c>
      <c r="H447" s="180" t="e">
        <f ca="1">D447+((1+'normal case'!M447/100)/('normal case'!D447/'normal case'!D446))*'external balance'!H446</f>
        <v>#DIV/0!</v>
      </c>
    </row>
    <row r="448" spans="2:8">
      <c r="B448" s="180" t="e">
        <f ca="1">('normal case'!AC448*($K$6*'normal case'!D448*('normal case'!AC448^'external balance'!$K$4)))/'normal case'!D448</f>
        <v>#DIV/0!</v>
      </c>
      <c r="C448" s="180" t="e">
        <f ca="1">($K$5*$K$7*((1+$K$8)^'normal case'!A447)*'normal case'!AC448^$K$3)/'normal case'!D448</f>
        <v>#DIV/0!</v>
      </c>
      <c r="D448" s="116" t="e">
        <f ca="1">(C448-B448)+((('main page'!$U$38/100)*'normal case'!$D$3)/'normal case'!$D$3)</f>
        <v>#DIV/0!</v>
      </c>
      <c r="E448" s="180" t="e">
        <f ca="1">((('normal case'!M448/100)*'external balance'!H447)/('normal case'!D448/'normal case'!D447))</f>
        <v>#DIV/0!</v>
      </c>
      <c r="F448" s="180" t="e">
        <f t="shared" ca="1" si="7"/>
        <v>#DIV/0!</v>
      </c>
      <c r="H448" s="180" t="e">
        <f ca="1">D448+((1+'normal case'!M448/100)/('normal case'!D448/'normal case'!D447))*'external balance'!H447</f>
        <v>#DIV/0!</v>
      </c>
    </row>
    <row r="449" spans="2:8">
      <c r="B449" s="180" t="e">
        <f ca="1">('normal case'!AC449*($K$6*'normal case'!D449*('normal case'!AC449^'external balance'!$K$4)))/'normal case'!D449</f>
        <v>#DIV/0!</v>
      </c>
      <c r="C449" s="180" t="e">
        <f ca="1">($K$5*$K$7*((1+$K$8)^'normal case'!A448)*'normal case'!AC449^$K$3)/'normal case'!D449</f>
        <v>#DIV/0!</v>
      </c>
      <c r="D449" s="116" t="e">
        <f ca="1">(C449-B449)+((('main page'!$U$38/100)*'normal case'!$D$3)/'normal case'!$D$3)</f>
        <v>#DIV/0!</v>
      </c>
      <c r="E449" s="180" t="e">
        <f ca="1">((('normal case'!M449/100)*'external balance'!H448)/('normal case'!D449/'normal case'!D448))</f>
        <v>#DIV/0!</v>
      </c>
      <c r="F449" s="180" t="e">
        <f t="shared" ca="1" si="7"/>
        <v>#DIV/0!</v>
      </c>
      <c r="H449" s="180" t="e">
        <f ca="1">D449+((1+'normal case'!M449/100)/('normal case'!D449/'normal case'!D448))*'external balance'!H448</f>
        <v>#DIV/0!</v>
      </c>
    </row>
    <row r="450" spans="2:8">
      <c r="B450" s="180" t="e">
        <f ca="1">('normal case'!AC450*($K$6*'normal case'!D450*('normal case'!AC450^'external balance'!$K$4)))/'normal case'!D450</f>
        <v>#DIV/0!</v>
      </c>
      <c r="C450" s="180" t="e">
        <f ca="1">($K$5*$K$7*((1+$K$8)^'normal case'!A449)*'normal case'!AC450^$K$3)/'normal case'!D450</f>
        <v>#DIV/0!</v>
      </c>
      <c r="D450" s="116" t="e">
        <f ca="1">(C450-B450)+((('main page'!$U$38/100)*'normal case'!$D$3)/'normal case'!$D$3)</f>
        <v>#DIV/0!</v>
      </c>
      <c r="E450" s="180" t="e">
        <f ca="1">((('normal case'!M450/100)*'external balance'!H449)/('normal case'!D450/'normal case'!D449))</f>
        <v>#DIV/0!</v>
      </c>
      <c r="F450" s="180" t="e">
        <f t="shared" ca="1" si="7"/>
        <v>#DIV/0!</v>
      </c>
      <c r="H450" s="180" t="e">
        <f ca="1">D450+((1+'normal case'!M450/100)/('normal case'!D450/'normal case'!D449))*'external balance'!H449</f>
        <v>#DIV/0!</v>
      </c>
    </row>
    <row r="451" spans="2:8">
      <c r="B451" s="180" t="e">
        <f ca="1">('normal case'!AC451*($K$6*'normal case'!D451*('normal case'!AC451^'external balance'!$K$4)))/'normal case'!D451</f>
        <v>#DIV/0!</v>
      </c>
      <c r="C451" s="180" t="e">
        <f ca="1">($K$5*$K$7*((1+$K$8)^'normal case'!A450)*'normal case'!AC451^$K$3)/'normal case'!D451</f>
        <v>#DIV/0!</v>
      </c>
      <c r="D451" s="116" t="e">
        <f ca="1">(C451-B451)+((('main page'!$U$38/100)*'normal case'!$D$3)/'normal case'!$D$3)</f>
        <v>#DIV/0!</v>
      </c>
      <c r="E451" s="180" t="e">
        <f ca="1">((('normal case'!M451/100)*'external balance'!H450)/('normal case'!D451/'normal case'!D450))</f>
        <v>#DIV/0!</v>
      </c>
      <c r="F451" s="180" t="e">
        <f t="shared" ca="1" si="7"/>
        <v>#DIV/0!</v>
      </c>
      <c r="H451" s="180" t="e">
        <f ca="1">D451+((1+'normal case'!M451/100)/('normal case'!D451/'normal case'!D450))*'external balance'!H450</f>
        <v>#DIV/0!</v>
      </c>
    </row>
    <row r="452" spans="2:8">
      <c r="B452" s="180" t="e">
        <f ca="1">('normal case'!AC452*($K$6*'normal case'!D452*('normal case'!AC452^'external balance'!$K$4)))/'normal case'!D452</f>
        <v>#DIV/0!</v>
      </c>
      <c r="C452" s="180" t="e">
        <f ca="1">($K$5*$K$7*((1+$K$8)^'normal case'!A451)*'normal case'!AC452^$K$3)/'normal case'!D452</f>
        <v>#DIV/0!</v>
      </c>
      <c r="D452" s="116" t="e">
        <f ca="1">(C452-B452)+((('main page'!$U$38/100)*'normal case'!$D$3)/'normal case'!$D$3)</f>
        <v>#DIV/0!</v>
      </c>
      <c r="E452" s="180" t="e">
        <f ca="1">((('normal case'!M452/100)*'external balance'!H451)/('normal case'!D452/'normal case'!D451))</f>
        <v>#DIV/0!</v>
      </c>
      <c r="F452" s="180" t="e">
        <f t="shared" ca="1" si="7"/>
        <v>#DIV/0!</v>
      </c>
      <c r="H452" s="180" t="e">
        <f ca="1">D452+((1+'normal case'!M452/100)/('normal case'!D452/'normal case'!D451))*'external balance'!H451</f>
        <v>#DIV/0!</v>
      </c>
    </row>
    <row r="453" spans="2:8">
      <c r="B453" s="180" t="e">
        <f ca="1">('normal case'!AC453*($K$6*'normal case'!D453*('normal case'!AC453^'external balance'!$K$4)))/'normal case'!D453</f>
        <v>#DIV/0!</v>
      </c>
      <c r="C453" s="180" t="e">
        <f ca="1">($K$5*$K$7*((1+$K$8)^'normal case'!A452)*'normal case'!AC453^$K$3)/'normal case'!D453</f>
        <v>#DIV/0!</v>
      </c>
      <c r="D453" s="116" t="e">
        <f ca="1">(C453-B453)+((('main page'!$U$38/100)*'normal case'!$D$3)/'normal case'!$D$3)</f>
        <v>#DIV/0!</v>
      </c>
      <c r="E453" s="180" t="e">
        <f ca="1">((('normal case'!M453/100)*'external balance'!H452)/('normal case'!D453/'normal case'!D452))</f>
        <v>#DIV/0!</v>
      </c>
      <c r="F453" s="180" t="e">
        <f t="shared" ca="1" si="7"/>
        <v>#DIV/0!</v>
      </c>
      <c r="H453" s="180" t="e">
        <f ca="1">D453+((1+'normal case'!M453/100)/('normal case'!D453/'normal case'!D452))*'external balance'!H452</f>
        <v>#DIV/0!</v>
      </c>
    </row>
    <row r="454" spans="2:8">
      <c r="B454" s="180" t="e">
        <f ca="1">('normal case'!AC454*($K$6*'normal case'!D454*('normal case'!AC454^'external balance'!$K$4)))/'normal case'!D454</f>
        <v>#DIV/0!</v>
      </c>
      <c r="C454" s="180" t="e">
        <f ca="1">($K$5*$K$7*((1+$K$8)^'normal case'!A453)*'normal case'!AC454^$K$3)/'normal case'!D454</f>
        <v>#DIV/0!</v>
      </c>
      <c r="D454" s="116" t="e">
        <f ca="1">(C454-B454)+((('main page'!$U$38/100)*'normal case'!$D$3)/'normal case'!$D$3)</f>
        <v>#DIV/0!</v>
      </c>
      <c r="E454" s="180" t="e">
        <f ca="1">((('normal case'!M454/100)*'external balance'!H453)/('normal case'!D454/'normal case'!D453))</f>
        <v>#DIV/0!</v>
      </c>
      <c r="F454" s="180" t="e">
        <f t="shared" ca="1" si="7"/>
        <v>#DIV/0!</v>
      </c>
      <c r="H454" s="180" t="e">
        <f ca="1">D454+((1+'normal case'!M454/100)/('normal case'!D454/'normal case'!D453))*'external balance'!H453</f>
        <v>#DIV/0!</v>
      </c>
    </row>
    <row r="455" spans="2:8">
      <c r="B455" s="180" t="e">
        <f ca="1">('normal case'!AC455*($K$6*'normal case'!D455*('normal case'!AC455^'external balance'!$K$4)))/'normal case'!D455</f>
        <v>#DIV/0!</v>
      </c>
      <c r="C455" s="180" t="e">
        <f ca="1">($K$5*$K$7*((1+$K$8)^'normal case'!A454)*'normal case'!AC455^$K$3)/'normal case'!D455</f>
        <v>#DIV/0!</v>
      </c>
      <c r="D455" s="116" t="e">
        <f ca="1">(C455-B455)+((('main page'!$U$38/100)*'normal case'!$D$3)/'normal case'!$D$3)</f>
        <v>#DIV/0!</v>
      </c>
      <c r="E455" s="180" t="e">
        <f ca="1">((('normal case'!M455/100)*'external balance'!H454)/('normal case'!D455/'normal case'!D454))</f>
        <v>#DIV/0!</v>
      </c>
      <c r="F455" s="180" t="e">
        <f t="shared" ca="1" si="7"/>
        <v>#DIV/0!</v>
      </c>
      <c r="H455" s="180" t="e">
        <f ca="1">D455+((1+'normal case'!M455/100)/('normal case'!D455/'normal case'!D454))*'external balance'!H454</f>
        <v>#DIV/0!</v>
      </c>
    </row>
    <row r="456" spans="2:8">
      <c r="B456" s="180" t="e">
        <f ca="1">('normal case'!AC456*($K$6*'normal case'!D456*('normal case'!AC456^'external balance'!$K$4)))/'normal case'!D456</f>
        <v>#DIV/0!</v>
      </c>
      <c r="C456" s="180" t="e">
        <f ca="1">($K$5*$K$7*((1+$K$8)^'normal case'!A455)*'normal case'!AC456^$K$3)/'normal case'!D456</f>
        <v>#DIV/0!</v>
      </c>
      <c r="D456" s="116" t="e">
        <f ca="1">(C456-B456)+((('main page'!$U$38/100)*'normal case'!$D$3)/'normal case'!$D$3)</f>
        <v>#DIV/0!</v>
      </c>
      <c r="E456" s="180" t="e">
        <f ca="1">((('normal case'!M456/100)*'external balance'!H455)/('normal case'!D456/'normal case'!D455))</f>
        <v>#DIV/0!</v>
      </c>
      <c r="F456" s="180" t="e">
        <f t="shared" ca="1" si="7"/>
        <v>#DIV/0!</v>
      </c>
      <c r="H456" s="180" t="e">
        <f ca="1">D456+((1+'normal case'!M456/100)/('normal case'!D456/'normal case'!D455))*'external balance'!H455</f>
        <v>#DIV/0!</v>
      </c>
    </row>
    <row r="457" spans="2:8">
      <c r="B457" s="180" t="e">
        <f ca="1">('normal case'!AC457*($K$6*'normal case'!D457*('normal case'!AC457^'external balance'!$K$4)))/'normal case'!D457</f>
        <v>#DIV/0!</v>
      </c>
      <c r="C457" s="180" t="e">
        <f ca="1">($K$5*$K$7*((1+$K$8)^'normal case'!A456)*'normal case'!AC457^$K$3)/'normal case'!D457</f>
        <v>#DIV/0!</v>
      </c>
      <c r="D457" s="116" t="e">
        <f ca="1">(C457-B457)+((('main page'!$U$38/100)*'normal case'!$D$3)/'normal case'!$D$3)</f>
        <v>#DIV/0!</v>
      </c>
      <c r="E457" s="180" t="e">
        <f ca="1">((('normal case'!M457/100)*'external balance'!H456)/('normal case'!D457/'normal case'!D456))</f>
        <v>#DIV/0!</v>
      </c>
      <c r="F457" s="180" t="e">
        <f t="shared" ca="1" si="7"/>
        <v>#DIV/0!</v>
      </c>
      <c r="H457" s="180" t="e">
        <f ca="1">D457+((1+'normal case'!M457/100)/('normal case'!D457/'normal case'!D456))*'external balance'!H456</f>
        <v>#DIV/0!</v>
      </c>
    </row>
    <row r="458" spans="2:8">
      <c r="B458" s="180" t="e">
        <f ca="1">('normal case'!AC458*($K$6*'normal case'!D458*('normal case'!AC458^'external balance'!$K$4)))/'normal case'!D458</f>
        <v>#DIV/0!</v>
      </c>
      <c r="C458" s="180" t="e">
        <f ca="1">($K$5*$K$7*((1+$K$8)^'normal case'!A457)*'normal case'!AC458^$K$3)/'normal case'!D458</f>
        <v>#DIV/0!</v>
      </c>
      <c r="D458" s="116" t="e">
        <f ca="1">(C458-B458)+((('main page'!$U$38/100)*'normal case'!$D$3)/'normal case'!$D$3)</f>
        <v>#DIV/0!</v>
      </c>
      <c r="E458" s="180" t="e">
        <f ca="1">((('normal case'!M458/100)*'external balance'!H457)/('normal case'!D458/'normal case'!D457))</f>
        <v>#DIV/0!</v>
      </c>
      <c r="F458" s="180" t="e">
        <f t="shared" ca="1" si="7"/>
        <v>#DIV/0!</v>
      </c>
      <c r="H458" s="180" t="e">
        <f ca="1">D458+((1+'normal case'!M458/100)/('normal case'!D458/'normal case'!D457))*'external balance'!H457</f>
        <v>#DIV/0!</v>
      </c>
    </row>
    <row r="459" spans="2:8">
      <c r="B459" s="180" t="e">
        <f ca="1">('normal case'!AC459*($K$6*'normal case'!D459*('normal case'!AC459^'external balance'!$K$4)))/'normal case'!D459</f>
        <v>#DIV/0!</v>
      </c>
      <c r="C459" s="180" t="e">
        <f ca="1">($K$5*$K$7*((1+$K$8)^'normal case'!A458)*'normal case'!AC459^$K$3)/'normal case'!D459</f>
        <v>#DIV/0!</v>
      </c>
      <c r="D459" s="116" t="e">
        <f ca="1">(C459-B459)+((('main page'!$U$38/100)*'normal case'!$D$3)/'normal case'!$D$3)</f>
        <v>#DIV/0!</v>
      </c>
      <c r="E459" s="180" t="e">
        <f ca="1">((('normal case'!M459/100)*'external balance'!H458)/('normal case'!D459/'normal case'!D458))</f>
        <v>#DIV/0!</v>
      </c>
      <c r="F459" s="180" t="e">
        <f t="shared" ca="1" si="7"/>
        <v>#DIV/0!</v>
      </c>
      <c r="H459" s="180" t="e">
        <f ca="1">D459+((1+'normal case'!M459/100)/('normal case'!D459/'normal case'!D458))*'external balance'!H458</f>
        <v>#DIV/0!</v>
      </c>
    </row>
    <row r="460" spans="2:8">
      <c r="B460" s="180" t="e">
        <f ca="1">('normal case'!AC460*($K$6*'normal case'!D460*('normal case'!AC460^'external balance'!$K$4)))/'normal case'!D460</f>
        <v>#DIV/0!</v>
      </c>
      <c r="C460" s="180" t="e">
        <f ca="1">($K$5*$K$7*((1+$K$8)^'normal case'!A459)*'normal case'!AC460^$K$3)/'normal case'!D460</f>
        <v>#DIV/0!</v>
      </c>
      <c r="D460" s="116" t="e">
        <f ca="1">(C460-B460)+((('main page'!$U$38/100)*'normal case'!$D$3)/'normal case'!$D$3)</f>
        <v>#DIV/0!</v>
      </c>
      <c r="E460" s="180" t="e">
        <f ca="1">((('normal case'!M460/100)*'external balance'!H459)/('normal case'!D460/'normal case'!D459))</f>
        <v>#DIV/0!</v>
      </c>
      <c r="F460" s="180" t="e">
        <f t="shared" ca="1" si="7"/>
        <v>#DIV/0!</v>
      </c>
      <c r="H460" s="180" t="e">
        <f ca="1">D460+((1+'normal case'!M460/100)/('normal case'!D460/'normal case'!D459))*'external balance'!H459</f>
        <v>#DIV/0!</v>
      </c>
    </row>
    <row r="461" spans="2:8">
      <c r="B461" s="180" t="e">
        <f ca="1">('normal case'!AC461*($K$6*'normal case'!D461*('normal case'!AC461^'external balance'!$K$4)))/'normal case'!D461</f>
        <v>#DIV/0!</v>
      </c>
      <c r="C461" s="180" t="e">
        <f ca="1">($K$5*$K$7*((1+$K$8)^'normal case'!A460)*'normal case'!AC461^$K$3)/'normal case'!D461</f>
        <v>#DIV/0!</v>
      </c>
      <c r="D461" s="116" t="e">
        <f ca="1">(C461-B461)+((('main page'!$U$38/100)*'normal case'!$D$3)/'normal case'!$D$3)</f>
        <v>#DIV/0!</v>
      </c>
      <c r="E461" s="180" t="e">
        <f ca="1">((('normal case'!M461/100)*'external balance'!H460)/('normal case'!D461/'normal case'!D460))</f>
        <v>#DIV/0!</v>
      </c>
      <c r="F461" s="180" t="e">
        <f t="shared" ca="1" si="7"/>
        <v>#DIV/0!</v>
      </c>
      <c r="H461" s="180" t="e">
        <f ca="1">D461+((1+'normal case'!M461/100)/('normal case'!D461/'normal case'!D460))*'external balance'!H460</f>
        <v>#DIV/0!</v>
      </c>
    </row>
    <row r="462" spans="2:8">
      <c r="B462" s="180" t="e">
        <f ca="1">('normal case'!AC462*($K$6*'normal case'!D462*('normal case'!AC462^'external balance'!$K$4)))/'normal case'!D462</f>
        <v>#DIV/0!</v>
      </c>
      <c r="C462" s="180" t="e">
        <f ca="1">($K$5*$K$7*((1+$K$8)^'normal case'!A461)*'normal case'!AC462^$K$3)/'normal case'!D462</f>
        <v>#DIV/0!</v>
      </c>
      <c r="D462" s="116" t="e">
        <f ca="1">(C462-B462)+((('main page'!$U$38/100)*'normal case'!$D$3)/'normal case'!$D$3)</f>
        <v>#DIV/0!</v>
      </c>
      <c r="E462" s="180" t="e">
        <f ca="1">((('normal case'!M462/100)*'external balance'!H461)/('normal case'!D462/'normal case'!D461))</f>
        <v>#DIV/0!</v>
      </c>
      <c r="F462" s="180" t="e">
        <f t="shared" ca="1" si="7"/>
        <v>#DIV/0!</v>
      </c>
      <c r="H462" s="180" t="e">
        <f ca="1">D462+((1+'normal case'!M462/100)/('normal case'!D462/'normal case'!D461))*'external balance'!H461</f>
        <v>#DIV/0!</v>
      </c>
    </row>
    <row r="463" spans="2:8">
      <c r="B463" s="180" t="e">
        <f ca="1">('normal case'!AC463*($K$6*'normal case'!D463*('normal case'!AC463^'external balance'!$K$4)))/'normal case'!D463</f>
        <v>#DIV/0!</v>
      </c>
      <c r="C463" s="180" t="e">
        <f ca="1">($K$5*$K$7*((1+$K$8)^'normal case'!A462)*'normal case'!AC463^$K$3)/'normal case'!D463</f>
        <v>#DIV/0!</v>
      </c>
      <c r="D463" s="116" t="e">
        <f ca="1">(C463-B463)+((('main page'!$U$38/100)*'normal case'!$D$3)/'normal case'!$D$3)</f>
        <v>#DIV/0!</v>
      </c>
      <c r="E463" s="180" t="e">
        <f ca="1">((('normal case'!M463/100)*'external balance'!H462)/('normal case'!D463/'normal case'!D462))</f>
        <v>#DIV/0!</v>
      </c>
      <c r="F463" s="180" t="e">
        <f t="shared" ca="1" si="7"/>
        <v>#DIV/0!</v>
      </c>
      <c r="H463" s="180" t="e">
        <f ca="1">D463+((1+'normal case'!M463/100)/('normal case'!D463/'normal case'!D462))*'external balance'!H462</f>
        <v>#DIV/0!</v>
      </c>
    </row>
    <row r="464" spans="2:8">
      <c r="B464" s="180" t="e">
        <f ca="1">('normal case'!AC464*($K$6*'normal case'!D464*('normal case'!AC464^'external balance'!$K$4)))/'normal case'!D464</f>
        <v>#DIV/0!</v>
      </c>
      <c r="C464" s="180" t="e">
        <f ca="1">($K$5*$K$7*((1+$K$8)^'normal case'!A463)*'normal case'!AC464^$K$3)/'normal case'!D464</f>
        <v>#DIV/0!</v>
      </c>
      <c r="D464" s="116" t="e">
        <f ca="1">(C464-B464)+((('main page'!$U$38/100)*'normal case'!$D$3)/'normal case'!$D$3)</f>
        <v>#DIV/0!</v>
      </c>
      <c r="E464" s="180" t="e">
        <f ca="1">((('normal case'!M464/100)*'external balance'!H463)/('normal case'!D464/'normal case'!D463))</f>
        <v>#DIV/0!</v>
      </c>
      <c r="F464" s="180" t="e">
        <f t="shared" ca="1" si="7"/>
        <v>#DIV/0!</v>
      </c>
      <c r="H464" s="180" t="e">
        <f ca="1">D464+((1+'normal case'!M464/100)/('normal case'!D464/'normal case'!D463))*'external balance'!H463</f>
        <v>#DIV/0!</v>
      </c>
    </row>
    <row r="465" spans="2:8">
      <c r="B465" s="180" t="e">
        <f ca="1">('normal case'!AC465*($K$6*'normal case'!D465*('normal case'!AC465^'external balance'!$K$4)))/'normal case'!D465</f>
        <v>#DIV/0!</v>
      </c>
      <c r="C465" s="180" t="e">
        <f ca="1">($K$5*$K$7*((1+$K$8)^'normal case'!A464)*'normal case'!AC465^$K$3)/'normal case'!D465</f>
        <v>#DIV/0!</v>
      </c>
      <c r="D465" s="116" t="e">
        <f ca="1">(C465-B465)+((('main page'!$U$38/100)*'normal case'!$D$3)/'normal case'!$D$3)</f>
        <v>#DIV/0!</v>
      </c>
      <c r="E465" s="180" t="e">
        <f ca="1">((('normal case'!M465/100)*'external balance'!H464)/('normal case'!D465/'normal case'!D464))</f>
        <v>#DIV/0!</v>
      </c>
      <c r="F465" s="180" t="e">
        <f t="shared" ca="1" si="7"/>
        <v>#DIV/0!</v>
      </c>
      <c r="H465" s="180" t="e">
        <f ca="1">D465+((1+'normal case'!M465/100)/('normal case'!D465/'normal case'!D464))*'external balance'!H464</f>
        <v>#DIV/0!</v>
      </c>
    </row>
    <row r="466" spans="2:8">
      <c r="B466" s="180" t="e">
        <f ca="1">('normal case'!AC466*($K$6*'normal case'!D466*('normal case'!AC466^'external balance'!$K$4)))/'normal case'!D466</f>
        <v>#DIV/0!</v>
      </c>
      <c r="C466" s="180" t="e">
        <f ca="1">($K$5*$K$7*((1+$K$8)^'normal case'!A465)*'normal case'!AC466^$K$3)/'normal case'!D466</f>
        <v>#DIV/0!</v>
      </c>
      <c r="D466" s="116" t="e">
        <f ca="1">(C466-B466)+((('main page'!$U$38/100)*'normal case'!$D$3)/'normal case'!$D$3)</f>
        <v>#DIV/0!</v>
      </c>
      <c r="E466" s="180" t="e">
        <f ca="1">((('normal case'!M466/100)*'external balance'!H465)/('normal case'!D466/'normal case'!D465))</f>
        <v>#DIV/0!</v>
      </c>
      <c r="F466" s="180" t="e">
        <f t="shared" ca="1" si="7"/>
        <v>#DIV/0!</v>
      </c>
      <c r="H466" s="180" t="e">
        <f ca="1">D466+((1+'normal case'!M466/100)/('normal case'!D466/'normal case'!D465))*'external balance'!H465</f>
        <v>#DIV/0!</v>
      </c>
    </row>
    <row r="467" spans="2:8">
      <c r="B467" s="180" t="e">
        <f ca="1">('normal case'!AC467*($K$6*'normal case'!D467*('normal case'!AC467^'external balance'!$K$4)))/'normal case'!D467</f>
        <v>#DIV/0!</v>
      </c>
      <c r="C467" s="180" t="e">
        <f ca="1">($K$5*$K$7*((1+$K$8)^'normal case'!A466)*'normal case'!AC467^$K$3)/'normal case'!D467</f>
        <v>#DIV/0!</v>
      </c>
      <c r="D467" s="116" t="e">
        <f ca="1">(C467-B467)+((('main page'!$U$38/100)*'normal case'!$D$3)/'normal case'!$D$3)</f>
        <v>#DIV/0!</v>
      </c>
      <c r="E467" s="180" t="e">
        <f ca="1">((('normal case'!M467/100)*'external balance'!H466)/('normal case'!D467/'normal case'!D466))</f>
        <v>#DIV/0!</v>
      </c>
      <c r="F467" s="180" t="e">
        <f t="shared" ca="1" si="7"/>
        <v>#DIV/0!</v>
      </c>
      <c r="H467" s="180" t="e">
        <f ca="1">D467+((1+'normal case'!M467/100)/('normal case'!D467/'normal case'!D466))*'external balance'!H466</f>
        <v>#DIV/0!</v>
      </c>
    </row>
    <row r="468" spans="2:8">
      <c r="B468" s="180" t="e">
        <f ca="1">('normal case'!AC468*($K$6*'normal case'!D468*('normal case'!AC468^'external balance'!$K$4)))/'normal case'!D468</f>
        <v>#DIV/0!</v>
      </c>
      <c r="C468" s="180" t="e">
        <f ca="1">($K$5*$K$7*((1+$K$8)^'normal case'!A467)*'normal case'!AC468^$K$3)/'normal case'!D468</f>
        <v>#DIV/0!</v>
      </c>
      <c r="D468" s="116" t="e">
        <f ca="1">(C468-B468)+((('main page'!$U$38/100)*'normal case'!$D$3)/'normal case'!$D$3)</f>
        <v>#DIV/0!</v>
      </c>
      <c r="E468" s="180" t="e">
        <f ca="1">((('normal case'!M468/100)*'external balance'!H467)/('normal case'!D468/'normal case'!D467))</f>
        <v>#DIV/0!</v>
      </c>
      <c r="F468" s="180" t="e">
        <f t="shared" ca="1" si="7"/>
        <v>#DIV/0!</v>
      </c>
      <c r="H468" s="180" t="e">
        <f ca="1">D468+((1+'normal case'!M468/100)/('normal case'!D468/'normal case'!D467))*'external balance'!H467</f>
        <v>#DIV/0!</v>
      </c>
    </row>
    <row r="469" spans="2:8">
      <c r="B469" s="180" t="e">
        <f ca="1">('normal case'!AC469*($K$6*'normal case'!D469*('normal case'!AC469^'external balance'!$K$4)))/'normal case'!D469</f>
        <v>#DIV/0!</v>
      </c>
      <c r="C469" s="180" t="e">
        <f ca="1">($K$5*$K$7*((1+$K$8)^'normal case'!A468)*'normal case'!AC469^$K$3)/'normal case'!D469</f>
        <v>#DIV/0!</v>
      </c>
      <c r="D469" s="116" t="e">
        <f ca="1">(C469-B469)+((('main page'!$U$38/100)*'normal case'!$D$3)/'normal case'!$D$3)</f>
        <v>#DIV/0!</v>
      </c>
      <c r="E469" s="180" t="e">
        <f ca="1">((('normal case'!M469/100)*'external balance'!H468)/('normal case'!D469/'normal case'!D468))</f>
        <v>#DIV/0!</v>
      </c>
      <c r="F469" s="180" t="e">
        <f t="shared" ca="1" si="7"/>
        <v>#DIV/0!</v>
      </c>
      <c r="H469" s="180" t="e">
        <f ca="1">D469+((1+'normal case'!M469/100)/('normal case'!D469/'normal case'!D468))*'external balance'!H468</f>
        <v>#DIV/0!</v>
      </c>
    </row>
    <row r="470" spans="2:8">
      <c r="B470" s="180" t="e">
        <f ca="1">('normal case'!AC470*($K$6*'normal case'!D470*('normal case'!AC470^'external balance'!$K$4)))/'normal case'!D470</f>
        <v>#DIV/0!</v>
      </c>
      <c r="C470" s="180" t="e">
        <f ca="1">($K$5*$K$7*((1+$K$8)^'normal case'!A469)*'normal case'!AC470^$K$3)/'normal case'!D470</f>
        <v>#DIV/0!</v>
      </c>
      <c r="D470" s="116" t="e">
        <f ca="1">(C470-B470)+((('main page'!$U$38/100)*'normal case'!$D$3)/'normal case'!$D$3)</f>
        <v>#DIV/0!</v>
      </c>
      <c r="E470" s="180" t="e">
        <f ca="1">((('normal case'!M470/100)*'external balance'!H469)/('normal case'!D470/'normal case'!D469))</f>
        <v>#DIV/0!</v>
      </c>
      <c r="F470" s="180" t="e">
        <f t="shared" ca="1" si="7"/>
        <v>#DIV/0!</v>
      </c>
      <c r="H470" s="180" t="e">
        <f ca="1">D470+((1+'normal case'!M470/100)/('normal case'!D470/'normal case'!D469))*'external balance'!H469</f>
        <v>#DIV/0!</v>
      </c>
    </row>
    <row r="471" spans="2:8">
      <c r="B471" s="180" t="e">
        <f ca="1">('normal case'!AC471*($K$6*'normal case'!D471*('normal case'!AC471^'external balance'!$K$4)))/'normal case'!D471</f>
        <v>#DIV/0!</v>
      </c>
      <c r="C471" s="180" t="e">
        <f ca="1">($K$5*$K$7*((1+$K$8)^'normal case'!A470)*'normal case'!AC471^$K$3)/'normal case'!D471</f>
        <v>#DIV/0!</v>
      </c>
      <c r="D471" s="116" t="e">
        <f ca="1">(C471-B471)+((('main page'!$U$38/100)*'normal case'!$D$3)/'normal case'!$D$3)</f>
        <v>#DIV/0!</v>
      </c>
      <c r="E471" s="180" t="e">
        <f ca="1">((('normal case'!M471/100)*'external balance'!H470)/('normal case'!D471/'normal case'!D470))</f>
        <v>#DIV/0!</v>
      </c>
      <c r="F471" s="180" t="e">
        <f t="shared" ca="1" si="7"/>
        <v>#DIV/0!</v>
      </c>
      <c r="H471" s="180" t="e">
        <f ca="1">D471+((1+'normal case'!M471/100)/('normal case'!D471/'normal case'!D470))*'external balance'!H470</f>
        <v>#DIV/0!</v>
      </c>
    </row>
    <row r="472" spans="2:8">
      <c r="B472" s="180" t="e">
        <f ca="1">('normal case'!AC472*($K$6*'normal case'!D472*('normal case'!AC472^'external balance'!$K$4)))/'normal case'!D472</f>
        <v>#DIV/0!</v>
      </c>
      <c r="C472" s="180" t="e">
        <f ca="1">($K$5*$K$7*((1+$K$8)^'normal case'!A471)*'normal case'!AC472^$K$3)/'normal case'!D472</f>
        <v>#DIV/0!</v>
      </c>
      <c r="D472" s="116" t="e">
        <f ca="1">(C472-B472)+((('main page'!$U$38/100)*'normal case'!$D$3)/'normal case'!$D$3)</f>
        <v>#DIV/0!</v>
      </c>
      <c r="E472" s="180" t="e">
        <f ca="1">((('normal case'!M472/100)*'external balance'!H471)/('normal case'!D472/'normal case'!D471))</f>
        <v>#DIV/0!</v>
      </c>
      <c r="F472" s="180" t="e">
        <f t="shared" ca="1" si="7"/>
        <v>#DIV/0!</v>
      </c>
      <c r="H472" s="180" t="e">
        <f ca="1">D472+((1+'normal case'!M472/100)/('normal case'!D472/'normal case'!D471))*'external balance'!H471</f>
        <v>#DIV/0!</v>
      </c>
    </row>
    <row r="473" spans="2:8">
      <c r="B473" s="180" t="e">
        <f ca="1">('normal case'!AC473*($K$6*'normal case'!D473*('normal case'!AC473^'external balance'!$K$4)))/'normal case'!D473</f>
        <v>#DIV/0!</v>
      </c>
      <c r="C473" s="180" t="e">
        <f ca="1">($K$5*$K$7*((1+$K$8)^'normal case'!A472)*'normal case'!AC473^$K$3)/'normal case'!D473</f>
        <v>#DIV/0!</v>
      </c>
      <c r="D473" s="116" t="e">
        <f ca="1">(C473-B473)+((('main page'!$U$38/100)*'normal case'!$D$3)/'normal case'!$D$3)</f>
        <v>#DIV/0!</v>
      </c>
      <c r="E473" s="180" t="e">
        <f ca="1">((('normal case'!M473/100)*'external balance'!H472)/('normal case'!D473/'normal case'!D472))</f>
        <v>#DIV/0!</v>
      </c>
      <c r="F473" s="180" t="e">
        <f t="shared" ca="1" si="7"/>
        <v>#DIV/0!</v>
      </c>
      <c r="H473" s="180" t="e">
        <f ca="1">D473+((1+'normal case'!M473/100)/('normal case'!D473/'normal case'!D472))*'external balance'!H472</f>
        <v>#DIV/0!</v>
      </c>
    </row>
    <row r="474" spans="2:8">
      <c r="B474" s="180" t="e">
        <f ca="1">('normal case'!AC474*($K$6*'normal case'!D474*('normal case'!AC474^'external balance'!$K$4)))/'normal case'!D474</f>
        <v>#DIV/0!</v>
      </c>
      <c r="C474" s="180" t="e">
        <f ca="1">($K$5*$K$7*((1+$K$8)^'normal case'!A473)*'normal case'!AC474^$K$3)/'normal case'!D474</f>
        <v>#DIV/0!</v>
      </c>
      <c r="D474" s="116" t="e">
        <f ca="1">(C474-B474)+((('main page'!$U$38/100)*'normal case'!$D$3)/'normal case'!$D$3)</f>
        <v>#DIV/0!</v>
      </c>
      <c r="E474" s="180" t="e">
        <f ca="1">((('normal case'!M474/100)*'external balance'!H473)/('normal case'!D474/'normal case'!D473))</f>
        <v>#DIV/0!</v>
      </c>
      <c r="F474" s="180" t="e">
        <f t="shared" ca="1" si="7"/>
        <v>#DIV/0!</v>
      </c>
      <c r="H474" s="180" t="e">
        <f ca="1">D474+((1+'normal case'!M474/100)/('normal case'!D474/'normal case'!D473))*'external balance'!H473</f>
        <v>#DIV/0!</v>
      </c>
    </row>
    <row r="475" spans="2:8">
      <c r="B475" s="180" t="e">
        <f ca="1">('normal case'!AC475*($K$6*'normal case'!D475*('normal case'!AC475^'external balance'!$K$4)))/'normal case'!D475</f>
        <v>#DIV/0!</v>
      </c>
      <c r="C475" s="180" t="e">
        <f ca="1">($K$5*$K$7*((1+$K$8)^'normal case'!A474)*'normal case'!AC475^$K$3)/'normal case'!D475</f>
        <v>#DIV/0!</v>
      </c>
      <c r="D475" s="116" t="e">
        <f ca="1">(C475-B475)+((('main page'!$U$38/100)*'normal case'!$D$3)/'normal case'!$D$3)</f>
        <v>#DIV/0!</v>
      </c>
      <c r="E475" s="180" t="e">
        <f ca="1">((('normal case'!M475/100)*'external balance'!H474)/('normal case'!D475/'normal case'!D474))</f>
        <v>#DIV/0!</v>
      </c>
      <c r="F475" s="180" t="e">
        <f t="shared" ca="1" si="7"/>
        <v>#DIV/0!</v>
      </c>
      <c r="H475" s="180" t="e">
        <f ca="1">D475+((1+'normal case'!M475/100)/('normal case'!D475/'normal case'!D474))*'external balance'!H474</f>
        <v>#DIV/0!</v>
      </c>
    </row>
    <row r="476" spans="2:8">
      <c r="B476" s="180" t="e">
        <f ca="1">('normal case'!AC476*($K$6*'normal case'!D476*('normal case'!AC476^'external balance'!$K$4)))/'normal case'!D476</f>
        <v>#DIV/0!</v>
      </c>
      <c r="C476" s="180" t="e">
        <f ca="1">($K$5*$K$7*((1+$K$8)^'normal case'!A475)*'normal case'!AC476^$K$3)/'normal case'!D476</f>
        <v>#DIV/0!</v>
      </c>
      <c r="D476" s="116" t="e">
        <f ca="1">(C476-B476)+((('main page'!$U$38/100)*'normal case'!$D$3)/'normal case'!$D$3)</f>
        <v>#DIV/0!</v>
      </c>
      <c r="E476" s="180" t="e">
        <f ca="1">((('normal case'!M476/100)*'external balance'!H475)/('normal case'!D476/'normal case'!D475))</f>
        <v>#DIV/0!</v>
      </c>
      <c r="F476" s="180" t="e">
        <f t="shared" ca="1" si="7"/>
        <v>#DIV/0!</v>
      </c>
      <c r="H476" s="180" t="e">
        <f ca="1">D476+((1+'normal case'!M476/100)/('normal case'!D476/'normal case'!D475))*'external balance'!H475</f>
        <v>#DIV/0!</v>
      </c>
    </row>
    <row r="477" spans="2:8">
      <c r="B477" s="180" t="e">
        <f ca="1">('normal case'!AC477*($K$6*'normal case'!D477*('normal case'!AC477^'external balance'!$K$4)))/'normal case'!D477</f>
        <v>#DIV/0!</v>
      </c>
      <c r="C477" s="180" t="e">
        <f ca="1">($K$5*$K$7*((1+$K$8)^'normal case'!A476)*'normal case'!AC477^$K$3)/'normal case'!D477</f>
        <v>#DIV/0!</v>
      </c>
      <c r="D477" s="116" t="e">
        <f ca="1">(C477-B477)+((('main page'!$U$38/100)*'normal case'!$D$3)/'normal case'!$D$3)</f>
        <v>#DIV/0!</v>
      </c>
      <c r="E477" s="180" t="e">
        <f ca="1">((('normal case'!M477/100)*'external balance'!H476)/('normal case'!D477/'normal case'!D476))</f>
        <v>#DIV/0!</v>
      </c>
      <c r="F477" s="180" t="e">
        <f t="shared" ca="1" si="7"/>
        <v>#DIV/0!</v>
      </c>
      <c r="H477" s="180" t="e">
        <f ca="1">D477+((1+'normal case'!M477/100)/('normal case'!D477/'normal case'!D476))*'external balance'!H476</f>
        <v>#DIV/0!</v>
      </c>
    </row>
    <row r="478" spans="2:8">
      <c r="B478" s="180" t="e">
        <f ca="1">('normal case'!AC478*($K$6*'normal case'!D478*('normal case'!AC478^'external balance'!$K$4)))/'normal case'!D478</f>
        <v>#DIV/0!</v>
      </c>
      <c r="C478" s="180" t="e">
        <f ca="1">($K$5*$K$7*((1+$K$8)^'normal case'!A477)*'normal case'!AC478^$K$3)/'normal case'!D478</f>
        <v>#DIV/0!</v>
      </c>
      <c r="D478" s="116" t="e">
        <f ca="1">(C478-B478)+((('main page'!$U$38/100)*'normal case'!$D$3)/'normal case'!$D$3)</f>
        <v>#DIV/0!</v>
      </c>
      <c r="E478" s="180" t="e">
        <f ca="1">((('normal case'!M478/100)*'external balance'!H477)/('normal case'!D478/'normal case'!D477))</f>
        <v>#DIV/0!</v>
      </c>
      <c r="F478" s="180" t="e">
        <f t="shared" ca="1" si="7"/>
        <v>#DIV/0!</v>
      </c>
      <c r="H478" s="180" t="e">
        <f ca="1">D478+((1+'normal case'!M478/100)/('normal case'!D478/'normal case'!D477))*'external balance'!H477</f>
        <v>#DIV/0!</v>
      </c>
    </row>
    <row r="479" spans="2:8">
      <c r="B479" s="180" t="e">
        <f ca="1">('normal case'!AC479*($K$6*'normal case'!D479*('normal case'!AC479^'external balance'!$K$4)))/'normal case'!D479</f>
        <v>#DIV/0!</v>
      </c>
      <c r="C479" s="180" t="e">
        <f ca="1">($K$5*$K$7*((1+$K$8)^'normal case'!A478)*'normal case'!AC479^$K$3)/'normal case'!D479</f>
        <v>#DIV/0!</v>
      </c>
      <c r="D479" s="116" t="e">
        <f ca="1">(C479-B479)+((('main page'!$U$38/100)*'normal case'!$D$3)/'normal case'!$D$3)</f>
        <v>#DIV/0!</v>
      </c>
      <c r="E479" s="180" t="e">
        <f ca="1">((('normal case'!M479/100)*'external balance'!H478)/('normal case'!D479/'normal case'!D478))</f>
        <v>#DIV/0!</v>
      </c>
      <c r="F479" s="180" t="e">
        <f t="shared" ca="1" si="7"/>
        <v>#DIV/0!</v>
      </c>
      <c r="H479" s="180" t="e">
        <f ca="1">D479+((1+'normal case'!M479/100)/('normal case'!D479/'normal case'!D478))*'external balance'!H478</f>
        <v>#DIV/0!</v>
      </c>
    </row>
    <row r="480" spans="2:8">
      <c r="B480" s="180" t="e">
        <f ca="1">('normal case'!AC480*($K$6*'normal case'!D480*('normal case'!AC480^'external balance'!$K$4)))/'normal case'!D480</f>
        <v>#DIV/0!</v>
      </c>
      <c r="C480" s="180" t="e">
        <f ca="1">($K$5*$K$7*((1+$K$8)^'normal case'!A479)*'normal case'!AC480^$K$3)/'normal case'!D480</f>
        <v>#DIV/0!</v>
      </c>
      <c r="D480" s="116" t="e">
        <f ca="1">(C480-B480)+((('main page'!$U$38/100)*'normal case'!$D$3)/'normal case'!$D$3)</f>
        <v>#DIV/0!</v>
      </c>
      <c r="E480" s="180" t="e">
        <f ca="1">((('normal case'!M480/100)*'external balance'!H479)/('normal case'!D480/'normal case'!D479))</f>
        <v>#DIV/0!</v>
      </c>
      <c r="F480" s="180" t="e">
        <f t="shared" ca="1" si="7"/>
        <v>#DIV/0!</v>
      </c>
      <c r="H480" s="180" t="e">
        <f ca="1">D480+((1+'normal case'!M480/100)/('normal case'!D480/'normal case'!D479))*'external balance'!H479</f>
        <v>#DIV/0!</v>
      </c>
    </row>
    <row r="481" spans="2:8">
      <c r="B481" s="180" t="e">
        <f ca="1">('normal case'!AC481*($K$6*'normal case'!D481*('normal case'!AC481^'external balance'!$K$4)))/'normal case'!D481</f>
        <v>#DIV/0!</v>
      </c>
      <c r="C481" s="180" t="e">
        <f ca="1">($K$5*$K$7*((1+$K$8)^'normal case'!A480)*'normal case'!AC481^$K$3)/'normal case'!D481</f>
        <v>#DIV/0!</v>
      </c>
      <c r="D481" s="116" t="e">
        <f ca="1">(C481-B481)+((('main page'!$U$38/100)*'normal case'!$D$3)/'normal case'!$D$3)</f>
        <v>#DIV/0!</v>
      </c>
      <c r="E481" s="180" t="e">
        <f ca="1">((('normal case'!M481/100)*'external balance'!H480)/('normal case'!D481/'normal case'!D480))</f>
        <v>#DIV/0!</v>
      </c>
      <c r="F481" s="180" t="e">
        <f t="shared" ca="1" si="7"/>
        <v>#DIV/0!</v>
      </c>
      <c r="H481" s="180" t="e">
        <f ca="1">D481+((1+'normal case'!M481/100)/('normal case'!D481/'normal case'!D480))*'external balance'!H480</f>
        <v>#DIV/0!</v>
      </c>
    </row>
    <row r="482" spans="2:8">
      <c r="B482" s="180" t="e">
        <f ca="1">('normal case'!AC482*($K$6*'normal case'!D482*('normal case'!AC482^'external balance'!$K$4)))/'normal case'!D482</f>
        <v>#DIV/0!</v>
      </c>
      <c r="C482" s="180" t="e">
        <f ca="1">($K$5*$K$7*((1+$K$8)^'normal case'!A481)*'normal case'!AC482^$K$3)/'normal case'!D482</f>
        <v>#DIV/0!</v>
      </c>
      <c r="D482" s="116" t="e">
        <f ca="1">(C482-B482)+((('main page'!$U$38/100)*'normal case'!$D$3)/'normal case'!$D$3)</f>
        <v>#DIV/0!</v>
      </c>
      <c r="E482" s="180" t="e">
        <f ca="1">((('normal case'!M482/100)*'external balance'!H481)/('normal case'!D482/'normal case'!D481))</f>
        <v>#DIV/0!</v>
      </c>
      <c r="F482" s="180" t="e">
        <f t="shared" ca="1" si="7"/>
        <v>#DIV/0!</v>
      </c>
      <c r="H482" s="180" t="e">
        <f ca="1">D482+((1+'normal case'!M482/100)/('normal case'!D482/'normal case'!D481))*'external balance'!H481</f>
        <v>#DIV/0!</v>
      </c>
    </row>
    <row r="483" spans="2:8">
      <c r="B483" s="180" t="e">
        <f ca="1">('normal case'!AC483*($K$6*'normal case'!D483*('normal case'!AC483^'external balance'!$K$4)))/'normal case'!D483</f>
        <v>#DIV/0!</v>
      </c>
      <c r="C483" s="180" t="e">
        <f ca="1">($K$5*$K$7*((1+$K$8)^'normal case'!A482)*'normal case'!AC483^$K$3)/'normal case'!D483</f>
        <v>#DIV/0!</v>
      </c>
      <c r="D483" s="116" t="e">
        <f ca="1">(C483-B483)+((('main page'!$U$38/100)*'normal case'!$D$3)/'normal case'!$D$3)</f>
        <v>#DIV/0!</v>
      </c>
      <c r="E483" s="180" t="e">
        <f ca="1">((('normal case'!M483/100)*'external balance'!H482)/('normal case'!D483/'normal case'!D482))</f>
        <v>#DIV/0!</v>
      </c>
      <c r="F483" s="180" t="e">
        <f t="shared" ca="1" si="7"/>
        <v>#DIV/0!</v>
      </c>
      <c r="H483" s="180" t="e">
        <f ca="1">D483+((1+'normal case'!M483/100)/('normal case'!D483/'normal case'!D482))*'external balance'!H482</f>
        <v>#DIV/0!</v>
      </c>
    </row>
    <row r="484" spans="2:8">
      <c r="B484" s="180" t="e">
        <f ca="1">('normal case'!AC484*($K$6*'normal case'!D484*('normal case'!AC484^'external balance'!$K$4)))/'normal case'!D484</f>
        <v>#DIV/0!</v>
      </c>
      <c r="C484" s="180" t="e">
        <f ca="1">($K$5*$K$7*((1+$K$8)^'normal case'!A483)*'normal case'!AC484^$K$3)/'normal case'!D484</f>
        <v>#DIV/0!</v>
      </c>
      <c r="D484" s="116" t="e">
        <f ca="1">(C484-B484)+((('main page'!$U$38/100)*'normal case'!$D$3)/'normal case'!$D$3)</f>
        <v>#DIV/0!</v>
      </c>
      <c r="E484" s="180" t="e">
        <f ca="1">((('normal case'!M484/100)*'external balance'!H483)/('normal case'!D484/'normal case'!D483))</f>
        <v>#DIV/0!</v>
      </c>
      <c r="F484" s="180" t="e">
        <f t="shared" ca="1" si="7"/>
        <v>#DIV/0!</v>
      </c>
      <c r="H484" s="180" t="e">
        <f ca="1">D484+((1+'normal case'!M484/100)/('normal case'!D484/'normal case'!D483))*'external balance'!H483</f>
        <v>#DIV/0!</v>
      </c>
    </row>
    <row r="485" spans="2:8">
      <c r="B485" s="180" t="e">
        <f ca="1">('normal case'!AC485*($K$6*'normal case'!D485*('normal case'!AC485^'external balance'!$K$4)))/'normal case'!D485</f>
        <v>#DIV/0!</v>
      </c>
      <c r="C485" s="180" t="e">
        <f ca="1">($K$5*$K$7*((1+$K$8)^'normal case'!A484)*'normal case'!AC485^$K$3)/'normal case'!D485</f>
        <v>#DIV/0!</v>
      </c>
      <c r="D485" s="116" t="e">
        <f ca="1">(C485-B485)+((('main page'!$U$38/100)*'normal case'!$D$3)/'normal case'!$D$3)</f>
        <v>#DIV/0!</v>
      </c>
      <c r="E485" s="180" t="e">
        <f ca="1">((('normal case'!M485/100)*'external balance'!H484)/('normal case'!D485/'normal case'!D484))</f>
        <v>#DIV/0!</v>
      </c>
      <c r="F485" s="180" t="e">
        <f t="shared" ca="1" si="7"/>
        <v>#DIV/0!</v>
      </c>
      <c r="H485" s="180" t="e">
        <f ca="1">D485+((1+'normal case'!M485/100)/('normal case'!D485/'normal case'!D484))*'external balance'!H484</f>
        <v>#DIV/0!</v>
      </c>
    </row>
    <row r="486" spans="2:8">
      <c r="B486" s="180" t="e">
        <f ca="1">('normal case'!AC486*($K$6*'normal case'!D486*('normal case'!AC486^'external balance'!$K$4)))/'normal case'!D486</f>
        <v>#DIV/0!</v>
      </c>
      <c r="C486" s="180" t="e">
        <f ca="1">($K$5*$K$7*((1+$K$8)^'normal case'!A485)*'normal case'!AC486^$K$3)/'normal case'!D486</f>
        <v>#DIV/0!</v>
      </c>
      <c r="D486" s="116" t="e">
        <f ca="1">(C486-B486)+((('main page'!$U$38/100)*'normal case'!$D$3)/'normal case'!$D$3)</f>
        <v>#DIV/0!</v>
      </c>
      <c r="E486" s="180" t="e">
        <f ca="1">((('normal case'!M486/100)*'external balance'!H485)/('normal case'!D486/'normal case'!D485))</f>
        <v>#DIV/0!</v>
      </c>
      <c r="F486" s="180" t="e">
        <f t="shared" ca="1" si="7"/>
        <v>#DIV/0!</v>
      </c>
      <c r="H486" s="180" t="e">
        <f ca="1">D486+((1+'normal case'!M486/100)/('normal case'!D486/'normal case'!D485))*'external balance'!H485</f>
        <v>#DIV/0!</v>
      </c>
    </row>
    <row r="487" spans="2:8">
      <c r="B487" s="180" t="e">
        <f ca="1">('normal case'!AC487*($K$6*'normal case'!D487*('normal case'!AC487^'external balance'!$K$4)))/'normal case'!D487</f>
        <v>#DIV/0!</v>
      </c>
      <c r="C487" s="180" t="e">
        <f ca="1">($K$5*$K$7*((1+$K$8)^'normal case'!A486)*'normal case'!AC487^$K$3)/'normal case'!D487</f>
        <v>#DIV/0!</v>
      </c>
      <c r="D487" s="116" t="e">
        <f ca="1">(C487-B487)+((('main page'!$U$38/100)*'normal case'!$D$3)/'normal case'!$D$3)</f>
        <v>#DIV/0!</v>
      </c>
      <c r="E487" s="180" t="e">
        <f ca="1">((('normal case'!M487/100)*'external balance'!H486)/('normal case'!D487/'normal case'!D486))</f>
        <v>#DIV/0!</v>
      </c>
      <c r="F487" s="180" t="e">
        <f t="shared" ca="1" si="7"/>
        <v>#DIV/0!</v>
      </c>
      <c r="H487" s="180" t="e">
        <f ca="1">D487+((1+'normal case'!M487/100)/('normal case'!D487/'normal case'!D486))*'external balance'!H486</f>
        <v>#DIV/0!</v>
      </c>
    </row>
    <row r="488" spans="2:8">
      <c r="B488" s="180" t="e">
        <f ca="1">('normal case'!AC488*($K$6*'normal case'!D488*('normal case'!AC488^'external balance'!$K$4)))/'normal case'!D488</f>
        <v>#DIV/0!</v>
      </c>
      <c r="C488" s="180" t="e">
        <f ca="1">($K$5*$K$7*((1+$K$8)^'normal case'!A487)*'normal case'!AC488^$K$3)/'normal case'!D488</f>
        <v>#DIV/0!</v>
      </c>
      <c r="D488" s="116" t="e">
        <f ca="1">(C488-B488)+((('main page'!$U$38/100)*'normal case'!$D$3)/'normal case'!$D$3)</f>
        <v>#DIV/0!</v>
      </c>
      <c r="E488" s="180" t="e">
        <f ca="1">((('normal case'!M488/100)*'external balance'!H487)/('normal case'!D488/'normal case'!D487))</f>
        <v>#DIV/0!</v>
      </c>
      <c r="F488" s="180" t="e">
        <f t="shared" ca="1" si="7"/>
        <v>#DIV/0!</v>
      </c>
      <c r="H488" s="180" t="e">
        <f ca="1">D488+((1+'normal case'!M488/100)/('normal case'!D488/'normal case'!D487))*'external balance'!H487</f>
        <v>#DIV/0!</v>
      </c>
    </row>
    <row r="489" spans="2:8">
      <c r="B489" s="180" t="e">
        <f ca="1">('normal case'!AC489*($K$6*'normal case'!D489*('normal case'!AC489^'external balance'!$K$4)))/'normal case'!D489</f>
        <v>#DIV/0!</v>
      </c>
      <c r="C489" s="180" t="e">
        <f ca="1">($K$5*$K$7*((1+$K$8)^'normal case'!A488)*'normal case'!AC489^$K$3)/'normal case'!D489</f>
        <v>#DIV/0!</v>
      </c>
      <c r="D489" s="116" t="e">
        <f ca="1">(C489-B489)+((('main page'!$U$38/100)*'normal case'!$D$3)/'normal case'!$D$3)</f>
        <v>#DIV/0!</v>
      </c>
      <c r="E489" s="180" t="e">
        <f ca="1">((('normal case'!M489/100)*'external balance'!H488)/('normal case'!D489/'normal case'!D488))</f>
        <v>#DIV/0!</v>
      </c>
      <c r="F489" s="180" t="e">
        <f t="shared" ca="1" si="7"/>
        <v>#DIV/0!</v>
      </c>
      <c r="H489" s="180" t="e">
        <f ca="1">D489+((1+'normal case'!M489/100)/('normal case'!D489/'normal case'!D488))*'external balance'!H488</f>
        <v>#DIV/0!</v>
      </c>
    </row>
    <row r="490" spans="2:8">
      <c r="B490" s="180" t="e">
        <f ca="1">('normal case'!AC490*($K$6*'normal case'!D490*('normal case'!AC490^'external balance'!$K$4)))/'normal case'!D490</f>
        <v>#DIV/0!</v>
      </c>
      <c r="C490" s="180" t="e">
        <f ca="1">($K$5*$K$7*((1+$K$8)^'normal case'!A489)*'normal case'!AC490^$K$3)/'normal case'!D490</f>
        <v>#DIV/0!</v>
      </c>
      <c r="D490" s="116" t="e">
        <f ca="1">(C490-B490)+((('main page'!$U$38/100)*'normal case'!$D$3)/'normal case'!$D$3)</f>
        <v>#DIV/0!</v>
      </c>
      <c r="E490" s="180" t="e">
        <f ca="1">((('normal case'!M490/100)*'external balance'!H489)/('normal case'!D490/'normal case'!D489))</f>
        <v>#DIV/0!</v>
      </c>
      <c r="F490" s="180" t="e">
        <f t="shared" ca="1" si="7"/>
        <v>#DIV/0!</v>
      </c>
      <c r="H490" s="180" t="e">
        <f ca="1">D490+((1+'normal case'!M490/100)/('normal case'!D490/'normal case'!D489))*'external balance'!H489</f>
        <v>#DIV/0!</v>
      </c>
    </row>
    <row r="491" spans="2:8">
      <c r="B491" s="180" t="e">
        <f ca="1">('normal case'!AC491*($K$6*'normal case'!D491*('normal case'!AC491^'external balance'!$K$4)))/'normal case'!D491</f>
        <v>#DIV/0!</v>
      </c>
      <c r="C491" s="180" t="e">
        <f ca="1">($K$5*$K$7*((1+$K$8)^'normal case'!A490)*'normal case'!AC491^$K$3)/'normal case'!D491</f>
        <v>#DIV/0!</v>
      </c>
      <c r="D491" s="116" t="e">
        <f ca="1">(C491-B491)+((('main page'!$U$38/100)*'normal case'!$D$3)/'normal case'!$D$3)</f>
        <v>#DIV/0!</v>
      </c>
      <c r="E491" s="180" t="e">
        <f ca="1">((('normal case'!M491/100)*'external balance'!H490)/('normal case'!D491/'normal case'!D490))</f>
        <v>#DIV/0!</v>
      </c>
      <c r="F491" s="180" t="e">
        <f t="shared" ca="1" si="7"/>
        <v>#DIV/0!</v>
      </c>
      <c r="H491" s="180" t="e">
        <f ca="1">D491+((1+'normal case'!M491/100)/('normal case'!D491/'normal case'!D490))*'external balance'!H490</f>
        <v>#DIV/0!</v>
      </c>
    </row>
    <row r="492" spans="2:8">
      <c r="B492" s="180" t="e">
        <f ca="1">('normal case'!AC492*($K$6*'normal case'!D492*('normal case'!AC492^'external balance'!$K$4)))/'normal case'!D492</f>
        <v>#DIV/0!</v>
      </c>
      <c r="C492" s="180" t="e">
        <f ca="1">($K$5*$K$7*((1+$K$8)^'normal case'!A491)*'normal case'!AC492^$K$3)/'normal case'!D492</f>
        <v>#DIV/0!</v>
      </c>
      <c r="D492" s="116" t="e">
        <f ca="1">(C492-B492)+((('main page'!$U$38/100)*'normal case'!$D$3)/'normal case'!$D$3)</f>
        <v>#DIV/0!</v>
      </c>
      <c r="E492" s="180" t="e">
        <f ca="1">((('normal case'!M492/100)*'external balance'!H491)/('normal case'!D492/'normal case'!D491))</f>
        <v>#DIV/0!</v>
      </c>
      <c r="F492" s="180" t="e">
        <f t="shared" ca="1" si="7"/>
        <v>#DIV/0!</v>
      </c>
      <c r="H492" s="180" t="e">
        <f ca="1">D492+((1+'normal case'!M492/100)/('normal case'!D492/'normal case'!D491))*'external balance'!H491</f>
        <v>#DIV/0!</v>
      </c>
    </row>
    <row r="493" spans="2:8">
      <c r="B493" s="180" t="e">
        <f ca="1">('normal case'!AC493*($K$6*'normal case'!D493*('normal case'!AC493^'external balance'!$K$4)))/'normal case'!D493</f>
        <v>#DIV/0!</v>
      </c>
      <c r="C493" s="180" t="e">
        <f ca="1">($K$5*$K$7*((1+$K$8)^'normal case'!A492)*'normal case'!AC493^$K$3)/'normal case'!D493</f>
        <v>#DIV/0!</v>
      </c>
      <c r="D493" s="116" t="e">
        <f ca="1">(C493-B493)+((('main page'!$U$38/100)*'normal case'!$D$3)/'normal case'!$D$3)</f>
        <v>#DIV/0!</v>
      </c>
      <c r="E493" s="180" t="e">
        <f ca="1">((('normal case'!M493/100)*'external balance'!H492)/('normal case'!D493/'normal case'!D492))</f>
        <v>#DIV/0!</v>
      </c>
      <c r="F493" s="180" t="e">
        <f t="shared" ca="1" si="7"/>
        <v>#DIV/0!</v>
      </c>
      <c r="H493" s="180" t="e">
        <f ca="1">D493+((1+'normal case'!M493/100)/('normal case'!D493/'normal case'!D492))*'external balance'!H492</f>
        <v>#DIV/0!</v>
      </c>
    </row>
    <row r="494" spans="2:8">
      <c r="B494" s="180" t="e">
        <f ca="1">('normal case'!AC494*($K$6*'normal case'!D494*('normal case'!AC494^'external balance'!$K$4)))/'normal case'!D494</f>
        <v>#DIV/0!</v>
      </c>
      <c r="C494" s="180" t="e">
        <f ca="1">($K$5*$K$7*((1+$K$8)^'normal case'!A493)*'normal case'!AC494^$K$3)/'normal case'!D494</f>
        <v>#DIV/0!</v>
      </c>
      <c r="D494" s="116" t="e">
        <f ca="1">(C494-B494)+((('main page'!$U$38/100)*'normal case'!$D$3)/'normal case'!$D$3)</f>
        <v>#DIV/0!</v>
      </c>
      <c r="E494" s="180" t="e">
        <f ca="1">((('normal case'!M494/100)*'external balance'!H493)/('normal case'!D494/'normal case'!D493))</f>
        <v>#DIV/0!</v>
      </c>
      <c r="F494" s="180" t="e">
        <f t="shared" ca="1" si="7"/>
        <v>#DIV/0!</v>
      </c>
      <c r="H494" s="180" t="e">
        <f ca="1">D494+((1+'normal case'!M494/100)/('normal case'!D494/'normal case'!D493))*'external balance'!H493</f>
        <v>#DIV/0!</v>
      </c>
    </row>
    <row r="495" spans="2:8">
      <c r="B495" s="180" t="e">
        <f ca="1">('normal case'!AC495*($K$6*'normal case'!D495*('normal case'!AC495^'external balance'!$K$4)))/'normal case'!D495</f>
        <v>#DIV/0!</v>
      </c>
      <c r="C495" s="180" t="e">
        <f ca="1">($K$5*$K$7*((1+$K$8)^'normal case'!A494)*'normal case'!AC495^$K$3)/'normal case'!D495</f>
        <v>#DIV/0!</v>
      </c>
      <c r="D495" s="116" t="e">
        <f ca="1">(C495-B495)+((('main page'!$U$38/100)*'normal case'!$D$3)/'normal case'!$D$3)</f>
        <v>#DIV/0!</v>
      </c>
      <c r="E495" s="180" t="e">
        <f ca="1">((('normal case'!M495/100)*'external balance'!H494)/('normal case'!D495/'normal case'!D494))</f>
        <v>#DIV/0!</v>
      </c>
      <c r="F495" s="180" t="e">
        <f t="shared" ca="1" si="7"/>
        <v>#DIV/0!</v>
      </c>
      <c r="H495" s="180" t="e">
        <f ca="1">D495+((1+'normal case'!M495/100)/('normal case'!D495/'normal case'!D494))*'external balance'!H494</f>
        <v>#DIV/0!</v>
      </c>
    </row>
    <row r="496" spans="2:8">
      <c r="B496" s="180" t="e">
        <f ca="1">('normal case'!AC496*($K$6*'normal case'!D496*('normal case'!AC496^'external balance'!$K$4)))/'normal case'!D496</f>
        <v>#DIV/0!</v>
      </c>
      <c r="C496" s="180" t="e">
        <f ca="1">($K$5*$K$7*((1+$K$8)^'normal case'!A495)*'normal case'!AC496^$K$3)/'normal case'!D496</f>
        <v>#DIV/0!</v>
      </c>
      <c r="D496" s="116" t="e">
        <f ca="1">(C496-B496)+((('main page'!$U$38/100)*'normal case'!$D$3)/'normal case'!$D$3)</f>
        <v>#DIV/0!</v>
      </c>
      <c r="E496" s="180" t="e">
        <f ca="1">((('normal case'!M496/100)*'external balance'!H495)/('normal case'!D496/'normal case'!D495))</f>
        <v>#DIV/0!</v>
      </c>
      <c r="F496" s="180" t="e">
        <f t="shared" ca="1" si="7"/>
        <v>#DIV/0!</v>
      </c>
      <c r="H496" s="180" t="e">
        <f ca="1">D496+((1+'normal case'!M496/100)/('normal case'!D496/'normal case'!D495))*'external balance'!H495</f>
        <v>#DIV/0!</v>
      </c>
    </row>
    <row r="497" spans="2:8">
      <c r="B497" s="180" t="e">
        <f ca="1">('normal case'!AC497*($K$6*'normal case'!D497*('normal case'!AC497^'external balance'!$K$4)))/'normal case'!D497</f>
        <v>#DIV/0!</v>
      </c>
      <c r="C497" s="180" t="e">
        <f ca="1">($K$5*$K$7*((1+$K$8)^'normal case'!A496)*'normal case'!AC497^$K$3)/'normal case'!D497</f>
        <v>#DIV/0!</v>
      </c>
      <c r="D497" s="116" t="e">
        <f ca="1">(C497-B497)+((('main page'!$U$38/100)*'normal case'!$D$3)/'normal case'!$D$3)</f>
        <v>#DIV/0!</v>
      </c>
      <c r="E497" s="180" t="e">
        <f ca="1">((('normal case'!M497/100)*'external balance'!H496)/('normal case'!D497/'normal case'!D496))</f>
        <v>#DIV/0!</v>
      </c>
      <c r="F497" s="180" t="e">
        <f t="shared" ref="F497:F502" ca="1" si="8">IF(ABS(D497+E497-F496)&lt;0.0000001,F496,D497+E497)</f>
        <v>#DIV/0!</v>
      </c>
      <c r="H497" s="180" t="e">
        <f ca="1">D497+((1+'normal case'!M497/100)/('normal case'!D497/'normal case'!D496))*'external balance'!H496</f>
        <v>#DIV/0!</v>
      </c>
    </row>
    <row r="498" spans="2:8">
      <c r="B498" s="180" t="e">
        <f ca="1">('normal case'!AC498*($K$6*'normal case'!D498*('normal case'!AC498^'external balance'!$K$4)))/'normal case'!D498</f>
        <v>#DIV/0!</v>
      </c>
      <c r="C498" s="180" t="e">
        <f ca="1">($K$5*$K$7*((1+$K$8)^'normal case'!A497)*'normal case'!AC498^$K$3)/'normal case'!D498</f>
        <v>#DIV/0!</v>
      </c>
      <c r="D498" s="116" t="e">
        <f ca="1">(C498-B498)+((('main page'!$U$38/100)*'normal case'!$D$3)/'normal case'!$D$3)</f>
        <v>#DIV/0!</v>
      </c>
      <c r="E498" s="180" t="e">
        <f ca="1">((('normal case'!M498/100)*'external balance'!H497)/('normal case'!D498/'normal case'!D497))</f>
        <v>#DIV/0!</v>
      </c>
      <c r="F498" s="180" t="e">
        <f t="shared" ca="1" si="8"/>
        <v>#DIV/0!</v>
      </c>
      <c r="H498" s="180" t="e">
        <f ca="1">D498+((1+'normal case'!M498/100)/('normal case'!D498/'normal case'!D497))*'external balance'!H497</f>
        <v>#DIV/0!</v>
      </c>
    </row>
    <row r="499" spans="2:8">
      <c r="B499" s="180" t="e">
        <f ca="1">('normal case'!AC499*($K$6*'normal case'!D499*('normal case'!AC499^'external balance'!$K$4)))/'normal case'!D499</f>
        <v>#DIV/0!</v>
      </c>
      <c r="C499" s="180" t="e">
        <f ca="1">($K$5*$K$7*((1+$K$8)^'normal case'!A498)*'normal case'!AC499^$K$3)/'normal case'!D499</f>
        <v>#DIV/0!</v>
      </c>
      <c r="D499" s="116" t="e">
        <f ca="1">(C499-B499)+((('main page'!$U$38/100)*'normal case'!$D$3)/'normal case'!$D$3)</f>
        <v>#DIV/0!</v>
      </c>
      <c r="E499" s="180" t="e">
        <f ca="1">((('normal case'!M499/100)*'external balance'!H498)/('normal case'!D499/'normal case'!D498))</f>
        <v>#DIV/0!</v>
      </c>
      <c r="F499" s="180" t="e">
        <f t="shared" ca="1" si="8"/>
        <v>#DIV/0!</v>
      </c>
      <c r="H499" s="180" t="e">
        <f ca="1">D499+((1+'normal case'!M499/100)/('normal case'!D499/'normal case'!D498))*'external balance'!H498</f>
        <v>#DIV/0!</v>
      </c>
    </row>
    <row r="500" spans="2:8">
      <c r="B500" s="180" t="e">
        <f ca="1">('normal case'!AC500*($K$6*'normal case'!D500*('normal case'!AC500^'external balance'!$K$4)))/'normal case'!D500</f>
        <v>#DIV/0!</v>
      </c>
      <c r="C500" s="180" t="e">
        <f ca="1">($K$5*$K$7*((1+$K$8)^'normal case'!A499)*'normal case'!AC500^$K$3)/'normal case'!D500</f>
        <v>#DIV/0!</v>
      </c>
      <c r="D500" s="116" t="e">
        <f ca="1">(C500-B500)+((('main page'!$U$38/100)*'normal case'!$D$3)/'normal case'!$D$3)</f>
        <v>#DIV/0!</v>
      </c>
      <c r="E500" s="180" t="e">
        <f ca="1">((('normal case'!M500/100)*'external balance'!H499)/('normal case'!D500/'normal case'!D499))</f>
        <v>#DIV/0!</v>
      </c>
      <c r="F500" s="180" t="e">
        <f t="shared" ca="1" si="8"/>
        <v>#DIV/0!</v>
      </c>
      <c r="H500" s="180" t="e">
        <f ca="1">D500+((1+'normal case'!M500/100)/('normal case'!D500/'normal case'!D499))*'external balance'!H499</f>
        <v>#DIV/0!</v>
      </c>
    </row>
    <row r="501" spans="2:8">
      <c r="B501" s="180" t="e">
        <f ca="1">('normal case'!AC501*($K$6*'normal case'!D501*('normal case'!AC501^'external balance'!$K$4)))/'normal case'!D501</f>
        <v>#DIV/0!</v>
      </c>
      <c r="C501" s="180" t="e">
        <f ca="1">($K$5*$K$7*((1+$K$8)^'normal case'!A500)*'normal case'!AC501^$K$3)/'normal case'!D501</f>
        <v>#DIV/0!</v>
      </c>
      <c r="D501" s="116" t="e">
        <f ca="1">(C501-B501)+((('main page'!$U$38/100)*'normal case'!$D$3)/'normal case'!$D$3)</f>
        <v>#DIV/0!</v>
      </c>
      <c r="E501" s="180" t="e">
        <f ca="1">((('normal case'!M501/100)*'external balance'!H500)/('normal case'!D501/'normal case'!D500))</f>
        <v>#DIV/0!</v>
      </c>
      <c r="F501" s="180" t="e">
        <f t="shared" ca="1" si="8"/>
        <v>#DIV/0!</v>
      </c>
      <c r="H501" s="180" t="e">
        <f ca="1">D501+((1+'normal case'!M501/100)/('normal case'!D501/'normal case'!D500))*'external balance'!H500</f>
        <v>#DIV/0!</v>
      </c>
    </row>
    <row r="502" spans="2:8">
      <c r="B502" s="180" t="e">
        <f ca="1">('normal case'!AC502*($K$6*'normal case'!D502*('normal case'!AC502^'external balance'!$K$4)))/'normal case'!D502</f>
        <v>#DIV/0!</v>
      </c>
      <c r="C502" s="180" t="e">
        <f ca="1">($K$5*$K$7*((1+$K$8)^'normal case'!A501)*'normal case'!AC502^$K$3)/'normal case'!D502</f>
        <v>#DIV/0!</v>
      </c>
      <c r="D502" s="116" t="e">
        <f ca="1">(C502-B502)+((('main page'!$U$38/100)*'normal case'!$D$3)/'normal case'!$D$3)</f>
        <v>#DIV/0!</v>
      </c>
      <c r="E502" s="180" t="e">
        <f ca="1">((('normal case'!M502/100)*'external balance'!H501)/('normal case'!D502/'normal case'!D501))</f>
        <v>#DIV/0!</v>
      </c>
      <c r="F502" s="180" t="e">
        <f t="shared" ca="1" si="8"/>
        <v>#DIV/0!</v>
      </c>
      <c r="H502" s="180" t="e">
        <f ca="1">D502+((1+'normal case'!M502/100)/('normal case'!D502/'normal case'!D501))*'external balance'!H501</f>
        <v>#DIV/0!</v>
      </c>
    </row>
    <row r="503" spans="2:8">
      <c r="F503" s="180"/>
    </row>
    <row r="504" spans="2:8">
      <c r="F504" s="180"/>
    </row>
    <row r="505" spans="2:8">
      <c r="F505" s="180"/>
    </row>
    <row r="506" spans="2:8">
      <c r="F506" s="180"/>
    </row>
    <row r="507" spans="2:8">
      <c r="F507" s="180"/>
    </row>
    <row r="508" spans="2:8">
      <c r="F508" s="180"/>
    </row>
    <row r="509" spans="2:8">
      <c r="F509" s="180"/>
    </row>
    <row r="510" spans="2:8">
      <c r="F510" s="180"/>
    </row>
  </sheetData>
  <phoneticPr fontId="3" type="noConversion"/>
  <pageMargins left="0.75" right="0.75" top="1" bottom="1" header="0" footer="0"/>
  <pageSetup paperSize="9"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16"/>
  <dimension ref="A1"/>
  <sheetViews>
    <sheetView zoomScale="70" zoomScaleNormal="70" workbookViewId="0">
      <selection activeCell="N81" sqref="N81"/>
    </sheetView>
  </sheetViews>
  <sheetFormatPr defaultColWidth="10.90625" defaultRowHeight="1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21"/>
  <dimension ref="A1:IV67"/>
  <sheetViews>
    <sheetView showGridLines="0" showRowColHeaders="0" zoomScale="91" zoomScaleNormal="91" workbookViewId="0">
      <selection activeCell="G9" sqref="G9"/>
    </sheetView>
  </sheetViews>
  <sheetFormatPr defaultColWidth="11.453125" defaultRowHeight="12.5"/>
  <cols>
    <col min="1" max="1" width="23.1796875" style="258" customWidth="1"/>
    <col min="2" max="2" width="4.26953125" style="258" customWidth="1"/>
    <col min="3" max="4" width="4" style="258" customWidth="1"/>
    <col min="5" max="17" width="11.453125" style="258"/>
    <col min="18" max="18" width="0" style="258" hidden="1" customWidth="1"/>
    <col min="19" max="16384" width="11.453125" style="258"/>
  </cols>
  <sheetData>
    <row r="1" spans="1:256" s="148" customFormat="1">
      <c r="R1" s="258"/>
      <c r="X1" s="258"/>
      <c r="Y1" s="258"/>
      <c r="Z1" s="258"/>
      <c r="AA1" s="258"/>
      <c r="AB1" s="258"/>
      <c r="AC1" s="258"/>
      <c r="AD1" s="258"/>
      <c r="AE1" s="258"/>
      <c r="AF1" s="258"/>
      <c r="AG1" s="258"/>
      <c r="AH1" s="258"/>
      <c r="AI1" s="258"/>
      <c r="AJ1" s="258"/>
      <c r="AK1" s="258"/>
      <c r="AL1" s="258"/>
      <c r="AM1" s="258"/>
      <c r="AN1" s="258"/>
      <c r="AO1" s="258"/>
      <c r="AP1" s="258"/>
      <c r="AQ1" s="258"/>
      <c r="AR1" s="258"/>
      <c r="AS1" s="258"/>
      <c r="AT1" s="258"/>
      <c r="AU1" s="258"/>
      <c r="AV1" s="258"/>
      <c r="AW1" s="258"/>
      <c r="AX1" s="258"/>
      <c r="AY1" s="258"/>
      <c r="AZ1" s="258"/>
      <c r="BA1" s="258"/>
      <c r="BB1" s="258"/>
      <c r="BC1" s="258"/>
      <c r="BD1" s="258"/>
      <c r="BE1" s="258"/>
      <c r="BF1" s="258"/>
      <c r="BG1" s="258"/>
      <c r="BH1" s="258"/>
      <c r="BI1" s="258"/>
      <c r="BJ1" s="258"/>
      <c r="BK1" s="258"/>
      <c r="BL1" s="258"/>
      <c r="BM1" s="258"/>
      <c r="BN1" s="258"/>
      <c r="BO1" s="258"/>
      <c r="BP1" s="258"/>
      <c r="BQ1" s="258"/>
      <c r="BR1" s="258"/>
      <c r="BS1" s="258"/>
      <c r="BT1" s="258"/>
      <c r="BU1" s="258"/>
      <c r="BV1" s="258"/>
      <c r="BW1" s="258"/>
      <c r="BX1" s="258"/>
      <c r="BY1" s="258"/>
      <c r="BZ1" s="258"/>
      <c r="CA1" s="258"/>
      <c r="CB1" s="258"/>
      <c r="CC1" s="258"/>
      <c r="CD1" s="258"/>
      <c r="CE1" s="258"/>
      <c r="CF1" s="258"/>
      <c r="CG1" s="258"/>
      <c r="CH1" s="258"/>
      <c r="CI1" s="258"/>
      <c r="CJ1" s="258"/>
      <c r="CK1" s="258"/>
      <c r="CL1" s="258"/>
      <c r="CM1" s="258"/>
      <c r="CN1" s="258"/>
      <c r="CO1" s="258"/>
      <c r="CP1" s="258"/>
      <c r="CQ1" s="258"/>
      <c r="CR1" s="258"/>
      <c r="CS1" s="258"/>
      <c r="CT1" s="258"/>
      <c r="CU1" s="258"/>
      <c r="CV1" s="258"/>
      <c r="CW1" s="258"/>
      <c r="CX1" s="258"/>
      <c r="CY1" s="258"/>
      <c r="CZ1" s="258"/>
      <c r="DA1" s="258"/>
      <c r="DB1" s="258"/>
      <c r="DC1" s="258"/>
      <c r="DD1" s="258"/>
      <c r="DE1" s="258"/>
      <c r="DF1" s="258"/>
      <c r="DG1" s="258"/>
      <c r="DH1" s="258"/>
      <c r="DI1" s="258"/>
      <c r="DJ1" s="258"/>
      <c r="DK1" s="258"/>
      <c r="DL1" s="258"/>
      <c r="DM1" s="258"/>
      <c r="DN1" s="258"/>
      <c r="DO1" s="258"/>
      <c r="DP1" s="258"/>
      <c r="DQ1" s="258"/>
      <c r="DR1" s="258"/>
      <c r="DS1" s="258"/>
      <c r="DT1" s="258"/>
      <c r="DU1" s="258"/>
      <c r="DV1" s="258"/>
      <c r="DW1" s="258"/>
      <c r="DX1" s="258"/>
      <c r="DY1" s="258"/>
      <c r="DZ1" s="258"/>
      <c r="EA1" s="258"/>
      <c r="EB1" s="258"/>
      <c r="EC1" s="258"/>
      <c r="ED1" s="258"/>
      <c r="EE1" s="258"/>
      <c r="EF1" s="258"/>
      <c r="EG1" s="258"/>
      <c r="EH1" s="258"/>
      <c r="EI1" s="258"/>
      <c r="EJ1" s="258"/>
      <c r="EK1" s="258"/>
      <c r="EL1" s="258"/>
      <c r="EM1" s="258"/>
      <c r="EN1" s="258"/>
      <c r="EO1" s="258"/>
      <c r="EP1" s="258"/>
      <c r="EQ1" s="258"/>
      <c r="ER1" s="258"/>
      <c r="ES1" s="258"/>
      <c r="ET1" s="258"/>
      <c r="EU1" s="258"/>
      <c r="EV1" s="258"/>
      <c r="EW1" s="258"/>
      <c r="EX1" s="258"/>
      <c r="EY1" s="258"/>
      <c r="EZ1" s="258"/>
      <c r="FA1" s="258"/>
      <c r="FB1" s="258"/>
      <c r="FC1" s="258"/>
      <c r="FD1" s="258"/>
      <c r="FE1" s="258"/>
      <c r="FF1" s="258"/>
      <c r="FG1" s="258"/>
      <c r="FH1" s="258"/>
      <c r="FI1" s="258"/>
      <c r="FJ1" s="258"/>
      <c r="FK1" s="258"/>
      <c r="FL1" s="258"/>
      <c r="FM1" s="258"/>
      <c r="FN1" s="258"/>
      <c r="FO1" s="258"/>
      <c r="FP1" s="258"/>
      <c r="FQ1" s="258"/>
      <c r="FR1" s="258"/>
      <c r="FS1" s="258"/>
      <c r="FT1" s="258"/>
      <c r="FU1" s="258"/>
      <c r="FV1" s="258"/>
      <c r="FW1" s="258"/>
      <c r="FX1" s="258"/>
      <c r="FY1" s="258"/>
      <c r="FZ1" s="258"/>
      <c r="GA1" s="258"/>
      <c r="GB1" s="258"/>
      <c r="GC1" s="258"/>
      <c r="GD1" s="258"/>
      <c r="GE1" s="258"/>
      <c r="GF1" s="258"/>
      <c r="GG1" s="258"/>
      <c r="GH1" s="258"/>
      <c r="GI1" s="258"/>
      <c r="GJ1" s="258"/>
      <c r="GK1" s="258"/>
      <c r="GL1" s="258"/>
      <c r="GM1" s="258"/>
      <c r="GN1" s="258"/>
      <c r="GO1" s="258"/>
      <c r="GP1" s="258"/>
      <c r="GQ1" s="258"/>
      <c r="GR1" s="258"/>
      <c r="GS1" s="258"/>
      <c r="GT1" s="258"/>
      <c r="GU1" s="258"/>
      <c r="GV1" s="258"/>
      <c r="GW1" s="258"/>
      <c r="GX1" s="258"/>
      <c r="GY1" s="258"/>
      <c r="GZ1" s="258"/>
      <c r="HA1" s="258"/>
      <c r="HB1" s="258"/>
      <c r="HC1" s="258"/>
      <c r="HD1" s="258"/>
      <c r="HE1" s="258"/>
      <c r="HF1" s="258"/>
      <c r="HG1" s="258"/>
      <c r="HH1" s="258"/>
      <c r="HI1" s="258"/>
      <c r="HJ1" s="258"/>
      <c r="HK1" s="258"/>
      <c r="HL1" s="258"/>
      <c r="HM1" s="258"/>
      <c r="HN1" s="258"/>
      <c r="HO1" s="258"/>
      <c r="HP1" s="258"/>
      <c r="HQ1" s="258"/>
      <c r="HR1" s="258"/>
      <c r="HS1" s="258"/>
      <c r="HT1" s="258"/>
      <c r="HU1" s="258"/>
      <c r="HV1" s="258"/>
      <c r="HW1" s="258"/>
      <c r="HX1" s="258"/>
      <c r="HY1" s="258"/>
      <c r="HZ1" s="258"/>
      <c r="IA1" s="258"/>
      <c r="IB1" s="258"/>
      <c r="IC1" s="258"/>
      <c r="ID1" s="258"/>
      <c r="IE1" s="258"/>
      <c r="IF1" s="258"/>
      <c r="IG1" s="258"/>
      <c r="IH1" s="258"/>
      <c r="II1" s="258"/>
      <c r="IJ1" s="258"/>
      <c r="IK1" s="258"/>
      <c r="IL1" s="258"/>
      <c r="IM1" s="258"/>
      <c r="IN1" s="258"/>
      <c r="IO1" s="258"/>
      <c r="IP1" s="258"/>
      <c r="IQ1" s="258"/>
      <c r="IR1" s="258"/>
      <c r="IS1" s="258"/>
      <c r="IT1" s="258"/>
      <c r="IU1" s="258"/>
      <c r="IV1" s="258"/>
    </row>
    <row r="2" spans="1:256" s="148" customFormat="1">
      <c r="R2" s="258"/>
      <c r="X2" s="258"/>
      <c r="Y2" s="258"/>
      <c r="Z2" s="258"/>
      <c r="AA2" s="258"/>
      <c r="AB2" s="258"/>
      <c r="AC2" s="258"/>
      <c r="AD2" s="258"/>
      <c r="AE2" s="258"/>
      <c r="AF2" s="258"/>
      <c r="AG2" s="258"/>
      <c r="AH2" s="258"/>
      <c r="AI2" s="258"/>
      <c r="AJ2" s="258"/>
      <c r="AK2" s="258"/>
      <c r="AL2" s="258"/>
      <c r="AM2" s="258"/>
      <c r="AN2" s="258"/>
      <c r="AO2" s="258"/>
      <c r="AP2" s="258"/>
      <c r="AQ2" s="258"/>
      <c r="AR2" s="258"/>
      <c r="AS2" s="258"/>
      <c r="AT2" s="258"/>
      <c r="AU2" s="258"/>
      <c r="AV2" s="258"/>
      <c r="AW2" s="258"/>
      <c r="AX2" s="258"/>
      <c r="AY2" s="258"/>
      <c r="AZ2" s="258"/>
      <c r="BA2" s="258"/>
      <c r="BB2" s="258"/>
      <c r="BC2" s="258"/>
      <c r="BD2" s="258"/>
      <c r="BE2" s="258"/>
      <c r="BF2" s="258"/>
      <c r="BG2" s="258"/>
      <c r="BH2" s="258"/>
      <c r="BI2" s="258"/>
      <c r="BJ2" s="258"/>
      <c r="BK2" s="258"/>
      <c r="BL2" s="258"/>
      <c r="BM2" s="258"/>
      <c r="BN2" s="258"/>
      <c r="BO2" s="258"/>
      <c r="BP2" s="258"/>
      <c r="BQ2" s="258"/>
      <c r="BR2" s="258"/>
      <c r="BS2" s="258"/>
      <c r="BT2" s="258"/>
      <c r="BU2" s="258"/>
      <c r="BV2" s="258"/>
      <c r="BW2" s="258"/>
      <c r="BX2" s="258"/>
      <c r="BY2" s="258"/>
      <c r="BZ2" s="258"/>
      <c r="CA2" s="258"/>
      <c r="CB2" s="258"/>
      <c r="CC2" s="258"/>
      <c r="CD2" s="258"/>
      <c r="CE2" s="258"/>
      <c r="CF2" s="258"/>
      <c r="CG2" s="258"/>
      <c r="CH2" s="258"/>
      <c r="CI2" s="258"/>
      <c r="CJ2" s="258"/>
      <c r="CK2" s="258"/>
      <c r="CL2" s="258"/>
      <c r="CM2" s="258"/>
      <c r="CN2" s="258"/>
      <c r="CO2" s="258"/>
      <c r="CP2" s="258"/>
      <c r="CQ2" s="258"/>
      <c r="CR2" s="258"/>
      <c r="CS2" s="258"/>
      <c r="CT2" s="258"/>
      <c r="CU2" s="258"/>
      <c r="CV2" s="258"/>
      <c r="CW2" s="258"/>
      <c r="CX2" s="258"/>
      <c r="CY2" s="258"/>
      <c r="CZ2" s="258"/>
      <c r="DA2" s="258"/>
      <c r="DB2" s="258"/>
      <c r="DC2" s="258"/>
      <c r="DD2" s="258"/>
      <c r="DE2" s="258"/>
      <c r="DF2" s="258"/>
      <c r="DG2" s="258"/>
      <c r="DH2" s="258"/>
      <c r="DI2" s="258"/>
      <c r="DJ2" s="258"/>
      <c r="DK2" s="258"/>
      <c r="DL2" s="258"/>
      <c r="DM2" s="258"/>
      <c r="DN2" s="258"/>
      <c r="DO2" s="258"/>
      <c r="DP2" s="258"/>
      <c r="DQ2" s="258"/>
      <c r="DR2" s="258"/>
      <c r="DS2" s="258"/>
      <c r="DT2" s="258"/>
      <c r="DU2" s="258"/>
      <c r="DV2" s="258"/>
      <c r="DW2" s="258"/>
      <c r="DX2" s="258"/>
      <c r="DY2" s="258"/>
      <c r="DZ2" s="258"/>
      <c r="EA2" s="258"/>
      <c r="EB2" s="258"/>
      <c r="EC2" s="258"/>
      <c r="ED2" s="258"/>
      <c r="EE2" s="258"/>
      <c r="EF2" s="258"/>
      <c r="EG2" s="258"/>
      <c r="EH2" s="258"/>
      <c r="EI2" s="258"/>
      <c r="EJ2" s="258"/>
      <c r="EK2" s="258"/>
      <c r="EL2" s="258"/>
      <c r="EM2" s="258"/>
      <c r="EN2" s="258"/>
      <c r="EO2" s="258"/>
      <c r="EP2" s="258"/>
      <c r="EQ2" s="258"/>
      <c r="ER2" s="258"/>
      <c r="ES2" s="258"/>
      <c r="ET2" s="258"/>
      <c r="EU2" s="258"/>
      <c r="EV2" s="258"/>
      <c r="EW2" s="258"/>
      <c r="EX2" s="258"/>
      <c r="EY2" s="258"/>
      <c r="EZ2" s="258"/>
      <c r="FA2" s="258"/>
      <c r="FB2" s="258"/>
      <c r="FC2" s="258"/>
      <c r="FD2" s="258"/>
      <c r="FE2" s="258"/>
      <c r="FF2" s="258"/>
      <c r="FG2" s="258"/>
      <c r="FH2" s="258"/>
      <c r="FI2" s="258"/>
      <c r="FJ2" s="258"/>
      <c r="FK2" s="258"/>
      <c r="FL2" s="258"/>
      <c r="FM2" s="258"/>
      <c r="FN2" s="258"/>
      <c r="FO2" s="258"/>
      <c r="FP2" s="258"/>
      <c r="FQ2" s="258"/>
      <c r="FR2" s="258"/>
      <c r="FS2" s="258"/>
      <c r="FT2" s="258"/>
      <c r="FU2" s="258"/>
      <c r="FV2" s="258"/>
      <c r="FW2" s="258"/>
      <c r="FX2" s="258"/>
      <c r="FY2" s="258"/>
      <c r="FZ2" s="258"/>
      <c r="GA2" s="258"/>
      <c r="GB2" s="258"/>
      <c r="GC2" s="258"/>
      <c r="GD2" s="258"/>
      <c r="GE2" s="258"/>
      <c r="GF2" s="258"/>
      <c r="GG2" s="258"/>
      <c r="GH2" s="258"/>
      <c r="GI2" s="258"/>
      <c r="GJ2" s="258"/>
      <c r="GK2" s="258"/>
      <c r="GL2" s="258"/>
      <c r="GM2" s="258"/>
      <c r="GN2" s="258"/>
      <c r="GO2" s="258"/>
      <c r="GP2" s="258"/>
      <c r="GQ2" s="258"/>
      <c r="GR2" s="258"/>
      <c r="GS2" s="258"/>
      <c r="GT2" s="258"/>
      <c r="GU2" s="258"/>
      <c r="GV2" s="258"/>
      <c r="GW2" s="258"/>
      <c r="GX2" s="258"/>
      <c r="GY2" s="258"/>
      <c r="GZ2" s="258"/>
      <c r="HA2" s="258"/>
      <c r="HB2" s="258"/>
      <c r="HC2" s="258"/>
      <c r="HD2" s="258"/>
      <c r="HE2" s="258"/>
      <c r="HF2" s="258"/>
      <c r="HG2" s="258"/>
      <c r="HH2" s="258"/>
      <c r="HI2" s="258"/>
      <c r="HJ2" s="258"/>
      <c r="HK2" s="258"/>
      <c r="HL2" s="258"/>
      <c r="HM2" s="258"/>
      <c r="HN2" s="258"/>
      <c r="HO2" s="258"/>
      <c r="HP2" s="258"/>
      <c r="HQ2" s="258"/>
      <c r="HR2" s="258"/>
      <c r="HS2" s="258"/>
      <c r="HT2" s="258"/>
      <c r="HU2" s="258"/>
      <c r="HV2" s="258"/>
      <c r="HW2" s="258"/>
      <c r="HX2" s="258"/>
      <c r="HY2" s="258"/>
      <c r="HZ2" s="258"/>
      <c r="IA2" s="258"/>
      <c r="IB2" s="258"/>
      <c r="IC2" s="258"/>
      <c r="ID2" s="258"/>
      <c r="IE2" s="258"/>
      <c r="IF2" s="258"/>
      <c r="IG2" s="258"/>
      <c r="IH2" s="258"/>
      <c r="II2" s="258"/>
      <c r="IJ2" s="258"/>
      <c r="IK2" s="258"/>
      <c r="IL2" s="258"/>
      <c r="IM2" s="258"/>
      <c r="IN2" s="258"/>
      <c r="IO2" s="258"/>
      <c r="IP2" s="258"/>
      <c r="IQ2" s="258"/>
      <c r="IR2" s="258"/>
      <c r="IS2" s="258"/>
      <c r="IT2" s="258"/>
      <c r="IU2" s="258"/>
      <c r="IV2" s="258"/>
    </row>
    <row r="3" spans="1:256" s="148" customFormat="1">
      <c r="R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row>
    <row r="4" spans="1:256" s="148" customFormat="1">
      <c r="R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c r="AU4" s="258"/>
      <c r="AV4" s="258"/>
      <c r="AW4" s="258"/>
      <c r="AX4" s="258"/>
      <c r="AY4" s="258"/>
      <c r="AZ4" s="258"/>
      <c r="BA4" s="258"/>
      <c r="BB4" s="258"/>
      <c r="BC4" s="258"/>
      <c r="BD4" s="258"/>
      <c r="BE4" s="258"/>
      <c r="BF4" s="258"/>
      <c r="BG4" s="258"/>
      <c r="BH4" s="258"/>
      <c r="BI4" s="258"/>
      <c r="BJ4" s="258"/>
      <c r="BK4" s="258"/>
      <c r="BL4" s="258"/>
      <c r="BM4" s="258"/>
      <c r="BN4" s="258"/>
      <c r="BO4" s="258"/>
      <c r="BP4" s="258"/>
      <c r="BQ4" s="258"/>
      <c r="BR4" s="258"/>
      <c r="BS4" s="258"/>
      <c r="BT4" s="258"/>
      <c r="BU4" s="258"/>
      <c r="BV4" s="258"/>
      <c r="BW4" s="258"/>
      <c r="BX4" s="258"/>
      <c r="BY4" s="258"/>
      <c r="BZ4" s="258"/>
      <c r="CA4" s="258"/>
      <c r="CB4" s="258"/>
      <c r="CC4" s="258"/>
      <c r="CD4" s="258"/>
      <c r="CE4" s="258"/>
      <c r="CF4" s="258"/>
      <c r="CG4" s="258"/>
      <c r="CH4" s="258"/>
      <c r="CI4" s="258"/>
      <c r="CJ4" s="258"/>
      <c r="CK4" s="258"/>
      <c r="CL4" s="258"/>
      <c r="CM4" s="258"/>
      <c r="CN4" s="258"/>
      <c r="CO4" s="258"/>
      <c r="CP4" s="258"/>
      <c r="CQ4" s="258"/>
      <c r="CR4" s="258"/>
      <c r="CS4" s="258"/>
      <c r="CT4" s="258"/>
      <c r="CU4" s="258"/>
      <c r="CV4" s="258"/>
      <c r="CW4" s="258"/>
      <c r="CX4" s="258"/>
      <c r="CY4" s="258"/>
      <c r="CZ4" s="258"/>
      <c r="DA4" s="258"/>
      <c r="DB4" s="258"/>
      <c r="DC4" s="258"/>
      <c r="DD4" s="258"/>
      <c r="DE4" s="258"/>
      <c r="DF4" s="258"/>
      <c r="DG4" s="258"/>
      <c r="DH4" s="258"/>
      <c r="DI4" s="258"/>
      <c r="DJ4" s="258"/>
      <c r="DK4" s="258"/>
      <c r="DL4" s="258"/>
      <c r="DM4" s="258"/>
      <c r="DN4" s="258"/>
      <c r="DO4" s="258"/>
      <c r="DP4" s="258"/>
      <c r="DQ4" s="258"/>
      <c r="DR4" s="258"/>
      <c r="DS4" s="258"/>
      <c r="DT4" s="258"/>
      <c r="DU4" s="258"/>
      <c r="DV4" s="258"/>
      <c r="DW4" s="258"/>
      <c r="DX4" s="258"/>
      <c r="DY4" s="258"/>
      <c r="DZ4" s="258"/>
      <c r="EA4" s="258"/>
      <c r="EB4" s="258"/>
      <c r="EC4" s="258"/>
      <c r="ED4" s="258"/>
      <c r="EE4" s="258"/>
      <c r="EF4" s="258"/>
      <c r="EG4" s="258"/>
      <c r="EH4" s="258"/>
      <c r="EI4" s="258"/>
      <c r="EJ4" s="258"/>
      <c r="EK4" s="258"/>
      <c r="EL4" s="258"/>
      <c r="EM4" s="258"/>
      <c r="EN4" s="258"/>
      <c r="EO4" s="258"/>
      <c r="EP4" s="258"/>
      <c r="EQ4" s="258"/>
      <c r="ER4" s="258"/>
      <c r="ES4" s="258"/>
      <c r="ET4" s="258"/>
      <c r="EU4" s="258"/>
      <c r="EV4" s="258"/>
      <c r="EW4" s="258"/>
      <c r="EX4" s="258"/>
      <c r="EY4" s="258"/>
      <c r="EZ4" s="258"/>
      <c r="FA4" s="258"/>
      <c r="FB4" s="258"/>
      <c r="FC4" s="258"/>
      <c r="FD4" s="258"/>
      <c r="FE4" s="258"/>
      <c r="FF4" s="258"/>
      <c r="FG4" s="258"/>
      <c r="FH4" s="258"/>
      <c r="FI4" s="258"/>
      <c r="FJ4" s="258"/>
      <c r="FK4" s="258"/>
      <c r="FL4" s="258"/>
      <c r="FM4" s="258"/>
      <c r="FN4" s="258"/>
      <c r="FO4" s="258"/>
      <c r="FP4" s="258"/>
      <c r="FQ4" s="258"/>
      <c r="FR4" s="258"/>
      <c r="FS4" s="258"/>
      <c r="FT4" s="258"/>
      <c r="FU4" s="258"/>
      <c r="FV4" s="258"/>
      <c r="FW4" s="258"/>
      <c r="FX4" s="258"/>
      <c r="FY4" s="258"/>
      <c r="FZ4" s="258"/>
      <c r="GA4" s="258"/>
      <c r="GB4" s="258"/>
      <c r="GC4" s="258"/>
      <c r="GD4" s="258"/>
      <c r="GE4" s="258"/>
      <c r="GF4" s="258"/>
      <c r="GG4" s="258"/>
      <c r="GH4" s="258"/>
      <c r="GI4" s="258"/>
      <c r="GJ4" s="258"/>
      <c r="GK4" s="258"/>
      <c r="GL4" s="258"/>
      <c r="GM4" s="258"/>
      <c r="GN4" s="258"/>
      <c r="GO4" s="258"/>
      <c r="GP4" s="258"/>
      <c r="GQ4" s="258"/>
      <c r="GR4" s="258"/>
      <c r="GS4" s="258"/>
      <c r="GT4" s="258"/>
      <c r="GU4" s="258"/>
      <c r="GV4" s="258"/>
      <c r="GW4" s="258"/>
      <c r="GX4" s="258"/>
      <c r="GY4" s="258"/>
      <c r="GZ4" s="258"/>
      <c r="HA4" s="258"/>
      <c r="HB4" s="258"/>
      <c r="HC4" s="258"/>
      <c r="HD4" s="258"/>
      <c r="HE4" s="258"/>
      <c r="HF4" s="258"/>
      <c r="HG4" s="258"/>
      <c r="HH4" s="258"/>
      <c r="HI4" s="258"/>
      <c r="HJ4" s="258"/>
      <c r="HK4" s="258"/>
      <c r="HL4" s="258"/>
      <c r="HM4" s="258"/>
      <c r="HN4" s="258"/>
      <c r="HO4" s="258"/>
      <c r="HP4" s="258"/>
      <c r="HQ4" s="258"/>
      <c r="HR4" s="258"/>
      <c r="HS4" s="258"/>
      <c r="HT4" s="258"/>
      <c r="HU4" s="258"/>
      <c r="HV4" s="258"/>
      <c r="HW4" s="258"/>
      <c r="HX4" s="258"/>
      <c r="HY4" s="258"/>
      <c r="HZ4" s="258"/>
      <c r="IA4" s="258"/>
      <c r="IB4" s="258"/>
      <c r="IC4" s="258"/>
      <c r="ID4" s="258"/>
      <c r="IE4" s="258"/>
      <c r="IF4" s="258"/>
      <c r="IG4" s="258"/>
      <c r="IH4" s="258"/>
      <c r="II4" s="258"/>
      <c r="IJ4" s="258"/>
      <c r="IK4" s="258"/>
      <c r="IL4" s="258"/>
      <c r="IM4" s="258"/>
      <c r="IN4" s="258"/>
      <c r="IO4" s="258"/>
      <c r="IP4" s="258"/>
      <c r="IQ4" s="258"/>
      <c r="IR4" s="258"/>
      <c r="IS4" s="258"/>
      <c r="IT4" s="258"/>
      <c r="IU4" s="258"/>
      <c r="IV4" s="258"/>
    </row>
    <row r="5" spans="1:256" s="148" customFormat="1">
      <c r="R5" s="258"/>
      <c r="X5" s="258"/>
      <c r="Y5" s="258"/>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c r="CW5" s="258"/>
      <c r="CX5" s="258"/>
      <c r="CY5" s="258"/>
      <c r="CZ5" s="258"/>
      <c r="DA5" s="258"/>
      <c r="DB5" s="258"/>
      <c r="DC5" s="258"/>
      <c r="DD5" s="258"/>
      <c r="DE5" s="258"/>
      <c r="DF5" s="258"/>
      <c r="DG5" s="258"/>
      <c r="DH5" s="258"/>
      <c r="DI5" s="258"/>
      <c r="DJ5" s="258"/>
      <c r="DK5" s="258"/>
      <c r="DL5" s="258"/>
      <c r="DM5" s="258"/>
      <c r="DN5" s="258"/>
      <c r="DO5" s="258"/>
      <c r="DP5" s="258"/>
      <c r="DQ5" s="258"/>
      <c r="DR5" s="258"/>
      <c r="DS5" s="258"/>
      <c r="DT5" s="258"/>
      <c r="DU5" s="258"/>
      <c r="DV5" s="258"/>
      <c r="DW5" s="258"/>
      <c r="DX5" s="258"/>
      <c r="DY5" s="258"/>
      <c r="DZ5" s="258"/>
      <c r="EA5" s="258"/>
      <c r="EB5" s="258"/>
      <c r="EC5" s="258"/>
      <c r="ED5" s="258"/>
      <c r="EE5" s="258"/>
      <c r="EF5" s="258"/>
      <c r="EG5" s="258"/>
      <c r="EH5" s="258"/>
      <c r="EI5" s="258"/>
      <c r="EJ5" s="258"/>
      <c r="EK5" s="258"/>
      <c r="EL5" s="258"/>
      <c r="EM5" s="258"/>
      <c r="EN5" s="258"/>
      <c r="EO5" s="258"/>
      <c r="EP5" s="258"/>
      <c r="EQ5" s="258"/>
      <c r="ER5" s="258"/>
      <c r="ES5" s="258"/>
      <c r="ET5" s="258"/>
      <c r="EU5" s="258"/>
      <c r="EV5" s="258"/>
      <c r="EW5" s="258"/>
      <c r="EX5" s="258"/>
      <c r="EY5" s="258"/>
      <c r="EZ5" s="258"/>
      <c r="FA5" s="258"/>
      <c r="FB5" s="258"/>
      <c r="FC5" s="258"/>
      <c r="FD5" s="258"/>
      <c r="FE5" s="258"/>
      <c r="FF5" s="258"/>
      <c r="FG5" s="258"/>
      <c r="FH5" s="258"/>
      <c r="FI5" s="258"/>
      <c r="FJ5" s="258"/>
      <c r="FK5" s="258"/>
      <c r="FL5" s="258"/>
      <c r="FM5" s="258"/>
      <c r="FN5" s="258"/>
      <c r="FO5" s="258"/>
      <c r="FP5" s="258"/>
      <c r="FQ5" s="258"/>
      <c r="FR5" s="258"/>
      <c r="FS5" s="258"/>
      <c r="FT5" s="258"/>
      <c r="FU5" s="258"/>
      <c r="FV5" s="258"/>
      <c r="FW5" s="258"/>
      <c r="FX5" s="258"/>
      <c r="FY5" s="258"/>
      <c r="FZ5" s="258"/>
      <c r="GA5" s="258"/>
      <c r="GB5" s="258"/>
      <c r="GC5" s="258"/>
      <c r="GD5" s="258"/>
      <c r="GE5" s="258"/>
      <c r="GF5" s="258"/>
      <c r="GG5" s="258"/>
      <c r="GH5" s="258"/>
      <c r="GI5" s="258"/>
      <c r="GJ5" s="258"/>
      <c r="GK5" s="258"/>
      <c r="GL5" s="258"/>
      <c r="GM5" s="258"/>
      <c r="GN5" s="258"/>
      <c r="GO5" s="258"/>
      <c r="GP5" s="258"/>
      <c r="GQ5" s="258"/>
      <c r="GR5" s="258"/>
      <c r="GS5" s="258"/>
      <c r="GT5" s="258"/>
      <c r="GU5" s="258"/>
      <c r="GV5" s="258"/>
      <c r="GW5" s="258"/>
      <c r="GX5" s="258"/>
      <c r="GY5" s="258"/>
      <c r="GZ5" s="258"/>
      <c r="HA5" s="258"/>
      <c r="HB5" s="258"/>
      <c r="HC5" s="258"/>
      <c r="HD5" s="258"/>
      <c r="HE5" s="258"/>
      <c r="HF5" s="258"/>
      <c r="HG5" s="258"/>
      <c r="HH5" s="258"/>
      <c r="HI5" s="258"/>
      <c r="HJ5" s="258"/>
      <c r="HK5" s="258"/>
      <c r="HL5" s="258"/>
      <c r="HM5" s="258"/>
      <c r="HN5" s="258"/>
      <c r="HO5" s="258"/>
      <c r="HP5" s="258"/>
      <c r="HQ5" s="258"/>
      <c r="HR5" s="258"/>
      <c r="HS5" s="258"/>
      <c r="HT5" s="258"/>
      <c r="HU5" s="258"/>
      <c r="HV5" s="258"/>
      <c r="HW5" s="258"/>
      <c r="HX5" s="258"/>
      <c r="HY5" s="258"/>
      <c r="HZ5" s="258"/>
      <c r="IA5" s="258"/>
      <c r="IB5" s="258"/>
      <c r="IC5" s="258"/>
      <c r="ID5" s="258"/>
      <c r="IE5" s="258"/>
      <c r="IF5" s="258"/>
      <c r="IG5" s="258"/>
      <c r="IH5" s="258"/>
      <c r="II5" s="258"/>
      <c r="IJ5" s="258"/>
      <c r="IK5" s="258"/>
      <c r="IL5" s="258"/>
      <c r="IM5" s="258"/>
      <c r="IN5" s="258"/>
      <c r="IO5" s="258"/>
      <c r="IP5" s="258"/>
      <c r="IQ5" s="258"/>
      <c r="IR5" s="258"/>
      <c r="IS5" s="258"/>
      <c r="IT5" s="258"/>
      <c r="IU5" s="258"/>
      <c r="IV5" s="258"/>
    </row>
    <row r="6" spans="1:256" s="148" customFormat="1">
      <c r="R6" s="258"/>
      <c r="X6" s="258"/>
      <c r="Y6" s="258"/>
      <c r="Z6" s="258"/>
      <c r="AA6" s="258"/>
      <c r="AB6" s="258"/>
      <c r="AC6" s="258"/>
      <c r="AD6" s="258"/>
      <c r="AE6" s="258"/>
      <c r="AF6" s="258"/>
      <c r="AG6" s="258"/>
      <c r="AH6" s="258"/>
      <c r="AI6" s="258"/>
      <c r="AJ6" s="258"/>
      <c r="AK6" s="258"/>
      <c r="AL6" s="258"/>
      <c r="AM6" s="258"/>
      <c r="AN6" s="258"/>
      <c r="AO6" s="258"/>
      <c r="AP6" s="258"/>
      <c r="AQ6" s="258"/>
      <c r="AR6" s="258"/>
      <c r="AS6" s="258"/>
      <c r="AT6" s="258"/>
      <c r="AU6" s="258"/>
      <c r="AV6" s="258"/>
      <c r="AW6" s="258"/>
      <c r="AX6" s="258"/>
      <c r="AY6" s="258"/>
      <c r="AZ6" s="258"/>
      <c r="BA6" s="258"/>
      <c r="BB6" s="258"/>
      <c r="BC6" s="258"/>
      <c r="BD6" s="258"/>
      <c r="BE6" s="258"/>
      <c r="BF6" s="258"/>
      <c r="BG6" s="258"/>
      <c r="BH6" s="258"/>
      <c r="BI6" s="258"/>
      <c r="BJ6" s="258"/>
      <c r="BK6" s="258"/>
      <c r="BL6" s="258"/>
      <c r="BM6" s="258"/>
      <c r="BN6" s="258"/>
      <c r="BO6" s="258"/>
      <c r="BP6" s="258"/>
      <c r="BQ6" s="258"/>
      <c r="BR6" s="258"/>
      <c r="BS6" s="258"/>
      <c r="BT6" s="258"/>
      <c r="BU6" s="258"/>
      <c r="BV6" s="258"/>
      <c r="BW6" s="258"/>
      <c r="BX6" s="258"/>
      <c r="BY6" s="258"/>
      <c r="BZ6" s="258"/>
      <c r="CA6" s="258"/>
      <c r="CB6" s="258"/>
      <c r="CC6" s="258"/>
      <c r="CD6" s="258"/>
      <c r="CE6" s="258"/>
      <c r="CF6" s="258"/>
      <c r="CG6" s="258"/>
      <c r="CH6" s="258"/>
      <c r="CI6" s="258"/>
      <c r="CJ6" s="258"/>
      <c r="CK6" s="258"/>
      <c r="CL6" s="258"/>
      <c r="CM6" s="258"/>
      <c r="CN6" s="258"/>
      <c r="CO6" s="258"/>
      <c r="CP6" s="258"/>
      <c r="CQ6" s="258"/>
      <c r="CR6" s="258"/>
      <c r="CS6" s="258"/>
      <c r="CT6" s="258"/>
      <c r="CU6" s="258"/>
      <c r="CV6" s="258"/>
      <c r="CW6" s="258"/>
      <c r="CX6" s="258"/>
      <c r="CY6" s="258"/>
      <c r="CZ6" s="258"/>
      <c r="DA6" s="258"/>
      <c r="DB6" s="258"/>
      <c r="DC6" s="258"/>
      <c r="DD6" s="258"/>
      <c r="DE6" s="258"/>
      <c r="DF6" s="258"/>
      <c r="DG6" s="258"/>
      <c r="DH6" s="258"/>
      <c r="DI6" s="258"/>
      <c r="DJ6" s="258"/>
      <c r="DK6" s="258"/>
      <c r="DL6" s="258"/>
      <c r="DM6" s="258"/>
      <c r="DN6" s="258"/>
      <c r="DO6" s="258"/>
      <c r="DP6" s="258"/>
      <c r="DQ6" s="258"/>
      <c r="DR6" s="258"/>
      <c r="DS6" s="258"/>
      <c r="DT6" s="258"/>
      <c r="DU6" s="258"/>
      <c r="DV6" s="258"/>
      <c r="DW6" s="258"/>
      <c r="DX6" s="258"/>
      <c r="DY6" s="258"/>
      <c r="DZ6" s="258"/>
      <c r="EA6" s="258"/>
      <c r="EB6" s="258"/>
      <c r="EC6" s="258"/>
      <c r="ED6" s="258"/>
      <c r="EE6" s="258"/>
      <c r="EF6" s="258"/>
      <c r="EG6" s="258"/>
      <c r="EH6" s="258"/>
      <c r="EI6" s="258"/>
      <c r="EJ6" s="258"/>
      <c r="EK6" s="258"/>
      <c r="EL6" s="258"/>
      <c r="EM6" s="258"/>
      <c r="EN6" s="258"/>
      <c r="EO6" s="258"/>
      <c r="EP6" s="258"/>
      <c r="EQ6" s="258"/>
      <c r="ER6" s="258"/>
      <c r="ES6" s="258"/>
      <c r="ET6" s="258"/>
      <c r="EU6" s="258"/>
      <c r="EV6" s="258"/>
      <c r="EW6" s="258"/>
      <c r="EX6" s="258"/>
      <c r="EY6" s="258"/>
      <c r="EZ6" s="258"/>
      <c r="FA6" s="258"/>
      <c r="FB6" s="258"/>
      <c r="FC6" s="258"/>
      <c r="FD6" s="258"/>
      <c r="FE6" s="258"/>
      <c r="FF6" s="258"/>
      <c r="FG6" s="258"/>
      <c r="FH6" s="258"/>
      <c r="FI6" s="258"/>
      <c r="FJ6" s="258"/>
      <c r="FK6" s="258"/>
      <c r="FL6" s="258"/>
      <c r="FM6" s="258"/>
      <c r="FN6" s="258"/>
      <c r="FO6" s="258"/>
      <c r="FP6" s="258"/>
      <c r="FQ6" s="258"/>
      <c r="FR6" s="258"/>
      <c r="FS6" s="258"/>
      <c r="FT6" s="258"/>
      <c r="FU6" s="258"/>
      <c r="FV6" s="258"/>
      <c r="FW6" s="258"/>
      <c r="FX6" s="258"/>
      <c r="FY6" s="258"/>
      <c r="FZ6" s="258"/>
      <c r="GA6" s="258"/>
      <c r="GB6" s="258"/>
      <c r="GC6" s="258"/>
      <c r="GD6" s="258"/>
      <c r="GE6" s="258"/>
      <c r="GF6" s="258"/>
      <c r="GG6" s="258"/>
      <c r="GH6" s="258"/>
      <c r="GI6" s="258"/>
      <c r="GJ6" s="258"/>
      <c r="GK6" s="258"/>
      <c r="GL6" s="258"/>
      <c r="GM6" s="258"/>
      <c r="GN6" s="258"/>
      <c r="GO6" s="258"/>
      <c r="GP6" s="258"/>
      <c r="GQ6" s="258"/>
      <c r="GR6" s="258"/>
      <c r="GS6" s="258"/>
      <c r="GT6" s="258"/>
      <c r="GU6" s="258"/>
      <c r="GV6" s="258"/>
      <c r="GW6" s="258"/>
      <c r="GX6" s="258"/>
      <c r="GY6" s="258"/>
      <c r="GZ6" s="258"/>
      <c r="HA6" s="258"/>
      <c r="HB6" s="258"/>
      <c r="HC6" s="258"/>
      <c r="HD6" s="258"/>
      <c r="HE6" s="258"/>
      <c r="HF6" s="258"/>
      <c r="HG6" s="258"/>
      <c r="HH6" s="258"/>
      <c r="HI6" s="258"/>
      <c r="HJ6" s="258"/>
      <c r="HK6" s="258"/>
      <c r="HL6" s="258"/>
      <c r="HM6" s="258"/>
      <c r="HN6" s="258"/>
      <c r="HO6" s="258"/>
      <c r="HP6" s="258"/>
      <c r="HQ6" s="258"/>
      <c r="HR6" s="258"/>
      <c r="HS6" s="258"/>
      <c r="HT6" s="258"/>
      <c r="HU6" s="258"/>
      <c r="HV6" s="258"/>
      <c r="HW6" s="258"/>
      <c r="HX6" s="258"/>
      <c r="HY6" s="258"/>
      <c r="HZ6" s="258"/>
      <c r="IA6" s="258"/>
      <c r="IB6" s="258"/>
      <c r="IC6" s="258"/>
      <c r="ID6" s="258"/>
      <c r="IE6" s="258"/>
      <c r="IF6" s="258"/>
      <c r="IG6" s="258"/>
      <c r="IH6" s="258"/>
      <c r="II6" s="258"/>
      <c r="IJ6" s="258"/>
      <c r="IK6" s="258"/>
      <c r="IL6" s="258"/>
      <c r="IM6" s="258"/>
      <c r="IN6" s="258"/>
      <c r="IO6" s="258"/>
      <c r="IP6" s="258"/>
      <c r="IQ6" s="258"/>
      <c r="IR6" s="258"/>
      <c r="IS6" s="258"/>
      <c r="IT6" s="258"/>
      <c r="IU6" s="258"/>
      <c r="IV6" s="258"/>
    </row>
    <row r="7" spans="1:256" s="148" customFormat="1" ht="13" thickBot="1">
      <c r="R7" s="258"/>
      <c r="X7" s="258"/>
      <c r="Y7" s="258"/>
      <c r="Z7" s="258"/>
      <c r="AA7" s="258"/>
      <c r="AB7" s="258"/>
      <c r="AC7" s="258"/>
      <c r="AD7" s="258"/>
      <c r="AE7" s="258"/>
      <c r="AF7" s="258"/>
      <c r="AG7" s="258"/>
      <c r="AH7" s="258"/>
      <c r="AI7" s="258"/>
      <c r="AJ7" s="258"/>
      <c r="AK7" s="258"/>
      <c r="AL7" s="258"/>
      <c r="AM7" s="258"/>
      <c r="AN7" s="258"/>
      <c r="AO7" s="258"/>
      <c r="AP7" s="258"/>
      <c r="AQ7" s="258"/>
      <c r="AR7" s="258"/>
      <c r="AS7" s="258"/>
      <c r="AT7" s="258"/>
      <c r="AU7" s="258"/>
      <c r="AV7" s="258"/>
      <c r="AW7" s="258"/>
      <c r="AX7" s="258"/>
      <c r="AY7" s="258"/>
      <c r="AZ7" s="258"/>
      <c r="BA7" s="258"/>
      <c r="BB7" s="258"/>
      <c r="BC7" s="258"/>
      <c r="BD7" s="258"/>
      <c r="BE7" s="258"/>
      <c r="BF7" s="258"/>
      <c r="BG7" s="258"/>
      <c r="BH7" s="258"/>
      <c r="BI7" s="258"/>
      <c r="BJ7" s="258"/>
      <c r="BK7" s="258"/>
      <c r="BL7" s="258"/>
      <c r="BM7" s="258"/>
      <c r="BN7" s="258"/>
      <c r="BO7" s="258"/>
      <c r="BP7" s="258"/>
      <c r="BQ7" s="258"/>
      <c r="BR7" s="258"/>
      <c r="BS7" s="258"/>
      <c r="BT7" s="258"/>
      <c r="BU7" s="258"/>
      <c r="BV7" s="258"/>
      <c r="BW7" s="258"/>
      <c r="BX7" s="258"/>
      <c r="BY7" s="258"/>
      <c r="BZ7" s="258"/>
      <c r="CA7" s="258"/>
      <c r="CB7" s="258"/>
      <c r="CC7" s="258"/>
      <c r="CD7" s="258"/>
      <c r="CE7" s="258"/>
      <c r="CF7" s="258"/>
      <c r="CG7" s="258"/>
      <c r="CH7" s="258"/>
      <c r="CI7" s="258"/>
      <c r="CJ7" s="258"/>
      <c r="CK7" s="258"/>
      <c r="CL7" s="258"/>
      <c r="CM7" s="258"/>
      <c r="CN7" s="258"/>
      <c r="CO7" s="258"/>
      <c r="CP7" s="258"/>
      <c r="CQ7" s="258"/>
      <c r="CR7" s="258"/>
      <c r="CS7" s="258"/>
      <c r="CT7" s="258"/>
      <c r="CU7" s="258"/>
      <c r="CV7" s="258"/>
      <c r="CW7" s="258"/>
      <c r="CX7" s="258"/>
      <c r="CY7" s="258"/>
      <c r="CZ7" s="258"/>
      <c r="DA7" s="258"/>
      <c r="DB7" s="258"/>
      <c r="DC7" s="258"/>
      <c r="DD7" s="258"/>
      <c r="DE7" s="258"/>
      <c r="DF7" s="258"/>
      <c r="DG7" s="258"/>
      <c r="DH7" s="258"/>
      <c r="DI7" s="258"/>
      <c r="DJ7" s="258"/>
      <c r="DK7" s="258"/>
      <c r="DL7" s="258"/>
      <c r="DM7" s="258"/>
      <c r="DN7" s="258"/>
      <c r="DO7" s="258"/>
      <c r="DP7" s="258"/>
      <c r="DQ7" s="258"/>
      <c r="DR7" s="258"/>
      <c r="DS7" s="258"/>
      <c r="DT7" s="258"/>
      <c r="DU7" s="258"/>
      <c r="DV7" s="258"/>
      <c r="DW7" s="258"/>
      <c r="DX7" s="258"/>
      <c r="DY7" s="258"/>
      <c r="DZ7" s="258"/>
      <c r="EA7" s="258"/>
      <c r="EB7" s="258"/>
      <c r="EC7" s="258"/>
      <c r="ED7" s="258"/>
      <c r="EE7" s="258"/>
      <c r="EF7" s="258"/>
      <c r="EG7" s="258"/>
      <c r="EH7" s="258"/>
      <c r="EI7" s="258"/>
      <c r="EJ7" s="258"/>
      <c r="EK7" s="258"/>
      <c r="EL7" s="258"/>
      <c r="EM7" s="258"/>
      <c r="EN7" s="258"/>
      <c r="EO7" s="258"/>
      <c r="EP7" s="258"/>
      <c r="EQ7" s="258"/>
      <c r="ER7" s="258"/>
      <c r="ES7" s="258"/>
      <c r="ET7" s="258"/>
      <c r="EU7" s="258"/>
      <c r="EV7" s="258"/>
      <c r="EW7" s="258"/>
      <c r="EX7" s="258"/>
      <c r="EY7" s="258"/>
      <c r="EZ7" s="258"/>
      <c r="FA7" s="258"/>
      <c r="FB7" s="258"/>
      <c r="FC7" s="258"/>
      <c r="FD7" s="258"/>
      <c r="FE7" s="258"/>
      <c r="FF7" s="258"/>
      <c r="FG7" s="258"/>
      <c r="FH7" s="258"/>
      <c r="FI7" s="258"/>
      <c r="FJ7" s="258"/>
      <c r="FK7" s="258"/>
      <c r="FL7" s="258"/>
      <c r="FM7" s="258"/>
      <c r="FN7" s="258"/>
      <c r="FO7" s="258"/>
      <c r="FP7" s="258"/>
      <c r="FQ7" s="258"/>
      <c r="FR7" s="258"/>
      <c r="FS7" s="258"/>
      <c r="FT7" s="258"/>
      <c r="FU7" s="258"/>
      <c r="FV7" s="258"/>
      <c r="FW7" s="258"/>
      <c r="FX7" s="258"/>
      <c r="FY7" s="258"/>
      <c r="FZ7" s="258"/>
      <c r="GA7" s="258"/>
      <c r="GB7" s="258"/>
      <c r="GC7" s="258"/>
      <c r="GD7" s="258"/>
      <c r="GE7" s="258"/>
      <c r="GF7" s="258"/>
      <c r="GG7" s="258"/>
      <c r="GH7" s="258"/>
      <c r="GI7" s="258"/>
      <c r="GJ7" s="258"/>
      <c r="GK7" s="258"/>
      <c r="GL7" s="258"/>
      <c r="GM7" s="258"/>
      <c r="GN7" s="258"/>
      <c r="GO7" s="258"/>
      <c r="GP7" s="258"/>
      <c r="GQ7" s="258"/>
      <c r="GR7" s="258"/>
      <c r="GS7" s="258"/>
      <c r="GT7" s="258"/>
      <c r="GU7" s="258"/>
      <c r="GV7" s="258"/>
      <c r="GW7" s="258"/>
      <c r="GX7" s="258"/>
      <c r="GY7" s="258"/>
      <c r="GZ7" s="258"/>
      <c r="HA7" s="258"/>
      <c r="HB7" s="258"/>
      <c r="HC7" s="258"/>
      <c r="HD7" s="258"/>
      <c r="HE7" s="258"/>
      <c r="HF7" s="258"/>
      <c r="HG7" s="258"/>
      <c r="HH7" s="258"/>
      <c r="HI7" s="258"/>
      <c r="HJ7" s="258"/>
      <c r="HK7" s="258"/>
      <c r="HL7" s="258"/>
      <c r="HM7" s="258"/>
      <c r="HN7" s="258"/>
      <c r="HO7" s="258"/>
      <c r="HP7" s="258"/>
      <c r="HQ7" s="258"/>
      <c r="HR7" s="258"/>
      <c r="HS7" s="258"/>
      <c r="HT7" s="258"/>
      <c r="HU7" s="258"/>
      <c r="HV7" s="258"/>
      <c r="HW7" s="258"/>
      <c r="HX7" s="258"/>
      <c r="HY7" s="258"/>
      <c r="HZ7" s="258"/>
      <c r="IA7" s="258"/>
      <c r="IB7" s="258"/>
      <c r="IC7" s="258"/>
      <c r="ID7" s="258"/>
      <c r="IE7" s="258"/>
      <c r="IF7" s="258"/>
      <c r="IG7" s="258"/>
      <c r="IH7" s="258"/>
      <c r="II7" s="258"/>
      <c r="IJ7" s="258"/>
      <c r="IK7" s="258"/>
      <c r="IL7" s="258"/>
      <c r="IM7" s="258"/>
      <c r="IN7" s="258"/>
      <c r="IO7" s="258"/>
      <c r="IP7" s="258"/>
      <c r="IQ7" s="258"/>
      <c r="IR7" s="258"/>
      <c r="IS7" s="258"/>
      <c r="IT7" s="258"/>
      <c r="IU7" s="258"/>
      <c r="IV7" s="258"/>
    </row>
    <row r="8" spans="1:256" ht="14" thickTop="1" thickBot="1">
      <c r="A8" s="705" t="s">
        <v>123</v>
      </c>
      <c r="B8" s="706"/>
      <c r="C8" s="706"/>
      <c r="D8" s="707"/>
      <c r="E8" s="148"/>
      <c r="F8" s="148"/>
      <c r="G8" s="148"/>
      <c r="H8" s="148"/>
      <c r="I8" s="148"/>
      <c r="J8" s="148"/>
      <c r="K8" s="148"/>
      <c r="L8" s="148"/>
      <c r="M8" s="148"/>
      <c r="N8" s="148"/>
      <c r="O8" s="148"/>
      <c r="P8" s="148"/>
      <c r="Q8" s="148"/>
      <c r="S8" s="148"/>
      <c r="T8" s="148"/>
      <c r="U8" s="148"/>
      <c r="V8" s="148"/>
      <c r="W8" s="148"/>
    </row>
    <row r="9" spans="1:256" ht="13" thickTop="1">
      <c r="A9" s="708" t="str">
        <f>'main page'!A2</f>
        <v>Main page-Closed economy</v>
      </c>
      <c r="B9" s="709"/>
      <c r="C9" s="709"/>
      <c r="D9" s="710"/>
      <c r="E9" s="148"/>
      <c r="F9" s="148"/>
      <c r="G9" s="148"/>
      <c r="H9" s="148"/>
      <c r="I9" s="148"/>
      <c r="J9" s="148"/>
      <c r="K9" s="148"/>
      <c r="L9" s="148"/>
      <c r="M9" s="148"/>
      <c r="N9" s="148"/>
      <c r="O9" s="148"/>
      <c r="P9" s="148"/>
      <c r="Q9" s="148"/>
      <c r="S9" s="148"/>
      <c r="T9" s="148"/>
      <c r="U9" s="148"/>
      <c r="V9" s="148"/>
      <c r="W9" s="148"/>
    </row>
    <row r="10" spans="1:256">
      <c r="A10" s="711"/>
      <c r="B10" s="712"/>
      <c r="C10" s="712"/>
      <c r="D10" s="713"/>
      <c r="E10" s="148"/>
      <c r="F10" s="148"/>
      <c r="G10" s="148"/>
      <c r="H10" s="148"/>
      <c r="I10" s="148"/>
      <c r="J10" s="148"/>
      <c r="K10" s="148"/>
      <c r="L10" s="148"/>
      <c r="M10" s="148"/>
      <c r="N10" s="148"/>
      <c r="O10" s="148"/>
      <c r="P10" s="148"/>
      <c r="Q10" s="148"/>
      <c r="S10" s="148"/>
      <c r="T10" s="148"/>
      <c r="U10" s="148"/>
      <c r="V10" s="148"/>
      <c r="W10" s="148"/>
    </row>
    <row r="11" spans="1:256" ht="13">
      <c r="A11" s="714" t="s">
        <v>101</v>
      </c>
      <c r="B11" s="700"/>
      <c r="C11" s="701"/>
      <c r="D11" s="454" t="str">
        <f>IF('main page'!$G$8="","no","yes")</f>
        <v>no</v>
      </c>
      <c r="E11" s="148"/>
      <c r="F11" s="148"/>
      <c r="G11" s="148"/>
      <c r="H11" s="148"/>
      <c r="I11" s="148"/>
      <c r="J11" s="148"/>
      <c r="K11" s="148"/>
      <c r="L11" s="148"/>
      <c r="M11" s="148"/>
      <c r="N11" s="148"/>
      <c r="O11" s="148"/>
      <c r="P11" s="148"/>
      <c r="Q11" s="148"/>
      <c r="S11" s="148"/>
      <c r="T11" s="148"/>
      <c r="U11" s="148"/>
      <c r="V11" s="148"/>
      <c r="W11" s="148"/>
    </row>
    <row r="12" spans="1:256" ht="13">
      <c r="A12" s="714" t="s">
        <v>100</v>
      </c>
      <c r="B12" s="700"/>
      <c r="C12" s="701"/>
      <c r="D12" s="454" t="str">
        <f>IF('main page'!$K$8="","no","yes")</f>
        <v>no</v>
      </c>
      <c r="E12" s="148"/>
      <c r="F12" s="148"/>
      <c r="G12" s="148"/>
      <c r="H12" s="148"/>
      <c r="I12" s="148"/>
      <c r="J12" s="148"/>
      <c r="K12" s="148"/>
      <c r="L12" s="148"/>
      <c r="M12" s="148"/>
      <c r="N12" s="148"/>
      <c r="O12" s="148"/>
      <c r="P12" s="148"/>
      <c r="Q12" s="148"/>
      <c r="S12" s="148"/>
      <c r="T12" s="148"/>
      <c r="U12" s="148"/>
      <c r="V12" s="148"/>
      <c r="W12" s="148"/>
    </row>
    <row r="13" spans="1:256" ht="13">
      <c r="A13" s="714" t="s">
        <v>184</v>
      </c>
      <c r="B13" s="700"/>
      <c r="C13" s="701"/>
      <c r="D13" s="309" t="str">
        <f>IF(controls!$B$4=2,"no",IF('main page'!$H$16="","no","yes"))</f>
        <v>no</v>
      </c>
      <c r="E13" s="148"/>
      <c r="F13" s="148"/>
      <c r="G13" s="148"/>
      <c r="H13" s="148"/>
      <c r="I13" s="148"/>
      <c r="J13" s="148"/>
      <c r="K13" s="148"/>
      <c r="L13" s="148"/>
      <c r="M13" s="148"/>
      <c r="N13" s="148"/>
      <c r="O13" s="148"/>
      <c r="P13" s="148"/>
      <c r="Q13" s="148"/>
      <c r="S13" s="148"/>
      <c r="T13" s="148"/>
      <c r="U13" s="148"/>
      <c r="V13" s="148"/>
      <c r="W13" s="148"/>
    </row>
    <row r="14" spans="1:256" ht="13">
      <c r="A14" s="714" t="s">
        <v>102</v>
      </c>
      <c r="B14" s="700"/>
      <c r="C14" s="701"/>
      <c r="D14" s="309" t="str">
        <f>IF(controls!$B$8=FALSE,"no",IF(controls!$B$8=TRUE,"yes",""))</f>
        <v>no</v>
      </c>
      <c r="E14" s="148"/>
      <c r="F14" s="148"/>
      <c r="G14" s="148"/>
      <c r="H14" s="148"/>
      <c r="I14" s="148"/>
      <c r="J14" s="148"/>
      <c r="K14" s="148"/>
      <c r="L14" s="148"/>
      <c r="M14" s="148"/>
      <c r="N14" s="148"/>
      <c r="O14" s="148"/>
      <c r="P14" s="148"/>
      <c r="Q14" s="148"/>
      <c r="S14" s="148"/>
      <c r="T14" s="148"/>
      <c r="U14" s="148"/>
      <c r="V14" s="148"/>
      <c r="W14" s="148"/>
    </row>
    <row r="15" spans="1:256" ht="13">
      <c r="A15" s="702" t="str">
        <f>IF('main page'!S43=1,"","Stabilization fiscal measure")</f>
        <v>Stabilization fiscal measure</v>
      </c>
      <c r="B15" s="703"/>
      <c r="C15" s="704"/>
      <c r="D15" s="309" t="str">
        <f>IF('main page'!S43=1,"",IF('main page'!$U$22="","no","yes"))</f>
        <v>no</v>
      </c>
      <c r="E15" s="148"/>
      <c r="F15" s="148"/>
      <c r="G15" s="148"/>
      <c r="H15" s="148"/>
      <c r="I15" s="148"/>
      <c r="J15" s="148"/>
      <c r="K15" s="148"/>
      <c r="L15" s="148"/>
      <c r="M15" s="148"/>
      <c r="N15" s="148"/>
      <c r="O15" s="148"/>
      <c r="P15" s="148"/>
      <c r="Q15" s="148"/>
      <c r="S15" s="148"/>
      <c r="T15" s="148"/>
      <c r="U15" s="148"/>
      <c r="V15" s="148"/>
      <c r="W15" s="148"/>
    </row>
    <row r="16" spans="1:256" ht="13">
      <c r="A16" s="702" t="str">
        <f>IF(controls!B44=0,"Hysteresis","")</f>
        <v>Hysteresis</v>
      </c>
      <c r="B16" s="703"/>
      <c r="C16" s="704"/>
      <c r="D16" s="309" t="str">
        <f>IF(controls!B44=0,IF('inflation, income and interest'!B38=1,"yes","no"),"")</f>
        <v>no</v>
      </c>
      <c r="E16" s="148"/>
      <c r="F16" s="148"/>
      <c r="G16" s="148"/>
      <c r="H16" s="148"/>
      <c r="I16" s="148"/>
      <c r="J16" s="148"/>
      <c r="K16" s="148"/>
      <c r="L16" s="447"/>
      <c r="M16" s="148"/>
      <c r="N16" s="148"/>
      <c r="O16" s="148"/>
      <c r="P16" s="148"/>
      <c r="Q16" s="148"/>
      <c r="S16" s="148"/>
      <c r="T16" s="148"/>
      <c r="U16" s="148"/>
      <c r="V16" s="148"/>
      <c r="W16" s="148"/>
    </row>
    <row r="17" spans="1:23">
      <c r="A17" s="148"/>
      <c r="B17" s="148"/>
      <c r="C17" s="148"/>
      <c r="D17" s="148"/>
      <c r="E17" s="148"/>
      <c r="F17" s="148"/>
      <c r="G17" s="148"/>
      <c r="H17" s="148"/>
      <c r="I17" s="148"/>
      <c r="J17" s="148"/>
      <c r="K17" s="148"/>
      <c r="L17" s="447"/>
      <c r="M17" s="148"/>
      <c r="N17" s="148"/>
      <c r="O17" s="148"/>
      <c r="P17" s="148"/>
      <c r="Q17" s="148"/>
      <c r="S17" s="148"/>
      <c r="T17" s="148"/>
      <c r="U17" s="148"/>
      <c r="V17" s="148"/>
      <c r="W17" s="148"/>
    </row>
    <row r="18" spans="1:23">
      <c r="A18" s="148"/>
      <c r="B18" s="148"/>
      <c r="C18" s="148"/>
      <c r="D18" s="148"/>
      <c r="E18" s="148"/>
      <c r="F18" s="148"/>
      <c r="G18" s="148"/>
      <c r="H18" s="148"/>
      <c r="I18" s="148"/>
      <c r="J18" s="148"/>
      <c r="K18" s="148"/>
      <c r="L18" s="148"/>
      <c r="M18" s="148"/>
      <c r="N18" s="148"/>
      <c r="O18" s="148"/>
      <c r="P18" s="148"/>
      <c r="Q18" s="148"/>
      <c r="S18" s="148"/>
      <c r="T18" s="148"/>
      <c r="U18" s="148"/>
      <c r="V18" s="148"/>
      <c r="W18" s="148"/>
    </row>
    <row r="19" spans="1:23">
      <c r="A19" s="148"/>
      <c r="B19" s="148"/>
      <c r="C19" s="148"/>
      <c r="D19" s="148"/>
      <c r="E19" s="148"/>
      <c r="F19" s="148"/>
      <c r="G19" s="148"/>
      <c r="H19" s="148"/>
      <c r="I19" s="148"/>
      <c r="J19" s="148"/>
      <c r="K19" s="148"/>
      <c r="L19" s="148"/>
      <c r="M19" s="148"/>
      <c r="N19" s="148"/>
      <c r="O19" s="148"/>
      <c r="P19" s="148"/>
      <c r="Q19" s="148"/>
      <c r="S19" s="148"/>
      <c r="T19" s="148"/>
      <c r="U19" s="148"/>
      <c r="V19" s="148"/>
      <c r="W19" s="148"/>
    </row>
    <row r="20" spans="1:23">
      <c r="A20" s="148"/>
      <c r="B20" s="148"/>
      <c r="C20" s="148"/>
      <c r="D20" s="148"/>
      <c r="E20" s="148"/>
      <c r="F20" s="148"/>
      <c r="G20" s="148"/>
      <c r="H20" s="148"/>
      <c r="I20" s="148"/>
      <c r="J20" s="148"/>
      <c r="K20" s="148"/>
      <c r="L20" s="148"/>
      <c r="M20" s="148"/>
      <c r="N20" s="148"/>
      <c r="O20" s="148"/>
      <c r="P20" s="148"/>
      <c r="Q20" s="148"/>
      <c r="S20" s="148"/>
      <c r="T20" s="148"/>
      <c r="U20" s="148"/>
      <c r="V20" s="148"/>
      <c r="W20" s="148"/>
    </row>
    <row r="21" spans="1:23">
      <c r="A21" s="148"/>
      <c r="B21" s="148"/>
      <c r="C21" s="148"/>
      <c r="D21" s="148"/>
      <c r="E21" s="148"/>
      <c r="F21" s="148">
        <f>controls!B44</f>
        <v>0</v>
      </c>
      <c r="G21" s="148"/>
      <c r="H21" s="148"/>
      <c r="I21" s="148"/>
      <c r="J21" s="148"/>
      <c r="K21" s="148"/>
      <c r="L21" s="148"/>
      <c r="M21" s="148"/>
      <c r="N21" s="148"/>
      <c r="O21" s="148"/>
      <c r="P21" s="148"/>
      <c r="Q21" s="148"/>
      <c r="S21" s="148"/>
      <c r="T21" s="148"/>
      <c r="U21" s="148"/>
      <c r="V21" s="148"/>
      <c r="W21" s="148"/>
    </row>
    <row r="22" spans="1:23">
      <c r="A22" s="148"/>
      <c r="B22" s="148"/>
      <c r="C22" s="148"/>
      <c r="D22" s="148"/>
      <c r="E22" s="148"/>
      <c r="F22" s="148"/>
      <c r="G22" s="148"/>
      <c r="H22" s="148"/>
      <c r="I22" s="148"/>
      <c r="J22" s="148"/>
      <c r="K22" s="148"/>
      <c r="L22" s="148"/>
      <c r="M22" s="148"/>
      <c r="N22" s="148"/>
      <c r="O22" s="148"/>
      <c r="P22" s="148"/>
      <c r="Q22" s="148"/>
      <c r="S22" s="148"/>
      <c r="T22" s="148"/>
      <c r="U22" s="148"/>
      <c r="V22" s="148"/>
      <c r="W22" s="148"/>
    </row>
    <row r="23" spans="1:23">
      <c r="A23" s="148"/>
      <c r="B23" s="148"/>
      <c r="C23" s="148"/>
      <c r="D23" s="148"/>
      <c r="E23" s="148"/>
      <c r="F23" s="148"/>
      <c r="G23" s="148"/>
      <c r="H23" s="148"/>
      <c r="I23" s="148"/>
      <c r="J23" s="148"/>
      <c r="K23" s="148"/>
      <c r="L23" s="148"/>
      <c r="M23" s="148"/>
      <c r="N23" s="148"/>
      <c r="O23" s="148"/>
      <c r="P23" s="148"/>
      <c r="Q23" s="148"/>
      <c r="S23" s="148"/>
      <c r="T23" s="148"/>
      <c r="U23" s="148"/>
      <c r="V23" s="148"/>
      <c r="W23" s="148"/>
    </row>
    <row r="24" spans="1:23">
      <c r="A24" s="148"/>
      <c r="B24" s="148"/>
      <c r="C24" s="148"/>
      <c r="D24" s="148"/>
      <c r="E24" s="148"/>
      <c r="F24" s="148"/>
      <c r="G24" s="148"/>
      <c r="H24" s="148"/>
      <c r="I24" s="148"/>
      <c r="J24" s="148"/>
      <c r="K24" s="148"/>
      <c r="L24" s="148"/>
      <c r="M24" s="148"/>
      <c r="N24" s="148"/>
      <c r="O24" s="148"/>
      <c r="P24" s="148"/>
      <c r="Q24" s="148"/>
      <c r="S24" s="148"/>
      <c r="T24" s="148"/>
      <c r="U24" s="148"/>
      <c r="V24" s="148"/>
      <c r="W24" s="148"/>
    </row>
    <row r="25" spans="1:23">
      <c r="A25" s="148"/>
      <c r="B25" s="148"/>
      <c r="C25" s="148"/>
      <c r="D25" s="148"/>
      <c r="E25" s="148"/>
      <c r="F25" s="148"/>
      <c r="G25" s="178" t="b">
        <v>0</v>
      </c>
      <c r="H25" s="148"/>
      <c r="I25" s="148"/>
      <c r="J25" s="148"/>
      <c r="K25" s="148"/>
      <c r="L25" s="148"/>
      <c r="M25" s="148"/>
      <c r="N25" s="148"/>
      <c r="O25" s="148"/>
      <c r="P25" s="148"/>
      <c r="Q25" s="148"/>
      <c r="S25" s="148"/>
      <c r="T25" s="148"/>
      <c r="U25" s="148"/>
      <c r="V25" s="148"/>
      <c r="W25" s="148"/>
    </row>
    <row r="26" spans="1:23">
      <c r="A26" s="148"/>
      <c r="B26" s="148"/>
      <c r="C26" s="148"/>
      <c r="D26" s="148"/>
      <c r="E26" s="148"/>
      <c r="F26" s="148"/>
      <c r="G26" s="178" t="b">
        <v>0</v>
      </c>
      <c r="H26" s="148"/>
      <c r="I26" s="148"/>
      <c r="J26" s="148"/>
      <c r="K26" s="148"/>
      <c r="L26" s="148"/>
      <c r="M26" s="148"/>
      <c r="N26" s="148"/>
      <c r="O26" s="148"/>
      <c r="P26" s="148"/>
      <c r="Q26" s="148"/>
      <c r="S26" s="148"/>
      <c r="T26" s="148"/>
      <c r="U26" s="148"/>
      <c r="V26" s="148"/>
      <c r="W26" s="148"/>
    </row>
    <row r="27" spans="1:23">
      <c r="A27" s="148"/>
      <c r="B27" s="148"/>
      <c r="C27" s="148"/>
      <c r="D27" s="148"/>
      <c r="E27" s="148"/>
      <c r="F27" s="148"/>
      <c r="G27" s="148"/>
      <c r="H27" s="148"/>
      <c r="I27" s="148"/>
      <c r="J27" s="148"/>
      <c r="K27" s="148"/>
      <c r="L27" s="148"/>
      <c r="M27" s="148"/>
      <c r="N27" s="148"/>
      <c r="O27" s="148"/>
      <c r="P27" s="148"/>
      <c r="Q27" s="148"/>
      <c r="S27" s="148"/>
      <c r="T27" s="148"/>
      <c r="U27" s="148"/>
      <c r="V27" s="148"/>
      <c r="W27" s="148"/>
    </row>
    <row r="28" spans="1:23">
      <c r="A28" s="148"/>
      <c r="B28" s="148"/>
      <c r="C28" s="148"/>
      <c r="D28" s="148"/>
      <c r="E28" s="148"/>
      <c r="F28" s="148"/>
      <c r="G28" s="148"/>
      <c r="H28" s="148"/>
      <c r="I28" s="148"/>
      <c r="J28" s="148"/>
      <c r="K28" s="148"/>
      <c r="L28" s="148"/>
      <c r="M28" s="148"/>
      <c r="N28" s="148"/>
      <c r="O28" s="148"/>
      <c r="P28" s="148"/>
      <c r="Q28" s="148"/>
      <c r="S28" s="148"/>
      <c r="T28" s="148"/>
      <c r="U28" s="148"/>
      <c r="V28" s="148"/>
      <c r="W28" s="148"/>
    </row>
    <row r="29" spans="1:23">
      <c r="A29" s="148"/>
      <c r="B29" s="148"/>
      <c r="C29" s="148"/>
      <c r="D29" s="148"/>
      <c r="E29" s="148"/>
      <c r="F29" s="148"/>
      <c r="G29" s="148"/>
      <c r="H29" s="148"/>
      <c r="I29" s="148"/>
      <c r="J29" s="148"/>
      <c r="K29" s="148"/>
      <c r="L29" s="148"/>
      <c r="M29" s="148"/>
      <c r="N29" s="148"/>
      <c r="O29" s="148"/>
      <c r="P29" s="148"/>
      <c r="Q29" s="148"/>
      <c r="S29" s="148"/>
      <c r="T29" s="148"/>
      <c r="U29" s="148"/>
      <c r="V29" s="148"/>
      <c r="W29" s="148"/>
    </row>
    <row r="30" spans="1:23">
      <c r="A30" s="148"/>
      <c r="B30" s="148"/>
      <c r="C30" s="148"/>
      <c r="D30" s="148"/>
      <c r="E30" s="148"/>
      <c r="F30" s="148"/>
      <c r="G30" s="148"/>
      <c r="H30" s="148"/>
      <c r="I30" s="148"/>
      <c r="J30" s="148"/>
      <c r="K30" s="148"/>
      <c r="L30" s="148"/>
      <c r="M30" s="472">
        <f>'main page'!S42</f>
        <v>0</v>
      </c>
      <c r="N30" s="148"/>
      <c r="O30" s="148"/>
      <c r="P30" s="148"/>
      <c r="Q30" s="148"/>
      <c r="S30" s="148"/>
      <c r="T30" s="148"/>
      <c r="U30" s="148"/>
      <c r="V30" s="148"/>
      <c r="W30" s="148"/>
    </row>
    <row r="31" spans="1:23">
      <c r="A31" s="453"/>
      <c r="B31" s="455"/>
      <c r="C31" s="148"/>
      <c r="D31" s="148"/>
      <c r="E31" s="148"/>
      <c r="F31" s="148"/>
      <c r="G31" s="148"/>
      <c r="H31" s="148"/>
      <c r="I31" s="148"/>
      <c r="J31" s="148"/>
      <c r="K31" s="148"/>
      <c r="L31" s="148"/>
      <c r="M31" s="148"/>
      <c r="N31" s="148"/>
      <c r="O31" s="148"/>
      <c r="P31" s="148"/>
      <c r="Q31" s="148"/>
      <c r="S31" s="148"/>
      <c r="T31" s="148"/>
      <c r="U31" s="148"/>
      <c r="V31" s="148"/>
      <c r="W31" s="148"/>
    </row>
    <row r="32" spans="1:23">
      <c r="A32" s="148"/>
      <c r="B32" s="148"/>
      <c r="C32" s="148"/>
      <c r="D32" s="148"/>
      <c r="E32" s="148"/>
      <c r="F32" s="148"/>
      <c r="G32" s="148"/>
      <c r="H32" s="148"/>
      <c r="I32" s="148"/>
      <c r="J32" s="148"/>
      <c r="K32" s="148"/>
      <c r="L32" s="148"/>
      <c r="M32" s="148"/>
      <c r="N32" s="148"/>
      <c r="O32" s="148"/>
      <c r="P32" s="148"/>
      <c r="Q32" s="148"/>
      <c r="S32" s="148"/>
      <c r="T32" s="148"/>
      <c r="U32" s="148"/>
      <c r="V32" s="148"/>
      <c r="W32" s="148"/>
    </row>
    <row r="33" spans="1:23">
      <c r="A33" s="148"/>
      <c r="B33" s="148"/>
      <c r="C33" s="148"/>
      <c r="D33" s="148"/>
      <c r="E33" s="148"/>
      <c r="F33" s="148"/>
      <c r="G33" s="148"/>
      <c r="H33" s="148"/>
      <c r="I33" s="148"/>
      <c r="J33" s="148"/>
      <c r="K33" s="148"/>
      <c r="L33" s="148"/>
      <c r="M33" s="148"/>
      <c r="N33" s="148"/>
      <c r="O33" s="148"/>
      <c r="P33" s="148"/>
      <c r="Q33" s="148"/>
      <c r="S33" s="148"/>
      <c r="T33" s="148"/>
      <c r="U33" s="148"/>
      <c r="V33" s="148"/>
      <c r="W33" s="148"/>
    </row>
    <row r="34" spans="1:23">
      <c r="A34" s="148"/>
      <c r="B34" s="148"/>
      <c r="C34" s="148"/>
      <c r="D34" s="148"/>
      <c r="E34" s="148"/>
      <c r="F34" s="148"/>
      <c r="G34" s="148"/>
      <c r="H34" s="148"/>
      <c r="I34" s="148"/>
      <c r="J34" s="148"/>
      <c r="K34" s="148"/>
      <c r="L34" s="148"/>
      <c r="M34" s="148"/>
      <c r="N34" s="148"/>
      <c r="O34" s="148"/>
      <c r="P34" s="148"/>
      <c r="Q34" s="148"/>
      <c r="S34" s="148"/>
      <c r="T34" s="148"/>
      <c r="U34" s="148"/>
      <c r="V34" s="148"/>
      <c r="W34" s="148"/>
    </row>
    <row r="35" spans="1:23">
      <c r="A35" s="148"/>
      <c r="B35" s="148"/>
      <c r="C35" s="148"/>
      <c r="D35" s="148"/>
      <c r="E35" s="148"/>
      <c r="F35" s="148"/>
      <c r="G35" s="148"/>
      <c r="H35" s="148"/>
      <c r="I35" s="148"/>
      <c r="J35" s="148"/>
      <c r="K35" s="148"/>
      <c r="L35" s="148"/>
      <c r="M35" s="148"/>
      <c r="N35" s="148"/>
      <c r="O35" s="148"/>
      <c r="P35" s="148"/>
      <c r="Q35" s="148"/>
      <c r="S35" s="148"/>
      <c r="T35" s="148"/>
      <c r="U35" s="148"/>
      <c r="V35" s="148"/>
      <c r="W35" s="148"/>
    </row>
    <row r="36" spans="1:23">
      <c r="A36" s="148"/>
      <c r="B36" s="148"/>
      <c r="C36" s="148"/>
      <c r="D36" s="148"/>
      <c r="E36" s="148"/>
      <c r="F36" s="148"/>
      <c r="G36" s="148"/>
      <c r="H36" s="148"/>
      <c r="I36" s="148"/>
      <c r="J36" s="148"/>
      <c r="K36" s="148"/>
      <c r="L36" s="148"/>
      <c r="M36" s="148"/>
      <c r="N36" s="148"/>
      <c r="O36" s="148"/>
      <c r="P36" s="148"/>
      <c r="Q36" s="148"/>
      <c r="S36" s="148"/>
      <c r="T36" s="148"/>
      <c r="U36" s="148"/>
      <c r="V36" s="148"/>
      <c r="W36" s="148"/>
    </row>
    <row r="37" spans="1:23">
      <c r="A37" s="148"/>
      <c r="B37" s="148"/>
      <c r="C37" s="148"/>
      <c r="D37" s="148"/>
      <c r="E37" s="148"/>
      <c r="F37" s="148"/>
      <c r="G37" s="148"/>
      <c r="H37" s="148"/>
      <c r="I37" s="148"/>
      <c r="J37" s="148"/>
      <c r="K37" s="148"/>
      <c r="L37" s="148"/>
      <c r="M37" s="148"/>
      <c r="N37" s="148"/>
      <c r="O37" s="148"/>
      <c r="P37" s="148"/>
      <c r="Q37" s="148"/>
      <c r="S37" s="148"/>
      <c r="T37" s="148"/>
      <c r="U37" s="148"/>
      <c r="V37" s="148"/>
      <c r="W37" s="148"/>
    </row>
    <row r="38" spans="1:23">
      <c r="A38" s="148"/>
      <c r="B38" s="148"/>
      <c r="C38" s="148"/>
      <c r="D38" s="148"/>
      <c r="E38" s="148"/>
      <c r="F38" s="148"/>
      <c r="G38" s="148"/>
      <c r="H38" s="148"/>
      <c r="I38" s="148"/>
      <c r="J38" s="148"/>
      <c r="K38" s="148"/>
      <c r="L38" s="148"/>
      <c r="M38" s="148"/>
      <c r="N38" s="148"/>
      <c r="O38" s="148"/>
      <c r="P38" s="148"/>
      <c r="Q38" s="148"/>
      <c r="S38" s="148"/>
      <c r="T38" s="148"/>
      <c r="U38" s="148"/>
      <c r="V38" s="148"/>
      <c r="W38" s="148"/>
    </row>
    <row r="39" spans="1:23">
      <c r="A39" s="148"/>
      <c r="B39" s="148"/>
      <c r="C39" s="148"/>
      <c r="D39" s="148"/>
      <c r="E39" s="148"/>
      <c r="F39" s="148"/>
      <c r="G39" s="148"/>
      <c r="H39" s="148"/>
      <c r="I39" s="148"/>
      <c r="J39" s="148"/>
      <c r="K39" s="148"/>
      <c r="L39" s="148"/>
      <c r="M39" s="148"/>
      <c r="N39" s="148"/>
      <c r="O39" s="148"/>
      <c r="P39" s="148"/>
      <c r="Q39" s="148"/>
      <c r="S39" s="148"/>
      <c r="T39" s="148"/>
      <c r="U39" s="148"/>
      <c r="V39" s="148"/>
      <c r="W39" s="148"/>
    </row>
    <row r="40" spans="1:23">
      <c r="A40" s="148"/>
      <c r="B40" s="148"/>
      <c r="C40" s="148"/>
      <c r="D40" s="148"/>
      <c r="E40" s="148"/>
      <c r="F40" s="148"/>
      <c r="G40" s="148"/>
      <c r="H40" s="148"/>
      <c r="I40" s="148"/>
      <c r="J40" s="148"/>
      <c r="K40" s="148"/>
      <c r="L40" s="148"/>
      <c r="M40" s="148"/>
      <c r="N40" s="148"/>
      <c r="O40" s="148"/>
      <c r="P40" s="148"/>
      <c r="Q40" s="148"/>
      <c r="S40" s="148"/>
      <c r="T40" s="148"/>
      <c r="U40" s="148"/>
      <c r="V40" s="148"/>
      <c r="W40" s="148"/>
    </row>
    <row r="41" spans="1:23">
      <c r="A41" s="148"/>
      <c r="B41" s="148"/>
      <c r="C41" s="148"/>
      <c r="D41" s="148"/>
      <c r="E41" s="148"/>
      <c r="F41" s="148"/>
      <c r="G41" s="148"/>
      <c r="H41" s="148"/>
      <c r="I41" s="148"/>
      <c r="J41" s="148"/>
      <c r="K41" s="148"/>
      <c r="L41" s="148"/>
      <c r="M41" s="148"/>
      <c r="N41" s="148"/>
      <c r="O41" s="148"/>
      <c r="P41" s="148"/>
      <c r="Q41" s="148"/>
      <c r="S41" s="148"/>
      <c r="T41" s="148"/>
      <c r="U41" s="148"/>
      <c r="V41" s="148"/>
      <c r="W41" s="148"/>
    </row>
    <row r="42" spans="1:23">
      <c r="A42" s="148"/>
      <c r="B42" s="148"/>
      <c r="C42" s="148"/>
      <c r="D42" s="148"/>
      <c r="E42" s="148"/>
      <c r="F42" s="148"/>
      <c r="G42" s="148"/>
      <c r="H42" s="148"/>
      <c r="I42" s="148"/>
      <c r="J42" s="148"/>
      <c r="K42" s="148"/>
      <c r="L42" s="148"/>
      <c r="M42" s="148"/>
      <c r="N42" s="148"/>
      <c r="O42" s="148"/>
      <c r="P42" s="148"/>
      <c r="Q42" s="148"/>
      <c r="S42" s="148"/>
      <c r="T42" s="148"/>
      <c r="U42" s="148"/>
      <c r="V42" s="148"/>
      <c r="W42" s="148"/>
    </row>
    <row r="43" spans="1:23">
      <c r="A43" s="148"/>
      <c r="B43" s="148"/>
      <c r="C43" s="148"/>
      <c r="D43" s="148"/>
      <c r="E43" s="148"/>
      <c r="F43" s="148"/>
      <c r="G43" s="148"/>
      <c r="H43" s="148"/>
      <c r="I43" s="148"/>
      <c r="J43" s="148"/>
      <c r="K43" s="148"/>
      <c r="L43" s="148"/>
      <c r="M43" s="148"/>
      <c r="N43" s="148"/>
      <c r="O43" s="148"/>
      <c r="P43" s="148"/>
      <c r="Q43" s="148"/>
      <c r="S43" s="148"/>
      <c r="T43" s="148"/>
      <c r="U43" s="148"/>
      <c r="V43" s="148"/>
      <c r="W43" s="148"/>
    </row>
    <row r="44" spans="1:23">
      <c r="A44" s="148"/>
      <c r="B44" s="148"/>
      <c r="C44" s="148"/>
      <c r="D44" s="148"/>
      <c r="E44" s="148"/>
      <c r="F44" s="148"/>
      <c r="G44" s="148"/>
      <c r="H44" s="148"/>
      <c r="I44" s="148"/>
      <c r="J44" s="148"/>
      <c r="K44" s="148"/>
      <c r="L44" s="148"/>
      <c r="M44" s="148"/>
      <c r="N44" s="148"/>
      <c r="O44" s="148"/>
      <c r="P44" s="148"/>
      <c r="Q44" s="148"/>
      <c r="S44" s="148"/>
      <c r="T44" s="148"/>
      <c r="U44" s="148"/>
      <c r="V44" s="148"/>
      <c r="W44" s="148"/>
    </row>
    <row r="45" spans="1:23">
      <c r="A45" s="148"/>
      <c r="B45" s="148"/>
      <c r="C45" s="148"/>
      <c r="D45" s="148"/>
      <c r="E45" s="148"/>
      <c r="F45" s="148"/>
      <c r="G45" s="148"/>
      <c r="H45" s="148"/>
      <c r="I45" s="148"/>
      <c r="J45" s="148"/>
      <c r="K45" s="148"/>
      <c r="L45" s="148"/>
      <c r="M45" s="148"/>
      <c r="N45" s="148"/>
      <c r="O45" s="148"/>
      <c r="P45" s="148"/>
      <c r="Q45" s="148"/>
      <c r="S45" s="148"/>
      <c r="T45" s="148"/>
      <c r="U45" s="148"/>
      <c r="V45" s="148"/>
      <c r="W45" s="148"/>
    </row>
    <row r="46" spans="1:23">
      <c r="A46" s="148"/>
      <c r="B46" s="148"/>
      <c r="C46" s="148"/>
      <c r="D46" s="148"/>
      <c r="E46" s="148"/>
      <c r="F46" s="148"/>
      <c r="G46" s="148"/>
      <c r="H46" s="148"/>
      <c r="I46" s="148"/>
      <c r="J46" s="148"/>
      <c r="K46" s="148"/>
      <c r="L46" s="148"/>
      <c r="M46" s="148"/>
      <c r="N46" s="148"/>
      <c r="O46" s="148"/>
      <c r="P46" s="148"/>
      <c r="Q46" s="148"/>
      <c r="S46" s="148"/>
      <c r="T46" s="148"/>
      <c r="U46" s="148"/>
      <c r="V46" s="148"/>
      <c r="W46" s="148"/>
    </row>
    <row r="47" spans="1:23">
      <c r="A47" s="148"/>
      <c r="B47" s="148"/>
      <c r="C47" s="148"/>
      <c r="D47" s="148"/>
      <c r="E47" s="148"/>
      <c r="F47" s="148"/>
      <c r="G47" s="148"/>
      <c r="H47" s="148"/>
      <c r="I47" s="148"/>
      <c r="J47" s="148"/>
      <c r="K47" s="148"/>
      <c r="L47" s="148"/>
      <c r="M47" s="148"/>
      <c r="N47" s="148"/>
      <c r="O47" s="148"/>
      <c r="P47" s="148"/>
      <c r="Q47" s="148"/>
      <c r="S47" s="148"/>
      <c r="T47" s="148"/>
      <c r="U47" s="148"/>
      <c r="V47" s="148"/>
      <c r="W47" s="148"/>
    </row>
    <row r="48" spans="1:23">
      <c r="A48" s="148"/>
      <c r="B48" s="148"/>
      <c r="C48" s="148"/>
      <c r="D48" s="148"/>
      <c r="E48" s="148"/>
      <c r="F48" s="148"/>
      <c r="G48" s="148"/>
      <c r="H48" s="148"/>
      <c r="I48" s="148"/>
      <c r="J48" s="148"/>
      <c r="K48" s="148"/>
      <c r="L48" s="148"/>
      <c r="M48" s="148"/>
      <c r="N48" s="148"/>
      <c r="O48" s="148"/>
      <c r="P48" s="148"/>
      <c r="Q48" s="148"/>
      <c r="S48" s="148"/>
      <c r="T48" s="148"/>
      <c r="U48" s="148"/>
      <c r="V48" s="148"/>
      <c r="W48" s="148"/>
    </row>
    <row r="49" spans="1:23">
      <c r="A49" s="148"/>
      <c r="B49" s="148"/>
      <c r="C49" s="148"/>
      <c r="D49" s="148"/>
      <c r="E49" s="148"/>
      <c r="F49" s="148"/>
      <c r="G49" s="148"/>
      <c r="H49" s="148"/>
      <c r="I49" s="148"/>
      <c r="J49" s="148"/>
      <c r="K49" s="148"/>
      <c r="L49" s="148"/>
      <c r="M49" s="148"/>
      <c r="N49" s="148"/>
      <c r="O49" s="148"/>
      <c r="P49" s="148"/>
      <c r="Q49" s="148"/>
      <c r="S49" s="148"/>
      <c r="T49" s="148"/>
      <c r="U49" s="148"/>
      <c r="V49" s="148"/>
      <c r="W49" s="148"/>
    </row>
    <row r="50" spans="1:23">
      <c r="A50" s="148"/>
      <c r="B50" s="148"/>
      <c r="C50" s="148"/>
      <c r="D50" s="148"/>
      <c r="E50" s="148"/>
      <c r="F50" s="148"/>
      <c r="G50" s="148"/>
      <c r="H50" s="148"/>
      <c r="I50" s="148"/>
      <c r="J50" s="148"/>
      <c r="K50" s="148"/>
      <c r="L50" s="148"/>
      <c r="M50" s="148"/>
      <c r="N50" s="148"/>
      <c r="O50" s="148"/>
      <c r="P50" s="148"/>
      <c r="Q50" s="148"/>
      <c r="S50" s="148"/>
      <c r="T50" s="148"/>
      <c r="U50" s="148"/>
      <c r="V50" s="148"/>
      <c r="W50" s="148"/>
    </row>
    <row r="51" spans="1:23">
      <c r="A51" s="148"/>
      <c r="B51" s="148"/>
      <c r="C51" s="148"/>
      <c r="D51" s="148"/>
      <c r="E51" s="148"/>
      <c r="F51" s="148"/>
      <c r="G51" s="148"/>
      <c r="H51" s="148"/>
      <c r="I51" s="148"/>
      <c r="J51" s="148"/>
      <c r="K51" s="148"/>
      <c r="L51" s="148"/>
      <c r="M51" s="148"/>
      <c r="N51" s="148"/>
      <c r="O51" s="148"/>
      <c r="P51" s="148"/>
      <c r="Q51" s="148"/>
      <c r="S51" s="148"/>
      <c r="T51" s="148"/>
      <c r="U51" s="148"/>
      <c r="V51" s="148"/>
      <c r="W51" s="148"/>
    </row>
    <row r="52" spans="1:23">
      <c r="A52" s="148"/>
      <c r="B52" s="148"/>
      <c r="C52" s="148"/>
      <c r="D52" s="148"/>
      <c r="E52" s="148"/>
      <c r="F52" s="148"/>
      <c r="G52" s="148"/>
      <c r="H52" s="148"/>
      <c r="I52" s="148"/>
      <c r="J52" s="148"/>
      <c r="K52" s="148"/>
      <c r="L52" s="148"/>
      <c r="M52" s="148"/>
      <c r="N52" s="148"/>
      <c r="O52" s="148"/>
      <c r="P52" s="148"/>
      <c r="Q52" s="148"/>
      <c r="S52" s="148"/>
      <c r="T52" s="148"/>
      <c r="U52" s="148"/>
      <c r="V52" s="148"/>
      <c r="W52" s="148"/>
    </row>
    <row r="53" spans="1:23">
      <c r="A53" s="148"/>
      <c r="B53" s="148"/>
      <c r="C53" s="148"/>
      <c r="D53" s="148"/>
      <c r="E53" s="148"/>
      <c r="F53" s="148"/>
      <c r="G53" s="148"/>
      <c r="H53" s="148"/>
      <c r="I53" s="148"/>
      <c r="J53" s="148"/>
      <c r="K53" s="148"/>
      <c r="L53" s="148"/>
      <c r="M53" s="148"/>
      <c r="N53" s="148"/>
      <c r="O53" s="148"/>
      <c r="P53" s="148"/>
      <c r="Q53" s="148"/>
      <c r="S53" s="148"/>
      <c r="T53" s="148"/>
      <c r="U53" s="148"/>
      <c r="V53" s="148"/>
      <c r="W53" s="148"/>
    </row>
    <row r="54" spans="1:23">
      <c r="A54" s="148"/>
      <c r="B54" s="148"/>
      <c r="C54" s="148"/>
      <c r="D54" s="148"/>
      <c r="E54" s="148"/>
      <c r="F54" s="148"/>
      <c r="G54" s="148"/>
      <c r="H54" s="148"/>
      <c r="I54" s="148"/>
      <c r="J54" s="148"/>
      <c r="K54" s="148"/>
      <c r="L54" s="148"/>
      <c r="M54" s="148"/>
      <c r="N54" s="148"/>
      <c r="O54" s="148"/>
      <c r="P54" s="148"/>
      <c r="Q54" s="148"/>
      <c r="S54" s="148"/>
      <c r="T54" s="148"/>
      <c r="U54" s="148"/>
      <c r="V54" s="148"/>
      <c r="W54" s="148"/>
    </row>
    <row r="55" spans="1:23">
      <c r="A55" s="148"/>
      <c r="B55" s="148"/>
      <c r="C55" s="148"/>
      <c r="D55" s="148"/>
      <c r="E55" s="148"/>
      <c r="F55" s="148"/>
      <c r="G55" s="148"/>
      <c r="H55" s="148"/>
      <c r="I55" s="148"/>
      <c r="J55" s="148"/>
      <c r="K55" s="148"/>
      <c r="L55" s="148"/>
      <c r="M55" s="148"/>
      <c r="N55" s="148"/>
      <c r="O55" s="148"/>
      <c r="P55" s="148"/>
      <c r="Q55" s="148"/>
      <c r="S55" s="148"/>
      <c r="T55" s="148"/>
      <c r="U55" s="148"/>
      <c r="V55" s="148"/>
      <c r="W55" s="148"/>
    </row>
    <row r="56" spans="1:23">
      <c r="A56" s="148"/>
      <c r="B56" s="148"/>
      <c r="C56" s="148"/>
      <c r="D56" s="148"/>
      <c r="E56" s="148"/>
      <c r="F56" s="148"/>
      <c r="G56" s="148"/>
      <c r="H56" s="148"/>
      <c r="I56" s="148"/>
      <c r="J56" s="148"/>
      <c r="K56" s="148"/>
      <c r="L56" s="148"/>
      <c r="M56" s="148"/>
      <c r="N56" s="148"/>
      <c r="O56" s="148"/>
      <c r="P56" s="148"/>
      <c r="Q56" s="148"/>
      <c r="S56" s="148"/>
      <c r="T56" s="148"/>
      <c r="U56" s="148"/>
      <c r="V56" s="148"/>
      <c r="W56" s="148"/>
    </row>
    <row r="57" spans="1:23">
      <c r="A57" s="148"/>
      <c r="B57" s="148"/>
      <c r="C57" s="148"/>
      <c r="D57" s="148"/>
      <c r="E57" s="148"/>
      <c r="F57" s="148"/>
      <c r="G57" s="148"/>
      <c r="H57" s="148"/>
      <c r="I57" s="148"/>
      <c r="J57" s="148"/>
      <c r="K57" s="148"/>
      <c r="L57" s="148"/>
      <c r="M57" s="148"/>
      <c r="N57" s="148"/>
      <c r="O57" s="148"/>
      <c r="P57" s="148"/>
      <c r="Q57" s="148"/>
      <c r="S57" s="148"/>
      <c r="T57" s="148"/>
      <c r="U57" s="148"/>
      <c r="V57" s="148"/>
      <c r="W57" s="148"/>
    </row>
    <row r="58" spans="1:23">
      <c r="A58" s="148"/>
      <c r="B58" s="148"/>
      <c r="C58" s="148"/>
      <c r="D58" s="148"/>
      <c r="E58" s="148"/>
      <c r="F58" s="148"/>
      <c r="G58" s="148"/>
      <c r="H58" s="148"/>
      <c r="I58" s="148"/>
      <c r="J58" s="148"/>
      <c r="K58" s="148"/>
      <c r="L58" s="148"/>
      <c r="M58" s="148"/>
      <c r="N58" s="148"/>
      <c r="O58" s="148"/>
      <c r="P58" s="148"/>
      <c r="Q58" s="148"/>
      <c r="S58" s="148"/>
      <c r="T58" s="148"/>
      <c r="U58" s="148"/>
      <c r="V58" s="148"/>
      <c r="W58" s="148"/>
    </row>
    <row r="59" spans="1:23">
      <c r="A59" s="148"/>
      <c r="B59" s="148"/>
      <c r="C59" s="148"/>
      <c r="D59" s="148"/>
      <c r="E59" s="148"/>
      <c r="F59" s="148"/>
      <c r="G59" s="148"/>
      <c r="H59" s="148"/>
      <c r="I59" s="148"/>
      <c r="J59" s="148"/>
      <c r="K59" s="148"/>
      <c r="L59" s="148"/>
      <c r="M59" s="148"/>
      <c r="N59" s="148"/>
      <c r="O59" s="148"/>
      <c r="P59" s="148"/>
      <c r="Q59" s="148"/>
      <c r="S59" s="148"/>
      <c r="T59" s="148"/>
      <c r="U59" s="148"/>
      <c r="V59" s="148"/>
      <c r="W59" s="148"/>
    </row>
    <row r="60" spans="1:23">
      <c r="A60" s="148"/>
      <c r="B60" s="148"/>
      <c r="C60" s="148"/>
      <c r="D60" s="148"/>
      <c r="E60" s="148"/>
      <c r="F60" s="148"/>
      <c r="G60" s="148"/>
      <c r="H60" s="148"/>
      <c r="I60" s="148"/>
      <c r="J60" s="148"/>
      <c r="K60" s="148"/>
      <c r="L60" s="148"/>
      <c r="M60" s="148"/>
      <c r="N60" s="148"/>
      <c r="O60" s="148"/>
      <c r="P60" s="148"/>
      <c r="Q60" s="148"/>
      <c r="S60" s="148"/>
      <c r="T60" s="148"/>
      <c r="U60" s="148"/>
      <c r="V60" s="148"/>
      <c r="W60" s="148"/>
    </row>
    <row r="61" spans="1:23">
      <c r="A61" s="148"/>
      <c r="B61" s="148"/>
      <c r="C61" s="148"/>
      <c r="D61" s="148"/>
      <c r="E61" s="148"/>
      <c r="F61" s="148"/>
      <c r="G61" s="148"/>
      <c r="H61" s="148"/>
      <c r="I61" s="148"/>
      <c r="J61" s="148"/>
      <c r="K61" s="148"/>
      <c r="L61" s="148"/>
      <c r="M61" s="148"/>
      <c r="N61" s="148"/>
      <c r="O61" s="148"/>
      <c r="P61" s="148"/>
      <c r="Q61" s="148"/>
      <c r="S61" s="148"/>
      <c r="T61" s="148"/>
      <c r="U61" s="148"/>
      <c r="V61" s="148"/>
      <c r="W61" s="148"/>
    </row>
    <row r="62" spans="1:23">
      <c r="A62" s="148"/>
      <c r="B62" s="148"/>
      <c r="C62" s="148"/>
      <c r="D62" s="148"/>
      <c r="E62" s="148"/>
      <c r="F62" s="148"/>
      <c r="G62" s="148"/>
      <c r="H62" s="148"/>
      <c r="I62" s="148"/>
      <c r="J62" s="148"/>
      <c r="K62" s="148"/>
      <c r="L62" s="148"/>
      <c r="M62" s="148"/>
      <c r="N62" s="148"/>
      <c r="O62" s="148"/>
      <c r="P62" s="148"/>
      <c r="Q62" s="148"/>
      <c r="S62" s="148"/>
      <c r="T62" s="148"/>
      <c r="U62" s="148"/>
      <c r="V62" s="148"/>
      <c r="W62" s="148"/>
    </row>
    <row r="63" spans="1:23">
      <c r="A63" s="148"/>
      <c r="B63" s="148"/>
      <c r="C63" s="148"/>
      <c r="D63" s="148"/>
      <c r="E63" s="148"/>
      <c r="F63" s="148"/>
      <c r="G63" s="148"/>
      <c r="H63" s="148"/>
      <c r="I63" s="148"/>
      <c r="J63" s="148"/>
      <c r="K63" s="148"/>
      <c r="L63" s="148"/>
      <c r="M63" s="148"/>
      <c r="N63" s="148"/>
      <c r="O63" s="148"/>
      <c r="P63" s="148"/>
      <c r="Q63" s="148"/>
      <c r="S63" s="148"/>
      <c r="T63" s="148"/>
      <c r="U63" s="148"/>
      <c r="V63" s="148"/>
      <c r="W63" s="148"/>
    </row>
    <row r="64" spans="1:23">
      <c r="A64" s="148"/>
      <c r="B64" s="148"/>
      <c r="C64" s="148"/>
      <c r="D64" s="148"/>
      <c r="E64" s="148"/>
      <c r="F64" s="148"/>
      <c r="G64" s="148"/>
      <c r="H64" s="148"/>
      <c r="I64" s="148"/>
      <c r="J64" s="148"/>
      <c r="K64" s="148"/>
      <c r="L64" s="148"/>
      <c r="M64" s="148"/>
      <c r="N64" s="148"/>
      <c r="O64" s="148"/>
      <c r="P64" s="148"/>
      <c r="Q64" s="148"/>
      <c r="S64" s="148"/>
      <c r="T64" s="148"/>
      <c r="U64" s="148"/>
      <c r="V64" s="148"/>
      <c r="W64" s="148"/>
    </row>
    <row r="65" spans="1:23">
      <c r="A65" s="148"/>
      <c r="B65" s="148"/>
      <c r="C65" s="148"/>
      <c r="D65" s="148"/>
      <c r="E65" s="148"/>
      <c r="F65" s="148"/>
      <c r="G65" s="148"/>
      <c r="H65" s="148"/>
      <c r="I65" s="148"/>
      <c r="J65" s="148"/>
      <c r="K65" s="148"/>
      <c r="L65" s="148"/>
      <c r="M65" s="148"/>
      <c r="N65" s="148"/>
      <c r="O65" s="148"/>
      <c r="P65" s="148"/>
      <c r="Q65" s="148"/>
      <c r="S65" s="148"/>
      <c r="T65" s="148"/>
      <c r="U65" s="148"/>
      <c r="V65" s="148"/>
      <c r="W65" s="148"/>
    </row>
    <row r="66" spans="1:23">
      <c r="A66" s="148"/>
      <c r="B66" s="148"/>
      <c r="C66" s="148"/>
      <c r="D66" s="148"/>
      <c r="E66" s="148"/>
      <c r="F66" s="148"/>
      <c r="G66" s="148"/>
      <c r="H66" s="148"/>
      <c r="I66" s="148"/>
      <c r="J66" s="148"/>
      <c r="K66" s="148"/>
      <c r="L66" s="148"/>
      <c r="M66" s="148"/>
      <c r="N66" s="148"/>
      <c r="O66" s="148"/>
      <c r="P66" s="148"/>
      <c r="Q66" s="148"/>
      <c r="S66" s="148"/>
      <c r="T66" s="148"/>
      <c r="U66" s="148"/>
      <c r="V66" s="148"/>
      <c r="W66" s="148"/>
    </row>
    <row r="67" spans="1:23">
      <c r="A67" s="148"/>
      <c r="B67" s="148"/>
      <c r="C67" s="148"/>
      <c r="D67" s="148"/>
      <c r="E67" s="148"/>
      <c r="F67" s="148"/>
      <c r="G67" s="148"/>
      <c r="H67" s="148"/>
      <c r="I67" s="148"/>
      <c r="J67" s="148"/>
      <c r="K67" s="148"/>
      <c r="L67" s="148"/>
      <c r="M67" s="148"/>
      <c r="N67" s="148"/>
      <c r="O67" s="148"/>
      <c r="P67" s="148"/>
      <c r="Q67" s="148"/>
      <c r="S67" s="148"/>
      <c r="T67" s="148"/>
      <c r="U67" s="148"/>
      <c r="V67" s="148"/>
      <c r="W67" s="148"/>
    </row>
  </sheetData>
  <sheetProtection selectLockedCells="1" selectUnlockedCells="1"/>
  <mergeCells count="8">
    <mergeCell ref="A16:C16"/>
    <mergeCell ref="A15:C15"/>
    <mergeCell ref="A8:D8"/>
    <mergeCell ref="A9:D10"/>
    <mergeCell ref="A11:C11"/>
    <mergeCell ref="A12:C12"/>
    <mergeCell ref="A13:C13"/>
    <mergeCell ref="A14:C14"/>
  </mergeCells>
  <conditionalFormatting sqref="A17:D41 A1:D7 A42:Q67 S1:W67 E1:P41">
    <cfRule type="expression" dxfId="31" priority="2" stopIfTrue="1">
      <formula>$M$30</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98305" r:id="rId4" name="Button 1">
              <controlPr defaultSize="0" print="0" autoFill="0" autoPict="0" macro="[0]!go_figures_inflation_income_rates">
                <anchor moveWithCells="1" sizeWithCells="1">
                  <from>
                    <xdr:col>0</xdr:col>
                    <xdr:colOff>88900</xdr:colOff>
                    <xdr:row>3</xdr:row>
                    <xdr:rowOff>57150</xdr:rowOff>
                  </from>
                  <to>
                    <xdr:col>0</xdr:col>
                    <xdr:colOff>1460500</xdr:colOff>
                    <xdr:row>6</xdr:row>
                    <xdr:rowOff>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4"/>
  <dimension ref="A1:IV74"/>
  <sheetViews>
    <sheetView showGridLines="0" showRowColHeaders="0" zoomScale="95" zoomScaleNormal="95" workbookViewId="0">
      <selection activeCell="G9" sqref="G9"/>
    </sheetView>
  </sheetViews>
  <sheetFormatPr defaultColWidth="10.90625" defaultRowHeight="12.5"/>
  <cols>
    <col min="1" max="1" width="23.1796875" customWidth="1"/>
    <col min="2" max="2" width="4.26953125" customWidth="1"/>
    <col min="3" max="4" width="4" customWidth="1"/>
    <col min="18" max="18" width="0" hidden="1" customWidth="1"/>
  </cols>
  <sheetData>
    <row r="1" spans="1:256" s="148" customFormat="1">
      <c r="R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row>
    <row r="2" spans="1:256" s="148" customFormat="1">
      <c r="R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row>
    <row r="3" spans="1:256" s="148" customFormat="1">
      <c r="R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row>
    <row r="4" spans="1:256" s="148" customFormat="1">
      <c r="R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row>
    <row r="5" spans="1:256" s="148" customFormat="1">
      <c r="R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row>
    <row r="6" spans="1:256" s="148" customFormat="1">
      <c r="R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row>
    <row r="7" spans="1:256" s="148" customFormat="1">
      <c r="R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row>
    <row r="8" spans="1:256" s="148" customFormat="1">
      <c r="R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row>
    <row r="9" spans="1:256" s="148" customFormat="1">
      <c r="R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row>
    <row r="10" spans="1:256" s="148" customFormat="1">
      <c r="R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row>
    <row r="11" spans="1:256" s="148" customFormat="1">
      <c r="R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row>
    <row r="12" spans="1:256" s="148" customFormat="1">
      <c r="R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1:256" s="148" customFormat="1">
      <c r="R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1:256" s="148" customFormat="1" ht="13" thickBot="1">
      <c r="R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1:256" ht="14" thickTop="1" thickBot="1">
      <c r="A15" s="705" t="s">
        <v>123</v>
      </c>
      <c r="B15" s="706"/>
      <c r="C15" s="706"/>
      <c r="D15" s="707"/>
      <c r="E15" s="148"/>
      <c r="F15" s="148"/>
      <c r="G15" s="148"/>
      <c r="H15" s="148"/>
      <c r="I15" s="148"/>
      <c r="J15" s="148"/>
      <c r="K15" s="148"/>
      <c r="L15" s="148"/>
      <c r="M15" s="148"/>
      <c r="N15" s="148"/>
      <c r="O15" s="148"/>
      <c r="P15" s="148"/>
      <c r="Q15" s="148"/>
      <c r="S15" s="148"/>
      <c r="T15" s="148"/>
      <c r="U15" s="148"/>
      <c r="V15" s="148"/>
      <c r="W15" s="148"/>
    </row>
    <row r="16" spans="1:256" ht="13" thickTop="1">
      <c r="A16" s="708" t="str">
        <f>'main page'!A2</f>
        <v>Main page-Closed economy</v>
      </c>
      <c r="B16" s="709"/>
      <c r="C16" s="709"/>
      <c r="D16" s="710"/>
      <c r="E16" s="148"/>
      <c r="F16" s="148"/>
      <c r="G16" s="148"/>
      <c r="H16" s="148"/>
      <c r="I16" s="148"/>
      <c r="J16" s="148"/>
      <c r="K16" s="148"/>
      <c r="L16" s="148"/>
      <c r="M16" s="148"/>
      <c r="N16" s="148"/>
      <c r="O16" s="148"/>
      <c r="P16" s="148"/>
      <c r="Q16" s="148"/>
      <c r="S16" s="148"/>
      <c r="T16" s="148"/>
      <c r="U16" s="148"/>
      <c r="V16" s="148"/>
      <c r="W16" s="148"/>
    </row>
    <row r="17" spans="1:23">
      <c r="A17" s="711"/>
      <c r="B17" s="712"/>
      <c r="C17" s="712"/>
      <c r="D17" s="713"/>
      <c r="E17" s="148"/>
      <c r="F17" s="148"/>
      <c r="G17" s="148"/>
      <c r="H17" s="148"/>
      <c r="I17" s="148"/>
      <c r="J17" s="148"/>
      <c r="K17" s="148"/>
      <c r="L17" s="148"/>
      <c r="M17" s="148"/>
      <c r="N17" s="148"/>
      <c r="O17" s="148"/>
      <c r="P17" s="148"/>
      <c r="Q17" s="148"/>
      <c r="S17" s="148"/>
      <c r="T17" s="148"/>
      <c r="U17" s="148"/>
      <c r="V17" s="148"/>
      <c r="W17" s="148"/>
    </row>
    <row r="18" spans="1:23" ht="13">
      <c r="A18" s="714" t="s">
        <v>101</v>
      </c>
      <c r="B18" s="700"/>
      <c r="C18" s="701"/>
      <c r="D18" s="308" t="str">
        <f>IF('main page'!$G$8="","no","yes")</f>
        <v>no</v>
      </c>
      <c r="E18" s="148"/>
      <c r="F18" s="148"/>
      <c r="G18" s="148"/>
      <c r="H18" s="148"/>
      <c r="I18" s="148"/>
      <c r="J18" s="148"/>
      <c r="K18" s="148"/>
      <c r="L18" s="148"/>
      <c r="M18" s="148"/>
      <c r="N18" s="148"/>
      <c r="O18" s="148"/>
      <c r="P18" s="148"/>
      <c r="Q18" s="148"/>
      <c r="S18" s="148"/>
      <c r="T18" s="148"/>
      <c r="U18" s="148"/>
      <c r="V18" s="148"/>
      <c r="W18" s="148"/>
    </row>
    <row r="19" spans="1:23" ht="13">
      <c r="A19" s="714" t="s">
        <v>100</v>
      </c>
      <c r="B19" s="700"/>
      <c r="C19" s="701"/>
      <c r="D19" s="308" t="str">
        <f>IF('main page'!$K$8="","no","yes")</f>
        <v>no</v>
      </c>
      <c r="E19" s="148"/>
      <c r="F19" s="148"/>
      <c r="G19" s="148"/>
      <c r="H19" s="148"/>
      <c r="I19" s="148"/>
      <c r="J19" s="148"/>
      <c r="K19" s="148"/>
      <c r="L19" s="148"/>
      <c r="M19" s="148"/>
      <c r="N19" s="148"/>
      <c r="O19" s="148"/>
      <c r="P19" s="148"/>
      <c r="Q19" s="148"/>
      <c r="S19" s="148"/>
      <c r="T19" s="148"/>
      <c r="U19" s="148"/>
      <c r="V19" s="148"/>
      <c r="W19" s="148"/>
    </row>
    <row r="20" spans="1:23" ht="13">
      <c r="A20" s="714" t="s">
        <v>184</v>
      </c>
      <c r="B20" s="700"/>
      <c r="C20" s="701"/>
      <c r="D20" s="309" t="str">
        <f>IF(controls!$B$4=2,"no",IF('main page'!$H$16="","no","yes"))</f>
        <v>no</v>
      </c>
      <c r="E20" s="148"/>
      <c r="F20" s="148"/>
      <c r="G20" s="148"/>
      <c r="H20" s="148"/>
      <c r="I20" s="148"/>
      <c r="J20" s="148"/>
      <c r="K20" s="148"/>
      <c r="L20" s="148"/>
      <c r="M20" s="148"/>
      <c r="N20" s="148"/>
      <c r="O20" s="148"/>
      <c r="P20" s="148"/>
      <c r="Q20" s="148"/>
      <c r="S20" s="148"/>
      <c r="T20" s="148"/>
      <c r="U20" s="148"/>
      <c r="V20" s="148"/>
      <c r="W20" s="148"/>
    </row>
    <row r="21" spans="1:23" ht="13">
      <c r="A21" s="714" t="s">
        <v>102</v>
      </c>
      <c r="B21" s="700"/>
      <c r="C21" s="701"/>
      <c r="D21" s="309" t="str">
        <f>IF(controls!$B$8=FALSE,"no",IF(controls!$B$8=TRUE,"yes",""))</f>
        <v>no</v>
      </c>
      <c r="E21" s="148"/>
      <c r="F21" s="148"/>
      <c r="G21" s="148"/>
      <c r="H21" s="148"/>
      <c r="I21" s="148"/>
      <c r="J21" s="148"/>
      <c r="K21" s="148"/>
      <c r="L21" s="148"/>
      <c r="M21" s="148"/>
      <c r="N21" s="148"/>
      <c r="O21" s="148"/>
      <c r="P21" s="148"/>
      <c r="Q21" s="148"/>
      <c r="S21" s="148"/>
      <c r="T21" s="148"/>
      <c r="U21" s="148"/>
      <c r="V21" s="148"/>
      <c r="W21" s="148"/>
    </row>
    <row r="22" spans="1:23" ht="13">
      <c r="A22" s="702" t="str">
        <f>IF('main page'!S43=1,"","Stabilization fiscal measure")</f>
        <v>Stabilization fiscal measure</v>
      </c>
      <c r="B22" s="703"/>
      <c r="C22" s="704"/>
      <c r="D22" s="309" t="str">
        <f>IF('main page'!S43=1,"",IF('main page'!$U$22="","no","yes"))</f>
        <v>no</v>
      </c>
      <c r="E22" s="148"/>
      <c r="F22" s="148"/>
      <c r="G22" s="148"/>
      <c r="H22" s="148"/>
      <c r="I22" s="148"/>
      <c r="J22" s="148"/>
      <c r="K22" s="148"/>
      <c r="L22" s="148"/>
      <c r="M22" s="148"/>
      <c r="N22" s="148"/>
      <c r="O22" s="148"/>
      <c r="P22" s="148"/>
      <c r="Q22" s="148"/>
      <c r="S22" s="148"/>
      <c r="T22" s="148"/>
      <c r="U22" s="148"/>
      <c r="V22" s="148"/>
      <c r="W22" s="148"/>
    </row>
    <row r="23" spans="1:23" ht="13">
      <c r="A23" s="702" t="str">
        <f>IF(controls!B44=0,"Hysteresis","")</f>
        <v>Hysteresis</v>
      </c>
      <c r="B23" s="703"/>
      <c r="C23" s="704"/>
      <c r="D23" s="309" t="str">
        <f>IF(controls!B44=0,IF($B$38=1,"yes","no"),"")</f>
        <v>no</v>
      </c>
      <c r="E23" s="148"/>
      <c r="F23" s="148"/>
      <c r="G23" s="148"/>
      <c r="H23" s="148"/>
      <c r="I23" s="148"/>
      <c r="J23" s="148"/>
      <c r="K23" s="148"/>
      <c r="L23" s="447"/>
      <c r="M23" s="148"/>
      <c r="N23" s="148"/>
      <c r="O23" s="148"/>
      <c r="P23" s="148"/>
      <c r="Q23" s="148"/>
      <c r="S23" s="148"/>
      <c r="T23" s="148"/>
      <c r="U23" s="148"/>
      <c r="V23" s="148"/>
      <c r="W23" s="148"/>
    </row>
    <row r="24" spans="1:23">
      <c r="A24" s="148"/>
      <c r="B24" s="148"/>
      <c r="C24" s="148"/>
      <c r="D24" s="148"/>
      <c r="E24" s="148"/>
      <c r="F24" s="148"/>
      <c r="G24" s="148"/>
      <c r="H24" s="148"/>
      <c r="I24" s="148"/>
      <c r="J24" s="148"/>
      <c r="K24" s="148"/>
      <c r="L24" s="447"/>
      <c r="M24" s="148"/>
      <c r="N24" s="148"/>
      <c r="O24" s="148"/>
      <c r="P24" s="148"/>
      <c r="Q24" s="148"/>
      <c r="S24" s="148"/>
      <c r="T24" s="148"/>
      <c r="U24" s="148"/>
      <c r="V24" s="148"/>
      <c r="W24" s="148"/>
    </row>
    <row r="25" spans="1:23">
      <c r="A25" s="148"/>
      <c r="B25" s="148"/>
      <c r="C25" s="148"/>
      <c r="D25" s="148"/>
      <c r="E25" s="148"/>
      <c r="F25" s="148"/>
      <c r="G25" s="148"/>
      <c r="H25" s="148"/>
      <c r="I25" s="148"/>
      <c r="J25" s="148"/>
      <c r="K25" s="148"/>
      <c r="L25" s="148"/>
      <c r="M25" s="148"/>
      <c r="N25" s="148"/>
      <c r="O25" s="148"/>
      <c r="P25" s="148"/>
      <c r="Q25" s="148"/>
      <c r="S25" s="148"/>
      <c r="T25" s="148"/>
      <c r="U25" s="148"/>
      <c r="V25" s="148"/>
      <c r="W25" s="148"/>
    </row>
    <row r="26" spans="1:23">
      <c r="A26" s="148"/>
      <c r="B26" s="148"/>
      <c r="C26" s="148"/>
      <c r="D26" s="148"/>
      <c r="E26" s="148"/>
      <c r="F26" s="148"/>
      <c r="G26" s="148"/>
      <c r="H26" s="148"/>
      <c r="I26" s="148"/>
      <c r="J26" s="148"/>
      <c r="K26" s="148"/>
      <c r="L26" s="148"/>
      <c r="M26" s="148"/>
      <c r="N26" s="148"/>
      <c r="O26" s="148"/>
      <c r="P26" s="148"/>
      <c r="Q26" s="148"/>
      <c r="S26" s="148"/>
      <c r="T26" s="148"/>
      <c r="U26" s="148"/>
      <c r="V26" s="148"/>
      <c r="W26" s="148"/>
    </row>
    <row r="27" spans="1:23">
      <c r="A27" s="148"/>
      <c r="B27" s="148"/>
      <c r="C27" s="148"/>
      <c r="D27" s="148"/>
      <c r="E27" s="148"/>
      <c r="F27" s="148"/>
      <c r="G27" s="148"/>
      <c r="H27" s="148"/>
      <c r="I27" s="148"/>
      <c r="J27" s="148"/>
      <c r="K27" s="148"/>
      <c r="L27" s="148"/>
      <c r="M27" s="148"/>
      <c r="N27" s="148"/>
      <c r="O27" s="148"/>
      <c r="P27" s="148"/>
      <c r="Q27" s="148"/>
      <c r="S27" s="148"/>
      <c r="T27" s="148"/>
      <c r="U27" s="148"/>
      <c r="V27" s="148"/>
      <c r="W27" s="148"/>
    </row>
    <row r="28" spans="1:23">
      <c r="A28" s="148"/>
      <c r="B28" s="148"/>
      <c r="C28" s="148"/>
      <c r="D28" s="148"/>
      <c r="E28" s="148"/>
      <c r="F28" s="148">
        <f>controls!B44</f>
        <v>0</v>
      </c>
      <c r="G28" s="148"/>
      <c r="H28" s="148"/>
      <c r="I28" s="148"/>
      <c r="J28" s="148"/>
      <c r="K28" s="148"/>
      <c r="L28" s="148"/>
      <c r="M28" s="148"/>
      <c r="N28" s="148"/>
      <c r="O28" s="148"/>
      <c r="P28" s="148"/>
      <c r="Q28" s="148"/>
      <c r="S28" s="148"/>
      <c r="T28" s="148"/>
      <c r="U28" s="148"/>
      <c r="V28" s="148"/>
      <c r="W28" s="148"/>
    </row>
    <row r="29" spans="1:23">
      <c r="A29" s="148"/>
      <c r="B29" s="148"/>
      <c r="C29" s="148"/>
      <c r="D29" s="148"/>
      <c r="E29" s="148"/>
      <c r="F29" s="148"/>
      <c r="G29" s="148"/>
      <c r="H29" s="148"/>
      <c r="I29" s="148"/>
      <c r="J29" s="148"/>
      <c r="K29" s="148"/>
      <c r="L29" s="148"/>
      <c r="M29" s="148"/>
      <c r="N29" s="148"/>
      <c r="O29" s="148"/>
      <c r="P29" s="148"/>
      <c r="Q29" s="148"/>
      <c r="S29" s="148"/>
      <c r="T29" s="148"/>
      <c r="U29" s="148"/>
      <c r="V29" s="148"/>
      <c r="W29" s="148"/>
    </row>
    <row r="30" spans="1:23">
      <c r="A30" s="148"/>
      <c r="B30" s="148"/>
      <c r="C30" s="148"/>
      <c r="D30" s="148"/>
      <c r="E30" s="148"/>
      <c r="F30" s="148"/>
      <c r="G30" s="148"/>
      <c r="H30" s="148"/>
      <c r="I30" s="148"/>
      <c r="J30" s="148"/>
      <c r="K30" s="148"/>
      <c r="L30" s="148"/>
      <c r="M30" s="148"/>
      <c r="N30" s="148"/>
      <c r="O30" s="148"/>
      <c r="P30" s="148"/>
      <c r="Q30" s="148"/>
      <c r="S30" s="148"/>
      <c r="T30" s="148"/>
      <c r="U30" s="148"/>
      <c r="V30" s="148"/>
      <c r="W30" s="148"/>
    </row>
    <row r="31" spans="1:23">
      <c r="A31" s="148"/>
      <c r="B31" s="148"/>
      <c r="C31" s="148"/>
      <c r="D31" s="148"/>
      <c r="E31" s="148"/>
      <c r="F31" s="148"/>
      <c r="G31" s="148"/>
      <c r="H31" s="148"/>
      <c r="I31" s="148"/>
      <c r="J31" s="148"/>
      <c r="K31" s="148"/>
      <c r="L31" s="148"/>
      <c r="M31" s="148"/>
      <c r="N31" s="148"/>
      <c r="O31" s="148"/>
      <c r="P31" s="148"/>
      <c r="Q31" s="148"/>
      <c r="S31" s="148"/>
      <c r="T31" s="148"/>
      <c r="U31" s="148"/>
      <c r="V31" s="148"/>
      <c r="W31" s="148"/>
    </row>
    <row r="32" spans="1:23">
      <c r="A32" s="148"/>
      <c r="B32" s="148"/>
      <c r="C32" s="148"/>
      <c r="D32" s="148"/>
      <c r="E32" s="148"/>
      <c r="F32" s="148"/>
      <c r="G32" s="473" t="s">
        <v>242</v>
      </c>
      <c r="H32" s="148"/>
      <c r="I32" s="148"/>
      <c r="J32" s="148"/>
      <c r="K32" s="148"/>
      <c r="L32" s="148"/>
      <c r="M32" s="148"/>
      <c r="N32" s="148"/>
      <c r="O32" s="148"/>
      <c r="P32" s="148"/>
      <c r="Q32" s="148"/>
      <c r="S32" s="148"/>
      <c r="T32" s="148"/>
      <c r="U32" s="148"/>
      <c r="V32" s="148"/>
      <c r="W32" s="148"/>
    </row>
    <row r="33" spans="1:23">
      <c r="A33" s="148"/>
      <c r="B33" s="148"/>
      <c r="C33" s="148"/>
      <c r="D33" s="148"/>
      <c r="E33" s="148"/>
      <c r="F33" s="148"/>
      <c r="G33" s="178" t="b">
        <v>0</v>
      </c>
      <c r="H33" s="148"/>
      <c r="I33" s="148"/>
      <c r="J33" s="148"/>
      <c r="K33" s="148"/>
      <c r="L33" s="148"/>
      <c r="M33" s="148"/>
      <c r="N33" s="148"/>
      <c r="O33" s="148"/>
      <c r="P33" s="148"/>
      <c r="Q33" s="148"/>
      <c r="S33" s="148"/>
      <c r="T33" s="148"/>
      <c r="U33" s="148"/>
      <c r="V33" s="148"/>
      <c r="W33" s="148"/>
    </row>
    <row r="34" spans="1:23">
      <c r="A34" s="148"/>
      <c r="B34" s="148"/>
      <c r="C34" s="148"/>
      <c r="D34" s="148"/>
      <c r="E34" s="148"/>
      <c r="F34" s="148"/>
      <c r="G34" s="148"/>
      <c r="H34" s="148"/>
      <c r="I34" s="148"/>
      <c r="J34" s="148"/>
      <c r="K34" s="148"/>
      <c r="L34" s="148"/>
      <c r="M34" s="148"/>
      <c r="N34" s="148"/>
      <c r="O34" s="148"/>
      <c r="P34" s="148"/>
      <c r="Q34" s="148"/>
      <c r="S34" s="148"/>
      <c r="T34" s="148"/>
      <c r="U34" s="148"/>
      <c r="V34" s="148"/>
      <c r="W34" s="148"/>
    </row>
    <row r="35" spans="1:23">
      <c r="A35" s="148"/>
      <c r="B35" s="148"/>
      <c r="C35" s="148"/>
      <c r="D35" s="148"/>
      <c r="E35" s="148"/>
      <c r="F35" s="148"/>
      <c r="G35" s="148"/>
      <c r="H35" s="148"/>
      <c r="I35" s="148"/>
      <c r="J35" s="148"/>
      <c r="K35" s="148"/>
      <c r="L35" s="148"/>
      <c r="M35" s="148"/>
      <c r="N35" s="148"/>
      <c r="O35" s="148"/>
      <c r="P35" s="148"/>
      <c r="Q35" s="148"/>
      <c r="S35" s="148"/>
      <c r="T35" s="148"/>
      <c r="U35" s="148"/>
      <c r="V35" s="148"/>
      <c r="W35" s="148"/>
    </row>
    <row r="36" spans="1:23">
      <c r="A36" s="148"/>
      <c r="B36" s="148"/>
      <c r="C36" s="148"/>
      <c r="D36" s="148"/>
      <c r="E36" s="148"/>
      <c r="F36" s="148"/>
      <c r="G36" s="148"/>
      <c r="H36" s="148"/>
      <c r="I36" s="148"/>
      <c r="J36" s="148"/>
      <c r="K36" s="148"/>
      <c r="L36" s="148"/>
      <c r="M36" s="148"/>
      <c r="N36" s="148"/>
      <c r="O36" s="148"/>
      <c r="P36" s="148"/>
      <c r="Q36" s="148"/>
      <c r="S36" s="148"/>
      <c r="T36" s="148"/>
      <c r="U36" s="148"/>
      <c r="V36" s="148"/>
      <c r="W36" s="148"/>
    </row>
    <row r="37" spans="1:23">
      <c r="A37" s="148"/>
      <c r="B37" s="148"/>
      <c r="C37" s="148"/>
      <c r="D37" s="148"/>
      <c r="E37" s="148"/>
      <c r="F37" s="148"/>
      <c r="G37" s="148"/>
      <c r="H37" s="148"/>
      <c r="I37" s="148"/>
      <c r="J37" s="148"/>
      <c r="K37" s="148"/>
      <c r="L37" s="148"/>
      <c r="M37" s="148">
        <f>'main page'!S42</f>
        <v>0</v>
      </c>
      <c r="N37" s="148"/>
      <c r="O37" s="148"/>
      <c r="P37" s="148"/>
      <c r="Q37" s="148"/>
      <c r="S37" s="148"/>
      <c r="T37" s="148"/>
      <c r="U37" s="148"/>
      <c r="V37" s="148"/>
      <c r="W37" s="148"/>
    </row>
    <row r="38" spans="1:23">
      <c r="A38" s="453">
        <v>2</v>
      </c>
      <c r="B38" s="455">
        <v>2</v>
      </c>
      <c r="C38" s="148"/>
      <c r="D38" s="148"/>
      <c r="E38" s="148"/>
      <c r="F38" s="148"/>
      <c r="G38" s="148"/>
      <c r="H38" s="148"/>
      <c r="I38" s="148"/>
      <c r="J38" s="148"/>
      <c r="K38" s="148"/>
      <c r="L38" s="148"/>
      <c r="M38" s="148"/>
      <c r="N38" s="148"/>
      <c r="O38" s="148"/>
      <c r="P38" s="148"/>
      <c r="Q38" s="148"/>
      <c r="S38" s="148"/>
      <c r="T38" s="148"/>
      <c r="U38" s="148"/>
      <c r="V38" s="148"/>
      <c r="W38" s="148"/>
    </row>
    <row r="39" spans="1:23">
      <c r="A39" s="148"/>
      <c r="B39" s="148"/>
      <c r="C39" s="148"/>
      <c r="D39" s="148"/>
      <c r="E39" s="148"/>
      <c r="F39" s="148"/>
      <c r="G39" s="148"/>
      <c r="H39" s="148"/>
      <c r="I39" s="148"/>
      <c r="J39" s="148"/>
      <c r="K39" s="148"/>
      <c r="L39" s="148"/>
      <c r="M39" s="148"/>
      <c r="N39" s="148"/>
      <c r="O39" s="148"/>
      <c r="P39" s="148"/>
      <c r="Q39" s="148"/>
      <c r="S39" s="148"/>
      <c r="T39" s="148"/>
      <c r="U39" s="148"/>
      <c r="V39" s="148"/>
      <c r="W39" s="148"/>
    </row>
    <row r="40" spans="1:23">
      <c r="A40" s="148"/>
      <c r="B40" s="148"/>
      <c r="C40" s="148"/>
      <c r="D40" s="148"/>
      <c r="E40" s="148"/>
      <c r="F40" s="148"/>
      <c r="G40" s="148"/>
      <c r="H40" s="148"/>
      <c r="I40" s="148"/>
      <c r="J40" s="148"/>
      <c r="K40" s="148"/>
      <c r="L40" s="148"/>
      <c r="M40" s="148"/>
      <c r="N40" s="148"/>
      <c r="O40" s="148"/>
      <c r="P40" s="148"/>
      <c r="Q40" s="148"/>
      <c r="S40" s="148"/>
      <c r="T40" s="148"/>
      <c r="U40" s="148"/>
      <c r="V40" s="148"/>
      <c r="W40" s="148"/>
    </row>
    <row r="41" spans="1:23">
      <c r="A41" s="148"/>
      <c r="B41" s="148"/>
      <c r="C41" s="148"/>
      <c r="D41" s="148"/>
      <c r="E41" s="148"/>
      <c r="F41" s="148"/>
      <c r="G41" s="148"/>
      <c r="H41" s="148"/>
      <c r="I41" s="148"/>
      <c r="J41" s="148"/>
      <c r="K41" s="148"/>
      <c r="L41" s="148"/>
      <c r="M41" s="148"/>
      <c r="N41" s="148"/>
      <c r="O41" s="148"/>
      <c r="P41" s="148"/>
      <c r="Q41" s="148"/>
      <c r="S41" s="148"/>
      <c r="T41" s="148"/>
      <c r="U41" s="148"/>
      <c r="V41" s="148"/>
      <c r="W41" s="148"/>
    </row>
    <row r="42" spans="1:23">
      <c r="A42" s="148"/>
      <c r="B42" s="148"/>
      <c r="C42" s="148"/>
      <c r="D42" s="148"/>
      <c r="E42" s="148"/>
      <c r="F42" s="148"/>
      <c r="G42" s="148"/>
      <c r="H42" s="148"/>
      <c r="I42" s="148"/>
      <c r="J42" s="148"/>
      <c r="K42" s="148"/>
      <c r="L42" s="148"/>
      <c r="M42" s="148"/>
      <c r="N42" s="148"/>
      <c r="O42" s="148"/>
      <c r="P42" s="148"/>
      <c r="Q42" s="148"/>
      <c r="S42" s="148"/>
      <c r="T42" s="148"/>
      <c r="U42" s="148"/>
      <c r="V42" s="148"/>
      <c r="W42" s="148"/>
    </row>
    <row r="43" spans="1:23">
      <c r="A43" s="148"/>
      <c r="B43" s="148"/>
      <c r="C43" s="148"/>
      <c r="D43" s="148"/>
      <c r="E43" s="148"/>
      <c r="F43" s="148"/>
      <c r="G43" s="148"/>
      <c r="H43" s="148"/>
      <c r="I43" s="148"/>
      <c r="J43" s="148"/>
      <c r="K43" s="148"/>
      <c r="L43" s="148"/>
      <c r="M43" s="148"/>
      <c r="N43" s="148"/>
      <c r="O43" s="148"/>
      <c r="P43" s="148"/>
      <c r="Q43" s="148"/>
      <c r="S43" s="148"/>
      <c r="T43" s="148"/>
      <c r="U43" s="148"/>
      <c r="V43" s="148"/>
      <c r="W43" s="148"/>
    </row>
    <row r="44" spans="1:23">
      <c r="A44" s="148"/>
      <c r="B44" s="148"/>
      <c r="C44" s="148"/>
      <c r="D44" s="148"/>
      <c r="E44" s="148"/>
      <c r="F44" s="148"/>
      <c r="G44" s="148"/>
      <c r="H44" s="148"/>
      <c r="I44" s="148"/>
      <c r="J44" s="148"/>
      <c r="K44" s="148"/>
      <c r="L44" s="148"/>
      <c r="M44" s="148"/>
      <c r="N44" s="148"/>
      <c r="O44" s="148"/>
      <c r="P44" s="148"/>
      <c r="Q44" s="148"/>
      <c r="S44" s="148"/>
      <c r="T44" s="148"/>
      <c r="U44" s="148"/>
      <c r="V44" s="148"/>
      <c r="W44" s="148"/>
    </row>
    <row r="45" spans="1:23">
      <c r="A45" s="148"/>
      <c r="B45" s="148"/>
      <c r="C45" s="148"/>
      <c r="D45" s="148"/>
      <c r="E45" s="148"/>
      <c r="F45" s="148"/>
      <c r="G45" s="148"/>
      <c r="H45" s="148"/>
      <c r="I45" s="148"/>
      <c r="J45" s="148"/>
      <c r="K45" s="148"/>
      <c r="L45" s="148"/>
      <c r="M45" s="148"/>
      <c r="N45" s="148"/>
      <c r="O45" s="148"/>
      <c r="P45" s="148"/>
      <c r="Q45" s="148"/>
      <c r="S45" s="148"/>
      <c r="T45" s="148"/>
      <c r="U45" s="148"/>
      <c r="V45" s="148"/>
      <c r="W45" s="148"/>
    </row>
    <row r="46" spans="1:23">
      <c r="A46" s="148"/>
      <c r="B46" s="148"/>
      <c r="C46" s="148"/>
      <c r="D46" s="148"/>
      <c r="E46" s="148"/>
      <c r="F46" s="148"/>
      <c r="G46" s="148"/>
      <c r="H46" s="148"/>
      <c r="I46" s="148"/>
      <c r="J46" s="148"/>
      <c r="K46" s="148"/>
      <c r="L46" s="148"/>
      <c r="M46" s="148"/>
      <c r="N46" s="148"/>
      <c r="O46" s="148"/>
      <c r="P46" s="148"/>
      <c r="Q46" s="148"/>
      <c r="S46" s="148"/>
      <c r="T46" s="148"/>
      <c r="U46" s="148"/>
      <c r="V46" s="148"/>
      <c r="W46" s="148"/>
    </row>
    <row r="47" spans="1:23">
      <c r="A47" s="148"/>
      <c r="B47" s="148"/>
      <c r="C47" s="148"/>
      <c r="D47" s="148"/>
      <c r="E47" s="148"/>
      <c r="F47" s="148"/>
      <c r="G47" s="148"/>
      <c r="H47" s="148"/>
      <c r="I47" s="148"/>
      <c r="J47" s="148"/>
      <c r="K47" s="148"/>
      <c r="L47" s="148"/>
      <c r="M47" s="148"/>
      <c r="N47" s="148"/>
      <c r="O47" s="148"/>
      <c r="P47" s="148"/>
      <c r="Q47" s="148"/>
      <c r="S47" s="148"/>
      <c r="T47" s="148"/>
      <c r="U47" s="148"/>
      <c r="V47" s="148"/>
      <c r="W47" s="148"/>
    </row>
    <row r="48" spans="1:23">
      <c r="A48" s="148"/>
      <c r="B48" s="148"/>
      <c r="C48" s="148"/>
      <c r="D48" s="148"/>
      <c r="E48" s="148"/>
      <c r="F48" s="148"/>
      <c r="G48" s="148"/>
      <c r="H48" s="148"/>
      <c r="I48" s="148"/>
      <c r="J48" s="148"/>
      <c r="K48" s="148"/>
      <c r="L48" s="148"/>
      <c r="M48" s="148"/>
      <c r="N48" s="148"/>
      <c r="O48" s="148"/>
      <c r="P48" s="148"/>
      <c r="Q48" s="148"/>
      <c r="S48" s="148"/>
      <c r="T48" s="148"/>
      <c r="U48" s="148"/>
      <c r="V48" s="148"/>
      <c r="W48" s="148"/>
    </row>
    <row r="49" spans="1:23">
      <c r="A49" s="148"/>
      <c r="B49" s="148"/>
      <c r="C49" s="148"/>
      <c r="D49" s="148"/>
      <c r="E49" s="148"/>
      <c r="F49" s="148"/>
      <c r="G49" s="148"/>
      <c r="H49" s="148"/>
      <c r="I49" s="148"/>
      <c r="J49" s="148"/>
      <c r="K49" s="148"/>
      <c r="L49" s="148"/>
      <c r="M49" s="148"/>
      <c r="N49" s="148"/>
      <c r="O49" s="148"/>
      <c r="P49" s="148"/>
      <c r="Q49" s="148"/>
      <c r="S49" s="148"/>
      <c r="T49" s="148"/>
      <c r="U49" s="148"/>
      <c r="V49" s="148"/>
      <c r="W49" s="148"/>
    </row>
    <row r="50" spans="1:23">
      <c r="A50" s="148"/>
      <c r="B50" s="148"/>
      <c r="C50" s="148"/>
      <c r="D50" s="148"/>
      <c r="E50" s="148"/>
      <c r="F50" s="148"/>
      <c r="G50" s="148"/>
      <c r="H50" s="148"/>
      <c r="I50" s="148"/>
      <c r="J50" s="148"/>
      <c r="K50" s="148"/>
      <c r="L50" s="148"/>
      <c r="M50" s="148"/>
      <c r="N50" s="148"/>
      <c r="O50" s="148"/>
      <c r="P50" s="148"/>
      <c r="Q50" s="148"/>
      <c r="S50" s="148"/>
      <c r="T50" s="148"/>
      <c r="U50" s="148"/>
      <c r="V50" s="148"/>
      <c r="W50" s="148"/>
    </row>
    <row r="51" spans="1:23">
      <c r="A51" s="148"/>
      <c r="B51" s="148"/>
      <c r="C51" s="148"/>
      <c r="D51" s="148"/>
      <c r="E51" s="148"/>
      <c r="F51" s="148"/>
      <c r="G51" s="148"/>
      <c r="H51" s="148"/>
      <c r="I51" s="148"/>
      <c r="J51" s="148"/>
      <c r="K51" s="148"/>
      <c r="L51" s="148"/>
      <c r="M51" s="148"/>
      <c r="N51" s="148"/>
      <c r="O51" s="148"/>
      <c r="P51" s="148"/>
      <c r="Q51" s="148"/>
      <c r="S51" s="148"/>
      <c r="T51" s="148"/>
      <c r="U51" s="148"/>
      <c r="V51" s="148"/>
      <c r="W51" s="148"/>
    </row>
    <row r="52" spans="1:23">
      <c r="A52" s="148"/>
      <c r="B52" s="148"/>
      <c r="C52" s="148"/>
      <c r="D52" s="148"/>
      <c r="E52" s="148"/>
      <c r="F52" s="148"/>
      <c r="G52" s="148"/>
      <c r="H52" s="148"/>
      <c r="I52" s="148"/>
      <c r="J52" s="148"/>
      <c r="K52" s="148"/>
      <c r="L52" s="148"/>
      <c r="M52" s="148"/>
      <c r="N52" s="148"/>
      <c r="O52" s="148"/>
      <c r="P52" s="148"/>
      <c r="Q52" s="148"/>
      <c r="S52" s="148"/>
      <c r="T52" s="148"/>
      <c r="U52" s="148"/>
      <c r="V52" s="148"/>
      <c r="W52" s="148"/>
    </row>
    <row r="53" spans="1:23">
      <c r="A53" s="148"/>
      <c r="B53" s="148"/>
      <c r="C53" s="148"/>
      <c r="D53" s="148"/>
      <c r="E53" s="148"/>
      <c r="F53" s="148"/>
      <c r="G53" s="148"/>
      <c r="H53" s="148"/>
      <c r="I53" s="148"/>
      <c r="J53" s="148"/>
      <c r="K53" s="148"/>
      <c r="L53" s="148"/>
      <c r="M53" s="148"/>
      <c r="N53" s="148"/>
      <c r="O53" s="148"/>
      <c r="P53" s="148"/>
      <c r="Q53" s="148"/>
      <c r="S53" s="148"/>
      <c r="T53" s="148"/>
      <c r="U53" s="148"/>
      <c r="V53" s="148"/>
      <c r="W53" s="148"/>
    </row>
    <row r="54" spans="1:23">
      <c r="A54" s="148"/>
      <c r="B54" s="148"/>
      <c r="C54" s="148"/>
      <c r="D54" s="148"/>
      <c r="E54" s="148"/>
      <c r="F54" s="148"/>
      <c r="G54" s="148"/>
      <c r="H54" s="148"/>
      <c r="I54" s="148"/>
      <c r="J54" s="148"/>
      <c r="K54" s="148"/>
      <c r="L54" s="148"/>
      <c r="M54" s="148"/>
      <c r="N54" s="148"/>
      <c r="O54" s="148"/>
      <c r="P54" s="148"/>
      <c r="Q54" s="148"/>
      <c r="S54" s="148"/>
      <c r="T54" s="148"/>
      <c r="U54" s="148"/>
      <c r="V54" s="148"/>
      <c r="W54" s="148"/>
    </row>
    <row r="55" spans="1:23">
      <c r="A55" s="148"/>
      <c r="B55" s="148"/>
      <c r="C55" s="148"/>
      <c r="D55" s="148"/>
      <c r="E55" s="148"/>
      <c r="F55" s="148"/>
      <c r="G55" s="148"/>
      <c r="H55" s="148"/>
      <c r="I55" s="148"/>
      <c r="J55" s="148"/>
      <c r="K55" s="148"/>
      <c r="L55" s="148"/>
      <c r="M55" s="148"/>
      <c r="N55" s="148"/>
      <c r="O55" s="148"/>
      <c r="P55" s="148"/>
      <c r="Q55" s="148"/>
      <c r="S55" s="148"/>
      <c r="T55" s="148"/>
      <c r="U55" s="148"/>
      <c r="V55" s="148"/>
      <c r="W55" s="148"/>
    </row>
    <row r="56" spans="1:23">
      <c r="A56" s="148"/>
      <c r="B56" s="148"/>
      <c r="C56" s="148"/>
      <c r="D56" s="148"/>
      <c r="E56" s="148"/>
      <c r="F56" s="148"/>
      <c r="G56" s="148"/>
      <c r="H56" s="148"/>
      <c r="I56" s="148"/>
      <c r="J56" s="148"/>
      <c r="K56" s="148"/>
      <c r="L56" s="148"/>
      <c r="M56" s="148"/>
      <c r="N56" s="148"/>
      <c r="O56" s="148"/>
      <c r="P56" s="148"/>
      <c r="Q56" s="148"/>
      <c r="S56" s="148"/>
      <c r="T56" s="148"/>
      <c r="U56" s="148"/>
      <c r="V56" s="148"/>
      <c r="W56" s="148"/>
    </row>
    <row r="57" spans="1:23">
      <c r="A57" s="148"/>
      <c r="B57" s="148"/>
      <c r="C57" s="148"/>
      <c r="D57" s="148"/>
      <c r="E57" s="148"/>
      <c r="F57" s="148"/>
      <c r="G57" s="148"/>
      <c r="H57" s="148"/>
      <c r="I57" s="148"/>
      <c r="J57" s="148"/>
      <c r="K57" s="148"/>
      <c r="L57" s="148"/>
      <c r="M57" s="148"/>
      <c r="N57" s="148"/>
      <c r="O57" s="148"/>
      <c r="P57" s="148"/>
      <c r="Q57" s="148"/>
      <c r="S57" s="148"/>
      <c r="T57" s="148"/>
      <c r="U57" s="148"/>
      <c r="V57" s="148"/>
      <c r="W57" s="148"/>
    </row>
    <row r="58" spans="1:23">
      <c r="A58" s="148"/>
      <c r="B58" s="148"/>
      <c r="C58" s="148"/>
      <c r="D58" s="148"/>
      <c r="E58" s="148"/>
      <c r="F58" s="148"/>
      <c r="G58" s="148"/>
      <c r="H58" s="148"/>
      <c r="I58" s="148"/>
      <c r="J58" s="148"/>
      <c r="K58" s="148"/>
      <c r="L58" s="148"/>
      <c r="M58" s="148"/>
      <c r="N58" s="148"/>
      <c r="O58" s="148"/>
      <c r="P58" s="148"/>
      <c r="Q58" s="148"/>
      <c r="S58" s="148"/>
      <c r="T58" s="148"/>
      <c r="U58" s="148"/>
      <c r="V58" s="148"/>
      <c r="W58" s="148"/>
    </row>
    <row r="59" spans="1:23">
      <c r="A59" s="148"/>
      <c r="B59" s="148"/>
      <c r="C59" s="148"/>
      <c r="D59" s="148"/>
      <c r="E59" s="148"/>
      <c r="F59" s="148"/>
      <c r="G59" s="148"/>
      <c r="H59" s="148"/>
      <c r="I59" s="148"/>
      <c r="J59" s="148"/>
      <c r="K59" s="148"/>
      <c r="L59" s="148"/>
      <c r="M59" s="148"/>
      <c r="N59" s="148"/>
      <c r="O59" s="148"/>
      <c r="P59" s="148"/>
      <c r="Q59" s="148"/>
      <c r="S59" s="148"/>
      <c r="T59" s="148"/>
      <c r="U59" s="148"/>
      <c r="V59" s="148"/>
      <c r="W59" s="148"/>
    </row>
    <row r="60" spans="1:23">
      <c r="A60" s="148"/>
      <c r="B60" s="148"/>
      <c r="C60" s="148"/>
      <c r="D60" s="148"/>
      <c r="E60" s="148"/>
      <c r="F60" s="148"/>
      <c r="G60" s="148"/>
      <c r="H60" s="148"/>
      <c r="I60" s="148"/>
      <c r="J60" s="148"/>
      <c r="K60" s="148"/>
      <c r="L60" s="148"/>
      <c r="M60" s="148"/>
      <c r="N60" s="148"/>
      <c r="O60" s="148"/>
      <c r="P60" s="148"/>
      <c r="Q60" s="148"/>
      <c r="S60" s="148"/>
      <c r="T60" s="148"/>
      <c r="U60" s="148"/>
      <c r="V60" s="148"/>
      <c r="W60" s="148"/>
    </row>
    <row r="61" spans="1:23">
      <c r="A61" s="148"/>
      <c r="B61" s="148"/>
      <c r="C61" s="148"/>
      <c r="D61" s="148"/>
      <c r="E61" s="148"/>
      <c r="F61" s="148"/>
      <c r="G61" s="148"/>
      <c r="H61" s="148"/>
      <c r="I61" s="148"/>
      <c r="J61" s="148"/>
      <c r="K61" s="148"/>
      <c r="L61" s="148"/>
      <c r="M61" s="148"/>
      <c r="N61" s="148"/>
      <c r="O61" s="148"/>
      <c r="P61" s="148"/>
      <c r="Q61" s="148"/>
      <c r="S61" s="148"/>
      <c r="T61" s="148"/>
      <c r="U61" s="148"/>
      <c r="V61" s="148"/>
      <c r="W61" s="148"/>
    </row>
    <row r="62" spans="1:23">
      <c r="A62" s="148"/>
      <c r="B62" s="148"/>
      <c r="C62" s="148"/>
      <c r="D62" s="148"/>
      <c r="E62" s="148"/>
      <c r="F62" s="148"/>
      <c r="G62" s="148"/>
      <c r="H62" s="148"/>
      <c r="I62" s="148"/>
      <c r="J62" s="148"/>
      <c r="K62" s="148"/>
      <c r="L62" s="148"/>
      <c r="M62" s="148"/>
      <c r="N62" s="148"/>
      <c r="O62" s="148"/>
      <c r="P62" s="148"/>
      <c r="Q62" s="148"/>
      <c r="S62" s="148"/>
      <c r="T62" s="148"/>
      <c r="U62" s="148"/>
      <c r="V62" s="148"/>
      <c r="W62" s="148"/>
    </row>
    <row r="63" spans="1:23">
      <c r="A63" s="148"/>
      <c r="B63" s="148"/>
      <c r="C63" s="148"/>
      <c r="D63" s="148"/>
      <c r="E63" s="148"/>
      <c r="F63" s="148"/>
      <c r="G63" s="148"/>
      <c r="H63" s="148"/>
      <c r="I63" s="148"/>
      <c r="J63" s="148"/>
      <c r="K63" s="148"/>
      <c r="L63" s="148"/>
      <c r="M63" s="148"/>
      <c r="N63" s="148"/>
      <c r="O63" s="148"/>
      <c r="P63" s="148"/>
      <c r="Q63" s="148"/>
      <c r="S63" s="148"/>
      <c r="T63" s="148"/>
      <c r="U63" s="148"/>
      <c r="V63" s="148"/>
      <c r="W63" s="148"/>
    </row>
    <row r="64" spans="1:23">
      <c r="A64" s="148"/>
      <c r="B64" s="148"/>
      <c r="C64" s="148"/>
      <c r="D64" s="148"/>
      <c r="E64" s="148"/>
      <c r="F64" s="148"/>
      <c r="G64" s="148"/>
      <c r="H64" s="148"/>
      <c r="I64" s="148"/>
      <c r="J64" s="148"/>
      <c r="K64" s="148"/>
      <c r="L64" s="148"/>
      <c r="M64" s="148"/>
      <c r="N64" s="148"/>
      <c r="O64" s="148"/>
      <c r="P64" s="148"/>
      <c r="Q64" s="148"/>
      <c r="S64" s="148"/>
      <c r="T64" s="148"/>
      <c r="U64" s="148"/>
      <c r="V64" s="148"/>
      <c r="W64" s="148"/>
    </row>
    <row r="65" spans="1:23">
      <c r="A65" s="148"/>
      <c r="B65" s="148"/>
      <c r="C65" s="148"/>
      <c r="D65" s="148"/>
      <c r="E65" s="148"/>
      <c r="F65" s="148"/>
      <c r="G65" s="148"/>
      <c r="H65" s="148"/>
      <c r="I65" s="148"/>
      <c r="J65" s="148"/>
      <c r="K65" s="148"/>
      <c r="L65" s="148"/>
      <c r="M65" s="148"/>
      <c r="N65" s="148"/>
      <c r="O65" s="148"/>
      <c r="P65" s="148"/>
      <c r="Q65" s="148"/>
      <c r="S65" s="148"/>
      <c r="T65" s="148"/>
      <c r="U65" s="148"/>
      <c r="V65" s="148"/>
      <c r="W65" s="148"/>
    </row>
    <row r="66" spans="1:23">
      <c r="A66" s="148"/>
      <c r="B66" s="148"/>
      <c r="C66" s="148"/>
      <c r="D66" s="148"/>
      <c r="E66" s="148"/>
      <c r="F66" s="148"/>
      <c r="G66" s="148"/>
      <c r="H66" s="148"/>
      <c r="I66" s="148"/>
      <c r="J66" s="148"/>
      <c r="K66" s="148"/>
      <c r="L66" s="148"/>
      <c r="M66" s="148"/>
      <c r="N66" s="148"/>
      <c r="O66" s="148"/>
      <c r="P66" s="148"/>
      <c r="Q66" s="148"/>
      <c r="S66" s="148"/>
      <c r="T66" s="148"/>
      <c r="U66" s="148"/>
      <c r="V66" s="148"/>
      <c r="W66" s="148"/>
    </row>
    <row r="67" spans="1:23">
      <c r="A67" s="148"/>
      <c r="B67" s="148"/>
      <c r="C67" s="148"/>
      <c r="D67" s="148"/>
      <c r="E67" s="148"/>
      <c r="F67" s="148"/>
      <c r="G67" s="148"/>
      <c r="H67" s="148"/>
      <c r="I67" s="148"/>
      <c r="J67" s="148"/>
      <c r="K67" s="148"/>
      <c r="L67" s="148"/>
      <c r="M67" s="148"/>
      <c r="N67" s="148"/>
      <c r="O67" s="148"/>
      <c r="P67" s="148"/>
      <c r="Q67" s="148"/>
      <c r="S67" s="148"/>
      <c r="T67" s="148"/>
      <c r="U67" s="148"/>
      <c r="V67" s="148"/>
      <c r="W67" s="148"/>
    </row>
    <row r="68" spans="1:23">
      <c r="A68" s="148"/>
      <c r="B68" s="148"/>
      <c r="C68" s="148"/>
      <c r="D68" s="148"/>
      <c r="E68" s="148"/>
      <c r="F68" s="148"/>
      <c r="G68" s="148"/>
      <c r="H68" s="148"/>
      <c r="I68" s="148"/>
      <c r="J68" s="148"/>
      <c r="K68" s="148"/>
      <c r="L68" s="148"/>
      <c r="M68" s="148"/>
      <c r="N68" s="148"/>
      <c r="O68" s="148"/>
      <c r="P68" s="148"/>
      <c r="Q68" s="148"/>
      <c r="S68" s="148"/>
      <c r="T68" s="148"/>
      <c r="U68" s="148"/>
      <c r="V68" s="148"/>
      <c r="W68" s="148"/>
    </row>
    <row r="69" spans="1:23">
      <c r="A69" s="148"/>
      <c r="B69" s="148"/>
      <c r="C69" s="148"/>
      <c r="D69" s="148"/>
      <c r="E69" s="148"/>
      <c r="F69" s="148"/>
      <c r="G69" s="148"/>
      <c r="H69" s="148"/>
      <c r="I69" s="148"/>
      <c r="J69" s="148"/>
      <c r="K69" s="148"/>
      <c r="L69" s="148"/>
      <c r="M69" s="148"/>
      <c r="N69" s="148"/>
      <c r="O69" s="148"/>
      <c r="P69" s="148"/>
      <c r="Q69" s="148"/>
      <c r="S69" s="148"/>
      <c r="T69" s="148"/>
      <c r="U69" s="148"/>
      <c r="V69" s="148"/>
      <c r="W69" s="148"/>
    </row>
    <row r="70" spans="1:23">
      <c r="A70" s="148"/>
      <c r="B70" s="148"/>
      <c r="C70" s="148"/>
      <c r="D70" s="148"/>
      <c r="E70" s="148"/>
      <c r="F70" s="148"/>
      <c r="G70" s="148"/>
      <c r="H70" s="148"/>
      <c r="I70" s="148"/>
      <c r="J70" s="148"/>
      <c r="K70" s="148"/>
      <c r="L70" s="148"/>
      <c r="M70" s="148"/>
      <c r="N70" s="148"/>
      <c r="O70" s="148"/>
      <c r="P70" s="148"/>
      <c r="Q70" s="148"/>
      <c r="S70" s="148"/>
      <c r="T70" s="148"/>
      <c r="U70" s="148"/>
      <c r="V70" s="148"/>
      <c r="W70" s="148"/>
    </row>
    <row r="71" spans="1:23">
      <c r="A71" s="148"/>
      <c r="B71" s="148"/>
      <c r="C71" s="148"/>
      <c r="D71" s="148"/>
      <c r="E71" s="148"/>
      <c r="F71" s="148"/>
      <c r="G71" s="148"/>
      <c r="H71" s="148"/>
      <c r="I71" s="148"/>
      <c r="J71" s="148"/>
      <c r="K71" s="148"/>
      <c r="L71" s="148"/>
      <c r="M71" s="148"/>
      <c r="N71" s="148"/>
      <c r="O71" s="148"/>
      <c r="P71" s="148"/>
      <c r="Q71" s="148"/>
      <c r="S71" s="148"/>
      <c r="T71" s="148"/>
      <c r="U71" s="148"/>
      <c r="V71" s="148"/>
      <c r="W71" s="148"/>
    </row>
    <row r="72" spans="1:23">
      <c r="A72" s="148"/>
      <c r="B72" s="148"/>
      <c r="C72" s="148"/>
      <c r="D72" s="148"/>
      <c r="E72" s="148"/>
      <c r="F72" s="148"/>
      <c r="G72" s="148"/>
      <c r="H72" s="148"/>
      <c r="I72" s="148"/>
      <c r="J72" s="148"/>
      <c r="K72" s="148"/>
      <c r="L72" s="148"/>
      <c r="M72" s="148"/>
      <c r="N72" s="148"/>
      <c r="O72" s="148"/>
      <c r="P72" s="148"/>
      <c r="Q72" s="148"/>
      <c r="S72" s="148"/>
      <c r="T72" s="148"/>
      <c r="U72" s="148"/>
      <c r="V72" s="148"/>
      <c r="W72" s="148"/>
    </row>
    <row r="73" spans="1:23">
      <c r="A73" s="148"/>
      <c r="B73" s="148"/>
      <c r="C73" s="148"/>
      <c r="D73" s="148"/>
      <c r="E73" s="148"/>
      <c r="F73" s="148"/>
      <c r="G73" s="148"/>
      <c r="H73" s="148"/>
      <c r="I73" s="148"/>
      <c r="J73" s="148"/>
      <c r="K73" s="148"/>
      <c r="L73" s="148"/>
      <c r="M73" s="148"/>
      <c r="N73" s="148"/>
      <c r="O73" s="148"/>
      <c r="P73" s="148"/>
      <c r="Q73" s="148"/>
      <c r="S73" s="148"/>
      <c r="T73" s="148"/>
      <c r="U73" s="148"/>
      <c r="V73" s="148"/>
      <c r="W73" s="148"/>
    </row>
    <row r="74" spans="1:23">
      <c r="A74" s="148"/>
      <c r="B74" s="148"/>
      <c r="C74" s="148"/>
      <c r="D74" s="148"/>
      <c r="E74" s="148"/>
      <c r="F74" s="148"/>
      <c r="G74" s="148"/>
      <c r="H74" s="148"/>
      <c r="I74" s="148"/>
      <c r="J74" s="148"/>
      <c r="K74" s="148"/>
      <c r="L74" s="148"/>
      <c r="M74" s="148"/>
      <c r="N74" s="148"/>
      <c r="O74" s="148"/>
      <c r="P74" s="148"/>
      <c r="Q74" s="148"/>
      <c r="S74" s="148"/>
      <c r="T74" s="148"/>
      <c r="U74" s="148"/>
      <c r="V74" s="148"/>
      <c r="W74" s="148"/>
    </row>
  </sheetData>
  <sheetProtection selectLockedCells="1"/>
  <mergeCells count="8">
    <mergeCell ref="A23:C23"/>
    <mergeCell ref="A15:D15"/>
    <mergeCell ref="A22:C22"/>
    <mergeCell ref="A16:D17"/>
    <mergeCell ref="A18:C18"/>
    <mergeCell ref="A19:C19"/>
    <mergeCell ref="A20:C20"/>
    <mergeCell ref="A21:C21"/>
  </mergeCells>
  <phoneticPr fontId="3" type="noConversion"/>
  <conditionalFormatting sqref="A1:D14 A24:D48 A49:Q74 S1:W74 E1:P48">
    <cfRule type="expression" dxfId="30" priority="2" stopIfTrue="1">
      <formula>$M$37</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294" r:id="rId4" name="Button 6">
              <controlPr defaultSize="0" print="0" autoFill="0" autoPict="0" macro="[0]!go_main_page">
                <anchor moveWithCells="1" sizeWithCells="1">
                  <from>
                    <xdr:col>0</xdr:col>
                    <xdr:colOff>88900</xdr:colOff>
                    <xdr:row>0</xdr:row>
                    <xdr:rowOff>57150</xdr:rowOff>
                  </from>
                  <to>
                    <xdr:col>0</xdr:col>
                    <xdr:colOff>1460500</xdr:colOff>
                    <xdr:row>3</xdr:row>
                    <xdr:rowOff>31750</xdr:rowOff>
                  </to>
                </anchor>
              </controlPr>
            </control>
          </mc:Choice>
        </mc:AlternateContent>
        <mc:AlternateContent xmlns:mc="http://schemas.openxmlformats.org/markup-compatibility/2006">
          <mc:Choice Requires="x14">
            <control shapeId="12295" r:id="rId5" name="Button 7">
              <controlPr defaultSize="0" print="0" autoFill="0" autoPict="0" macro="[0]!go_figures_public_finance">
                <anchor moveWithCells="1" sizeWithCells="1">
                  <from>
                    <xdr:col>0</xdr:col>
                    <xdr:colOff>76200</xdr:colOff>
                    <xdr:row>3</xdr:row>
                    <xdr:rowOff>114300</xdr:rowOff>
                  </from>
                  <to>
                    <xdr:col>0</xdr:col>
                    <xdr:colOff>1466850</xdr:colOff>
                    <xdr:row>6</xdr:row>
                    <xdr:rowOff>88900</xdr:rowOff>
                  </to>
                </anchor>
              </controlPr>
            </control>
          </mc:Choice>
        </mc:AlternateContent>
        <mc:AlternateContent xmlns:mc="http://schemas.openxmlformats.org/markup-compatibility/2006">
          <mc:Choice Requires="x14">
            <control shapeId="12296" r:id="rId6" name="Button 8">
              <controlPr defaultSize="0" print="0" autoFill="0" autoPict="0" macro="[0]!go_numerical_results">
                <anchor moveWithCells="1" sizeWithCells="1">
                  <from>
                    <xdr:col>0</xdr:col>
                    <xdr:colOff>76200</xdr:colOff>
                    <xdr:row>10</xdr:row>
                    <xdr:rowOff>31750</xdr:rowOff>
                  </from>
                  <to>
                    <xdr:col>0</xdr:col>
                    <xdr:colOff>1479550</xdr:colOff>
                    <xdr:row>13</xdr:row>
                    <xdr:rowOff>0</xdr:rowOff>
                  </to>
                </anchor>
              </controlPr>
            </control>
          </mc:Choice>
        </mc:AlternateContent>
        <mc:AlternateContent xmlns:mc="http://schemas.openxmlformats.org/markup-compatibility/2006">
          <mc:Choice Requires="x14">
            <control shapeId="12323" r:id="rId7" name="Button 35">
              <controlPr defaultSize="0" print="0" autoFill="0" autoPict="0" macro="[0]!control_axis_inflationetc">
                <anchor moveWithCells="1" sizeWithCells="1">
                  <from>
                    <xdr:col>0</xdr:col>
                    <xdr:colOff>76200</xdr:colOff>
                    <xdr:row>24</xdr:row>
                    <xdr:rowOff>38100</xdr:rowOff>
                  </from>
                  <to>
                    <xdr:col>0</xdr:col>
                    <xdr:colOff>1479550</xdr:colOff>
                    <xdr:row>26</xdr:row>
                    <xdr:rowOff>95250</xdr:rowOff>
                  </to>
                </anchor>
              </controlPr>
            </control>
          </mc:Choice>
        </mc:AlternateContent>
        <mc:AlternateContent xmlns:mc="http://schemas.openxmlformats.org/markup-compatibility/2006">
          <mc:Choice Requires="x14">
            <control shapeId="12349" r:id="rId8" name="Button 61">
              <controlPr defaultSize="0" print="0" autoFill="0" autoPict="0" macro="[0]!go_exrate_figures">
                <anchor moveWithCells="1" sizeWithCells="1">
                  <from>
                    <xdr:col>0</xdr:col>
                    <xdr:colOff>76200</xdr:colOff>
                    <xdr:row>6</xdr:row>
                    <xdr:rowOff>146050</xdr:rowOff>
                  </from>
                  <to>
                    <xdr:col>0</xdr:col>
                    <xdr:colOff>1466850</xdr:colOff>
                    <xdr:row>9</xdr:row>
                    <xdr:rowOff>133350</xdr:rowOff>
                  </to>
                </anchor>
              </controlPr>
            </control>
          </mc:Choice>
        </mc:AlternateContent>
        <mc:AlternateContent xmlns:mc="http://schemas.openxmlformats.org/markup-compatibility/2006">
          <mc:Choice Requires="x14">
            <control shapeId="12351" r:id="rId9" name="Drop Down 63">
              <controlPr defaultSize="0" autoLine="0" autoPict="0" macro="[0]!ClickSeriesCheckbox2">
                <anchor moveWithCells="1">
                  <from>
                    <xdr:col>0</xdr:col>
                    <xdr:colOff>393700</xdr:colOff>
                    <xdr:row>39</xdr:row>
                    <xdr:rowOff>114300</xdr:rowOff>
                  </from>
                  <to>
                    <xdr:col>0</xdr:col>
                    <xdr:colOff>914400</xdr:colOff>
                    <xdr:row>41</xdr:row>
                    <xdr:rowOff>69850</xdr:rowOff>
                  </to>
                </anchor>
              </controlPr>
            </control>
          </mc:Choice>
        </mc:AlternateContent>
        <mc:AlternateContent xmlns:mc="http://schemas.openxmlformats.org/markup-compatibility/2006">
          <mc:Choice Requires="x14">
            <control shapeId="12352" r:id="rId10" name="Button 64">
              <controlPr defaultSize="0" print="0" autoFill="0" autoPict="0" macro="[0]!go_to_potential_GDP">
                <anchor moveWithCells="1" sizeWithCells="1">
                  <from>
                    <xdr:col>10</xdr:col>
                    <xdr:colOff>38100</xdr:colOff>
                    <xdr:row>22</xdr:row>
                    <xdr:rowOff>19050</xdr:rowOff>
                  </from>
                  <to>
                    <xdr:col>10</xdr:col>
                    <xdr:colOff>533400</xdr:colOff>
                    <xdr:row>23</xdr:row>
                    <xdr:rowOff>146050</xdr:rowOff>
                  </to>
                </anchor>
              </controlPr>
            </control>
          </mc:Choice>
        </mc:AlternateContent>
        <mc:AlternateContent xmlns:mc="http://schemas.openxmlformats.org/markup-compatibility/2006">
          <mc:Choice Requires="x14">
            <control shapeId="12353" r:id="rId11" name="Button 65">
              <controlPr defaultSize="0" print="0" autoFill="0" autoPict="0" macro="[0]!show_lending_rates_clarification">
                <anchor moveWithCells="1" sizeWithCells="1">
                  <from>
                    <xdr:col>13</xdr:col>
                    <xdr:colOff>438150</xdr:colOff>
                    <xdr:row>1</xdr:row>
                    <xdr:rowOff>76200</xdr:rowOff>
                  </from>
                  <to>
                    <xdr:col>13</xdr:col>
                    <xdr:colOff>590550</xdr:colOff>
                    <xdr:row>2</xdr:row>
                    <xdr:rowOff>50800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AZ503"/>
  <sheetViews>
    <sheetView workbookViewId="0">
      <pane xSplit="1" ySplit="3" topLeftCell="J4" activePane="bottomRight" state="frozenSplit"/>
      <selection activeCell="C45" sqref="C45"/>
      <selection pane="topRight" activeCell="C45" sqref="C45"/>
      <selection pane="bottomLeft" activeCell="C45" sqref="C45"/>
      <selection pane="bottomRight" activeCell="R26" sqref="R26"/>
    </sheetView>
  </sheetViews>
  <sheetFormatPr defaultColWidth="11.453125" defaultRowHeight="12.5"/>
  <cols>
    <col min="1" max="1" width="4" style="48" bestFit="1" customWidth="1"/>
    <col min="2" max="2" width="56.7265625" style="75" bestFit="1" customWidth="1"/>
    <col min="3" max="3" width="7.26953125" style="80" customWidth="1"/>
    <col min="4" max="4" width="7.26953125" style="105" hidden="1" customWidth="1"/>
    <col min="5" max="5" width="20.453125" style="77" bestFit="1" customWidth="1"/>
    <col min="6" max="6" width="44" style="77" bestFit="1" customWidth="1"/>
    <col min="7" max="7" width="34.26953125" style="94" bestFit="1" customWidth="1"/>
    <col min="8" max="8" width="30.1796875" style="75" bestFit="1" customWidth="1"/>
    <col min="9" max="9" width="41.26953125" style="75" bestFit="1" customWidth="1"/>
    <col min="10" max="10" width="38.7265625" style="75" bestFit="1" customWidth="1"/>
    <col min="11" max="11" width="21.453125" style="96" bestFit="1" customWidth="1"/>
    <col min="12" max="12" width="18.7265625" style="96" bestFit="1" customWidth="1"/>
    <col min="13" max="13" width="7.26953125" style="75" bestFit="1" customWidth="1"/>
    <col min="14" max="14" width="14.453125" style="75" hidden="1" customWidth="1"/>
    <col min="15" max="15" width="20.453125" style="74" hidden="1" customWidth="1"/>
    <col min="16" max="16" width="17" style="74" bestFit="1" customWidth="1"/>
    <col min="17" max="17" width="16.453125" style="74" bestFit="1" customWidth="1"/>
    <col min="18" max="18" width="14.453125" style="99" bestFit="1" customWidth="1"/>
    <col min="19" max="19" width="23.54296875" style="97" bestFit="1" customWidth="1"/>
    <col min="20" max="20" width="10.90625"/>
    <col min="21" max="21" width="11.81640625" style="70" customWidth="1"/>
    <col min="22" max="22" width="4" style="72" bestFit="1" customWidth="1"/>
    <col min="23" max="23" width="12.1796875" style="49" bestFit="1" customWidth="1"/>
    <col min="24" max="24" width="15.1796875" style="49" bestFit="1" customWidth="1"/>
    <col min="25" max="25" width="27.81640625" style="49" bestFit="1" customWidth="1"/>
    <col min="26" max="26" width="29.81640625" style="49" bestFit="1" customWidth="1"/>
    <col min="27" max="27" width="11.453125" style="49"/>
    <col min="28" max="28" width="19.1796875" style="49" bestFit="1" customWidth="1"/>
    <col min="29" max="29" width="30.26953125" style="48" bestFit="1" customWidth="1"/>
    <col min="30" max="30" width="7.1796875" style="48" bestFit="1" customWidth="1"/>
    <col min="31" max="31" width="11.54296875" style="48" customWidth="1"/>
    <col min="32" max="33" width="17.7265625" style="48" bestFit="1" customWidth="1"/>
    <col min="34" max="16384" width="11.453125" style="48"/>
  </cols>
  <sheetData>
    <row r="1" spans="1:52">
      <c r="B1" s="462"/>
      <c r="C1" s="463"/>
      <c r="D1" s="463"/>
      <c r="E1" s="463"/>
      <c r="F1" s="463"/>
      <c r="G1" s="463"/>
      <c r="H1" s="463"/>
      <c r="I1" s="463"/>
      <c r="J1" s="463"/>
      <c r="K1" s="463"/>
      <c r="L1" s="463"/>
      <c r="M1" s="463"/>
      <c r="N1" s="463" t="str">
        <f>IF('inflation, income and interest'!$B$38=1,"TRUE","FALSE")</f>
        <v>FALSE</v>
      </c>
      <c r="O1" s="463"/>
      <c r="P1" s="464"/>
      <c r="Q1" s="464"/>
      <c r="R1" s="467"/>
      <c r="T1" s="258"/>
      <c r="U1" s="465"/>
      <c r="V1" s="466"/>
    </row>
    <row r="2" spans="1:52">
      <c r="B2" s="676" t="s">
        <v>48</v>
      </c>
      <c r="C2" s="678" t="s">
        <v>52</v>
      </c>
      <c r="D2" s="715"/>
      <c r="E2" s="586"/>
      <c r="F2" s="586"/>
      <c r="G2" s="586"/>
      <c r="H2" s="586"/>
      <c r="I2" s="586"/>
      <c r="J2" s="679"/>
      <c r="K2" s="683" t="s">
        <v>81</v>
      </c>
      <c r="L2" s="683" t="s">
        <v>82</v>
      </c>
      <c r="O2" s="680" t="s">
        <v>45</v>
      </c>
      <c r="P2" s="681"/>
      <c r="Q2" s="681"/>
      <c r="R2" s="681"/>
      <c r="S2" s="95"/>
      <c r="U2" s="685" t="s">
        <v>40</v>
      </c>
      <c r="V2" s="686"/>
      <c r="W2" s="682" t="s">
        <v>38</v>
      </c>
      <c r="X2" s="681"/>
      <c r="Y2" s="682" t="s">
        <v>35</v>
      </c>
      <c r="Z2" s="682"/>
    </row>
    <row r="3" spans="1:52">
      <c r="B3" s="677"/>
      <c r="C3" s="80" t="s">
        <v>17</v>
      </c>
      <c r="E3" s="77" t="s">
        <v>44</v>
      </c>
      <c r="F3" s="77" t="s">
        <v>51</v>
      </c>
      <c r="G3" s="94" t="s">
        <v>80</v>
      </c>
      <c r="H3" s="75" t="s">
        <v>53</v>
      </c>
      <c r="I3" s="75" t="s">
        <v>78</v>
      </c>
      <c r="J3" s="75" t="s">
        <v>77</v>
      </c>
      <c r="K3" s="684"/>
      <c r="L3" s="684"/>
      <c r="M3" s="75" t="s">
        <v>12</v>
      </c>
      <c r="N3" s="75" t="s">
        <v>46</v>
      </c>
      <c r="O3" s="74" t="s">
        <v>44</v>
      </c>
      <c r="P3" s="75" t="s">
        <v>43</v>
      </c>
      <c r="Q3" s="74" t="s">
        <v>42</v>
      </c>
      <c r="R3" s="99" t="s">
        <v>41</v>
      </c>
      <c r="S3" s="97" t="s">
        <v>73</v>
      </c>
      <c r="U3" s="685"/>
      <c r="V3" s="686"/>
      <c r="W3" s="70" t="s">
        <v>1</v>
      </c>
      <c r="X3" s="70" t="s">
        <v>2</v>
      </c>
      <c r="Y3" s="70" t="s">
        <v>36</v>
      </c>
      <c r="Z3" s="70" t="s">
        <v>37</v>
      </c>
    </row>
    <row r="4" spans="1:52">
      <c r="A4" s="48">
        <v>1</v>
      </c>
      <c r="B4" s="75">
        <f>IF(controls!$B$33=1,($AG$4/(1+('main page'!$K$35/100))^4)*(1+W4),AG4*(1+W4))</f>
        <v>100</v>
      </c>
      <c r="D4" s="105">
        <f>E4-B4</f>
        <v>0</v>
      </c>
      <c r="E4" s="77">
        <f>IF(F4&gt;0,F4,0.1)</f>
        <v>100</v>
      </c>
      <c r="F4" s="77">
        <f>IF('main page'!$K$34=1,hystere!H4,hystere!G4)</f>
        <v>100</v>
      </c>
      <c r="G4" s="94">
        <f>I4-'main page'!$K$27*'normal case'!AL5</f>
        <v>100</v>
      </c>
      <c r="H4" s="75">
        <f ca="1">J4-'main page'!$K$27*$AG$6</f>
        <v>100</v>
      </c>
      <c r="I4" s="75">
        <f>'normal case'!AI3</f>
        <v>108</v>
      </c>
      <c r="J4" s="75">
        <f ca="1">(J5+'main page'!$K$27*$AG$6*('main page'!$K$35/100))/(1+('main page'!$K$35/100))+((J5+'main page'!$K$27*$AG$6*('main page'!$K$35/100))/(1+('main page'!$K$35/100))-1)*X4</f>
        <v>108</v>
      </c>
      <c r="M4" s="75">
        <f>('main page'!$U$8/100)*100</f>
        <v>2</v>
      </c>
      <c r="N4" s="75">
        <f>IF(controls!B33=1,(hystere!J5-hystere!B5)/'main page'!$K$27,(hystere!$AD$4-hystere!B5)/'main page'!$K$27)</f>
        <v>4</v>
      </c>
      <c r="O4" s="74">
        <f t="shared" ref="O4:O67" si="0">IF(P4&lt;0,0,P4)</f>
        <v>6</v>
      </c>
      <c r="P4" s="76">
        <f>IF(controls!$B$10=1,hystere!N4+hystere!M4,hystere!Q4)</f>
        <v>6</v>
      </c>
      <c r="Q4" s="74">
        <f>IF('main page'!$Y$53=1,'choose m.p.'!I3*100,R4)</f>
        <v>6</v>
      </c>
      <c r="R4" s="100">
        <f>'main page'!$K$29*M4+(1-'main page'!$K$29)*'main page'!$U$8+S4+(('main page'!$K$25*'main page'!$U$13*'main page'!$K$29)/('main page'!$K$27*(1+('main page'!$K$25^2)*'main page'!$U$13)))*(M4-('main page'!$U$8/100)*100)</f>
        <v>6</v>
      </c>
      <c r="S4" s="98">
        <f>IF(controls!$B$33=1,(J5-E4*X5-B5)/'main page'!$K$27,(I5-E4*X5-B5)/'main page'!$K$27)</f>
        <v>4</v>
      </c>
      <c r="W4" s="40">
        <f>'normal case'!V3</f>
        <v>0</v>
      </c>
      <c r="X4" s="40">
        <f>'normal case'!W3</f>
        <v>0</v>
      </c>
      <c r="Y4" s="49">
        <f>IF(controls!$B$33=1,E4-(J4-'main page'!$K$27*2),E4-AG5)</f>
        <v>0</v>
      </c>
      <c r="Z4" s="49">
        <f>ABS(M4-('main page'!$U$8/100)*100)</f>
        <v>0</v>
      </c>
      <c r="AC4" s="67" t="s">
        <v>76</v>
      </c>
      <c r="AD4" s="67">
        <f>'normal case'!AI3</f>
        <v>108</v>
      </c>
      <c r="AF4" s="76" t="s">
        <v>47</v>
      </c>
      <c r="AG4" s="76">
        <f>'normal case'!AL3</f>
        <v>100</v>
      </c>
      <c r="AI4" s="40"/>
      <c r="AJ4" s="40"/>
    </row>
    <row r="5" spans="1:52">
      <c r="A5" s="48">
        <v>2</v>
      </c>
      <c r="B5" s="75">
        <f>IF(controls!$B$33=1,($AG$4/(1+('main page'!$K$35/100))^3)*(1+W5),B4*(1+W5))</f>
        <v>100</v>
      </c>
      <c r="C5" s="80">
        <f t="shared" ref="C5:C68" si="1">E5/E4-1</f>
        <v>0</v>
      </c>
      <c r="D5" s="105">
        <f t="shared" ref="D5:D68" si="2">E5-B5</f>
        <v>0</v>
      </c>
      <c r="E5" s="77">
        <f t="shared" ref="E5:E68" si="3">IF(F5&gt;0,F5,0.1)</f>
        <v>100</v>
      </c>
      <c r="F5" s="77">
        <f>IF('main page'!$K$34=1,hystere!H5,hystere!G5)</f>
        <v>100</v>
      </c>
      <c r="G5" s="94">
        <f>I5-'main page'!$K$27*hystere!N4</f>
        <v>100</v>
      </c>
      <c r="H5" s="75">
        <f ca="1">J5-'main page'!$K$27*N4</f>
        <v>100</v>
      </c>
      <c r="I5" s="75">
        <f>I4+E4*X5</f>
        <v>108</v>
      </c>
      <c r="J5" s="75">
        <f ca="1">(J6+'main page'!$K$27*$AG$6*('main page'!$K$35/100))/(1+('main page'!$K$35/100))+((J6+'main page'!$K$27*$AG$6*('main page'!$K$35/100))/(1+('main page'!$K$35/100))-1)*X5</f>
        <v>108</v>
      </c>
      <c r="M5" s="75">
        <f>IF(ABS('main page'!$K$29*M4+(1-'main page'!$K$29)*('main page'!$U$8/100)*100+'main page'!$K$25*(E5-B5)-M4)&lt;0.0000001,M4,'main page'!$K$29*M4+(1-'main page'!$K$29)*('main page'!$U$8/100)*100+'main page'!$K$25*(E5-B5))</f>
        <v>2</v>
      </c>
      <c r="N5" s="75">
        <f ca="1">IF(controls!$B$10=1,N4,O5-'main page'!$K$29*M5-(1-'main page'!$K$29)*'main page'!$U$8)</f>
        <v>4</v>
      </c>
      <c r="O5" s="74">
        <f t="shared" ca="1" si="0"/>
        <v>6</v>
      </c>
      <c r="P5" s="76">
        <f ca="1">IF(controls!$B$10=1,hystere!N5+hystere!M5,hystere!Q5)</f>
        <v>6</v>
      </c>
      <c r="Q5" s="74">
        <f ca="1">IF('main page'!$Y$53=1,'choose m.p.'!I4*100,R5)</f>
        <v>6</v>
      </c>
      <c r="R5" s="100">
        <f ca="1">'main page'!$K$29*M5+(1-'main page'!$K$29)*'main page'!$U$8+S5+(('main page'!$K$25*'main page'!$U$13*'main page'!$K$29)/('main page'!$K$27*(1+('main page'!$K$25^2)*'main page'!$U$13)))*(M5-('main page'!$U$8/100)*100)</f>
        <v>6</v>
      </c>
      <c r="S5" s="98">
        <f ca="1">IF(controls!$B$33=1,(J6-E5*X6-B5)/'main page'!$K$27,(I6-E5*X6-B5)/'main page'!$K$27)</f>
        <v>4</v>
      </c>
      <c r="U5" s="71"/>
      <c r="V5" s="73"/>
      <c r="W5" s="40">
        <f>'normal case'!V4</f>
        <v>0</v>
      </c>
      <c r="X5" s="40">
        <f>'normal case'!W4</f>
        <v>0</v>
      </c>
      <c r="Y5" s="49">
        <f>IF(controls!$B$33=1,E5-($J$4-'main page'!$K$27*2)*(1+('main page'!$K$35/100))^A4,E5-$AG$5)</f>
        <v>0</v>
      </c>
      <c r="Z5" s="49">
        <f>ABS(M5-('main page'!$U$8/100)*100)</f>
        <v>0</v>
      </c>
      <c r="AC5" s="68" t="s">
        <v>79</v>
      </c>
      <c r="AD5" s="69">
        <f ca="1">AD4+($AD$4-'main page'!$K$27*hystere!N7)*('main page'!$K$8/100)</f>
        <v>108</v>
      </c>
      <c r="AE5" s="64"/>
      <c r="AF5" s="67" t="s">
        <v>49</v>
      </c>
      <c r="AG5" s="67">
        <f>'normal case'!AL4</f>
        <v>100</v>
      </c>
      <c r="AH5" s="64"/>
      <c r="AI5" s="40"/>
      <c r="AJ5" s="40"/>
    </row>
    <row r="6" spans="1:52">
      <c r="A6" s="48">
        <v>3</v>
      </c>
      <c r="B6" s="75">
        <f ca="1">IF(controls!$B$33=1,($AG$4/(1+('main page'!$K$35/100))^2)*(1+W6),B5*(1+W6))</f>
        <v>100</v>
      </c>
      <c r="C6" s="80">
        <f t="shared" ca="1" si="1"/>
        <v>0</v>
      </c>
      <c r="D6" s="105">
        <f t="shared" ca="1" si="2"/>
        <v>0</v>
      </c>
      <c r="E6" s="77">
        <f t="shared" ca="1" si="3"/>
        <v>100</v>
      </c>
      <c r="F6" s="77">
        <f ca="1">IF('main page'!$K$34=1,hystere!H6,hystere!G6)</f>
        <v>100</v>
      </c>
      <c r="G6" s="94">
        <f ca="1">I6-'main page'!$K$27*hystere!N5</f>
        <v>100</v>
      </c>
      <c r="H6" s="75">
        <f ca="1">J6-'main page'!$K$27*N5</f>
        <v>100</v>
      </c>
      <c r="I6" s="75">
        <f ca="1">I5+E5*X6</f>
        <v>108</v>
      </c>
      <c r="J6" s="75">
        <f ca="1">(J7+'main page'!$K$27*$AG$6*('main page'!$K$35/100))/(1+('main page'!$K$35/100))+((J7+'main page'!$K$27*$AG$6*('main page'!$K$35/100))/(1+('main page'!$K$35/100))-1)*X6</f>
        <v>108</v>
      </c>
      <c r="M6" s="75">
        <f ca="1">IF(ABS('main page'!$K$29*M5+(1-'main page'!$K$29)*('main page'!$U$8/100)*100+'main page'!$K$25*(E6-B6)-M5)&lt;0.0000001,M5,'main page'!$K$29*M5+(1-'main page'!$K$29)*('main page'!$U$8/100)*100+'main page'!$K$25*(E6-B6))</f>
        <v>2</v>
      </c>
      <c r="N6" s="75">
        <f ca="1">IF(controls!$B$10=1,N5,O6-'main page'!$K$29*M6-(1-'main page'!$K$29)*'main page'!$U$8)</f>
        <v>4</v>
      </c>
      <c r="O6" s="74">
        <f t="shared" ca="1" si="0"/>
        <v>6</v>
      </c>
      <c r="P6" s="76">
        <f ca="1">IF(controls!$B$10=1,hystere!N6+hystere!M6,hystere!Q6)</f>
        <v>6</v>
      </c>
      <c r="Q6" s="74">
        <f ca="1">IF('main page'!$Y$53=1,'choose m.p.'!I5*100,R6)</f>
        <v>6</v>
      </c>
      <c r="R6" s="100">
        <f ca="1">'main page'!$K$29*M6+(1-'main page'!$K$29)*'main page'!$U$8+S6+(('main page'!$K$25*'main page'!$U$13*'main page'!$K$29)/('main page'!$K$27*(1+('main page'!$K$25^2)*'main page'!$U$13)))*(M6-('main page'!$U$8/100)*100)</f>
        <v>6</v>
      </c>
      <c r="S6" s="98">
        <f ca="1">IF(controls!$B$33=1,(J7-E6*X7-B6)/'main page'!$K$27,(I7-E6*X7-B6)/'main page'!$K$27)</f>
        <v>4</v>
      </c>
      <c r="U6" s="71"/>
      <c r="V6" s="73">
        <v>-2</v>
      </c>
      <c r="W6" s="40">
        <f ca="1">'normal case'!V5</f>
        <v>0</v>
      </c>
      <c r="X6" s="40">
        <f ca="1">'normal case'!W5</f>
        <v>0</v>
      </c>
      <c r="Y6" s="49">
        <f ca="1">IF(controls!$B$33=1,E6-($J$4-'main page'!$K$27*2)*(1+('main page'!$K$35/100))^A5,E6-$AG$5)</f>
        <v>0</v>
      </c>
      <c r="Z6" s="49">
        <f ca="1">ABS(M6-('main page'!$U$8/100)*100)</f>
        <v>0</v>
      </c>
      <c r="AC6" s="67" t="s">
        <v>74</v>
      </c>
      <c r="AD6" s="67">
        <f ca="1">IF(controls!B7=1,$AD$4*(1+('main page'!U22/100)),$AD$5*(1+('main page'!U22/100)))</f>
        <v>108</v>
      </c>
      <c r="AE6" s="64"/>
      <c r="AF6" s="67" t="s">
        <v>50</v>
      </c>
      <c r="AG6" s="67">
        <f>'normal case'!AL5</f>
        <v>4</v>
      </c>
      <c r="AH6" s="64"/>
      <c r="AI6" s="40"/>
      <c r="AJ6" s="40"/>
    </row>
    <row r="7" spans="1:52">
      <c r="A7" s="48">
        <v>4</v>
      </c>
      <c r="B7" s="75">
        <f ca="1">IF(controls!$B$33=1,($AG$4/(1+('main page'!$K$35/100)))*(1+W7),B6*(1+W7))</f>
        <v>100</v>
      </c>
      <c r="C7" s="80">
        <f t="shared" ca="1" si="1"/>
        <v>0</v>
      </c>
      <c r="D7" s="105">
        <f t="shared" ca="1" si="2"/>
        <v>0</v>
      </c>
      <c r="E7" s="77">
        <f t="shared" ca="1" si="3"/>
        <v>100</v>
      </c>
      <c r="F7" s="77">
        <f ca="1">IF('main page'!$K$34=1,hystere!H7,hystere!G7)</f>
        <v>100</v>
      </c>
      <c r="G7" s="94">
        <f ca="1">I7-'main page'!$K$27*hystere!N6</f>
        <v>100</v>
      </c>
      <c r="H7" s="75">
        <f ca="1">J7-'main page'!$K$27*N6</f>
        <v>100</v>
      </c>
      <c r="I7" s="75">
        <f ca="1">I6+E6*X7</f>
        <v>108</v>
      </c>
      <c r="J7" s="75">
        <f>(('normal case'!AI3+'main page'!$K$27*$AG$6*('main page'!$K$35/100))/(1+('main page'!$K$35/100)))+((($AD$4+'main page'!$K$27*$AG$6*('main page'!$K$35/100))/(1+('main page'!$K$35/100)))-1)*X7</f>
        <v>108</v>
      </c>
      <c r="M7" s="75">
        <f ca="1">IF(ABS('main page'!$K$29*M6+(1-'main page'!$K$29)*('main page'!$U$8/100)*100+'main page'!$K$25*(E7-B7)-M6)&lt;0.0000001,M6,'main page'!$K$29*M6+(1-'main page'!$K$29)*('main page'!$U$8/100)*100+'main page'!$K$25*(E7-B7))</f>
        <v>2</v>
      </c>
      <c r="N7" s="75">
        <f ca="1">IF(controls!$B$10=1,N6,O7-'main page'!$K$29*M7-(1-'main page'!$K$29)*'main page'!$U$8)</f>
        <v>4</v>
      </c>
      <c r="O7" s="74">
        <f t="shared" ca="1" si="0"/>
        <v>6</v>
      </c>
      <c r="P7" s="76">
        <f ca="1">IF(controls!$B$10=1,hystere!N7+hystere!M7,hystere!Q7)</f>
        <v>6</v>
      </c>
      <c r="Q7" s="74">
        <f ca="1">IF('main page'!$Y$53=1,'choose m.p.'!I6*100,R7)</f>
        <v>6</v>
      </c>
      <c r="R7" s="100">
        <f ca="1">'main page'!$K$29*M7+(1-'main page'!$K$29)*'main page'!$U$8+S7+(('main page'!$K$25*'main page'!$U$13*'main page'!$K$29)/('main page'!$K$27*(1+('main page'!$K$25^2)*'main page'!$U$13)))*(M7-('main page'!$U$8/100)*100)</f>
        <v>6</v>
      </c>
      <c r="S7" s="98">
        <f ca="1">IF(controls!$B$33=1,(J8-E7*X8-$AG$8-B7)/'main page'!$K$27,(I8-E7*X8-$AG$8-B7)/'main page'!$K$27)</f>
        <v>4</v>
      </c>
      <c r="U7" s="71">
        <f>$AG$4*(1+('main page'!$K$35/100))^V7-$AG$4*(1+('main page'!$K$35/100))^V6</f>
        <v>0</v>
      </c>
      <c r="V7" s="73">
        <v>-1</v>
      </c>
      <c r="W7" s="40">
        <f>'normal case'!V6</f>
        <v>0</v>
      </c>
      <c r="X7" s="40">
        <f>'normal case'!W6</f>
        <v>0</v>
      </c>
      <c r="Y7" s="49">
        <f ca="1">IF(controls!$B$33=1,E7-($J$4-'main page'!$K$27*2)*(1+('main page'!$K$35/100))^A6,E7-$AG$5)</f>
        <v>0</v>
      </c>
      <c r="Z7" s="49">
        <f ca="1">ABS(M7-('main page'!$U$8/100)*100)</f>
        <v>0</v>
      </c>
      <c r="AC7" s="67" t="s">
        <v>75</v>
      </c>
      <c r="AD7" s="69">
        <f ca="1">IF(controls!B7=1,AD4,AD5)</f>
        <v>108</v>
      </c>
      <c r="AE7" s="64"/>
      <c r="AF7" s="64"/>
      <c r="AG7" s="64"/>
      <c r="AH7" s="65"/>
      <c r="AI7" s="40"/>
      <c r="AJ7" s="40"/>
      <c r="AK7" s="65"/>
      <c r="AL7" s="65"/>
      <c r="AM7" s="65"/>
      <c r="AN7" s="65"/>
      <c r="AO7" s="65"/>
      <c r="AP7" s="65"/>
      <c r="AQ7" s="65"/>
      <c r="AR7" s="65"/>
      <c r="AS7" s="65"/>
      <c r="AT7" s="65"/>
      <c r="AU7" s="65"/>
      <c r="AV7" s="65"/>
      <c r="AW7" s="65"/>
      <c r="AX7" s="65"/>
      <c r="AY7" s="65"/>
      <c r="AZ7" s="65"/>
    </row>
    <row r="8" spans="1:52">
      <c r="A8" s="48">
        <v>5</v>
      </c>
      <c r="B8" s="75">
        <f ca="1">AVERAGE(E4:E7)+B7*W8+$AG$9</f>
        <v>100</v>
      </c>
      <c r="C8" s="80">
        <f t="shared" ca="1" si="1"/>
        <v>0</v>
      </c>
      <c r="D8" s="105">
        <f t="shared" ca="1" si="2"/>
        <v>0</v>
      </c>
      <c r="E8" s="77">
        <f t="shared" ca="1" si="3"/>
        <v>100</v>
      </c>
      <c r="F8" s="77">
        <f ca="1">IF('main page'!$K$34=1,hystere!H8,hystere!G8)</f>
        <v>100</v>
      </c>
      <c r="G8" s="94">
        <f ca="1">I8-'main page'!$K$27*hystere!N7</f>
        <v>100</v>
      </c>
      <c r="H8" s="75">
        <f ca="1">J8-'main page'!$K$27*N7</f>
        <v>100</v>
      </c>
      <c r="I8" s="75">
        <f ca="1">I7+$AG$8+E7*X8</f>
        <v>108</v>
      </c>
      <c r="J8" s="75">
        <f ca="1">'normal case'!AI3+$AG$8+E7*X8</f>
        <v>108</v>
      </c>
      <c r="M8" s="75">
        <f ca="1">IF(ABS('main page'!$K$29*M7+(1-'main page'!$K$29)*('main page'!$U$8/100)*100+'main page'!$K$25*(E8-B8)-M7)&lt;0.0000001,M7,'main page'!$K$29*M7+(1-'main page'!$K$29)*('main page'!$U$8/100)*100+'main page'!$K$25*(E8-B8))</f>
        <v>2</v>
      </c>
      <c r="N8" s="75">
        <f ca="1">IF(controls!$B$10=1,N7,O8-'main page'!$K$29*M8-(1-'main page'!$K$29)*'main page'!$U$8)</f>
        <v>4</v>
      </c>
      <c r="O8" s="74">
        <f t="shared" ca="1" si="0"/>
        <v>6</v>
      </c>
      <c r="P8" s="76">
        <f ca="1">IF(controls!$B$10=1,hystere!N8+hystere!M8,hystere!Q8)</f>
        <v>6</v>
      </c>
      <c r="Q8" s="74">
        <f ca="1">IF('main page'!$Y$53=1,'choose m.p.'!I7*100,R8)</f>
        <v>6</v>
      </c>
      <c r="R8" s="100">
        <f ca="1">'main page'!$K$29*M8+(1-'main page'!$K$29)*'main page'!$U$8+S8+(('main page'!$K$25*'main page'!$U$13*'main page'!$K$29)/('main page'!$K$27*(1+('main page'!$K$25^2)*'main page'!$U$13)))*(M8-('main page'!$U$8/100)*100)</f>
        <v>6</v>
      </c>
      <c r="S8" s="98">
        <f ca="1">IF(controls!$B$6=1,IF(controls!$B$33=1,(J9-E8*X9-L9-B8+hystere!$AG$9)/'main page'!$K$27,(I9-E8*X9-K9-B8+hystere!$AG$9)/'main page'!$K$27),IF(controls!$B$33=1,(J9-E8*X9-L9-B8)/'main page'!$K$27,(I9-E8*X9-K9-B8)/'main page'!$K$27))</f>
        <v>4</v>
      </c>
      <c r="U8" s="71">
        <f>$AG$4*(1+('main page'!$K$35/100))^V8-$AG$4*(1+('main page'!$K$35/100))^V8</f>
        <v>0</v>
      </c>
      <c r="V8" s="73">
        <v>0</v>
      </c>
      <c r="W8" s="40">
        <f>'normal case'!V7</f>
        <v>0</v>
      </c>
      <c r="X8" s="40">
        <f>'normal case'!W7</f>
        <v>0</v>
      </c>
      <c r="Y8" s="49">
        <f ca="1">IF(controls!$B$33=1,E8-($J$4-'main page'!$K$27*2)*(1+('main page'!$K$35/100))^A7,E8-$AG$5)</f>
        <v>0</v>
      </c>
      <c r="Z8" s="49">
        <f ca="1">ABS(M8-('main page'!$U$8/100)*100)</f>
        <v>0</v>
      </c>
      <c r="AB8" s="63"/>
      <c r="AC8" s="64"/>
      <c r="AD8" s="64"/>
      <c r="AE8" s="64"/>
      <c r="AF8" s="68" t="s">
        <v>90</v>
      </c>
      <c r="AG8" s="67">
        <f>('main page'!K8/100)*hystere!AG5</f>
        <v>0</v>
      </c>
      <c r="AH8" s="65"/>
      <c r="AI8" s="40"/>
      <c r="AJ8" s="40"/>
      <c r="AK8" s="65"/>
      <c r="AL8" s="65"/>
      <c r="AM8" s="65"/>
      <c r="AN8" s="65"/>
      <c r="AO8" s="65"/>
      <c r="AP8" s="65"/>
      <c r="AQ8" s="65"/>
      <c r="AR8" s="65"/>
      <c r="AS8" s="65"/>
      <c r="AT8" s="65"/>
      <c r="AU8" s="65"/>
      <c r="AV8" s="65"/>
      <c r="AW8" s="65"/>
      <c r="AX8" s="65"/>
      <c r="AY8" s="65"/>
      <c r="AZ8" s="65"/>
    </row>
    <row r="9" spans="1:52">
      <c r="A9" s="48">
        <v>6</v>
      </c>
      <c r="B9" s="75">
        <f ca="1">IF(controls!$B$6=2,AVERAGE(E5:E8)+B8*W9+hystere!$AG$9,AVERAGE(E5:E8)+B8*W9)</f>
        <v>100</v>
      </c>
      <c r="C9" s="80">
        <f t="shared" ca="1" si="1"/>
        <v>0</v>
      </c>
      <c r="D9" s="105">
        <f t="shared" ca="1" si="2"/>
        <v>0</v>
      </c>
      <c r="E9" s="77">
        <f t="shared" ca="1" si="3"/>
        <v>100</v>
      </c>
      <c r="F9" s="77">
        <f ca="1">IF('main page'!$K$34=1,hystere!H9,hystere!G9)</f>
        <v>100</v>
      </c>
      <c r="G9" s="94">
        <f ca="1">I9-'main page'!$K$27*hystere!N8</f>
        <v>100</v>
      </c>
      <c r="H9" s="75">
        <f ca="1">J9-'main page'!$K$27*N8</f>
        <v>100</v>
      </c>
      <c r="I9" s="75">
        <f ca="1">IF(controls!$B$7=2,hystere!I8+E8*X9+K9,hystere!I8+E8*X9-$AG$8+K9)</f>
        <v>108</v>
      </c>
      <c r="J9" s="75">
        <f ca="1">IF(controls!$B$7=1,J8+E8*X9+U9-$AG$8+L9,J8+E8*X9+U9+L9)</f>
        <v>108</v>
      </c>
      <c r="K9" s="96">
        <f ca="1">IF(controls!$B$30=1,('main page'!$U$22/100)*hystere!I8,)</f>
        <v>0</v>
      </c>
      <c r="L9" s="96">
        <f ca="1">IF(controls!$B$30=1,('main page'!$U$22/100)*hystere!J8,)</f>
        <v>0</v>
      </c>
      <c r="M9" s="75">
        <f ca="1">IF(ABS('main page'!$K$29*M8+(1-'main page'!$K$29)*('main page'!$U$8/100)*100+'main page'!$K$25*(E9-B9)-M8)&lt;0.0000001,M8,'main page'!$K$29*M8+(1-'main page'!$K$29)*('main page'!$U$8/100)*100+'main page'!$K$25*(E9-B9))</f>
        <v>2</v>
      </c>
      <c r="N9" s="75">
        <f ca="1">IF(controls!$B$10=1,N8,O9-'main page'!$K$29*M9-(1-'main page'!$K$29)*'main page'!$U$8)</f>
        <v>4</v>
      </c>
      <c r="O9" s="74">
        <f t="shared" ca="1" si="0"/>
        <v>6</v>
      </c>
      <c r="P9" s="76">
        <f ca="1">IF(controls!$B$10=1,hystere!N9+hystere!M9,hystere!Q9)</f>
        <v>6</v>
      </c>
      <c r="Q9" s="74">
        <f ca="1">IF('main page'!$Y$53=1,'choose m.p.'!I8*100,R9)</f>
        <v>6</v>
      </c>
      <c r="R9" s="100">
        <f ca="1">'main page'!$K$29*M9+(1-'main page'!$K$29)*'main page'!$U$8+S9+(('main page'!$K$25*'main page'!$U$13*'main page'!$K$29)/('main page'!$K$27*(1+('main page'!$K$25^2)*'main page'!$U$13)))*(M9-('main page'!$U$8/100)*100)</f>
        <v>6</v>
      </c>
      <c r="S9" s="98">
        <f ca="1">IF(controls!$B$33=1,(J10-E9*X10-L10-B9)/'main page'!$K$27,(I10-E9*X10-K10-B9)/'main page'!$K$27)</f>
        <v>4</v>
      </c>
      <c r="U9" s="71">
        <f>IF(controls!$B$6=1,$AG$4*(1+('main page'!$K$35/100))^V9-$AG$4*(1+('main page'!$K$35/100))^V8,$AG$4*(1+('main page'!$G$8/100))*(1+('main page'!$K$35/100))^V9-$AG$4*(1+('main page'!$G$8/100))*(1+('main page'!$K$35/100))^V8)</f>
        <v>0</v>
      </c>
      <c r="V9" s="73">
        <v>1</v>
      </c>
      <c r="W9" s="40">
        <f ca="1">'normal case'!V8</f>
        <v>0</v>
      </c>
      <c r="X9" s="40">
        <f ca="1">'normal case'!W8</f>
        <v>0</v>
      </c>
      <c r="Y9" s="49">
        <f ca="1">IF(controls!$B$33=1,E9-($J$4-'main page'!$K$27*2)*(1+('main page'!$K$35/100))^A8,E9-$AG$5)</f>
        <v>0</v>
      </c>
      <c r="Z9" s="49">
        <f ca="1">ABS(M9-('main page'!$U$8/100)*100)</f>
        <v>0</v>
      </c>
      <c r="AC9" s="68" t="s">
        <v>0</v>
      </c>
      <c r="AD9" s="67">
        <f>(controls!B9/100)*100</f>
        <v>2</v>
      </c>
      <c r="AF9" s="68" t="s">
        <v>91</v>
      </c>
      <c r="AG9" s="76">
        <f>('main page'!G8/100)*hystere!AG4</f>
        <v>0</v>
      </c>
      <c r="AH9" s="65"/>
      <c r="AI9" s="40"/>
      <c r="AJ9" s="40"/>
      <c r="AK9" s="65"/>
      <c r="AL9" s="65"/>
      <c r="AM9" s="65"/>
      <c r="AN9" s="65"/>
      <c r="AO9" s="65"/>
      <c r="AP9" s="65"/>
      <c r="AQ9" s="65"/>
      <c r="AR9" s="65"/>
      <c r="AS9" s="65"/>
      <c r="AT9" s="65"/>
      <c r="AU9" s="65"/>
      <c r="AV9" s="65"/>
      <c r="AW9" s="65"/>
      <c r="AX9" s="65"/>
      <c r="AY9" s="65"/>
      <c r="AZ9" s="65"/>
    </row>
    <row r="10" spans="1:52">
      <c r="A10" s="48">
        <v>7</v>
      </c>
      <c r="B10" s="75">
        <f ca="1">IF(controls!$B$6=2,AVERAGE(E6:E9)+B9*W10+hystere!$AG$9,AVERAGE(E6:E9)+B9*W10)</f>
        <v>100</v>
      </c>
      <c r="C10" s="80">
        <f t="shared" ca="1" si="1"/>
        <v>0</v>
      </c>
      <c r="D10" s="105">
        <f t="shared" ca="1" si="2"/>
        <v>0</v>
      </c>
      <c r="E10" s="77">
        <f t="shared" ca="1" si="3"/>
        <v>100</v>
      </c>
      <c r="F10" s="77">
        <f ca="1">IF('main page'!$K$34=1,hystere!H10,hystere!G10)</f>
        <v>100</v>
      </c>
      <c r="G10" s="94">
        <f ca="1">I10-'main page'!$K$27*hystere!N9</f>
        <v>100</v>
      </c>
      <c r="H10" s="75">
        <f ca="1">J10-'main page'!$K$27*N9</f>
        <v>100</v>
      </c>
      <c r="I10" s="75">
        <f ca="1">IF(controls!$B$31=2,I9+E9*X10+K10,I9+E9*X10+K10-K9)</f>
        <v>108</v>
      </c>
      <c r="J10" s="75">
        <f ca="1">IF(controls!$B$31=2,J9+E9*X10+U10+L10,J9+E9*X10+U10+L10-L9)</f>
        <v>108</v>
      </c>
      <c r="K10" s="96">
        <f>IF(controls!$B$30=2,('main page'!$U$22/100)*hystere!I9,)</f>
        <v>0</v>
      </c>
      <c r="L10" s="96">
        <f>IF(controls!$B$30=2,('main page'!$U$22/100)*hystere!J9,)</f>
        <v>0</v>
      </c>
      <c r="M10" s="75">
        <f ca="1">IF(ABS('main page'!$K$29*M9+(1-'main page'!$K$29)*('main page'!$U$8/100)*100+'main page'!$K$25*(E10-B10)-M9)&lt;0.0000001,M9,'main page'!$K$29*M9+(1-'main page'!$K$29)*('main page'!$U$8/100)*100+'main page'!$K$25*(E10-B10))</f>
        <v>2</v>
      </c>
      <c r="N10" s="75">
        <f ca="1">IF(controls!$B$10=1,N9,O10-'main page'!$K$29*M10-(1-'main page'!$K$29)*'main page'!$U$8)</f>
        <v>4</v>
      </c>
      <c r="O10" s="74">
        <f t="shared" ca="1" si="0"/>
        <v>6</v>
      </c>
      <c r="P10" s="76">
        <f ca="1">IF(controls!$B$10=1,hystere!N10+hystere!M10,hystere!Q10)</f>
        <v>6</v>
      </c>
      <c r="Q10" s="74">
        <f ca="1">IF('main page'!$Y$53=1,'choose m.p.'!I9*100,R10)</f>
        <v>6</v>
      </c>
      <c r="R10" s="100">
        <f ca="1">'main page'!$K$29*M10+(1-'main page'!$K$29)*'main page'!$U$8+S10+(('main page'!$K$25*'main page'!$U$13*'main page'!$K$29)/('main page'!$K$27*(1+('main page'!$K$25^2)*'main page'!$U$13)))*(M10-('main page'!$U$8/100)*100)</f>
        <v>6</v>
      </c>
      <c r="S10" s="98">
        <f ca="1">IF(controls!$B$33=1,(J11-E10*X11-L11-B10)/'main page'!$K$27,(I11-E10*X11-K11-B10)/'main page'!$K$27)</f>
        <v>4</v>
      </c>
      <c r="U10" s="71">
        <f>IF(controls!$B$6=1,$AG$4*(1+('main page'!$K$35/100))^V10-$AG$4*(1+('main page'!$K$35/100))^V9,$AG$4*(1+(('main page'!$G$8/100)/100))*(1+('main page'!$K$35/100))^V10-$AG$4*(1+(('main page'!$G$8/100)/100))*(1+('main page'!$K$35/100))^V9)</f>
        <v>0</v>
      </c>
      <c r="V10" s="73">
        <v>2</v>
      </c>
      <c r="W10" s="40">
        <f>'normal case'!V9</f>
        <v>0</v>
      </c>
      <c r="X10" s="40">
        <f>'normal case'!W9</f>
        <v>0</v>
      </c>
      <c r="Y10" s="49">
        <f ca="1">IF(controls!$B$33=1,E10-($J$4-'main page'!$K$27*2)*(1+('main page'!$K$35/100))^A9,E10-$AG$5)</f>
        <v>0</v>
      </c>
      <c r="Z10" s="49">
        <f ca="1">ABS(M10-('main page'!$U$8/100)*100)</f>
        <v>0</v>
      </c>
      <c r="AH10" s="65"/>
      <c r="AI10" s="40"/>
      <c r="AJ10" s="40"/>
      <c r="AK10" s="65"/>
      <c r="AL10" s="65"/>
      <c r="AM10" s="65"/>
      <c r="AN10" s="65"/>
      <c r="AO10" s="65"/>
      <c r="AP10" s="65"/>
      <c r="AQ10" s="65"/>
      <c r="AR10" s="65"/>
      <c r="AS10" s="65"/>
      <c r="AT10" s="65"/>
      <c r="AU10" s="65"/>
      <c r="AV10" s="65"/>
      <c r="AW10" s="65"/>
      <c r="AX10" s="65"/>
      <c r="AY10" s="65"/>
      <c r="AZ10" s="65"/>
    </row>
    <row r="11" spans="1:52">
      <c r="A11" s="48">
        <v>8</v>
      </c>
      <c r="B11" s="75">
        <f ca="1">IF(controls!$B$6=2,AVERAGE(E7:E10)+B10*W11+hystere!$AG$9,AVERAGE(E7:E10)+B10*W11)</f>
        <v>100</v>
      </c>
      <c r="C11" s="80">
        <f t="shared" ca="1" si="1"/>
        <v>0</v>
      </c>
      <c r="D11" s="105">
        <f t="shared" ca="1" si="2"/>
        <v>0</v>
      </c>
      <c r="E11" s="77">
        <f t="shared" ca="1" si="3"/>
        <v>100</v>
      </c>
      <c r="F11" s="77">
        <f ca="1">IF('main page'!$K$34=1,hystere!H11,hystere!G11)</f>
        <v>100</v>
      </c>
      <c r="G11" s="94">
        <f ca="1">I11-'main page'!$K$27*hystere!N10</f>
        <v>100</v>
      </c>
      <c r="H11" s="75">
        <f ca="1">J11-'main page'!$K$27*N10</f>
        <v>100</v>
      </c>
      <c r="I11" s="75">
        <f ca="1">IF(controls!$B$31=2,I10+E10*X11+K11,I10+E10*X11+K11-K10)</f>
        <v>108</v>
      </c>
      <c r="J11" s="75">
        <f ca="1">IF(controls!$B$31=2,J10+E10*X11+U11+L11,J10+E10*X11+U11+L11-L10)</f>
        <v>108</v>
      </c>
      <c r="K11" s="96">
        <f>IF(controls!$B$30=3,('main page'!$U$22/100)*hystere!I10,)</f>
        <v>0</v>
      </c>
      <c r="L11" s="96">
        <f>IF(controls!$B$30=3,('main page'!$U$22/100)*hystere!J10,)</f>
        <v>0</v>
      </c>
      <c r="M11" s="75">
        <f ca="1">IF(ABS('main page'!$K$29*M10+(1-'main page'!$K$29)*('main page'!$U$8/100)*100+'main page'!$K$25*(E11-B11)-M10)&lt;0.0000001,M10,'main page'!$K$29*M10+(1-'main page'!$K$29)*('main page'!$U$8/100)*100+'main page'!$K$25*(E11-B11))</f>
        <v>2</v>
      </c>
      <c r="N11" s="75">
        <f ca="1">IF(controls!$B$10=1,N10,O11-'main page'!$K$29*M11-(1-'main page'!$K$29)*'main page'!$U$8)</f>
        <v>4</v>
      </c>
      <c r="O11" s="74">
        <f t="shared" ca="1" si="0"/>
        <v>6</v>
      </c>
      <c r="P11" s="76">
        <f ca="1">IF(controls!$B$10=1,hystere!N11+hystere!M11,hystere!Q11)</f>
        <v>6</v>
      </c>
      <c r="Q11" s="74">
        <f ca="1">IF('main page'!$Y$53=1,'choose m.p.'!I10*100,R11)</f>
        <v>6</v>
      </c>
      <c r="R11" s="100">
        <f ca="1">'main page'!$K$29*M11+(1-'main page'!$K$29)*'main page'!$U$8+S11+(('main page'!$K$25*'main page'!$U$13*'main page'!$K$29)/('main page'!$K$27*(1+('main page'!$K$25^2)*'main page'!$U$13)))*(M11-('main page'!$U$8/100)*100)</f>
        <v>6</v>
      </c>
      <c r="S11" s="98">
        <f ca="1">IF(controls!$B$33=1,(J12-E11*X12-L12-B11)/'main page'!$K$27,(I12-E11*X12-K12-B11)/'main page'!$K$27)</f>
        <v>4</v>
      </c>
      <c r="U11" s="71">
        <f>IF(controls!$B$6=1,$AG$4*(1+('main page'!$K$35/100))^V11-$AG$4*(1+('main page'!$K$35/100))^V10,$AG$4*(1+(('main page'!$G$8/100)/100))*(1+('main page'!$K$35/100))^V11-$AG$4*(1+(('main page'!$G$8/100)/100))*(1+('main page'!$K$35/100))^V10)</f>
        <v>0</v>
      </c>
      <c r="V11" s="73">
        <v>3</v>
      </c>
      <c r="W11" s="40">
        <f>'normal case'!V10</f>
        <v>0</v>
      </c>
      <c r="X11" s="40">
        <f>'normal case'!W10</f>
        <v>0</v>
      </c>
      <c r="Y11" s="49">
        <f ca="1">IF(controls!$B$33=1,E11-($J$4-'main page'!$K$27*2)*(1+('main page'!$K$35/100))^A10,E11-$AG$5)</f>
        <v>0</v>
      </c>
      <c r="Z11" s="49">
        <f ca="1">ABS(M11-('main page'!$U$8/100)*100)</f>
        <v>0</v>
      </c>
      <c r="AH11" s="65"/>
      <c r="AI11" s="40"/>
      <c r="AJ11" s="40"/>
      <c r="AK11" s="65"/>
      <c r="AL11" s="65"/>
      <c r="AM11" s="65"/>
      <c r="AN11" s="65"/>
      <c r="AO11" s="65"/>
      <c r="AP11" s="65"/>
      <c r="AQ11" s="65"/>
      <c r="AR11" s="65"/>
      <c r="AS11" s="65"/>
      <c r="AT11" s="65"/>
      <c r="AU11" s="65"/>
      <c r="AV11" s="65"/>
      <c r="AW11" s="65"/>
      <c r="AX11" s="65"/>
      <c r="AY11" s="65"/>
      <c r="AZ11" s="65"/>
    </row>
    <row r="12" spans="1:52">
      <c r="A12" s="48">
        <v>9</v>
      </c>
      <c r="B12" s="75">
        <f ca="1">IF(controls!$B$6=2,AVERAGE(E8:E11)+B11*W12+hystere!$AG$9,AVERAGE(E8:E11)+B11*W12)</f>
        <v>100</v>
      </c>
      <c r="C12" s="80">
        <f t="shared" ca="1" si="1"/>
        <v>0</v>
      </c>
      <c r="D12" s="105">
        <f t="shared" ca="1" si="2"/>
        <v>0</v>
      </c>
      <c r="E12" s="77">
        <f t="shared" ca="1" si="3"/>
        <v>100</v>
      </c>
      <c r="F12" s="77">
        <f ca="1">IF('main page'!$K$34=1,hystere!H12,hystere!G12)</f>
        <v>100</v>
      </c>
      <c r="G12" s="94">
        <f ca="1">I12-'main page'!$K$27*hystere!N11</f>
        <v>100</v>
      </c>
      <c r="H12" s="75">
        <f ca="1">J12-'main page'!$K$27*N11</f>
        <v>100</v>
      </c>
      <c r="I12" s="75">
        <f ca="1">IF(controls!$B$31=2,I11+E11*X12+K12,I11+E11*X12+K12-K11)</f>
        <v>108</v>
      </c>
      <c r="J12" s="75">
        <f ca="1">IF(controls!$B$31=2,J11+E11*X12+U12+L12,J11+E11*X12+U12+L12-L11)</f>
        <v>108</v>
      </c>
      <c r="K12" s="96">
        <f>IF(controls!$B$30=4,('main page'!$U$22/100)*hystere!I11,)</f>
        <v>0</v>
      </c>
      <c r="L12" s="96">
        <f>IF(controls!$B$30=4,('main page'!$U$22/100)*hystere!J11,)</f>
        <v>0</v>
      </c>
      <c r="M12" s="75">
        <f ca="1">IF(ABS('main page'!$K$29*M11+(1-'main page'!$K$29)*('main page'!$U$8/100)*100+'main page'!$K$25*(E12-B12)-M11)&lt;0.0000001,M11,'main page'!$K$29*M11+(1-'main page'!$K$29)*('main page'!$U$8/100)*100+'main page'!$K$25*(E12-B12))</f>
        <v>2</v>
      </c>
      <c r="N12" s="75">
        <f ca="1">IF(controls!$B$10=1,N11,O12-'main page'!$K$29*M12-(1-'main page'!$K$29)*'main page'!$U$8)</f>
        <v>4</v>
      </c>
      <c r="O12" s="74">
        <f t="shared" ca="1" si="0"/>
        <v>6</v>
      </c>
      <c r="P12" s="76">
        <f ca="1">IF(controls!$B$10=1,hystere!N12+hystere!M12,hystere!Q12)</f>
        <v>6</v>
      </c>
      <c r="Q12" s="74">
        <f ca="1">IF('main page'!$Y$53=1,'choose m.p.'!I11*100,R12)</f>
        <v>6</v>
      </c>
      <c r="R12" s="100">
        <f ca="1">'main page'!$K$29*M12+(1-'main page'!$K$29)*'main page'!$U$8+S12+(('main page'!$K$25*'main page'!$U$13*'main page'!$K$29)/('main page'!$K$27*(1+('main page'!$K$25^2)*'main page'!$U$13)))*(M12-('main page'!$U$8/100)*100)</f>
        <v>6</v>
      </c>
      <c r="S12" s="98">
        <f ca="1">IF(controls!$B$33=1,(J13-E12*X13-L13-B12)/'main page'!$K$27,(I13-E12*X13-K13-B12)/'main page'!$K$27)</f>
        <v>4</v>
      </c>
      <c r="U12" s="71">
        <f>IF(controls!$B$6=1,$AG$4*(1+('main page'!$K$35/100))^V12-$AG$4*(1+('main page'!$K$35/100))^V11,$AG$4*(1+(('main page'!$G$8/100)/100))*(1+('main page'!$K$35/100))^V12-$AG$4*(1+(('main page'!$G$8/100)/100))*(1+('main page'!$K$35/100))^V11)</f>
        <v>0</v>
      </c>
      <c r="V12" s="73">
        <v>4</v>
      </c>
      <c r="W12" s="40">
        <f ca="1">'normal case'!V11</f>
        <v>0</v>
      </c>
      <c r="X12" s="40">
        <f ca="1">'normal case'!W11</f>
        <v>0</v>
      </c>
      <c r="Y12" s="49">
        <f ca="1">IF(controls!$B$33=1,E12-($J$4-'main page'!$K$27*2)*(1+('main page'!$K$35/100))^A11,E12-$AG$5)</f>
        <v>0</v>
      </c>
      <c r="Z12" s="49">
        <f ca="1">ABS(M12-('main page'!$U$8/100)*100)</f>
        <v>0</v>
      </c>
      <c r="AB12" s="66"/>
      <c r="AC12" s="65"/>
      <c r="AD12" s="58" t="b">
        <v>0</v>
      </c>
      <c r="AE12" s="65"/>
      <c r="AF12" s="65"/>
      <c r="AG12" s="65"/>
      <c r="AH12" s="65"/>
      <c r="AI12" s="40"/>
      <c r="AJ12" s="40"/>
      <c r="AK12" s="65"/>
      <c r="AL12" s="65"/>
      <c r="AM12" s="65"/>
      <c r="AN12" s="65"/>
      <c r="AO12" s="65"/>
      <c r="AP12" s="65"/>
      <c r="AQ12" s="65"/>
      <c r="AR12" s="65"/>
      <c r="AS12" s="65"/>
      <c r="AT12" s="65"/>
      <c r="AU12" s="65"/>
      <c r="AV12" s="65"/>
      <c r="AW12" s="65"/>
      <c r="AX12" s="65"/>
      <c r="AY12" s="65"/>
      <c r="AZ12" s="65"/>
    </row>
    <row r="13" spans="1:52">
      <c r="A13" s="48">
        <v>10</v>
      </c>
      <c r="B13" s="75">
        <f ca="1">IF(controls!$B$6=2,AVERAGE(E9:E12)+B12*W13+hystere!$AG$9,AVERAGE(E9:E12)+B12*W13)</f>
        <v>100</v>
      </c>
      <c r="C13" s="80">
        <f t="shared" ca="1" si="1"/>
        <v>0</v>
      </c>
      <c r="D13" s="105">
        <f t="shared" ca="1" si="2"/>
        <v>0</v>
      </c>
      <c r="E13" s="77">
        <f t="shared" ca="1" si="3"/>
        <v>100</v>
      </c>
      <c r="F13" s="77">
        <f ca="1">IF('main page'!$K$34=1,hystere!H13,hystere!G13)</f>
        <v>100</v>
      </c>
      <c r="G13" s="94">
        <f ca="1">I13-'main page'!$K$27*hystere!N12</f>
        <v>100</v>
      </c>
      <c r="H13" s="75">
        <f ca="1">J13-'main page'!$K$27*N12</f>
        <v>100</v>
      </c>
      <c r="I13" s="75">
        <f ca="1">IF(controls!$B$31=2,I12+E12*X13+K13,I12+E12*X13+K13-K12)</f>
        <v>108</v>
      </c>
      <c r="J13" s="75">
        <f ca="1">IF(controls!$B$31=2,J12+E12*X13+U13+L13,J12+E12*X13+U13+L13-L12)</f>
        <v>108</v>
      </c>
      <c r="K13" s="96">
        <f>IF(controls!$B$30=5,('main page'!$U$22/100)*hystere!I12,)</f>
        <v>0</v>
      </c>
      <c r="L13" s="96">
        <f>IF(controls!$B$30=5,('main page'!$U$22/100)*hystere!J12,)</f>
        <v>0</v>
      </c>
      <c r="M13" s="75">
        <f ca="1">IF(ABS('main page'!$K$29*M12+(1-'main page'!$K$29)*(controls!$B$9/100)*100+'main page'!$K$25*(E13-B13)-M12)&lt;0.0000001,M12,'main page'!$K$29*M12+(1-'main page'!$K$29)*(controls!$B$9/100)*100+'main page'!$K$25*(E13-B13))</f>
        <v>2</v>
      </c>
      <c r="N13" s="75">
        <f ca="1">IF(controls!$B$10=1,N12,O13-'main page'!$K$29*M13-(1-'main page'!$K$29)*controls!$B$9)</f>
        <v>4</v>
      </c>
      <c r="O13" s="74">
        <f t="shared" ca="1" si="0"/>
        <v>6</v>
      </c>
      <c r="P13" s="76">
        <f ca="1">IF(controls!$B$10=1,hystere!N13+hystere!M13,hystere!Q13)</f>
        <v>6</v>
      </c>
      <c r="Q13" s="74">
        <f ca="1">IF('main page'!$Y$53=1,'choose m.p.'!I12*100,R13)</f>
        <v>6</v>
      </c>
      <c r="R13" s="100">
        <f ca="1">'main page'!$K$29*M13+(1-'main page'!$K$29)*controls!$B$9+S13+(('main page'!$K$25*'main page'!$U$13*'main page'!$K$29)/('main page'!$K$27*(1+('main page'!$K$25^2)*'main page'!$U$13)))*(M13-(controls!$B$9/100)*100)</f>
        <v>6</v>
      </c>
      <c r="S13" s="98">
        <f ca="1">IF(controls!$B$33=1,(J14-E13*X14-L14-B13)/'main page'!$K$27,(I14-E13*X14-K14-B13)/'main page'!$K$27)</f>
        <v>4</v>
      </c>
      <c r="U13" s="71">
        <f>IF(controls!$B$6=1,$AG$4*(1+('main page'!$K$35/100))^V13-$AG$4*(1+('main page'!$K$35/100))^V12,$AG$4*(1+(('main page'!$G$8/100)/100))*(1+('main page'!$K$35/100))^V13-$AG$4*(1+(('main page'!$G$8/100)/100))*(1+('main page'!$K$35/100))^V12)</f>
        <v>0</v>
      </c>
      <c r="V13" s="73">
        <v>5</v>
      </c>
      <c r="W13" s="40">
        <f>'normal case'!V12</f>
        <v>0</v>
      </c>
      <c r="X13" s="40">
        <f>'normal case'!W12</f>
        <v>0</v>
      </c>
      <c r="Y13" s="49">
        <f ca="1">IF(controls!$B$33=1,E13-($J$4-'main page'!$K$27*2)*(1+('main page'!$K$35/100))^A12,E13-$AG$5)</f>
        <v>0</v>
      </c>
      <c r="Z13" s="49">
        <f ca="1">ABS(M13-(controls!$B$9/100)*100)</f>
        <v>0</v>
      </c>
      <c r="AI13" s="40"/>
      <c r="AJ13" s="40"/>
    </row>
    <row r="14" spans="1:52">
      <c r="A14" s="48">
        <v>11</v>
      </c>
      <c r="B14" s="75">
        <f ca="1">IF(controls!$B$6=2,AVERAGE(E10:E13)+B13*W14+hystere!$AG$9,AVERAGE(E10:E13)+B13*W14)</f>
        <v>100</v>
      </c>
      <c r="C14" s="80">
        <f t="shared" ca="1" si="1"/>
        <v>0</v>
      </c>
      <c r="D14" s="105">
        <f t="shared" ca="1" si="2"/>
        <v>0</v>
      </c>
      <c r="E14" s="77">
        <f t="shared" ca="1" si="3"/>
        <v>100</v>
      </c>
      <c r="F14" s="77">
        <f ca="1">IF('main page'!$K$34=1,hystere!H14,hystere!G14)</f>
        <v>100</v>
      </c>
      <c r="G14" s="94">
        <f ca="1">I14-'main page'!$K$27*hystere!N13</f>
        <v>100</v>
      </c>
      <c r="H14" s="75">
        <f ca="1">J14-'main page'!$K$27*N13</f>
        <v>100</v>
      </c>
      <c r="I14" s="75">
        <f ca="1">IF(controls!$B$31=2,I13+E13*X14+K14,I13+E13*X14+K14-K13)</f>
        <v>108</v>
      </c>
      <c r="J14" s="75">
        <f ca="1">IF(controls!$B$31=2,J13+E13*X14+U14+L14,J13+E13*X14+U14+L14-L13)</f>
        <v>108</v>
      </c>
      <c r="K14" s="96">
        <f>IF(controls!$B$30=6,('main page'!$U$22/100)*hystere!I13,)</f>
        <v>0</v>
      </c>
      <c r="L14" s="96">
        <f>IF(controls!$B$30=6,('main page'!$U$22/100)*hystere!J13,)</f>
        <v>0</v>
      </c>
      <c r="M14" s="75">
        <f ca="1">IF(ABS('main page'!$K$29*M13+(1-'main page'!$K$29)*(controls!$B$9/100)*100+'main page'!$K$25*(E14-B14)-M13)&lt;0.0000001,M13,'main page'!$K$29*M13+(1-'main page'!$K$29)*(controls!$B$9/100)*100+'main page'!$K$25*(E14-B14))</f>
        <v>2</v>
      </c>
      <c r="N14" s="75">
        <f ca="1">IF(controls!$B$10=1,N13,O14-'main page'!$K$29*M14-(1-'main page'!$K$29)*controls!$B$9)</f>
        <v>4</v>
      </c>
      <c r="O14" s="74">
        <f t="shared" ca="1" si="0"/>
        <v>6</v>
      </c>
      <c r="P14" s="76">
        <f ca="1">IF(controls!$B$10=1,hystere!N14+hystere!M14,hystere!Q14)</f>
        <v>6</v>
      </c>
      <c r="Q14" s="74">
        <f ca="1">IF('main page'!$Y$53=1,'choose m.p.'!I13*100,R14)</f>
        <v>6</v>
      </c>
      <c r="R14" s="100">
        <f ca="1">'main page'!$K$29*M14+(1-'main page'!$K$29)*controls!$B$9+S14+(('main page'!$K$25*'main page'!$U$13*'main page'!$K$29)/('main page'!$K$27*(1+('main page'!$K$25^2)*'main page'!$U$13)))*(M14-(controls!$B$9/100)*100)</f>
        <v>6</v>
      </c>
      <c r="S14" s="98">
        <f ca="1">IF(controls!$B$33=1,(J15-E14*X15-L15-B14)/'main page'!$K$27,(I15-E14*X15-K15-B14)/'main page'!$K$27)</f>
        <v>4</v>
      </c>
      <c r="U14" s="71">
        <f>IF(controls!$B$6=1,$AG$4*(1+('main page'!$K$35/100))^V14-$AG$4*(1+('main page'!$K$35/100))^V13,$AG$4*(1+(('main page'!$G$8/100)/100))*(1+('main page'!$K$35/100))^V14-$AG$4*(1+(('main page'!$G$8/100)/100))*(1+('main page'!$K$35/100))^V13)</f>
        <v>0</v>
      </c>
      <c r="V14" s="73">
        <v>6</v>
      </c>
      <c r="W14" s="40">
        <f>'normal case'!V13</f>
        <v>0</v>
      </c>
      <c r="X14" s="40">
        <f>'normal case'!W13</f>
        <v>0</v>
      </c>
      <c r="Y14" s="49">
        <f ca="1">IF(controls!$B$33=1,E14-($J$4-'main page'!$K$27*2)*(1+('main page'!$K$35/100))^A13,E14-$AG$5)</f>
        <v>0</v>
      </c>
      <c r="Z14" s="49">
        <f ca="1">ABS(M14-(controls!$B$9/100)*100)</f>
        <v>0</v>
      </c>
      <c r="AI14" s="40"/>
      <c r="AJ14" s="40"/>
    </row>
    <row r="15" spans="1:52">
      <c r="A15" s="48">
        <v>12</v>
      </c>
      <c r="B15" s="75">
        <f ca="1">IF(controls!$B$6=2,AVERAGE(E11:E14)+B14*W15+hystere!$AG$9,AVERAGE(E11:E14)+B14*W15)</f>
        <v>100</v>
      </c>
      <c r="C15" s="80">
        <f t="shared" ca="1" si="1"/>
        <v>0</v>
      </c>
      <c r="D15" s="105">
        <f t="shared" ca="1" si="2"/>
        <v>0</v>
      </c>
      <c r="E15" s="77">
        <f t="shared" ca="1" si="3"/>
        <v>100</v>
      </c>
      <c r="F15" s="77">
        <f ca="1">IF('main page'!$K$34=1,hystere!H15,hystere!G15)</f>
        <v>100</v>
      </c>
      <c r="G15" s="94">
        <f ca="1">I15-'main page'!$K$27*hystere!N14</f>
        <v>100</v>
      </c>
      <c r="H15" s="75">
        <f ca="1">J15-'main page'!$K$27*N14</f>
        <v>100</v>
      </c>
      <c r="I15" s="75">
        <f ca="1">IF(controls!$B$31=2,I14+E14*X15+K15,I14+E14*X15+K15-K14)</f>
        <v>108</v>
      </c>
      <c r="J15" s="75">
        <f ca="1">IF(controls!$B$31=2,J14+E14*X15+U15+L15,J14+E14*X15+U15+L15-L14)</f>
        <v>108</v>
      </c>
      <c r="K15" s="96">
        <f>IF(controls!$B$30=7,('main page'!$U$22/100)*hystere!I14,)</f>
        <v>0</v>
      </c>
      <c r="L15" s="96">
        <f>IF(controls!$B$30=7,('main page'!$U$22/100)*hystere!J14,)</f>
        <v>0</v>
      </c>
      <c r="M15" s="75">
        <f ca="1">IF(ABS('main page'!$K$29*M14+(1-'main page'!$K$29)*(controls!$B$9/100)*100+'main page'!$K$25*(E15-B15)-M14)&lt;0.0000001,M14,'main page'!$K$29*M14+(1-'main page'!$K$29)*(controls!$B$9/100)*100+'main page'!$K$25*(E15-B15))</f>
        <v>2</v>
      </c>
      <c r="N15" s="75">
        <f ca="1">IF(controls!$B$10=1,N14,O15-'main page'!$K$29*M15-(1-'main page'!$K$29)*controls!$B$9)</f>
        <v>4</v>
      </c>
      <c r="O15" s="74">
        <f t="shared" ca="1" si="0"/>
        <v>6</v>
      </c>
      <c r="P15" s="76">
        <f ca="1">IF(controls!$B$10=1,hystere!N15+hystere!M15,hystere!Q15)</f>
        <v>6</v>
      </c>
      <c r="Q15" s="74">
        <f ca="1">IF('main page'!$Y$53=1,'choose m.p.'!I14*100,R15)</f>
        <v>6</v>
      </c>
      <c r="R15" s="100">
        <f ca="1">'main page'!$K$29*M15+(1-'main page'!$K$29)*controls!$B$9+S15+(('main page'!$K$25*'main page'!$U$13*'main page'!$K$29)/('main page'!$K$27*(1+('main page'!$K$25^2)*'main page'!$U$13)))*(M15-(controls!$B$9/100)*100)</f>
        <v>6</v>
      </c>
      <c r="S15" s="98">
        <f ca="1">IF(controls!$B$33=1,(J16-E15*X16-L16-B15)/'main page'!$K$27,(I16-E15*X16-K16-B15)/'main page'!$K$27)</f>
        <v>4</v>
      </c>
      <c r="U15" s="71">
        <f>IF(controls!$B$6=1,$AG$4*(1+('main page'!$K$35/100))^V15-$AG$4*(1+('main page'!$K$35/100))^V14,$AG$4*(1+(('main page'!$G$8/100)/100))*(1+('main page'!$K$35/100))^V15-$AG$4*(1+(('main page'!$G$8/100)/100))*(1+('main page'!$K$35/100))^V14)</f>
        <v>0</v>
      </c>
      <c r="V15" s="73">
        <v>7</v>
      </c>
      <c r="W15" s="40">
        <f ca="1">'normal case'!V14</f>
        <v>0</v>
      </c>
      <c r="X15" s="40">
        <f ca="1">'normal case'!W14</f>
        <v>0</v>
      </c>
      <c r="Y15" s="49">
        <f ca="1">IF(controls!$B$33=1,E15-($J$4-'main page'!$K$27*2)*(1+('main page'!$K$35/100))^A14,E15-$AG$5)</f>
        <v>0</v>
      </c>
      <c r="Z15" s="49">
        <f ca="1">ABS(M15-(controls!$B$9/100)*100)</f>
        <v>0</v>
      </c>
      <c r="AI15" s="40"/>
      <c r="AJ15" s="40"/>
    </row>
    <row r="16" spans="1:52">
      <c r="A16" s="48">
        <v>13</v>
      </c>
      <c r="B16" s="75">
        <f ca="1">IF(controls!$B$6=2,AVERAGE(E12:E15)+B15*W16+hystere!$AG$9,AVERAGE(E12:E15)+B15*W16)</f>
        <v>100</v>
      </c>
      <c r="C16" s="80">
        <f t="shared" ca="1" si="1"/>
        <v>0</v>
      </c>
      <c r="D16" s="105">
        <f t="shared" ca="1" si="2"/>
        <v>0</v>
      </c>
      <c r="E16" s="77">
        <f t="shared" ca="1" si="3"/>
        <v>100</v>
      </c>
      <c r="F16" s="77">
        <f ca="1">IF('main page'!$K$34=1,hystere!H16,hystere!G16)</f>
        <v>100</v>
      </c>
      <c r="G16" s="94">
        <f ca="1">I16-'main page'!$K$27*hystere!N15</f>
        <v>100</v>
      </c>
      <c r="H16" s="75">
        <f ca="1">J16-'main page'!$K$27*N15</f>
        <v>100</v>
      </c>
      <c r="I16" s="75">
        <f ca="1">IF(controls!$B$31=2,I15+E15*X16+K16,I15+E15*X16+K16-K15)</f>
        <v>108</v>
      </c>
      <c r="J16" s="75">
        <f ca="1">IF(controls!$B$31=2,J15+E15*X16+U16+L16,J15+E15*X16+U16+L16-L15)</f>
        <v>108</v>
      </c>
      <c r="K16" s="96">
        <f>IF(controls!$B$30=8,('main page'!$U$22/100)*hystere!I15,)</f>
        <v>0</v>
      </c>
      <c r="L16" s="96">
        <f>IF(controls!$B$30=8,('main page'!$U$22/100)*hystere!J15,)</f>
        <v>0</v>
      </c>
      <c r="M16" s="75">
        <f ca="1">IF(ABS('main page'!$K$29*M15+(1-'main page'!$K$29)*(controls!$B$9/100)*100+'main page'!$K$25*(E16-B16)-M15)&lt;0.0000001,M15,'main page'!$K$29*M15+(1-'main page'!$K$29)*(controls!$B$9/100)*100+'main page'!$K$25*(E16-B16))</f>
        <v>2</v>
      </c>
      <c r="N16" s="75">
        <f ca="1">IF(controls!$B$10=1,N15,O16-'main page'!$K$29*M16-(1-'main page'!$K$29)*controls!$B$9)</f>
        <v>4</v>
      </c>
      <c r="O16" s="74">
        <f t="shared" ca="1" si="0"/>
        <v>6</v>
      </c>
      <c r="P16" s="76">
        <f ca="1">IF(controls!$B$10=1,hystere!N16+hystere!M16,hystere!Q16)</f>
        <v>6</v>
      </c>
      <c r="Q16" s="74">
        <f ca="1">IF('main page'!$Y$53=1,'choose m.p.'!I15*100,R16)</f>
        <v>6</v>
      </c>
      <c r="R16" s="100">
        <f ca="1">'main page'!$K$29*M16+(1-'main page'!$K$29)*controls!$B$9+S16+(('main page'!$K$25*'main page'!$U$13*'main page'!$K$29)/('main page'!$K$27*(1+('main page'!$K$25^2)*'main page'!$U$13)))*(M16-(controls!$B$9/100)*100)</f>
        <v>6</v>
      </c>
      <c r="S16" s="98">
        <f ca="1">IF(controls!$B$33=1,(J17-E16*X17-L17-B16)/'main page'!$K$27,(I17-E16*X17-K17-B16)/'main page'!$K$27)</f>
        <v>4</v>
      </c>
      <c r="U16" s="71">
        <f>IF(controls!$B$6=1,$AG$4*(1+('main page'!$K$35/100))^V16-$AG$4*(1+('main page'!$K$35/100))^V15,$AG$4*(1+(('main page'!$G$8/100)/100))*(1+('main page'!$K$35/100))^V16-$AG$4*(1+(('main page'!$G$8/100)/100))*(1+('main page'!$K$35/100))^V15)</f>
        <v>0</v>
      </c>
      <c r="V16" s="73">
        <v>8</v>
      </c>
      <c r="W16" s="40">
        <f>'normal case'!V15</f>
        <v>0</v>
      </c>
      <c r="X16" s="40">
        <f>'normal case'!W15</f>
        <v>0</v>
      </c>
      <c r="Y16" s="49">
        <f ca="1">IF(controls!$B$33=1,E16-($J$4-'main page'!$K$27*2)*(1+('main page'!$K$35/100))^A15,E16-$AG$5)</f>
        <v>0</v>
      </c>
      <c r="Z16" s="49">
        <f ca="1">ABS(M16-(controls!$B$9/100)*100)</f>
        <v>0</v>
      </c>
      <c r="AI16" s="40"/>
      <c r="AJ16" s="40"/>
    </row>
    <row r="17" spans="1:36">
      <c r="A17" s="48">
        <v>14</v>
      </c>
      <c r="B17" s="75">
        <f ca="1">IF(controls!$B$6=2,AVERAGE(E13:E16)+B16*W17+hystere!$AG$9,AVERAGE(E13:E16)+B16*W17)</f>
        <v>100</v>
      </c>
      <c r="C17" s="80">
        <f t="shared" ca="1" si="1"/>
        <v>0</v>
      </c>
      <c r="D17" s="105">
        <f t="shared" ca="1" si="2"/>
        <v>0</v>
      </c>
      <c r="E17" s="77">
        <f t="shared" ca="1" si="3"/>
        <v>100</v>
      </c>
      <c r="F17" s="77">
        <f ca="1">IF('main page'!$K$34=1,hystere!H17,hystere!G17)</f>
        <v>100</v>
      </c>
      <c r="G17" s="94">
        <f ca="1">I17-'main page'!$K$27*hystere!N16</f>
        <v>100</v>
      </c>
      <c r="H17" s="75">
        <f ca="1">J17-'main page'!$K$27*N16</f>
        <v>100</v>
      </c>
      <c r="I17" s="75">
        <f ca="1">IF(controls!$B$31=2,I16+E16*X17+K17,I16+E16*X17+K17-K16)</f>
        <v>108</v>
      </c>
      <c r="J17" s="75">
        <f ca="1">IF(controls!$B$31=2,J16+E16*X17+U17+L17,J16+E16*X17+U17+L17-L16)</f>
        <v>108</v>
      </c>
      <c r="K17" s="96">
        <f>IF(controls!$B$30=9,('main page'!$U$22/100)*hystere!I16,)</f>
        <v>0</v>
      </c>
      <c r="L17" s="96">
        <f>IF(controls!$B$30=9,('main page'!$U$22/100)*hystere!J16,)</f>
        <v>0</v>
      </c>
      <c r="M17" s="75">
        <f ca="1">IF(ABS('main page'!$K$29*M16+(1-'main page'!$K$29)*(controls!$B$9/100)*100+'main page'!$K$25*(E17-B17)-M16)&lt;0.0000001,M16,'main page'!$K$29*M16+(1-'main page'!$K$29)*(controls!$B$9/100)*100+'main page'!$K$25*(E17-B17))</f>
        <v>2</v>
      </c>
      <c r="N17" s="75">
        <f ca="1">IF(controls!$B$10=1,N16,O17-'main page'!$K$29*M17-(1-'main page'!$K$29)*controls!$B$9)</f>
        <v>4</v>
      </c>
      <c r="O17" s="74">
        <f t="shared" ca="1" si="0"/>
        <v>6</v>
      </c>
      <c r="P17" s="76">
        <f ca="1">IF(controls!$B$10=1,hystere!N17+hystere!M17,hystere!Q17)</f>
        <v>6</v>
      </c>
      <c r="Q17" s="74">
        <f ca="1">IF('main page'!$Y$53=1,'choose m.p.'!I16*100,R17)</f>
        <v>6</v>
      </c>
      <c r="R17" s="100">
        <f ca="1">'main page'!$K$29*M17+(1-'main page'!$K$29)*controls!$B$9+S17+(('main page'!$K$25*'main page'!$U$13*'main page'!$K$29)/('main page'!$K$27*(1+('main page'!$K$25^2)*'main page'!$U$13)))*(M17-(controls!$B$9/100)*100)</f>
        <v>6</v>
      </c>
      <c r="S17" s="98">
        <f ca="1">IF(controls!$B$33=1,(J18-E17*X18-L18-B17)/'main page'!$K$27,(I18-E17*X18-K18-B17)/'main page'!$K$27)</f>
        <v>4</v>
      </c>
      <c r="U17" s="71">
        <f>IF(controls!$B$6=1,$AG$4*(1+('main page'!$K$35/100))^V17-$AG$4*(1+('main page'!$K$35/100))^V16,$AG$4*(1+(('main page'!$G$8/100)/100))*(1+('main page'!$K$35/100))^V17-$AG$4*(1+(('main page'!$G$8/100)/100))*(1+('main page'!$K$35/100))^V16)</f>
        <v>0</v>
      </c>
      <c r="V17" s="73">
        <v>9</v>
      </c>
      <c r="W17" s="40">
        <f>'normal case'!V16</f>
        <v>0</v>
      </c>
      <c r="X17" s="40">
        <f>'normal case'!W16</f>
        <v>0</v>
      </c>
      <c r="Y17" s="49">
        <f ca="1">IF(controls!$B$33=1,E17-($J$4-'main page'!$K$27*2)*(1+('main page'!$K$35/100))^A16,E17-$AG$5)</f>
        <v>0</v>
      </c>
      <c r="Z17" s="49">
        <f ca="1">ABS(M17-(controls!$B$9/100)*100)</f>
        <v>0</v>
      </c>
      <c r="AI17" s="40"/>
      <c r="AJ17" s="40"/>
    </row>
    <row r="18" spans="1:36">
      <c r="A18" s="48">
        <v>15</v>
      </c>
      <c r="B18" s="75">
        <f ca="1">IF(controls!$B$6=2,AVERAGE(E14:E17)+B17*W18+hystere!$AG$9,AVERAGE(E14:E17)+B17*W18)</f>
        <v>100</v>
      </c>
      <c r="C18" s="80">
        <f t="shared" ca="1" si="1"/>
        <v>0</v>
      </c>
      <c r="D18" s="105">
        <f t="shared" ca="1" si="2"/>
        <v>0</v>
      </c>
      <c r="E18" s="77">
        <f t="shared" ca="1" si="3"/>
        <v>100</v>
      </c>
      <c r="F18" s="77">
        <f ca="1">IF('main page'!$K$34=1,hystere!H18,hystere!G18)</f>
        <v>100</v>
      </c>
      <c r="G18" s="94">
        <f ca="1">I18-'main page'!$K$27*hystere!N17</f>
        <v>100</v>
      </c>
      <c r="H18" s="75">
        <f ca="1">J18-'main page'!$K$27*N17</f>
        <v>100</v>
      </c>
      <c r="I18" s="75">
        <f ca="1">IF(controls!$B$31=2,I17+E17*X18+K18,I17+E17*X18+K18-K17)</f>
        <v>108</v>
      </c>
      <c r="J18" s="75">
        <f ca="1">IF(controls!$B$31=2,J17+E17*X18+U18+L18,J17+E17*X18+U18+L18-L17)</f>
        <v>108</v>
      </c>
      <c r="K18" s="96">
        <f>IF(controls!$B$30=10,('main page'!$U$22/100)*hystere!I17,)</f>
        <v>0</v>
      </c>
      <c r="L18" s="96">
        <f>IF(controls!$B$30=10,('main page'!$U$22/100)*hystere!J17,)</f>
        <v>0</v>
      </c>
      <c r="M18" s="75">
        <f ca="1">IF(ABS('main page'!$K$29*M17+(1-'main page'!$K$29)*(controls!$B$9/100)*100+'main page'!$K$25*(E18-B18)-M17)&lt;0.0000001,M17,'main page'!$K$29*M17+(1-'main page'!$K$29)*(controls!$B$9/100)*100+'main page'!$K$25*(E18-B18))</f>
        <v>2</v>
      </c>
      <c r="N18" s="75">
        <f ca="1">IF(controls!$B$10=1,N17,O18-'main page'!$K$29*M18-(1-'main page'!$K$29)*controls!$B$9)</f>
        <v>4</v>
      </c>
      <c r="O18" s="74">
        <f t="shared" ca="1" si="0"/>
        <v>6</v>
      </c>
      <c r="P18" s="76">
        <f ca="1">IF(controls!$B$10=1,hystere!N18+hystere!M18,hystere!Q18)</f>
        <v>6</v>
      </c>
      <c r="Q18" s="74">
        <f ca="1">IF('main page'!$Y$53=1,'choose m.p.'!I17*100,R18)</f>
        <v>6</v>
      </c>
      <c r="R18" s="100">
        <f ca="1">'main page'!$K$29*M18+(1-'main page'!$K$29)*controls!$B$9+S18+(('main page'!$K$25*'main page'!$U$13*'main page'!$K$29)/('main page'!$K$27*(1+('main page'!$K$25^2)*'main page'!$U$13)))*(M18-(controls!$B$9/100)*100)</f>
        <v>6</v>
      </c>
      <c r="S18" s="98">
        <f ca="1">IF(controls!$B$33=1,(J19-E18*X19-L19-B18)/'main page'!$K$27,(I19-E18*X19-K19-B18)/'main page'!$K$27)</f>
        <v>4</v>
      </c>
      <c r="U18" s="71">
        <f>IF(controls!$B$6=1,$AG$4*(1+('main page'!$K$35/100))^V18-$AG$4*(1+('main page'!$K$35/100))^V17,$AG$4*(1+(('main page'!$G$8/100)/100))*(1+('main page'!$K$35/100))^V18-$AG$4*(1+(('main page'!$G$8/100)/100))*(1+('main page'!$K$35/100))^V17)</f>
        <v>0</v>
      </c>
      <c r="V18" s="73">
        <v>10</v>
      </c>
      <c r="W18" s="40">
        <f ca="1">'normal case'!V17</f>
        <v>0</v>
      </c>
      <c r="X18" s="40">
        <f ca="1">'normal case'!W17</f>
        <v>0</v>
      </c>
      <c r="Y18" s="49">
        <f ca="1">IF(controls!$B$33=1,E18-($J$4-'main page'!$K$27*2)*(1+('main page'!$K$35/100))^A17,E18-$AG$5)</f>
        <v>0</v>
      </c>
      <c r="Z18" s="49">
        <f ca="1">ABS(M18-(controls!$B$9/100)*100)</f>
        <v>0</v>
      </c>
      <c r="AI18" s="40"/>
      <c r="AJ18" s="40"/>
    </row>
    <row r="19" spans="1:36">
      <c r="A19" s="48">
        <v>16</v>
      </c>
      <c r="B19" s="75">
        <f ca="1">IF(controls!$B$6=2,AVERAGE(E15:E18)+B18*W19+hystere!$AG$9,AVERAGE(E15:E18)+B18*W19)</f>
        <v>100</v>
      </c>
      <c r="C19" s="80">
        <f t="shared" ca="1" si="1"/>
        <v>0</v>
      </c>
      <c r="D19" s="105">
        <f t="shared" ca="1" si="2"/>
        <v>0</v>
      </c>
      <c r="E19" s="77">
        <f t="shared" ca="1" si="3"/>
        <v>100</v>
      </c>
      <c r="F19" s="77">
        <f ca="1">IF('main page'!$K$34=1,hystere!H19,hystere!G19)</f>
        <v>100</v>
      </c>
      <c r="G19" s="94">
        <f ca="1">I19-'main page'!$K$27*hystere!N18</f>
        <v>100</v>
      </c>
      <c r="H19" s="75">
        <f ca="1">J19-'main page'!$K$27*N18</f>
        <v>100</v>
      </c>
      <c r="I19" s="75">
        <f ca="1">IF(controls!$B$31=2,I18+E18*X19+K19,I18+E18*X19+K19-K18)</f>
        <v>108</v>
      </c>
      <c r="J19" s="75">
        <f ca="1">IF(controls!$B$31=2,J18+E18*X19+U19+L19,J18+E18*X19+U19+L19-L18)</f>
        <v>108</v>
      </c>
      <c r="K19" s="96">
        <f>IF(controls!$B$30=11,('main page'!$U$22/100)*hystere!I18,)</f>
        <v>0</v>
      </c>
      <c r="L19" s="96">
        <f>IF(controls!$B$30=11,('main page'!$U$22/100)*hystere!J18,)</f>
        <v>0</v>
      </c>
      <c r="M19" s="75">
        <f ca="1">IF(ABS('main page'!$K$29*M18+(1-'main page'!$K$29)*(controls!$B$9/100)*100+'main page'!$K$25*(E19-B19)-M18)&lt;0.0000001,M18,'main page'!$K$29*M18+(1-'main page'!$K$29)*(controls!$B$9/100)*100+'main page'!$K$25*(E19-B19))</f>
        <v>2</v>
      </c>
      <c r="N19" s="75">
        <f ca="1">IF(controls!$B$10=1,N18,O19-'main page'!$K$29*M19-(1-'main page'!$K$29)*controls!$B$9)</f>
        <v>4</v>
      </c>
      <c r="O19" s="74">
        <f t="shared" ca="1" si="0"/>
        <v>6</v>
      </c>
      <c r="P19" s="76">
        <f ca="1">IF(controls!$B$10=1,hystere!N19+hystere!M19,hystere!Q19)</f>
        <v>6</v>
      </c>
      <c r="Q19" s="74">
        <f ca="1">IF('main page'!$Y$53=1,'choose m.p.'!I18*100,R19)</f>
        <v>6</v>
      </c>
      <c r="R19" s="100">
        <f ca="1">'main page'!$K$29*M19+(1-'main page'!$K$29)*controls!$B$9+S19+(('main page'!$K$25*'main page'!$U$13*'main page'!$K$29)/('main page'!$K$27*(1+('main page'!$K$25^2)*'main page'!$U$13)))*(M19-(controls!$B$9/100)*100)</f>
        <v>6</v>
      </c>
      <c r="S19" s="98">
        <f ca="1">IF(controls!$B$33=1,(J20-E19*X20-L20-B19)/'main page'!$K$27,(I20-E19*X20-K20-B19)/'main page'!$K$27)</f>
        <v>4</v>
      </c>
      <c r="U19" s="71">
        <f>IF(controls!$B$6=1,$AG$4*(1+('main page'!$K$35/100))^V19-$AG$4*(1+('main page'!$K$35/100))^V18,$AG$4*(1+(('main page'!$G$8/100)/100))*(1+('main page'!$K$35/100))^V19-$AG$4*(1+(('main page'!$G$8/100)/100))*(1+('main page'!$K$35/100))^V18)</f>
        <v>0</v>
      </c>
      <c r="V19" s="73">
        <v>11</v>
      </c>
      <c r="W19" s="40">
        <f>'normal case'!V18</f>
        <v>0</v>
      </c>
      <c r="X19" s="40">
        <f>'normal case'!W18</f>
        <v>0</v>
      </c>
      <c r="Y19" s="49">
        <f ca="1">IF(controls!$B$33=1,E19-($J$4-'main page'!$K$27*2)*(1+('main page'!$K$35/100))^A18,E19-$AG$5)</f>
        <v>0</v>
      </c>
      <c r="Z19" s="49">
        <f ca="1">ABS(M19-(controls!$B$9/100)*100)</f>
        <v>0</v>
      </c>
      <c r="AI19" s="40"/>
      <c r="AJ19" s="40"/>
    </row>
    <row r="20" spans="1:36">
      <c r="A20" s="48">
        <v>17</v>
      </c>
      <c r="B20" s="75">
        <f ca="1">IF(controls!$B$6=2,AVERAGE(E16:E19)+B19*W20+hystere!$AG$9,AVERAGE(E16:E19)+B19*W20)</f>
        <v>100</v>
      </c>
      <c r="C20" s="80">
        <f t="shared" ca="1" si="1"/>
        <v>0</v>
      </c>
      <c r="D20" s="105">
        <f t="shared" ca="1" si="2"/>
        <v>0</v>
      </c>
      <c r="E20" s="77">
        <f t="shared" ca="1" si="3"/>
        <v>100</v>
      </c>
      <c r="F20" s="77">
        <f ca="1">IF('main page'!$K$34=1,hystere!H20,hystere!G20)</f>
        <v>100</v>
      </c>
      <c r="G20" s="94">
        <f ca="1">I20-'main page'!$K$27*hystere!N19</f>
        <v>100</v>
      </c>
      <c r="H20" s="75">
        <f ca="1">J20-'main page'!$K$27*N19</f>
        <v>100</v>
      </c>
      <c r="I20" s="75">
        <f ca="1">IF(controls!$B$31=2,I19+E19*X20+K20,I19+E19*X20+K20-K19)</f>
        <v>108</v>
      </c>
      <c r="J20" s="75">
        <f ca="1">IF(controls!$B$31=2,J19+E19*X20+U20+L20,J19+E19*X20+U20+L20-L19)</f>
        <v>108</v>
      </c>
      <c r="K20" s="96">
        <f>IF(controls!$B$30=12,('main page'!$U$22/100)*hystere!I19,)</f>
        <v>0</v>
      </c>
      <c r="L20" s="96">
        <f>IF(controls!$B$30=12,('main page'!$U$22/100)*hystere!J19,)</f>
        <v>0</v>
      </c>
      <c r="M20" s="75">
        <f ca="1">IF(ABS('main page'!$K$29*M19+(1-'main page'!$K$29)*(controls!$B$9/100)*100+'main page'!$K$25*(E20-B20)-M19)&lt;0.0000001,M19,'main page'!$K$29*M19+(1-'main page'!$K$29)*(controls!$B$9/100)*100+'main page'!$K$25*(E20-B20))</f>
        <v>2</v>
      </c>
      <c r="N20" s="75">
        <f ca="1">IF(controls!$B$10=1,N19,O20-'main page'!$K$29*M20-(1-'main page'!$K$29)*controls!$B$9)</f>
        <v>4</v>
      </c>
      <c r="O20" s="74">
        <f t="shared" ca="1" si="0"/>
        <v>6</v>
      </c>
      <c r="P20" s="76">
        <f ca="1">IF(controls!$B$10=1,hystere!N20+hystere!M20,hystere!Q20)</f>
        <v>6</v>
      </c>
      <c r="Q20" s="74">
        <f ca="1">IF('main page'!$Y$53=1,'choose m.p.'!I19*100,R20)</f>
        <v>6</v>
      </c>
      <c r="R20" s="100">
        <f ca="1">'main page'!$K$29*M20+(1-'main page'!$K$29)*controls!$B$9+S20+(('main page'!$K$25*'main page'!$U$13*'main page'!$K$29)/('main page'!$K$27*(1+('main page'!$K$25^2)*'main page'!$U$13)))*(M20-(controls!$B$9/100)*100)</f>
        <v>6</v>
      </c>
      <c r="S20" s="98">
        <f ca="1">IF(controls!$B$33=1,(J21-E20*X21-L21-B20)/'main page'!$K$27,(I21-E20*X21-K21-B20)/'main page'!$K$27)</f>
        <v>4</v>
      </c>
      <c r="U20" s="71">
        <f>IF(controls!$B$6=1,$AG$4*(1+('main page'!$K$35/100))^V20-$AG$4*(1+('main page'!$K$35/100))^V19,$AG$4*(1+('main page'!$G$8/100))*(1+('main page'!$K$35/100))^V20-$AG$4*(1+('main page'!$G$8/100))*(1+('main page'!$K$35/100))^V19)</f>
        <v>0</v>
      </c>
      <c r="V20" s="73">
        <v>12</v>
      </c>
      <c r="W20" s="40">
        <f>'normal case'!V19</f>
        <v>0</v>
      </c>
      <c r="X20" s="40">
        <f>'normal case'!W19</f>
        <v>0</v>
      </c>
      <c r="Y20" s="49">
        <f ca="1">IF(controls!$B$33=1,E20-($J$4-'main page'!$K$27*2)*(1+('main page'!$K$35/100))^A19,E20-$AG$5)</f>
        <v>0</v>
      </c>
      <c r="Z20" s="49">
        <f ca="1">ABS(M20-(controls!$B$9/100)*100)</f>
        <v>0</v>
      </c>
      <c r="AI20" s="40"/>
      <c r="AJ20" s="40"/>
    </row>
    <row r="21" spans="1:36">
      <c r="A21" s="48">
        <v>18</v>
      </c>
      <c r="B21" s="75">
        <f ca="1">IF(controls!$B$6=2,AVERAGE(E17:E20)+B20*W21+hystere!$AG$9,AVERAGE(E17:E20)+B20*W21)</f>
        <v>100</v>
      </c>
      <c r="C21" s="80">
        <f t="shared" ca="1" si="1"/>
        <v>0</v>
      </c>
      <c r="D21" s="105">
        <f t="shared" ca="1" si="2"/>
        <v>0</v>
      </c>
      <c r="E21" s="77">
        <f t="shared" ca="1" si="3"/>
        <v>100</v>
      </c>
      <c r="F21" s="77">
        <f ca="1">IF('main page'!$K$34=1,hystere!H21,hystere!G21)</f>
        <v>100</v>
      </c>
      <c r="G21" s="94">
        <f ca="1">I21-'main page'!$K$27*hystere!N20</f>
        <v>100</v>
      </c>
      <c r="H21" s="75">
        <f ca="1">J21-'main page'!$K$27*N20</f>
        <v>100</v>
      </c>
      <c r="I21" s="75">
        <f ca="1">IF(controls!$B$31=2,I20+E20*X21+K21,I20+E20*X21+K21-K20)</f>
        <v>108</v>
      </c>
      <c r="J21" s="75">
        <f ca="1">IF(controls!$B$31=2,J20+E20*X21+U21+L21,J20+E20*X21+U21+L21-L20)</f>
        <v>108</v>
      </c>
      <c r="K21" s="96">
        <f>IF(controls!$B$30=13,('main page'!$U$22/100)*hystere!I20,)</f>
        <v>0</v>
      </c>
      <c r="L21" s="96">
        <f>IF(controls!$B$30=13,('main page'!$U$22/100)*hystere!J20,)</f>
        <v>0</v>
      </c>
      <c r="M21" s="75">
        <f ca="1">IF(ABS('main page'!$K$29*M20+(1-'main page'!$K$29)*(controls!$B$9/100)*100+'main page'!$K$25*(E21-B21)-M20)&lt;0.0000001,M20,'main page'!$K$29*M20+(1-'main page'!$K$29)*(controls!$B$9/100)*100+'main page'!$K$25*(E21-B21))</f>
        <v>2</v>
      </c>
      <c r="N21" s="75">
        <f ca="1">IF(controls!$B$10=1,N20,O21-'main page'!$K$29*M21-(1-'main page'!$K$29)*controls!$B$9)</f>
        <v>4</v>
      </c>
      <c r="O21" s="74">
        <f t="shared" ca="1" si="0"/>
        <v>6</v>
      </c>
      <c r="P21" s="76">
        <f ca="1">IF(controls!$B$10=1,hystere!N21+hystere!M21,hystere!Q21)</f>
        <v>6</v>
      </c>
      <c r="Q21" s="74">
        <f ca="1">IF('main page'!$Y$53=1,'choose m.p.'!I20*100,R21)</f>
        <v>6</v>
      </c>
      <c r="R21" s="100">
        <f ca="1">'main page'!$K$29*M21+(1-'main page'!$K$29)*controls!$B$9+S21+(('main page'!$K$25*'main page'!$U$13*'main page'!$K$29)/('main page'!$K$27*(1+('main page'!$K$25^2)*'main page'!$U$13)))*(M21-(controls!$B$9/100)*100)</f>
        <v>6</v>
      </c>
      <c r="S21" s="98">
        <f ca="1">IF(controls!$B$33=1,(J22-E21*X22-L22-B21)/'main page'!$K$27,(I22-E21*X22-K22-B21)/'main page'!$K$27)</f>
        <v>4</v>
      </c>
      <c r="U21" s="71">
        <f>IF(controls!$B$6=1,$AG$4*(1+('main page'!$K$35/100))^V21-$AG$4*(1+('main page'!$K$35/100))^V20,$AG$4*(1+('main page'!$G$8/100))*(1+('main page'!$K$35/100))^V21-$AG$4*(1+('main page'!$G$8/100))*(1+('main page'!$K$35/100))^V20)</f>
        <v>0</v>
      </c>
      <c r="V21" s="73">
        <v>13</v>
      </c>
      <c r="W21" s="40">
        <f ca="1">'normal case'!V20</f>
        <v>0</v>
      </c>
      <c r="X21" s="40">
        <f ca="1">'normal case'!W20</f>
        <v>0</v>
      </c>
      <c r="Y21" s="49">
        <f ca="1">IF(controls!$B$33=1,E21-($J$4-'main page'!$K$27*2)*(1+('main page'!$K$35/100))^A20,E21-$AG$5)</f>
        <v>0</v>
      </c>
      <c r="Z21" s="49">
        <f ca="1">ABS(M21-(controls!$B$9/100)*100)</f>
        <v>0</v>
      </c>
      <c r="AF21" s="48">
        <f>NORMDIST(5,0,2,TRUE)</f>
        <v>0.99379033467422384</v>
      </c>
      <c r="AI21" s="40"/>
      <c r="AJ21" s="40"/>
    </row>
    <row r="22" spans="1:36">
      <c r="A22" s="48">
        <v>19</v>
      </c>
      <c r="B22" s="75">
        <f ca="1">IF(controls!$B$6=2,AVERAGE(E18:E21)+B21*W22+hystere!$AG$9,AVERAGE(E18:E21)+B21*W22)</f>
        <v>100</v>
      </c>
      <c r="C22" s="80">
        <f t="shared" ca="1" si="1"/>
        <v>0</v>
      </c>
      <c r="D22" s="105">
        <f t="shared" ca="1" si="2"/>
        <v>0</v>
      </c>
      <c r="E22" s="77">
        <f t="shared" ca="1" si="3"/>
        <v>100</v>
      </c>
      <c r="F22" s="77">
        <f ca="1">IF('main page'!$K$34=1,hystere!H22,hystere!G22)</f>
        <v>100</v>
      </c>
      <c r="G22" s="94">
        <f ca="1">I22-'main page'!$K$27*hystere!N21</f>
        <v>100</v>
      </c>
      <c r="H22" s="75">
        <f ca="1">J22-'main page'!$K$27*N21</f>
        <v>100</v>
      </c>
      <c r="I22" s="75">
        <f ca="1">IF(controls!$B$31=2,I21+E21*X22+K22,I21+E21*X22+K22-K21)</f>
        <v>108</v>
      </c>
      <c r="J22" s="75">
        <f ca="1">IF(controls!$B$31=2,J21+E21*X22+U22+L22,J21+E21*X22+U22+L22-L21)</f>
        <v>108</v>
      </c>
      <c r="K22" s="96">
        <f>IF(controls!$B$30=14,('main page'!$U$22/100)*hystere!I21,)</f>
        <v>0</v>
      </c>
      <c r="L22" s="96">
        <f>IF(controls!$B$30=14,('main page'!$U$22/100)*hystere!J21,)</f>
        <v>0</v>
      </c>
      <c r="M22" s="75">
        <f ca="1">IF(ABS('main page'!$K$29*M21+(1-'main page'!$K$29)*(controls!$B$9/100)*100+'main page'!$K$25*(E22-B22)-M21)&lt;0.0000001,M21,'main page'!$K$29*M21+(1-'main page'!$K$29)*(controls!$B$9/100)*100+'main page'!$K$25*(E22-B22))</f>
        <v>2</v>
      </c>
      <c r="N22" s="75">
        <f ca="1">IF(controls!$B$10=1,N21,O22-'main page'!$K$29*M22-(1-'main page'!$K$29)*controls!$B$9)</f>
        <v>4</v>
      </c>
      <c r="O22" s="74">
        <f t="shared" ca="1" si="0"/>
        <v>6</v>
      </c>
      <c r="P22" s="76">
        <f ca="1">IF(controls!$B$10=1,hystere!N22+hystere!M22,hystere!Q22)</f>
        <v>6</v>
      </c>
      <c r="Q22" s="74">
        <f ca="1">IF('main page'!$Y$53=1,'choose m.p.'!I21*100,R22)</f>
        <v>6</v>
      </c>
      <c r="R22" s="100">
        <f ca="1">'main page'!$K$29*M22+(1-'main page'!$K$29)*controls!$B$9+S22+(('main page'!$K$25*'main page'!$U$13*'main page'!$K$29)/('main page'!$K$27*(1+('main page'!$K$25^2)*'main page'!$U$13)))*(M22-(controls!$B$9/100)*100)</f>
        <v>6</v>
      </c>
      <c r="S22" s="98">
        <f ca="1">IF(controls!$B$33=1,(J23-E22*X23-L23-B22)/'main page'!$K$27,(I23-E22*X23-K23-B22)/'main page'!$K$27)</f>
        <v>4</v>
      </c>
      <c r="U22" s="71">
        <f>IF(controls!$B$6=1,$AG$4*(1+('main page'!$K$35/100))^V22-$AG$4*(1+('main page'!$K$35/100))^V21,$AG$4*(1+('main page'!$G$8/100))*(1+('main page'!$K$35/100))^V22-$AG$4*(1+('main page'!$G$8/100))*(1+('main page'!$K$35/100))^V21)</f>
        <v>0</v>
      </c>
      <c r="V22" s="73">
        <v>14</v>
      </c>
      <c r="W22" s="40">
        <f>'normal case'!V21</f>
        <v>0</v>
      </c>
      <c r="X22" s="40">
        <f>'normal case'!W21</f>
        <v>0</v>
      </c>
      <c r="Y22" s="49">
        <f ca="1">IF(controls!$B$33=1,E22-($J$4-'main page'!$K$27*2)*(1+('main page'!$K$35/100))^A21,E22-$AG$5)</f>
        <v>0</v>
      </c>
      <c r="Z22" s="49">
        <f ca="1">ABS(M22-(controls!$B$9/100)*100)</f>
        <v>0</v>
      </c>
      <c r="AI22" s="40"/>
      <c r="AJ22" s="40"/>
    </row>
    <row r="23" spans="1:36">
      <c r="A23" s="48">
        <v>20</v>
      </c>
      <c r="B23" s="75">
        <f ca="1">IF(controls!$B$6=2,AVERAGE(E19:E22)+B22*W23+hystere!$AG$9,AVERAGE(E19:E22)+B22*W23)</f>
        <v>100</v>
      </c>
      <c r="C23" s="80">
        <f t="shared" ca="1" si="1"/>
        <v>0</v>
      </c>
      <c r="D23" s="105">
        <f t="shared" ca="1" si="2"/>
        <v>0</v>
      </c>
      <c r="E23" s="77">
        <f t="shared" ca="1" si="3"/>
        <v>100</v>
      </c>
      <c r="F23" s="77">
        <f ca="1">IF('main page'!$K$34=1,hystere!H23,hystere!G23)</f>
        <v>100</v>
      </c>
      <c r="G23" s="94">
        <f ca="1">I23-'main page'!$K$27*hystere!N22</f>
        <v>100</v>
      </c>
      <c r="H23" s="75">
        <f ca="1">J23-'main page'!$K$27*N22</f>
        <v>100</v>
      </c>
      <c r="I23" s="75">
        <f ca="1">IF(controls!$B$31=2,I22+E22*X23+K23,I22+E22*X23+K23-K22)</f>
        <v>108</v>
      </c>
      <c r="J23" s="75">
        <f ca="1">IF(controls!$B$31=2,J22+E22*X23+U23+L23,J22+E22*X23+U23+L23-L22)</f>
        <v>108</v>
      </c>
      <c r="K23" s="96">
        <f>IF(controls!$B$30=15,('main page'!$U$22/100)*hystere!I22,)</f>
        <v>0</v>
      </c>
      <c r="L23" s="96">
        <f>IF(controls!$B$30=15,('main page'!$U$22/100)*hystere!J22,)</f>
        <v>0</v>
      </c>
      <c r="M23" s="75">
        <f ca="1">IF(ABS('main page'!$K$29*M22+(1-'main page'!$K$29)*(controls!$B$9/100)*100+'main page'!$K$25*(E23-B23)-M22)&lt;0.0000001,M22,'main page'!$K$29*M22+(1-'main page'!$K$29)*(controls!$B$9/100)*100+'main page'!$K$25*(E23-B23))</f>
        <v>2</v>
      </c>
      <c r="N23" s="75">
        <f ca="1">IF(controls!$B$10=1,N22,O23-'main page'!$K$29*M23-(1-'main page'!$K$29)*controls!$B$9)</f>
        <v>4</v>
      </c>
      <c r="O23" s="74">
        <f t="shared" ca="1" si="0"/>
        <v>6</v>
      </c>
      <c r="P23" s="76">
        <f ca="1">IF(controls!$B$10=1,hystere!N23+hystere!M23,hystere!Q23)</f>
        <v>6</v>
      </c>
      <c r="Q23" s="74">
        <f ca="1">IF('main page'!$Y$53=1,'choose m.p.'!I22*100,R23)</f>
        <v>6</v>
      </c>
      <c r="R23" s="100">
        <f ca="1">'main page'!$K$29*M23+(1-'main page'!$K$29)*controls!$B$9+S23+(('main page'!$K$25*'main page'!$U$13*'main page'!$K$29)/('main page'!$K$27*(1+('main page'!$K$25^2)*'main page'!$U$13)))*(M23-(controls!$B$9/100)*100)</f>
        <v>6</v>
      </c>
      <c r="S23" s="98">
        <f ca="1">IF(controls!$B$33=1,(J24-E23*X24-L24-B23)/'main page'!$K$27,(I24-E23*X24-K24-B23)/'main page'!$K$27)</f>
        <v>4</v>
      </c>
      <c r="U23" s="71">
        <f>IF(controls!$B$6=1,$AG$4*(1+('main page'!$K$35/100))^V23-$AG$4*(1+('main page'!$K$35/100))^V22,$AG$4*(1+('main page'!$G$8/100))*(1+('main page'!$K$35/100))^V23-$AG$4*(1+('main page'!$G$8/100))*(1+('main page'!$K$35/100))^V22)</f>
        <v>0</v>
      </c>
      <c r="V23" s="73">
        <v>15</v>
      </c>
      <c r="W23" s="40">
        <f>'normal case'!V22</f>
        <v>0</v>
      </c>
      <c r="X23" s="40">
        <f>'normal case'!W22</f>
        <v>0</v>
      </c>
      <c r="Y23" s="49">
        <f ca="1">IF(controls!$B$33=1,E23-($J$4-'main page'!$K$27*2)*(1+('main page'!$K$35/100))^A22,E23-$AG$5)</f>
        <v>0</v>
      </c>
      <c r="Z23" s="49">
        <f ca="1">ABS(M23-(controls!$B$9/100)*100)</f>
        <v>0</v>
      </c>
      <c r="AI23" s="40"/>
      <c r="AJ23" s="40"/>
    </row>
    <row r="24" spans="1:36">
      <c r="A24" s="48">
        <v>21</v>
      </c>
      <c r="B24" s="75">
        <f ca="1">IF(controls!$B$6=2,AVERAGE(E20:E23)+B23*W24+hystere!$AG$9,AVERAGE(E20:E23)+B23*W24)</f>
        <v>100</v>
      </c>
      <c r="C24" s="80">
        <f t="shared" ca="1" si="1"/>
        <v>0</v>
      </c>
      <c r="D24" s="105">
        <f t="shared" ca="1" si="2"/>
        <v>0</v>
      </c>
      <c r="E24" s="77">
        <f t="shared" ca="1" si="3"/>
        <v>100</v>
      </c>
      <c r="F24" s="77">
        <f ca="1">IF('main page'!$K$34=1,hystere!H24,hystere!G24)</f>
        <v>100</v>
      </c>
      <c r="G24" s="94">
        <f ca="1">I24-'main page'!$K$27*hystere!N23</f>
        <v>100</v>
      </c>
      <c r="H24" s="75">
        <f ca="1">J24-'main page'!$K$27*N23</f>
        <v>100</v>
      </c>
      <c r="I24" s="75">
        <f ca="1">IF(controls!$B$31=2,I23+E23*X24,I23+E23*X24-K23)</f>
        <v>108</v>
      </c>
      <c r="J24" s="75">
        <f ca="1">IF(controls!$B$31=2,J23+E23*X24+U24,J23+E23*X24+U24-L23)</f>
        <v>108</v>
      </c>
      <c r="M24" s="75">
        <f ca="1">IF(ABS('main page'!$K$29*M23+(1-'main page'!$K$29)*(controls!$B$9/100)*100+'main page'!$K$25*(E24-B24)-M23)&lt;0.0000001,M23,'main page'!$K$29*M23+(1-'main page'!$K$29)*(controls!$B$9/100)*100+'main page'!$K$25*(E24-B24))</f>
        <v>2</v>
      </c>
      <c r="N24" s="75">
        <f ca="1">IF(controls!$B$10=1,N23,O24-'main page'!$K$29*M24-(1-'main page'!$K$29)*controls!$B$9)</f>
        <v>4</v>
      </c>
      <c r="O24" s="74">
        <f t="shared" ca="1" si="0"/>
        <v>6</v>
      </c>
      <c r="P24" s="76">
        <f ca="1">IF(controls!$B$10=1,hystere!N24+hystere!M24,hystere!Q24)</f>
        <v>6</v>
      </c>
      <c r="Q24" s="74">
        <f ca="1">IF('main page'!$Y$53=1,'choose m.p.'!$I$22*100,R24)</f>
        <v>6</v>
      </c>
      <c r="R24" s="100">
        <f ca="1">'main page'!$K$29*M24+(1-'main page'!$K$29)*controls!$B$9+S24+(('main page'!$K$25*'main page'!$U$13*'main page'!$K$29)/('main page'!$K$27*(1+('main page'!$K$25^2)*'main page'!$U$13)))*(M24-(controls!$B$9/100)*100)</f>
        <v>6</v>
      </c>
      <c r="S24" s="98">
        <f ca="1">IF(controls!$B$33=1,(J25-E24*X25-L25-B24)/'main page'!$K$27,(I25-E24*X25-K25-B24)/'main page'!$K$27)</f>
        <v>4</v>
      </c>
      <c r="U24" s="71">
        <f>IF(controls!$B$6=1,$AG$4*(1+('main page'!$K$35/100))^V24-$AG$4*(1+('main page'!$K$35/100))^V23,$AG$4*(1+('main page'!$G$8/100))*(1+('main page'!$K$35/100))^V24-$AG$4*(1+('main page'!$G$8/100))*(1+('main page'!$K$35/100))^V23)</f>
        <v>0</v>
      </c>
      <c r="V24" s="73">
        <v>16</v>
      </c>
      <c r="W24" s="40">
        <f ca="1">'normal case'!V23</f>
        <v>0</v>
      </c>
      <c r="X24" s="40">
        <f ca="1">'normal case'!W23</f>
        <v>0</v>
      </c>
      <c r="Y24" s="49">
        <f ca="1">IF(controls!$B$33=1,E24-($J$4-'main page'!$K$27*2)*(1+('main page'!$K$35/100))^A23,E24-$AG$5)</f>
        <v>0</v>
      </c>
      <c r="Z24" s="49">
        <f ca="1">ABS(M24-(controls!$B$9/100)*100)</f>
        <v>0</v>
      </c>
      <c r="AI24" s="40"/>
      <c r="AJ24" s="40"/>
    </row>
    <row r="25" spans="1:36">
      <c r="A25" s="48">
        <v>22</v>
      </c>
      <c r="B25" s="75">
        <f ca="1">IF(controls!$B$6=2,AVERAGE(E21:E24)+B24*W25+hystere!$AG$9,AVERAGE(E21:E24)+B24*W25)</f>
        <v>100</v>
      </c>
      <c r="C25" s="80">
        <f t="shared" ca="1" si="1"/>
        <v>0</v>
      </c>
      <c r="D25" s="105">
        <f t="shared" ca="1" si="2"/>
        <v>0</v>
      </c>
      <c r="E25" s="77">
        <f t="shared" ca="1" si="3"/>
        <v>100</v>
      </c>
      <c r="F25" s="77">
        <f ca="1">IF('main page'!$K$34=1,hystere!H25,hystere!G25)</f>
        <v>100</v>
      </c>
      <c r="G25" s="94">
        <f ca="1">I25-'main page'!$K$27*hystere!N24</f>
        <v>100</v>
      </c>
      <c r="H25" s="75">
        <f ca="1">J25-'main page'!$K$27*N24</f>
        <v>100</v>
      </c>
      <c r="I25" s="75">
        <f t="shared" ref="I25:I88" ca="1" si="4">I24+E24*X25</f>
        <v>108</v>
      </c>
      <c r="J25" s="75">
        <f t="shared" ref="J25:J88" ca="1" si="5">J24+E24*X25+U25</f>
        <v>108</v>
      </c>
      <c r="M25" s="75">
        <f ca="1">IF(ABS('main page'!$K$29*M24+(1-'main page'!$K$29)*(controls!$B$9/100)*100+'main page'!$K$25*(E25-B25)-M24)&lt;0.0000001,M24,'main page'!$K$29*M24+(1-'main page'!$K$29)*(controls!$B$9/100)*100+'main page'!$K$25*(E25-B25))</f>
        <v>2</v>
      </c>
      <c r="N25" s="75">
        <f ca="1">IF(controls!$B$10=1,N24,O25-'main page'!$K$29*M25-(1-'main page'!$K$29)*controls!$B$9)</f>
        <v>4</v>
      </c>
      <c r="O25" s="74">
        <f t="shared" ca="1" si="0"/>
        <v>6</v>
      </c>
      <c r="P25" s="76">
        <f ca="1">IF(controls!$B$10=1,hystere!N25+hystere!M25,hystere!Q25)</f>
        <v>6</v>
      </c>
      <c r="Q25" s="74">
        <f ca="1">IF('main page'!$Y$53=1,'choose m.p.'!$I$22*100,R25)</f>
        <v>6</v>
      </c>
      <c r="R25" s="100">
        <f ca="1">'main page'!$K$29*M25+(1-'main page'!$K$29)*controls!$B$9+S25+(('main page'!$K$25*'main page'!$U$13*'main page'!$K$29)/('main page'!$K$27*(1+('main page'!$K$25^2)*'main page'!$U$13)))*(M25-(controls!$B$9/100)*100)</f>
        <v>6</v>
      </c>
      <c r="S25" s="98">
        <f ca="1">IF(controls!$B$33=1,(J26-E25*X26-B25)/'main page'!$K$27,(I26-E25*X26-B25)/'main page'!$K$27)</f>
        <v>4</v>
      </c>
      <c r="U25" s="71">
        <f>IF(controls!$B$6=1,$AG$4*(1+('main page'!$K$35/100))^V25-$AG$4*(1+('main page'!$K$35/100))^V24,$AG$4*(1+('main page'!$G$8/100))*(1+('main page'!$K$35/100))^V25-$AG$4*(1+('main page'!$G$8/100))*(1+('main page'!$K$35/100))^V24)</f>
        <v>0</v>
      </c>
      <c r="V25" s="73">
        <v>17</v>
      </c>
      <c r="W25" s="40">
        <f>'normal case'!V24</f>
        <v>0</v>
      </c>
      <c r="X25" s="40">
        <f>'normal case'!W24</f>
        <v>0</v>
      </c>
      <c r="Y25" s="49">
        <f ca="1">IF(controls!$B$33=1,E25-($J$4-'main page'!$K$27*2)*(1+('main page'!$K$35/100))^A24,E25-$AG$5)</f>
        <v>0</v>
      </c>
      <c r="Z25" s="49">
        <f ca="1">ABS(M25-(controls!$B$9/100)*100)</f>
        <v>0</v>
      </c>
      <c r="AI25" s="40"/>
      <c r="AJ25" s="40"/>
    </row>
    <row r="26" spans="1:36">
      <c r="A26" s="48">
        <v>23</v>
      </c>
      <c r="B26" s="75">
        <f ca="1">IF(controls!$B$6=2,AVERAGE(E22:E25)+B25*W26+hystere!$AG$9,AVERAGE(E22:E25)+B25*W26)</f>
        <v>100</v>
      </c>
      <c r="C26" s="80">
        <f t="shared" ca="1" si="1"/>
        <v>0</v>
      </c>
      <c r="D26" s="105">
        <f t="shared" ca="1" si="2"/>
        <v>0</v>
      </c>
      <c r="E26" s="77">
        <f t="shared" ca="1" si="3"/>
        <v>100</v>
      </c>
      <c r="F26" s="77">
        <f ca="1">IF('main page'!$K$34=1,hystere!H26,hystere!G26)</f>
        <v>100</v>
      </c>
      <c r="G26" s="94">
        <f ca="1">I26-'main page'!$K$27*hystere!N25</f>
        <v>100</v>
      </c>
      <c r="H26" s="75">
        <f ca="1">J26-'main page'!$K$27*N25</f>
        <v>100</v>
      </c>
      <c r="I26" s="75">
        <f t="shared" ca="1" si="4"/>
        <v>108</v>
      </c>
      <c r="J26" s="75">
        <f t="shared" ca="1" si="5"/>
        <v>108</v>
      </c>
      <c r="M26" s="75">
        <f ca="1">IF(ABS('main page'!$K$29*M25+(1-'main page'!$K$29)*(controls!$B$9/100)*100+'main page'!$K$25*(E26-B26)-M25)&lt;0.0000001,M25,'main page'!$K$29*M25+(1-'main page'!$K$29)*(controls!$B$9/100)*100+'main page'!$K$25*(E26-B26))</f>
        <v>2</v>
      </c>
      <c r="N26" s="75">
        <f ca="1">IF(controls!$B$10=1,N25,O26-'main page'!$K$29*M26-(1-'main page'!$K$29)*controls!$B$9)</f>
        <v>4</v>
      </c>
      <c r="O26" s="74">
        <f t="shared" ca="1" si="0"/>
        <v>6</v>
      </c>
      <c r="P26" s="76">
        <f ca="1">IF(controls!$B$10=1,hystere!N26+hystere!M26,hystere!Q26)</f>
        <v>6</v>
      </c>
      <c r="Q26" s="74">
        <f ca="1">IF('main page'!$Y$53=1,'choose m.p.'!$I$22*100,R26)</f>
        <v>6</v>
      </c>
      <c r="R26" s="100">
        <f ca="1">'main page'!$K$29*M26+(1-'main page'!$K$29)*controls!$B$9+S26+(('main page'!$K$25*'main page'!$U$13*'main page'!$K$29)/('main page'!$K$27*(1+('main page'!$K$25^2)*'main page'!$U$13)))*(M26-(controls!$B$9/100)*100)</f>
        <v>6</v>
      </c>
      <c r="S26" s="98">
        <f ca="1">IF(controls!$B$33=1,(J27-E26*X27-B26)/'main page'!$K$27,(I27-E26*X27-B26)/'main page'!$K$27)</f>
        <v>4</v>
      </c>
      <c r="U26" s="71">
        <f>IF(controls!$B$6=1,$AG$4*(1+('main page'!$K$35/100))^V26-$AG$4*(1+('main page'!$K$35/100))^V25,$AG$4*(1+('main page'!$G$8/100))*(1+('main page'!$K$35/100))^V26-$AG$4*(1+('main page'!$G$8/100))*(1+('main page'!$K$35/100))^V25)</f>
        <v>0</v>
      </c>
      <c r="V26" s="73">
        <v>18</v>
      </c>
      <c r="W26" s="40">
        <f>'normal case'!V25</f>
        <v>0</v>
      </c>
      <c r="X26" s="40">
        <f>'normal case'!W25</f>
        <v>0</v>
      </c>
      <c r="Y26" s="49">
        <f ca="1">IF(controls!$B$33=1,E26-($J$4-'main page'!$K$27*2)*(1+('main page'!$K$35/100))^A25,E26-$AG$5)</f>
        <v>0</v>
      </c>
      <c r="Z26" s="49">
        <f ca="1">ABS(M26-(controls!$B$9/100)*100)</f>
        <v>0</v>
      </c>
      <c r="AI26" s="40"/>
      <c r="AJ26" s="40"/>
    </row>
    <row r="27" spans="1:36">
      <c r="A27" s="48">
        <v>24</v>
      </c>
      <c r="B27" s="75">
        <f ca="1">IF(controls!$B$6=2,AVERAGE(E23:E26)+B26*W27+hystere!$AG$9,AVERAGE(E23:E26)+B26*W27)</f>
        <v>100</v>
      </c>
      <c r="C27" s="80">
        <f t="shared" ca="1" si="1"/>
        <v>0</v>
      </c>
      <c r="D27" s="105">
        <f t="shared" ca="1" si="2"/>
        <v>0</v>
      </c>
      <c r="E27" s="77">
        <f t="shared" ca="1" si="3"/>
        <v>100</v>
      </c>
      <c r="F27" s="77">
        <f ca="1">IF('main page'!$K$34=1,hystere!H27,hystere!G27)</f>
        <v>100</v>
      </c>
      <c r="G27" s="94">
        <f ca="1">I27-'main page'!$K$27*hystere!N26</f>
        <v>100</v>
      </c>
      <c r="H27" s="75">
        <f ca="1">J27-'main page'!$K$27*N26</f>
        <v>100</v>
      </c>
      <c r="I27" s="75">
        <f t="shared" ca="1" si="4"/>
        <v>108</v>
      </c>
      <c r="J27" s="75">
        <f t="shared" ca="1" si="5"/>
        <v>108</v>
      </c>
      <c r="M27" s="75">
        <f ca="1">IF(ABS('main page'!$K$29*M26+(1-'main page'!$K$29)*(controls!$B$9/100)*100+'main page'!$K$25*(E27-B27)-M26)&lt;0.0000001,M26,'main page'!$K$29*M26+(1-'main page'!$K$29)*(controls!$B$9/100)*100+'main page'!$K$25*(E27-B27))</f>
        <v>2</v>
      </c>
      <c r="N27" s="75">
        <f ca="1">IF(controls!$B$10=1,N26,O27-'main page'!$K$29*M27-(1-'main page'!$K$29)*controls!$B$9)</f>
        <v>4</v>
      </c>
      <c r="O27" s="74">
        <f t="shared" ca="1" si="0"/>
        <v>6</v>
      </c>
      <c r="P27" s="76">
        <f ca="1">IF(controls!$B$10=1,hystere!N27+hystere!M27,hystere!Q27)</f>
        <v>6</v>
      </c>
      <c r="Q27" s="74">
        <f ca="1">IF('main page'!$Y$53=1,'choose m.p.'!$I$22*100,R27)</f>
        <v>6</v>
      </c>
      <c r="R27" s="100">
        <f ca="1">'main page'!$K$29*M27+(1-'main page'!$K$29)*controls!$B$9+S27+(('main page'!$K$25*'main page'!$U$13*'main page'!$K$29)/('main page'!$K$27*(1+('main page'!$K$25^2)*'main page'!$U$13)))*(M27-(controls!$B$9/100)*100)</f>
        <v>6</v>
      </c>
      <c r="S27" s="98">
        <f ca="1">IF(controls!$B$33=1,(J28-E27*X28-B27)/'main page'!$K$27,(I28-E27*X28-B27)/'main page'!$K$27)</f>
        <v>4</v>
      </c>
      <c r="U27" s="71">
        <f>IF(controls!$B$6=1,$AG$4*(1+('main page'!$K$35/100))^V27-$AG$4*(1+('main page'!$K$35/100))^V26,$AG$4*(1+('main page'!$G$8/100))*(1+('main page'!$K$35/100))^V27-$AG$4*(1+('main page'!$G$8/100))*(1+('main page'!$K$35/100))^V26)</f>
        <v>0</v>
      </c>
      <c r="V27" s="73">
        <v>19</v>
      </c>
      <c r="W27" s="40">
        <f ca="1">'normal case'!V26</f>
        <v>0</v>
      </c>
      <c r="X27" s="40">
        <f ca="1">'normal case'!W26</f>
        <v>0</v>
      </c>
      <c r="Y27" s="49">
        <f ca="1">IF(controls!$B$33=1,E27-($J$4-'main page'!$K$27*2)*(1+('main page'!$K$35/100))^A26,E27-$AG$5)</f>
        <v>0</v>
      </c>
      <c r="Z27" s="49">
        <f ca="1">ABS(M27-(controls!$B$9/100)*100)</f>
        <v>0</v>
      </c>
      <c r="AI27" s="40"/>
      <c r="AJ27" s="40"/>
    </row>
    <row r="28" spans="1:36">
      <c r="A28" s="48">
        <v>25</v>
      </c>
      <c r="B28" s="75">
        <f ca="1">IF(controls!$B$6=2,AVERAGE(E24:E27)+B27*W28+hystere!$AG$9,AVERAGE(E24:E27)+B27*W28)</f>
        <v>100</v>
      </c>
      <c r="C28" s="80">
        <f t="shared" ca="1" si="1"/>
        <v>0</v>
      </c>
      <c r="D28" s="105">
        <f t="shared" ca="1" si="2"/>
        <v>0</v>
      </c>
      <c r="E28" s="77">
        <f t="shared" ca="1" si="3"/>
        <v>100</v>
      </c>
      <c r="F28" s="77">
        <f ca="1">IF('main page'!$K$34=1,hystere!H28,hystere!G28)</f>
        <v>100</v>
      </c>
      <c r="G28" s="94">
        <f ca="1">I28-'main page'!$K$27*hystere!N27</f>
        <v>100</v>
      </c>
      <c r="H28" s="75">
        <f ca="1">J28-'main page'!$K$27*N27</f>
        <v>100</v>
      </c>
      <c r="I28" s="75">
        <f t="shared" ca="1" si="4"/>
        <v>108</v>
      </c>
      <c r="J28" s="75">
        <f t="shared" ca="1" si="5"/>
        <v>108</v>
      </c>
      <c r="M28" s="75">
        <f ca="1">IF(ABS('main page'!$K$29*M27+(1-'main page'!$K$29)*(controls!$B$9/100)*100+'main page'!$K$25*(E28-B28)-M27)&lt;0.0000001,M27,'main page'!$K$29*M27+(1-'main page'!$K$29)*(controls!$B$9/100)*100+'main page'!$K$25*(E28-B28))</f>
        <v>2</v>
      </c>
      <c r="N28" s="75">
        <f ca="1">IF(controls!$B$10=1,N27,O28-'main page'!$K$29*M28-(1-'main page'!$K$29)*controls!$B$9)</f>
        <v>4</v>
      </c>
      <c r="O28" s="74">
        <f t="shared" ca="1" si="0"/>
        <v>6</v>
      </c>
      <c r="P28" s="76">
        <f ca="1">IF(controls!$B$10=1,hystere!N28+hystere!M28,hystere!Q28)</f>
        <v>6</v>
      </c>
      <c r="Q28" s="74">
        <f ca="1">IF('main page'!$Y$53=1,'choose m.p.'!$I$22*100,R28)</f>
        <v>6</v>
      </c>
      <c r="R28" s="100">
        <f ca="1">'main page'!$K$29*M28+(1-'main page'!$K$29)*controls!$B$9+S28+(('main page'!$K$25*'main page'!$U$13*'main page'!$K$29)/('main page'!$K$27*(1+('main page'!$K$25^2)*'main page'!$U$13)))*(M28-(controls!$B$9/100)*100)</f>
        <v>6</v>
      </c>
      <c r="S28" s="98">
        <f ca="1">IF(controls!$B$33=1,(J29-E28*X29-B28)/'main page'!$K$27,(I29-E28*X29-B28)/'main page'!$K$27)</f>
        <v>4</v>
      </c>
      <c r="U28" s="71">
        <f>IF(controls!$B$6=1,$AG$4*(1+('main page'!$K$35/100))^V28-$AG$4*(1+('main page'!$K$35/100))^V27,$AG$4*(1+('main page'!$G$8/100))*(1+('main page'!$K$35/100))^V28-$AG$4*(1+('main page'!$G$8/100))*(1+('main page'!$K$35/100))^V27)</f>
        <v>0</v>
      </c>
      <c r="V28" s="73">
        <v>20</v>
      </c>
      <c r="W28" s="40">
        <f>'normal case'!V27</f>
        <v>0</v>
      </c>
      <c r="X28" s="40">
        <f>'normal case'!W27</f>
        <v>0</v>
      </c>
      <c r="Y28" s="49">
        <f ca="1">IF(controls!$B$33=1,E28-($J$4-'main page'!$K$27*2)*(1+('main page'!$K$35/100))^A27,E28-$AG$5)</f>
        <v>0</v>
      </c>
      <c r="Z28" s="49">
        <f ca="1">ABS(M28-(controls!$B$9/100)*100)</f>
        <v>0</v>
      </c>
      <c r="AI28" s="40"/>
      <c r="AJ28" s="40"/>
    </row>
    <row r="29" spans="1:36">
      <c r="A29" s="48">
        <v>26</v>
      </c>
      <c r="B29" s="75">
        <f ca="1">IF(controls!$B$6=2,AVERAGE(E25:E28)+B28*W29+hystere!$AG$9,AVERAGE(E25:E28)+B28*W29)</f>
        <v>100</v>
      </c>
      <c r="C29" s="80">
        <f t="shared" ca="1" si="1"/>
        <v>0</v>
      </c>
      <c r="D29" s="105">
        <f t="shared" ca="1" si="2"/>
        <v>0</v>
      </c>
      <c r="E29" s="77">
        <f t="shared" ca="1" si="3"/>
        <v>100</v>
      </c>
      <c r="F29" s="77">
        <f ca="1">IF('main page'!$K$34=1,hystere!H29,hystere!G29)</f>
        <v>100</v>
      </c>
      <c r="G29" s="94">
        <f ca="1">I29-'main page'!$K$27*hystere!N28</f>
        <v>100</v>
      </c>
      <c r="H29" s="75">
        <f ca="1">J29-'main page'!$K$27*N28</f>
        <v>100</v>
      </c>
      <c r="I29" s="75">
        <f t="shared" ca="1" si="4"/>
        <v>108</v>
      </c>
      <c r="J29" s="75">
        <f t="shared" ca="1" si="5"/>
        <v>108</v>
      </c>
      <c r="M29" s="75">
        <f ca="1">IF(ABS('main page'!$K$29*M28+(1-'main page'!$K$29)*(controls!$B$9/100)*100+'main page'!$K$25*(E29-B29)-M28)&lt;0.0000001,M28,'main page'!$K$29*M28+(1-'main page'!$K$29)*(controls!$B$9/100)*100+'main page'!$K$25*(E29-B29))</f>
        <v>2</v>
      </c>
      <c r="N29" s="75">
        <f ca="1">IF(controls!$B$10=1,N28,O29-'main page'!$K$29*M29-(1-'main page'!$K$29)*controls!$B$9)</f>
        <v>4</v>
      </c>
      <c r="O29" s="74">
        <f t="shared" ca="1" si="0"/>
        <v>6</v>
      </c>
      <c r="P29" s="76">
        <f ca="1">IF(controls!$B$10=1,hystere!N29+hystere!M29,hystere!Q29)</f>
        <v>6</v>
      </c>
      <c r="Q29" s="74">
        <f ca="1">IF('main page'!$Y$53=1,'choose m.p.'!$I$22*100,R29)</f>
        <v>6</v>
      </c>
      <c r="R29" s="100">
        <f ca="1">'main page'!$K$29*M29+(1-'main page'!$K$29)*controls!$B$9+S29+(('main page'!$K$25*'main page'!$U$13*'main page'!$K$29)/('main page'!$K$27*(1+('main page'!$K$25^2)*'main page'!$U$13)))*(M29-(controls!$B$9/100)*100)</f>
        <v>6</v>
      </c>
      <c r="S29" s="98">
        <f ca="1">IF(controls!$B$33=1,(J30-E29*X30-B29)/'main page'!$K$27,(I30-E29*X30-B29)/'main page'!$K$27)</f>
        <v>4</v>
      </c>
      <c r="U29" s="71">
        <f>IF(controls!$B$6=1,$AG$4*(1+('main page'!$K$35/100))^V29-$AG$4*(1+('main page'!$K$35/100))^V28,$AG$4*(1+('main page'!$G$8/100))*(1+('main page'!$K$35/100))^V29-$AG$4*(1+('main page'!$G$8/100))*(1+('main page'!$K$35/100))^V28)</f>
        <v>0</v>
      </c>
      <c r="V29" s="73">
        <v>21</v>
      </c>
      <c r="W29" s="40">
        <f>'normal case'!V28</f>
        <v>0</v>
      </c>
      <c r="X29" s="40">
        <f>'normal case'!W28</f>
        <v>0</v>
      </c>
      <c r="Y29" s="49">
        <f ca="1">IF(controls!$B$33=1,E29-($J$4-'main page'!$K$27*2)*(1+('main page'!$K$35/100))^A28,E29-$AG$5)</f>
        <v>0</v>
      </c>
      <c r="Z29" s="49">
        <f ca="1">ABS(M29-(controls!$B$9/100)*100)</f>
        <v>0</v>
      </c>
      <c r="AI29" s="40"/>
      <c r="AJ29" s="40"/>
    </row>
    <row r="30" spans="1:36">
      <c r="A30" s="48">
        <v>27</v>
      </c>
      <c r="B30" s="75">
        <f ca="1">IF(controls!$B$6=2,AVERAGE(E26:E29)+B29*W30+hystere!$AG$9,AVERAGE(E26:E29)+B29*W30)</f>
        <v>100</v>
      </c>
      <c r="C30" s="80">
        <f t="shared" ca="1" si="1"/>
        <v>0</v>
      </c>
      <c r="D30" s="105">
        <f t="shared" ca="1" si="2"/>
        <v>0</v>
      </c>
      <c r="E30" s="77">
        <f t="shared" ca="1" si="3"/>
        <v>100</v>
      </c>
      <c r="F30" s="77">
        <f ca="1">IF('main page'!$K$34=1,hystere!H30,hystere!G30)</f>
        <v>100</v>
      </c>
      <c r="G30" s="94">
        <f ca="1">I30-'main page'!$K$27*hystere!N29</f>
        <v>100</v>
      </c>
      <c r="H30" s="75">
        <f ca="1">J30-'main page'!$K$27*N29</f>
        <v>100</v>
      </c>
      <c r="I30" s="75">
        <f t="shared" ca="1" si="4"/>
        <v>108</v>
      </c>
      <c r="J30" s="75">
        <f t="shared" ca="1" si="5"/>
        <v>108</v>
      </c>
      <c r="M30" s="75">
        <f ca="1">IF(ABS('main page'!$K$29*M29+(1-'main page'!$K$29)*(controls!$B$9/100)*100+'main page'!$K$25*(E30-B30)-M29)&lt;0.0000001,M29,'main page'!$K$29*M29+(1-'main page'!$K$29)*(controls!$B$9/100)*100+'main page'!$K$25*(E30-B30))</f>
        <v>2</v>
      </c>
      <c r="N30" s="75">
        <f ca="1">IF(controls!$B$10=1,N29,O30-'main page'!$K$29*M30-(1-'main page'!$K$29)*controls!$B$9)</f>
        <v>4</v>
      </c>
      <c r="O30" s="74">
        <f t="shared" ca="1" si="0"/>
        <v>6</v>
      </c>
      <c r="P30" s="76">
        <f ca="1">IF(controls!$B$10=1,hystere!N30+hystere!M30,hystere!Q30)</f>
        <v>6</v>
      </c>
      <c r="Q30" s="74">
        <f ca="1">IF('main page'!$Y$53=1,'choose m.p.'!$I$22*100,R30)</f>
        <v>6</v>
      </c>
      <c r="R30" s="100">
        <f ca="1">'main page'!$K$29*M30+(1-'main page'!$K$29)*controls!$B$9+S30+(('main page'!$K$25*'main page'!$U$13*'main page'!$K$29)/('main page'!$K$27*(1+('main page'!$K$25^2)*'main page'!$U$13)))*(M30-(controls!$B$9/100)*100)</f>
        <v>6</v>
      </c>
      <c r="S30" s="98">
        <f ca="1">IF(controls!$B$33=1,(J31-E30*X31-B30)/'main page'!$K$27,(I31-E30*X31-B30)/'main page'!$K$27)</f>
        <v>4</v>
      </c>
      <c r="U30" s="71">
        <f>IF(controls!$B$6=1,$AG$4*(1+('main page'!$K$35/100))^V30-$AG$4*(1+('main page'!$K$35/100))^V29,$AG$4*(1+('main page'!$G$8/100))*(1+('main page'!$K$35/100))^V30-$AG$4*(1+('main page'!$G$8/100))*(1+('main page'!$K$35/100))^V29)</f>
        <v>0</v>
      </c>
      <c r="V30" s="73">
        <v>22</v>
      </c>
      <c r="W30" s="40">
        <f ca="1">'normal case'!V29</f>
        <v>0</v>
      </c>
      <c r="X30" s="40">
        <f ca="1">'normal case'!W29</f>
        <v>0</v>
      </c>
      <c r="Y30" s="49">
        <f ca="1">IF(controls!$B$33=1,E30-($J$4-'main page'!$K$27*2)*(1+('main page'!$K$35/100))^A29,E30-$AG$5)</f>
        <v>0</v>
      </c>
      <c r="Z30" s="49">
        <f ca="1">ABS(M30-(controls!$B$9/100)*100)</f>
        <v>0</v>
      </c>
      <c r="AI30" s="40"/>
      <c r="AJ30" s="40"/>
    </row>
    <row r="31" spans="1:36">
      <c r="A31" s="48">
        <v>28</v>
      </c>
      <c r="B31" s="75">
        <f ca="1">IF(controls!$B$6=2,AVERAGE(E27:E30)+B30*W31+hystere!$AG$9,AVERAGE(E27:E30)+B30*W31)</f>
        <v>100</v>
      </c>
      <c r="C31" s="80">
        <f t="shared" ca="1" si="1"/>
        <v>0</v>
      </c>
      <c r="D31" s="105">
        <f t="shared" ca="1" si="2"/>
        <v>0</v>
      </c>
      <c r="E31" s="77">
        <f t="shared" ca="1" si="3"/>
        <v>100</v>
      </c>
      <c r="F31" s="77">
        <f ca="1">IF('main page'!$K$34=1,hystere!H31,hystere!G31)</f>
        <v>100</v>
      </c>
      <c r="G31" s="94">
        <f ca="1">I31-'main page'!$K$27*hystere!N30</f>
        <v>100</v>
      </c>
      <c r="H31" s="75">
        <f ca="1">J31-'main page'!$K$27*N30</f>
        <v>100</v>
      </c>
      <c r="I31" s="75">
        <f t="shared" ca="1" si="4"/>
        <v>108</v>
      </c>
      <c r="J31" s="75">
        <f t="shared" ca="1" si="5"/>
        <v>108</v>
      </c>
      <c r="M31" s="75">
        <f ca="1">IF(ABS('main page'!$K$29*M30+(1-'main page'!$K$29)*(controls!$B$9/100)*100+'main page'!$K$25*(E31-B31)-M30)&lt;0.0000001,M30,'main page'!$K$29*M30+(1-'main page'!$K$29)*(controls!$B$9/100)*100+'main page'!$K$25*(E31-B31))</f>
        <v>2</v>
      </c>
      <c r="N31" s="75">
        <f ca="1">IF(controls!$B$10=1,N30,O31-'main page'!$K$29*M31-(1-'main page'!$K$29)*controls!$B$9)</f>
        <v>4</v>
      </c>
      <c r="O31" s="74">
        <f t="shared" ca="1" si="0"/>
        <v>6</v>
      </c>
      <c r="P31" s="76">
        <f ca="1">IF(controls!$B$10=1,hystere!N31+hystere!M31,hystere!Q31)</f>
        <v>6</v>
      </c>
      <c r="Q31" s="74">
        <f ca="1">IF('main page'!$Y$53=1,'choose m.p.'!$I$22*100,R31)</f>
        <v>6</v>
      </c>
      <c r="R31" s="100">
        <f ca="1">'main page'!$K$29*M31+(1-'main page'!$K$29)*controls!$B$9+S31+(('main page'!$K$25*'main page'!$U$13*'main page'!$K$29)/('main page'!$K$27*(1+('main page'!$K$25^2)*'main page'!$U$13)))*(M31-(controls!$B$9/100)*100)</f>
        <v>6</v>
      </c>
      <c r="S31" s="98">
        <f ca="1">IF(controls!$B$33=1,(J32-E31*X32-B31)/'main page'!$K$27,(I32-E31*X32-B31)/'main page'!$K$27)</f>
        <v>4</v>
      </c>
      <c r="U31" s="71">
        <f>IF(controls!$B$6=1,$AG$4*(1+('main page'!$K$35/100))^V31-$AG$4*(1+('main page'!$K$35/100))^V30,$AG$4*(1+('main page'!$G$8/100))*(1+('main page'!$K$35/100))^V31-$AG$4*(1+('main page'!$G$8/100))*(1+('main page'!$K$35/100))^V30)</f>
        <v>0</v>
      </c>
      <c r="V31" s="73">
        <v>23</v>
      </c>
      <c r="W31" s="40">
        <f>'normal case'!V30</f>
        <v>0</v>
      </c>
      <c r="X31" s="40">
        <f>'normal case'!W30</f>
        <v>0</v>
      </c>
      <c r="Y31" s="49">
        <f ca="1">IF(controls!$B$33=1,E31-($J$4-'main page'!$K$27*2)*(1+('main page'!$K$35/100))^A30,E31-$AG$5)</f>
        <v>0</v>
      </c>
      <c r="Z31" s="49">
        <f ca="1">ABS(M31-(controls!$B$9/100)*100)</f>
        <v>0</v>
      </c>
      <c r="AI31" s="40"/>
      <c r="AJ31" s="40"/>
    </row>
    <row r="32" spans="1:36">
      <c r="A32" s="48">
        <v>29</v>
      </c>
      <c r="B32" s="75">
        <f ca="1">IF(controls!$B$6=2,AVERAGE(E28:E31)+B31*W32+hystere!$AG$9,AVERAGE(E28:E31)+B31*W32)</f>
        <v>100</v>
      </c>
      <c r="C32" s="80">
        <f t="shared" ca="1" si="1"/>
        <v>0</v>
      </c>
      <c r="D32" s="105">
        <f t="shared" ca="1" si="2"/>
        <v>0</v>
      </c>
      <c r="E32" s="77">
        <f t="shared" ca="1" si="3"/>
        <v>100</v>
      </c>
      <c r="F32" s="77">
        <f ca="1">IF('main page'!$K$34=1,hystere!H32,hystere!G32)</f>
        <v>100</v>
      </c>
      <c r="G32" s="94">
        <f ca="1">I32-'main page'!$K$27*hystere!N31</f>
        <v>100</v>
      </c>
      <c r="H32" s="75">
        <f ca="1">J32-'main page'!$K$27*N31</f>
        <v>100</v>
      </c>
      <c r="I32" s="75">
        <f t="shared" ca="1" si="4"/>
        <v>108</v>
      </c>
      <c r="J32" s="75">
        <f t="shared" ca="1" si="5"/>
        <v>108</v>
      </c>
      <c r="M32" s="75">
        <f ca="1">IF(ABS('main page'!$K$29*M31+(1-'main page'!$K$29)*(controls!$B$9/100)*100+'main page'!$K$25*(E32-B32)-M31)&lt;0.0000001,M31,'main page'!$K$29*M31+(1-'main page'!$K$29)*(controls!$B$9/100)*100+'main page'!$K$25*(E32-B32))</f>
        <v>2</v>
      </c>
      <c r="N32" s="75">
        <f ca="1">IF(controls!$B$10=1,N31,O32-'main page'!$K$29*M32-(1-'main page'!$K$29)*controls!$B$9)</f>
        <v>4</v>
      </c>
      <c r="O32" s="74">
        <f t="shared" ca="1" si="0"/>
        <v>6</v>
      </c>
      <c r="P32" s="76">
        <f ca="1">IF(controls!$B$10=1,hystere!N32+hystere!M32,hystere!Q32)</f>
        <v>6</v>
      </c>
      <c r="Q32" s="74">
        <f ca="1">IF('main page'!$Y$53=1,'choose m.p.'!$I$22*100,R32)</f>
        <v>6</v>
      </c>
      <c r="R32" s="100">
        <f ca="1">'main page'!$K$29*M32+(1-'main page'!$K$29)*controls!$B$9+S32+(('main page'!$K$25*'main page'!$U$13*'main page'!$K$29)/('main page'!$K$27*(1+('main page'!$K$25^2)*'main page'!$U$13)))*(M32-(controls!$B$9/100)*100)</f>
        <v>6</v>
      </c>
      <c r="S32" s="98">
        <f ca="1">IF(controls!$B$33=1,(J33-E32*X33-B32)/'main page'!$K$27,(I33-E32*X33-B32)/'main page'!$K$27)</f>
        <v>4</v>
      </c>
      <c r="U32" s="71">
        <f>IF(controls!$B$6=1,$AG$4*(1+('main page'!$K$35/100))^V32-$AG$4*(1+('main page'!$K$35/100))^V31,$AG$4*(1+('main page'!$G$8/100))*(1+('main page'!$K$35/100))^V32-$AG$4*(1+('main page'!$G$8/100))*(1+('main page'!$K$35/100))^V31)</f>
        <v>0</v>
      </c>
      <c r="V32" s="73">
        <v>24</v>
      </c>
      <c r="W32" s="40">
        <f>'normal case'!V31</f>
        <v>0</v>
      </c>
      <c r="X32" s="40">
        <f>'normal case'!W31</f>
        <v>0</v>
      </c>
      <c r="Y32" s="49">
        <f ca="1">IF(controls!$B$33=1,E32-($J$4-'main page'!$K$27*2)*(1+('main page'!$K$35/100))^A31,E32-$AG$5)</f>
        <v>0</v>
      </c>
      <c r="Z32" s="49">
        <f ca="1">ABS(M32-(controls!$B$9/100)*100)</f>
        <v>0</v>
      </c>
      <c r="AI32" s="40"/>
      <c r="AJ32" s="40"/>
    </row>
    <row r="33" spans="1:36">
      <c r="A33" s="48">
        <v>30</v>
      </c>
      <c r="B33" s="75">
        <f ca="1">IF(controls!$B$6=2,AVERAGE(E29:E32)+B32*W33+hystere!$AG$9,AVERAGE(E29:E32)+B32*W33)</f>
        <v>100</v>
      </c>
      <c r="C33" s="80">
        <f t="shared" ca="1" si="1"/>
        <v>0</v>
      </c>
      <c r="D33" s="105">
        <f t="shared" ca="1" si="2"/>
        <v>0</v>
      </c>
      <c r="E33" s="77">
        <f t="shared" ca="1" si="3"/>
        <v>100</v>
      </c>
      <c r="F33" s="77">
        <f ca="1">IF('main page'!$K$34=1,hystere!H33,hystere!G33)</f>
        <v>100</v>
      </c>
      <c r="G33" s="94">
        <f ca="1">I33-'main page'!$K$27*hystere!N32</f>
        <v>100</v>
      </c>
      <c r="H33" s="75">
        <f ca="1">J33-'main page'!$K$27*N32</f>
        <v>100</v>
      </c>
      <c r="I33" s="75">
        <f t="shared" ca="1" si="4"/>
        <v>108</v>
      </c>
      <c r="J33" s="75">
        <f t="shared" ca="1" si="5"/>
        <v>108</v>
      </c>
      <c r="M33" s="75">
        <f ca="1">IF(ABS('main page'!$K$29*M32+(1-'main page'!$K$29)*(controls!$B$9/100)*100+'main page'!$K$25*(E33-B33)-M32)&lt;0.0000001,M32,'main page'!$K$29*M32+(1-'main page'!$K$29)*(controls!$B$9/100)*100+'main page'!$K$25*(E33-B33))</f>
        <v>2</v>
      </c>
      <c r="N33" s="75">
        <f ca="1">IF(controls!$B$10=1,N32,O33-'main page'!$K$29*M33-(1-'main page'!$K$29)*controls!$B$9)</f>
        <v>4</v>
      </c>
      <c r="O33" s="74">
        <f t="shared" ca="1" si="0"/>
        <v>6</v>
      </c>
      <c r="P33" s="76">
        <f ca="1">IF(controls!$B$10=1,hystere!N33+hystere!M33,hystere!Q33)</f>
        <v>6</v>
      </c>
      <c r="Q33" s="74">
        <f ca="1">IF('main page'!$Y$53=1,'choose m.p.'!$I$22*100,R33)</f>
        <v>6</v>
      </c>
      <c r="R33" s="100">
        <f ca="1">'main page'!$K$29*M33+(1-'main page'!$K$29)*controls!$B$9+S33+(('main page'!$K$25*'main page'!$U$13*'main page'!$K$29)/('main page'!$K$27*(1+('main page'!$K$25^2)*'main page'!$U$13)))*(M33-(controls!$B$9/100)*100)</f>
        <v>6</v>
      </c>
      <c r="S33" s="98">
        <f ca="1">IF(controls!$B$33=1,(J34-E33*X34-B33)/'main page'!$K$27,(I34-E33*X34-B33)/'main page'!$K$27)</f>
        <v>4</v>
      </c>
      <c r="U33" s="71">
        <f>IF(controls!$B$6=1,$AG$4*(1+('main page'!$K$35/100))^V33-$AG$4*(1+('main page'!$K$35/100))^V32,$AG$4*(1+('main page'!$G$8/100))*(1+('main page'!$K$35/100))^V33-$AG$4*(1+('main page'!$G$8/100))*(1+('main page'!$K$35/100))^V32)</f>
        <v>0</v>
      </c>
      <c r="V33" s="73">
        <v>25</v>
      </c>
      <c r="W33" s="40">
        <f ca="1">'normal case'!V32</f>
        <v>0</v>
      </c>
      <c r="X33" s="40">
        <f ca="1">'normal case'!W32</f>
        <v>0</v>
      </c>
      <c r="Y33" s="49">
        <f ca="1">IF(controls!$B$33=1,E33-($J$4-'main page'!$K$27*2)*(1+('main page'!$K$35/100))^A32,E33-$AG$5)</f>
        <v>0</v>
      </c>
      <c r="Z33" s="49">
        <f ca="1">ABS(M33-(controls!$B$9/100)*100)</f>
        <v>0</v>
      </c>
      <c r="AI33" s="40"/>
      <c r="AJ33" s="40"/>
    </row>
    <row r="34" spans="1:36">
      <c r="A34" s="48">
        <v>31</v>
      </c>
      <c r="B34" s="75">
        <f ca="1">IF(controls!$B$6=2,AVERAGE(E30:E33)+B33*W34+hystere!$AG$9,AVERAGE(E30:E33)+B33*W34)</f>
        <v>100</v>
      </c>
      <c r="C34" s="80">
        <f t="shared" ca="1" si="1"/>
        <v>0</v>
      </c>
      <c r="D34" s="105">
        <f t="shared" ca="1" si="2"/>
        <v>0</v>
      </c>
      <c r="E34" s="77">
        <f t="shared" ca="1" si="3"/>
        <v>100</v>
      </c>
      <c r="F34" s="77">
        <f ca="1">IF('main page'!$K$34=1,hystere!H34,hystere!G34)</f>
        <v>100</v>
      </c>
      <c r="G34" s="94">
        <f ca="1">I34-'main page'!$K$27*hystere!N33</f>
        <v>100</v>
      </c>
      <c r="H34" s="75">
        <f ca="1">J34-'main page'!$K$27*N33</f>
        <v>100</v>
      </c>
      <c r="I34" s="75">
        <f t="shared" ca="1" si="4"/>
        <v>108</v>
      </c>
      <c r="J34" s="75">
        <f t="shared" ca="1" si="5"/>
        <v>108</v>
      </c>
      <c r="M34" s="75">
        <f ca="1">IF(ABS('main page'!$K$29*M33+(1-'main page'!$K$29)*(controls!$B$9/100)*100+'main page'!$K$25*(E34-B34)-M33)&lt;0.0000001,M33,'main page'!$K$29*M33+(1-'main page'!$K$29)*(controls!$B$9/100)*100+'main page'!$K$25*(E34-B34))</f>
        <v>2</v>
      </c>
      <c r="N34" s="75">
        <f ca="1">IF(controls!$B$10=1,N33,O34-'main page'!$K$29*M34-(1-'main page'!$K$29)*controls!$B$9)</f>
        <v>4</v>
      </c>
      <c r="O34" s="74">
        <f t="shared" ca="1" si="0"/>
        <v>6</v>
      </c>
      <c r="P34" s="76">
        <f ca="1">IF(controls!$B$10=1,hystere!N34+hystere!M34,hystere!Q34)</f>
        <v>6</v>
      </c>
      <c r="Q34" s="74">
        <f ca="1">IF('main page'!$Y$53=1,'choose m.p.'!$I$22*100,R34)</f>
        <v>6</v>
      </c>
      <c r="R34" s="100">
        <f ca="1">'main page'!$K$29*M34+(1-'main page'!$K$29)*controls!$B$9+S34+(('main page'!$K$25*'main page'!$U$13*'main page'!$K$29)/('main page'!$K$27*(1+('main page'!$K$25^2)*'main page'!$U$13)))*(M34-(controls!$B$9/100)*100)</f>
        <v>6</v>
      </c>
      <c r="S34" s="98">
        <f ca="1">IF(controls!$B$33=1,(J35-E34*X35-B34)/'main page'!$K$27,(I35-E34*X35-B34)/'main page'!$K$27)</f>
        <v>4</v>
      </c>
      <c r="U34" s="71">
        <f>IF(controls!$B$6=1,$AG$4*(1+('main page'!$K$35/100))^V34-$AG$4*(1+('main page'!$K$35/100))^V33,$AG$4*(1+('main page'!$G$8/100))*(1+('main page'!$K$35/100))^V34-$AG$4*(1+('main page'!$G$8/100))*(1+('main page'!$K$35/100))^V33)</f>
        <v>0</v>
      </c>
      <c r="V34" s="73">
        <v>26</v>
      </c>
      <c r="W34" s="40">
        <f>'normal case'!V33</f>
        <v>0</v>
      </c>
      <c r="X34" s="40">
        <f>'normal case'!W33</f>
        <v>0</v>
      </c>
      <c r="Y34" s="49">
        <f ca="1">IF(controls!$B$33=1,E34-($J$4-'main page'!$K$27*2)*(1+('main page'!$K$35/100))^A33,E34-$AG$5)</f>
        <v>0</v>
      </c>
      <c r="Z34" s="49">
        <f ca="1">ABS(M34-(controls!$B$9/100)*100)</f>
        <v>0</v>
      </c>
      <c r="AI34" s="40"/>
      <c r="AJ34" s="40"/>
    </row>
    <row r="35" spans="1:36">
      <c r="A35" s="48">
        <v>32</v>
      </c>
      <c r="B35" s="75">
        <f ca="1">IF(controls!$B$6=2,AVERAGE(E31:E34)+B34*W35+hystere!$AG$9,AVERAGE(E31:E34)+B34*W35)</f>
        <v>100</v>
      </c>
      <c r="C35" s="80">
        <f t="shared" ca="1" si="1"/>
        <v>0</v>
      </c>
      <c r="D35" s="105">
        <f t="shared" ca="1" si="2"/>
        <v>0</v>
      </c>
      <c r="E35" s="77">
        <f t="shared" ca="1" si="3"/>
        <v>100</v>
      </c>
      <c r="F35" s="77">
        <f ca="1">IF('main page'!$K$34=1,hystere!H35,hystere!G35)</f>
        <v>100</v>
      </c>
      <c r="G35" s="94">
        <f ca="1">I35-'main page'!$K$27*hystere!N34</f>
        <v>100</v>
      </c>
      <c r="H35" s="75">
        <f ca="1">J35-'main page'!$K$27*N34</f>
        <v>100</v>
      </c>
      <c r="I35" s="75">
        <f t="shared" ca="1" si="4"/>
        <v>108</v>
      </c>
      <c r="J35" s="75">
        <f t="shared" ca="1" si="5"/>
        <v>108</v>
      </c>
      <c r="M35" s="75">
        <f ca="1">IF(ABS('main page'!$K$29*M34+(1-'main page'!$K$29)*(controls!$B$9/100)*100+'main page'!$K$25*(E35-B35)-M34)&lt;0.0000001,M34,'main page'!$K$29*M34+(1-'main page'!$K$29)*(controls!$B$9/100)*100+'main page'!$K$25*(E35-B35))</f>
        <v>2</v>
      </c>
      <c r="N35" s="75">
        <f ca="1">IF(controls!$B$10=1,N34,O35-'main page'!$K$29*M35-(1-'main page'!$K$29)*controls!$B$9)</f>
        <v>4</v>
      </c>
      <c r="O35" s="74">
        <f t="shared" ca="1" si="0"/>
        <v>6</v>
      </c>
      <c r="P35" s="76">
        <f ca="1">IF(controls!$B$10=1,hystere!N35+hystere!M35,hystere!Q35)</f>
        <v>6</v>
      </c>
      <c r="Q35" s="74">
        <f ca="1">IF('main page'!$Y$53=1,'choose m.p.'!$I$22*100,R35)</f>
        <v>6</v>
      </c>
      <c r="R35" s="100">
        <f ca="1">'main page'!$K$29*M35+(1-'main page'!$K$29)*controls!$B$9+S35+(('main page'!$K$25*'main page'!$U$13*'main page'!$K$29)/('main page'!$K$27*(1+('main page'!$K$25^2)*'main page'!$U$13)))*(M35-(controls!$B$9/100)*100)</f>
        <v>6</v>
      </c>
      <c r="S35" s="98">
        <f ca="1">IF(controls!$B$33=1,(J36-E35*X36-B35)/'main page'!$K$27,(I36-E35*X36-B35)/'main page'!$K$27)</f>
        <v>4</v>
      </c>
      <c r="U35" s="71">
        <f>IF(controls!$B$6=1,$AG$4*(1+('main page'!$K$35/100))^V35-$AG$4*(1+('main page'!$K$35/100))^V34,$AG$4*(1+('main page'!$G$8/100))*(1+('main page'!$K$35/100))^V35-$AG$4*(1+('main page'!$G$8/100))*(1+('main page'!$K$35/100))^V34)</f>
        <v>0</v>
      </c>
      <c r="V35" s="73">
        <v>27</v>
      </c>
      <c r="W35" s="40">
        <f>'normal case'!V34</f>
        <v>0</v>
      </c>
      <c r="X35" s="40">
        <f>'normal case'!W34</f>
        <v>0</v>
      </c>
      <c r="Y35" s="49">
        <f ca="1">IF(controls!$B$33=1,E35-($J$4-'main page'!$K$27*2)*(1+('main page'!$K$35/100))^A34,E35-$AG$5)</f>
        <v>0</v>
      </c>
      <c r="Z35" s="49">
        <f ca="1">ABS(M35-(controls!$B$9/100)*100)</f>
        <v>0</v>
      </c>
      <c r="AI35" s="40"/>
      <c r="AJ35" s="40"/>
    </row>
    <row r="36" spans="1:36">
      <c r="A36" s="48">
        <v>33</v>
      </c>
      <c r="B36" s="75">
        <f ca="1">IF(controls!$B$6=2,AVERAGE(E32:E35)+B35*W36+hystere!$AG$9,AVERAGE(E32:E35)+B35*W36)</f>
        <v>100</v>
      </c>
      <c r="C36" s="80">
        <f t="shared" ca="1" si="1"/>
        <v>0</v>
      </c>
      <c r="D36" s="105">
        <f t="shared" ca="1" si="2"/>
        <v>0</v>
      </c>
      <c r="E36" s="77">
        <f t="shared" ca="1" si="3"/>
        <v>100</v>
      </c>
      <c r="F36" s="77">
        <f ca="1">IF('main page'!$K$34=1,hystere!H36,hystere!G36)</f>
        <v>100</v>
      </c>
      <c r="G36" s="94">
        <f ca="1">I36-'main page'!$K$27*hystere!N35</f>
        <v>100</v>
      </c>
      <c r="H36" s="75">
        <f ca="1">J36-'main page'!$K$27*N35</f>
        <v>100</v>
      </c>
      <c r="I36" s="75">
        <f t="shared" ca="1" si="4"/>
        <v>108</v>
      </c>
      <c r="J36" s="75">
        <f t="shared" ca="1" si="5"/>
        <v>108</v>
      </c>
      <c r="M36" s="75">
        <f ca="1">IF(ABS('main page'!$K$29*M35+(1-'main page'!$K$29)*(controls!$B$9/100)*100+'main page'!$K$25*(E36-B36)-M35)&lt;0.0000001,M35,'main page'!$K$29*M35+(1-'main page'!$K$29)*(controls!$B$9/100)*100+'main page'!$K$25*(E36-B36))</f>
        <v>2</v>
      </c>
      <c r="N36" s="75">
        <f ca="1">IF(controls!$B$10=1,N35,O36-'main page'!$K$29*M36-(1-'main page'!$K$29)*controls!$B$9)</f>
        <v>4</v>
      </c>
      <c r="O36" s="74">
        <f t="shared" ca="1" si="0"/>
        <v>6</v>
      </c>
      <c r="P36" s="76">
        <f ca="1">IF(controls!$B$10=1,hystere!N36+hystere!M36,hystere!Q36)</f>
        <v>6</v>
      </c>
      <c r="Q36" s="74">
        <f ca="1">IF('main page'!$Y$53=1,'choose m.p.'!$I$22*100,R36)</f>
        <v>6</v>
      </c>
      <c r="R36" s="100">
        <f ca="1">'main page'!$K$29*M36+(1-'main page'!$K$29)*controls!$B$9+S36+(('main page'!$K$25*'main page'!$U$13*'main page'!$K$29)/('main page'!$K$27*(1+('main page'!$K$25^2)*'main page'!$U$13)))*(M36-(controls!$B$9/100)*100)</f>
        <v>6</v>
      </c>
      <c r="S36" s="98">
        <f ca="1">IF(controls!$B$33=1,(J37-E36*X37-B36)/'main page'!$K$27,(I37-E36*X37-B36)/'main page'!$K$27)</f>
        <v>4</v>
      </c>
      <c r="U36" s="71">
        <f>IF(controls!$B$6=1,$AG$4*(1+('main page'!$K$35/100))^V36-$AG$4*(1+('main page'!$K$35/100))^V35,$AG$4*(1+('main page'!$G$8/100))*(1+('main page'!$K$35/100))^V36-$AG$4*(1+('main page'!$G$8/100))*(1+('main page'!$K$35/100))^V35)</f>
        <v>0</v>
      </c>
      <c r="V36" s="73">
        <v>28</v>
      </c>
      <c r="W36" s="40">
        <f ca="1">'normal case'!V35</f>
        <v>0</v>
      </c>
      <c r="X36" s="40">
        <f ca="1">'normal case'!W35</f>
        <v>0</v>
      </c>
      <c r="Y36" s="49">
        <f ca="1">IF(controls!$B$33=1,E36-($J$4-'main page'!$K$27*2)*(1+('main page'!$K$35/100))^A35,E36-$AG$5)</f>
        <v>0</v>
      </c>
      <c r="Z36" s="49">
        <f ca="1">ABS(M36-(controls!$B$9/100)*100)</f>
        <v>0</v>
      </c>
      <c r="AI36" s="40"/>
      <c r="AJ36" s="40"/>
    </row>
    <row r="37" spans="1:36">
      <c r="A37" s="48">
        <v>34</v>
      </c>
      <c r="B37" s="75">
        <f ca="1">IF(controls!$B$6=2,AVERAGE(E33:E36)+B36*W37+hystere!$AG$9,AVERAGE(E33:E36)+B36*W37)</f>
        <v>100</v>
      </c>
      <c r="C37" s="80">
        <f t="shared" ca="1" si="1"/>
        <v>0</v>
      </c>
      <c r="D37" s="105">
        <f t="shared" ca="1" si="2"/>
        <v>0</v>
      </c>
      <c r="E37" s="77">
        <f t="shared" ca="1" si="3"/>
        <v>100</v>
      </c>
      <c r="F37" s="77">
        <f ca="1">IF('main page'!$K$34=1,hystere!H37,hystere!G37)</f>
        <v>100</v>
      </c>
      <c r="G37" s="94">
        <f ca="1">I37-'main page'!$K$27*hystere!N36</f>
        <v>100</v>
      </c>
      <c r="H37" s="75">
        <f ca="1">J37-'main page'!$K$27*N36</f>
        <v>100</v>
      </c>
      <c r="I37" s="75">
        <f t="shared" ca="1" si="4"/>
        <v>108</v>
      </c>
      <c r="J37" s="75">
        <f t="shared" ca="1" si="5"/>
        <v>108</v>
      </c>
      <c r="M37" s="75">
        <f ca="1">IF(ABS('main page'!$K$29*M36+(1-'main page'!$K$29)*(controls!$B$9/100)*100+'main page'!$K$25*(E37-B37)-M36)&lt;0.0000001,M36,'main page'!$K$29*M36+(1-'main page'!$K$29)*(controls!$B$9/100)*100+'main page'!$K$25*(E37-B37))</f>
        <v>2</v>
      </c>
      <c r="N37" s="75">
        <f ca="1">IF(controls!$B$10=1,N36,O37-'main page'!$K$29*M37-(1-'main page'!$K$29)*controls!$B$9)</f>
        <v>4</v>
      </c>
      <c r="O37" s="74">
        <f t="shared" ca="1" si="0"/>
        <v>6</v>
      </c>
      <c r="P37" s="76">
        <f ca="1">IF(controls!$B$10=1,hystere!N37+hystere!M37,hystere!Q37)</f>
        <v>6</v>
      </c>
      <c r="Q37" s="74">
        <f ca="1">IF('main page'!$Y$53=1,'choose m.p.'!$I$22*100,R37)</f>
        <v>6</v>
      </c>
      <c r="R37" s="100">
        <f ca="1">'main page'!$K$29*M37+(1-'main page'!$K$29)*controls!$B$9+S37+(('main page'!$K$25*'main page'!$U$13*'main page'!$K$29)/('main page'!$K$27*(1+('main page'!$K$25^2)*'main page'!$U$13)))*(M37-(controls!$B$9/100)*100)</f>
        <v>6</v>
      </c>
      <c r="S37" s="98">
        <f ca="1">IF(controls!$B$33=1,(J38-E37*X38-B37)/'main page'!$K$27,(I38-E37*X38-B37)/'main page'!$K$27)</f>
        <v>4</v>
      </c>
      <c r="U37" s="71">
        <f>IF(controls!$B$6=1,$AG$4*(1+('main page'!$K$35/100))^V37-$AG$4*(1+('main page'!$K$35/100))^V36,$AG$4*(1+('main page'!$G$8/100))*(1+('main page'!$K$35/100))^V37-$AG$4*(1+('main page'!$G$8/100))*(1+('main page'!$K$35/100))^V36)</f>
        <v>0</v>
      </c>
      <c r="V37" s="73">
        <v>29</v>
      </c>
      <c r="W37" s="40">
        <f>'normal case'!V36</f>
        <v>0</v>
      </c>
      <c r="X37" s="40">
        <f>'normal case'!W36</f>
        <v>0</v>
      </c>
      <c r="Y37" s="49">
        <f ca="1">IF(controls!$B$33=1,E37-($J$4-'main page'!$K$27*2)*(1+('main page'!$K$35/100))^A36,E37-$AG$5)</f>
        <v>0</v>
      </c>
      <c r="Z37" s="49">
        <f ca="1">ABS(M37-(controls!$B$9/100)*100)</f>
        <v>0</v>
      </c>
      <c r="AI37" s="40"/>
      <c r="AJ37" s="40"/>
    </row>
    <row r="38" spans="1:36">
      <c r="A38" s="48">
        <v>35</v>
      </c>
      <c r="B38" s="75">
        <f ca="1">IF(controls!$B$6=2,AVERAGE(E34:E37)+B37*W38+hystere!$AG$9,AVERAGE(E34:E37)+B37*W38)</f>
        <v>100</v>
      </c>
      <c r="C38" s="80">
        <f t="shared" ca="1" si="1"/>
        <v>0</v>
      </c>
      <c r="D38" s="105">
        <f t="shared" ca="1" si="2"/>
        <v>0</v>
      </c>
      <c r="E38" s="77">
        <f t="shared" ca="1" si="3"/>
        <v>100</v>
      </c>
      <c r="F38" s="77">
        <f ca="1">IF('main page'!$K$34=1,hystere!H38,hystere!G38)</f>
        <v>100</v>
      </c>
      <c r="G38" s="94">
        <f ca="1">I38-'main page'!$K$27*hystere!N37</f>
        <v>100</v>
      </c>
      <c r="H38" s="75">
        <f ca="1">J38-'main page'!$K$27*N37</f>
        <v>100</v>
      </c>
      <c r="I38" s="75">
        <f t="shared" ca="1" si="4"/>
        <v>108</v>
      </c>
      <c r="J38" s="75">
        <f t="shared" ca="1" si="5"/>
        <v>108</v>
      </c>
      <c r="M38" s="75">
        <f ca="1">IF(ABS('main page'!$K$29*M37+(1-'main page'!$K$29)*(controls!$B$9/100)*100+'main page'!$K$25*(E38-B38)-M37)&lt;0.0000001,M37,'main page'!$K$29*M37+(1-'main page'!$K$29)*(controls!$B$9/100)*100+'main page'!$K$25*(E38-B38))</f>
        <v>2</v>
      </c>
      <c r="N38" s="75">
        <f ca="1">IF(controls!$B$10=1,N37,O38-'main page'!$K$29*M38-(1-'main page'!$K$29)*controls!$B$9)</f>
        <v>4</v>
      </c>
      <c r="O38" s="74">
        <f t="shared" ca="1" si="0"/>
        <v>6</v>
      </c>
      <c r="P38" s="76">
        <f ca="1">IF(controls!$B$10=1,hystere!N38+hystere!M38,hystere!Q38)</f>
        <v>6</v>
      </c>
      <c r="Q38" s="74">
        <f ca="1">IF('main page'!$Y$53=1,'choose m.p.'!$I$22*100,R38)</f>
        <v>6</v>
      </c>
      <c r="R38" s="100">
        <f ca="1">'main page'!$K$29*M38+(1-'main page'!$K$29)*controls!$B$9+S38+(('main page'!$K$25*'main page'!$U$13*'main page'!$K$29)/('main page'!$K$27*(1+('main page'!$K$25^2)*'main page'!$U$13)))*(M38-(controls!$B$9/100)*100)</f>
        <v>6</v>
      </c>
      <c r="S38" s="98">
        <f ca="1">IF(controls!$B$33=1,(J39-E38*X39-B38)/'main page'!$K$27,(I39-E38*X39-B38)/'main page'!$K$27)</f>
        <v>4</v>
      </c>
      <c r="U38" s="71">
        <f>IF(controls!$B$6=1,$AG$4*(1+('main page'!$K$35/100))^V38-$AG$4*(1+('main page'!$K$35/100))^V37,$AG$4*(1+('main page'!$G$8/100))*(1+('main page'!$K$35/100))^V38-$AG$4*(1+('main page'!$G$8/100))*(1+('main page'!$K$35/100))^V37)</f>
        <v>0</v>
      </c>
      <c r="V38" s="73">
        <v>30</v>
      </c>
      <c r="W38" s="40">
        <f>'normal case'!V37</f>
        <v>0</v>
      </c>
      <c r="X38" s="40">
        <f>'normal case'!W37</f>
        <v>0</v>
      </c>
      <c r="Y38" s="49">
        <f ca="1">IF(controls!$B$33=1,E38-($J$4-'main page'!$K$27*2)*(1+('main page'!$K$35/100))^A37,E38-$AG$5)</f>
        <v>0</v>
      </c>
      <c r="Z38" s="49">
        <f ca="1">ABS(M38-(controls!$B$9/100)*100)</f>
        <v>0</v>
      </c>
      <c r="AI38" s="40"/>
      <c r="AJ38" s="40"/>
    </row>
    <row r="39" spans="1:36">
      <c r="A39" s="48">
        <v>36</v>
      </c>
      <c r="B39" s="75">
        <f ca="1">IF(controls!$B$6=2,AVERAGE(E35:E38)+B38*W39+hystere!$AG$9,AVERAGE(E35:E38)+B38*W39)</f>
        <v>100</v>
      </c>
      <c r="C39" s="80">
        <f t="shared" ca="1" si="1"/>
        <v>0</v>
      </c>
      <c r="D39" s="105">
        <f t="shared" ca="1" si="2"/>
        <v>0</v>
      </c>
      <c r="E39" s="77">
        <f t="shared" ca="1" si="3"/>
        <v>100</v>
      </c>
      <c r="F39" s="77">
        <f ca="1">IF('main page'!$K$34=1,hystere!H39,hystere!G39)</f>
        <v>100</v>
      </c>
      <c r="G39" s="94">
        <f ca="1">I39-'main page'!$K$27*hystere!N38</f>
        <v>100</v>
      </c>
      <c r="H39" s="75">
        <f ca="1">J39-'main page'!$K$27*N38</f>
        <v>100</v>
      </c>
      <c r="I39" s="75">
        <f t="shared" ca="1" si="4"/>
        <v>108</v>
      </c>
      <c r="J39" s="75">
        <f t="shared" ca="1" si="5"/>
        <v>108</v>
      </c>
      <c r="M39" s="75">
        <f ca="1">IF(ABS('main page'!$K$29*M38+(1-'main page'!$K$29)*(controls!$B$9/100)*100+'main page'!$K$25*(E39-B39)-M38)&lt;0.0000001,M38,'main page'!$K$29*M38+(1-'main page'!$K$29)*(controls!$B$9/100)*100+'main page'!$K$25*(E39-B39))</f>
        <v>2</v>
      </c>
      <c r="N39" s="75">
        <f ca="1">IF(controls!$B$10=1,N38,O39-'main page'!$K$29*M39-(1-'main page'!$K$29)*controls!$B$9)</f>
        <v>4</v>
      </c>
      <c r="O39" s="74">
        <f t="shared" ca="1" si="0"/>
        <v>6</v>
      </c>
      <c r="P39" s="76">
        <f ca="1">IF(controls!$B$10=1,hystere!N39+hystere!M39,hystere!Q39)</f>
        <v>6</v>
      </c>
      <c r="Q39" s="74">
        <f ca="1">IF('main page'!$Y$53=1,'choose m.p.'!$I$22*100,R39)</f>
        <v>6</v>
      </c>
      <c r="R39" s="100">
        <f ca="1">'main page'!$K$29*M39+(1-'main page'!$K$29)*controls!$B$9+S39+(('main page'!$K$25*'main page'!$U$13*'main page'!$K$29)/('main page'!$K$27*(1+('main page'!$K$25^2)*'main page'!$U$13)))*(M39-(controls!$B$9/100)*100)</f>
        <v>6</v>
      </c>
      <c r="S39" s="98">
        <f ca="1">IF(controls!$B$33=1,(J40-E39*X40-B39)/'main page'!$K$27,(I40-E39*X40-B39)/'main page'!$K$27)</f>
        <v>4</v>
      </c>
      <c r="U39" s="71">
        <f>IF(controls!$B$6=1,$AG$4*(1+('main page'!$K$35/100))^V39-$AG$4*(1+('main page'!$K$35/100))^V38,$AG$4*(1+('main page'!$G$8/100))*(1+('main page'!$K$35/100))^V39-$AG$4*(1+('main page'!$G$8/100))*(1+('main page'!$K$35/100))^V38)</f>
        <v>0</v>
      </c>
      <c r="V39" s="73">
        <v>31</v>
      </c>
      <c r="W39" s="40">
        <f ca="1">'normal case'!V38</f>
        <v>0</v>
      </c>
      <c r="X39" s="40">
        <f ca="1">'normal case'!W38</f>
        <v>0</v>
      </c>
      <c r="Y39" s="49">
        <f ca="1">IF(controls!$B$33=1,E39-($J$4-'main page'!$K$27*2)*(1+('main page'!$K$35/100))^A38,E39-$AG$5)</f>
        <v>0</v>
      </c>
      <c r="Z39" s="49">
        <f ca="1">ABS(M39-(controls!$B$9/100)*100)</f>
        <v>0</v>
      </c>
      <c r="AI39" s="40"/>
      <c r="AJ39" s="40"/>
    </row>
    <row r="40" spans="1:36">
      <c r="A40" s="48">
        <v>37</v>
      </c>
      <c r="B40" s="75">
        <f ca="1">IF(controls!$B$6=2,AVERAGE(E36:E39)+B39*W40+hystere!$AG$9,AVERAGE(E36:E39)+B39*W40)</f>
        <v>100</v>
      </c>
      <c r="C40" s="80">
        <f t="shared" ca="1" si="1"/>
        <v>0</v>
      </c>
      <c r="D40" s="105">
        <f t="shared" ca="1" si="2"/>
        <v>0</v>
      </c>
      <c r="E40" s="77">
        <f t="shared" ca="1" si="3"/>
        <v>100</v>
      </c>
      <c r="F40" s="77">
        <f ca="1">IF('main page'!$K$34=1,hystere!H40,hystere!G40)</f>
        <v>100</v>
      </c>
      <c r="G40" s="94">
        <f ca="1">I40-'main page'!$K$27*hystere!N39</f>
        <v>100</v>
      </c>
      <c r="H40" s="75">
        <f ca="1">J40-'main page'!$K$27*N39</f>
        <v>100</v>
      </c>
      <c r="I40" s="75">
        <f t="shared" ca="1" si="4"/>
        <v>108</v>
      </c>
      <c r="J40" s="75">
        <f t="shared" ca="1" si="5"/>
        <v>108</v>
      </c>
      <c r="M40" s="75">
        <f ca="1">IF(ABS('main page'!$K$29*M39+(1-'main page'!$K$29)*(controls!$B$9/100)*100+'main page'!$K$25*(E40-B40)-M39)&lt;0.0000001,M39,'main page'!$K$29*M39+(1-'main page'!$K$29)*(controls!$B$9/100)*100+'main page'!$K$25*(E40-B40))</f>
        <v>2</v>
      </c>
      <c r="N40" s="75">
        <f ca="1">IF(controls!$B$10=1,N39,O40-'main page'!$K$29*M40-(1-'main page'!$K$29)*controls!$B$9)</f>
        <v>4</v>
      </c>
      <c r="O40" s="74">
        <f t="shared" ca="1" si="0"/>
        <v>6</v>
      </c>
      <c r="P40" s="76">
        <f ca="1">IF(controls!$B$10=1,hystere!N40+hystere!M40,hystere!Q40)</f>
        <v>6</v>
      </c>
      <c r="Q40" s="74">
        <f ca="1">IF('main page'!$Y$53=1,'choose m.p.'!$I$22*100,R40)</f>
        <v>6</v>
      </c>
      <c r="R40" s="100">
        <f ca="1">'main page'!$K$29*M40+(1-'main page'!$K$29)*controls!$B$9+S40+(('main page'!$K$25*'main page'!$U$13*'main page'!$K$29)/('main page'!$K$27*(1+('main page'!$K$25^2)*'main page'!$U$13)))*(M40-(controls!$B$9/100)*100)</f>
        <v>6</v>
      </c>
      <c r="S40" s="98">
        <f ca="1">IF(controls!$B$33=1,(J41-E40*X41-B40)/'main page'!$K$27,(I41-E40*X41-B40)/'main page'!$K$27)</f>
        <v>4</v>
      </c>
      <c r="U40" s="71">
        <f>IF(controls!$B$6=1,$AG$4*(1+('main page'!$K$35/100))^V40-$AG$4*(1+('main page'!$K$35/100))^V39,$AG$4*(1+('main page'!$G$8/100))*(1+('main page'!$K$35/100))^V40-$AG$4*(1+('main page'!$G$8/100))*(1+('main page'!$K$35/100))^V39)</f>
        <v>0</v>
      </c>
      <c r="V40" s="73">
        <v>32</v>
      </c>
      <c r="W40" s="40">
        <f>'normal case'!V39</f>
        <v>0</v>
      </c>
      <c r="X40" s="40">
        <f>'normal case'!W39</f>
        <v>0</v>
      </c>
      <c r="Y40" s="49">
        <f ca="1">IF(controls!$B$33=1,E40-($J$4-'main page'!$K$27*2)*(1+('main page'!$K$35/100))^A39,E40-$AG$5)</f>
        <v>0</v>
      </c>
      <c r="Z40" s="49">
        <f ca="1">ABS(M40-(controls!$B$9/100)*100)</f>
        <v>0</v>
      </c>
      <c r="AI40" s="40"/>
      <c r="AJ40" s="40"/>
    </row>
    <row r="41" spans="1:36">
      <c r="A41" s="48">
        <v>38</v>
      </c>
      <c r="B41" s="75">
        <f ca="1">IF(controls!$B$6=2,AVERAGE(E37:E40)+B40*W41+hystere!$AG$9,AVERAGE(E37:E40)+B40*W41)</f>
        <v>100</v>
      </c>
      <c r="C41" s="80">
        <f t="shared" ca="1" si="1"/>
        <v>0</v>
      </c>
      <c r="D41" s="105">
        <f t="shared" ca="1" si="2"/>
        <v>0</v>
      </c>
      <c r="E41" s="77">
        <f t="shared" ca="1" si="3"/>
        <v>100</v>
      </c>
      <c r="F41" s="77">
        <f ca="1">IF('main page'!$K$34=1,hystere!H41,hystere!G41)</f>
        <v>100</v>
      </c>
      <c r="G41" s="94">
        <f ca="1">I41-'main page'!$K$27*hystere!N40</f>
        <v>100</v>
      </c>
      <c r="H41" s="75">
        <f ca="1">J41-'main page'!$K$27*N40</f>
        <v>100</v>
      </c>
      <c r="I41" s="75">
        <f t="shared" ca="1" si="4"/>
        <v>108</v>
      </c>
      <c r="J41" s="75">
        <f t="shared" ca="1" si="5"/>
        <v>108</v>
      </c>
      <c r="M41" s="75">
        <f ca="1">IF(ABS('main page'!$K$29*M40+(1-'main page'!$K$29)*(controls!$B$9/100)*100+'main page'!$K$25*(E41-B41)-M40)&lt;0.0000001,M40,'main page'!$K$29*M40+(1-'main page'!$K$29)*(controls!$B$9/100)*100+'main page'!$K$25*(E41-B41))</f>
        <v>2</v>
      </c>
      <c r="N41" s="75">
        <f ca="1">IF(controls!$B$10=1,N40,O41-'main page'!$K$29*M41-(1-'main page'!$K$29)*controls!$B$9)</f>
        <v>4</v>
      </c>
      <c r="O41" s="74">
        <f t="shared" ca="1" si="0"/>
        <v>6</v>
      </c>
      <c r="P41" s="76">
        <f ca="1">IF(controls!$B$10=1,hystere!N41+hystere!M41,hystere!Q41)</f>
        <v>6</v>
      </c>
      <c r="Q41" s="74">
        <f ca="1">IF('main page'!$Y$53=1,'choose m.p.'!$I$22*100,R41)</f>
        <v>6</v>
      </c>
      <c r="R41" s="100">
        <f ca="1">'main page'!$K$29*M41+(1-'main page'!$K$29)*controls!$B$9+S41+(('main page'!$K$25*'main page'!$U$13*'main page'!$K$29)/('main page'!$K$27*(1+('main page'!$K$25^2)*'main page'!$U$13)))*(M41-(controls!$B$9/100)*100)</f>
        <v>6</v>
      </c>
      <c r="S41" s="98">
        <f ca="1">IF(controls!$B$33=1,(J42-E41*X42-B41)/'main page'!$K$27,(I42-E41*X42-B41)/'main page'!$K$27)</f>
        <v>4</v>
      </c>
      <c r="U41" s="71">
        <f>IF(controls!$B$6=1,$AG$4*(1+('main page'!$K$35/100))^V41-$AG$4*(1+('main page'!$K$35/100))^V40,$AG$4*(1+('main page'!$G$8/100))*(1+('main page'!$K$35/100))^V41-$AG$4*(1+('main page'!$G$8/100))*(1+('main page'!$K$35/100))^V40)</f>
        <v>0</v>
      </c>
      <c r="V41" s="73">
        <v>33</v>
      </c>
      <c r="W41" s="40">
        <f>'normal case'!V40</f>
        <v>0</v>
      </c>
      <c r="X41" s="40">
        <f>'normal case'!W40</f>
        <v>0</v>
      </c>
      <c r="Y41" s="49">
        <f ca="1">IF(controls!$B$33=1,E41-($J$4-'main page'!$K$27*2)*(1+('main page'!$K$35/100))^A40,E41-$AG$5)</f>
        <v>0</v>
      </c>
      <c r="Z41" s="49">
        <f ca="1">ABS(M41-(controls!$B$9/100)*100)</f>
        <v>0</v>
      </c>
      <c r="AI41" s="40"/>
      <c r="AJ41" s="40"/>
    </row>
    <row r="42" spans="1:36">
      <c r="A42" s="48">
        <v>39</v>
      </c>
      <c r="B42" s="75">
        <f ca="1">IF(controls!$B$6=2,AVERAGE(E38:E41)+B41*W42+hystere!$AG$9,AVERAGE(E38:E41)+B41*W42)</f>
        <v>100</v>
      </c>
      <c r="C42" s="80">
        <f t="shared" ca="1" si="1"/>
        <v>0</v>
      </c>
      <c r="D42" s="105">
        <f t="shared" ca="1" si="2"/>
        <v>0</v>
      </c>
      <c r="E42" s="77">
        <f t="shared" ca="1" si="3"/>
        <v>100</v>
      </c>
      <c r="F42" s="77">
        <f ca="1">IF('main page'!$K$34=1,hystere!H42,hystere!G42)</f>
        <v>100</v>
      </c>
      <c r="G42" s="94">
        <f ca="1">I42-'main page'!$K$27*hystere!N41</f>
        <v>100</v>
      </c>
      <c r="H42" s="75">
        <f ca="1">J42-'main page'!$K$27*N41</f>
        <v>100</v>
      </c>
      <c r="I42" s="75">
        <f t="shared" ca="1" si="4"/>
        <v>108</v>
      </c>
      <c r="J42" s="75">
        <f t="shared" ca="1" si="5"/>
        <v>108</v>
      </c>
      <c r="M42" s="75">
        <f ca="1">IF(ABS('main page'!$K$29*M41+(1-'main page'!$K$29)*(controls!$B$9/100)*100+'main page'!$K$25*(E42-B42)-M41)&lt;0.0000001,M41,'main page'!$K$29*M41+(1-'main page'!$K$29)*(controls!$B$9/100)*100+'main page'!$K$25*(E42-B42))</f>
        <v>2</v>
      </c>
      <c r="N42" s="75">
        <f ca="1">IF(controls!$B$10=1,N41,O42-'main page'!$K$29*M42-(1-'main page'!$K$29)*controls!$B$9)</f>
        <v>4</v>
      </c>
      <c r="O42" s="74">
        <f t="shared" ca="1" si="0"/>
        <v>6</v>
      </c>
      <c r="P42" s="76">
        <f ca="1">IF(controls!$B$10=1,hystere!N42+hystere!M42,hystere!Q42)</f>
        <v>6</v>
      </c>
      <c r="Q42" s="74">
        <f ca="1">IF('main page'!$Y$53=1,'choose m.p.'!$I$22*100,R42)</f>
        <v>6</v>
      </c>
      <c r="R42" s="100">
        <f ca="1">'main page'!$K$29*M42+(1-'main page'!$K$29)*controls!$B$9+S42+(('main page'!$K$25*'main page'!$U$13*'main page'!$K$29)/('main page'!$K$27*(1+('main page'!$K$25^2)*'main page'!$U$13)))*(M42-(controls!$B$9/100)*100)</f>
        <v>6</v>
      </c>
      <c r="S42" s="98">
        <f ca="1">IF(controls!$B$33=1,(J43-E42*X43-B42)/'main page'!$K$27,(I43-E42*X43-B42)/'main page'!$K$27)</f>
        <v>4</v>
      </c>
      <c r="U42" s="71">
        <f>IF(controls!$B$6=1,$AG$4*(1+('main page'!$K$35/100))^V42-$AG$4*(1+('main page'!$K$35/100))^V41,$AG$4*(1+('main page'!$G$8/100))*(1+('main page'!$K$35/100))^V42-$AG$4*(1+('main page'!$G$8/100))*(1+('main page'!$K$35/100))^V41)</f>
        <v>0</v>
      </c>
      <c r="V42" s="73">
        <v>34</v>
      </c>
      <c r="W42" s="40">
        <f ca="1">'normal case'!V41</f>
        <v>0</v>
      </c>
      <c r="X42" s="40">
        <f ca="1">'normal case'!W41</f>
        <v>0</v>
      </c>
      <c r="Y42" s="49">
        <f ca="1">IF(controls!$B$33=1,E42-($J$4-'main page'!$K$27*2)*(1+('main page'!$K$35/100))^A41,E42-$AG$5)</f>
        <v>0</v>
      </c>
      <c r="Z42" s="49">
        <f ca="1">ABS(M42-(controls!$B$9/100)*100)</f>
        <v>0</v>
      </c>
      <c r="AI42" s="40"/>
      <c r="AJ42" s="40"/>
    </row>
    <row r="43" spans="1:36">
      <c r="A43" s="48">
        <v>40</v>
      </c>
      <c r="B43" s="75">
        <f ca="1">IF(controls!$B$6=2,AVERAGE(E39:E42)+B42*W43+hystere!$AG$9,AVERAGE(E39:E42)+B42*W43)</f>
        <v>100</v>
      </c>
      <c r="C43" s="80">
        <f t="shared" ca="1" si="1"/>
        <v>0</v>
      </c>
      <c r="D43" s="105">
        <f t="shared" ca="1" si="2"/>
        <v>0</v>
      </c>
      <c r="E43" s="77">
        <f t="shared" ca="1" si="3"/>
        <v>100</v>
      </c>
      <c r="F43" s="77">
        <f ca="1">IF('main page'!$K$34=1,hystere!H43,hystere!G43)</f>
        <v>100</v>
      </c>
      <c r="G43" s="94">
        <f ca="1">I43-'main page'!$K$27*hystere!N42</f>
        <v>100</v>
      </c>
      <c r="H43" s="75">
        <f ca="1">J43-'main page'!$K$27*N42</f>
        <v>100</v>
      </c>
      <c r="I43" s="75">
        <f t="shared" ca="1" si="4"/>
        <v>108</v>
      </c>
      <c r="J43" s="75">
        <f t="shared" ca="1" si="5"/>
        <v>108</v>
      </c>
      <c r="M43" s="75">
        <f ca="1">IF(ABS('main page'!$K$29*M42+(1-'main page'!$K$29)*(controls!$B$9/100)*100+'main page'!$K$25*(E43-B43)-M42)&lt;0.0000001,M42,'main page'!$K$29*M42+(1-'main page'!$K$29)*(controls!$B$9/100)*100+'main page'!$K$25*(E43-B43))</f>
        <v>2</v>
      </c>
      <c r="N43" s="75">
        <f ca="1">IF(controls!$B$10=1,N42,O43-'main page'!$K$29*M43-(1-'main page'!$K$29)*controls!$B$9)</f>
        <v>4</v>
      </c>
      <c r="O43" s="74">
        <f t="shared" ca="1" si="0"/>
        <v>6</v>
      </c>
      <c r="P43" s="76">
        <f ca="1">IF(controls!$B$10=1,hystere!N43+hystere!M43,hystere!Q43)</f>
        <v>6</v>
      </c>
      <c r="Q43" s="74">
        <f ca="1">IF('main page'!$Y$53=1,'choose m.p.'!$I$22*100,R43)</f>
        <v>6</v>
      </c>
      <c r="R43" s="100">
        <f ca="1">'main page'!$K$29*M43+(1-'main page'!$K$29)*controls!$B$9+S43+(('main page'!$K$25*'main page'!$U$13*'main page'!$K$29)/('main page'!$K$27*(1+('main page'!$K$25^2)*'main page'!$U$13)))*(M43-(controls!$B$9/100)*100)</f>
        <v>6</v>
      </c>
      <c r="S43" s="98">
        <f ca="1">IF(controls!$B$33=1,(J44-E43*X44-B43)/'main page'!$K$27,(I44-E43*X44-B43)/'main page'!$K$27)</f>
        <v>4</v>
      </c>
      <c r="U43" s="71">
        <f>IF(controls!$B$6=1,$AG$4*(1+('main page'!$K$35/100))^V43-$AG$4*(1+('main page'!$K$35/100))^V42,$AG$4*(1+('main page'!$G$8/100))*(1+('main page'!$K$35/100))^V43-$AG$4*(1+('main page'!$G$8/100))*(1+('main page'!$K$35/100))^V42)</f>
        <v>0</v>
      </c>
      <c r="V43" s="73">
        <v>35</v>
      </c>
      <c r="W43" s="40">
        <f>'normal case'!V42</f>
        <v>0</v>
      </c>
      <c r="X43" s="40">
        <f>'normal case'!W42</f>
        <v>0</v>
      </c>
      <c r="Y43" s="49">
        <f ca="1">IF(controls!$B$33=1,E43-($J$4-'main page'!$K$27*2)*(1+('main page'!$K$35/100))^A42,E43-$AG$5)</f>
        <v>0</v>
      </c>
      <c r="Z43" s="49">
        <f ca="1">ABS(M43-(controls!$B$9/100)*100)</f>
        <v>0</v>
      </c>
      <c r="AI43" s="40"/>
      <c r="AJ43" s="40"/>
    </row>
    <row r="44" spans="1:36">
      <c r="A44" s="48">
        <v>41</v>
      </c>
      <c r="B44" s="75">
        <f ca="1">IF(controls!$B$6=2,AVERAGE(E40:E43)+B43*W44+hystere!$AG$9,AVERAGE(E40:E43)+B43*W44)</f>
        <v>100</v>
      </c>
      <c r="C44" s="80">
        <f t="shared" ca="1" si="1"/>
        <v>0</v>
      </c>
      <c r="D44" s="105">
        <f t="shared" ca="1" si="2"/>
        <v>0</v>
      </c>
      <c r="E44" s="77">
        <f t="shared" ca="1" si="3"/>
        <v>100</v>
      </c>
      <c r="F44" s="77">
        <f ca="1">IF('main page'!$K$34=1,hystere!H44,hystere!G44)</f>
        <v>100</v>
      </c>
      <c r="G44" s="94">
        <f ca="1">I44-'main page'!$K$27*hystere!N43</f>
        <v>100</v>
      </c>
      <c r="H44" s="75">
        <f ca="1">J44-'main page'!$K$27*N43</f>
        <v>100</v>
      </c>
      <c r="I44" s="75">
        <f t="shared" ca="1" si="4"/>
        <v>108</v>
      </c>
      <c r="J44" s="75">
        <f t="shared" ca="1" si="5"/>
        <v>108</v>
      </c>
      <c r="M44" s="75">
        <f ca="1">IF(ABS('main page'!$K$29*M43+(1-'main page'!$K$29)*(controls!$B$9/100)*100+'main page'!$K$25*(E44-B44)-M43)&lt;0.0000001,M43,'main page'!$K$29*M43+(1-'main page'!$K$29)*(controls!$B$9/100)*100+'main page'!$K$25*(E44-B44))</f>
        <v>2</v>
      </c>
      <c r="N44" s="75">
        <f ca="1">IF(controls!$B$10=1,N43,O44-'main page'!$K$29*M44-(1-'main page'!$K$29)*controls!$B$9)</f>
        <v>4</v>
      </c>
      <c r="O44" s="74">
        <f t="shared" ca="1" si="0"/>
        <v>6</v>
      </c>
      <c r="P44" s="76">
        <f ca="1">IF(controls!$B$10=1,hystere!N44+hystere!M44,hystere!Q44)</f>
        <v>6</v>
      </c>
      <c r="Q44" s="74">
        <f ca="1">IF('main page'!$Y$53=1,'choose m.p.'!$I$22*100,R44)</f>
        <v>6</v>
      </c>
      <c r="R44" s="100">
        <f ca="1">'main page'!$K$29*M44+(1-'main page'!$K$29)*controls!$B$9+S44+(('main page'!$K$25*'main page'!$U$13*'main page'!$K$29)/('main page'!$K$27*(1+('main page'!$K$25^2)*'main page'!$U$13)))*(M44-(controls!$B$9/100)*100)</f>
        <v>6</v>
      </c>
      <c r="S44" s="98">
        <f ca="1">IF(controls!$B$33=1,(J45-E44*X45-B44)/'main page'!$K$27,(I45-E44*X45-B44)/'main page'!$K$27)</f>
        <v>4</v>
      </c>
      <c r="U44" s="71">
        <f>IF(controls!$B$6=1,$AG$4*(1+('main page'!$K$35/100))^V44-$AG$4*(1+('main page'!$K$35/100))^V43,$AG$4*(1+('main page'!$G$8/100))*(1+('main page'!$K$35/100))^V44-$AG$4*(1+('main page'!$G$8/100))*(1+('main page'!$K$35/100))^V43)</f>
        <v>0</v>
      </c>
      <c r="V44" s="73">
        <v>36</v>
      </c>
      <c r="W44" s="40">
        <f>'normal case'!V43</f>
        <v>0</v>
      </c>
      <c r="X44" s="40">
        <f>'normal case'!W43</f>
        <v>0</v>
      </c>
      <c r="Y44" s="49">
        <f ca="1">IF(controls!$B$33=1,E44-($J$4-'main page'!$K$27*2)*(1+('main page'!$K$35/100))^A43,E44-$AG$5)</f>
        <v>0</v>
      </c>
      <c r="Z44" s="49">
        <f ca="1">ABS(M44-(controls!$B$9/100)*100)</f>
        <v>0</v>
      </c>
      <c r="AI44" s="40"/>
      <c r="AJ44" s="40"/>
    </row>
    <row r="45" spans="1:36">
      <c r="A45" s="48">
        <v>42</v>
      </c>
      <c r="B45" s="75">
        <f ca="1">IF(controls!$B$6=2,AVERAGE(E41:E44)+B44*W45+hystere!$AG$9,AVERAGE(E41:E44)+B44*W45)</f>
        <v>100</v>
      </c>
      <c r="C45" s="80">
        <f t="shared" ca="1" si="1"/>
        <v>0</v>
      </c>
      <c r="D45" s="105">
        <f t="shared" ca="1" si="2"/>
        <v>0</v>
      </c>
      <c r="E45" s="77">
        <f t="shared" ca="1" si="3"/>
        <v>100</v>
      </c>
      <c r="F45" s="77">
        <f ca="1">IF('main page'!$K$34=1,hystere!H45,hystere!G45)</f>
        <v>100</v>
      </c>
      <c r="G45" s="94">
        <f ca="1">I45-'main page'!$K$27*hystere!N44</f>
        <v>100</v>
      </c>
      <c r="H45" s="75">
        <f ca="1">J45-'main page'!$K$27*N44</f>
        <v>100</v>
      </c>
      <c r="I45" s="75">
        <f t="shared" ca="1" si="4"/>
        <v>108</v>
      </c>
      <c r="J45" s="75">
        <f t="shared" ca="1" si="5"/>
        <v>108</v>
      </c>
      <c r="M45" s="75">
        <f ca="1">IF(ABS('main page'!$K$29*M44+(1-'main page'!$K$29)*(controls!$B$9/100)*100+'main page'!$K$25*(E45-B45)-M44)&lt;0.0000001,M44,'main page'!$K$29*M44+(1-'main page'!$K$29)*(controls!$B$9/100)*100+'main page'!$K$25*(E45-B45))</f>
        <v>2</v>
      </c>
      <c r="N45" s="75">
        <f ca="1">IF(controls!$B$10=1,N44,O45-'main page'!$K$29*M45-(1-'main page'!$K$29)*controls!$B$9)</f>
        <v>4</v>
      </c>
      <c r="O45" s="74">
        <f t="shared" ca="1" si="0"/>
        <v>6</v>
      </c>
      <c r="P45" s="76">
        <f ca="1">IF(controls!$B$10=1,hystere!N45+hystere!M45,hystere!Q45)</f>
        <v>6</v>
      </c>
      <c r="Q45" s="74">
        <f ca="1">IF('main page'!$Y$53=1,'choose m.p.'!$I$22*100,R45)</f>
        <v>6</v>
      </c>
      <c r="R45" s="100">
        <f ca="1">'main page'!$K$29*M45+(1-'main page'!$K$29)*controls!$B$9+S45+(('main page'!$K$25*'main page'!$U$13*'main page'!$K$29)/('main page'!$K$27*(1+('main page'!$K$25^2)*'main page'!$U$13)))*(M45-(controls!$B$9/100)*100)</f>
        <v>6</v>
      </c>
      <c r="S45" s="98">
        <f ca="1">IF(controls!$B$33=1,(J46-E45*X46-B45)/'main page'!$K$27,(I46-E45*X46-B45)/'main page'!$K$27)</f>
        <v>4</v>
      </c>
      <c r="U45" s="71">
        <f>IF(controls!$B$6=1,$AG$4*(1+('main page'!$K$35/100))^V45-$AG$4*(1+('main page'!$K$35/100))^V44,$AG$4*(1+('main page'!$G$8/100))*(1+('main page'!$K$35/100))^V45-$AG$4*(1+('main page'!$G$8/100))*(1+('main page'!$K$35/100))^V44)</f>
        <v>0</v>
      </c>
      <c r="V45" s="73">
        <v>37</v>
      </c>
      <c r="W45" s="40">
        <f ca="1">'normal case'!V44</f>
        <v>0</v>
      </c>
      <c r="X45" s="40">
        <f ca="1">'normal case'!W44</f>
        <v>0</v>
      </c>
      <c r="Y45" s="49">
        <f ca="1">IF(controls!$B$33=1,E45-($J$4-'main page'!$K$27*2)*(1+('main page'!$K$35/100))^A44,E45-$AG$5)</f>
        <v>0</v>
      </c>
      <c r="Z45" s="49">
        <f ca="1">ABS(M45-(controls!$B$9/100)*100)</f>
        <v>0</v>
      </c>
      <c r="AI45" s="40"/>
      <c r="AJ45" s="40"/>
    </row>
    <row r="46" spans="1:36">
      <c r="A46" s="48">
        <v>43</v>
      </c>
      <c r="B46" s="75">
        <f ca="1">IF(controls!$B$6=2,AVERAGE(E42:E45)+B45*W46+hystere!$AG$9,AVERAGE(E42:E45)+B45*W46)</f>
        <v>100</v>
      </c>
      <c r="C46" s="80">
        <f t="shared" ca="1" si="1"/>
        <v>0</v>
      </c>
      <c r="D46" s="105">
        <f t="shared" ca="1" si="2"/>
        <v>0</v>
      </c>
      <c r="E46" s="77">
        <f t="shared" ca="1" si="3"/>
        <v>100</v>
      </c>
      <c r="F46" s="77">
        <f ca="1">IF('main page'!$K$34=1,hystere!H46,hystere!G46)</f>
        <v>100</v>
      </c>
      <c r="G46" s="94">
        <f ca="1">I46-'main page'!$K$27*hystere!N45</f>
        <v>100</v>
      </c>
      <c r="H46" s="75">
        <f ca="1">J46-'main page'!$K$27*N45</f>
        <v>100</v>
      </c>
      <c r="I46" s="75">
        <f t="shared" ca="1" si="4"/>
        <v>108</v>
      </c>
      <c r="J46" s="75">
        <f t="shared" ca="1" si="5"/>
        <v>108</v>
      </c>
      <c r="M46" s="75">
        <f ca="1">IF(ABS('main page'!$K$29*M45+(1-'main page'!$K$29)*(controls!$B$9/100)*100+'main page'!$K$25*(E46-B46)-M45)&lt;0.0000001,M45,'main page'!$K$29*M45+(1-'main page'!$K$29)*(controls!$B$9/100)*100+'main page'!$K$25*(E46-B46))</f>
        <v>2</v>
      </c>
      <c r="N46" s="75">
        <f ca="1">IF(controls!$B$10=1,N45,O46-'main page'!$K$29*M46-(1-'main page'!$K$29)*controls!$B$9)</f>
        <v>4</v>
      </c>
      <c r="O46" s="74">
        <f t="shared" ca="1" si="0"/>
        <v>6</v>
      </c>
      <c r="P46" s="76">
        <f ca="1">IF(controls!$B$10=1,hystere!N46+hystere!M46,hystere!Q46)</f>
        <v>6</v>
      </c>
      <c r="Q46" s="74">
        <f ca="1">IF('main page'!$Y$53=1,'choose m.p.'!$I$22*100,R46)</f>
        <v>6</v>
      </c>
      <c r="R46" s="100">
        <f ca="1">'main page'!$K$29*M46+(1-'main page'!$K$29)*controls!$B$9+S46+(('main page'!$K$25*'main page'!$U$13*'main page'!$K$29)/('main page'!$K$27*(1+('main page'!$K$25^2)*'main page'!$U$13)))*(M46-(controls!$B$9/100)*100)</f>
        <v>6</v>
      </c>
      <c r="S46" s="98">
        <f ca="1">IF(controls!$B$33=1,(J47-E46*X47-B46)/'main page'!$K$27,(I47-E46*X47-B46)/'main page'!$K$27)</f>
        <v>4</v>
      </c>
      <c r="U46" s="71">
        <f>IF(controls!$B$6=1,$AG$4*(1+('main page'!$K$35/100))^V46-$AG$4*(1+('main page'!$K$35/100))^V45,$AG$4*(1+('main page'!$G$8/100))*(1+('main page'!$K$35/100))^V46-$AG$4*(1+('main page'!$G$8/100))*(1+('main page'!$K$35/100))^V45)</f>
        <v>0</v>
      </c>
      <c r="V46" s="73">
        <v>38</v>
      </c>
      <c r="W46" s="40">
        <f>'normal case'!V45</f>
        <v>0</v>
      </c>
      <c r="X46" s="40">
        <f>'normal case'!W45</f>
        <v>0</v>
      </c>
      <c r="Y46" s="49">
        <f ca="1">IF(controls!$B$33=1,E46-($J$4-'main page'!$K$27*2)*(1+('main page'!$K$35/100))^A45,E46-$AG$5)</f>
        <v>0</v>
      </c>
      <c r="Z46" s="49">
        <f ca="1">ABS(M46-(controls!$B$9/100)*100)</f>
        <v>0</v>
      </c>
      <c r="AI46" s="40"/>
      <c r="AJ46" s="40"/>
    </row>
    <row r="47" spans="1:36">
      <c r="A47" s="48">
        <v>44</v>
      </c>
      <c r="B47" s="75">
        <f ca="1">IF(controls!$B$6=2,AVERAGE(E43:E46)+B46*W47+hystere!$AG$9,AVERAGE(E43:E46)+B46*W47)</f>
        <v>100</v>
      </c>
      <c r="C47" s="80">
        <f t="shared" ca="1" si="1"/>
        <v>0</v>
      </c>
      <c r="D47" s="105">
        <f t="shared" ca="1" si="2"/>
        <v>0</v>
      </c>
      <c r="E47" s="77">
        <f t="shared" ca="1" si="3"/>
        <v>100</v>
      </c>
      <c r="F47" s="77">
        <f ca="1">IF('main page'!$K$34=1,hystere!H47,hystere!G47)</f>
        <v>100</v>
      </c>
      <c r="G47" s="94">
        <f ca="1">I47-'main page'!$K$27*hystere!N46</f>
        <v>100</v>
      </c>
      <c r="H47" s="75">
        <f ca="1">J47-'main page'!$K$27*N46</f>
        <v>100</v>
      </c>
      <c r="I47" s="75">
        <f t="shared" ca="1" si="4"/>
        <v>108</v>
      </c>
      <c r="J47" s="75">
        <f t="shared" ca="1" si="5"/>
        <v>108</v>
      </c>
      <c r="M47" s="75">
        <f ca="1">IF(ABS('main page'!$K$29*M46+(1-'main page'!$K$29)*(controls!$B$9/100)*100+'main page'!$K$25*(E47-B47)-M46)&lt;0.0000001,M46,'main page'!$K$29*M46+(1-'main page'!$K$29)*(controls!$B$9/100)*100+'main page'!$K$25*(E47-B47))</f>
        <v>2</v>
      </c>
      <c r="N47" s="75">
        <f ca="1">IF(controls!$B$10=1,N46,O47-'main page'!$K$29*M47-(1-'main page'!$K$29)*controls!$B$9)</f>
        <v>4</v>
      </c>
      <c r="O47" s="74">
        <f t="shared" ca="1" si="0"/>
        <v>6</v>
      </c>
      <c r="P47" s="76">
        <f ca="1">IF(controls!$B$10=1,hystere!N47+hystere!M47,hystere!Q47)</f>
        <v>6</v>
      </c>
      <c r="Q47" s="74">
        <f ca="1">IF('main page'!$Y$53=1,'choose m.p.'!$I$22*100,R47)</f>
        <v>6</v>
      </c>
      <c r="R47" s="100">
        <f ca="1">'main page'!$K$29*M47+(1-'main page'!$K$29)*controls!$B$9+S47+(('main page'!$K$25*'main page'!$U$13*'main page'!$K$29)/('main page'!$K$27*(1+('main page'!$K$25^2)*'main page'!$U$13)))*(M47-(controls!$B$9/100)*100)</f>
        <v>6</v>
      </c>
      <c r="S47" s="98">
        <f ca="1">IF(controls!$B$33=1,(J48-E47*X48-B47)/'main page'!$K$27,(I48-E47*X48-B47)/'main page'!$K$27)</f>
        <v>4</v>
      </c>
      <c r="U47" s="71">
        <f>IF(controls!$B$6=1,$AG$4*(1+('main page'!$K$35/100))^V47-$AG$4*(1+('main page'!$K$35/100))^V46,$AG$4*(1+('main page'!$G$8/100))*(1+('main page'!$K$35/100))^V47-$AG$4*(1+('main page'!$G$8/100))*(1+('main page'!$K$35/100))^V46)</f>
        <v>0</v>
      </c>
      <c r="V47" s="73">
        <v>39</v>
      </c>
      <c r="W47" s="40">
        <f>'normal case'!V46</f>
        <v>0</v>
      </c>
      <c r="X47" s="40">
        <f>'normal case'!W46</f>
        <v>0</v>
      </c>
      <c r="Y47" s="49">
        <f ca="1">IF(controls!$B$33=1,E47-($J$4-'main page'!$K$27*2)*(1+('main page'!$K$35/100))^A46,E47-$AG$5)</f>
        <v>0</v>
      </c>
      <c r="Z47" s="49">
        <f ca="1">ABS(M47-(controls!$B$9/100)*100)</f>
        <v>0</v>
      </c>
      <c r="AI47" s="40"/>
      <c r="AJ47" s="40"/>
    </row>
    <row r="48" spans="1:36">
      <c r="A48" s="48">
        <v>45</v>
      </c>
      <c r="B48" s="75">
        <f ca="1">IF(controls!$B$6=2,AVERAGE(E44:E47)+B47*W48+hystere!$AG$9,AVERAGE(E44:E47)+B47*W48)</f>
        <v>100</v>
      </c>
      <c r="C48" s="80">
        <f t="shared" ca="1" si="1"/>
        <v>0</v>
      </c>
      <c r="D48" s="105">
        <f t="shared" ca="1" si="2"/>
        <v>0</v>
      </c>
      <c r="E48" s="77">
        <f t="shared" ca="1" si="3"/>
        <v>100</v>
      </c>
      <c r="F48" s="77">
        <f ca="1">IF('main page'!$K$34=1,hystere!H48,hystere!G48)</f>
        <v>100</v>
      </c>
      <c r="G48" s="94">
        <f ca="1">I48-'main page'!$K$27*hystere!N47</f>
        <v>100</v>
      </c>
      <c r="H48" s="75">
        <f ca="1">J48-'main page'!$K$27*N47</f>
        <v>100</v>
      </c>
      <c r="I48" s="75">
        <f t="shared" ca="1" si="4"/>
        <v>108</v>
      </c>
      <c r="J48" s="75">
        <f t="shared" ca="1" si="5"/>
        <v>108</v>
      </c>
      <c r="M48" s="75">
        <f ca="1">IF(ABS('main page'!$K$29*M47+(1-'main page'!$K$29)*(controls!$B$9/100)*100+'main page'!$K$25*(E48-B48)-M47)&lt;0.0000001,M47,'main page'!$K$29*M47+(1-'main page'!$K$29)*(controls!$B$9/100)*100+'main page'!$K$25*(E48-B48))</f>
        <v>2</v>
      </c>
      <c r="N48" s="75">
        <f ca="1">IF(controls!$B$10=1,N47,O48-'main page'!$K$29*M48-(1-'main page'!$K$29)*controls!$B$9)</f>
        <v>4</v>
      </c>
      <c r="O48" s="74">
        <f t="shared" ca="1" si="0"/>
        <v>6</v>
      </c>
      <c r="P48" s="76">
        <f ca="1">IF(controls!$B$10=1,hystere!N48+hystere!M48,hystere!Q48)</f>
        <v>6</v>
      </c>
      <c r="Q48" s="74">
        <f ca="1">IF('main page'!$Y$53=1,'choose m.p.'!$I$22*100,R48)</f>
        <v>6</v>
      </c>
      <c r="R48" s="100">
        <f ca="1">'main page'!$K$29*M48+(1-'main page'!$K$29)*controls!$B$9+S48+(('main page'!$K$25*'main page'!$U$13*'main page'!$K$29)/('main page'!$K$27*(1+('main page'!$K$25^2)*'main page'!$U$13)))*(M48-(controls!$B$9/100)*100)</f>
        <v>6</v>
      </c>
      <c r="S48" s="98">
        <f ca="1">IF(controls!$B$33=1,(J49-E48*X49-B48)/'main page'!$K$27,(I49-E48*X49-B48)/'main page'!$K$27)</f>
        <v>4</v>
      </c>
      <c r="U48" s="71">
        <f>IF(controls!$B$6=1,$AG$4*(1+('main page'!$K$35/100))^V48-$AG$4*(1+('main page'!$K$35/100))^V47,$AG$4*(1+('main page'!$G$8/100))*(1+('main page'!$K$35/100))^V48-$AG$4*(1+('main page'!$G$8/100))*(1+('main page'!$K$35/100))^V47)</f>
        <v>0</v>
      </c>
      <c r="V48" s="73">
        <v>40</v>
      </c>
      <c r="W48" s="40">
        <f ca="1">'normal case'!V47</f>
        <v>0</v>
      </c>
      <c r="X48" s="40">
        <f ca="1">'normal case'!W47</f>
        <v>0</v>
      </c>
      <c r="Y48" s="49">
        <f ca="1">IF(controls!$B$33=1,E48-($J$4-'main page'!$K$27*2)*(1+('main page'!$K$35/100))^A47,E48-$AG$5)</f>
        <v>0</v>
      </c>
      <c r="Z48" s="49">
        <f ca="1">ABS(M48-(controls!$B$9/100)*100)</f>
        <v>0</v>
      </c>
      <c r="AI48" s="40"/>
      <c r="AJ48" s="40"/>
    </row>
    <row r="49" spans="1:36">
      <c r="A49" s="48">
        <v>46</v>
      </c>
      <c r="B49" s="75">
        <f ca="1">IF(controls!$B$6=2,AVERAGE(E45:E48)+B48*W49+hystere!$AG$9,AVERAGE(E45:E48)+B48*W49)</f>
        <v>100</v>
      </c>
      <c r="C49" s="80">
        <f t="shared" ca="1" si="1"/>
        <v>0</v>
      </c>
      <c r="D49" s="105">
        <f t="shared" ca="1" si="2"/>
        <v>0</v>
      </c>
      <c r="E49" s="77">
        <f t="shared" ca="1" si="3"/>
        <v>100</v>
      </c>
      <c r="F49" s="77">
        <f ca="1">IF('main page'!$K$34=1,hystere!H49,hystere!G49)</f>
        <v>100</v>
      </c>
      <c r="G49" s="94">
        <f ca="1">I49-'main page'!$K$27*hystere!N48</f>
        <v>100</v>
      </c>
      <c r="H49" s="75">
        <f ca="1">J49-'main page'!$K$27*N48</f>
        <v>100</v>
      </c>
      <c r="I49" s="75">
        <f t="shared" ca="1" si="4"/>
        <v>108</v>
      </c>
      <c r="J49" s="75">
        <f t="shared" ca="1" si="5"/>
        <v>108</v>
      </c>
      <c r="M49" s="75">
        <f ca="1">IF(ABS('main page'!$K$29*M48+(1-'main page'!$K$29)*(controls!$B$9/100)*100+'main page'!$K$25*(E49-B49)-M48)&lt;0.0000001,M48,'main page'!$K$29*M48+(1-'main page'!$K$29)*(controls!$B$9/100)*100+'main page'!$K$25*(E49-B49))</f>
        <v>2</v>
      </c>
      <c r="N49" s="75">
        <f ca="1">IF(controls!$B$10=1,N48,O49-'main page'!$K$29*M49-(1-'main page'!$K$29)*controls!$B$9)</f>
        <v>4</v>
      </c>
      <c r="O49" s="74">
        <f t="shared" ca="1" si="0"/>
        <v>6</v>
      </c>
      <c r="P49" s="76">
        <f ca="1">IF(controls!$B$10=1,hystere!N49+hystere!M49,hystere!Q49)</f>
        <v>6</v>
      </c>
      <c r="Q49" s="74">
        <f ca="1">IF('main page'!$Y$53=1,'choose m.p.'!$I$22*100,R49)</f>
        <v>6</v>
      </c>
      <c r="R49" s="100">
        <f ca="1">'main page'!$K$29*M49+(1-'main page'!$K$29)*controls!$B$9+S49+(('main page'!$K$25*'main page'!$U$13*'main page'!$K$29)/('main page'!$K$27*(1+('main page'!$K$25^2)*'main page'!$U$13)))*(M49-(controls!$B$9/100)*100)</f>
        <v>6</v>
      </c>
      <c r="S49" s="98">
        <f ca="1">IF(controls!$B$33=1,(J50-E49*X50-B49)/'main page'!$K$27,(I50-E49*X50-B49)/'main page'!$K$27)</f>
        <v>4</v>
      </c>
      <c r="U49" s="71">
        <f>IF(controls!$B$6=1,$AG$4*(1+('main page'!$K$35/100))^V49-$AG$4*(1+('main page'!$K$35/100))^V48,$AG$4*(1+('main page'!$G$8/100))*(1+('main page'!$K$35/100))^V49-$AG$4*(1+('main page'!$G$8/100))*(1+('main page'!$K$35/100))^V48)</f>
        <v>0</v>
      </c>
      <c r="V49" s="73">
        <v>41</v>
      </c>
      <c r="W49" s="40">
        <f>'normal case'!V48</f>
        <v>0</v>
      </c>
      <c r="X49" s="40">
        <f>'normal case'!W48</f>
        <v>0</v>
      </c>
      <c r="Y49" s="49">
        <f ca="1">IF(controls!$B$33=1,E49-($J$4-'main page'!$K$27*2)*(1+('main page'!$K$35/100))^A48,E49-$AG$5)</f>
        <v>0</v>
      </c>
      <c r="Z49" s="49">
        <f ca="1">ABS(M49-(controls!$B$9/100)*100)</f>
        <v>0</v>
      </c>
      <c r="AI49" s="40"/>
      <c r="AJ49" s="40"/>
    </row>
    <row r="50" spans="1:36">
      <c r="A50" s="48">
        <v>47</v>
      </c>
      <c r="B50" s="75">
        <f ca="1">IF(controls!$B$6=2,AVERAGE(E46:E49)+B49*W50+hystere!$AG$9,AVERAGE(E46:E49)+B49*W50)</f>
        <v>100</v>
      </c>
      <c r="C50" s="80">
        <f t="shared" ca="1" si="1"/>
        <v>0</v>
      </c>
      <c r="D50" s="105">
        <f t="shared" ca="1" si="2"/>
        <v>0</v>
      </c>
      <c r="E50" s="77">
        <f t="shared" ca="1" si="3"/>
        <v>100</v>
      </c>
      <c r="F50" s="77">
        <f ca="1">IF('main page'!$K$34=1,hystere!H50,hystere!G50)</f>
        <v>100</v>
      </c>
      <c r="G50" s="94">
        <f ca="1">I50-'main page'!$K$27*hystere!N49</f>
        <v>100</v>
      </c>
      <c r="H50" s="75">
        <f ca="1">J50-'main page'!$K$27*N49</f>
        <v>100</v>
      </c>
      <c r="I50" s="75">
        <f t="shared" ca="1" si="4"/>
        <v>108</v>
      </c>
      <c r="J50" s="75">
        <f t="shared" ca="1" si="5"/>
        <v>108</v>
      </c>
      <c r="M50" s="75">
        <f ca="1">IF(ABS('main page'!$K$29*M49+(1-'main page'!$K$29)*(controls!$B$9/100)*100+'main page'!$K$25*(E50-B50)-M49)&lt;0.0000001,M49,'main page'!$K$29*M49+(1-'main page'!$K$29)*(controls!$B$9/100)*100+'main page'!$K$25*(E50-B50))</f>
        <v>2</v>
      </c>
      <c r="N50" s="75">
        <f ca="1">IF(controls!$B$10=1,N49,O50-'main page'!$K$29*M50-(1-'main page'!$K$29)*controls!$B$9)</f>
        <v>4</v>
      </c>
      <c r="O50" s="74">
        <f t="shared" ca="1" si="0"/>
        <v>6</v>
      </c>
      <c r="P50" s="76">
        <f ca="1">IF(controls!$B$10=1,hystere!N50+hystere!M50,hystere!Q50)</f>
        <v>6</v>
      </c>
      <c r="Q50" s="74">
        <f ca="1">IF('main page'!$Y$53=1,'choose m.p.'!$I$22*100,R50)</f>
        <v>6</v>
      </c>
      <c r="R50" s="100">
        <f ca="1">'main page'!$K$29*M50+(1-'main page'!$K$29)*controls!$B$9+S50+(('main page'!$K$25*'main page'!$U$13*'main page'!$K$29)/('main page'!$K$27*(1+('main page'!$K$25^2)*'main page'!$U$13)))*(M50-(controls!$B$9/100)*100)</f>
        <v>6</v>
      </c>
      <c r="S50" s="98">
        <f ca="1">IF(controls!$B$33=1,(J51-E50*X51-B50)/'main page'!$K$27,(I51-E50*X51-B50)/'main page'!$K$27)</f>
        <v>4</v>
      </c>
      <c r="U50" s="71">
        <f>IF(controls!$B$6=1,$AG$4*(1+('main page'!$K$35/100))^V50-$AG$4*(1+('main page'!$K$35/100))^V49,$AG$4*(1+('main page'!$G$8/100))*(1+('main page'!$K$35/100))^V50-$AG$4*(1+('main page'!$G$8/100))*(1+('main page'!$K$35/100))^V49)</f>
        <v>0</v>
      </c>
      <c r="V50" s="73">
        <v>42</v>
      </c>
      <c r="W50" s="40">
        <f>'normal case'!V49</f>
        <v>0</v>
      </c>
      <c r="X50" s="40">
        <f>'normal case'!W49</f>
        <v>0</v>
      </c>
      <c r="Y50" s="49">
        <f ca="1">IF(controls!$B$33=1,E50-($J$4-'main page'!$K$27*2)*(1+('main page'!$K$35/100))^A49,E50-$AG$5)</f>
        <v>0</v>
      </c>
      <c r="Z50" s="49">
        <f ca="1">ABS(M50-(controls!$B$9/100)*100)</f>
        <v>0</v>
      </c>
      <c r="AI50" s="40"/>
      <c r="AJ50" s="40"/>
    </row>
    <row r="51" spans="1:36">
      <c r="A51" s="48">
        <v>48</v>
      </c>
      <c r="B51" s="75">
        <f ca="1">IF(controls!$B$6=2,AVERAGE(E47:E50)+B50*W51+hystere!$AG$9,AVERAGE(E47:E50)+B50*W51)</f>
        <v>100</v>
      </c>
      <c r="C51" s="80">
        <f t="shared" ca="1" si="1"/>
        <v>0</v>
      </c>
      <c r="D51" s="105">
        <f t="shared" ca="1" si="2"/>
        <v>0</v>
      </c>
      <c r="E51" s="77">
        <f t="shared" ca="1" si="3"/>
        <v>100</v>
      </c>
      <c r="F51" s="77">
        <f ca="1">IF('main page'!$K$34=1,hystere!H51,hystere!G51)</f>
        <v>100</v>
      </c>
      <c r="G51" s="94">
        <f ca="1">I51-'main page'!$K$27*hystere!N50</f>
        <v>100</v>
      </c>
      <c r="H51" s="75">
        <f ca="1">J51-'main page'!$K$27*N50</f>
        <v>100</v>
      </c>
      <c r="I51" s="75">
        <f t="shared" ca="1" si="4"/>
        <v>108</v>
      </c>
      <c r="J51" s="75">
        <f t="shared" ca="1" si="5"/>
        <v>108</v>
      </c>
      <c r="M51" s="75">
        <f ca="1">IF(ABS('main page'!$K$29*M50+(1-'main page'!$K$29)*(controls!$B$9/100)*100+'main page'!$K$25*(E51-B51)-M50)&lt;0.0000001,M50,'main page'!$K$29*M50+(1-'main page'!$K$29)*(controls!$B$9/100)*100+'main page'!$K$25*(E51-B51))</f>
        <v>2</v>
      </c>
      <c r="N51" s="75">
        <f ca="1">IF(controls!$B$10=1,N50,O51-'main page'!$K$29*M51-(1-'main page'!$K$29)*controls!$B$9)</f>
        <v>4</v>
      </c>
      <c r="O51" s="74">
        <f t="shared" ca="1" si="0"/>
        <v>6</v>
      </c>
      <c r="P51" s="76">
        <f ca="1">IF(controls!$B$10=1,hystere!N51+hystere!M51,hystere!Q51)</f>
        <v>6</v>
      </c>
      <c r="Q51" s="74">
        <f ca="1">IF('main page'!$Y$53=1,'choose m.p.'!$I$22*100,R51)</f>
        <v>6</v>
      </c>
      <c r="R51" s="100">
        <f ca="1">'main page'!$K$29*M51+(1-'main page'!$K$29)*controls!$B$9+S51+(('main page'!$K$25*'main page'!$U$13*'main page'!$K$29)/('main page'!$K$27*(1+('main page'!$K$25^2)*'main page'!$U$13)))*(M51-(controls!$B$9/100)*100)</f>
        <v>6</v>
      </c>
      <c r="S51" s="98">
        <f ca="1">IF(controls!$B$33=1,(J52-E51*X52-B51)/'main page'!$K$27,(I52-E51*X52-B51)/'main page'!$K$27)</f>
        <v>4</v>
      </c>
      <c r="U51" s="71">
        <f>IF(controls!$B$6=1,$AG$4*(1+('main page'!$K$35/100))^V51-$AG$4*(1+('main page'!$K$35/100))^V50,$AG$4*(1+('main page'!$G$8/100))*(1+('main page'!$K$35/100))^V51-$AG$4*(1+('main page'!$G$8/100))*(1+('main page'!$K$35/100))^V50)</f>
        <v>0</v>
      </c>
      <c r="V51" s="73">
        <v>43</v>
      </c>
      <c r="W51" s="40">
        <f ca="1">'normal case'!V50</f>
        <v>0</v>
      </c>
      <c r="X51" s="40">
        <f ca="1">'normal case'!W50</f>
        <v>0</v>
      </c>
      <c r="Y51" s="49">
        <f ca="1">IF(controls!$B$33=1,E51-($J$4-'main page'!$K$27*2)*(1+('main page'!$K$35/100))^A50,E51-$AG$5)</f>
        <v>0</v>
      </c>
      <c r="Z51" s="49">
        <f ca="1">ABS(M51-(controls!$B$9/100)*100)</f>
        <v>0</v>
      </c>
      <c r="AI51" s="40"/>
      <c r="AJ51" s="40"/>
    </row>
    <row r="52" spans="1:36">
      <c r="A52" s="48">
        <v>49</v>
      </c>
      <c r="B52" s="75">
        <f ca="1">IF(controls!$B$6=2,AVERAGE(E48:E51)+B51*W52+hystere!$AG$9,AVERAGE(E48:E51)+B51*W52)</f>
        <v>100</v>
      </c>
      <c r="C52" s="80">
        <f t="shared" ca="1" si="1"/>
        <v>0</v>
      </c>
      <c r="D52" s="105">
        <f t="shared" ca="1" si="2"/>
        <v>0</v>
      </c>
      <c r="E52" s="77">
        <f t="shared" ca="1" si="3"/>
        <v>100</v>
      </c>
      <c r="F52" s="77">
        <f ca="1">IF('main page'!$K$34=1,hystere!H52,hystere!G52)</f>
        <v>100</v>
      </c>
      <c r="G52" s="94">
        <f ca="1">I52-'main page'!$K$27*hystere!N51</f>
        <v>100</v>
      </c>
      <c r="H52" s="75">
        <f ca="1">J52-'main page'!$K$27*N51</f>
        <v>100</v>
      </c>
      <c r="I52" s="75">
        <f t="shared" ca="1" si="4"/>
        <v>108</v>
      </c>
      <c r="J52" s="75">
        <f t="shared" ca="1" si="5"/>
        <v>108</v>
      </c>
      <c r="M52" s="75">
        <f ca="1">IF(ABS('main page'!$K$29*M51+(1-'main page'!$K$29)*(controls!$B$9/100)*100+'main page'!$K$25*(E52-B52)-M51)&lt;0.0000001,M51,'main page'!$K$29*M51+(1-'main page'!$K$29)*(controls!$B$9/100)*100+'main page'!$K$25*(E52-B52))</f>
        <v>2</v>
      </c>
      <c r="N52" s="75">
        <f ca="1">IF(controls!$B$10=1,N51,O52-'main page'!$K$29*M52-(1-'main page'!$K$29)*controls!$B$9)</f>
        <v>4</v>
      </c>
      <c r="O52" s="74">
        <f t="shared" ca="1" si="0"/>
        <v>6</v>
      </c>
      <c r="P52" s="76">
        <f ca="1">IF(controls!$B$10=1,hystere!N52+hystere!M52,hystere!Q52)</f>
        <v>6</v>
      </c>
      <c r="Q52" s="74">
        <f ca="1">IF('main page'!$Y$53=1,'choose m.p.'!$I$22*100,R52)</f>
        <v>6</v>
      </c>
      <c r="R52" s="100">
        <f ca="1">'main page'!$K$29*M52+(1-'main page'!$K$29)*controls!$B$9+S52+(('main page'!$K$25*'main page'!$U$13*'main page'!$K$29)/('main page'!$K$27*(1+('main page'!$K$25^2)*'main page'!$U$13)))*(M52-(controls!$B$9/100)*100)</f>
        <v>6</v>
      </c>
      <c r="S52" s="98">
        <f ca="1">IF(controls!$B$33=1,(J53-E52*X53-B52)/'main page'!$K$27,(I53-E52*X53-B52)/'main page'!$K$27)</f>
        <v>4</v>
      </c>
      <c r="U52" s="71">
        <f>IF(controls!$B$6=1,$AG$4*(1+('main page'!$K$35/100))^V52-$AG$4*(1+('main page'!$K$35/100))^V51,$AG$4*(1+('main page'!$G$8/100))*(1+('main page'!$K$35/100))^V52-$AG$4*(1+('main page'!$G$8/100))*(1+('main page'!$K$35/100))^V51)</f>
        <v>0</v>
      </c>
      <c r="V52" s="73">
        <v>44</v>
      </c>
      <c r="W52" s="40">
        <f>'normal case'!V51</f>
        <v>0</v>
      </c>
      <c r="X52" s="40">
        <f>'normal case'!W51</f>
        <v>0</v>
      </c>
      <c r="Y52" s="49">
        <f ca="1">IF(controls!$B$33=1,E52-($J$4-'main page'!$K$27*2)*(1+('main page'!$K$35/100))^A51,E52-$AG$5)</f>
        <v>0</v>
      </c>
      <c r="Z52" s="49">
        <f ca="1">ABS(M52-(controls!$B$9/100)*100)</f>
        <v>0</v>
      </c>
      <c r="AI52" s="40"/>
      <c r="AJ52" s="40"/>
    </row>
    <row r="53" spans="1:36">
      <c r="A53" s="48">
        <v>50</v>
      </c>
      <c r="B53" s="75">
        <f ca="1">IF(controls!$B$6=2,AVERAGE(E49:E52)+B52*W53+hystere!$AG$9,AVERAGE(E49:E52)+B52*W53)</f>
        <v>100</v>
      </c>
      <c r="C53" s="80">
        <f t="shared" ca="1" si="1"/>
        <v>0</v>
      </c>
      <c r="D53" s="105">
        <f t="shared" ca="1" si="2"/>
        <v>0</v>
      </c>
      <c r="E53" s="77">
        <f t="shared" ca="1" si="3"/>
        <v>100</v>
      </c>
      <c r="F53" s="77">
        <f ca="1">IF('main page'!$K$34=1,hystere!H53,hystere!G53)</f>
        <v>100</v>
      </c>
      <c r="G53" s="94">
        <f ca="1">I53-'main page'!$K$27*hystere!N52</f>
        <v>100</v>
      </c>
      <c r="H53" s="75">
        <f ca="1">J53-'main page'!$K$27*N52</f>
        <v>100</v>
      </c>
      <c r="I53" s="75">
        <f t="shared" ca="1" si="4"/>
        <v>108</v>
      </c>
      <c r="J53" s="75">
        <f t="shared" ca="1" si="5"/>
        <v>108</v>
      </c>
      <c r="M53" s="75">
        <f ca="1">IF(ABS('main page'!$K$29*M52+(1-'main page'!$K$29)*(controls!$B$9/100)*100+'main page'!$K$25*(E53-B53)-M52)&lt;0.0000001,M52,'main page'!$K$29*M52+(1-'main page'!$K$29)*(controls!$B$9/100)*100+'main page'!$K$25*(E53-B53))</f>
        <v>2</v>
      </c>
      <c r="N53" s="75">
        <f ca="1">IF(controls!$B$10=1,N52,O53-'main page'!$K$29*M53-(1-'main page'!$K$29)*controls!$B$9)</f>
        <v>4</v>
      </c>
      <c r="O53" s="74">
        <f t="shared" ca="1" si="0"/>
        <v>6</v>
      </c>
      <c r="P53" s="76">
        <f ca="1">IF(controls!$B$10=1,hystere!N53+hystere!M53,hystere!Q53)</f>
        <v>6</v>
      </c>
      <c r="Q53" s="74">
        <f ca="1">IF('main page'!$Y$53=1,'choose m.p.'!$I$22*100,R53)</f>
        <v>6</v>
      </c>
      <c r="R53" s="100">
        <f ca="1">'main page'!$K$29*M53+(1-'main page'!$K$29)*controls!$B$9+S53+(('main page'!$K$25*'main page'!$U$13*'main page'!$K$29)/('main page'!$K$27*(1+('main page'!$K$25^2)*'main page'!$U$13)))*(M53-(controls!$B$9/100)*100)</f>
        <v>6</v>
      </c>
      <c r="S53" s="98">
        <f ca="1">IF(controls!$B$33=1,(J54-E53*X54-B53)/'main page'!$K$27,(I54-E53*X54-B53)/'main page'!$K$27)</f>
        <v>4</v>
      </c>
      <c r="U53" s="71">
        <f>IF(controls!$B$6=1,$AG$4*(1+('main page'!$K$35/100))^V53-$AG$4*(1+('main page'!$K$35/100))^V52,$AG$4*(1+('main page'!$G$8/100))*(1+('main page'!$K$35/100))^V53-$AG$4*(1+('main page'!$G$8/100))*(1+('main page'!$K$35/100))^V52)</f>
        <v>0</v>
      </c>
      <c r="V53" s="73">
        <v>45</v>
      </c>
      <c r="W53" s="40">
        <f>'normal case'!V52</f>
        <v>0</v>
      </c>
      <c r="X53" s="40">
        <f>'normal case'!W52</f>
        <v>0</v>
      </c>
      <c r="Y53" s="49">
        <f ca="1">IF(controls!$B$33=1,E53-($J$4-'main page'!$K$27*2)*(1+('main page'!$K$35/100))^A52,E53-$AG$5)</f>
        <v>0</v>
      </c>
      <c r="Z53" s="49">
        <f ca="1">ABS(M53-(controls!$B$9/100)*100)</f>
        <v>0</v>
      </c>
      <c r="AI53" s="40"/>
      <c r="AJ53" s="40"/>
    </row>
    <row r="54" spans="1:36">
      <c r="A54" s="48">
        <v>51</v>
      </c>
      <c r="B54" s="75">
        <f ca="1">IF(controls!$B$6=2,AVERAGE(E50:E53)+B53*W54+hystere!$AG$9,AVERAGE(E50:E53)+B53*W54)</f>
        <v>100</v>
      </c>
      <c r="C54" s="80">
        <f t="shared" ca="1" si="1"/>
        <v>0</v>
      </c>
      <c r="D54" s="105">
        <f t="shared" ca="1" si="2"/>
        <v>0</v>
      </c>
      <c r="E54" s="77">
        <f t="shared" ca="1" si="3"/>
        <v>100</v>
      </c>
      <c r="F54" s="77">
        <f ca="1">IF('main page'!$K$34=1,hystere!H54,hystere!G54)</f>
        <v>100</v>
      </c>
      <c r="G54" s="94">
        <f ca="1">I54-'main page'!$K$27*hystere!N53</f>
        <v>100</v>
      </c>
      <c r="H54" s="75">
        <f ca="1">J54-'main page'!$K$27*N53</f>
        <v>100</v>
      </c>
      <c r="I54" s="75">
        <f t="shared" ca="1" si="4"/>
        <v>108</v>
      </c>
      <c r="J54" s="75">
        <f t="shared" ca="1" si="5"/>
        <v>108</v>
      </c>
      <c r="M54" s="75">
        <f ca="1">IF(ABS('main page'!$K$29*M53+(1-'main page'!$K$29)*(controls!$B$9/100)*100+'main page'!$K$25*(E54-B54)-M53)&lt;0.0000001,M53,'main page'!$K$29*M53+(1-'main page'!$K$29)*(controls!$B$9/100)*100+'main page'!$K$25*(E54-B54))</f>
        <v>2</v>
      </c>
      <c r="N54" s="75">
        <f ca="1">IF(controls!$B$10=1,N53,O54-'main page'!$K$29*M54-(1-'main page'!$K$29)*controls!$B$9)</f>
        <v>4</v>
      </c>
      <c r="O54" s="74">
        <f t="shared" ca="1" si="0"/>
        <v>6</v>
      </c>
      <c r="P54" s="76">
        <f ca="1">IF(controls!$B$10=1,hystere!N54+hystere!M54,hystere!Q54)</f>
        <v>6</v>
      </c>
      <c r="Q54" s="74">
        <f ca="1">IF('main page'!$Y$53=1,'choose m.p.'!$I$22*100,R54)</f>
        <v>6</v>
      </c>
      <c r="R54" s="100">
        <f ca="1">'main page'!$K$29*M54+(1-'main page'!$K$29)*controls!$B$9+S54+(('main page'!$K$25*'main page'!$U$13*'main page'!$K$29)/('main page'!$K$27*(1+('main page'!$K$25^2)*'main page'!$U$13)))*(M54-(controls!$B$9/100)*100)</f>
        <v>6</v>
      </c>
      <c r="S54" s="98">
        <f ca="1">IF(controls!$B$33=1,(J55-E54*X55-B54)/'main page'!$K$27,(I55-E54*X55-B54)/'main page'!$K$27)</f>
        <v>4</v>
      </c>
      <c r="U54" s="71">
        <f>IF(controls!$B$6=1,$AG$4*(1+('main page'!$K$35/100))^V54-$AG$4*(1+('main page'!$K$35/100))^V53,$AG$4*(1+('main page'!$G$8/100))*(1+('main page'!$K$35/100))^V54-$AG$4*(1+('main page'!$G$8/100))*(1+('main page'!$K$35/100))^V53)</f>
        <v>0</v>
      </c>
      <c r="V54" s="73">
        <v>46</v>
      </c>
      <c r="W54" s="40">
        <f ca="1">'normal case'!V53</f>
        <v>0</v>
      </c>
      <c r="X54" s="40">
        <f ca="1">'normal case'!W53</f>
        <v>0</v>
      </c>
      <c r="Y54" s="49">
        <f ca="1">IF(controls!$B$33=1,E54-($J$4-'main page'!$K$27*2)*(1+('main page'!$K$35/100))^A53,E54-$AG$5)</f>
        <v>0</v>
      </c>
      <c r="Z54" s="49">
        <f ca="1">ABS(M54-(controls!$B$9/100)*100)</f>
        <v>0</v>
      </c>
      <c r="AI54" s="40"/>
      <c r="AJ54" s="40"/>
    </row>
    <row r="55" spans="1:36">
      <c r="A55" s="48">
        <v>52</v>
      </c>
      <c r="B55" s="75">
        <f ca="1">IF(controls!$B$6=2,AVERAGE(E51:E54)+B54*W55+hystere!$AG$9,AVERAGE(E51:E54)+B54*W55)</f>
        <v>100</v>
      </c>
      <c r="C55" s="80">
        <f t="shared" ca="1" si="1"/>
        <v>0</v>
      </c>
      <c r="D55" s="105">
        <f t="shared" ca="1" si="2"/>
        <v>0</v>
      </c>
      <c r="E55" s="77">
        <f t="shared" ca="1" si="3"/>
        <v>100</v>
      </c>
      <c r="F55" s="77">
        <f ca="1">IF('main page'!$K$34=1,hystere!H55,hystere!G55)</f>
        <v>100</v>
      </c>
      <c r="G55" s="94">
        <f ca="1">I55-'main page'!$K$27*hystere!N54</f>
        <v>100</v>
      </c>
      <c r="H55" s="75">
        <f ca="1">J55-'main page'!$K$27*N54</f>
        <v>100</v>
      </c>
      <c r="I55" s="75">
        <f t="shared" ca="1" si="4"/>
        <v>108</v>
      </c>
      <c r="J55" s="75">
        <f t="shared" ca="1" si="5"/>
        <v>108</v>
      </c>
      <c r="M55" s="75">
        <f ca="1">IF(ABS('main page'!$K$29*M54+(1-'main page'!$K$29)*(controls!$B$9/100)*100+'main page'!$K$25*(E55-B55)-M54)&lt;0.0000001,M54,'main page'!$K$29*M54+(1-'main page'!$K$29)*(controls!$B$9/100)*100+'main page'!$K$25*(E55-B55))</f>
        <v>2</v>
      </c>
      <c r="N55" s="75">
        <f ca="1">IF(controls!$B$10=1,N54,O55-'main page'!$K$29*M55-(1-'main page'!$K$29)*controls!$B$9)</f>
        <v>4</v>
      </c>
      <c r="O55" s="74">
        <f t="shared" ca="1" si="0"/>
        <v>6</v>
      </c>
      <c r="P55" s="76">
        <f ca="1">IF(controls!$B$10=1,hystere!N55+hystere!M55,hystere!Q55)</f>
        <v>6</v>
      </c>
      <c r="Q55" s="74">
        <f ca="1">IF('main page'!$Y$53=1,'choose m.p.'!$I$22*100,R55)</f>
        <v>6</v>
      </c>
      <c r="R55" s="100">
        <f ca="1">'main page'!$K$29*M55+(1-'main page'!$K$29)*controls!$B$9+S55+(('main page'!$K$25*'main page'!$U$13*'main page'!$K$29)/('main page'!$K$27*(1+('main page'!$K$25^2)*'main page'!$U$13)))*(M55-(controls!$B$9/100)*100)</f>
        <v>6</v>
      </c>
      <c r="S55" s="98">
        <f ca="1">IF(controls!$B$33=1,(J56-E55*X56-B55)/'main page'!$K$27,(I56-E55*X56-B55)/'main page'!$K$27)</f>
        <v>4</v>
      </c>
      <c r="U55" s="71">
        <f>IF(controls!$B$6=1,$AG$4*(1+('main page'!$K$35/100))^V55-$AG$4*(1+('main page'!$K$35/100))^V54,$AG$4*(1+('main page'!$G$8/100))*(1+('main page'!$K$35/100))^V55-$AG$4*(1+('main page'!$G$8/100))*(1+('main page'!$K$35/100))^V54)</f>
        <v>0</v>
      </c>
      <c r="V55" s="73">
        <v>47</v>
      </c>
      <c r="W55" s="40">
        <f>'normal case'!V54</f>
        <v>0</v>
      </c>
      <c r="X55" s="40">
        <f>'normal case'!W54</f>
        <v>0</v>
      </c>
      <c r="Y55" s="49">
        <f ca="1">IF(controls!$B$33=1,E55-($J$4-'main page'!$K$27*2)*(1+('main page'!$K$35/100))^A54,E55-$AG$5)</f>
        <v>0</v>
      </c>
      <c r="Z55" s="49">
        <f ca="1">ABS(M55-(controls!$B$9/100)*100)</f>
        <v>0</v>
      </c>
      <c r="AI55" s="40"/>
      <c r="AJ55" s="40"/>
    </row>
    <row r="56" spans="1:36">
      <c r="A56" s="48">
        <v>53</v>
      </c>
      <c r="B56" s="75">
        <f ca="1">IF(controls!$B$6=2,AVERAGE(E52:E55)+B55*W56+hystere!$AG$9,AVERAGE(E52:E55)+B55*W56)</f>
        <v>100</v>
      </c>
      <c r="C56" s="80">
        <f t="shared" ca="1" si="1"/>
        <v>0</v>
      </c>
      <c r="D56" s="105">
        <f t="shared" ca="1" si="2"/>
        <v>0</v>
      </c>
      <c r="E56" s="77">
        <f t="shared" ca="1" si="3"/>
        <v>100</v>
      </c>
      <c r="F56" s="77">
        <f ca="1">IF('main page'!$K$34=1,hystere!H56,hystere!G56)</f>
        <v>100</v>
      </c>
      <c r="G56" s="94">
        <f ca="1">I56-'main page'!$K$27*hystere!N55</f>
        <v>100</v>
      </c>
      <c r="H56" s="75">
        <f ca="1">J56-'main page'!$K$27*N55</f>
        <v>100</v>
      </c>
      <c r="I56" s="75">
        <f t="shared" ca="1" si="4"/>
        <v>108</v>
      </c>
      <c r="J56" s="75">
        <f t="shared" ca="1" si="5"/>
        <v>108</v>
      </c>
      <c r="M56" s="75">
        <f ca="1">IF(ABS('main page'!$K$29*M55+(1-'main page'!$K$29)*(controls!$B$9/100)*100+'main page'!$K$25*(E56-B56)-M55)&lt;0.0000001,M55,'main page'!$K$29*M55+(1-'main page'!$K$29)*(controls!$B$9/100)*100+'main page'!$K$25*(E56-B56))</f>
        <v>2</v>
      </c>
      <c r="N56" s="75">
        <f ca="1">IF(controls!$B$10=1,N55,O56-'main page'!$K$29*M56-(1-'main page'!$K$29)*controls!$B$9)</f>
        <v>4</v>
      </c>
      <c r="O56" s="74">
        <f t="shared" ca="1" si="0"/>
        <v>6</v>
      </c>
      <c r="P56" s="76">
        <f ca="1">IF(controls!$B$10=1,hystere!N56+hystere!M56,hystere!Q56)</f>
        <v>6</v>
      </c>
      <c r="Q56" s="74">
        <f ca="1">IF('main page'!$Y$53=1,'choose m.p.'!$I$22*100,R56)</f>
        <v>6</v>
      </c>
      <c r="R56" s="100">
        <f ca="1">'main page'!$K$29*M56+(1-'main page'!$K$29)*controls!$B$9+S56+(('main page'!$K$25*'main page'!$U$13*'main page'!$K$29)/('main page'!$K$27*(1+('main page'!$K$25^2)*'main page'!$U$13)))*(M56-(controls!$B$9/100)*100)</f>
        <v>6</v>
      </c>
      <c r="S56" s="98">
        <f ca="1">IF(controls!$B$33=1,(J57-E56*X57-B56)/'main page'!$K$27,(I57-E56*X57-B56)/'main page'!$K$27)</f>
        <v>4</v>
      </c>
      <c r="U56" s="71">
        <f>IF(controls!$B$6=1,$AG$4*(1+('main page'!$K$35/100))^V56-$AG$4*(1+('main page'!$K$35/100))^V55,$AG$4*(1+('main page'!$G$8/100))*(1+('main page'!$K$35/100))^V56-$AG$4*(1+('main page'!$G$8/100))*(1+('main page'!$K$35/100))^V55)</f>
        <v>0</v>
      </c>
      <c r="V56" s="73">
        <v>48</v>
      </c>
      <c r="W56" s="40">
        <f>'normal case'!V55</f>
        <v>0</v>
      </c>
      <c r="X56" s="40">
        <f>'normal case'!W55</f>
        <v>0</v>
      </c>
      <c r="Y56" s="49">
        <f ca="1">IF(controls!$B$33=1,E56-($J$4-'main page'!$K$27*2)*(1+('main page'!$K$35/100))^A55,E56-$AG$5)</f>
        <v>0</v>
      </c>
      <c r="Z56" s="49">
        <f ca="1">ABS(M56-(controls!$B$9/100)*100)</f>
        <v>0</v>
      </c>
      <c r="AI56" s="40"/>
      <c r="AJ56" s="40"/>
    </row>
    <row r="57" spans="1:36">
      <c r="A57" s="48">
        <v>54</v>
      </c>
      <c r="B57" s="75">
        <f ca="1">IF(controls!$B$6=2,AVERAGE(E53:E56)+B56*W57+hystere!$AG$9,AVERAGE(E53:E56)+B56*W57)</f>
        <v>100</v>
      </c>
      <c r="C57" s="80">
        <f t="shared" ca="1" si="1"/>
        <v>0</v>
      </c>
      <c r="D57" s="105">
        <f t="shared" ca="1" si="2"/>
        <v>0</v>
      </c>
      <c r="E57" s="77">
        <f t="shared" ca="1" si="3"/>
        <v>100</v>
      </c>
      <c r="F57" s="77">
        <f ca="1">IF('main page'!$K$34=1,hystere!H57,hystere!G57)</f>
        <v>100</v>
      </c>
      <c r="G57" s="94">
        <f ca="1">I57-'main page'!$K$27*hystere!N56</f>
        <v>100</v>
      </c>
      <c r="H57" s="75">
        <f ca="1">J57-'main page'!$K$27*N56</f>
        <v>100</v>
      </c>
      <c r="I57" s="75">
        <f t="shared" ca="1" si="4"/>
        <v>108</v>
      </c>
      <c r="J57" s="75">
        <f t="shared" ca="1" si="5"/>
        <v>108</v>
      </c>
      <c r="M57" s="75">
        <f ca="1">IF(ABS('main page'!$K$29*M56+(1-'main page'!$K$29)*(controls!$B$9/100)*100+'main page'!$K$25*(E57-B57)-M56)&lt;0.0000001,M56,'main page'!$K$29*M56+(1-'main page'!$K$29)*(controls!$B$9/100)*100+'main page'!$K$25*(E57-B57))</f>
        <v>2</v>
      </c>
      <c r="N57" s="75">
        <f ca="1">IF(controls!$B$10=1,N56,O57-'main page'!$K$29*M57-(1-'main page'!$K$29)*controls!$B$9)</f>
        <v>4</v>
      </c>
      <c r="O57" s="74">
        <f t="shared" ca="1" si="0"/>
        <v>6</v>
      </c>
      <c r="P57" s="76">
        <f ca="1">IF(controls!$B$10=1,hystere!N57+hystere!M57,hystere!Q57)</f>
        <v>6</v>
      </c>
      <c r="Q57" s="74">
        <f ca="1">IF('main page'!$Y$53=1,'choose m.p.'!$I$22*100,R57)</f>
        <v>6</v>
      </c>
      <c r="R57" s="100">
        <f ca="1">'main page'!$K$29*M57+(1-'main page'!$K$29)*controls!$B$9+S57+(('main page'!$K$25*'main page'!$U$13*'main page'!$K$29)/('main page'!$K$27*(1+('main page'!$K$25^2)*'main page'!$U$13)))*(M57-(controls!$B$9/100)*100)</f>
        <v>6</v>
      </c>
      <c r="S57" s="98">
        <f ca="1">IF(controls!$B$33=1,(J58-E57*X58-B57)/'main page'!$K$27,(I58-E57*X58-B57)/'main page'!$K$27)</f>
        <v>4</v>
      </c>
      <c r="U57" s="71">
        <f>IF(controls!$B$6=1,$AG$4*(1+('main page'!$K$35/100))^V57-$AG$4*(1+('main page'!$K$35/100))^V56,$AG$4*(1+('main page'!$G$8/100))*(1+('main page'!$K$35/100))^V57-$AG$4*(1+('main page'!$G$8/100))*(1+('main page'!$K$35/100))^V56)</f>
        <v>0</v>
      </c>
      <c r="V57" s="73">
        <v>49</v>
      </c>
      <c r="W57" s="40">
        <f ca="1">'normal case'!V56</f>
        <v>0</v>
      </c>
      <c r="X57" s="40">
        <f ca="1">'normal case'!W56</f>
        <v>0</v>
      </c>
      <c r="Y57" s="49">
        <f ca="1">IF(controls!$B$33=1,E57-($J$4-'main page'!$K$27*2)*(1+('main page'!$K$35/100))^A56,E57-$AG$5)</f>
        <v>0</v>
      </c>
      <c r="Z57" s="49">
        <f ca="1">ABS(M57-(controls!$B$9/100)*100)</f>
        <v>0</v>
      </c>
      <c r="AI57" s="40"/>
      <c r="AJ57" s="40"/>
    </row>
    <row r="58" spans="1:36">
      <c r="A58" s="48">
        <v>55</v>
      </c>
      <c r="B58" s="75">
        <f ca="1">IF(controls!$B$6=2,AVERAGE(E54:E57)+B57*W58+hystere!$AG$9,AVERAGE(E54:E57)+B57*W58)</f>
        <v>100</v>
      </c>
      <c r="C58" s="80">
        <f t="shared" ca="1" si="1"/>
        <v>0</v>
      </c>
      <c r="D58" s="105">
        <f t="shared" ca="1" si="2"/>
        <v>0</v>
      </c>
      <c r="E58" s="77">
        <f t="shared" ca="1" si="3"/>
        <v>100</v>
      </c>
      <c r="F58" s="77">
        <f ca="1">IF('main page'!$K$34=1,hystere!H58,hystere!G58)</f>
        <v>100</v>
      </c>
      <c r="G58" s="94">
        <f ca="1">I58-'main page'!$K$27*hystere!N57</f>
        <v>100</v>
      </c>
      <c r="H58" s="75">
        <f ca="1">J58-'main page'!$K$27*N57</f>
        <v>100</v>
      </c>
      <c r="I58" s="75">
        <f t="shared" ca="1" si="4"/>
        <v>108</v>
      </c>
      <c r="J58" s="75">
        <f t="shared" ca="1" si="5"/>
        <v>108</v>
      </c>
      <c r="M58" s="75">
        <f ca="1">IF(ABS('main page'!$K$29*M57+(1-'main page'!$K$29)*(controls!$B$9/100)*100+'main page'!$K$25*(E58-B58)-M57)&lt;0.0000001,M57,'main page'!$K$29*M57+(1-'main page'!$K$29)*(controls!$B$9/100)*100+'main page'!$K$25*(E58-B58))</f>
        <v>2</v>
      </c>
      <c r="N58" s="75">
        <f ca="1">IF(controls!$B$10=1,N57,O58-'main page'!$K$29*M58-(1-'main page'!$K$29)*controls!$B$9)</f>
        <v>4</v>
      </c>
      <c r="O58" s="74">
        <f t="shared" ca="1" si="0"/>
        <v>6</v>
      </c>
      <c r="P58" s="76">
        <f ca="1">IF(controls!$B$10=1,hystere!N58+hystere!M58,hystere!Q58)</f>
        <v>6</v>
      </c>
      <c r="Q58" s="74">
        <f ca="1">IF('main page'!$Y$53=1,'choose m.p.'!$I$22*100,R58)</f>
        <v>6</v>
      </c>
      <c r="R58" s="100">
        <f ca="1">'main page'!$K$29*M58+(1-'main page'!$K$29)*controls!$B$9+S58+(('main page'!$K$25*'main page'!$U$13*'main page'!$K$29)/('main page'!$K$27*(1+('main page'!$K$25^2)*'main page'!$U$13)))*(M58-(controls!$B$9/100)*100)</f>
        <v>6</v>
      </c>
      <c r="S58" s="98">
        <f ca="1">IF(controls!$B$33=1,(J59-E58*X59-B58)/'main page'!$K$27,(I59-E58*X59-B58)/'main page'!$K$27)</f>
        <v>4</v>
      </c>
      <c r="U58" s="71">
        <f>IF(controls!$B$6=1,$AG$4*(1+('main page'!$K$35/100))^V58-$AG$4*(1+('main page'!$K$35/100))^V57,$AG$4*(1+('main page'!$G$8/100))*(1+('main page'!$K$35/100))^V58-$AG$4*(1+('main page'!$G$8/100))*(1+('main page'!$K$35/100))^V57)</f>
        <v>0</v>
      </c>
      <c r="V58" s="73">
        <v>50</v>
      </c>
      <c r="W58" s="40">
        <f>'normal case'!V57</f>
        <v>0</v>
      </c>
      <c r="X58" s="40">
        <f>'normal case'!W57</f>
        <v>0</v>
      </c>
      <c r="Y58" s="49">
        <f ca="1">IF(controls!$B$33=1,E58-($J$4-'main page'!$K$27*2)*(1+('main page'!$K$35/100))^A57,E58-$AG$5)</f>
        <v>0</v>
      </c>
      <c r="Z58" s="49">
        <f ca="1">ABS(M58-(controls!$B$9/100)*100)</f>
        <v>0</v>
      </c>
      <c r="AI58" s="40"/>
      <c r="AJ58" s="40"/>
    </row>
    <row r="59" spans="1:36">
      <c r="A59" s="48">
        <v>56</v>
      </c>
      <c r="B59" s="75">
        <f ca="1">IF(controls!$B$6=2,AVERAGE(E55:E58)+B58*W59+hystere!$AG$9,AVERAGE(E55:E58)+B58*W59)</f>
        <v>100</v>
      </c>
      <c r="C59" s="80">
        <f t="shared" ca="1" si="1"/>
        <v>0</v>
      </c>
      <c r="D59" s="105">
        <f t="shared" ca="1" si="2"/>
        <v>0</v>
      </c>
      <c r="E59" s="77">
        <f t="shared" ca="1" si="3"/>
        <v>100</v>
      </c>
      <c r="F59" s="77">
        <f ca="1">IF('main page'!$K$34=1,hystere!H59,hystere!G59)</f>
        <v>100</v>
      </c>
      <c r="G59" s="94">
        <f ca="1">I59-'main page'!$K$27*hystere!N58</f>
        <v>100</v>
      </c>
      <c r="H59" s="75">
        <f ca="1">J59-'main page'!$K$27*N58</f>
        <v>100</v>
      </c>
      <c r="I59" s="75">
        <f t="shared" ca="1" si="4"/>
        <v>108</v>
      </c>
      <c r="J59" s="75">
        <f t="shared" ca="1" si="5"/>
        <v>108</v>
      </c>
      <c r="M59" s="75">
        <f ca="1">IF(ABS('main page'!$K$29*M58+(1-'main page'!$K$29)*(controls!$B$9/100)*100+'main page'!$K$25*(E59-B59)-M58)&lt;0.0000001,M58,'main page'!$K$29*M58+(1-'main page'!$K$29)*(controls!$B$9/100)*100+'main page'!$K$25*(E59-B59))</f>
        <v>2</v>
      </c>
      <c r="N59" s="75">
        <f ca="1">IF(controls!$B$10=1,N58,O59-'main page'!$K$29*M59-(1-'main page'!$K$29)*controls!$B$9)</f>
        <v>4</v>
      </c>
      <c r="O59" s="74">
        <f t="shared" ca="1" si="0"/>
        <v>6</v>
      </c>
      <c r="P59" s="76">
        <f ca="1">IF(controls!$B$10=1,hystere!N59+hystere!M59,hystere!Q59)</f>
        <v>6</v>
      </c>
      <c r="Q59" s="74">
        <f ca="1">IF('main page'!$Y$53=1,'choose m.p.'!$I$22*100,R59)</f>
        <v>6</v>
      </c>
      <c r="R59" s="100">
        <f ca="1">'main page'!$K$29*M59+(1-'main page'!$K$29)*controls!$B$9+S59+(('main page'!$K$25*'main page'!$U$13*'main page'!$K$29)/('main page'!$K$27*(1+('main page'!$K$25^2)*'main page'!$U$13)))*(M59-(controls!$B$9/100)*100)</f>
        <v>6</v>
      </c>
      <c r="S59" s="98">
        <f ca="1">IF(controls!$B$33=1,(J60-E59*X60-B59)/'main page'!$K$27,(I60-E59*X60-B59)/'main page'!$K$27)</f>
        <v>4</v>
      </c>
      <c r="U59" s="71">
        <f>IF(controls!$B$6=1,$AG$4*(1+('main page'!$K$35/100))^V59-$AG$4*(1+('main page'!$K$35/100))^V58,$AG$4*(1+('main page'!$G$8/100))*(1+('main page'!$K$35/100))^V59-$AG$4*(1+('main page'!$G$8/100))*(1+('main page'!$K$35/100))^V58)</f>
        <v>0</v>
      </c>
      <c r="V59" s="73">
        <v>51</v>
      </c>
      <c r="W59" s="40">
        <f>'normal case'!V58</f>
        <v>0</v>
      </c>
      <c r="X59" s="40">
        <f>'normal case'!W58</f>
        <v>0</v>
      </c>
      <c r="Y59" s="49">
        <f ca="1">IF(controls!$B$33=1,E59-($J$4-'main page'!$K$27*2)*(1+('main page'!$K$35/100))^A58,E59-$AG$5)</f>
        <v>0</v>
      </c>
      <c r="Z59" s="49">
        <f ca="1">ABS(M59-(controls!$B$9/100)*100)</f>
        <v>0</v>
      </c>
      <c r="AI59" s="40"/>
      <c r="AJ59" s="40"/>
    </row>
    <row r="60" spans="1:36">
      <c r="A60" s="48">
        <v>57</v>
      </c>
      <c r="B60" s="75">
        <f ca="1">IF(controls!$B$6=2,AVERAGE(E56:E59)+B59*W60+hystere!$AG$9,AVERAGE(E56:E59)+B59*W60)</f>
        <v>100</v>
      </c>
      <c r="C60" s="80">
        <f t="shared" ca="1" si="1"/>
        <v>0</v>
      </c>
      <c r="D60" s="105">
        <f t="shared" ca="1" si="2"/>
        <v>0</v>
      </c>
      <c r="E60" s="77">
        <f t="shared" ca="1" si="3"/>
        <v>100</v>
      </c>
      <c r="F60" s="77">
        <f ca="1">IF('main page'!$K$34=1,hystere!H60,hystere!G60)</f>
        <v>100</v>
      </c>
      <c r="G60" s="94">
        <f ca="1">I60-'main page'!$K$27*hystere!N59</f>
        <v>100</v>
      </c>
      <c r="H60" s="75">
        <f ca="1">J60-'main page'!$K$27*N59</f>
        <v>100</v>
      </c>
      <c r="I60" s="75">
        <f t="shared" ca="1" si="4"/>
        <v>108</v>
      </c>
      <c r="J60" s="75">
        <f t="shared" ca="1" si="5"/>
        <v>108</v>
      </c>
      <c r="M60" s="75">
        <f ca="1">IF(ABS('main page'!$K$29*M59+(1-'main page'!$K$29)*(controls!$B$9/100)*100+'main page'!$K$25*(E60-B60)-M59)&lt;0.0000001,M59,'main page'!$K$29*M59+(1-'main page'!$K$29)*(controls!$B$9/100)*100+'main page'!$K$25*(E60-B60))</f>
        <v>2</v>
      </c>
      <c r="N60" s="75">
        <f ca="1">IF(controls!$B$10=1,N59,O60-'main page'!$K$29*M60-(1-'main page'!$K$29)*controls!$B$9)</f>
        <v>4</v>
      </c>
      <c r="O60" s="74">
        <f t="shared" ca="1" si="0"/>
        <v>6</v>
      </c>
      <c r="P60" s="76">
        <f ca="1">IF(controls!$B$10=1,hystere!N60+hystere!M60,hystere!Q60)</f>
        <v>6</v>
      </c>
      <c r="Q60" s="74">
        <f ca="1">IF('main page'!$Y$53=1,'choose m.p.'!$I$22*100,R60)</f>
        <v>6</v>
      </c>
      <c r="R60" s="100">
        <f ca="1">'main page'!$K$29*M60+(1-'main page'!$K$29)*controls!$B$9+S60+(('main page'!$K$25*'main page'!$U$13*'main page'!$K$29)/('main page'!$K$27*(1+('main page'!$K$25^2)*'main page'!$U$13)))*(M60-(controls!$B$9/100)*100)</f>
        <v>6</v>
      </c>
      <c r="S60" s="98">
        <f ca="1">IF(controls!$B$33=1,(J61-E60*X61-B60)/'main page'!$K$27,(I61-E60*X61-B60)/'main page'!$K$27)</f>
        <v>4</v>
      </c>
      <c r="U60" s="71">
        <f>IF(controls!$B$6=1,$AG$4*(1+('main page'!$K$35/100))^V60-$AG$4*(1+('main page'!$K$35/100))^V59,$AG$4*(1+('main page'!$G$8/100))*(1+('main page'!$K$35/100))^V60-$AG$4*(1+('main page'!$G$8/100))*(1+('main page'!$K$35/100))^V59)</f>
        <v>0</v>
      </c>
      <c r="V60" s="73">
        <v>52</v>
      </c>
      <c r="W60" s="40">
        <f ca="1">'normal case'!V59</f>
        <v>0</v>
      </c>
      <c r="X60" s="40">
        <f ca="1">'normal case'!W59</f>
        <v>0</v>
      </c>
      <c r="Y60" s="49">
        <f ca="1">IF(controls!$B$33=1,E60-($J$4-'main page'!$K$27*2)*(1+('main page'!$K$35/100))^A59,E60-$AG$5)</f>
        <v>0</v>
      </c>
      <c r="Z60" s="49">
        <f ca="1">ABS(M60-(controls!$B$9/100)*100)</f>
        <v>0</v>
      </c>
      <c r="AI60" s="40"/>
      <c r="AJ60" s="40"/>
    </row>
    <row r="61" spans="1:36">
      <c r="A61" s="48">
        <v>58</v>
      </c>
      <c r="B61" s="75">
        <f ca="1">IF(controls!$B$6=2,AVERAGE(E57:E60)+B60*W61+hystere!$AG$9,AVERAGE(E57:E60)+B60*W61)</f>
        <v>100</v>
      </c>
      <c r="C61" s="80">
        <f t="shared" ca="1" si="1"/>
        <v>0</v>
      </c>
      <c r="D61" s="105">
        <f t="shared" ca="1" si="2"/>
        <v>0</v>
      </c>
      <c r="E61" s="77">
        <f t="shared" ca="1" si="3"/>
        <v>100</v>
      </c>
      <c r="F61" s="77">
        <f ca="1">IF('main page'!$K$34=1,hystere!H61,hystere!G61)</f>
        <v>100</v>
      </c>
      <c r="G61" s="94">
        <f ca="1">I61-'main page'!$K$27*hystere!N60</f>
        <v>100</v>
      </c>
      <c r="H61" s="75">
        <f ca="1">J61-'main page'!$K$27*N60</f>
        <v>100</v>
      </c>
      <c r="I61" s="75">
        <f t="shared" ca="1" si="4"/>
        <v>108</v>
      </c>
      <c r="J61" s="75">
        <f t="shared" ca="1" si="5"/>
        <v>108</v>
      </c>
      <c r="M61" s="75">
        <f ca="1">IF(ABS('main page'!$K$29*M60+(1-'main page'!$K$29)*(controls!$B$9/100)*100+'main page'!$K$25*(E61-B61)-M60)&lt;0.0000001,M60,'main page'!$K$29*M60+(1-'main page'!$K$29)*(controls!$B$9/100)*100+'main page'!$K$25*(E61-B61))</f>
        <v>2</v>
      </c>
      <c r="N61" s="75">
        <f ca="1">IF(controls!$B$10=1,N60,O61-'main page'!$K$29*M61-(1-'main page'!$K$29)*controls!$B$9)</f>
        <v>4</v>
      </c>
      <c r="O61" s="74">
        <f t="shared" ca="1" si="0"/>
        <v>6</v>
      </c>
      <c r="P61" s="76">
        <f ca="1">IF(controls!$B$10=1,hystere!N61+hystere!M61,hystere!Q61)</f>
        <v>6</v>
      </c>
      <c r="Q61" s="74">
        <f ca="1">IF('main page'!$Y$53=1,'choose m.p.'!$I$22*100,R61)</f>
        <v>6</v>
      </c>
      <c r="R61" s="100">
        <f ca="1">'main page'!$K$29*M61+(1-'main page'!$K$29)*controls!$B$9+S61+(('main page'!$K$25*'main page'!$U$13*'main page'!$K$29)/('main page'!$K$27*(1+('main page'!$K$25^2)*'main page'!$U$13)))*(M61-(controls!$B$9/100)*100)</f>
        <v>6</v>
      </c>
      <c r="S61" s="98">
        <f ca="1">IF(controls!$B$33=1,(J62-E61*X62-B61)/'main page'!$K$27,(I62-E61*X62-B61)/'main page'!$K$27)</f>
        <v>4</v>
      </c>
      <c r="U61" s="71">
        <f>IF(controls!$B$6=1,$AG$4*(1+('main page'!$K$35/100))^V61-$AG$4*(1+('main page'!$K$35/100))^V60,$AG$4*(1+('main page'!$G$8/100))*(1+('main page'!$K$35/100))^V61-$AG$4*(1+('main page'!$G$8/100))*(1+('main page'!$K$35/100))^V60)</f>
        <v>0</v>
      </c>
      <c r="V61" s="73">
        <v>53</v>
      </c>
      <c r="W61" s="40">
        <f>'normal case'!V60</f>
        <v>0</v>
      </c>
      <c r="X61" s="40">
        <f>'normal case'!W60</f>
        <v>0</v>
      </c>
      <c r="Y61" s="49">
        <f ca="1">IF(controls!$B$33=1,E61-($J$4-'main page'!$K$27*2)*(1+('main page'!$K$35/100))^A60,E61-$AG$5)</f>
        <v>0</v>
      </c>
      <c r="Z61" s="49">
        <f ca="1">ABS(M61-(controls!$B$9/100)*100)</f>
        <v>0</v>
      </c>
      <c r="AI61" s="40"/>
      <c r="AJ61" s="40"/>
    </row>
    <row r="62" spans="1:36">
      <c r="A62" s="48">
        <v>59</v>
      </c>
      <c r="B62" s="75">
        <f ca="1">IF(controls!$B$6=2,AVERAGE(E58:E61)+B61*W62+hystere!$AG$9,AVERAGE(E58:E61)+B61*W62)</f>
        <v>100</v>
      </c>
      <c r="C62" s="80">
        <f t="shared" ca="1" si="1"/>
        <v>0</v>
      </c>
      <c r="D62" s="105">
        <f t="shared" ca="1" si="2"/>
        <v>0</v>
      </c>
      <c r="E62" s="77">
        <f t="shared" ca="1" si="3"/>
        <v>100</v>
      </c>
      <c r="F62" s="77">
        <f ca="1">IF('main page'!$K$34=1,hystere!H62,hystere!G62)</f>
        <v>100</v>
      </c>
      <c r="G62" s="94">
        <f ca="1">I62-'main page'!$K$27*hystere!N61</f>
        <v>100</v>
      </c>
      <c r="H62" s="75">
        <f ca="1">J62-'main page'!$K$27*N61</f>
        <v>100</v>
      </c>
      <c r="I62" s="75">
        <f t="shared" ca="1" si="4"/>
        <v>108</v>
      </c>
      <c r="J62" s="75">
        <f t="shared" ca="1" si="5"/>
        <v>108</v>
      </c>
      <c r="M62" s="75">
        <f ca="1">IF(ABS('main page'!$K$29*M61+(1-'main page'!$K$29)*(controls!$B$9/100)*100+'main page'!$K$25*(E62-B62)-M61)&lt;0.0000001,M61,'main page'!$K$29*M61+(1-'main page'!$K$29)*(controls!$B$9/100)*100+'main page'!$K$25*(E62-B62))</f>
        <v>2</v>
      </c>
      <c r="N62" s="75">
        <f ca="1">IF(controls!$B$10=1,N61,O62-'main page'!$K$29*M62-(1-'main page'!$K$29)*controls!$B$9)</f>
        <v>4</v>
      </c>
      <c r="O62" s="74">
        <f t="shared" ca="1" si="0"/>
        <v>6</v>
      </c>
      <c r="P62" s="76">
        <f ca="1">IF(controls!$B$10=1,hystere!N62+hystere!M62,hystere!Q62)</f>
        <v>6</v>
      </c>
      <c r="Q62" s="74">
        <f ca="1">IF('main page'!$Y$53=1,'choose m.p.'!$I$22*100,R62)</f>
        <v>6</v>
      </c>
      <c r="R62" s="100">
        <f ca="1">'main page'!$K$29*M62+(1-'main page'!$K$29)*controls!$B$9+S62+(('main page'!$K$25*'main page'!$U$13*'main page'!$K$29)/('main page'!$K$27*(1+('main page'!$K$25^2)*'main page'!$U$13)))*(M62-(controls!$B$9/100)*100)</f>
        <v>6</v>
      </c>
      <c r="S62" s="98">
        <f ca="1">IF(controls!$B$33=1,(J63-E62*X63-B62)/'main page'!$K$27,(I63-E62*X63-B62)/'main page'!$K$27)</f>
        <v>4</v>
      </c>
      <c r="U62" s="71">
        <f>IF(controls!$B$6=1,$AG$4*(1+('main page'!$K$35/100))^V62-$AG$4*(1+('main page'!$K$35/100))^V61,$AG$4*(1+('main page'!$G$8/100))*(1+('main page'!$K$35/100))^V62-$AG$4*(1+('main page'!$G$8/100))*(1+('main page'!$K$35/100))^V61)</f>
        <v>0</v>
      </c>
      <c r="V62" s="73">
        <v>54</v>
      </c>
      <c r="W62" s="40">
        <f>'normal case'!V61</f>
        <v>0</v>
      </c>
      <c r="X62" s="40">
        <f>'normal case'!W61</f>
        <v>0</v>
      </c>
      <c r="Y62" s="49">
        <f ca="1">IF(controls!$B$33=1,E62-($J$4-'main page'!$K$27*2)*(1+('main page'!$K$35/100))^A61,E62-$AG$5)</f>
        <v>0</v>
      </c>
      <c r="Z62" s="49">
        <f ca="1">ABS(M62-(controls!$B$9/100)*100)</f>
        <v>0</v>
      </c>
      <c r="AI62" s="40"/>
      <c r="AJ62" s="40"/>
    </row>
    <row r="63" spans="1:36">
      <c r="A63" s="48">
        <v>60</v>
      </c>
      <c r="B63" s="75">
        <f ca="1">IF(controls!$B$6=2,AVERAGE(E59:E62)+B62*W63+hystere!$AG$9,AVERAGE(E59:E62)+B62*W63)</f>
        <v>100</v>
      </c>
      <c r="C63" s="80">
        <f t="shared" ca="1" si="1"/>
        <v>0</v>
      </c>
      <c r="D63" s="105">
        <f t="shared" ca="1" si="2"/>
        <v>0</v>
      </c>
      <c r="E63" s="77">
        <f t="shared" ca="1" si="3"/>
        <v>100</v>
      </c>
      <c r="F63" s="77">
        <f ca="1">IF('main page'!$K$34=1,hystere!H63,hystere!G63)</f>
        <v>100</v>
      </c>
      <c r="G63" s="94">
        <f ca="1">I63-'main page'!$K$27*hystere!N62</f>
        <v>100</v>
      </c>
      <c r="H63" s="75">
        <f ca="1">J63-'main page'!$K$27*N62</f>
        <v>100</v>
      </c>
      <c r="I63" s="75">
        <f t="shared" ca="1" si="4"/>
        <v>108</v>
      </c>
      <c r="J63" s="75">
        <f t="shared" ca="1" si="5"/>
        <v>108</v>
      </c>
      <c r="M63" s="75">
        <f ca="1">IF(ABS('main page'!$K$29*M62+(1-'main page'!$K$29)*(controls!$B$9/100)*100+'main page'!$K$25*(E63-B63)-M62)&lt;0.0000001,M62,'main page'!$K$29*M62+(1-'main page'!$K$29)*(controls!$B$9/100)*100+'main page'!$K$25*(E63-B63))</f>
        <v>2</v>
      </c>
      <c r="N63" s="75">
        <f ca="1">IF(controls!$B$10=1,N62,O63-'main page'!$K$29*M63-(1-'main page'!$K$29)*controls!$B$9)</f>
        <v>4</v>
      </c>
      <c r="O63" s="74">
        <f t="shared" ca="1" si="0"/>
        <v>6</v>
      </c>
      <c r="P63" s="76">
        <f ca="1">IF(controls!$B$10=1,hystere!N63+hystere!M63,hystere!Q63)</f>
        <v>6</v>
      </c>
      <c r="Q63" s="74">
        <f ca="1">IF('main page'!$Y$53=1,'choose m.p.'!$I$22*100,R63)</f>
        <v>6</v>
      </c>
      <c r="R63" s="100">
        <f ca="1">'main page'!$K$29*M63+(1-'main page'!$K$29)*controls!$B$9+S63+(('main page'!$K$25*'main page'!$U$13*'main page'!$K$29)/('main page'!$K$27*(1+('main page'!$K$25^2)*'main page'!$U$13)))*(M63-(controls!$B$9/100)*100)</f>
        <v>6</v>
      </c>
      <c r="S63" s="98">
        <f ca="1">IF(controls!$B$33=1,(J64-E63*X64-B63)/'main page'!$K$27,(I64-E63*X64-B63)/'main page'!$K$27)</f>
        <v>4</v>
      </c>
      <c r="U63" s="71">
        <f>IF(controls!$B$6=1,$AG$4*(1+('main page'!$K$35/100))^V63-$AG$4*(1+('main page'!$K$35/100))^V62,$AG$4*(1+('main page'!$G$8/100))*(1+('main page'!$K$35/100))^V63-$AG$4*(1+('main page'!$G$8/100))*(1+('main page'!$K$35/100))^V62)</f>
        <v>0</v>
      </c>
      <c r="V63" s="73">
        <v>55</v>
      </c>
      <c r="W63" s="40">
        <f ca="1">'normal case'!V62</f>
        <v>0</v>
      </c>
      <c r="X63" s="40">
        <f ca="1">'normal case'!W62</f>
        <v>0</v>
      </c>
      <c r="Y63" s="49">
        <f ca="1">IF(controls!$B$33=1,E63-($J$4-'main page'!$K$27*2)*(1+('main page'!$K$35/100))^A62,E63-$AG$5)</f>
        <v>0</v>
      </c>
      <c r="Z63" s="49">
        <f ca="1">ABS(M63-(controls!$B$9/100)*100)</f>
        <v>0</v>
      </c>
      <c r="AI63" s="40"/>
      <c r="AJ63" s="40"/>
    </row>
    <row r="64" spans="1:36">
      <c r="A64" s="48">
        <v>61</v>
      </c>
      <c r="B64" s="75">
        <f ca="1">IF(controls!$B$6=2,AVERAGE(E60:E63)+B63*W64+hystere!$AG$9,AVERAGE(E60:E63)+B63*W64)</f>
        <v>100</v>
      </c>
      <c r="C64" s="80">
        <f t="shared" ca="1" si="1"/>
        <v>0</v>
      </c>
      <c r="D64" s="105">
        <f t="shared" ca="1" si="2"/>
        <v>0</v>
      </c>
      <c r="E64" s="77">
        <f t="shared" ca="1" si="3"/>
        <v>100</v>
      </c>
      <c r="F64" s="77">
        <f ca="1">IF('main page'!$K$34=1,hystere!H64,hystere!G64)</f>
        <v>100</v>
      </c>
      <c r="G64" s="94">
        <f ca="1">I64-'main page'!$K$27*hystere!N63</f>
        <v>100</v>
      </c>
      <c r="H64" s="75">
        <f ca="1">J64-'main page'!$K$27*N63</f>
        <v>100</v>
      </c>
      <c r="I64" s="75">
        <f t="shared" ca="1" si="4"/>
        <v>108</v>
      </c>
      <c r="J64" s="75">
        <f t="shared" ca="1" si="5"/>
        <v>108</v>
      </c>
      <c r="M64" s="75">
        <f ca="1">IF(ABS('main page'!$K$29*M63+(1-'main page'!$K$29)*(controls!$B$9/100)*100+'main page'!$K$25*(E64-B64)-M63)&lt;0.0000001,M63,'main page'!$K$29*M63+(1-'main page'!$K$29)*(controls!$B$9/100)*100+'main page'!$K$25*(E64-B64))</f>
        <v>2</v>
      </c>
      <c r="N64" s="75">
        <f ca="1">IF(controls!$B$10=1,N63,O64-'main page'!$K$29*M64-(1-'main page'!$K$29)*controls!$B$9)</f>
        <v>4</v>
      </c>
      <c r="O64" s="74">
        <f t="shared" ca="1" si="0"/>
        <v>6</v>
      </c>
      <c r="P64" s="76">
        <f ca="1">IF(controls!$B$10=1,hystere!N64+hystere!M64,hystere!Q64)</f>
        <v>6</v>
      </c>
      <c r="Q64" s="74">
        <f ca="1">IF('main page'!$Y$53=1,'choose m.p.'!$I$22*100,R64)</f>
        <v>6</v>
      </c>
      <c r="R64" s="100">
        <f ca="1">'main page'!$K$29*M64+(1-'main page'!$K$29)*controls!$B$9+S64+(('main page'!$K$25*'main page'!$U$13*'main page'!$K$29)/('main page'!$K$27*(1+('main page'!$K$25^2)*'main page'!$U$13)))*(M64-(controls!$B$9/100)*100)</f>
        <v>6</v>
      </c>
      <c r="S64" s="98">
        <f ca="1">IF(controls!$B$33=1,(J65-E64*X65-B64)/'main page'!$K$27,(I65-E64*X65-B64)/'main page'!$K$27)</f>
        <v>4</v>
      </c>
      <c r="U64" s="71">
        <f>IF(controls!$B$6=1,$AG$4*(1+('main page'!$K$35/100))^V64-$AG$4*(1+('main page'!$K$35/100))^V63,$AG$4*(1+('main page'!$G$8/100))*(1+('main page'!$K$35/100))^V64-$AG$4*(1+('main page'!$G$8/100))*(1+('main page'!$K$35/100))^V63)</f>
        <v>0</v>
      </c>
      <c r="V64" s="73">
        <v>56</v>
      </c>
      <c r="W64" s="40">
        <f>'normal case'!V63</f>
        <v>0</v>
      </c>
      <c r="X64" s="40">
        <f>'normal case'!W63</f>
        <v>0</v>
      </c>
      <c r="Y64" s="49">
        <f ca="1">IF(controls!$B$33=1,E64-($J$4-'main page'!$K$27*2)*(1+('main page'!$K$35/100))^A63,E64-$AG$5)</f>
        <v>0</v>
      </c>
      <c r="Z64" s="49">
        <f ca="1">ABS(M64-(controls!$B$9/100)*100)</f>
        <v>0</v>
      </c>
      <c r="AI64" s="40"/>
      <c r="AJ64" s="40"/>
    </row>
    <row r="65" spans="1:36">
      <c r="A65" s="48">
        <v>62</v>
      </c>
      <c r="B65" s="75">
        <f ca="1">IF(controls!$B$6=2,AVERAGE(E61:E64)+B64*W65+hystere!$AG$9,AVERAGE(E61:E64)+B64*W65)</f>
        <v>100</v>
      </c>
      <c r="C65" s="80">
        <f t="shared" ca="1" si="1"/>
        <v>0</v>
      </c>
      <c r="D65" s="105">
        <f t="shared" ca="1" si="2"/>
        <v>0</v>
      </c>
      <c r="E65" s="77">
        <f t="shared" ca="1" si="3"/>
        <v>100</v>
      </c>
      <c r="F65" s="77">
        <f ca="1">IF('main page'!$K$34=1,hystere!H65,hystere!G65)</f>
        <v>100</v>
      </c>
      <c r="G65" s="94">
        <f ca="1">I65-'main page'!$K$27*hystere!N64</f>
        <v>100</v>
      </c>
      <c r="H65" s="75">
        <f ca="1">J65-'main page'!$K$27*N64</f>
        <v>100</v>
      </c>
      <c r="I65" s="75">
        <f t="shared" ca="1" si="4"/>
        <v>108</v>
      </c>
      <c r="J65" s="75">
        <f t="shared" ca="1" si="5"/>
        <v>108</v>
      </c>
      <c r="M65" s="75">
        <f ca="1">IF(ABS('main page'!$K$29*M64+(1-'main page'!$K$29)*(controls!$B$9/100)*100+'main page'!$K$25*(E65-B65)-M64)&lt;0.0000001,M64,'main page'!$K$29*M64+(1-'main page'!$K$29)*(controls!$B$9/100)*100+'main page'!$K$25*(E65-B65))</f>
        <v>2</v>
      </c>
      <c r="N65" s="75">
        <f ca="1">IF(controls!$B$10=1,N64,O65-'main page'!$K$29*M65-(1-'main page'!$K$29)*controls!$B$9)</f>
        <v>4</v>
      </c>
      <c r="O65" s="74">
        <f t="shared" ca="1" si="0"/>
        <v>6</v>
      </c>
      <c r="P65" s="76">
        <f ca="1">IF(controls!$B$10=1,hystere!N65+hystere!M65,hystere!Q65)</f>
        <v>6</v>
      </c>
      <c r="Q65" s="74">
        <f ca="1">IF('main page'!$Y$53=1,'choose m.p.'!$I$22*100,R65)</f>
        <v>6</v>
      </c>
      <c r="R65" s="100">
        <f ca="1">'main page'!$K$29*M65+(1-'main page'!$K$29)*controls!$B$9+S65+(('main page'!$K$25*'main page'!$U$13*'main page'!$K$29)/('main page'!$K$27*(1+('main page'!$K$25^2)*'main page'!$U$13)))*(M65-(controls!$B$9/100)*100)</f>
        <v>6</v>
      </c>
      <c r="S65" s="98">
        <f ca="1">IF(controls!$B$33=1,(J66-E65*X66-B65)/'main page'!$K$27,(I66-E65*X66-B65)/'main page'!$K$27)</f>
        <v>4</v>
      </c>
      <c r="U65" s="71">
        <f>IF(controls!$B$6=1,$AG$4*(1+('main page'!$K$35/100))^V65-$AG$4*(1+('main page'!$K$35/100))^V64,$AG$4*(1+('main page'!$G$8/100))*(1+('main page'!$K$35/100))^V65-$AG$4*(1+('main page'!$G$8/100))*(1+('main page'!$K$35/100))^V64)</f>
        <v>0</v>
      </c>
      <c r="V65" s="73">
        <v>57</v>
      </c>
      <c r="W65" s="40">
        <f>'normal case'!V64</f>
        <v>0</v>
      </c>
      <c r="X65" s="40">
        <f>'normal case'!W64</f>
        <v>0</v>
      </c>
      <c r="Y65" s="49">
        <f ca="1">IF(controls!$B$33=1,E65-($J$4-'main page'!$K$27*2)*(1+('main page'!$K$35/100))^A64,E65-$AG$5)</f>
        <v>0</v>
      </c>
      <c r="Z65" s="49">
        <f ca="1">ABS(M65-(controls!$B$9/100)*100)</f>
        <v>0</v>
      </c>
      <c r="AI65" s="40"/>
      <c r="AJ65" s="40"/>
    </row>
    <row r="66" spans="1:36">
      <c r="A66" s="48">
        <v>63</v>
      </c>
      <c r="B66" s="75">
        <f ca="1">IF(controls!$B$6=2,AVERAGE(E62:E65)+B65*W66+hystere!$AG$9,AVERAGE(E62:E65)+B65*W66)</f>
        <v>100</v>
      </c>
      <c r="C66" s="80">
        <f t="shared" ca="1" si="1"/>
        <v>0</v>
      </c>
      <c r="D66" s="105">
        <f t="shared" ca="1" si="2"/>
        <v>0</v>
      </c>
      <c r="E66" s="77">
        <f t="shared" ca="1" si="3"/>
        <v>100</v>
      </c>
      <c r="F66" s="77">
        <f ca="1">IF('main page'!$K$34=1,hystere!H66,hystere!G66)</f>
        <v>100</v>
      </c>
      <c r="G66" s="94">
        <f ca="1">I66-'main page'!$K$27*hystere!N65</f>
        <v>100</v>
      </c>
      <c r="H66" s="75">
        <f ca="1">J66-'main page'!$K$27*N65</f>
        <v>100</v>
      </c>
      <c r="I66" s="75">
        <f t="shared" ca="1" si="4"/>
        <v>108</v>
      </c>
      <c r="J66" s="75">
        <f t="shared" ca="1" si="5"/>
        <v>108</v>
      </c>
      <c r="M66" s="75">
        <f ca="1">IF(ABS('main page'!$K$29*M65+(1-'main page'!$K$29)*(controls!$B$9/100)*100+'main page'!$K$25*(E66-B66)-M65)&lt;0.0000001,M65,'main page'!$K$29*M65+(1-'main page'!$K$29)*(controls!$B$9/100)*100+'main page'!$K$25*(E66-B66))</f>
        <v>2</v>
      </c>
      <c r="N66" s="75">
        <f ca="1">IF(controls!$B$10=1,N65,O66-'main page'!$K$29*M66-(1-'main page'!$K$29)*controls!$B$9)</f>
        <v>4</v>
      </c>
      <c r="O66" s="74">
        <f t="shared" ca="1" si="0"/>
        <v>6</v>
      </c>
      <c r="P66" s="76">
        <f ca="1">IF(controls!$B$10=1,hystere!N66+hystere!M66,hystere!Q66)</f>
        <v>6</v>
      </c>
      <c r="Q66" s="74">
        <f ca="1">IF('main page'!$Y$53=1,'choose m.p.'!$I$22*100,R66)</f>
        <v>6</v>
      </c>
      <c r="R66" s="100">
        <f ca="1">'main page'!$K$29*M66+(1-'main page'!$K$29)*controls!$B$9+S66+(('main page'!$K$25*'main page'!$U$13*'main page'!$K$29)/('main page'!$K$27*(1+('main page'!$K$25^2)*'main page'!$U$13)))*(M66-(controls!$B$9/100)*100)</f>
        <v>6</v>
      </c>
      <c r="S66" s="98">
        <f ca="1">IF(controls!$B$33=1,(J67-E66*X67-B66)/'main page'!$K$27,(I67-E66*X67-B66)/'main page'!$K$27)</f>
        <v>4</v>
      </c>
      <c r="U66" s="71">
        <f>IF(controls!$B$6=1,$AG$4*(1+('main page'!$K$35/100))^V66-$AG$4*(1+('main page'!$K$35/100))^V65,$AG$4*(1+('main page'!$G$8/100))*(1+('main page'!$K$35/100))^V66-$AG$4*(1+('main page'!$G$8/100))*(1+('main page'!$K$35/100))^V65)</f>
        <v>0</v>
      </c>
      <c r="V66" s="73">
        <v>58</v>
      </c>
      <c r="W66" s="40">
        <f ca="1">'normal case'!V65</f>
        <v>0</v>
      </c>
      <c r="X66" s="40">
        <f ca="1">'normal case'!W65</f>
        <v>0</v>
      </c>
      <c r="Y66" s="49">
        <f ca="1">IF(controls!$B$33=1,E66-($J$4-'main page'!$K$27*2)*(1+('main page'!$K$35/100))^A65,E66-$AG$5)</f>
        <v>0</v>
      </c>
      <c r="Z66" s="49">
        <f ca="1">ABS(M66-(controls!$B$9/100)*100)</f>
        <v>0</v>
      </c>
      <c r="AI66" s="40"/>
      <c r="AJ66" s="40"/>
    </row>
    <row r="67" spans="1:36">
      <c r="A67" s="48">
        <v>64</v>
      </c>
      <c r="B67" s="75">
        <f ca="1">IF(controls!$B$6=2,AVERAGE(E63:E66)+B66*W67+hystere!$AG$9,AVERAGE(E63:E66)+B66*W67)</f>
        <v>100</v>
      </c>
      <c r="C67" s="80">
        <f t="shared" ca="1" si="1"/>
        <v>0</v>
      </c>
      <c r="D67" s="105">
        <f t="shared" ca="1" si="2"/>
        <v>0</v>
      </c>
      <c r="E67" s="77">
        <f t="shared" ca="1" si="3"/>
        <v>100</v>
      </c>
      <c r="F67" s="77">
        <f ca="1">IF('main page'!$K$34=1,hystere!H67,hystere!G67)</f>
        <v>100</v>
      </c>
      <c r="G67" s="94">
        <f ca="1">I67-'main page'!$K$27*hystere!N66</f>
        <v>100</v>
      </c>
      <c r="H67" s="75">
        <f ca="1">J67-'main page'!$K$27*N66</f>
        <v>100</v>
      </c>
      <c r="I67" s="75">
        <f t="shared" ca="1" si="4"/>
        <v>108</v>
      </c>
      <c r="J67" s="75">
        <f t="shared" ca="1" si="5"/>
        <v>108</v>
      </c>
      <c r="M67" s="75">
        <f ca="1">IF(ABS('main page'!$K$29*M66+(1-'main page'!$K$29)*(controls!$B$9/100)*100+'main page'!$K$25*(E67-B67)-M66)&lt;0.0000001,M66,'main page'!$K$29*M66+(1-'main page'!$K$29)*(controls!$B$9/100)*100+'main page'!$K$25*(E67-B67))</f>
        <v>2</v>
      </c>
      <c r="N67" s="75">
        <f ca="1">IF(controls!$B$10=1,N66,O67-'main page'!$K$29*M67-(1-'main page'!$K$29)*controls!$B$9)</f>
        <v>4</v>
      </c>
      <c r="O67" s="74">
        <f t="shared" ca="1" si="0"/>
        <v>6</v>
      </c>
      <c r="P67" s="76">
        <f ca="1">IF(controls!$B$10=1,hystere!N67+hystere!M67,hystere!Q67)</f>
        <v>6</v>
      </c>
      <c r="Q67" s="74">
        <f ca="1">IF('main page'!$Y$53=1,'choose m.p.'!$I$22*100,R67)</f>
        <v>6</v>
      </c>
      <c r="R67" s="100">
        <f ca="1">'main page'!$K$29*M67+(1-'main page'!$K$29)*controls!$B$9+S67+(('main page'!$K$25*'main page'!$U$13*'main page'!$K$29)/('main page'!$K$27*(1+('main page'!$K$25^2)*'main page'!$U$13)))*(M67-(controls!$B$9/100)*100)</f>
        <v>6</v>
      </c>
      <c r="S67" s="98">
        <f ca="1">IF(controls!$B$33=1,(J68-E67*X68-B67)/'main page'!$K$27,(I68-E67*X68-B67)/'main page'!$K$27)</f>
        <v>4</v>
      </c>
      <c r="U67" s="71">
        <f>IF(controls!$B$6=1,$AG$4*(1+('main page'!$K$35/100))^V67-$AG$4*(1+('main page'!$K$35/100))^V66,$AG$4*(1+('main page'!$G$8/100))*(1+('main page'!$K$35/100))^V67-$AG$4*(1+('main page'!$G$8/100))*(1+('main page'!$K$35/100))^V66)</f>
        <v>0</v>
      </c>
      <c r="V67" s="73">
        <v>59</v>
      </c>
      <c r="W67" s="40">
        <f>'normal case'!V66</f>
        <v>0</v>
      </c>
      <c r="X67" s="40">
        <f>'normal case'!W66</f>
        <v>0</v>
      </c>
      <c r="Y67" s="49">
        <f ca="1">IF(controls!$B$33=1,E67-($J$4-'main page'!$K$27*2)*(1+('main page'!$K$35/100))^A66,E67-$AG$5)</f>
        <v>0</v>
      </c>
      <c r="Z67" s="49">
        <f ca="1">ABS(M67-(controls!$B$9/100)*100)</f>
        <v>0</v>
      </c>
      <c r="AI67" s="40"/>
      <c r="AJ67" s="40"/>
    </row>
    <row r="68" spans="1:36">
      <c r="A68" s="48">
        <v>65</v>
      </c>
      <c r="B68" s="75">
        <f ca="1">IF(controls!$B$6=2,AVERAGE(E64:E67)+B67*W68+hystere!$AG$9,AVERAGE(E64:E67)+B67*W68)</f>
        <v>100</v>
      </c>
      <c r="C68" s="80">
        <f t="shared" ca="1" si="1"/>
        <v>0</v>
      </c>
      <c r="D68" s="105">
        <f t="shared" ca="1" si="2"/>
        <v>0</v>
      </c>
      <c r="E68" s="77">
        <f t="shared" ca="1" si="3"/>
        <v>100</v>
      </c>
      <c r="F68" s="77">
        <f ca="1">IF('main page'!$K$34=1,hystere!H68,hystere!G68)</f>
        <v>100</v>
      </c>
      <c r="G68" s="94">
        <f ca="1">I68-'main page'!$K$27*hystere!N67</f>
        <v>100</v>
      </c>
      <c r="H68" s="75">
        <f ca="1">J68-'main page'!$K$27*N67</f>
        <v>100</v>
      </c>
      <c r="I68" s="75">
        <f t="shared" ca="1" si="4"/>
        <v>108</v>
      </c>
      <c r="J68" s="75">
        <f t="shared" ca="1" si="5"/>
        <v>108</v>
      </c>
      <c r="M68" s="75">
        <f ca="1">IF(ABS('main page'!$K$29*M67+(1-'main page'!$K$29)*(controls!$B$9/100)*100+'main page'!$K$25*(E68-B68)-M67)&lt;0.0000001,M67,'main page'!$K$29*M67+(1-'main page'!$K$29)*(controls!$B$9/100)*100+'main page'!$K$25*(E68-B68))</f>
        <v>2</v>
      </c>
      <c r="N68" s="75">
        <f ca="1">IF(controls!$B$10=1,N67,O68-'main page'!$K$29*M68-(1-'main page'!$K$29)*controls!$B$9)</f>
        <v>4</v>
      </c>
      <c r="O68" s="74">
        <f t="shared" ref="O68:O131" ca="1" si="6">IF(P68&lt;0,0,P68)</f>
        <v>6</v>
      </c>
      <c r="P68" s="76">
        <f ca="1">IF(controls!$B$10=1,hystere!N68+hystere!M68,hystere!Q68)</f>
        <v>6</v>
      </c>
      <c r="Q68" s="74">
        <f ca="1">IF('main page'!$Y$53=1,'choose m.p.'!$I$22*100,R68)</f>
        <v>6</v>
      </c>
      <c r="R68" s="100">
        <f ca="1">'main page'!$K$29*M68+(1-'main page'!$K$29)*controls!$B$9+S68+(('main page'!$K$25*'main page'!$U$13*'main page'!$K$29)/('main page'!$K$27*(1+('main page'!$K$25^2)*'main page'!$U$13)))*(M68-(controls!$B$9/100)*100)</f>
        <v>6</v>
      </c>
      <c r="S68" s="98">
        <f ca="1">IF(controls!$B$33=1,(J69-E68*X69-B68)/'main page'!$K$27,(I69-E68*X69-B68)/'main page'!$K$27)</f>
        <v>4</v>
      </c>
      <c r="U68" s="71">
        <f>IF(controls!$B$6=1,$AG$4*(1+('main page'!$K$35/100))^V68-$AG$4*(1+('main page'!$K$35/100))^V67,$AG$4*(1+('main page'!$G$8/100))*(1+('main page'!$K$35/100))^V68-$AG$4*(1+('main page'!$G$8/100))*(1+('main page'!$K$35/100))^V67)</f>
        <v>0</v>
      </c>
      <c r="V68" s="73">
        <v>60</v>
      </c>
      <c r="W68" s="40">
        <f>'normal case'!V67</f>
        <v>0</v>
      </c>
      <c r="X68" s="40">
        <f>'normal case'!W67</f>
        <v>0</v>
      </c>
      <c r="Y68" s="49">
        <f ca="1">IF(controls!$B$33=1,E68-($J$4-'main page'!$K$27*2)*(1+('main page'!$K$35/100))^A67,E68-$AG$5)</f>
        <v>0</v>
      </c>
      <c r="Z68" s="49">
        <f ca="1">ABS(M68-(controls!$B$9/100)*100)</f>
        <v>0</v>
      </c>
      <c r="AI68" s="40"/>
      <c r="AJ68" s="40"/>
    </row>
    <row r="69" spans="1:36">
      <c r="A69" s="48">
        <v>66</v>
      </c>
      <c r="B69" s="75">
        <f ca="1">IF(controls!$B$6=2,AVERAGE(E65:E68)+B68*W69+hystere!$AG$9,AVERAGE(E65:E68)+B68*W69)</f>
        <v>100</v>
      </c>
      <c r="C69" s="80">
        <f t="shared" ref="C69:C132" ca="1" si="7">E69/E68-1</f>
        <v>0</v>
      </c>
      <c r="D69" s="105">
        <f t="shared" ref="D69:D132" ca="1" si="8">E69-B69</f>
        <v>0</v>
      </c>
      <c r="E69" s="77">
        <f t="shared" ref="E69:E132" ca="1" si="9">IF(F69&gt;0,F69,0.1)</f>
        <v>100</v>
      </c>
      <c r="F69" s="77">
        <f ca="1">IF('main page'!$K$34=1,hystere!H69,hystere!G69)</f>
        <v>100</v>
      </c>
      <c r="G69" s="94">
        <f ca="1">I69-'main page'!$K$27*hystere!N68</f>
        <v>100</v>
      </c>
      <c r="H69" s="75">
        <f ca="1">J69-'main page'!$K$27*N68</f>
        <v>100</v>
      </c>
      <c r="I69" s="75">
        <f t="shared" ca="1" si="4"/>
        <v>108</v>
      </c>
      <c r="J69" s="75">
        <f t="shared" ca="1" si="5"/>
        <v>108</v>
      </c>
      <c r="M69" s="75">
        <f ca="1">IF(ABS('main page'!$K$29*M68+(1-'main page'!$K$29)*(controls!$B$9/100)*100+'main page'!$K$25*(E69-B69)-M68)&lt;0.0000001,M68,'main page'!$K$29*M68+(1-'main page'!$K$29)*(controls!$B$9/100)*100+'main page'!$K$25*(E69-B69))</f>
        <v>2</v>
      </c>
      <c r="N69" s="75">
        <f ca="1">IF(controls!$B$10=1,N68,O69-'main page'!$K$29*M69-(1-'main page'!$K$29)*controls!$B$9)</f>
        <v>4</v>
      </c>
      <c r="O69" s="74">
        <f t="shared" ca="1" si="6"/>
        <v>6</v>
      </c>
      <c r="P69" s="76">
        <f ca="1">IF(controls!$B$10=1,hystere!N69+hystere!M69,hystere!Q69)</f>
        <v>6</v>
      </c>
      <c r="Q69" s="74">
        <f ca="1">IF('main page'!$Y$53=1,'choose m.p.'!$I$22*100,R69)</f>
        <v>6</v>
      </c>
      <c r="R69" s="100">
        <f ca="1">'main page'!$K$29*M69+(1-'main page'!$K$29)*controls!$B$9+S69+(('main page'!$K$25*'main page'!$U$13*'main page'!$K$29)/('main page'!$K$27*(1+('main page'!$K$25^2)*'main page'!$U$13)))*(M69-(controls!$B$9/100)*100)</f>
        <v>6</v>
      </c>
      <c r="S69" s="98">
        <f ca="1">IF(controls!$B$33=1,(J70-E69*X70-B69)/'main page'!$K$27,(I70-E69*X70-B69)/'main page'!$K$27)</f>
        <v>4</v>
      </c>
      <c r="U69" s="71">
        <f>IF(controls!$B$6=1,$AG$4*(1+('main page'!$K$35/100))^V69-$AG$4*(1+('main page'!$K$35/100))^V68,$AG$4*(1+('main page'!$G$8/100))*(1+('main page'!$K$35/100))^V69-$AG$4*(1+('main page'!$G$8/100))*(1+('main page'!$K$35/100))^V68)</f>
        <v>0</v>
      </c>
      <c r="V69" s="73">
        <v>61</v>
      </c>
      <c r="W69" s="40">
        <f ca="1">'normal case'!V68</f>
        <v>0</v>
      </c>
      <c r="X69" s="40">
        <f ca="1">'normal case'!W68</f>
        <v>0</v>
      </c>
      <c r="Y69" s="49">
        <f ca="1">IF(controls!$B$33=1,E69-($J$4-'main page'!$K$27*2)*(1+('main page'!$K$35/100))^A68,E69-$AG$5)</f>
        <v>0</v>
      </c>
      <c r="Z69" s="49">
        <f ca="1">ABS(M69-(controls!$B$9/100)*100)</f>
        <v>0</v>
      </c>
      <c r="AI69" s="40"/>
      <c r="AJ69" s="40"/>
    </row>
    <row r="70" spans="1:36">
      <c r="A70" s="48">
        <v>67</v>
      </c>
      <c r="B70" s="75">
        <f ca="1">IF(controls!$B$6=2,AVERAGE(E66:E69)+B69*W70+hystere!$AG$9,AVERAGE(E66:E69)+B69*W70)</f>
        <v>100</v>
      </c>
      <c r="C70" s="80">
        <f t="shared" ca="1" si="7"/>
        <v>0</v>
      </c>
      <c r="D70" s="105">
        <f t="shared" ca="1" si="8"/>
        <v>0</v>
      </c>
      <c r="E70" s="77">
        <f t="shared" ca="1" si="9"/>
        <v>100</v>
      </c>
      <c r="F70" s="77">
        <f ca="1">IF('main page'!$K$34=1,hystere!H70,hystere!G70)</f>
        <v>100</v>
      </c>
      <c r="G70" s="94">
        <f ca="1">I70-'main page'!$K$27*hystere!N69</f>
        <v>100</v>
      </c>
      <c r="H70" s="75">
        <f ca="1">J70-'main page'!$K$27*N69</f>
        <v>100</v>
      </c>
      <c r="I70" s="75">
        <f t="shared" ca="1" si="4"/>
        <v>108</v>
      </c>
      <c r="J70" s="75">
        <f t="shared" ca="1" si="5"/>
        <v>108</v>
      </c>
      <c r="M70" s="75">
        <f ca="1">IF(ABS('main page'!$K$29*M69+(1-'main page'!$K$29)*(controls!$B$9/100)*100+'main page'!$K$25*(E70-B70)-M69)&lt;0.0000001,M69,'main page'!$K$29*M69+(1-'main page'!$K$29)*(controls!$B$9/100)*100+'main page'!$K$25*(E70-B70))</f>
        <v>2</v>
      </c>
      <c r="N70" s="75">
        <f ca="1">IF(controls!$B$10=1,N69,O70-'main page'!$K$29*M70-(1-'main page'!$K$29)*controls!$B$9)</f>
        <v>4</v>
      </c>
      <c r="O70" s="74">
        <f t="shared" ca="1" si="6"/>
        <v>6</v>
      </c>
      <c r="P70" s="76">
        <f ca="1">IF(controls!$B$10=1,hystere!N70+hystere!M70,hystere!Q70)</f>
        <v>6</v>
      </c>
      <c r="Q70" s="74">
        <f ca="1">IF('main page'!$Y$53=1,'choose m.p.'!$I$22*100,R70)</f>
        <v>6</v>
      </c>
      <c r="R70" s="100">
        <f ca="1">'main page'!$K$29*M70+(1-'main page'!$K$29)*controls!$B$9+S70+(('main page'!$K$25*'main page'!$U$13*'main page'!$K$29)/('main page'!$K$27*(1+('main page'!$K$25^2)*'main page'!$U$13)))*(M70-(controls!$B$9/100)*100)</f>
        <v>6</v>
      </c>
      <c r="S70" s="98">
        <f ca="1">IF(controls!$B$33=1,(J71-E70*X71-B70)/'main page'!$K$27,(I71-E70*X71-B70)/'main page'!$K$27)</f>
        <v>4</v>
      </c>
      <c r="U70" s="71">
        <f>IF(controls!$B$6=1,$AG$4*(1+('main page'!$K$35/100))^V70-$AG$4*(1+('main page'!$K$35/100))^V69,$AG$4*(1+('main page'!$G$8/100))*(1+('main page'!$K$35/100))^V70-$AG$4*(1+('main page'!$G$8/100))*(1+('main page'!$K$35/100))^V69)</f>
        <v>0</v>
      </c>
      <c r="V70" s="73">
        <v>62</v>
      </c>
      <c r="W70" s="40">
        <f>'normal case'!V69</f>
        <v>0</v>
      </c>
      <c r="X70" s="40">
        <f>'normal case'!W69</f>
        <v>0</v>
      </c>
      <c r="Y70" s="49">
        <f ca="1">IF(controls!$B$33=1,E70-($J$4-'main page'!$K$27*2)*(1+('main page'!$K$35/100))^A69,E70-$AG$5)</f>
        <v>0</v>
      </c>
      <c r="Z70" s="49">
        <f ca="1">ABS(M70-(controls!$B$9/100)*100)</f>
        <v>0</v>
      </c>
      <c r="AI70" s="40"/>
      <c r="AJ70" s="40"/>
    </row>
    <row r="71" spans="1:36">
      <c r="A71" s="48">
        <v>68</v>
      </c>
      <c r="B71" s="75">
        <f ca="1">IF(controls!$B$6=2,AVERAGE(E67:E70)+B70*W71+hystere!$AG$9,AVERAGE(E67:E70)+B70*W71)</f>
        <v>100</v>
      </c>
      <c r="C71" s="80">
        <f t="shared" ca="1" si="7"/>
        <v>0</v>
      </c>
      <c r="D71" s="105">
        <f t="shared" ca="1" si="8"/>
        <v>0</v>
      </c>
      <c r="E71" s="77">
        <f t="shared" ca="1" si="9"/>
        <v>100</v>
      </c>
      <c r="F71" s="77">
        <f ca="1">IF('main page'!$K$34=1,hystere!H71,hystere!G71)</f>
        <v>100</v>
      </c>
      <c r="G71" s="94">
        <f ca="1">I71-'main page'!$K$27*hystere!N70</f>
        <v>100</v>
      </c>
      <c r="H71" s="75">
        <f ca="1">J71-'main page'!$K$27*N70</f>
        <v>100</v>
      </c>
      <c r="I71" s="75">
        <f t="shared" ca="1" si="4"/>
        <v>108</v>
      </c>
      <c r="J71" s="75">
        <f t="shared" ca="1" si="5"/>
        <v>108</v>
      </c>
      <c r="M71" s="75">
        <f ca="1">IF(ABS('main page'!$K$29*M70+(1-'main page'!$K$29)*(controls!$B$9/100)*100+'main page'!$K$25*(E71-B71)-M70)&lt;0.0000001,M70,'main page'!$K$29*M70+(1-'main page'!$K$29)*(controls!$B$9/100)*100+'main page'!$K$25*(E71-B71))</f>
        <v>2</v>
      </c>
      <c r="N71" s="75">
        <f ca="1">IF(controls!$B$10=1,N70,O71-'main page'!$K$29*M71-(1-'main page'!$K$29)*controls!$B$9)</f>
        <v>4</v>
      </c>
      <c r="O71" s="74">
        <f t="shared" ca="1" si="6"/>
        <v>6</v>
      </c>
      <c r="P71" s="76">
        <f ca="1">IF(controls!$B$10=1,hystere!N71+hystere!M71,hystere!Q71)</f>
        <v>6</v>
      </c>
      <c r="Q71" s="74">
        <f ca="1">IF('main page'!$Y$53=1,'choose m.p.'!$I$22*100,R71)</f>
        <v>6</v>
      </c>
      <c r="R71" s="100">
        <f ca="1">'main page'!$K$29*M71+(1-'main page'!$K$29)*controls!$B$9+S71+(('main page'!$K$25*'main page'!$U$13*'main page'!$K$29)/('main page'!$K$27*(1+('main page'!$K$25^2)*'main page'!$U$13)))*(M71-(controls!$B$9/100)*100)</f>
        <v>6</v>
      </c>
      <c r="S71" s="98">
        <f ca="1">IF(controls!$B$33=1,(J72-E71*X72-B71)/'main page'!$K$27,(I72-E71*X72-B71)/'main page'!$K$27)</f>
        <v>4</v>
      </c>
      <c r="U71" s="71">
        <f>IF(controls!$B$6=1,$AG$4*(1+('main page'!$K$35/100))^V71-$AG$4*(1+('main page'!$K$35/100))^V70,$AG$4*(1+('main page'!$G$8/100))*(1+('main page'!$K$35/100))^V71-$AG$4*(1+('main page'!$G$8/100))*(1+('main page'!$K$35/100))^V70)</f>
        <v>0</v>
      </c>
      <c r="V71" s="73">
        <v>63</v>
      </c>
      <c r="W71" s="40">
        <f>'normal case'!V70</f>
        <v>0</v>
      </c>
      <c r="X71" s="40">
        <f>'normal case'!W70</f>
        <v>0</v>
      </c>
      <c r="Y71" s="49">
        <f ca="1">IF(controls!$B$33=1,E71-($J$4-'main page'!$K$27*2)*(1+('main page'!$K$35/100))^A70,E71-$AG$5)</f>
        <v>0</v>
      </c>
      <c r="Z71" s="49">
        <f ca="1">ABS(M71-(controls!$B$9/100)*100)</f>
        <v>0</v>
      </c>
      <c r="AI71" s="40"/>
      <c r="AJ71" s="40"/>
    </row>
    <row r="72" spans="1:36">
      <c r="A72" s="48">
        <v>69</v>
      </c>
      <c r="B72" s="75">
        <f ca="1">IF(controls!$B$6=2,AVERAGE(E68:E71)+B71*W72+hystere!$AG$9,AVERAGE(E68:E71)+B71*W72)</f>
        <v>100</v>
      </c>
      <c r="C72" s="80">
        <f t="shared" ca="1" si="7"/>
        <v>0</v>
      </c>
      <c r="D72" s="105">
        <f t="shared" ca="1" si="8"/>
        <v>0</v>
      </c>
      <c r="E72" s="77">
        <f t="shared" ca="1" si="9"/>
        <v>100</v>
      </c>
      <c r="F72" s="77">
        <f ca="1">IF('main page'!$K$34=1,hystere!H72,hystere!G72)</f>
        <v>100</v>
      </c>
      <c r="G72" s="94">
        <f ca="1">I72-'main page'!$K$27*hystere!N71</f>
        <v>100</v>
      </c>
      <c r="H72" s="75">
        <f ca="1">J72-'main page'!$K$27*N71</f>
        <v>100</v>
      </c>
      <c r="I72" s="75">
        <f t="shared" ca="1" si="4"/>
        <v>108</v>
      </c>
      <c r="J72" s="75">
        <f t="shared" ca="1" si="5"/>
        <v>108</v>
      </c>
      <c r="M72" s="75">
        <f ca="1">IF(ABS('main page'!$K$29*M71+(1-'main page'!$K$29)*(controls!$B$9/100)*100+'main page'!$K$25*(E72-B72)-M71)&lt;0.0000001,M71,'main page'!$K$29*M71+(1-'main page'!$K$29)*(controls!$B$9/100)*100+'main page'!$K$25*(E72-B72))</f>
        <v>2</v>
      </c>
      <c r="N72" s="75">
        <f ca="1">IF(controls!$B$10=1,N71,O72-'main page'!$K$29*M72-(1-'main page'!$K$29)*controls!$B$9)</f>
        <v>4</v>
      </c>
      <c r="O72" s="74">
        <f t="shared" ca="1" si="6"/>
        <v>6</v>
      </c>
      <c r="P72" s="76">
        <f ca="1">IF(controls!$B$10=1,hystere!N72+hystere!M72,hystere!Q72)</f>
        <v>6</v>
      </c>
      <c r="Q72" s="74">
        <f ca="1">IF('main page'!$Y$53=1,'choose m.p.'!$I$22*100,R72)</f>
        <v>6</v>
      </c>
      <c r="R72" s="100">
        <f ca="1">'main page'!$K$29*M72+(1-'main page'!$K$29)*controls!$B$9+S72+(('main page'!$K$25*'main page'!$U$13*'main page'!$K$29)/('main page'!$K$27*(1+('main page'!$K$25^2)*'main page'!$U$13)))*(M72-(controls!$B$9/100)*100)</f>
        <v>6</v>
      </c>
      <c r="S72" s="98">
        <f ca="1">IF(controls!$B$33=1,(J73-E72*X73-B72)/'main page'!$K$27,(I73-E72*X73-B72)/'main page'!$K$27)</f>
        <v>4</v>
      </c>
      <c r="U72" s="71">
        <f>IF(controls!$B$6=1,$AG$4*(1+('main page'!$K$35/100))^V72-$AG$4*(1+('main page'!$K$35/100))^V71,$AG$4*(1+('main page'!$G$8/100))*(1+('main page'!$K$35/100))^V72-$AG$4*(1+('main page'!$G$8/100))*(1+('main page'!$K$35/100))^V71)</f>
        <v>0</v>
      </c>
      <c r="V72" s="73">
        <v>64</v>
      </c>
      <c r="W72" s="40">
        <f ca="1">'normal case'!V71</f>
        <v>0</v>
      </c>
      <c r="X72" s="40">
        <f ca="1">'normal case'!W71</f>
        <v>0</v>
      </c>
      <c r="Y72" s="49">
        <f ca="1">IF(controls!$B$33=1,E72-($J$4-'main page'!$K$27*2)*(1+('main page'!$K$35/100))^A71,E72-$AG$5)</f>
        <v>0</v>
      </c>
      <c r="Z72" s="49">
        <f ca="1">ABS(M72-(controls!$B$9/100)*100)</f>
        <v>0</v>
      </c>
      <c r="AI72" s="40"/>
      <c r="AJ72" s="40"/>
    </row>
    <row r="73" spans="1:36">
      <c r="A73" s="48">
        <v>70</v>
      </c>
      <c r="B73" s="75">
        <f ca="1">IF(controls!$B$6=2,AVERAGE(E69:E72)+B72*W73+hystere!$AG$9,AVERAGE(E69:E72)+B72*W73)</f>
        <v>100</v>
      </c>
      <c r="C73" s="80">
        <f t="shared" ca="1" si="7"/>
        <v>0</v>
      </c>
      <c r="D73" s="105">
        <f t="shared" ca="1" si="8"/>
        <v>0</v>
      </c>
      <c r="E73" s="77">
        <f t="shared" ca="1" si="9"/>
        <v>100</v>
      </c>
      <c r="F73" s="77">
        <f ca="1">IF('main page'!$K$34=1,hystere!H73,hystere!G73)</f>
        <v>100</v>
      </c>
      <c r="G73" s="94">
        <f ca="1">I73-'main page'!$K$27*hystere!N72</f>
        <v>100</v>
      </c>
      <c r="H73" s="75">
        <f ca="1">J73-'main page'!$K$27*N72</f>
        <v>100</v>
      </c>
      <c r="I73" s="75">
        <f t="shared" ca="1" si="4"/>
        <v>108</v>
      </c>
      <c r="J73" s="75">
        <f t="shared" ca="1" si="5"/>
        <v>108</v>
      </c>
      <c r="M73" s="75">
        <f ca="1">IF(ABS('main page'!$K$29*M72+(1-'main page'!$K$29)*(controls!$B$9/100)*100+'main page'!$K$25*(E73-B73)-M72)&lt;0.0000001,M72,'main page'!$K$29*M72+(1-'main page'!$K$29)*(controls!$B$9/100)*100+'main page'!$K$25*(E73-B73))</f>
        <v>2</v>
      </c>
      <c r="N73" s="75">
        <f ca="1">IF(controls!$B$10=1,N72,O73-'main page'!$K$29*M73-(1-'main page'!$K$29)*controls!$B$9)</f>
        <v>4</v>
      </c>
      <c r="O73" s="74">
        <f t="shared" ca="1" si="6"/>
        <v>6</v>
      </c>
      <c r="P73" s="76">
        <f ca="1">IF(controls!$B$10=1,hystere!N73+hystere!M73,hystere!Q73)</f>
        <v>6</v>
      </c>
      <c r="Q73" s="74">
        <f ca="1">IF('main page'!$Y$53=1,'choose m.p.'!$I$22*100,R73)</f>
        <v>6</v>
      </c>
      <c r="R73" s="100">
        <f ca="1">'main page'!$K$29*M73+(1-'main page'!$K$29)*controls!$B$9+S73+(('main page'!$K$25*'main page'!$U$13*'main page'!$K$29)/('main page'!$K$27*(1+('main page'!$K$25^2)*'main page'!$U$13)))*(M73-(controls!$B$9/100)*100)</f>
        <v>6</v>
      </c>
      <c r="S73" s="98">
        <f ca="1">IF(controls!$B$33=1,(J74-E73*X74-B73)/'main page'!$K$27,(I74-E73*X74-B73)/'main page'!$K$27)</f>
        <v>4</v>
      </c>
      <c r="U73" s="71">
        <f>IF(controls!$B$6=1,$AG$4*(1+('main page'!$K$35/100))^V73-$AG$4*(1+('main page'!$K$35/100))^V72,$AG$4*(1+('main page'!$G$8/100))*(1+('main page'!$K$35/100))^V73-$AG$4*(1+('main page'!$G$8/100))*(1+('main page'!$K$35/100))^V72)</f>
        <v>0</v>
      </c>
      <c r="V73" s="73">
        <v>65</v>
      </c>
      <c r="W73" s="40">
        <f>'normal case'!V72</f>
        <v>0</v>
      </c>
      <c r="X73" s="40">
        <f>'normal case'!W72</f>
        <v>0</v>
      </c>
      <c r="Y73" s="49">
        <f ca="1">IF(controls!$B$33=1,E73-($J$4-'main page'!$K$27*2)*(1+('main page'!$K$35/100))^A72,E73-$AG$5)</f>
        <v>0</v>
      </c>
      <c r="Z73" s="49">
        <f ca="1">ABS(M73-(controls!$B$9/100)*100)</f>
        <v>0</v>
      </c>
      <c r="AI73" s="40"/>
      <c r="AJ73" s="40"/>
    </row>
    <row r="74" spans="1:36">
      <c r="A74" s="48">
        <v>71</v>
      </c>
      <c r="B74" s="75">
        <f ca="1">IF(controls!$B$6=2,AVERAGE(E70:E73)+B73*W74+hystere!$AG$9,AVERAGE(E70:E73)+B73*W74)</f>
        <v>100</v>
      </c>
      <c r="C74" s="80">
        <f t="shared" ca="1" si="7"/>
        <v>0</v>
      </c>
      <c r="D74" s="105">
        <f t="shared" ca="1" si="8"/>
        <v>0</v>
      </c>
      <c r="E74" s="77">
        <f t="shared" ca="1" si="9"/>
        <v>100</v>
      </c>
      <c r="F74" s="77">
        <f ca="1">IF('main page'!$K$34=1,hystere!H74,hystere!G74)</f>
        <v>100</v>
      </c>
      <c r="G74" s="94">
        <f ca="1">I74-'main page'!$K$27*hystere!N73</f>
        <v>100</v>
      </c>
      <c r="H74" s="75">
        <f ca="1">J74-'main page'!$K$27*N73</f>
        <v>100</v>
      </c>
      <c r="I74" s="75">
        <f t="shared" ca="1" si="4"/>
        <v>108</v>
      </c>
      <c r="J74" s="75">
        <f t="shared" ca="1" si="5"/>
        <v>108</v>
      </c>
      <c r="M74" s="75">
        <f ca="1">IF(ABS('main page'!$K$29*M73+(1-'main page'!$K$29)*(controls!$B$9/100)*100+'main page'!$K$25*(E74-B74)-M73)&lt;0.0000001,M73,'main page'!$K$29*M73+(1-'main page'!$K$29)*(controls!$B$9/100)*100+'main page'!$K$25*(E74-B74))</f>
        <v>2</v>
      </c>
      <c r="N74" s="75">
        <f ca="1">IF(controls!$B$10=1,N73,O74-'main page'!$K$29*M74-(1-'main page'!$K$29)*controls!$B$9)</f>
        <v>4</v>
      </c>
      <c r="O74" s="74">
        <f t="shared" ca="1" si="6"/>
        <v>6</v>
      </c>
      <c r="P74" s="76">
        <f ca="1">IF(controls!$B$10=1,hystere!N74+hystere!M74,hystere!Q74)</f>
        <v>6</v>
      </c>
      <c r="Q74" s="74">
        <f ca="1">IF('main page'!$Y$53=1,'choose m.p.'!$I$22*100,R74)</f>
        <v>6</v>
      </c>
      <c r="R74" s="100">
        <f ca="1">'main page'!$K$29*M74+(1-'main page'!$K$29)*controls!$B$9+S74+(('main page'!$K$25*'main page'!$U$13*'main page'!$K$29)/('main page'!$K$27*(1+('main page'!$K$25^2)*'main page'!$U$13)))*(M74-(controls!$B$9/100)*100)</f>
        <v>6</v>
      </c>
      <c r="S74" s="98">
        <f ca="1">IF(controls!$B$33=1,(J75-E74*X75-B74)/'main page'!$K$27,(I75-E74*X75-B74)/'main page'!$K$27)</f>
        <v>4</v>
      </c>
      <c r="U74" s="71">
        <f>IF(controls!$B$6=1,$AG$4*(1+('main page'!$K$35/100))^V74-$AG$4*(1+('main page'!$K$35/100))^V73,$AG$4*(1+('main page'!$G$8/100))*(1+('main page'!$K$35/100))^V74-$AG$4*(1+('main page'!$G$8/100))*(1+('main page'!$K$35/100))^V73)</f>
        <v>0</v>
      </c>
      <c r="V74" s="73">
        <v>66</v>
      </c>
      <c r="W74" s="40">
        <f>'normal case'!V73</f>
        <v>0</v>
      </c>
      <c r="X74" s="40">
        <f>'normal case'!W73</f>
        <v>0</v>
      </c>
      <c r="Y74" s="49">
        <f ca="1">IF(controls!$B$33=1,E74-($J$4-'main page'!$K$27*2)*(1+('main page'!$K$35/100))^A73,E74-$AG$5)</f>
        <v>0</v>
      </c>
      <c r="Z74" s="49">
        <f ca="1">ABS(M74-(controls!$B$9/100)*100)</f>
        <v>0</v>
      </c>
      <c r="AI74" s="40"/>
      <c r="AJ74" s="40"/>
    </row>
    <row r="75" spans="1:36">
      <c r="A75" s="48">
        <v>72</v>
      </c>
      <c r="B75" s="75">
        <f ca="1">IF(controls!$B$6=2,AVERAGE(E71:E74)+B74*W75+hystere!$AG$9,AVERAGE(E71:E74)+B74*W75)</f>
        <v>100</v>
      </c>
      <c r="C75" s="80">
        <f t="shared" ca="1" si="7"/>
        <v>0</v>
      </c>
      <c r="D75" s="105">
        <f t="shared" ca="1" si="8"/>
        <v>0</v>
      </c>
      <c r="E75" s="77">
        <f t="shared" ca="1" si="9"/>
        <v>100</v>
      </c>
      <c r="F75" s="77">
        <f ca="1">IF('main page'!$K$34=1,hystere!H75,hystere!G75)</f>
        <v>100</v>
      </c>
      <c r="G75" s="94">
        <f ca="1">I75-'main page'!$K$27*hystere!N74</f>
        <v>100</v>
      </c>
      <c r="H75" s="75">
        <f ca="1">J75-'main page'!$K$27*N74</f>
        <v>100</v>
      </c>
      <c r="I75" s="75">
        <f t="shared" ca="1" si="4"/>
        <v>108</v>
      </c>
      <c r="J75" s="75">
        <f t="shared" ca="1" si="5"/>
        <v>108</v>
      </c>
      <c r="M75" s="75">
        <f ca="1">IF(ABS('main page'!$K$29*M74+(1-'main page'!$K$29)*(controls!$B$9/100)*100+'main page'!$K$25*(E75-B75)-M74)&lt;0.0000001,M74,'main page'!$K$29*M74+(1-'main page'!$K$29)*(controls!$B$9/100)*100+'main page'!$K$25*(E75-B75))</f>
        <v>2</v>
      </c>
      <c r="N75" s="75">
        <f ca="1">IF(controls!$B$10=1,N74,O75-'main page'!$K$29*M75-(1-'main page'!$K$29)*controls!$B$9)</f>
        <v>4</v>
      </c>
      <c r="O75" s="74">
        <f t="shared" ca="1" si="6"/>
        <v>6</v>
      </c>
      <c r="P75" s="76">
        <f ca="1">IF(controls!$B$10=1,hystere!N75+hystere!M75,hystere!Q75)</f>
        <v>6</v>
      </c>
      <c r="Q75" s="74">
        <f ca="1">IF('main page'!$Y$53=1,'choose m.p.'!$I$22*100,R75)</f>
        <v>6</v>
      </c>
      <c r="R75" s="100">
        <f ca="1">'main page'!$K$29*M75+(1-'main page'!$K$29)*controls!$B$9+S75+(('main page'!$K$25*'main page'!$U$13*'main page'!$K$29)/('main page'!$K$27*(1+('main page'!$K$25^2)*'main page'!$U$13)))*(M75-(controls!$B$9/100)*100)</f>
        <v>6</v>
      </c>
      <c r="S75" s="98">
        <f ca="1">IF(controls!$B$33=1,(J76-E75*X76-B75)/'main page'!$K$27,(I76-E75*X76-B75)/'main page'!$K$27)</f>
        <v>4</v>
      </c>
      <c r="U75" s="71">
        <f>IF(controls!$B$6=1,$AG$4*(1+('main page'!$K$35/100))^V75-$AG$4*(1+('main page'!$K$35/100))^V74,$AG$4*(1+('main page'!$G$8/100))*(1+('main page'!$K$35/100))^V75-$AG$4*(1+('main page'!$G$8/100))*(1+('main page'!$K$35/100))^V74)</f>
        <v>0</v>
      </c>
      <c r="V75" s="73">
        <v>67</v>
      </c>
      <c r="W75" s="40">
        <f ca="1">'normal case'!V74</f>
        <v>0</v>
      </c>
      <c r="X75" s="40">
        <f ca="1">'normal case'!W74</f>
        <v>0</v>
      </c>
      <c r="Y75" s="49">
        <f ca="1">IF(controls!$B$33=1,E75-($J$4-'main page'!$K$27*2)*(1+('main page'!$K$35/100))^A74,E75-$AG$5)</f>
        <v>0</v>
      </c>
      <c r="Z75" s="49">
        <f ca="1">ABS(M75-(controls!$B$9/100)*100)</f>
        <v>0</v>
      </c>
      <c r="AI75" s="40"/>
      <c r="AJ75" s="40"/>
    </row>
    <row r="76" spans="1:36">
      <c r="A76" s="48">
        <v>73</v>
      </c>
      <c r="B76" s="75">
        <f ca="1">IF(controls!$B$6=2,AVERAGE(E72:E75)+B75*W76+hystere!$AG$9,AVERAGE(E72:E75)+B75*W76)</f>
        <v>100</v>
      </c>
      <c r="C76" s="80">
        <f t="shared" ca="1" si="7"/>
        <v>0</v>
      </c>
      <c r="D76" s="105">
        <f t="shared" ca="1" si="8"/>
        <v>0</v>
      </c>
      <c r="E76" s="77">
        <f t="shared" ca="1" si="9"/>
        <v>100</v>
      </c>
      <c r="F76" s="77">
        <f ca="1">IF('main page'!$K$34=1,hystere!H76,hystere!G76)</f>
        <v>100</v>
      </c>
      <c r="G76" s="94">
        <f ca="1">I76-'main page'!$K$27*hystere!N75</f>
        <v>100</v>
      </c>
      <c r="H76" s="75">
        <f ca="1">J76-'main page'!$K$27*N75</f>
        <v>100</v>
      </c>
      <c r="I76" s="75">
        <f t="shared" ca="1" si="4"/>
        <v>108</v>
      </c>
      <c r="J76" s="75">
        <f t="shared" ca="1" si="5"/>
        <v>108</v>
      </c>
      <c r="M76" s="75">
        <f ca="1">IF(ABS('main page'!$K$29*M75+(1-'main page'!$K$29)*(controls!$B$9/100)*100+'main page'!$K$25*(E76-B76)-M75)&lt;0.0000001,M75,'main page'!$K$29*M75+(1-'main page'!$K$29)*(controls!$B$9/100)*100+'main page'!$K$25*(E76-B76))</f>
        <v>2</v>
      </c>
      <c r="N76" s="75">
        <f ca="1">IF(controls!$B$10=1,N75,O76-'main page'!$K$29*M76-(1-'main page'!$K$29)*controls!$B$9)</f>
        <v>4</v>
      </c>
      <c r="O76" s="74">
        <f t="shared" ca="1" si="6"/>
        <v>6</v>
      </c>
      <c r="P76" s="76">
        <f ca="1">IF(controls!$B$10=1,hystere!N76+hystere!M76,hystere!Q76)</f>
        <v>6</v>
      </c>
      <c r="Q76" s="74">
        <f ca="1">IF('main page'!$Y$53=1,'choose m.p.'!$I$22*100,R76)</f>
        <v>6</v>
      </c>
      <c r="R76" s="100">
        <f ca="1">'main page'!$K$29*M76+(1-'main page'!$K$29)*controls!$B$9+S76+(('main page'!$K$25*'main page'!$U$13*'main page'!$K$29)/('main page'!$K$27*(1+('main page'!$K$25^2)*'main page'!$U$13)))*(M76-(controls!$B$9/100)*100)</f>
        <v>6</v>
      </c>
      <c r="S76" s="98">
        <f ca="1">IF(controls!$B$33=1,(J77-E76*X77-B76)/'main page'!$K$27,(I77-E76*X77-B76)/'main page'!$K$27)</f>
        <v>4</v>
      </c>
      <c r="U76" s="71">
        <f>IF(controls!$B$6=1,$AG$4*(1+('main page'!$K$35/100))^V76-$AG$4*(1+('main page'!$K$35/100))^V75,$AG$4*(1+('main page'!$G$8/100))*(1+('main page'!$K$35/100))^V76-$AG$4*(1+('main page'!$G$8/100))*(1+('main page'!$K$35/100))^V75)</f>
        <v>0</v>
      </c>
      <c r="V76" s="73">
        <v>68</v>
      </c>
      <c r="W76" s="40">
        <f>'normal case'!V75</f>
        <v>0</v>
      </c>
      <c r="X76" s="40">
        <f>'normal case'!W75</f>
        <v>0</v>
      </c>
      <c r="Y76" s="49">
        <f ca="1">IF(controls!$B$33=1,E76-($J$4-'main page'!$K$27*2)*(1+('main page'!$K$35/100))^A75,E76-$AG$5)</f>
        <v>0</v>
      </c>
      <c r="Z76" s="49">
        <f ca="1">ABS(M76-(controls!$B$9/100)*100)</f>
        <v>0</v>
      </c>
      <c r="AI76" s="40"/>
      <c r="AJ76" s="40"/>
    </row>
    <row r="77" spans="1:36">
      <c r="A77" s="48">
        <v>74</v>
      </c>
      <c r="B77" s="75">
        <f ca="1">IF(controls!$B$6=2,AVERAGE(E73:E76)+B76*W77+hystere!$AG$9,AVERAGE(E73:E76)+B76*W77)</f>
        <v>100</v>
      </c>
      <c r="C77" s="80">
        <f t="shared" ca="1" si="7"/>
        <v>0</v>
      </c>
      <c r="D77" s="105">
        <f t="shared" ca="1" si="8"/>
        <v>0</v>
      </c>
      <c r="E77" s="77">
        <f t="shared" ca="1" si="9"/>
        <v>100</v>
      </c>
      <c r="F77" s="77">
        <f ca="1">IF('main page'!$K$34=1,hystere!H77,hystere!G77)</f>
        <v>100</v>
      </c>
      <c r="G77" s="94">
        <f ca="1">I77-'main page'!$K$27*hystere!N76</f>
        <v>100</v>
      </c>
      <c r="H77" s="75">
        <f ca="1">J77-'main page'!$K$27*N76</f>
        <v>100</v>
      </c>
      <c r="I77" s="75">
        <f t="shared" ca="1" si="4"/>
        <v>108</v>
      </c>
      <c r="J77" s="75">
        <f t="shared" ca="1" si="5"/>
        <v>108</v>
      </c>
      <c r="M77" s="75">
        <f ca="1">IF(ABS('main page'!$K$29*M76+(1-'main page'!$K$29)*(controls!$B$9/100)*100+'main page'!$K$25*(E77-B77)-M76)&lt;0.0000001,M76,'main page'!$K$29*M76+(1-'main page'!$K$29)*(controls!$B$9/100)*100+'main page'!$K$25*(E77-B77))</f>
        <v>2</v>
      </c>
      <c r="N77" s="75">
        <f ca="1">IF(controls!$B$10=1,N76,O77-'main page'!$K$29*M77-(1-'main page'!$K$29)*controls!$B$9)</f>
        <v>4</v>
      </c>
      <c r="O77" s="74">
        <f t="shared" ca="1" si="6"/>
        <v>6</v>
      </c>
      <c r="P77" s="76">
        <f ca="1">IF(controls!$B$10=1,hystere!N77+hystere!M77,hystere!Q77)</f>
        <v>6</v>
      </c>
      <c r="Q77" s="74">
        <f ca="1">IF('main page'!$Y$53=1,'choose m.p.'!$I$22*100,R77)</f>
        <v>6</v>
      </c>
      <c r="R77" s="100">
        <f ca="1">'main page'!$K$29*M77+(1-'main page'!$K$29)*controls!$B$9+S77+(('main page'!$K$25*'main page'!$U$13*'main page'!$K$29)/('main page'!$K$27*(1+('main page'!$K$25^2)*'main page'!$U$13)))*(M77-(controls!$B$9/100)*100)</f>
        <v>6</v>
      </c>
      <c r="S77" s="98">
        <f ca="1">IF(controls!$B$33=1,(J78-E77*X78-B77)/'main page'!$K$27,(I78-E77*X78-B77)/'main page'!$K$27)</f>
        <v>4</v>
      </c>
      <c r="U77" s="71">
        <f>IF(controls!$B$6=1,$AG$4*(1+('main page'!$K$35/100))^V77-$AG$4*(1+('main page'!$K$35/100))^V76,$AG$4*(1+('main page'!$G$8/100))*(1+('main page'!$K$35/100))^V77-$AG$4*(1+('main page'!$G$8/100))*(1+('main page'!$K$35/100))^V76)</f>
        <v>0</v>
      </c>
      <c r="V77" s="73">
        <v>69</v>
      </c>
      <c r="W77" s="40">
        <f>'normal case'!V76</f>
        <v>0</v>
      </c>
      <c r="X77" s="40">
        <f>'normal case'!W76</f>
        <v>0</v>
      </c>
      <c r="Y77" s="49">
        <f ca="1">IF(controls!$B$33=1,E77-($J$4-'main page'!$K$27*2)*(1+('main page'!$K$35/100))^A76,E77-$AG$5)</f>
        <v>0</v>
      </c>
      <c r="Z77" s="49">
        <f ca="1">ABS(M77-(controls!$B$9/100)*100)</f>
        <v>0</v>
      </c>
      <c r="AI77" s="40"/>
      <c r="AJ77" s="40"/>
    </row>
    <row r="78" spans="1:36">
      <c r="A78" s="48">
        <v>75</v>
      </c>
      <c r="B78" s="75">
        <f ca="1">IF(controls!$B$6=2,AVERAGE(E74:E77)+B77*W78+hystere!$AG$9,AVERAGE(E74:E77)+B77*W78)</f>
        <v>100</v>
      </c>
      <c r="C78" s="80">
        <f t="shared" ca="1" si="7"/>
        <v>0</v>
      </c>
      <c r="D78" s="105">
        <f t="shared" ca="1" si="8"/>
        <v>0</v>
      </c>
      <c r="E78" s="77">
        <f t="shared" ca="1" si="9"/>
        <v>100</v>
      </c>
      <c r="F78" s="77">
        <f ca="1">IF('main page'!$K$34=1,hystere!H78,hystere!G78)</f>
        <v>100</v>
      </c>
      <c r="G78" s="94">
        <f ca="1">I78-'main page'!$K$27*hystere!N77</f>
        <v>100</v>
      </c>
      <c r="H78" s="75">
        <f ca="1">J78-'main page'!$K$27*N77</f>
        <v>100</v>
      </c>
      <c r="I78" s="75">
        <f t="shared" ca="1" si="4"/>
        <v>108</v>
      </c>
      <c r="J78" s="75">
        <f t="shared" ca="1" si="5"/>
        <v>108</v>
      </c>
      <c r="M78" s="75">
        <f ca="1">IF(ABS('main page'!$K$29*M77+(1-'main page'!$K$29)*(controls!$B$9/100)*100+'main page'!$K$25*(E78-B78)-M77)&lt;0.0000001,M77,'main page'!$K$29*M77+(1-'main page'!$K$29)*(controls!$B$9/100)*100+'main page'!$K$25*(E78-B78))</f>
        <v>2</v>
      </c>
      <c r="N78" s="75">
        <f ca="1">IF(controls!$B$10=1,N77,O78-'main page'!$K$29*M78-(1-'main page'!$K$29)*controls!$B$9)</f>
        <v>4</v>
      </c>
      <c r="O78" s="74">
        <f t="shared" ca="1" si="6"/>
        <v>6</v>
      </c>
      <c r="P78" s="76">
        <f ca="1">IF(controls!$B$10=1,hystere!N78+hystere!M78,hystere!Q78)</f>
        <v>6</v>
      </c>
      <c r="Q78" s="74">
        <f ca="1">IF('main page'!$Y$53=1,'choose m.p.'!$I$22*100,R78)</f>
        <v>6</v>
      </c>
      <c r="R78" s="100">
        <f ca="1">'main page'!$K$29*M78+(1-'main page'!$K$29)*controls!$B$9+S78+(('main page'!$K$25*'main page'!$U$13*'main page'!$K$29)/('main page'!$K$27*(1+('main page'!$K$25^2)*'main page'!$U$13)))*(M78-(controls!$B$9/100)*100)</f>
        <v>6</v>
      </c>
      <c r="S78" s="98">
        <f ca="1">IF(controls!$B$33=1,(J79-E78*X79-B78)/'main page'!$K$27,(I79-E78*X79-B78)/'main page'!$K$27)</f>
        <v>4</v>
      </c>
      <c r="U78" s="71">
        <f>IF(controls!$B$6=1,$AG$4*(1+('main page'!$K$35/100))^V78-$AG$4*(1+('main page'!$K$35/100))^V77,$AG$4*(1+('main page'!$G$8/100))*(1+('main page'!$K$35/100))^V78-$AG$4*(1+('main page'!$G$8/100))*(1+('main page'!$K$35/100))^V77)</f>
        <v>0</v>
      </c>
      <c r="V78" s="73">
        <v>70</v>
      </c>
      <c r="W78" s="40">
        <f ca="1">'normal case'!V77</f>
        <v>0</v>
      </c>
      <c r="X78" s="40">
        <f ca="1">'normal case'!W77</f>
        <v>0</v>
      </c>
      <c r="Y78" s="49">
        <f ca="1">IF(controls!$B$33=1,E78-($J$4-'main page'!$K$27*2)*(1+('main page'!$K$35/100))^A77,E78-$AG$5)</f>
        <v>0</v>
      </c>
      <c r="Z78" s="49">
        <f ca="1">ABS(M78-(controls!$B$9/100)*100)</f>
        <v>0</v>
      </c>
      <c r="AI78" s="40"/>
      <c r="AJ78" s="40"/>
    </row>
    <row r="79" spans="1:36">
      <c r="A79" s="48">
        <v>76</v>
      </c>
      <c r="B79" s="75">
        <f ca="1">IF(controls!$B$6=2,AVERAGE(E75:E78)+B78*W79+hystere!$AG$9,AVERAGE(E75:E78)+B78*W79)</f>
        <v>100</v>
      </c>
      <c r="C79" s="80">
        <f t="shared" ca="1" si="7"/>
        <v>0</v>
      </c>
      <c r="D79" s="105">
        <f t="shared" ca="1" si="8"/>
        <v>0</v>
      </c>
      <c r="E79" s="77">
        <f t="shared" ca="1" si="9"/>
        <v>100</v>
      </c>
      <c r="F79" s="77">
        <f ca="1">IF('main page'!$K$34=1,hystere!H79,hystere!G79)</f>
        <v>100</v>
      </c>
      <c r="G79" s="94">
        <f ca="1">I79-'main page'!$K$27*hystere!N78</f>
        <v>100</v>
      </c>
      <c r="H79" s="75">
        <f ca="1">J79-'main page'!$K$27*N78</f>
        <v>100</v>
      </c>
      <c r="I79" s="75">
        <f t="shared" ca="1" si="4"/>
        <v>108</v>
      </c>
      <c r="J79" s="75">
        <f t="shared" ca="1" si="5"/>
        <v>108</v>
      </c>
      <c r="M79" s="75">
        <f ca="1">IF(ABS('main page'!$K$29*M78+(1-'main page'!$K$29)*(controls!$B$9/100)*100+'main page'!$K$25*(E79-B79)-M78)&lt;0.0000001,M78,'main page'!$K$29*M78+(1-'main page'!$K$29)*(controls!$B$9/100)*100+'main page'!$K$25*(E79-B79))</f>
        <v>2</v>
      </c>
      <c r="N79" s="75">
        <f ca="1">IF(controls!$B$10=1,N78,O79-'main page'!$K$29*M79-(1-'main page'!$K$29)*controls!$B$9)</f>
        <v>4</v>
      </c>
      <c r="O79" s="74">
        <f t="shared" ca="1" si="6"/>
        <v>6</v>
      </c>
      <c r="P79" s="76">
        <f ca="1">IF(controls!$B$10=1,hystere!N79+hystere!M79,hystere!Q79)</f>
        <v>6</v>
      </c>
      <c r="Q79" s="74">
        <f ca="1">IF('main page'!$Y$53=1,'choose m.p.'!$I$22*100,R79)</f>
        <v>6</v>
      </c>
      <c r="R79" s="100">
        <f ca="1">'main page'!$K$29*M79+(1-'main page'!$K$29)*controls!$B$9+S79+(('main page'!$K$25*'main page'!$U$13*'main page'!$K$29)/('main page'!$K$27*(1+('main page'!$K$25^2)*'main page'!$U$13)))*(M79-(controls!$B$9/100)*100)</f>
        <v>6</v>
      </c>
      <c r="S79" s="98">
        <f ca="1">IF(controls!$B$33=1,(J80-E79*X80-B79)/'main page'!$K$27,(I80-E79*X80-B79)/'main page'!$K$27)</f>
        <v>4</v>
      </c>
      <c r="U79" s="71">
        <f>IF(controls!$B$6=1,$AG$4*(1+('main page'!$K$35/100))^V79-$AG$4*(1+('main page'!$K$35/100))^V78,$AG$4*(1+('main page'!$G$8/100))*(1+('main page'!$K$35/100))^V79-$AG$4*(1+('main page'!$G$8/100))*(1+('main page'!$K$35/100))^V78)</f>
        <v>0</v>
      </c>
      <c r="V79" s="73">
        <v>71</v>
      </c>
      <c r="W79" s="40">
        <f>'normal case'!V78</f>
        <v>0</v>
      </c>
      <c r="X79" s="40">
        <f>'normal case'!W78</f>
        <v>0</v>
      </c>
      <c r="Y79" s="49">
        <f ca="1">IF(controls!$B$33=1,E79-($J$4-'main page'!$K$27*2)*(1+('main page'!$K$35/100))^A78,E79-$AG$5)</f>
        <v>0</v>
      </c>
      <c r="Z79" s="49">
        <f ca="1">ABS(M79-(controls!$B$9/100)*100)</f>
        <v>0</v>
      </c>
      <c r="AI79" s="40"/>
      <c r="AJ79" s="40"/>
    </row>
    <row r="80" spans="1:36">
      <c r="A80" s="48">
        <v>77</v>
      </c>
      <c r="B80" s="75">
        <f ca="1">IF(controls!$B$6=2,AVERAGE(E76:E79)+B79*W80+hystere!$AG$9,AVERAGE(E76:E79)+B79*W80)</f>
        <v>100</v>
      </c>
      <c r="C80" s="80">
        <f t="shared" ca="1" si="7"/>
        <v>0</v>
      </c>
      <c r="D80" s="105">
        <f t="shared" ca="1" si="8"/>
        <v>0</v>
      </c>
      <c r="E80" s="77">
        <f t="shared" ca="1" si="9"/>
        <v>100</v>
      </c>
      <c r="F80" s="77">
        <f ca="1">IF('main page'!$K$34=1,hystere!H80,hystere!G80)</f>
        <v>100</v>
      </c>
      <c r="G80" s="94">
        <f ca="1">I80-'main page'!$K$27*hystere!N79</f>
        <v>100</v>
      </c>
      <c r="H80" s="75">
        <f ca="1">J80-'main page'!$K$27*N79</f>
        <v>100</v>
      </c>
      <c r="I80" s="75">
        <f t="shared" ca="1" si="4"/>
        <v>108</v>
      </c>
      <c r="J80" s="75">
        <f t="shared" ca="1" si="5"/>
        <v>108</v>
      </c>
      <c r="M80" s="75">
        <f ca="1">IF(ABS('main page'!$K$29*M79+(1-'main page'!$K$29)*(controls!$B$9/100)*100+'main page'!$K$25*(E80-B80)-M79)&lt;0.0000001,M79,'main page'!$K$29*M79+(1-'main page'!$K$29)*(controls!$B$9/100)*100+'main page'!$K$25*(E80-B80))</f>
        <v>2</v>
      </c>
      <c r="N80" s="75">
        <f ca="1">IF(controls!$B$10=1,N79,O80-'main page'!$K$29*M80-(1-'main page'!$K$29)*controls!$B$9)</f>
        <v>4</v>
      </c>
      <c r="O80" s="74">
        <f t="shared" ca="1" si="6"/>
        <v>6</v>
      </c>
      <c r="P80" s="76">
        <f ca="1">IF(controls!$B$10=1,hystere!N80+hystere!M80,hystere!Q80)</f>
        <v>6</v>
      </c>
      <c r="Q80" s="74">
        <f ca="1">IF('main page'!$Y$53=1,'choose m.p.'!$I$22*100,R80)</f>
        <v>6</v>
      </c>
      <c r="R80" s="100">
        <f ca="1">'main page'!$K$29*M80+(1-'main page'!$K$29)*controls!$B$9+S80+(('main page'!$K$25*'main page'!$U$13*'main page'!$K$29)/('main page'!$K$27*(1+('main page'!$K$25^2)*'main page'!$U$13)))*(M80-(controls!$B$9/100)*100)</f>
        <v>6</v>
      </c>
      <c r="S80" s="98">
        <f ca="1">IF(controls!$B$33=1,(J81-E80*X81-B80)/'main page'!$K$27,(I81-E80*X81-B80)/'main page'!$K$27)</f>
        <v>4</v>
      </c>
      <c r="U80" s="71">
        <f>IF(controls!$B$6=1,$AG$4*(1+('main page'!$K$35/100))^V80-$AG$4*(1+('main page'!$K$35/100))^V79,$AG$4*(1+('main page'!$G$8/100))*(1+('main page'!$K$35/100))^V80-$AG$4*(1+('main page'!$G$8/100))*(1+('main page'!$K$35/100))^V79)</f>
        <v>0</v>
      </c>
      <c r="V80" s="73">
        <v>72</v>
      </c>
      <c r="W80" s="40">
        <f>'normal case'!V79</f>
        <v>0</v>
      </c>
      <c r="X80" s="40">
        <f>'normal case'!W79</f>
        <v>0</v>
      </c>
      <c r="Y80" s="49">
        <f ca="1">IF(controls!$B$33=1,E80-($J$4-'main page'!$K$27*2)*(1+('main page'!$K$35/100))^A79,E80-$AG$5)</f>
        <v>0</v>
      </c>
      <c r="Z80" s="49">
        <f ca="1">ABS(M80-(controls!$B$9/100)*100)</f>
        <v>0</v>
      </c>
      <c r="AI80" s="40"/>
      <c r="AJ80" s="40"/>
    </row>
    <row r="81" spans="1:36">
      <c r="A81" s="48">
        <v>78</v>
      </c>
      <c r="B81" s="75">
        <f ca="1">IF(controls!$B$6=2,AVERAGE(E77:E80)+B80*W81+hystere!$AG$9,AVERAGE(E77:E80)+B80*W81)</f>
        <v>100</v>
      </c>
      <c r="C81" s="80">
        <f t="shared" ca="1" si="7"/>
        <v>0</v>
      </c>
      <c r="D81" s="105">
        <f t="shared" ca="1" si="8"/>
        <v>0</v>
      </c>
      <c r="E81" s="77">
        <f t="shared" ca="1" si="9"/>
        <v>100</v>
      </c>
      <c r="F81" s="77">
        <f ca="1">IF('main page'!$K$34=1,hystere!H81,hystere!G81)</f>
        <v>100</v>
      </c>
      <c r="G81" s="94">
        <f ca="1">I81-'main page'!$K$27*hystere!N80</f>
        <v>100</v>
      </c>
      <c r="H81" s="75">
        <f ca="1">J81-'main page'!$K$27*N80</f>
        <v>100</v>
      </c>
      <c r="I81" s="75">
        <f t="shared" ca="1" si="4"/>
        <v>108</v>
      </c>
      <c r="J81" s="75">
        <f t="shared" ca="1" si="5"/>
        <v>108</v>
      </c>
      <c r="M81" s="75">
        <f ca="1">IF(ABS('main page'!$K$29*M80+(1-'main page'!$K$29)*(controls!$B$9/100)*100+'main page'!$K$25*(E81-B81)-M80)&lt;0.0000001,M80,'main page'!$K$29*M80+(1-'main page'!$K$29)*(controls!$B$9/100)*100+'main page'!$K$25*(E81-B81))</f>
        <v>2</v>
      </c>
      <c r="N81" s="75">
        <f ca="1">IF(controls!$B$10=1,N80,O81-'main page'!$K$29*M81-(1-'main page'!$K$29)*controls!$B$9)</f>
        <v>4</v>
      </c>
      <c r="O81" s="74">
        <f t="shared" ca="1" si="6"/>
        <v>6</v>
      </c>
      <c r="P81" s="76">
        <f ca="1">IF(controls!$B$10=1,hystere!N81+hystere!M81,hystere!Q81)</f>
        <v>6</v>
      </c>
      <c r="Q81" s="74">
        <f ca="1">IF('main page'!$Y$53=1,'choose m.p.'!$I$22*100,R81)</f>
        <v>6</v>
      </c>
      <c r="R81" s="100">
        <f ca="1">'main page'!$K$29*M81+(1-'main page'!$K$29)*controls!$B$9+S81+(('main page'!$K$25*'main page'!$U$13*'main page'!$K$29)/('main page'!$K$27*(1+('main page'!$K$25^2)*'main page'!$U$13)))*(M81-(controls!$B$9/100)*100)</f>
        <v>6</v>
      </c>
      <c r="S81" s="98">
        <f ca="1">IF(controls!$B$33=1,(J82-E81*X82-B81)/'main page'!$K$27,(I82-E81*X82-B81)/'main page'!$K$27)</f>
        <v>4</v>
      </c>
      <c r="U81" s="71">
        <f>IF(controls!$B$6=1,$AG$4*(1+('main page'!$K$35/100))^V81-$AG$4*(1+('main page'!$K$35/100))^V80,$AG$4*(1+('main page'!$G$8/100))*(1+('main page'!$K$35/100))^V81-$AG$4*(1+('main page'!$G$8/100))*(1+('main page'!$K$35/100))^V80)</f>
        <v>0</v>
      </c>
      <c r="V81" s="73">
        <v>73</v>
      </c>
      <c r="W81" s="40">
        <f ca="1">'normal case'!V80</f>
        <v>0</v>
      </c>
      <c r="X81" s="40">
        <f ca="1">'normal case'!W80</f>
        <v>0</v>
      </c>
      <c r="Y81" s="49">
        <f ca="1">IF(controls!$B$33=1,E81-($J$4-'main page'!$K$27*2)*(1+('main page'!$K$35/100))^A80,E81-$AG$5)</f>
        <v>0</v>
      </c>
      <c r="Z81" s="49">
        <f ca="1">ABS(M81-(controls!$B$9/100)*100)</f>
        <v>0</v>
      </c>
      <c r="AI81" s="40"/>
      <c r="AJ81" s="40"/>
    </row>
    <row r="82" spans="1:36">
      <c r="A82" s="48">
        <v>79</v>
      </c>
      <c r="B82" s="75">
        <f ca="1">IF(controls!$B$6=2,AVERAGE(E78:E81)+B81*W82+hystere!$AG$9,AVERAGE(E78:E81)+B81*W82)</f>
        <v>100</v>
      </c>
      <c r="C82" s="80">
        <f t="shared" ca="1" si="7"/>
        <v>0</v>
      </c>
      <c r="D82" s="105">
        <f t="shared" ca="1" si="8"/>
        <v>0</v>
      </c>
      <c r="E82" s="77">
        <f t="shared" ca="1" si="9"/>
        <v>100</v>
      </c>
      <c r="F82" s="77">
        <f ca="1">IF('main page'!$K$34=1,hystere!H82,hystere!G82)</f>
        <v>100</v>
      </c>
      <c r="G82" s="94">
        <f ca="1">I82-'main page'!$K$27*hystere!N81</f>
        <v>100</v>
      </c>
      <c r="H82" s="75">
        <f ca="1">J82-'main page'!$K$27*N81</f>
        <v>100</v>
      </c>
      <c r="I82" s="75">
        <f t="shared" ca="1" si="4"/>
        <v>108</v>
      </c>
      <c r="J82" s="75">
        <f t="shared" ca="1" si="5"/>
        <v>108</v>
      </c>
      <c r="M82" s="75">
        <f ca="1">IF(ABS('main page'!$K$29*M81+(1-'main page'!$K$29)*(controls!$B$9/100)*100+'main page'!$K$25*(E82-B82)-M81)&lt;0.0000001,M81,'main page'!$K$29*M81+(1-'main page'!$K$29)*(controls!$B$9/100)*100+'main page'!$K$25*(E82-B82))</f>
        <v>2</v>
      </c>
      <c r="N82" s="75">
        <f ca="1">IF(controls!$B$10=1,N81,O82-'main page'!$K$29*M82-(1-'main page'!$K$29)*controls!$B$9)</f>
        <v>4</v>
      </c>
      <c r="O82" s="74">
        <f t="shared" ca="1" si="6"/>
        <v>6</v>
      </c>
      <c r="P82" s="76">
        <f ca="1">IF(controls!$B$10=1,hystere!N82+hystere!M82,hystere!Q82)</f>
        <v>6</v>
      </c>
      <c r="Q82" s="74">
        <f ca="1">IF('main page'!$Y$53=1,'choose m.p.'!$I$22*100,R82)</f>
        <v>6</v>
      </c>
      <c r="R82" s="100">
        <f ca="1">'main page'!$K$29*M82+(1-'main page'!$K$29)*controls!$B$9+S82+(('main page'!$K$25*'main page'!$U$13*'main page'!$K$29)/('main page'!$K$27*(1+('main page'!$K$25^2)*'main page'!$U$13)))*(M82-(controls!$B$9/100)*100)</f>
        <v>6</v>
      </c>
      <c r="S82" s="98">
        <f ca="1">IF(controls!$B$33=1,(J83-E82*X83-B82)/'main page'!$K$27,(I83-E82*X83-B82)/'main page'!$K$27)</f>
        <v>4</v>
      </c>
      <c r="U82" s="71">
        <f>IF(controls!$B$6=1,$AG$4*(1+('main page'!$K$35/100))^V82-$AG$4*(1+('main page'!$K$35/100))^V81,$AG$4*(1+('main page'!$G$8/100))*(1+('main page'!$K$35/100))^V82-$AG$4*(1+('main page'!$G$8/100))*(1+('main page'!$K$35/100))^V81)</f>
        <v>0</v>
      </c>
      <c r="V82" s="73">
        <v>74</v>
      </c>
      <c r="W82" s="40">
        <f>'normal case'!V81</f>
        <v>0</v>
      </c>
      <c r="X82" s="40">
        <f>'normal case'!W81</f>
        <v>0</v>
      </c>
      <c r="Y82" s="49">
        <f ca="1">IF(controls!$B$33=1,E82-($J$4-'main page'!$K$27*2)*(1+('main page'!$K$35/100))^A81,E82-$AG$5)</f>
        <v>0</v>
      </c>
      <c r="Z82" s="49">
        <f ca="1">ABS(M82-(controls!$B$9/100)*100)</f>
        <v>0</v>
      </c>
      <c r="AI82" s="40"/>
      <c r="AJ82" s="40"/>
    </row>
    <row r="83" spans="1:36">
      <c r="A83" s="48">
        <v>80</v>
      </c>
      <c r="B83" s="75">
        <f ca="1">IF(controls!$B$6=2,AVERAGE(E79:E82)+B82*W83+hystere!$AG$9,AVERAGE(E79:E82)+B82*W83)</f>
        <v>100</v>
      </c>
      <c r="C83" s="80">
        <f t="shared" ca="1" si="7"/>
        <v>0</v>
      </c>
      <c r="D83" s="105">
        <f t="shared" ca="1" si="8"/>
        <v>0</v>
      </c>
      <c r="E83" s="77">
        <f t="shared" ca="1" si="9"/>
        <v>100</v>
      </c>
      <c r="F83" s="77">
        <f ca="1">IF('main page'!$K$34=1,hystere!H83,hystere!G83)</f>
        <v>100</v>
      </c>
      <c r="G83" s="94">
        <f ca="1">I83-'main page'!$K$27*hystere!N82</f>
        <v>100</v>
      </c>
      <c r="H83" s="75">
        <f ca="1">J83-'main page'!$K$27*N82</f>
        <v>100</v>
      </c>
      <c r="I83" s="75">
        <f t="shared" ca="1" si="4"/>
        <v>108</v>
      </c>
      <c r="J83" s="75">
        <f t="shared" ca="1" si="5"/>
        <v>108</v>
      </c>
      <c r="M83" s="75">
        <f ca="1">IF(ABS('main page'!$K$29*M82+(1-'main page'!$K$29)*(controls!$B$9/100)*100+'main page'!$K$25*(E83-B83)-M82)&lt;0.0000001,M82,'main page'!$K$29*M82+(1-'main page'!$K$29)*(controls!$B$9/100)*100+'main page'!$K$25*(E83-B83))</f>
        <v>2</v>
      </c>
      <c r="N83" s="75">
        <f ca="1">IF(controls!$B$10=1,N82,O83-'main page'!$K$29*M83-(1-'main page'!$K$29)*controls!$B$9)</f>
        <v>4</v>
      </c>
      <c r="O83" s="74">
        <f t="shared" ca="1" si="6"/>
        <v>6</v>
      </c>
      <c r="P83" s="76">
        <f ca="1">IF(controls!$B$10=1,hystere!N83+hystere!M83,hystere!Q83)</f>
        <v>6</v>
      </c>
      <c r="Q83" s="74">
        <f ca="1">IF('main page'!$Y$53=1,'choose m.p.'!$I$22*100,R83)</f>
        <v>6</v>
      </c>
      <c r="R83" s="100">
        <f ca="1">'main page'!$K$29*M83+(1-'main page'!$K$29)*controls!$B$9+S83+(('main page'!$K$25*'main page'!$U$13*'main page'!$K$29)/('main page'!$K$27*(1+('main page'!$K$25^2)*'main page'!$U$13)))*(M83-(controls!$B$9/100)*100)</f>
        <v>6</v>
      </c>
      <c r="S83" s="98">
        <f ca="1">IF(controls!$B$33=1,(J84-E83*X84-B83)/'main page'!$K$27,(I84-E83*X84-B83)/'main page'!$K$27)</f>
        <v>4</v>
      </c>
      <c r="U83" s="71">
        <f>IF(controls!$B$6=1,$AG$4*(1+('main page'!$K$35/100))^V83-$AG$4*(1+('main page'!$K$35/100))^V82,$AG$4*(1+('main page'!$G$8/100))*(1+('main page'!$K$35/100))^V83-$AG$4*(1+('main page'!$G$8/100))*(1+('main page'!$K$35/100))^V82)</f>
        <v>0</v>
      </c>
      <c r="V83" s="73">
        <v>75</v>
      </c>
      <c r="W83" s="40">
        <f>'normal case'!V82</f>
        <v>0</v>
      </c>
      <c r="X83" s="40">
        <f>'normal case'!W82</f>
        <v>0</v>
      </c>
      <c r="Y83" s="49">
        <f ca="1">IF(controls!$B$33=1,E83-($J$4-'main page'!$K$27*2)*(1+('main page'!$K$35/100))^A82,E83-$AG$5)</f>
        <v>0</v>
      </c>
      <c r="Z83" s="49">
        <f ca="1">ABS(M83-(controls!$B$9/100)*100)</f>
        <v>0</v>
      </c>
      <c r="AI83" s="40"/>
      <c r="AJ83" s="40"/>
    </row>
    <row r="84" spans="1:36">
      <c r="A84" s="48">
        <v>81</v>
      </c>
      <c r="B84" s="75">
        <f ca="1">IF(controls!$B$6=2,AVERAGE(E80:E83)+B83*W84+hystere!$AG$9,AVERAGE(E80:E83)+B83*W84)</f>
        <v>100</v>
      </c>
      <c r="C84" s="80">
        <f t="shared" ca="1" si="7"/>
        <v>0</v>
      </c>
      <c r="D84" s="105">
        <f t="shared" ca="1" si="8"/>
        <v>0</v>
      </c>
      <c r="E84" s="77">
        <f t="shared" ca="1" si="9"/>
        <v>100</v>
      </c>
      <c r="F84" s="77">
        <f ca="1">IF('main page'!$K$34=1,hystere!H84,hystere!G84)</f>
        <v>100</v>
      </c>
      <c r="G84" s="94">
        <f ca="1">I84-'main page'!$K$27*hystere!N83</f>
        <v>100</v>
      </c>
      <c r="H84" s="75">
        <f ca="1">J84-'main page'!$K$27*N83</f>
        <v>100</v>
      </c>
      <c r="I84" s="75">
        <f t="shared" ca="1" si="4"/>
        <v>108</v>
      </c>
      <c r="J84" s="75">
        <f t="shared" ca="1" si="5"/>
        <v>108</v>
      </c>
      <c r="M84" s="75">
        <f ca="1">IF(ABS('main page'!$K$29*M83+(1-'main page'!$K$29)*(controls!$B$9/100)*100+'main page'!$K$25*(E84-B84)-M83)&lt;0.0000001,M83,'main page'!$K$29*M83+(1-'main page'!$K$29)*(controls!$B$9/100)*100+'main page'!$K$25*(E84-B84))</f>
        <v>2</v>
      </c>
      <c r="N84" s="75">
        <f ca="1">IF(controls!$B$10=1,N83,O84-'main page'!$K$29*M84-(1-'main page'!$K$29)*controls!$B$9)</f>
        <v>4</v>
      </c>
      <c r="O84" s="74">
        <f t="shared" ca="1" si="6"/>
        <v>6</v>
      </c>
      <c r="P84" s="76">
        <f ca="1">IF(controls!$B$10=1,hystere!N84+hystere!M84,hystere!Q84)</f>
        <v>6</v>
      </c>
      <c r="Q84" s="74">
        <f ca="1">IF('main page'!$Y$53=1,'choose m.p.'!$I$22*100,R84)</f>
        <v>6</v>
      </c>
      <c r="R84" s="100">
        <f ca="1">'main page'!$K$29*M84+(1-'main page'!$K$29)*controls!$B$9+S84+(('main page'!$K$25*'main page'!$U$13*'main page'!$K$29)/('main page'!$K$27*(1+('main page'!$K$25^2)*'main page'!$U$13)))*(M84-(controls!$B$9/100)*100)</f>
        <v>6</v>
      </c>
      <c r="S84" s="98">
        <f ca="1">IF(controls!$B$33=1,(J85-E84*X85-B84)/'main page'!$K$27,(I85-E84*X85-B84)/'main page'!$K$27)</f>
        <v>4</v>
      </c>
      <c r="U84" s="71">
        <f>IF(controls!$B$6=1,$AG$4*(1+('main page'!$K$35/100))^V84-$AG$4*(1+('main page'!$K$35/100))^V83,$AG$4*(1+('main page'!$G$8/100))*(1+('main page'!$K$35/100))^V84-$AG$4*(1+('main page'!$G$8/100))*(1+('main page'!$K$35/100))^V83)</f>
        <v>0</v>
      </c>
      <c r="V84" s="73">
        <v>76</v>
      </c>
      <c r="W84" s="40">
        <f ca="1">'normal case'!V83</f>
        <v>0</v>
      </c>
      <c r="X84" s="40">
        <f ca="1">'normal case'!W83</f>
        <v>0</v>
      </c>
      <c r="Y84" s="49">
        <f ca="1">IF(controls!$B$33=1,E84-($J$4-'main page'!$K$27*2)*(1+('main page'!$K$35/100))^A83,E84-$AG$5)</f>
        <v>0</v>
      </c>
      <c r="Z84" s="49">
        <f ca="1">ABS(M84-(controls!$B$9/100)*100)</f>
        <v>0</v>
      </c>
      <c r="AI84" s="40"/>
      <c r="AJ84" s="40"/>
    </row>
    <row r="85" spans="1:36">
      <c r="A85" s="48">
        <v>82</v>
      </c>
      <c r="B85" s="75">
        <f ca="1">IF(controls!$B$6=2,AVERAGE(E81:E84)+B84*W85+hystere!$AG$9,AVERAGE(E81:E84)+B84*W85)</f>
        <v>100</v>
      </c>
      <c r="C85" s="80">
        <f t="shared" ca="1" si="7"/>
        <v>0</v>
      </c>
      <c r="D85" s="105">
        <f t="shared" ca="1" si="8"/>
        <v>0</v>
      </c>
      <c r="E85" s="77">
        <f t="shared" ca="1" si="9"/>
        <v>100</v>
      </c>
      <c r="F85" s="77">
        <f ca="1">IF('main page'!$K$34=1,hystere!H85,hystere!G85)</f>
        <v>100</v>
      </c>
      <c r="G85" s="94">
        <f ca="1">I85-'main page'!$K$27*hystere!N84</f>
        <v>100</v>
      </c>
      <c r="H85" s="75">
        <f ca="1">J85-'main page'!$K$27*N84</f>
        <v>100</v>
      </c>
      <c r="I85" s="75">
        <f t="shared" ca="1" si="4"/>
        <v>108</v>
      </c>
      <c r="J85" s="75">
        <f t="shared" ca="1" si="5"/>
        <v>108</v>
      </c>
      <c r="M85" s="75">
        <f ca="1">IF(ABS('main page'!$K$29*M84+(1-'main page'!$K$29)*(controls!$B$9/100)*100+'main page'!$K$25*(E85-B85)-M84)&lt;0.0000001,M84,'main page'!$K$29*M84+(1-'main page'!$K$29)*(controls!$B$9/100)*100+'main page'!$K$25*(E85-B85))</f>
        <v>2</v>
      </c>
      <c r="N85" s="75">
        <f ca="1">IF(controls!$B$10=1,N84,O85-'main page'!$K$29*M85-(1-'main page'!$K$29)*controls!$B$9)</f>
        <v>4</v>
      </c>
      <c r="O85" s="74">
        <f t="shared" ca="1" si="6"/>
        <v>6</v>
      </c>
      <c r="P85" s="76">
        <f ca="1">IF(controls!$B$10=1,hystere!N85+hystere!M85,hystere!Q85)</f>
        <v>6</v>
      </c>
      <c r="Q85" s="74">
        <f ca="1">IF('main page'!$Y$53=1,'choose m.p.'!$I$22*100,R85)</f>
        <v>6</v>
      </c>
      <c r="R85" s="100">
        <f ca="1">'main page'!$K$29*M85+(1-'main page'!$K$29)*controls!$B$9+S85+(('main page'!$K$25*'main page'!$U$13*'main page'!$K$29)/('main page'!$K$27*(1+('main page'!$K$25^2)*'main page'!$U$13)))*(M85-(controls!$B$9/100)*100)</f>
        <v>6</v>
      </c>
      <c r="S85" s="98">
        <f ca="1">IF(controls!$B$33=1,(J86-E85*X86-B85)/'main page'!$K$27,(I86-E85*X86-B85)/'main page'!$K$27)</f>
        <v>4</v>
      </c>
      <c r="U85" s="71">
        <f>IF(controls!$B$6=1,$AG$4*(1+('main page'!$K$35/100))^V85-$AG$4*(1+('main page'!$K$35/100))^V84,$AG$4*(1+('main page'!$G$8/100))*(1+('main page'!$K$35/100))^V85-$AG$4*(1+('main page'!$G$8/100))*(1+('main page'!$K$35/100))^V84)</f>
        <v>0</v>
      </c>
      <c r="V85" s="73">
        <v>77</v>
      </c>
      <c r="W85" s="40">
        <f>'normal case'!V84</f>
        <v>0</v>
      </c>
      <c r="X85" s="40">
        <f>'normal case'!W84</f>
        <v>0</v>
      </c>
      <c r="Y85" s="49">
        <f ca="1">IF(controls!$B$33=1,E85-($J$4-'main page'!$K$27*2)*(1+('main page'!$K$35/100))^A84,E85-$AG$5)</f>
        <v>0</v>
      </c>
      <c r="Z85" s="49">
        <f ca="1">ABS(M85-(controls!$B$9/100)*100)</f>
        <v>0</v>
      </c>
      <c r="AI85" s="40"/>
      <c r="AJ85" s="40"/>
    </row>
    <row r="86" spans="1:36">
      <c r="A86" s="48">
        <v>83</v>
      </c>
      <c r="B86" s="75">
        <f ca="1">IF(controls!$B$6=2,AVERAGE(E82:E85)+B85*W86+hystere!$AG$9,AVERAGE(E82:E85)+B85*W86)</f>
        <v>100</v>
      </c>
      <c r="C86" s="80">
        <f t="shared" ca="1" si="7"/>
        <v>0</v>
      </c>
      <c r="D86" s="105">
        <f t="shared" ca="1" si="8"/>
        <v>0</v>
      </c>
      <c r="E86" s="77">
        <f t="shared" ca="1" si="9"/>
        <v>100</v>
      </c>
      <c r="F86" s="77">
        <f ca="1">IF('main page'!$K$34=1,hystere!H86,hystere!G86)</f>
        <v>100</v>
      </c>
      <c r="G86" s="94">
        <f ca="1">I86-'main page'!$K$27*hystere!N85</f>
        <v>100</v>
      </c>
      <c r="H86" s="75">
        <f ca="1">J86-'main page'!$K$27*N85</f>
        <v>100</v>
      </c>
      <c r="I86" s="75">
        <f t="shared" ca="1" si="4"/>
        <v>108</v>
      </c>
      <c r="J86" s="75">
        <f t="shared" ca="1" si="5"/>
        <v>108</v>
      </c>
      <c r="M86" s="75">
        <f ca="1">IF(ABS('main page'!$K$29*M85+(1-'main page'!$K$29)*(controls!$B$9/100)*100+'main page'!$K$25*(E86-B86)-M85)&lt;0.0000001,M85,'main page'!$K$29*M85+(1-'main page'!$K$29)*(controls!$B$9/100)*100+'main page'!$K$25*(E86-B86))</f>
        <v>2</v>
      </c>
      <c r="N86" s="75">
        <f ca="1">IF(controls!$B$10=1,N85,O86-'main page'!$K$29*M86-(1-'main page'!$K$29)*controls!$B$9)</f>
        <v>4</v>
      </c>
      <c r="O86" s="74">
        <f t="shared" ca="1" si="6"/>
        <v>6</v>
      </c>
      <c r="P86" s="76">
        <f ca="1">IF(controls!$B$10=1,hystere!N86+hystere!M86,hystere!Q86)</f>
        <v>6</v>
      </c>
      <c r="Q86" s="74">
        <f ca="1">IF('main page'!$Y$53=1,'choose m.p.'!$I$22*100,R86)</f>
        <v>6</v>
      </c>
      <c r="R86" s="100">
        <f ca="1">'main page'!$K$29*M86+(1-'main page'!$K$29)*controls!$B$9+S86+(('main page'!$K$25*'main page'!$U$13*'main page'!$K$29)/('main page'!$K$27*(1+('main page'!$K$25^2)*'main page'!$U$13)))*(M86-(controls!$B$9/100)*100)</f>
        <v>6</v>
      </c>
      <c r="S86" s="98">
        <f ca="1">IF(controls!$B$33=1,(J87-E86*X87-B86)/'main page'!$K$27,(I87-E86*X87-B86)/'main page'!$K$27)</f>
        <v>4</v>
      </c>
      <c r="U86" s="71">
        <f>IF(controls!$B$6=1,$AG$4*(1+('main page'!$K$35/100))^V86-$AG$4*(1+('main page'!$K$35/100))^V85,$AG$4*(1+('main page'!$G$8/100))*(1+('main page'!$K$35/100))^V86-$AG$4*(1+('main page'!$G$8/100))*(1+('main page'!$K$35/100))^V85)</f>
        <v>0</v>
      </c>
      <c r="V86" s="73">
        <v>78</v>
      </c>
      <c r="W86" s="40">
        <f>'normal case'!V85</f>
        <v>0</v>
      </c>
      <c r="X86" s="40">
        <f>'normal case'!W85</f>
        <v>0</v>
      </c>
      <c r="Y86" s="49">
        <f ca="1">IF(controls!$B$33=1,E86-($J$4-'main page'!$K$27*2)*(1+('main page'!$K$35/100))^A85,E86-$AG$5)</f>
        <v>0</v>
      </c>
      <c r="Z86" s="49">
        <f ca="1">ABS(M86-(controls!$B$9/100)*100)</f>
        <v>0</v>
      </c>
      <c r="AI86" s="40"/>
      <c r="AJ86" s="40"/>
    </row>
    <row r="87" spans="1:36">
      <c r="A87" s="48">
        <v>84</v>
      </c>
      <c r="B87" s="75">
        <f ca="1">IF(controls!$B$6=2,AVERAGE(E83:E86)+B86*W87+hystere!$AG$9,AVERAGE(E83:E86)+B86*W87)</f>
        <v>100</v>
      </c>
      <c r="C87" s="80">
        <f t="shared" ca="1" si="7"/>
        <v>0</v>
      </c>
      <c r="D87" s="105">
        <f t="shared" ca="1" si="8"/>
        <v>0</v>
      </c>
      <c r="E87" s="77">
        <f t="shared" ca="1" si="9"/>
        <v>100</v>
      </c>
      <c r="F87" s="77">
        <f ca="1">IF('main page'!$K$34=1,hystere!H87,hystere!G87)</f>
        <v>100</v>
      </c>
      <c r="G87" s="94">
        <f ca="1">I87-'main page'!$K$27*hystere!N86</f>
        <v>100</v>
      </c>
      <c r="H87" s="75">
        <f ca="1">J87-'main page'!$K$27*N86</f>
        <v>100</v>
      </c>
      <c r="I87" s="75">
        <f t="shared" ca="1" si="4"/>
        <v>108</v>
      </c>
      <c r="J87" s="75">
        <f t="shared" ca="1" si="5"/>
        <v>108</v>
      </c>
      <c r="M87" s="75">
        <f ca="1">IF(ABS('main page'!$K$29*M86+(1-'main page'!$K$29)*(controls!$B$9/100)*100+'main page'!$K$25*(E87-B87)-M86)&lt;0.0000001,M86,'main page'!$K$29*M86+(1-'main page'!$K$29)*(controls!$B$9/100)*100+'main page'!$K$25*(E87-B87))</f>
        <v>2</v>
      </c>
      <c r="N87" s="75">
        <f ca="1">IF(controls!$B$10=1,N86,O87-'main page'!$K$29*M87-(1-'main page'!$K$29)*controls!$B$9)</f>
        <v>4</v>
      </c>
      <c r="O87" s="74">
        <f t="shared" ca="1" si="6"/>
        <v>6</v>
      </c>
      <c r="P87" s="76">
        <f ca="1">IF(controls!$B$10=1,hystere!N87+hystere!M87,hystere!Q87)</f>
        <v>6</v>
      </c>
      <c r="Q87" s="74">
        <f ca="1">IF('main page'!$Y$53=1,'choose m.p.'!$I$22*100,R87)</f>
        <v>6</v>
      </c>
      <c r="R87" s="100">
        <f ca="1">'main page'!$K$29*M87+(1-'main page'!$K$29)*controls!$B$9+S87+(('main page'!$K$25*'main page'!$U$13*'main page'!$K$29)/('main page'!$K$27*(1+('main page'!$K$25^2)*'main page'!$U$13)))*(M87-(controls!$B$9/100)*100)</f>
        <v>6</v>
      </c>
      <c r="S87" s="98">
        <f ca="1">IF(controls!$B$33=1,(J88-E87*X88-B87)/'main page'!$K$27,(I88-E87*X88-B87)/'main page'!$K$27)</f>
        <v>4</v>
      </c>
      <c r="U87" s="71">
        <f>IF(controls!$B$6=1,$AG$4*(1+('main page'!$K$35/100))^V87-$AG$4*(1+('main page'!$K$35/100))^V86,$AG$4*(1+('main page'!$G$8/100))*(1+('main page'!$K$35/100))^V87-$AG$4*(1+('main page'!$G$8/100))*(1+('main page'!$K$35/100))^V86)</f>
        <v>0</v>
      </c>
      <c r="V87" s="73">
        <v>79</v>
      </c>
      <c r="W87" s="40">
        <f ca="1">'normal case'!V86</f>
        <v>0</v>
      </c>
      <c r="X87" s="40">
        <f ca="1">'normal case'!W86</f>
        <v>0</v>
      </c>
      <c r="Y87" s="49">
        <f ca="1">IF(controls!$B$33=1,E87-($J$4-'main page'!$K$27*2)*(1+('main page'!$K$35/100))^A86,E87-$AG$5)</f>
        <v>0</v>
      </c>
      <c r="Z87" s="49">
        <f ca="1">ABS(M87-(controls!$B$9/100)*100)</f>
        <v>0</v>
      </c>
      <c r="AI87" s="40"/>
      <c r="AJ87" s="40"/>
    </row>
    <row r="88" spans="1:36">
      <c r="A88" s="48">
        <v>85</v>
      </c>
      <c r="B88" s="75">
        <f ca="1">IF(controls!$B$6=2,AVERAGE(E84:E87)+B87*W88+hystere!$AG$9,AVERAGE(E84:E87)+B87*W88)</f>
        <v>100</v>
      </c>
      <c r="C88" s="80">
        <f t="shared" ca="1" si="7"/>
        <v>0</v>
      </c>
      <c r="D88" s="105">
        <f t="shared" ca="1" si="8"/>
        <v>0</v>
      </c>
      <c r="E88" s="77">
        <f t="shared" ca="1" si="9"/>
        <v>100</v>
      </c>
      <c r="F88" s="77">
        <f ca="1">IF('main page'!$K$34=1,hystere!H88,hystere!G88)</f>
        <v>100</v>
      </c>
      <c r="G88" s="94">
        <f ca="1">I88-'main page'!$K$27*hystere!N87</f>
        <v>100</v>
      </c>
      <c r="H88" s="75">
        <f ca="1">J88-'main page'!$K$27*N87</f>
        <v>100</v>
      </c>
      <c r="I88" s="75">
        <f t="shared" ca="1" si="4"/>
        <v>108</v>
      </c>
      <c r="J88" s="75">
        <f t="shared" ca="1" si="5"/>
        <v>108</v>
      </c>
      <c r="M88" s="75">
        <f ca="1">IF(ABS('main page'!$K$29*M87+(1-'main page'!$K$29)*(controls!$B$9/100)*100+'main page'!$K$25*(E88-B88)-M87)&lt;0.0000001,M87,'main page'!$K$29*M87+(1-'main page'!$K$29)*(controls!$B$9/100)*100+'main page'!$K$25*(E88-B88))</f>
        <v>2</v>
      </c>
      <c r="N88" s="75">
        <f ca="1">IF(controls!$B$10=1,N87,O88-'main page'!$K$29*M88-(1-'main page'!$K$29)*controls!$B$9)</f>
        <v>4</v>
      </c>
      <c r="O88" s="74">
        <f t="shared" ca="1" si="6"/>
        <v>6</v>
      </c>
      <c r="P88" s="76">
        <f ca="1">IF(controls!$B$10=1,hystere!N88+hystere!M88,hystere!Q88)</f>
        <v>6</v>
      </c>
      <c r="Q88" s="74">
        <f ca="1">IF('main page'!$Y$53=1,'choose m.p.'!$I$22*100,R88)</f>
        <v>6</v>
      </c>
      <c r="R88" s="100">
        <f ca="1">'main page'!$K$29*M88+(1-'main page'!$K$29)*controls!$B$9+S88+(('main page'!$K$25*'main page'!$U$13*'main page'!$K$29)/('main page'!$K$27*(1+('main page'!$K$25^2)*'main page'!$U$13)))*(M88-(controls!$B$9/100)*100)</f>
        <v>6</v>
      </c>
      <c r="S88" s="98">
        <f ca="1">IF(controls!$B$33=1,(J89-E88*X89-B88)/'main page'!$K$27,(I89-E88*X89-B88)/'main page'!$K$27)</f>
        <v>4</v>
      </c>
      <c r="U88" s="71">
        <f>IF(controls!$B$6=1,$AG$4*(1+('main page'!$K$35/100))^V88-$AG$4*(1+('main page'!$K$35/100))^V87,$AG$4*(1+('main page'!$G$8/100))*(1+('main page'!$K$35/100))^V88-$AG$4*(1+('main page'!$G$8/100))*(1+('main page'!$K$35/100))^V87)</f>
        <v>0</v>
      </c>
      <c r="V88" s="73">
        <v>80</v>
      </c>
      <c r="W88" s="40">
        <f>'normal case'!V87</f>
        <v>0</v>
      </c>
      <c r="X88" s="40">
        <f>'normal case'!W87</f>
        <v>0</v>
      </c>
      <c r="Y88" s="49">
        <f ca="1">IF(controls!$B$33=1,E88-($J$4-'main page'!$K$27*2)*(1+('main page'!$K$35/100))^A87,E88-$AG$5)</f>
        <v>0</v>
      </c>
      <c r="Z88" s="49">
        <f ca="1">ABS(M88-(controls!$B$9/100)*100)</f>
        <v>0</v>
      </c>
      <c r="AI88" s="40"/>
      <c r="AJ88" s="40"/>
    </row>
    <row r="89" spans="1:36">
      <c r="A89" s="48">
        <v>86</v>
      </c>
      <c r="B89" s="75">
        <f ca="1">IF(controls!$B$6=2,AVERAGE(E85:E88)+B88*W89+hystere!$AG$9,AVERAGE(E85:E88)+B88*W89)</f>
        <v>100</v>
      </c>
      <c r="C89" s="80">
        <f t="shared" ca="1" si="7"/>
        <v>0</v>
      </c>
      <c r="D89" s="105">
        <f t="shared" ca="1" si="8"/>
        <v>0</v>
      </c>
      <c r="E89" s="77">
        <f t="shared" ca="1" si="9"/>
        <v>100</v>
      </c>
      <c r="F89" s="77">
        <f ca="1">IF('main page'!$K$34=1,hystere!H89,hystere!G89)</f>
        <v>100</v>
      </c>
      <c r="G89" s="94">
        <f ca="1">I89-'main page'!$K$27*hystere!N88</f>
        <v>100</v>
      </c>
      <c r="H89" s="75">
        <f ca="1">J89-'main page'!$K$27*N88</f>
        <v>100</v>
      </c>
      <c r="I89" s="75">
        <f t="shared" ref="I89:I152" ca="1" si="10">I88+E88*X89</f>
        <v>108</v>
      </c>
      <c r="J89" s="75">
        <f t="shared" ref="J89:J152" ca="1" si="11">J88+E88*X89+U89</f>
        <v>108</v>
      </c>
      <c r="M89" s="75">
        <f ca="1">IF(ABS('main page'!$K$29*M88+(1-'main page'!$K$29)*(controls!$B$9/100)*100+'main page'!$K$25*(E89-B89)-M88)&lt;0.0000001,M88,'main page'!$K$29*M88+(1-'main page'!$K$29)*(controls!$B$9/100)*100+'main page'!$K$25*(E89-B89))</f>
        <v>2</v>
      </c>
      <c r="N89" s="75">
        <f ca="1">IF(controls!$B$10=1,N88,O89-'main page'!$K$29*M89-(1-'main page'!$K$29)*controls!$B$9)</f>
        <v>4</v>
      </c>
      <c r="O89" s="74">
        <f t="shared" ca="1" si="6"/>
        <v>6</v>
      </c>
      <c r="P89" s="76">
        <f ca="1">IF(controls!$B$10=1,hystere!N89+hystere!M89,hystere!Q89)</f>
        <v>6</v>
      </c>
      <c r="Q89" s="74">
        <f ca="1">IF('main page'!$Y$53=1,'choose m.p.'!$I$22*100,R89)</f>
        <v>6</v>
      </c>
      <c r="R89" s="100">
        <f ca="1">'main page'!$K$29*M89+(1-'main page'!$K$29)*controls!$B$9+S89+(('main page'!$K$25*'main page'!$U$13*'main page'!$K$29)/('main page'!$K$27*(1+('main page'!$K$25^2)*'main page'!$U$13)))*(M89-(controls!$B$9/100)*100)</f>
        <v>6</v>
      </c>
      <c r="S89" s="98">
        <f ca="1">IF(controls!$B$33=1,(J90-E89*X90-B89)/'main page'!$K$27,(I90-E89*X90-B89)/'main page'!$K$27)</f>
        <v>4</v>
      </c>
      <c r="U89" s="71">
        <f>IF(controls!$B$6=1,$AG$4*(1+('main page'!$K$35/100))^V89-$AG$4*(1+('main page'!$K$35/100))^V88,$AG$4*(1+('main page'!$G$8/100))*(1+('main page'!$K$35/100))^V89-$AG$4*(1+('main page'!$G$8/100))*(1+('main page'!$K$35/100))^V88)</f>
        <v>0</v>
      </c>
      <c r="V89" s="73">
        <v>81</v>
      </c>
      <c r="W89" s="40">
        <f>'normal case'!V88</f>
        <v>0</v>
      </c>
      <c r="X89" s="40">
        <f>'normal case'!W88</f>
        <v>0</v>
      </c>
      <c r="Y89" s="49">
        <f ca="1">IF(controls!$B$33=1,E89-($J$4-'main page'!$K$27*2)*(1+('main page'!$K$35/100))^A88,E89-$AG$5)</f>
        <v>0</v>
      </c>
      <c r="Z89" s="49">
        <f ca="1">ABS(M89-(controls!$B$9/100)*100)</f>
        <v>0</v>
      </c>
      <c r="AI89" s="40"/>
      <c r="AJ89" s="40"/>
    </row>
    <row r="90" spans="1:36">
      <c r="A90" s="48">
        <v>87</v>
      </c>
      <c r="B90" s="75">
        <f ca="1">IF(controls!$B$6=2,AVERAGE(E86:E89)+B89*W90+hystere!$AG$9,AVERAGE(E86:E89)+B89*W90)</f>
        <v>100</v>
      </c>
      <c r="C90" s="80">
        <f t="shared" ca="1" si="7"/>
        <v>0</v>
      </c>
      <c r="D90" s="105">
        <f t="shared" ca="1" si="8"/>
        <v>0</v>
      </c>
      <c r="E90" s="77">
        <f t="shared" ca="1" si="9"/>
        <v>100</v>
      </c>
      <c r="F90" s="77">
        <f ca="1">IF('main page'!$K$34=1,hystere!H90,hystere!G90)</f>
        <v>100</v>
      </c>
      <c r="G90" s="94">
        <f ca="1">I90-'main page'!$K$27*hystere!N89</f>
        <v>100</v>
      </c>
      <c r="H90" s="75">
        <f ca="1">J90-'main page'!$K$27*N89</f>
        <v>100</v>
      </c>
      <c r="I90" s="75">
        <f t="shared" ca="1" si="10"/>
        <v>108</v>
      </c>
      <c r="J90" s="75">
        <f t="shared" ca="1" si="11"/>
        <v>108</v>
      </c>
      <c r="M90" s="75">
        <f ca="1">IF(ABS('main page'!$K$29*M89+(1-'main page'!$K$29)*(controls!$B$9/100)*100+'main page'!$K$25*(E90-B90)-M89)&lt;0.0000001,M89,'main page'!$K$29*M89+(1-'main page'!$K$29)*(controls!$B$9/100)*100+'main page'!$K$25*(E90-B90))</f>
        <v>2</v>
      </c>
      <c r="N90" s="75">
        <f ca="1">IF(controls!$B$10=1,N89,O90-'main page'!$K$29*M90-(1-'main page'!$K$29)*controls!$B$9)</f>
        <v>4</v>
      </c>
      <c r="O90" s="74">
        <f t="shared" ca="1" si="6"/>
        <v>6</v>
      </c>
      <c r="P90" s="76">
        <f ca="1">IF(controls!$B$10=1,hystere!N90+hystere!M90,hystere!Q90)</f>
        <v>6</v>
      </c>
      <c r="Q90" s="74">
        <f ca="1">IF('main page'!$Y$53=1,'choose m.p.'!$I$22*100,R90)</f>
        <v>6</v>
      </c>
      <c r="R90" s="100">
        <f ca="1">'main page'!$K$29*M90+(1-'main page'!$K$29)*controls!$B$9+S90+(('main page'!$K$25*'main page'!$U$13*'main page'!$K$29)/('main page'!$K$27*(1+('main page'!$K$25^2)*'main page'!$U$13)))*(M90-(controls!$B$9/100)*100)</f>
        <v>6</v>
      </c>
      <c r="S90" s="98">
        <f ca="1">IF(controls!$B$33=1,(J91-E90*X91-B90)/'main page'!$K$27,(I91-E90*X91-B90)/'main page'!$K$27)</f>
        <v>4</v>
      </c>
      <c r="U90" s="71">
        <f>IF(controls!$B$6=1,$AG$4*(1+('main page'!$K$35/100))^V90-$AG$4*(1+('main page'!$K$35/100))^V89,$AG$4*(1+('main page'!$G$8/100))*(1+('main page'!$K$35/100))^V90-$AG$4*(1+('main page'!$G$8/100))*(1+('main page'!$K$35/100))^V89)</f>
        <v>0</v>
      </c>
      <c r="V90" s="73">
        <v>82</v>
      </c>
      <c r="W90" s="40">
        <f ca="1">'normal case'!V89</f>
        <v>0</v>
      </c>
      <c r="X90" s="40">
        <f ca="1">'normal case'!W89</f>
        <v>0</v>
      </c>
      <c r="Y90" s="49">
        <f ca="1">IF(controls!$B$33=1,E90-($J$4-'main page'!$K$27*2)*(1+('main page'!$K$35/100))^A89,E90-$AG$5)</f>
        <v>0</v>
      </c>
      <c r="Z90" s="49">
        <f ca="1">ABS(M90-(controls!$B$9/100)*100)</f>
        <v>0</v>
      </c>
      <c r="AI90" s="40"/>
      <c r="AJ90" s="40"/>
    </row>
    <row r="91" spans="1:36">
      <c r="A91" s="48">
        <v>88</v>
      </c>
      <c r="B91" s="75">
        <f ca="1">IF(controls!$B$6=2,AVERAGE(E87:E90)+B90*W91+hystere!$AG$9,AVERAGE(E87:E90)+B90*W91)</f>
        <v>100</v>
      </c>
      <c r="C91" s="80">
        <f t="shared" ca="1" si="7"/>
        <v>0</v>
      </c>
      <c r="D91" s="105">
        <f t="shared" ca="1" si="8"/>
        <v>0</v>
      </c>
      <c r="E91" s="77">
        <f t="shared" ca="1" si="9"/>
        <v>100</v>
      </c>
      <c r="F91" s="77">
        <f ca="1">IF('main page'!$K$34=1,hystere!H91,hystere!G91)</f>
        <v>100</v>
      </c>
      <c r="G91" s="94">
        <f ca="1">I91-'main page'!$K$27*hystere!N90</f>
        <v>100</v>
      </c>
      <c r="H91" s="75">
        <f ca="1">J91-'main page'!$K$27*N90</f>
        <v>100</v>
      </c>
      <c r="I91" s="75">
        <f t="shared" ca="1" si="10"/>
        <v>108</v>
      </c>
      <c r="J91" s="75">
        <f t="shared" ca="1" si="11"/>
        <v>108</v>
      </c>
      <c r="M91" s="75">
        <f ca="1">IF(ABS('main page'!$K$29*M90+(1-'main page'!$K$29)*(controls!$B$9/100)*100+'main page'!$K$25*(E91-B91)-M90)&lt;0.0000001,M90,'main page'!$K$29*M90+(1-'main page'!$K$29)*(controls!$B$9/100)*100+'main page'!$K$25*(E91-B91))</f>
        <v>2</v>
      </c>
      <c r="N91" s="75">
        <f ca="1">IF(controls!$B$10=1,N90,O91-'main page'!$K$29*M91-(1-'main page'!$K$29)*controls!$B$9)</f>
        <v>4</v>
      </c>
      <c r="O91" s="74">
        <f t="shared" ca="1" si="6"/>
        <v>6</v>
      </c>
      <c r="P91" s="76">
        <f ca="1">IF(controls!$B$10=1,hystere!N91+hystere!M91,hystere!Q91)</f>
        <v>6</v>
      </c>
      <c r="Q91" s="74">
        <f ca="1">IF('main page'!$Y$53=1,'choose m.p.'!$I$22*100,R91)</f>
        <v>6</v>
      </c>
      <c r="R91" s="100">
        <f ca="1">'main page'!$K$29*M91+(1-'main page'!$K$29)*controls!$B$9+S91+(('main page'!$K$25*'main page'!$U$13*'main page'!$K$29)/('main page'!$K$27*(1+('main page'!$K$25^2)*'main page'!$U$13)))*(M91-(controls!$B$9/100)*100)</f>
        <v>6</v>
      </c>
      <c r="S91" s="98">
        <f ca="1">IF(controls!$B$33=1,(J92-E91*X92-B91)/'main page'!$K$27,(I92-E91*X92-B91)/'main page'!$K$27)</f>
        <v>4</v>
      </c>
      <c r="U91" s="71">
        <f>IF(controls!$B$6=1,$AG$4*(1+('main page'!$K$35/100))^V91-$AG$4*(1+('main page'!$K$35/100))^V90,$AG$4*(1+('main page'!$G$8/100))*(1+('main page'!$K$35/100))^V91-$AG$4*(1+('main page'!$G$8/100))*(1+('main page'!$K$35/100))^V90)</f>
        <v>0</v>
      </c>
      <c r="V91" s="73">
        <v>83</v>
      </c>
      <c r="W91" s="40">
        <f>'normal case'!V90</f>
        <v>0</v>
      </c>
      <c r="X91" s="40">
        <f>'normal case'!W90</f>
        <v>0</v>
      </c>
      <c r="Y91" s="49">
        <f ca="1">IF(controls!$B$33=1,E91-($J$4-'main page'!$K$27*2)*(1+('main page'!$K$35/100))^A90,E91-$AG$5)</f>
        <v>0</v>
      </c>
      <c r="Z91" s="49">
        <f ca="1">ABS(M91-(controls!$B$9/100)*100)</f>
        <v>0</v>
      </c>
      <c r="AI91" s="40"/>
      <c r="AJ91" s="40"/>
    </row>
    <row r="92" spans="1:36">
      <c r="A92" s="48">
        <v>89</v>
      </c>
      <c r="B92" s="75">
        <f ca="1">IF(controls!$B$6=2,AVERAGE(E88:E91)+B91*W92+hystere!$AG$9,AVERAGE(E88:E91)+B91*W92)</f>
        <v>100</v>
      </c>
      <c r="C92" s="80">
        <f t="shared" ca="1" si="7"/>
        <v>0</v>
      </c>
      <c r="D92" s="105">
        <f t="shared" ca="1" si="8"/>
        <v>0</v>
      </c>
      <c r="E92" s="77">
        <f t="shared" ca="1" si="9"/>
        <v>100</v>
      </c>
      <c r="F92" s="77">
        <f ca="1">IF('main page'!$K$34=1,hystere!H92,hystere!G92)</f>
        <v>100</v>
      </c>
      <c r="G92" s="94">
        <f ca="1">I92-'main page'!$K$27*hystere!N91</f>
        <v>100</v>
      </c>
      <c r="H92" s="75">
        <f ca="1">J92-'main page'!$K$27*N91</f>
        <v>100</v>
      </c>
      <c r="I92" s="75">
        <f t="shared" ca="1" si="10"/>
        <v>108</v>
      </c>
      <c r="J92" s="75">
        <f t="shared" ca="1" si="11"/>
        <v>108</v>
      </c>
      <c r="M92" s="75">
        <f ca="1">IF(ABS('main page'!$K$29*M91+(1-'main page'!$K$29)*(controls!$B$9/100)*100+'main page'!$K$25*(E92-B92)-M91)&lt;0.0000001,M91,'main page'!$K$29*M91+(1-'main page'!$K$29)*(controls!$B$9/100)*100+'main page'!$K$25*(E92-B92))</f>
        <v>2</v>
      </c>
      <c r="N92" s="75">
        <f ca="1">IF(controls!$B$10=1,N91,O92-'main page'!$K$29*M92-(1-'main page'!$K$29)*controls!$B$9)</f>
        <v>4</v>
      </c>
      <c r="O92" s="74">
        <f t="shared" ca="1" si="6"/>
        <v>6</v>
      </c>
      <c r="P92" s="76">
        <f ca="1">IF(controls!$B$10=1,hystere!N92+hystere!M92,hystere!Q92)</f>
        <v>6</v>
      </c>
      <c r="Q92" s="74">
        <f ca="1">IF('main page'!$Y$53=1,'choose m.p.'!$I$22*100,R92)</f>
        <v>6</v>
      </c>
      <c r="R92" s="100">
        <f ca="1">'main page'!$K$29*M92+(1-'main page'!$K$29)*controls!$B$9+S92+(('main page'!$K$25*'main page'!$U$13*'main page'!$K$29)/('main page'!$K$27*(1+('main page'!$K$25^2)*'main page'!$U$13)))*(M92-(controls!$B$9/100)*100)</f>
        <v>6</v>
      </c>
      <c r="S92" s="98">
        <f ca="1">IF(controls!$B$33=1,(J93-E92*X93-B92)/'main page'!$K$27,(I93-E92*X93-B92)/'main page'!$K$27)</f>
        <v>4</v>
      </c>
      <c r="U92" s="71">
        <f>IF(controls!$B$6=1,$AG$4*(1+('main page'!$K$35/100))^V92-$AG$4*(1+('main page'!$K$35/100))^V91,$AG$4*(1+('main page'!$G$8/100))*(1+('main page'!$K$35/100))^V92-$AG$4*(1+('main page'!$G$8/100))*(1+('main page'!$K$35/100))^V91)</f>
        <v>0</v>
      </c>
      <c r="V92" s="73">
        <v>84</v>
      </c>
      <c r="W92" s="40">
        <f>'normal case'!V91</f>
        <v>0</v>
      </c>
      <c r="X92" s="40">
        <f>'normal case'!W91</f>
        <v>0</v>
      </c>
      <c r="Y92" s="49">
        <f ca="1">IF(controls!$B$33=1,E92-($J$4-'main page'!$K$27*2)*(1+('main page'!$K$35/100))^A91,E92-$AG$5)</f>
        <v>0</v>
      </c>
      <c r="Z92" s="49">
        <f ca="1">ABS(M92-(controls!$B$9/100)*100)</f>
        <v>0</v>
      </c>
      <c r="AI92" s="40"/>
      <c r="AJ92" s="40"/>
    </row>
    <row r="93" spans="1:36">
      <c r="A93" s="48">
        <v>90</v>
      </c>
      <c r="B93" s="75">
        <f ca="1">IF(controls!$B$6=2,AVERAGE(E89:E92)+B92*W93+hystere!$AG$9,AVERAGE(E89:E92)+B92*W93)</f>
        <v>100</v>
      </c>
      <c r="C93" s="80">
        <f t="shared" ca="1" si="7"/>
        <v>0</v>
      </c>
      <c r="D93" s="105">
        <f t="shared" ca="1" si="8"/>
        <v>0</v>
      </c>
      <c r="E93" s="77">
        <f t="shared" ca="1" si="9"/>
        <v>100</v>
      </c>
      <c r="F93" s="77">
        <f ca="1">IF('main page'!$K$34=1,hystere!H93,hystere!G93)</f>
        <v>100</v>
      </c>
      <c r="G93" s="94">
        <f ca="1">I93-'main page'!$K$27*hystere!N92</f>
        <v>100</v>
      </c>
      <c r="H93" s="75">
        <f ca="1">J93-'main page'!$K$27*N92</f>
        <v>100</v>
      </c>
      <c r="I93" s="75">
        <f t="shared" ca="1" si="10"/>
        <v>108</v>
      </c>
      <c r="J93" s="75">
        <f t="shared" ca="1" si="11"/>
        <v>108</v>
      </c>
      <c r="M93" s="75">
        <f ca="1">IF(ABS('main page'!$K$29*M92+(1-'main page'!$K$29)*(controls!$B$9/100)*100+'main page'!$K$25*(E93-B93)-M92)&lt;0.0000001,M92,'main page'!$K$29*M92+(1-'main page'!$K$29)*(controls!$B$9/100)*100+'main page'!$K$25*(E93-B93))</f>
        <v>2</v>
      </c>
      <c r="N93" s="75">
        <f ca="1">IF(controls!$B$10=1,N92,O93-'main page'!$K$29*M93-(1-'main page'!$K$29)*controls!$B$9)</f>
        <v>4</v>
      </c>
      <c r="O93" s="74">
        <f t="shared" ca="1" si="6"/>
        <v>6</v>
      </c>
      <c r="P93" s="76">
        <f ca="1">IF(controls!$B$10=1,hystere!N93+hystere!M93,hystere!Q93)</f>
        <v>6</v>
      </c>
      <c r="Q93" s="74">
        <f ca="1">IF('main page'!$Y$53=1,'choose m.p.'!$I$22*100,R93)</f>
        <v>6</v>
      </c>
      <c r="R93" s="100">
        <f ca="1">'main page'!$K$29*M93+(1-'main page'!$K$29)*controls!$B$9+S93+(('main page'!$K$25*'main page'!$U$13*'main page'!$K$29)/('main page'!$K$27*(1+('main page'!$K$25^2)*'main page'!$U$13)))*(M93-(controls!$B$9/100)*100)</f>
        <v>6</v>
      </c>
      <c r="S93" s="98">
        <f ca="1">IF(controls!$B$33=1,(J94-E93*X94-B93)/'main page'!$K$27,(I94-E93*X94-B93)/'main page'!$K$27)</f>
        <v>4</v>
      </c>
      <c r="U93" s="71">
        <f>IF(controls!$B$6=1,$AG$4*(1+('main page'!$K$35/100))^V93-$AG$4*(1+('main page'!$K$35/100))^V92,$AG$4*(1+('main page'!$G$8/100))*(1+('main page'!$K$35/100))^V93-$AG$4*(1+('main page'!$G$8/100))*(1+('main page'!$K$35/100))^V92)</f>
        <v>0</v>
      </c>
      <c r="V93" s="73">
        <v>85</v>
      </c>
      <c r="W93" s="40">
        <f ca="1">'normal case'!V92</f>
        <v>0</v>
      </c>
      <c r="X93" s="40">
        <f ca="1">'normal case'!W92</f>
        <v>0</v>
      </c>
      <c r="Y93" s="49">
        <f ca="1">IF(controls!$B$33=1,E93-($J$4-'main page'!$K$27*2)*(1+('main page'!$K$35/100))^A92,E93-$AG$5)</f>
        <v>0</v>
      </c>
      <c r="Z93" s="49">
        <f ca="1">ABS(M93-(controls!$B$9/100)*100)</f>
        <v>0</v>
      </c>
      <c r="AI93" s="40"/>
      <c r="AJ93" s="40"/>
    </row>
    <row r="94" spans="1:36">
      <c r="A94" s="48">
        <v>91</v>
      </c>
      <c r="B94" s="75">
        <f ca="1">IF(controls!$B$6=2,AVERAGE(E90:E93)+B93*W94+hystere!$AG$9,AVERAGE(E90:E93)+B93*W94)</f>
        <v>100</v>
      </c>
      <c r="C94" s="80">
        <f t="shared" ca="1" si="7"/>
        <v>0</v>
      </c>
      <c r="D94" s="105">
        <f t="shared" ca="1" si="8"/>
        <v>0</v>
      </c>
      <c r="E94" s="77">
        <f t="shared" ca="1" si="9"/>
        <v>100</v>
      </c>
      <c r="F94" s="77">
        <f ca="1">IF('main page'!$K$34=1,hystere!H94,hystere!G94)</f>
        <v>100</v>
      </c>
      <c r="G94" s="94">
        <f ca="1">I94-'main page'!$K$27*hystere!N93</f>
        <v>100</v>
      </c>
      <c r="H94" s="75">
        <f ca="1">J94-'main page'!$K$27*N93</f>
        <v>100</v>
      </c>
      <c r="I94" s="75">
        <f t="shared" ca="1" si="10"/>
        <v>108</v>
      </c>
      <c r="J94" s="75">
        <f t="shared" ca="1" si="11"/>
        <v>108</v>
      </c>
      <c r="M94" s="75">
        <f ca="1">IF(ABS('main page'!$K$29*M93+(1-'main page'!$K$29)*(controls!$B$9/100)*100+'main page'!$K$25*(E94-B94)-M93)&lt;0.0000001,M93,'main page'!$K$29*M93+(1-'main page'!$K$29)*(controls!$B$9/100)*100+'main page'!$K$25*(E94-B94))</f>
        <v>2</v>
      </c>
      <c r="N94" s="75">
        <f ca="1">IF(controls!$B$10=1,N93,O94-'main page'!$K$29*M94-(1-'main page'!$K$29)*controls!$B$9)</f>
        <v>4</v>
      </c>
      <c r="O94" s="74">
        <f t="shared" ca="1" si="6"/>
        <v>6</v>
      </c>
      <c r="P94" s="76">
        <f ca="1">IF(controls!$B$10=1,hystere!N94+hystere!M94,hystere!Q94)</f>
        <v>6</v>
      </c>
      <c r="Q94" s="74">
        <f ca="1">IF('main page'!$Y$53=1,'choose m.p.'!$I$22*100,R94)</f>
        <v>6</v>
      </c>
      <c r="R94" s="100">
        <f ca="1">'main page'!$K$29*M94+(1-'main page'!$K$29)*controls!$B$9+S94+(('main page'!$K$25*'main page'!$U$13*'main page'!$K$29)/('main page'!$K$27*(1+('main page'!$K$25^2)*'main page'!$U$13)))*(M94-(controls!$B$9/100)*100)</f>
        <v>6</v>
      </c>
      <c r="S94" s="98">
        <f ca="1">IF(controls!$B$33=1,(J95-E94*X95-B94)/'main page'!$K$27,(I95-E94*X95-B94)/'main page'!$K$27)</f>
        <v>4</v>
      </c>
      <c r="U94" s="71">
        <f>IF(controls!$B$6=1,$AG$4*(1+('main page'!$K$35/100))^V94-$AG$4*(1+('main page'!$K$35/100))^V93,$AG$4*(1+('main page'!$G$8/100))*(1+('main page'!$K$35/100))^V94-$AG$4*(1+('main page'!$G$8/100))*(1+('main page'!$K$35/100))^V93)</f>
        <v>0</v>
      </c>
      <c r="V94" s="73">
        <v>86</v>
      </c>
      <c r="W94" s="40">
        <f>'normal case'!V93</f>
        <v>0</v>
      </c>
      <c r="X94" s="40">
        <f>'normal case'!W93</f>
        <v>0</v>
      </c>
      <c r="Y94" s="49">
        <f ca="1">IF(controls!$B$33=1,E94-($J$4-'main page'!$K$27*2)*(1+('main page'!$K$35/100))^A93,E94-$AG$5)</f>
        <v>0</v>
      </c>
      <c r="Z94" s="49">
        <f ca="1">ABS(M94-(controls!$B$9/100)*100)</f>
        <v>0</v>
      </c>
      <c r="AI94" s="40"/>
      <c r="AJ94" s="40"/>
    </row>
    <row r="95" spans="1:36">
      <c r="A95" s="48">
        <v>92</v>
      </c>
      <c r="B95" s="75">
        <f ca="1">IF(controls!$B$6=2,AVERAGE(E91:E94)+B94*W95+hystere!$AG$9,AVERAGE(E91:E94)+B94*W95)</f>
        <v>100</v>
      </c>
      <c r="C95" s="80">
        <f t="shared" ca="1" si="7"/>
        <v>0</v>
      </c>
      <c r="D95" s="105">
        <f t="shared" ca="1" si="8"/>
        <v>0</v>
      </c>
      <c r="E95" s="77">
        <f t="shared" ca="1" si="9"/>
        <v>100</v>
      </c>
      <c r="F95" s="77">
        <f ca="1">IF('main page'!$K$34=1,hystere!H95,hystere!G95)</f>
        <v>100</v>
      </c>
      <c r="G95" s="94">
        <f ca="1">I95-'main page'!$K$27*hystere!N94</f>
        <v>100</v>
      </c>
      <c r="H95" s="75">
        <f ca="1">J95-'main page'!$K$27*N94</f>
        <v>100</v>
      </c>
      <c r="I95" s="75">
        <f t="shared" ca="1" si="10"/>
        <v>108</v>
      </c>
      <c r="J95" s="75">
        <f t="shared" ca="1" si="11"/>
        <v>108</v>
      </c>
      <c r="M95" s="75">
        <f ca="1">IF(ABS('main page'!$K$29*M94+(1-'main page'!$K$29)*(controls!$B$9/100)*100+'main page'!$K$25*(E95-B95)-M94)&lt;0.0000001,M94,'main page'!$K$29*M94+(1-'main page'!$K$29)*(controls!$B$9/100)*100+'main page'!$K$25*(E95-B95))</f>
        <v>2</v>
      </c>
      <c r="N95" s="75">
        <f ca="1">IF(controls!$B$10=1,N94,O95-'main page'!$K$29*M95-(1-'main page'!$K$29)*controls!$B$9)</f>
        <v>4</v>
      </c>
      <c r="O95" s="74">
        <f t="shared" ca="1" si="6"/>
        <v>6</v>
      </c>
      <c r="P95" s="76">
        <f ca="1">IF(controls!$B$10=1,hystere!N95+hystere!M95,hystere!Q95)</f>
        <v>6</v>
      </c>
      <c r="Q95" s="74">
        <f ca="1">IF('main page'!$Y$53=1,'choose m.p.'!$I$22*100,R95)</f>
        <v>6</v>
      </c>
      <c r="R95" s="100">
        <f ca="1">'main page'!$K$29*M95+(1-'main page'!$K$29)*controls!$B$9+S95+(('main page'!$K$25*'main page'!$U$13*'main page'!$K$29)/('main page'!$K$27*(1+('main page'!$K$25^2)*'main page'!$U$13)))*(M95-(controls!$B$9/100)*100)</f>
        <v>6</v>
      </c>
      <c r="S95" s="98">
        <f ca="1">IF(controls!$B$33=1,(J96-E95*X96-B95)/'main page'!$K$27,(I96-E95*X96-B95)/'main page'!$K$27)</f>
        <v>4</v>
      </c>
      <c r="U95" s="71">
        <f>IF(controls!$B$6=1,$AG$4*(1+('main page'!$K$35/100))^V95-$AG$4*(1+('main page'!$K$35/100))^V94,$AG$4*(1+('main page'!$G$8/100))*(1+('main page'!$K$35/100))^V95-$AG$4*(1+('main page'!$G$8/100))*(1+('main page'!$K$35/100))^V94)</f>
        <v>0</v>
      </c>
      <c r="V95" s="73">
        <v>87</v>
      </c>
      <c r="W95" s="40">
        <f>'normal case'!V94</f>
        <v>0</v>
      </c>
      <c r="X95" s="40">
        <f>'normal case'!W94</f>
        <v>0</v>
      </c>
      <c r="Y95" s="49">
        <f ca="1">IF(controls!$B$33=1,E95-($J$4-'main page'!$K$27*2)*(1+('main page'!$K$35/100))^A94,E95-$AG$5)</f>
        <v>0</v>
      </c>
      <c r="Z95" s="49">
        <f ca="1">ABS(M95-(controls!$B$9/100)*100)</f>
        <v>0</v>
      </c>
      <c r="AI95" s="40"/>
      <c r="AJ95" s="40"/>
    </row>
    <row r="96" spans="1:36">
      <c r="A96" s="48">
        <v>93</v>
      </c>
      <c r="B96" s="75">
        <f ca="1">IF(controls!$B$6=2,AVERAGE(E92:E95)+B95*W96+hystere!$AG$9,AVERAGE(E92:E95)+B95*W96)</f>
        <v>100</v>
      </c>
      <c r="C96" s="80">
        <f t="shared" ca="1" si="7"/>
        <v>0</v>
      </c>
      <c r="D96" s="105">
        <f t="shared" ca="1" si="8"/>
        <v>0</v>
      </c>
      <c r="E96" s="77">
        <f t="shared" ca="1" si="9"/>
        <v>100</v>
      </c>
      <c r="F96" s="77">
        <f ca="1">IF('main page'!$K$34=1,hystere!H96,hystere!G96)</f>
        <v>100</v>
      </c>
      <c r="G96" s="94">
        <f ca="1">I96-'main page'!$K$27*hystere!N95</f>
        <v>100</v>
      </c>
      <c r="H96" s="75">
        <f ca="1">J96-'main page'!$K$27*N95</f>
        <v>100</v>
      </c>
      <c r="I96" s="75">
        <f t="shared" ca="1" si="10"/>
        <v>108</v>
      </c>
      <c r="J96" s="75">
        <f t="shared" ca="1" si="11"/>
        <v>108</v>
      </c>
      <c r="M96" s="75">
        <f ca="1">IF(ABS('main page'!$K$29*M95+(1-'main page'!$K$29)*(controls!$B$9/100)*100+'main page'!$K$25*(E96-B96)-M95)&lt;0.0000001,M95,'main page'!$K$29*M95+(1-'main page'!$K$29)*(controls!$B$9/100)*100+'main page'!$K$25*(E96-B96))</f>
        <v>2</v>
      </c>
      <c r="N96" s="75">
        <f ca="1">IF(controls!$B$10=1,N95,O96-'main page'!$K$29*M96-(1-'main page'!$K$29)*controls!$B$9)</f>
        <v>4</v>
      </c>
      <c r="O96" s="74">
        <f t="shared" ca="1" si="6"/>
        <v>6</v>
      </c>
      <c r="P96" s="76">
        <f ca="1">IF(controls!$B$10=1,hystere!N96+hystere!M96,hystere!Q96)</f>
        <v>6</v>
      </c>
      <c r="Q96" s="74">
        <f ca="1">IF('main page'!$Y$53=1,'choose m.p.'!$I$22*100,R96)</f>
        <v>6</v>
      </c>
      <c r="R96" s="100">
        <f ca="1">'main page'!$K$29*M96+(1-'main page'!$K$29)*controls!$B$9+S96+(('main page'!$K$25*'main page'!$U$13*'main page'!$K$29)/('main page'!$K$27*(1+('main page'!$K$25^2)*'main page'!$U$13)))*(M96-(controls!$B$9/100)*100)</f>
        <v>6</v>
      </c>
      <c r="S96" s="98">
        <f ca="1">IF(controls!$B$33=1,(J97-E96*X97-B96)/'main page'!$K$27,(I97-E96*X97-B96)/'main page'!$K$27)</f>
        <v>4</v>
      </c>
      <c r="U96" s="71">
        <f>IF(controls!$B$6=1,$AG$4*(1+('main page'!$K$35/100))^V96-$AG$4*(1+('main page'!$K$35/100))^V95,$AG$4*(1+('main page'!$G$8/100))*(1+('main page'!$K$35/100))^V96-$AG$4*(1+('main page'!$G$8/100))*(1+('main page'!$K$35/100))^V95)</f>
        <v>0</v>
      </c>
      <c r="V96" s="73">
        <v>88</v>
      </c>
      <c r="W96" s="40">
        <f ca="1">'normal case'!V95</f>
        <v>0</v>
      </c>
      <c r="X96" s="40">
        <f ca="1">'normal case'!W95</f>
        <v>0</v>
      </c>
      <c r="Y96" s="49">
        <f ca="1">IF(controls!$B$33=1,E96-($J$4-'main page'!$K$27*2)*(1+('main page'!$K$35/100))^A95,E96-$AG$5)</f>
        <v>0</v>
      </c>
      <c r="Z96" s="49">
        <f ca="1">ABS(M96-(controls!$B$9/100)*100)</f>
        <v>0</v>
      </c>
      <c r="AI96" s="40"/>
      <c r="AJ96" s="40"/>
    </row>
    <row r="97" spans="1:36">
      <c r="A97" s="48">
        <v>94</v>
      </c>
      <c r="B97" s="75">
        <f ca="1">IF(controls!$B$6=2,AVERAGE(E93:E96)+B96*W97+hystere!$AG$9,AVERAGE(E93:E96)+B96*W97)</f>
        <v>100</v>
      </c>
      <c r="C97" s="80">
        <f t="shared" ca="1" si="7"/>
        <v>0</v>
      </c>
      <c r="D97" s="105">
        <f t="shared" ca="1" si="8"/>
        <v>0</v>
      </c>
      <c r="E97" s="77">
        <f t="shared" ca="1" si="9"/>
        <v>100</v>
      </c>
      <c r="F97" s="77">
        <f ca="1">IF('main page'!$K$34=1,hystere!H97,hystere!G97)</f>
        <v>100</v>
      </c>
      <c r="G97" s="94">
        <f ca="1">I97-'main page'!$K$27*hystere!N96</f>
        <v>100</v>
      </c>
      <c r="H97" s="75">
        <f ca="1">J97-'main page'!$K$27*N96</f>
        <v>100</v>
      </c>
      <c r="I97" s="75">
        <f t="shared" ca="1" si="10"/>
        <v>108</v>
      </c>
      <c r="J97" s="75">
        <f t="shared" ca="1" si="11"/>
        <v>108</v>
      </c>
      <c r="M97" s="75">
        <f ca="1">IF(ABS('main page'!$K$29*M96+(1-'main page'!$K$29)*(controls!$B$9/100)*100+'main page'!$K$25*(E97-B97)-M96)&lt;0.0000001,M96,'main page'!$K$29*M96+(1-'main page'!$K$29)*(controls!$B$9/100)*100+'main page'!$K$25*(E97-B97))</f>
        <v>2</v>
      </c>
      <c r="N97" s="75">
        <f ca="1">IF(controls!$B$10=1,N96,O97-'main page'!$K$29*M97-(1-'main page'!$K$29)*controls!$B$9)</f>
        <v>4</v>
      </c>
      <c r="O97" s="74">
        <f t="shared" ca="1" si="6"/>
        <v>6</v>
      </c>
      <c r="P97" s="76">
        <f ca="1">IF(controls!$B$10=1,hystere!N97+hystere!M97,hystere!Q97)</f>
        <v>6</v>
      </c>
      <c r="Q97" s="74">
        <f ca="1">IF('main page'!$Y$53=1,'choose m.p.'!$I$22*100,R97)</f>
        <v>6</v>
      </c>
      <c r="R97" s="100">
        <f ca="1">'main page'!$K$29*M97+(1-'main page'!$K$29)*controls!$B$9+S97+(('main page'!$K$25*'main page'!$U$13*'main page'!$K$29)/('main page'!$K$27*(1+('main page'!$K$25^2)*'main page'!$U$13)))*(M97-(controls!$B$9/100)*100)</f>
        <v>6</v>
      </c>
      <c r="S97" s="98">
        <f ca="1">IF(controls!$B$33=1,(J98-E97*X98-B97)/'main page'!$K$27,(I98-E97*X98-B97)/'main page'!$K$27)</f>
        <v>4</v>
      </c>
      <c r="U97" s="71">
        <f>IF(controls!$B$6=1,$AG$4*(1+('main page'!$K$35/100))^V97-$AG$4*(1+('main page'!$K$35/100))^V96,$AG$4*(1+('main page'!$G$8/100))*(1+('main page'!$K$35/100))^V97-$AG$4*(1+('main page'!$G$8/100))*(1+('main page'!$K$35/100))^V96)</f>
        <v>0</v>
      </c>
      <c r="V97" s="73">
        <v>89</v>
      </c>
      <c r="W97" s="40">
        <f>'normal case'!V96</f>
        <v>0</v>
      </c>
      <c r="X97" s="40">
        <f>'normal case'!W96</f>
        <v>0</v>
      </c>
      <c r="Y97" s="49">
        <f ca="1">IF(controls!$B$33=1,E97-($J$4-'main page'!$K$27*2)*(1+('main page'!$K$35/100))^A96,E97-$AG$5)</f>
        <v>0</v>
      </c>
      <c r="Z97" s="49">
        <f ca="1">ABS(M97-(controls!$B$9/100)*100)</f>
        <v>0</v>
      </c>
      <c r="AI97" s="40"/>
      <c r="AJ97" s="40"/>
    </row>
    <row r="98" spans="1:36">
      <c r="A98" s="48">
        <v>95</v>
      </c>
      <c r="B98" s="75">
        <f ca="1">IF(controls!$B$6=2,AVERAGE(E94:E97)+B97*W98+hystere!$AG$9,AVERAGE(E94:E97)+B97*W98)</f>
        <v>100</v>
      </c>
      <c r="C98" s="80">
        <f t="shared" ca="1" si="7"/>
        <v>0</v>
      </c>
      <c r="D98" s="105">
        <f t="shared" ca="1" si="8"/>
        <v>0</v>
      </c>
      <c r="E98" s="77">
        <f t="shared" ca="1" si="9"/>
        <v>100</v>
      </c>
      <c r="F98" s="77">
        <f ca="1">IF('main page'!$K$34=1,hystere!H98,hystere!G98)</f>
        <v>100</v>
      </c>
      <c r="G98" s="94">
        <f ca="1">I98-'main page'!$K$27*hystere!N97</f>
        <v>100</v>
      </c>
      <c r="H98" s="75">
        <f ca="1">J98-'main page'!$K$27*N97</f>
        <v>100</v>
      </c>
      <c r="I98" s="75">
        <f t="shared" ca="1" si="10"/>
        <v>108</v>
      </c>
      <c r="J98" s="75">
        <f t="shared" ca="1" si="11"/>
        <v>108</v>
      </c>
      <c r="M98" s="75">
        <f ca="1">IF(ABS('main page'!$K$29*M97+(1-'main page'!$K$29)*(controls!$B$9/100)*100+'main page'!$K$25*(E98-B98)-M97)&lt;0.0000001,M97,'main page'!$K$29*M97+(1-'main page'!$K$29)*(controls!$B$9/100)*100+'main page'!$K$25*(E98-B98))</f>
        <v>2</v>
      </c>
      <c r="N98" s="75">
        <f ca="1">IF(controls!$B$10=1,N97,O98-'main page'!$K$29*M98-(1-'main page'!$K$29)*controls!$B$9)</f>
        <v>4</v>
      </c>
      <c r="O98" s="74">
        <f t="shared" ca="1" si="6"/>
        <v>6</v>
      </c>
      <c r="P98" s="76">
        <f ca="1">IF(controls!$B$10=1,hystere!N98+hystere!M98,hystere!Q98)</f>
        <v>6</v>
      </c>
      <c r="Q98" s="74">
        <f ca="1">IF('main page'!$Y$53=1,'choose m.p.'!$I$22*100,R98)</f>
        <v>6</v>
      </c>
      <c r="R98" s="100">
        <f ca="1">'main page'!$K$29*M98+(1-'main page'!$K$29)*controls!$B$9+S98+(('main page'!$K$25*'main page'!$U$13*'main page'!$K$29)/('main page'!$K$27*(1+('main page'!$K$25^2)*'main page'!$U$13)))*(M98-(controls!$B$9/100)*100)</f>
        <v>6</v>
      </c>
      <c r="S98" s="98">
        <f ca="1">IF(controls!$B$33=1,(J99-E98*X99-B98)/'main page'!$K$27,(I99-E98*X99-B98)/'main page'!$K$27)</f>
        <v>4</v>
      </c>
      <c r="U98" s="71">
        <f>IF(controls!$B$6=1,$AG$4*(1+('main page'!$K$35/100))^V98-$AG$4*(1+('main page'!$K$35/100))^V97,$AG$4*(1+('main page'!$G$8/100))*(1+('main page'!$K$35/100))^V98-$AG$4*(1+('main page'!$G$8/100))*(1+('main page'!$K$35/100))^V97)</f>
        <v>0</v>
      </c>
      <c r="V98" s="73">
        <v>90</v>
      </c>
      <c r="W98" s="40">
        <f>'normal case'!V97</f>
        <v>0</v>
      </c>
      <c r="X98" s="40">
        <f>'normal case'!W97</f>
        <v>0</v>
      </c>
      <c r="Y98" s="49">
        <f ca="1">IF(controls!$B$33=1,E98-($J$4-'main page'!$K$27*2)*(1+('main page'!$K$35/100))^A97,E98-$AG$5)</f>
        <v>0</v>
      </c>
      <c r="Z98" s="49">
        <f ca="1">ABS(M98-(controls!$B$9/100)*100)</f>
        <v>0</v>
      </c>
      <c r="AI98" s="40"/>
      <c r="AJ98" s="40"/>
    </row>
    <row r="99" spans="1:36">
      <c r="A99" s="48">
        <v>96</v>
      </c>
      <c r="B99" s="75">
        <f ca="1">IF(controls!$B$6=2,AVERAGE(E95:E98)+B98*W99+hystere!$AG$9,AVERAGE(E95:E98)+B98*W99)</f>
        <v>100</v>
      </c>
      <c r="C99" s="80">
        <f t="shared" ca="1" si="7"/>
        <v>0</v>
      </c>
      <c r="D99" s="105">
        <f t="shared" ca="1" si="8"/>
        <v>0</v>
      </c>
      <c r="E99" s="77">
        <f t="shared" ca="1" si="9"/>
        <v>100</v>
      </c>
      <c r="F99" s="77">
        <f ca="1">IF('main page'!$K$34=1,hystere!H99,hystere!G99)</f>
        <v>100</v>
      </c>
      <c r="G99" s="94">
        <f ca="1">I99-'main page'!$K$27*hystere!N98</f>
        <v>100</v>
      </c>
      <c r="H99" s="75">
        <f ca="1">J99-'main page'!$K$27*N98</f>
        <v>100</v>
      </c>
      <c r="I99" s="75">
        <f t="shared" ca="1" si="10"/>
        <v>108</v>
      </c>
      <c r="J99" s="75">
        <f t="shared" ca="1" si="11"/>
        <v>108</v>
      </c>
      <c r="M99" s="75">
        <f ca="1">IF(ABS('main page'!$K$29*M98+(1-'main page'!$K$29)*(controls!$B$9/100)*100+'main page'!$K$25*(E99-B99)-M98)&lt;0.0000001,M98,'main page'!$K$29*M98+(1-'main page'!$K$29)*(controls!$B$9/100)*100+'main page'!$K$25*(E99-B99))</f>
        <v>2</v>
      </c>
      <c r="N99" s="75">
        <f ca="1">IF(controls!$B$10=1,N98,O99-'main page'!$K$29*M99-(1-'main page'!$K$29)*controls!$B$9)</f>
        <v>4</v>
      </c>
      <c r="O99" s="74">
        <f t="shared" ca="1" si="6"/>
        <v>6</v>
      </c>
      <c r="P99" s="76">
        <f ca="1">IF(controls!$B$10=1,hystere!N99+hystere!M99,hystere!Q99)</f>
        <v>6</v>
      </c>
      <c r="Q99" s="74">
        <f ca="1">IF('main page'!$Y$53=1,'choose m.p.'!$I$22*100,R99)</f>
        <v>6</v>
      </c>
      <c r="R99" s="100">
        <f ca="1">'main page'!$K$29*M99+(1-'main page'!$K$29)*controls!$B$9+S99+(('main page'!$K$25*'main page'!$U$13*'main page'!$K$29)/('main page'!$K$27*(1+('main page'!$K$25^2)*'main page'!$U$13)))*(M99-(controls!$B$9/100)*100)</f>
        <v>6</v>
      </c>
      <c r="S99" s="98">
        <f ca="1">IF(controls!$B$33=1,(J100-E99*X100-B99)/'main page'!$K$27,(I100-E99*X100-B99)/'main page'!$K$27)</f>
        <v>4</v>
      </c>
      <c r="U99" s="71">
        <f>IF(controls!$B$6=1,$AG$4*(1+('main page'!$K$35/100))^V99-$AG$4*(1+('main page'!$K$35/100))^V98,$AG$4*(1+('main page'!$G$8/100))*(1+('main page'!$K$35/100))^V99-$AG$4*(1+('main page'!$G$8/100))*(1+('main page'!$K$35/100))^V98)</f>
        <v>0</v>
      </c>
      <c r="V99" s="73">
        <v>91</v>
      </c>
      <c r="W99" s="40">
        <f ca="1">'normal case'!V98</f>
        <v>0</v>
      </c>
      <c r="X99" s="40">
        <f ca="1">'normal case'!W98</f>
        <v>0</v>
      </c>
      <c r="Y99" s="49">
        <f ca="1">IF(controls!$B$33=1,E99-($J$4-'main page'!$K$27*2)*(1+('main page'!$K$35/100))^A98,E99-$AG$5)</f>
        <v>0</v>
      </c>
      <c r="Z99" s="49">
        <f ca="1">ABS(M99-(controls!$B$9/100)*100)</f>
        <v>0</v>
      </c>
      <c r="AI99" s="40"/>
      <c r="AJ99" s="40"/>
    </row>
    <row r="100" spans="1:36">
      <c r="A100" s="48">
        <v>97</v>
      </c>
      <c r="B100" s="75">
        <f ca="1">IF(controls!$B$6=2,AVERAGE(E96:E99)+B99*W100+hystere!$AG$9,AVERAGE(E96:E99)+B99*W100)</f>
        <v>100</v>
      </c>
      <c r="C100" s="80">
        <f t="shared" ca="1" si="7"/>
        <v>0</v>
      </c>
      <c r="D100" s="105">
        <f t="shared" ca="1" si="8"/>
        <v>0</v>
      </c>
      <c r="E100" s="77">
        <f t="shared" ca="1" si="9"/>
        <v>100</v>
      </c>
      <c r="F100" s="77">
        <f ca="1">IF('main page'!$K$34=1,hystere!H100,hystere!G100)</f>
        <v>100</v>
      </c>
      <c r="G100" s="94">
        <f ca="1">I100-'main page'!$K$27*hystere!N99</f>
        <v>100</v>
      </c>
      <c r="H100" s="75">
        <f ca="1">J100-'main page'!$K$27*N99</f>
        <v>100</v>
      </c>
      <c r="I100" s="75">
        <f t="shared" ca="1" si="10"/>
        <v>108</v>
      </c>
      <c r="J100" s="75">
        <f t="shared" ca="1" si="11"/>
        <v>108</v>
      </c>
      <c r="M100" s="75">
        <f ca="1">IF(ABS('main page'!$K$29*M99+(1-'main page'!$K$29)*(controls!$B$9/100)*100+'main page'!$K$25*(E100-B100)-M99)&lt;0.0000001,M99,'main page'!$K$29*M99+(1-'main page'!$K$29)*(controls!$B$9/100)*100+'main page'!$K$25*(E100-B100))</f>
        <v>2</v>
      </c>
      <c r="N100" s="75">
        <f ca="1">IF(controls!$B$10=1,N99,O100-'main page'!$K$29*M100-(1-'main page'!$K$29)*controls!$B$9)</f>
        <v>4</v>
      </c>
      <c r="O100" s="74">
        <f t="shared" ca="1" si="6"/>
        <v>6</v>
      </c>
      <c r="P100" s="76">
        <f ca="1">IF(controls!$B$10=1,hystere!N100+hystere!M100,hystere!Q100)</f>
        <v>6</v>
      </c>
      <c r="Q100" s="74">
        <f ca="1">IF('main page'!$Y$53=1,'choose m.p.'!$I$22*100,R100)</f>
        <v>6</v>
      </c>
      <c r="R100" s="100">
        <f ca="1">'main page'!$K$29*M100+(1-'main page'!$K$29)*controls!$B$9+S100+(('main page'!$K$25*'main page'!$U$13*'main page'!$K$29)/('main page'!$K$27*(1+('main page'!$K$25^2)*'main page'!$U$13)))*(M100-(controls!$B$9/100)*100)</f>
        <v>6</v>
      </c>
      <c r="S100" s="98">
        <f ca="1">IF(controls!$B$33=1,(J101-E100*X101-B100)/'main page'!$K$27,(I101-E100*X101-B100)/'main page'!$K$27)</f>
        <v>4</v>
      </c>
      <c r="U100" s="71">
        <f>IF(controls!$B$6=1,$AG$4*(1+('main page'!$K$35/100))^V100-$AG$4*(1+('main page'!$K$35/100))^V99,$AG$4*(1+('main page'!$G$8/100))*(1+('main page'!$K$35/100))^V100-$AG$4*(1+('main page'!$G$8/100))*(1+('main page'!$K$35/100))^V99)</f>
        <v>0</v>
      </c>
      <c r="V100" s="73">
        <v>92</v>
      </c>
      <c r="W100" s="40">
        <f>'normal case'!V99</f>
        <v>0</v>
      </c>
      <c r="X100" s="40">
        <f>'normal case'!W99</f>
        <v>0</v>
      </c>
      <c r="Y100" s="49">
        <f ca="1">IF(controls!$B$33=1,E100-($J$4-'main page'!$K$27*2)*(1+('main page'!$K$35/100))^A99,E100-$AG$5)</f>
        <v>0</v>
      </c>
      <c r="Z100" s="49">
        <f ca="1">ABS(M100-(controls!$B$9/100)*100)</f>
        <v>0</v>
      </c>
      <c r="AI100" s="40"/>
      <c r="AJ100" s="40"/>
    </row>
    <row r="101" spans="1:36">
      <c r="A101" s="48">
        <v>98</v>
      </c>
      <c r="B101" s="75">
        <f ca="1">IF(controls!$B$6=2,AVERAGE(E97:E100)+B100*W101+hystere!$AG$9,AVERAGE(E97:E100)+B100*W101)</f>
        <v>100</v>
      </c>
      <c r="C101" s="80">
        <f t="shared" ca="1" si="7"/>
        <v>0</v>
      </c>
      <c r="D101" s="105">
        <f t="shared" ca="1" si="8"/>
        <v>0</v>
      </c>
      <c r="E101" s="77">
        <f t="shared" ca="1" si="9"/>
        <v>100</v>
      </c>
      <c r="F101" s="77">
        <f ca="1">IF('main page'!$K$34=1,hystere!H101,hystere!G101)</f>
        <v>100</v>
      </c>
      <c r="G101" s="94">
        <f ca="1">I101-'main page'!$K$27*hystere!N100</f>
        <v>100</v>
      </c>
      <c r="H101" s="75">
        <f ca="1">J101-'main page'!$K$27*N100</f>
        <v>100</v>
      </c>
      <c r="I101" s="75">
        <f t="shared" ca="1" si="10"/>
        <v>108</v>
      </c>
      <c r="J101" s="75">
        <f t="shared" ca="1" si="11"/>
        <v>108</v>
      </c>
      <c r="M101" s="75">
        <f ca="1">IF(ABS('main page'!$K$29*M100+(1-'main page'!$K$29)*(controls!$B$9/100)*100+'main page'!$K$25*(E101-B101)-M100)&lt;0.0000001,M100,'main page'!$K$29*M100+(1-'main page'!$K$29)*(controls!$B$9/100)*100+'main page'!$K$25*(E101-B101))</f>
        <v>2</v>
      </c>
      <c r="N101" s="75">
        <f ca="1">IF(controls!$B$10=1,N100,O101-'main page'!$K$29*M101-(1-'main page'!$K$29)*controls!$B$9)</f>
        <v>4</v>
      </c>
      <c r="O101" s="74">
        <f t="shared" ca="1" si="6"/>
        <v>6</v>
      </c>
      <c r="P101" s="76">
        <f ca="1">IF(controls!$B$10=1,hystere!N101+hystere!M101,hystere!Q101)</f>
        <v>6</v>
      </c>
      <c r="Q101" s="74">
        <f ca="1">IF('main page'!$Y$53=1,'choose m.p.'!$I$22*100,R101)</f>
        <v>6</v>
      </c>
      <c r="R101" s="100">
        <f ca="1">'main page'!$K$29*M101+(1-'main page'!$K$29)*controls!$B$9+S101+(('main page'!$K$25*'main page'!$U$13*'main page'!$K$29)/('main page'!$K$27*(1+('main page'!$K$25^2)*'main page'!$U$13)))*(M101-(controls!$B$9/100)*100)</f>
        <v>6</v>
      </c>
      <c r="S101" s="98">
        <f ca="1">IF(controls!$B$33=1,(J102-E101*X102-B101)/'main page'!$K$27,(I102-E101*X102-B101)/'main page'!$K$27)</f>
        <v>4</v>
      </c>
      <c r="U101" s="71">
        <f>IF(controls!$B$6=1,$AG$4*(1+('main page'!$K$35/100))^V101-$AG$4*(1+('main page'!$K$35/100))^V100,$AG$4*(1+('main page'!$G$8/100))*(1+('main page'!$K$35/100))^V101-$AG$4*(1+('main page'!$G$8/100))*(1+('main page'!$K$35/100))^V100)</f>
        <v>0</v>
      </c>
      <c r="V101" s="73">
        <v>93</v>
      </c>
      <c r="W101" s="40">
        <f>'normal case'!V100</f>
        <v>0</v>
      </c>
      <c r="X101" s="40">
        <f>'normal case'!W100</f>
        <v>0</v>
      </c>
      <c r="Y101" s="49">
        <f ca="1">IF(controls!$B$33=1,E101-($J$4-'main page'!$K$27*2)*(1+('main page'!$K$35/100))^A100,E101-$AG$5)</f>
        <v>0</v>
      </c>
      <c r="Z101" s="49">
        <f ca="1">ABS(M101-(controls!$B$9/100)*100)</f>
        <v>0</v>
      </c>
      <c r="AI101" s="40"/>
      <c r="AJ101" s="40"/>
    </row>
    <row r="102" spans="1:36">
      <c r="A102" s="48">
        <v>99</v>
      </c>
      <c r="B102" s="75">
        <f ca="1">IF(controls!$B$6=2,AVERAGE(E98:E101)+B101*W102+hystere!$AG$9,AVERAGE(E98:E101)+B101*W102)</f>
        <v>100</v>
      </c>
      <c r="C102" s="80">
        <f t="shared" ca="1" si="7"/>
        <v>0</v>
      </c>
      <c r="D102" s="105">
        <f t="shared" ca="1" si="8"/>
        <v>0</v>
      </c>
      <c r="E102" s="77">
        <f t="shared" ca="1" si="9"/>
        <v>100</v>
      </c>
      <c r="F102" s="77">
        <f ca="1">IF('main page'!$K$34=1,hystere!H102,hystere!G102)</f>
        <v>100</v>
      </c>
      <c r="G102" s="94">
        <f ca="1">I102-'main page'!$K$27*hystere!N101</f>
        <v>100</v>
      </c>
      <c r="H102" s="75">
        <f ca="1">J102-'main page'!$K$27*N101</f>
        <v>100</v>
      </c>
      <c r="I102" s="75">
        <f t="shared" ca="1" si="10"/>
        <v>108</v>
      </c>
      <c r="J102" s="75">
        <f t="shared" ca="1" si="11"/>
        <v>108</v>
      </c>
      <c r="M102" s="75">
        <f ca="1">IF(ABS('main page'!$K$29*M101+(1-'main page'!$K$29)*(controls!$B$9/100)*100+'main page'!$K$25*(E102-B102)-M101)&lt;0.0000001,M101,'main page'!$K$29*M101+(1-'main page'!$K$29)*(controls!$B$9/100)*100+'main page'!$K$25*(E102-B102))</f>
        <v>2</v>
      </c>
      <c r="N102" s="75">
        <f ca="1">IF(controls!$B$10=1,N101,O102-'main page'!$K$29*M102-(1-'main page'!$K$29)*controls!$B$9)</f>
        <v>4</v>
      </c>
      <c r="O102" s="74">
        <f t="shared" ca="1" si="6"/>
        <v>6</v>
      </c>
      <c r="P102" s="76">
        <f ca="1">IF(controls!$B$10=1,hystere!N102+hystere!M102,hystere!Q102)</f>
        <v>6</v>
      </c>
      <c r="Q102" s="74">
        <f ca="1">IF('main page'!$Y$53=1,'choose m.p.'!$I$22*100,R102)</f>
        <v>6</v>
      </c>
      <c r="R102" s="100">
        <f ca="1">'main page'!$K$29*M102+(1-'main page'!$K$29)*controls!$B$9+S102+(('main page'!$K$25*'main page'!$U$13*'main page'!$K$29)/('main page'!$K$27*(1+('main page'!$K$25^2)*'main page'!$U$13)))*(M102-(controls!$B$9/100)*100)</f>
        <v>6</v>
      </c>
      <c r="S102" s="98">
        <f ca="1">IF(controls!$B$33=1,(J103-E102*X103-B102)/'main page'!$K$27,(I103-E102*X103-B102)/'main page'!$K$27)</f>
        <v>4</v>
      </c>
      <c r="U102" s="71">
        <f>IF(controls!$B$6=1,$AG$4*(1+('main page'!$K$35/100))^V102-$AG$4*(1+('main page'!$K$35/100))^V101,$AG$4*(1+('main page'!$G$8/100))*(1+('main page'!$K$35/100))^V102-$AG$4*(1+('main page'!$G$8/100))*(1+('main page'!$K$35/100))^V101)</f>
        <v>0</v>
      </c>
      <c r="V102" s="73">
        <v>94</v>
      </c>
      <c r="W102" s="40">
        <f ca="1">'normal case'!V101</f>
        <v>0</v>
      </c>
      <c r="X102" s="40">
        <f ca="1">'normal case'!W101</f>
        <v>0</v>
      </c>
      <c r="Y102" s="49">
        <f ca="1">IF(controls!$B$33=1,E102-($J$4-'main page'!$K$27*2)*(1+('main page'!$K$35/100))^A101,E102-$AG$5)</f>
        <v>0</v>
      </c>
      <c r="Z102" s="49">
        <f ca="1">ABS(M102-(controls!$B$9/100)*100)</f>
        <v>0</v>
      </c>
      <c r="AI102" s="40"/>
      <c r="AJ102" s="40"/>
    </row>
    <row r="103" spans="1:36">
      <c r="A103" s="48">
        <v>100</v>
      </c>
      <c r="B103" s="75">
        <f ca="1">IF(controls!$B$6=2,AVERAGE(E99:E102)+B102*W103+hystere!$AG$9,AVERAGE(E99:E102)+B102*W103)</f>
        <v>100</v>
      </c>
      <c r="C103" s="80">
        <f t="shared" ca="1" si="7"/>
        <v>0</v>
      </c>
      <c r="D103" s="105">
        <f t="shared" ca="1" si="8"/>
        <v>0</v>
      </c>
      <c r="E103" s="77">
        <f t="shared" ca="1" si="9"/>
        <v>100</v>
      </c>
      <c r="F103" s="77">
        <f ca="1">IF('main page'!$K$34=1,hystere!H103,hystere!G103)</f>
        <v>100</v>
      </c>
      <c r="G103" s="94">
        <f ca="1">I103-'main page'!$K$27*hystere!N102</f>
        <v>100</v>
      </c>
      <c r="H103" s="75">
        <f ca="1">J103-'main page'!$K$27*N102</f>
        <v>100</v>
      </c>
      <c r="I103" s="75">
        <f t="shared" ca="1" si="10"/>
        <v>108</v>
      </c>
      <c r="J103" s="75">
        <f t="shared" ca="1" si="11"/>
        <v>108</v>
      </c>
      <c r="M103" s="75">
        <f ca="1">IF(ABS('main page'!$K$29*M102+(1-'main page'!$K$29)*(controls!$B$9/100)*100+'main page'!$K$25*(E103-B103)-M102)&lt;0.0000001,M102,'main page'!$K$29*M102+(1-'main page'!$K$29)*(controls!$B$9/100)*100+'main page'!$K$25*(E103-B103))</f>
        <v>2</v>
      </c>
      <c r="N103" s="75">
        <f ca="1">IF(controls!$B$10=1,N102,O103-'main page'!$K$29*M103-(1-'main page'!$K$29)*controls!$B$9)</f>
        <v>4</v>
      </c>
      <c r="O103" s="74">
        <f t="shared" ca="1" si="6"/>
        <v>6</v>
      </c>
      <c r="P103" s="76">
        <f ca="1">IF(controls!$B$10=1,hystere!N103+hystere!M103,hystere!Q103)</f>
        <v>6</v>
      </c>
      <c r="Q103" s="74">
        <f ca="1">IF('main page'!$Y$53=1,'choose m.p.'!$I$22*100,R103)</f>
        <v>6</v>
      </c>
      <c r="R103" s="100">
        <f ca="1">'main page'!$K$29*M103+(1-'main page'!$K$29)*controls!$B$9+S103+(('main page'!$K$25*'main page'!$U$13*'main page'!$K$29)/('main page'!$K$27*(1+('main page'!$K$25^2)*'main page'!$U$13)))*(M103-(controls!$B$9/100)*100)</f>
        <v>6</v>
      </c>
      <c r="S103" s="98">
        <f ca="1">IF(controls!$B$33=1,(J104-E103*X104-B103)/'main page'!$K$27,(I104-E103*X104-B103)/'main page'!$K$27)</f>
        <v>4</v>
      </c>
      <c r="U103" s="71">
        <f>IF(controls!$B$6=1,$AG$4*(1+('main page'!$K$35/100))^V103-$AG$4*(1+('main page'!$K$35/100))^V102,$AG$4*(1+('main page'!$G$8/100))*(1+('main page'!$K$35/100))^V103-$AG$4*(1+('main page'!$G$8/100))*(1+('main page'!$K$35/100))^V102)</f>
        <v>0</v>
      </c>
      <c r="V103" s="73">
        <v>95</v>
      </c>
      <c r="W103" s="40">
        <f>'normal case'!V102</f>
        <v>0</v>
      </c>
      <c r="X103" s="40">
        <f>'normal case'!W102</f>
        <v>0</v>
      </c>
      <c r="Y103" s="49">
        <f ca="1">IF(controls!$B$33=1,E103-($J$4-'main page'!$K$27*2)*(1+('main page'!$K$35/100))^A102,E103-$AG$5)</f>
        <v>0</v>
      </c>
      <c r="Z103" s="49">
        <f ca="1">ABS(M103-(controls!$B$9/100)*100)</f>
        <v>0</v>
      </c>
      <c r="AI103" s="40"/>
      <c r="AJ103" s="40"/>
    </row>
    <row r="104" spans="1:36">
      <c r="A104" s="48">
        <v>101</v>
      </c>
      <c r="B104" s="75">
        <f ca="1">IF(controls!$B$6=2,AVERAGE(E100:E103)+B103*W104+hystere!$AG$9,AVERAGE(E100:E103)+B103*W104)</f>
        <v>100</v>
      </c>
      <c r="C104" s="80">
        <f t="shared" ca="1" si="7"/>
        <v>0</v>
      </c>
      <c r="D104" s="105">
        <f t="shared" ca="1" si="8"/>
        <v>0</v>
      </c>
      <c r="E104" s="77">
        <f t="shared" ca="1" si="9"/>
        <v>100</v>
      </c>
      <c r="F104" s="77">
        <f ca="1">IF('main page'!$K$34=1,hystere!H104,hystere!G104)</f>
        <v>100</v>
      </c>
      <c r="G104" s="94">
        <f ca="1">I104-'main page'!$K$27*hystere!N103</f>
        <v>100</v>
      </c>
      <c r="H104" s="75">
        <f ca="1">J104-'main page'!$K$27*N103</f>
        <v>100</v>
      </c>
      <c r="I104" s="75">
        <f t="shared" ca="1" si="10"/>
        <v>108</v>
      </c>
      <c r="J104" s="75">
        <f t="shared" ca="1" si="11"/>
        <v>108</v>
      </c>
      <c r="M104" s="75">
        <f ca="1">IF(ABS('main page'!$K$29*M103+(1-'main page'!$K$29)*(controls!$B$9/100)*100+'main page'!$K$25*(E104-B104)-M103)&lt;0.0000001,M103,'main page'!$K$29*M103+(1-'main page'!$K$29)*(controls!$B$9/100)*100+'main page'!$K$25*(E104-B104))</f>
        <v>2</v>
      </c>
      <c r="N104" s="75">
        <f ca="1">IF(controls!$B$10=1,N103,O104-'main page'!$K$29*M104-(1-'main page'!$K$29)*controls!$B$9)</f>
        <v>4</v>
      </c>
      <c r="O104" s="74">
        <f t="shared" ca="1" si="6"/>
        <v>6</v>
      </c>
      <c r="P104" s="76">
        <f ca="1">IF(controls!$B$10=1,hystere!N104+hystere!M104,hystere!Q104)</f>
        <v>6</v>
      </c>
      <c r="Q104" s="74">
        <f ca="1">IF('main page'!$Y$53=1,'choose m.p.'!$I$22*100,R104)</f>
        <v>6</v>
      </c>
      <c r="R104" s="100">
        <f ca="1">'main page'!$K$29*M104+(1-'main page'!$K$29)*controls!$B$9+S104+(('main page'!$K$25*'main page'!$U$13*'main page'!$K$29)/('main page'!$K$27*(1+('main page'!$K$25^2)*'main page'!$U$13)))*(M104-(controls!$B$9/100)*100)</f>
        <v>6</v>
      </c>
      <c r="S104" s="98">
        <f ca="1">IF(controls!$B$33=1,(J105-E104*X105-B104)/'main page'!$K$27,(I105-E104*X105-B104)/'main page'!$K$27)</f>
        <v>4</v>
      </c>
      <c r="U104" s="71">
        <f>IF(controls!$B$6=1,$AG$4*(1+('main page'!$K$35/100))^V104-$AG$4*(1+('main page'!$K$35/100))^V103,$AG$4*(1+('main page'!$G$8/100))*(1+('main page'!$K$35/100))^V104-$AG$4*(1+('main page'!$G$8/100))*(1+('main page'!$K$35/100))^V103)</f>
        <v>0</v>
      </c>
      <c r="V104" s="73">
        <v>96</v>
      </c>
      <c r="W104" s="40">
        <f>'normal case'!V103</f>
        <v>0</v>
      </c>
      <c r="X104" s="40">
        <f>'normal case'!W103</f>
        <v>0</v>
      </c>
      <c r="Y104" s="49">
        <f ca="1">IF(controls!$B$33=1,E104-($J$4-'main page'!$K$27*2)*(1+('main page'!$K$35/100))^A103,E104-$AG$5)</f>
        <v>0</v>
      </c>
      <c r="Z104" s="49">
        <f ca="1">ABS(M104-(controls!$B$9/100)*100)</f>
        <v>0</v>
      </c>
      <c r="AI104" s="40"/>
      <c r="AJ104" s="40"/>
    </row>
    <row r="105" spans="1:36">
      <c r="A105" s="48">
        <v>102</v>
      </c>
      <c r="B105" s="75">
        <f ca="1">IF(controls!$B$6=2,AVERAGE(E101:E104)+B104*W105+hystere!$AG$9,AVERAGE(E101:E104)+B104*W105)</f>
        <v>100</v>
      </c>
      <c r="C105" s="80">
        <f t="shared" ca="1" si="7"/>
        <v>0</v>
      </c>
      <c r="D105" s="105">
        <f t="shared" ca="1" si="8"/>
        <v>0</v>
      </c>
      <c r="E105" s="77">
        <f t="shared" ca="1" si="9"/>
        <v>100</v>
      </c>
      <c r="F105" s="77">
        <f ca="1">IF('main page'!$K$34=1,hystere!H105,hystere!G105)</f>
        <v>100</v>
      </c>
      <c r="G105" s="94">
        <f ca="1">I105-'main page'!$K$27*hystere!N104</f>
        <v>100</v>
      </c>
      <c r="H105" s="75">
        <f ca="1">J105-'main page'!$K$27*N104</f>
        <v>100</v>
      </c>
      <c r="I105" s="75">
        <f t="shared" ca="1" si="10"/>
        <v>108</v>
      </c>
      <c r="J105" s="75">
        <f t="shared" ca="1" si="11"/>
        <v>108</v>
      </c>
      <c r="M105" s="75">
        <f ca="1">IF(ABS('main page'!$K$29*M104+(1-'main page'!$K$29)*(controls!$B$9/100)*100+'main page'!$K$25*(E105-B105)-M104)&lt;0.0000001,M104,'main page'!$K$29*M104+(1-'main page'!$K$29)*(controls!$B$9/100)*100+'main page'!$K$25*(E105-B105))</f>
        <v>2</v>
      </c>
      <c r="N105" s="75">
        <f ca="1">IF(controls!$B$10=1,N104,O105-'main page'!$K$29*M105-(1-'main page'!$K$29)*controls!$B$9)</f>
        <v>4</v>
      </c>
      <c r="O105" s="74">
        <f t="shared" ca="1" si="6"/>
        <v>6</v>
      </c>
      <c r="P105" s="76">
        <f ca="1">IF(controls!$B$10=1,hystere!N105+hystere!M105,hystere!Q105)</f>
        <v>6</v>
      </c>
      <c r="Q105" s="74">
        <f ca="1">IF('main page'!$Y$53=1,'choose m.p.'!$I$22*100,R105)</f>
        <v>6</v>
      </c>
      <c r="R105" s="100">
        <f ca="1">'main page'!$K$29*M105+(1-'main page'!$K$29)*controls!$B$9+S105+(('main page'!$K$25*'main page'!$U$13*'main page'!$K$29)/('main page'!$K$27*(1+('main page'!$K$25^2)*'main page'!$U$13)))*(M105-(controls!$B$9/100)*100)</f>
        <v>6</v>
      </c>
      <c r="S105" s="98">
        <f ca="1">IF(controls!$B$33=1,(J106-E105*X106-B105)/'main page'!$K$27,(I106-E105*X106-B105)/'main page'!$K$27)</f>
        <v>4</v>
      </c>
      <c r="U105" s="71">
        <f>IF(controls!$B$6=1,$AG$4*(1+('main page'!$K$35/100))^V105-$AG$4*(1+('main page'!$K$35/100))^V104,$AG$4*(1+('main page'!$G$8/100))*(1+('main page'!$K$35/100))^V105-$AG$4*(1+('main page'!$G$8/100))*(1+('main page'!$K$35/100))^V104)</f>
        <v>0</v>
      </c>
      <c r="V105" s="73">
        <v>97</v>
      </c>
      <c r="W105" s="40">
        <f ca="1">'normal case'!V104</f>
        <v>0</v>
      </c>
      <c r="X105" s="40">
        <f ca="1">'normal case'!W104</f>
        <v>0</v>
      </c>
      <c r="Y105" s="49">
        <f ca="1">IF(controls!$B$33=1,E105-($J$4-'main page'!$K$27*2)*(1+('main page'!$K$35/100))^A104,E105-$AG$5)</f>
        <v>0</v>
      </c>
      <c r="Z105" s="49">
        <f ca="1">ABS(M105-(controls!$B$9/100)*100)</f>
        <v>0</v>
      </c>
      <c r="AI105" s="40"/>
      <c r="AJ105" s="40"/>
    </row>
    <row r="106" spans="1:36">
      <c r="A106" s="48">
        <v>103</v>
      </c>
      <c r="B106" s="75">
        <f ca="1">IF(controls!$B$6=2,AVERAGE(E102:E105)+B105*W106+hystere!$AG$9,AVERAGE(E102:E105)+B105*W106)</f>
        <v>100</v>
      </c>
      <c r="C106" s="80">
        <f t="shared" ca="1" si="7"/>
        <v>0</v>
      </c>
      <c r="D106" s="105">
        <f t="shared" ca="1" si="8"/>
        <v>0</v>
      </c>
      <c r="E106" s="77">
        <f t="shared" ca="1" si="9"/>
        <v>100</v>
      </c>
      <c r="F106" s="77">
        <f ca="1">IF('main page'!$K$34=1,hystere!H106,hystere!G106)</f>
        <v>100</v>
      </c>
      <c r="G106" s="94">
        <f ca="1">I106-'main page'!$K$27*hystere!N105</f>
        <v>100</v>
      </c>
      <c r="H106" s="75">
        <f ca="1">J106-'main page'!$K$27*N105</f>
        <v>100</v>
      </c>
      <c r="I106" s="75">
        <f t="shared" ca="1" si="10"/>
        <v>108</v>
      </c>
      <c r="J106" s="75">
        <f t="shared" ca="1" si="11"/>
        <v>108</v>
      </c>
      <c r="M106" s="75">
        <f ca="1">IF(ABS('main page'!$K$29*M105+(1-'main page'!$K$29)*(controls!$B$9/100)*100+'main page'!$K$25*(E106-B106)-M105)&lt;0.0000001,M105,'main page'!$K$29*M105+(1-'main page'!$K$29)*(controls!$B$9/100)*100+'main page'!$K$25*(E106-B106))</f>
        <v>2</v>
      </c>
      <c r="N106" s="75">
        <f ca="1">IF(controls!$B$10=1,N105,O106-'main page'!$K$29*M106-(1-'main page'!$K$29)*controls!$B$9)</f>
        <v>4</v>
      </c>
      <c r="O106" s="74">
        <f t="shared" ca="1" si="6"/>
        <v>6</v>
      </c>
      <c r="P106" s="76">
        <f ca="1">IF(controls!$B$10=1,hystere!N106+hystere!M106,hystere!Q106)</f>
        <v>6</v>
      </c>
      <c r="Q106" s="74">
        <f ca="1">IF('main page'!$Y$53=1,'choose m.p.'!$I$22*100,R106)</f>
        <v>6</v>
      </c>
      <c r="R106" s="100">
        <f ca="1">'main page'!$K$29*M106+(1-'main page'!$K$29)*controls!$B$9+S106+(('main page'!$K$25*'main page'!$U$13*'main page'!$K$29)/('main page'!$K$27*(1+('main page'!$K$25^2)*'main page'!$U$13)))*(M106-(controls!$B$9/100)*100)</f>
        <v>6</v>
      </c>
      <c r="S106" s="98">
        <f ca="1">IF(controls!$B$33=1,(J107-E106*X107-B106)/'main page'!$K$27,(I107-E106*X107-B106)/'main page'!$K$27)</f>
        <v>4</v>
      </c>
      <c r="U106" s="71">
        <f>IF(controls!$B$6=1,$AG$4*(1+('main page'!$K$35/100))^V106-$AG$4*(1+('main page'!$K$35/100))^V105,$AG$4*(1+('main page'!$G$8/100))*(1+('main page'!$K$35/100))^V106-$AG$4*(1+('main page'!$G$8/100))*(1+('main page'!$K$35/100))^V105)</f>
        <v>0</v>
      </c>
      <c r="V106" s="73">
        <v>98</v>
      </c>
      <c r="W106" s="40">
        <f>'normal case'!V105</f>
        <v>0</v>
      </c>
      <c r="X106" s="40">
        <f>'normal case'!W105</f>
        <v>0</v>
      </c>
      <c r="Y106" s="49">
        <f ca="1">IF(controls!$B$33=1,E106-($J$4-'main page'!$K$27*2)*(1+('main page'!$K$35/100))^A105,E106-$AG$5)</f>
        <v>0</v>
      </c>
      <c r="Z106" s="49">
        <f ca="1">ABS(M106-(controls!$B$9/100)*100)</f>
        <v>0</v>
      </c>
      <c r="AI106" s="40"/>
      <c r="AJ106" s="40"/>
    </row>
    <row r="107" spans="1:36">
      <c r="A107" s="48">
        <v>104</v>
      </c>
      <c r="B107" s="75">
        <f ca="1">IF(controls!$B$6=2,AVERAGE(E103:E106)+B106*W107+hystere!$AG$9,AVERAGE(E103:E106)+B106*W107)</f>
        <v>100</v>
      </c>
      <c r="C107" s="80">
        <f t="shared" ca="1" si="7"/>
        <v>0</v>
      </c>
      <c r="D107" s="105">
        <f t="shared" ca="1" si="8"/>
        <v>0</v>
      </c>
      <c r="E107" s="77">
        <f t="shared" ca="1" si="9"/>
        <v>100</v>
      </c>
      <c r="F107" s="77">
        <f ca="1">IF('main page'!$K$34=1,hystere!H107,hystere!G107)</f>
        <v>100</v>
      </c>
      <c r="G107" s="94">
        <f ca="1">I107-'main page'!$K$27*hystere!N106</f>
        <v>100</v>
      </c>
      <c r="H107" s="75">
        <f ca="1">J107-'main page'!$K$27*N106</f>
        <v>100</v>
      </c>
      <c r="I107" s="75">
        <f t="shared" ca="1" si="10"/>
        <v>108</v>
      </c>
      <c r="J107" s="75">
        <f t="shared" ca="1" si="11"/>
        <v>108</v>
      </c>
      <c r="M107" s="75">
        <f ca="1">IF(ABS('main page'!$K$29*M106+(1-'main page'!$K$29)*(controls!$B$9/100)*100+'main page'!$K$25*(E107-B107)-M106)&lt;0.0000001,M106,'main page'!$K$29*M106+(1-'main page'!$K$29)*(controls!$B$9/100)*100+'main page'!$K$25*(E107-B107))</f>
        <v>2</v>
      </c>
      <c r="N107" s="75">
        <f ca="1">IF(controls!$B$10=1,N106,O107-'main page'!$K$29*M107-(1-'main page'!$K$29)*controls!$B$9)</f>
        <v>4</v>
      </c>
      <c r="O107" s="74">
        <f t="shared" ca="1" si="6"/>
        <v>6</v>
      </c>
      <c r="P107" s="76">
        <f ca="1">IF(controls!$B$10=1,hystere!N107+hystere!M107,hystere!Q107)</f>
        <v>6</v>
      </c>
      <c r="Q107" s="74">
        <f ca="1">IF('main page'!$Y$53=1,'choose m.p.'!$I$22*100,R107)</f>
        <v>6</v>
      </c>
      <c r="R107" s="100">
        <f ca="1">'main page'!$K$29*M107+(1-'main page'!$K$29)*controls!$B$9+S107+(('main page'!$K$25*'main page'!$U$13*'main page'!$K$29)/('main page'!$K$27*(1+('main page'!$K$25^2)*'main page'!$U$13)))*(M107-(controls!$B$9/100)*100)</f>
        <v>6</v>
      </c>
      <c r="S107" s="98">
        <f ca="1">IF(controls!$B$33=1,(J108-E107*X108-B107)/'main page'!$K$27,(I108-E107*X108-B107)/'main page'!$K$27)</f>
        <v>4</v>
      </c>
      <c r="U107" s="71">
        <f>IF(controls!$B$6=1,$AG$4*(1+('main page'!$K$35/100))^V107-$AG$4*(1+('main page'!$K$35/100))^V106,$AG$4*(1+('main page'!$G$8/100))*(1+('main page'!$K$35/100))^V107-$AG$4*(1+('main page'!$G$8/100))*(1+('main page'!$K$35/100))^V106)</f>
        <v>0</v>
      </c>
      <c r="V107" s="73">
        <v>99</v>
      </c>
      <c r="W107" s="40">
        <f>'normal case'!V106</f>
        <v>0</v>
      </c>
      <c r="X107" s="40">
        <f>'normal case'!W106</f>
        <v>0</v>
      </c>
      <c r="Y107" s="49">
        <f ca="1">IF(controls!$B$33=1,E107-($J$4-'main page'!$K$27*2)*(1+('main page'!$K$35/100))^A106,E107-$AG$5)</f>
        <v>0</v>
      </c>
      <c r="Z107" s="49">
        <f ca="1">ABS(M107-(controls!$B$9/100)*100)</f>
        <v>0</v>
      </c>
      <c r="AI107" s="40"/>
      <c r="AJ107" s="40"/>
    </row>
    <row r="108" spans="1:36">
      <c r="A108" s="48">
        <v>105</v>
      </c>
      <c r="B108" s="75">
        <f ca="1">IF(controls!$B$6=2,AVERAGE(E104:E107)+B107*W108+hystere!$AG$9,AVERAGE(E104:E107)+B107*W108)</f>
        <v>100</v>
      </c>
      <c r="C108" s="80">
        <f t="shared" ca="1" si="7"/>
        <v>0</v>
      </c>
      <c r="D108" s="105">
        <f t="shared" ca="1" si="8"/>
        <v>0</v>
      </c>
      <c r="E108" s="77">
        <f t="shared" ca="1" si="9"/>
        <v>100</v>
      </c>
      <c r="F108" s="77">
        <f ca="1">IF('main page'!$K$34=1,hystere!H108,hystere!G108)</f>
        <v>100</v>
      </c>
      <c r="G108" s="94">
        <f ca="1">I108-'main page'!$K$27*hystere!N107</f>
        <v>100</v>
      </c>
      <c r="H108" s="75">
        <f ca="1">J108-'main page'!$K$27*N107</f>
        <v>100</v>
      </c>
      <c r="I108" s="75">
        <f t="shared" ca="1" si="10"/>
        <v>108</v>
      </c>
      <c r="J108" s="75">
        <f t="shared" ca="1" si="11"/>
        <v>108</v>
      </c>
      <c r="M108" s="75">
        <f ca="1">IF(ABS('main page'!$K$29*M107+(1-'main page'!$K$29)*(controls!$B$9/100)*100+'main page'!$K$25*(E108-B108)-M107)&lt;0.0000001,M107,'main page'!$K$29*M107+(1-'main page'!$K$29)*(controls!$B$9/100)*100+'main page'!$K$25*(E108-B108))</f>
        <v>2</v>
      </c>
      <c r="N108" s="75">
        <f ca="1">IF(controls!$B$10=1,N107,O108-'main page'!$K$29*M108-(1-'main page'!$K$29)*controls!$B$9)</f>
        <v>4</v>
      </c>
      <c r="O108" s="74">
        <f t="shared" ca="1" si="6"/>
        <v>6</v>
      </c>
      <c r="P108" s="76">
        <f ca="1">IF(controls!$B$10=1,hystere!N108+hystere!M108,hystere!Q108)</f>
        <v>6</v>
      </c>
      <c r="Q108" s="74">
        <f ca="1">IF('main page'!$Y$53=1,'choose m.p.'!$I$22*100,R108)</f>
        <v>6</v>
      </c>
      <c r="R108" s="100">
        <f ca="1">'main page'!$K$29*M108+(1-'main page'!$K$29)*controls!$B$9+S108+(('main page'!$K$25*'main page'!$U$13*'main page'!$K$29)/('main page'!$K$27*(1+('main page'!$K$25^2)*'main page'!$U$13)))*(M108-(controls!$B$9/100)*100)</f>
        <v>6</v>
      </c>
      <c r="S108" s="98">
        <f ca="1">IF(controls!$B$33=1,(J109-E108*X109-B108)/'main page'!$K$27,(I109-E108*X109-B108)/'main page'!$K$27)</f>
        <v>4</v>
      </c>
      <c r="U108" s="71">
        <f>IF(controls!$B$6=1,$AG$4*(1+('main page'!$K$35/100))^V108-$AG$4*(1+('main page'!$K$35/100))^V107,$AG$4*(1+('main page'!$G$8/100))*(1+('main page'!$K$35/100))^V108-$AG$4*(1+('main page'!$G$8/100))*(1+('main page'!$K$35/100))^V107)</f>
        <v>0</v>
      </c>
      <c r="V108" s="73">
        <v>100</v>
      </c>
      <c r="W108" s="40">
        <f ca="1">'normal case'!V107</f>
        <v>0</v>
      </c>
      <c r="X108" s="40">
        <f ca="1">'normal case'!W107</f>
        <v>0</v>
      </c>
      <c r="Y108" s="49">
        <f ca="1">IF(controls!$B$33=1,E108-($J$4-'main page'!$K$27*2)*(1+('main page'!$K$35/100))^A107,E108-$AG$5)</f>
        <v>0</v>
      </c>
      <c r="Z108" s="49">
        <f ca="1">ABS(M108-(controls!$B$9/100)*100)</f>
        <v>0</v>
      </c>
      <c r="AI108" s="40"/>
      <c r="AJ108" s="40"/>
    </row>
    <row r="109" spans="1:36">
      <c r="A109" s="48">
        <v>106</v>
      </c>
      <c r="B109" s="75">
        <f ca="1">IF(controls!$B$6=2,AVERAGE(E105:E108)+B108*W109+hystere!$AG$9,AVERAGE(E105:E108)+B108*W109)</f>
        <v>100</v>
      </c>
      <c r="C109" s="80">
        <f t="shared" ca="1" si="7"/>
        <v>0</v>
      </c>
      <c r="D109" s="105">
        <f t="shared" ca="1" si="8"/>
        <v>0</v>
      </c>
      <c r="E109" s="77">
        <f t="shared" ca="1" si="9"/>
        <v>100</v>
      </c>
      <c r="F109" s="77">
        <f ca="1">IF('main page'!$K$34=1,hystere!H109,hystere!G109)</f>
        <v>100</v>
      </c>
      <c r="G109" s="94">
        <f ca="1">I109-'main page'!$K$27*hystere!N108</f>
        <v>100</v>
      </c>
      <c r="H109" s="75">
        <f ca="1">J109-'main page'!$K$27*N108</f>
        <v>100</v>
      </c>
      <c r="I109" s="75">
        <f t="shared" ca="1" si="10"/>
        <v>108</v>
      </c>
      <c r="J109" s="75">
        <f t="shared" ca="1" si="11"/>
        <v>108</v>
      </c>
      <c r="M109" s="75">
        <f ca="1">IF(ABS('main page'!$K$29*M108+(1-'main page'!$K$29)*(controls!$B$9/100)*100+'main page'!$K$25*(E109-B109)-M108)&lt;0.0000001,M108,'main page'!$K$29*M108+(1-'main page'!$K$29)*(controls!$B$9/100)*100+'main page'!$K$25*(E109-B109))</f>
        <v>2</v>
      </c>
      <c r="N109" s="75">
        <f ca="1">IF(controls!$B$10=1,N108,O109-'main page'!$K$29*M109-(1-'main page'!$K$29)*controls!$B$9)</f>
        <v>4</v>
      </c>
      <c r="O109" s="74">
        <f t="shared" ca="1" si="6"/>
        <v>6</v>
      </c>
      <c r="P109" s="76">
        <f ca="1">IF(controls!$B$10=1,hystere!N109+hystere!M109,hystere!Q109)</f>
        <v>6</v>
      </c>
      <c r="Q109" s="74">
        <f ca="1">IF('main page'!$Y$53=1,'choose m.p.'!$I$22*100,R109)</f>
        <v>6</v>
      </c>
      <c r="R109" s="100">
        <f ca="1">'main page'!$K$29*M109+(1-'main page'!$K$29)*controls!$B$9+S109+(('main page'!$K$25*'main page'!$U$13*'main page'!$K$29)/('main page'!$K$27*(1+('main page'!$K$25^2)*'main page'!$U$13)))*(M109-(controls!$B$9/100)*100)</f>
        <v>6</v>
      </c>
      <c r="S109" s="98">
        <f ca="1">IF(controls!$B$33=1,(J110-E109*X110-B109)/'main page'!$K$27,(I110-E109*X110-B109)/'main page'!$K$27)</f>
        <v>4</v>
      </c>
      <c r="U109" s="71">
        <f>IF(controls!$B$6=1,$AG$4*(1+('main page'!$K$35/100))^V109-$AG$4*(1+('main page'!$K$35/100))^V108,$AG$4*(1+('main page'!$G$8/100))*(1+('main page'!$K$35/100))^V109-$AG$4*(1+('main page'!$G$8/100))*(1+('main page'!$K$35/100))^V108)</f>
        <v>0</v>
      </c>
      <c r="V109" s="73">
        <v>101</v>
      </c>
      <c r="W109" s="40">
        <f>'normal case'!V108</f>
        <v>0</v>
      </c>
      <c r="X109" s="40">
        <f>'normal case'!W108</f>
        <v>0</v>
      </c>
      <c r="Y109" s="49">
        <f ca="1">IF(controls!$B$33=1,E109-($J$4-'main page'!$K$27*2)*(1+('main page'!$K$35/100))^A108,E109-$AG$5)</f>
        <v>0</v>
      </c>
      <c r="Z109" s="49">
        <f ca="1">ABS(M109-(controls!$B$9/100)*100)</f>
        <v>0</v>
      </c>
      <c r="AI109" s="40"/>
      <c r="AJ109" s="40"/>
    </row>
    <row r="110" spans="1:36">
      <c r="A110" s="48">
        <v>107</v>
      </c>
      <c r="B110" s="75">
        <f ca="1">IF(controls!$B$6=2,AVERAGE(E106:E109)+B109*W110+hystere!$AG$9,AVERAGE(E106:E109)+B109*W110)</f>
        <v>100</v>
      </c>
      <c r="C110" s="80">
        <f t="shared" ca="1" si="7"/>
        <v>0</v>
      </c>
      <c r="D110" s="105">
        <f t="shared" ca="1" si="8"/>
        <v>0</v>
      </c>
      <c r="E110" s="77">
        <f t="shared" ca="1" si="9"/>
        <v>100</v>
      </c>
      <c r="F110" s="77">
        <f ca="1">IF('main page'!$K$34=1,hystere!H110,hystere!G110)</f>
        <v>100</v>
      </c>
      <c r="G110" s="94">
        <f ca="1">I110-'main page'!$K$27*hystere!N109</f>
        <v>100</v>
      </c>
      <c r="H110" s="75">
        <f ca="1">J110-'main page'!$K$27*N109</f>
        <v>100</v>
      </c>
      <c r="I110" s="75">
        <f t="shared" ca="1" si="10"/>
        <v>108</v>
      </c>
      <c r="J110" s="75">
        <f t="shared" ca="1" si="11"/>
        <v>108</v>
      </c>
      <c r="M110" s="75">
        <f ca="1">IF(ABS('main page'!$K$29*M109+(1-'main page'!$K$29)*(controls!$B$9/100)*100+'main page'!$K$25*(E110-B110)-M109)&lt;0.0000001,M109,'main page'!$K$29*M109+(1-'main page'!$K$29)*(controls!$B$9/100)*100+'main page'!$K$25*(E110-B110))</f>
        <v>2</v>
      </c>
      <c r="N110" s="75">
        <f ca="1">IF(controls!$B$10=1,N109,O110-'main page'!$K$29*M110-(1-'main page'!$K$29)*controls!$B$9)</f>
        <v>4</v>
      </c>
      <c r="O110" s="74">
        <f t="shared" ca="1" si="6"/>
        <v>6</v>
      </c>
      <c r="P110" s="76">
        <f ca="1">IF(controls!$B$10=1,hystere!N110+hystere!M110,hystere!Q110)</f>
        <v>6</v>
      </c>
      <c r="Q110" s="74">
        <f ca="1">IF('main page'!$Y$53=1,'choose m.p.'!$I$22*100,R110)</f>
        <v>6</v>
      </c>
      <c r="R110" s="100">
        <f ca="1">'main page'!$K$29*M110+(1-'main page'!$K$29)*controls!$B$9+S110+(('main page'!$K$25*'main page'!$U$13*'main page'!$K$29)/('main page'!$K$27*(1+('main page'!$K$25^2)*'main page'!$U$13)))*(M110-(controls!$B$9/100)*100)</f>
        <v>6</v>
      </c>
      <c r="S110" s="98">
        <f ca="1">IF(controls!$B$33=1,(J111-E110*X111-B110)/'main page'!$K$27,(I111-E110*X111-B110)/'main page'!$K$27)</f>
        <v>4</v>
      </c>
      <c r="U110" s="71">
        <f>IF(controls!$B$6=1,$AG$4*(1+('main page'!$K$35/100))^V110-$AG$4*(1+('main page'!$K$35/100))^V109,$AG$4*(1+('main page'!$G$8/100))*(1+('main page'!$K$35/100))^V110-$AG$4*(1+('main page'!$G$8/100))*(1+('main page'!$K$35/100))^V109)</f>
        <v>0</v>
      </c>
      <c r="V110" s="73">
        <v>102</v>
      </c>
      <c r="W110" s="40">
        <f>'normal case'!V109</f>
        <v>0</v>
      </c>
      <c r="X110" s="40">
        <f>'normal case'!W109</f>
        <v>0</v>
      </c>
      <c r="Y110" s="49">
        <f ca="1">IF(controls!$B$33=1,E110-($J$4-'main page'!$K$27*2)*(1+('main page'!$K$35/100))^A109,E110-$AG$5)</f>
        <v>0</v>
      </c>
      <c r="Z110" s="49">
        <f ca="1">ABS(M110-(controls!$B$9/100)*100)</f>
        <v>0</v>
      </c>
      <c r="AI110" s="40"/>
      <c r="AJ110" s="40"/>
    </row>
    <row r="111" spans="1:36">
      <c r="A111" s="48">
        <v>108</v>
      </c>
      <c r="B111" s="75">
        <f ca="1">IF(controls!$B$6=2,AVERAGE(E107:E110)+B110*W111+hystere!$AG$9,AVERAGE(E107:E110)+B110*W111)</f>
        <v>100</v>
      </c>
      <c r="C111" s="80">
        <f t="shared" ca="1" si="7"/>
        <v>0</v>
      </c>
      <c r="D111" s="105">
        <f t="shared" ca="1" si="8"/>
        <v>0</v>
      </c>
      <c r="E111" s="77">
        <f t="shared" ca="1" si="9"/>
        <v>100</v>
      </c>
      <c r="F111" s="77">
        <f ca="1">IF('main page'!$K$34=1,hystere!H111,hystere!G111)</f>
        <v>100</v>
      </c>
      <c r="G111" s="94">
        <f ca="1">I111-'main page'!$K$27*hystere!N110</f>
        <v>100</v>
      </c>
      <c r="H111" s="75">
        <f ca="1">J111-'main page'!$K$27*N110</f>
        <v>100</v>
      </c>
      <c r="I111" s="75">
        <f t="shared" ca="1" si="10"/>
        <v>108</v>
      </c>
      <c r="J111" s="75">
        <f t="shared" ca="1" si="11"/>
        <v>108</v>
      </c>
      <c r="M111" s="75">
        <f ca="1">IF(ABS('main page'!$K$29*M110+(1-'main page'!$K$29)*(controls!$B$9/100)*100+'main page'!$K$25*(E111-B111)-M110)&lt;0.0000001,M110,'main page'!$K$29*M110+(1-'main page'!$K$29)*(controls!$B$9/100)*100+'main page'!$K$25*(E111-B111))</f>
        <v>2</v>
      </c>
      <c r="N111" s="75">
        <f ca="1">IF(controls!$B$10=1,N110,O111-'main page'!$K$29*M111-(1-'main page'!$K$29)*controls!$B$9)</f>
        <v>4</v>
      </c>
      <c r="O111" s="74">
        <f t="shared" ca="1" si="6"/>
        <v>6</v>
      </c>
      <c r="P111" s="76">
        <f ca="1">IF(controls!$B$10=1,hystere!N111+hystere!M111,hystere!Q111)</f>
        <v>6</v>
      </c>
      <c r="Q111" s="74">
        <f ca="1">IF('main page'!$Y$53=1,'choose m.p.'!$I$22*100,R111)</f>
        <v>6</v>
      </c>
      <c r="R111" s="100">
        <f ca="1">'main page'!$K$29*M111+(1-'main page'!$K$29)*controls!$B$9+S111+(('main page'!$K$25*'main page'!$U$13*'main page'!$K$29)/('main page'!$K$27*(1+('main page'!$K$25^2)*'main page'!$U$13)))*(M111-(controls!$B$9/100)*100)</f>
        <v>6</v>
      </c>
      <c r="S111" s="98">
        <f ca="1">IF(controls!$B$33=1,(J112-E111*X112-B111)/'main page'!$K$27,(I112-E111*X112-B111)/'main page'!$K$27)</f>
        <v>4</v>
      </c>
      <c r="U111" s="71">
        <f>IF(controls!$B$6=1,$AG$4*(1+('main page'!$K$35/100))^V111-$AG$4*(1+('main page'!$K$35/100))^V110,$AG$4*(1+('main page'!$G$8/100))*(1+('main page'!$K$35/100))^V111-$AG$4*(1+('main page'!$G$8/100))*(1+('main page'!$K$35/100))^V110)</f>
        <v>0</v>
      </c>
      <c r="V111" s="73">
        <v>103</v>
      </c>
      <c r="W111" s="40">
        <f ca="1">'normal case'!V110</f>
        <v>0</v>
      </c>
      <c r="X111" s="40">
        <f ca="1">'normal case'!W110</f>
        <v>0</v>
      </c>
      <c r="Y111" s="49">
        <f ca="1">IF(controls!$B$33=1,E111-($J$4-'main page'!$K$27*2)*(1+('main page'!$K$35/100))^A110,E111-$AG$5)</f>
        <v>0</v>
      </c>
      <c r="Z111" s="49">
        <f ca="1">ABS(M111-(controls!$B$9/100)*100)</f>
        <v>0</v>
      </c>
      <c r="AI111" s="40"/>
      <c r="AJ111" s="40"/>
    </row>
    <row r="112" spans="1:36">
      <c r="A112" s="48">
        <v>109</v>
      </c>
      <c r="B112" s="75">
        <f ca="1">IF(controls!$B$6=2,AVERAGE(E108:E111)+B111*W112+hystere!$AG$9,AVERAGE(E108:E111)+B111*W112)</f>
        <v>100</v>
      </c>
      <c r="C112" s="80">
        <f t="shared" ca="1" si="7"/>
        <v>0</v>
      </c>
      <c r="D112" s="105">
        <f t="shared" ca="1" si="8"/>
        <v>0</v>
      </c>
      <c r="E112" s="77">
        <f t="shared" ca="1" si="9"/>
        <v>100</v>
      </c>
      <c r="F112" s="77">
        <f ca="1">IF('main page'!$K$34=1,hystere!H112,hystere!G112)</f>
        <v>100</v>
      </c>
      <c r="G112" s="94">
        <f ca="1">I112-'main page'!$K$27*hystere!N111</f>
        <v>100</v>
      </c>
      <c r="H112" s="75">
        <f ca="1">J112-'main page'!$K$27*N111</f>
        <v>100</v>
      </c>
      <c r="I112" s="75">
        <f t="shared" ca="1" si="10"/>
        <v>108</v>
      </c>
      <c r="J112" s="75">
        <f t="shared" ca="1" si="11"/>
        <v>108</v>
      </c>
      <c r="M112" s="75">
        <f ca="1">IF(ABS('main page'!$K$29*M111+(1-'main page'!$K$29)*(controls!$B$9/100)*100+'main page'!$K$25*(E112-B112)-M111)&lt;0.0000001,M111,'main page'!$K$29*M111+(1-'main page'!$K$29)*(controls!$B$9/100)*100+'main page'!$K$25*(E112-B112))</f>
        <v>2</v>
      </c>
      <c r="N112" s="75">
        <f ca="1">IF(controls!$B$10=1,N111,O112-'main page'!$K$29*M112-(1-'main page'!$K$29)*controls!$B$9)</f>
        <v>4</v>
      </c>
      <c r="O112" s="74">
        <f t="shared" ca="1" si="6"/>
        <v>6</v>
      </c>
      <c r="P112" s="76">
        <f ca="1">IF(controls!$B$10=1,hystere!N112+hystere!M112,hystere!Q112)</f>
        <v>6</v>
      </c>
      <c r="Q112" s="74">
        <f ca="1">IF('main page'!$Y$53=1,'choose m.p.'!$I$22*100,R112)</f>
        <v>6</v>
      </c>
      <c r="R112" s="100">
        <f ca="1">'main page'!$K$29*M112+(1-'main page'!$K$29)*controls!$B$9+S112+(('main page'!$K$25*'main page'!$U$13*'main page'!$K$29)/('main page'!$K$27*(1+('main page'!$K$25^2)*'main page'!$U$13)))*(M112-(controls!$B$9/100)*100)</f>
        <v>6</v>
      </c>
      <c r="S112" s="98">
        <f ca="1">IF(controls!$B$33=1,(J113-E112*X113-B112)/'main page'!$K$27,(I113-E112*X113-B112)/'main page'!$K$27)</f>
        <v>4</v>
      </c>
      <c r="U112" s="71">
        <f>IF(controls!$B$6=1,$AG$4*(1+('main page'!$K$35/100))^V112-$AG$4*(1+('main page'!$K$35/100))^V111,$AG$4*(1+('main page'!$G$8/100))*(1+('main page'!$K$35/100))^V112-$AG$4*(1+('main page'!$G$8/100))*(1+('main page'!$K$35/100))^V111)</f>
        <v>0</v>
      </c>
      <c r="V112" s="73">
        <v>104</v>
      </c>
      <c r="W112" s="40">
        <f>'normal case'!V111</f>
        <v>0</v>
      </c>
      <c r="X112" s="40">
        <f>'normal case'!W111</f>
        <v>0</v>
      </c>
      <c r="Y112" s="49">
        <f ca="1">IF(controls!$B$33=1,E112-($J$4-'main page'!$K$27*2)*(1+('main page'!$K$35/100))^A111,E112-$AG$5)</f>
        <v>0</v>
      </c>
      <c r="Z112" s="49">
        <f ca="1">ABS(M112-(controls!$B$9/100)*100)</f>
        <v>0</v>
      </c>
      <c r="AI112" s="40"/>
      <c r="AJ112" s="40"/>
    </row>
    <row r="113" spans="1:36">
      <c r="A113" s="48">
        <v>110</v>
      </c>
      <c r="B113" s="75">
        <f ca="1">IF(controls!$B$6=2,AVERAGE(E109:E112)+B112*W113+hystere!$AG$9,AVERAGE(E109:E112)+B112*W113)</f>
        <v>100</v>
      </c>
      <c r="C113" s="80">
        <f t="shared" ca="1" si="7"/>
        <v>0</v>
      </c>
      <c r="D113" s="105">
        <f t="shared" ca="1" si="8"/>
        <v>0</v>
      </c>
      <c r="E113" s="77">
        <f t="shared" ca="1" si="9"/>
        <v>100</v>
      </c>
      <c r="F113" s="77">
        <f ca="1">IF('main page'!$K$34=1,hystere!H113,hystere!G113)</f>
        <v>100</v>
      </c>
      <c r="G113" s="94">
        <f ca="1">I113-'main page'!$K$27*hystere!N112</f>
        <v>100</v>
      </c>
      <c r="H113" s="75">
        <f ca="1">J113-'main page'!$K$27*N112</f>
        <v>100</v>
      </c>
      <c r="I113" s="75">
        <f t="shared" ca="1" si="10"/>
        <v>108</v>
      </c>
      <c r="J113" s="75">
        <f t="shared" ca="1" si="11"/>
        <v>108</v>
      </c>
      <c r="M113" s="75">
        <f ca="1">IF(ABS('main page'!$K$29*M112+(1-'main page'!$K$29)*(controls!$B$9/100)*100+'main page'!$K$25*(E113-B113)-M112)&lt;0.0000001,M112,'main page'!$K$29*M112+(1-'main page'!$K$29)*(controls!$B$9/100)*100+'main page'!$K$25*(E113-B113))</f>
        <v>2</v>
      </c>
      <c r="N113" s="75">
        <f ca="1">IF(controls!$B$10=1,N112,O113-'main page'!$K$29*M113-(1-'main page'!$K$29)*controls!$B$9)</f>
        <v>4</v>
      </c>
      <c r="O113" s="74">
        <f t="shared" ca="1" si="6"/>
        <v>6</v>
      </c>
      <c r="P113" s="76">
        <f ca="1">IF(controls!$B$10=1,hystere!N113+hystere!M113,hystere!Q113)</f>
        <v>6</v>
      </c>
      <c r="Q113" s="74">
        <f ca="1">IF('main page'!$Y$53=1,'choose m.p.'!$I$22*100,R113)</f>
        <v>6</v>
      </c>
      <c r="R113" s="100">
        <f ca="1">'main page'!$K$29*M113+(1-'main page'!$K$29)*controls!$B$9+S113+(('main page'!$K$25*'main page'!$U$13*'main page'!$K$29)/('main page'!$K$27*(1+('main page'!$K$25^2)*'main page'!$U$13)))*(M113-(controls!$B$9/100)*100)</f>
        <v>6</v>
      </c>
      <c r="S113" s="98">
        <f ca="1">IF(controls!$B$33=1,(J114-E113*X114-B113)/'main page'!$K$27,(I114-E113*X114-B113)/'main page'!$K$27)</f>
        <v>4</v>
      </c>
      <c r="U113" s="71">
        <f>IF(controls!$B$6=1,$AG$4*(1+('main page'!$K$35/100))^V113-$AG$4*(1+('main page'!$K$35/100))^V112,$AG$4*(1+('main page'!$G$8/100))*(1+('main page'!$K$35/100))^V113-$AG$4*(1+('main page'!$G$8/100))*(1+('main page'!$K$35/100))^V112)</f>
        <v>0</v>
      </c>
      <c r="V113" s="73">
        <v>105</v>
      </c>
      <c r="W113" s="40">
        <f>'normal case'!V112</f>
        <v>0</v>
      </c>
      <c r="X113" s="40">
        <f>'normal case'!W112</f>
        <v>0</v>
      </c>
      <c r="Y113" s="49">
        <f ca="1">IF(controls!$B$33=1,E113-($J$4-'main page'!$K$27*2)*(1+('main page'!$K$35/100))^A112,E113-$AG$5)</f>
        <v>0</v>
      </c>
      <c r="Z113" s="49">
        <f ca="1">ABS(M113-(controls!$B$9/100)*100)</f>
        <v>0</v>
      </c>
      <c r="AI113" s="40"/>
      <c r="AJ113" s="40"/>
    </row>
    <row r="114" spans="1:36">
      <c r="A114" s="48">
        <v>111</v>
      </c>
      <c r="B114" s="75">
        <f ca="1">IF(controls!$B$6=2,AVERAGE(E110:E113)+B113*W114+hystere!$AG$9,AVERAGE(E110:E113)+B113*W114)</f>
        <v>100</v>
      </c>
      <c r="C114" s="80">
        <f t="shared" ca="1" si="7"/>
        <v>0</v>
      </c>
      <c r="D114" s="105">
        <f t="shared" ca="1" si="8"/>
        <v>0</v>
      </c>
      <c r="E114" s="77">
        <f t="shared" ca="1" si="9"/>
        <v>100</v>
      </c>
      <c r="F114" s="77">
        <f ca="1">IF('main page'!$K$34=1,hystere!H114,hystere!G114)</f>
        <v>100</v>
      </c>
      <c r="G114" s="94">
        <f ca="1">I114-'main page'!$K$27*hystere!N113</f>
        <v>100</v>
      </c>
      <c r="H114" s="75">
        <f ca="1">J114-'main page'!$K$27*N113</f>
        <v>100</v>
      </c>
      <c r="I114" s="75">
        <f t="shared" ca="1" si="10"/>
        <v>108</v>
      </c>
      <c r="J114" s="75">
        <f t="shared" ca="1" si="11"/>
        <v>108</v>
      </c>
      <c r="M114" s="75">
        <f ca="1">IF(ABS('main page'!$K$29*M113+(1-'main page'!$K$29)*(controls!$B$9/100)*100+'main page'!$K$25*(E114-B114)-M113)&lt;0.0000001,M113,'main page'!$K$29*M113+(1-'main page'!$K$29)*(controls!$B$9/100)*100+'main page'!$K$25*(E114-B114))</f>
        <v>2</v>
      </c>
      <c r="N114" s="75">
        <f ca="1">IF(controls!$B$10=1,N113,O114-'main page'!$K$29*M114-(1-'main page'!$K$29)*controls!$B$9)</f>
        <v>4</v>
      </c>
      <c r="O114" s="74">
        <f t="shared" ca="1" si="6"/>
        <v>6</v>
      </c>
      <c r="P114" s="76">
        <f ca="1">IF(controls!$B$10=1,hystere!N114+hystere!M114,hystere!Q114)</f>
        <v>6</v>
      </c>
      <c r="Q114" s="74">
        <f ca="1">IF('main page'!$Y$53=1,'choose m.p.'!$I$22*100,R114)</f>
        <v>6</v>
      </c>
      <c r="R114" s="100">
        <f ca="1">'main page'!$K$29*M114+(1-'main page'!$K$29)*controls!$B$9+S114+(('main page'!$K$25*'main page'!$U$13*'main page'!$K$29)/('main page'!$K$27*(1+('main page'!$K$25^2)*'main page'!$U$13)))*(M114-(controls!$B$9/100)*100)</f>
        <v>6</v>
      </c>
      <c r="S114" s="98">
        <f ca="1">IF(controls!$B$33=1,(J115-E114*X115-B114)/'main page'!$K$27,(I115-E114*X115-B114)/'main page'!$K$27)</f>
        <v>4</v>
      </c>
      <c r="U114" s="71">
        <f>IF(controls!$B$6=1,$AG$4*(1+('main page'!$K$35/100))^V114-$AG$4*(1+('main page'!$K$35/100))^V113,$AG$4*(1+('main page'!$G$8/100))*(1+('main page'!$K$35/100))^V114-$AG$4*(1+('main page'!$G$8/100))*(1+('main page'!$K$35/100))^V113)</f>
        <v>0</v>
      </c>
      <c r="V114" s="73">
        <v>106</v>
      </c>
      <c r="W114" s="40">
        <f ca="1">'normal case'!V113</f>
        <v>0</v>
      </c>
      <c r="X114" s="40">
        <f ca="1">'normal case'!W113</f>
        <v>0</v>
      </c>
      <c r="Y114" s="49">
        <f ca="1">IF(controls!$B$33=1,E114-($J$4-'main page'!$K$27*2)*(1+('main page'!$K$35/100))^A113,E114-$AG$5)</f>
        <v>0</v>
      </c>
      <c r="Z114" s="49">
        <f ca="1">ABS(M114-(controls!$B$9/100)*100)</f>
        <v>0</v>
      </c>
      <c r="AI114" s="40"/>
      <c r="AJ114" s="40"/>
    </row>
    <row r="115" spans="1:36">
      <c r="A115" s="48">
        <v>112</v>
      </c>
      <c r="B115" s="75">
        <f ca="1">IF(controls!$B$6=2,AVERAGE(E111:E114)+B114*W115+hystere!$AG$9,AVERAGE(E111:E114)+B114*W115)</f>
        <v>100</v>
      </c>
      <c r="C115" s="80">
        <f t="shared" ca="1" si="7"/>
        <v>0</v>
      </c>
      <c r="D115" s="105">
        <f t="shared" ca="1" si="8"/>
        <v>0</v>
      </c>
      <c r="E115" s="77">
        <f t="shared" ca="1" si="9"/>
        <v>100</v>
      </c>
      <c r="F115" s="77">
        <f ca="1">IF('main page'!$K$34=1,hystere!H115,hystere!G115)</f>
        <v>100</v>
      </c>
      <c r="G115" s="94">
        <f ca="1">I115-'main page'!$K$27*hystere!N114</f>
        <v>100</v>
      </c>
      <c r="H115" s="75">
        <f ca="1">J115-'main page'!$K$27*N114</f>
        <v>100</v>
      </c>
      <c r="I115" s="75">
        <f t="shared" ca="1" si="10"/>
        <v>108</v>
      </c>
      <c r="J115" s="75">
        <f t="shared" ca="1" si="11"/>
        <v>108</v>
      </c>
      <c r="M115" s="75">
        <f ca="1">IF(ABS('main page'!$K$29*M114+(1-'main page'!$K$29)*(controls!$B$9/100)*100+'main page'!$K$25*(E115-B115)-M114)&lt;0.0000001,M114,'main page'!$K$29*M114+(1-'main page'!$K$29)*(controls!$B$9/100)*100+'main page'!$K$25*(E115-B115))</f>
        <v>2</v>
      </c>
      <c r="N115" s="75">
        <f ca="1">IF(controls!$B$10=1,N114,O115-'main page'!$K$29*M115-(1-'main page'!$K$29)*controls!$B$9)</f>
        <v>4</v>
      </c>
      <c r="O115" s="74">
        <f t="shared" ca="1" si="6"/>
        <v>6</v>
      </c>
      <c r="P115" s="76">
        <f ca="1">IF(controls!$B$10=1,hystere!N115+hystere!M115,hystere!Q115)</f>
        <v>6</v>
      </c>
      <c r="Q115" s="74">
        <f ca="1">IF('main page'!$Y$53=1,'choose m.p.'!$I$22*100,R115)</f>
        <v>6</v>
      </c>
      <c r="R115" s="100">
        <f ca="1">'main page'!$K$29*M115+(1-'main page'!$K$29)*controls!$B$9+S115+(('main page'!$K$25*'main page'!$U$13*'main page'!$K$29)/('main page'!$K$27*(1+('main page'!$K$25^2)*'main page'!$U$13)))*(M115-(controls!$B$9/100)*100)</f>
        <v>6</v>
      </c>
      <c r="S115" s="98">
        <f ca="1">IF(controls!$B$33=1,(J116-E115*X116-B115)/'main page'!$K$27,(I116-E115*X116-B115)/'main page'!$K$27)</f>
        <v>4</v>
      </c>
      <c r="U115" s="71">
        <f>IF(controls!$B$6=1,$AG$4*(1+('main page'!$K$35/100))^V115-$AG$4*(1+('main page'!$K$35/100))^V114,$AG$4*(1+('main page'!$G$8/100))*(1+('main page'!$K$35/100))^V115-$AG$4*(1+('main page'!$G$8/100))*(1+('main page'!$K$35/100))^V114)</f>
        <v>0</v>
      </c>
      <c r="V115" s="73">
        <v>107</v>
      </c>
      <c r="W115" s="40">
        <f>'normal case'!V114</f>
        <v>0</v>
      </c>
      <c r="X115" s="40">
        <f>'normal case'!W114</f>
        <v>0</v>
      </c>
      <c r="Y115" s="49">
        <f ca="1">IF(controls!$B$33=1,E115-($J$4-'main page'!$K$27*2)*(1+('main page'!$K$35/100))^A114,E115-$AG$5)</f>
        <v>0</v>
      </c>
      <c r="Z115" s="49">
        <f ca="1">ABS(M115-(controls!$B$9/100)*100)</f>
        <v>0</v>
      </c>
      <c r="AI115" s="40"/>
      <c r="AJ115" s="40"/>
    </row>
    <row r="116" spans="1:36">
      <c r="A116" s="48">
        <v>113</v>
      </c>
      <c r="B116" s="75">
        <f ca="1">IF(controls!$B$6=2,AVERAGE(E112:E115)+B115*W116+hystere!$AG$9,AVERAGE(E112:E115)+B115*W116)</f>
        <v>100</v>
      </c>
      <c r="C116" s="80">
        <f t="shared" ca="1" si="7"/>
        <v>0</v>
      </c>
      <c r="D116" s="105">
        <f t="shared" ca="1" si="8"/>
        <v>0</v>
      </c>
      <c r="E116" s="77">
        <f t="shared" ca="1" si="9"/>
        <v>100</v>
      </c>
      <c r="F116" s="77">
        <f ca="1">IF('main page'!$K$34=1,hystere!H116,hystere!G116)</f>
        <v>100</v>
      </c>
      <c r="G116" s="94">
        <f ca="1">I116-'main page'!$K$27*hystere!N115</f>
        <v>100</v>
      </c>
      <c r="H116" s="75">
        <f ca="1">J116-'main page'!$K$27*N115</f>
        <v>100</v>
      </c>
      <c r="I116" s="75">
        <f t="shared" ca="1" si="10"/>
        <v>108</v>
      </c>
      <c r="J116" s="75">
        <f t="shared" ca="1" si="11"/>
        <v>108</v>
      </c>
      <c r="M116" s="75">
        <f ca="1">IF(ABS('main page'!$K$29*M115+(1-'main page'!$K$29)*(controls!$B$9/100)*100+'main page'!$K$25*(E116-B116)-M115)&lt;0.0000001,M115,'main page'!$K$29*M115+(1-'main page'!$K$29)*(controls!$B$9/100)*100+'main page'!$K$25*(E116-B116))</f>
        <v>2</v>
      </c>
      <c r="N116" s="75">
        <f ca="1">IF(controls!$B$10=1,N115,O116-'main page'!$K$29*M116-(1-'main page'!$K$29)*controls!$B$9)</f>
        <v>4</v>
      </c>
      <c r="O116" s="74">
        <f t="shared" ca="1" si="6"/>
        <v>6</v>
      </c>
      <c r="P116" s="76">
        <f ca="1">IF(controls!$B$10=1,hystere!N116+hystere!M116,hystere!Q116)</f>
        <v>6</v>
      </c>
      <c r="Q116" s="74">
        <f ca="1">IF('main page'!$Y$53=1,'choose m.p.'!$I$22*100,R116)</f>
        <v>6</v>
      </c>
      <c r="R116" s="100">
        <f ca="1">'main page'!$K$29*M116+(1-'main page'!$K$29)*controls!$B$9+S116+(('main page'!$K$25*'main page'!$U$13*'main page'!$K$29)/('main page'!$K$27*(1+('main page'!$K$25^2)*'main page'!$U$13)))*(M116-(controls!$B$9/100)*100)</f>
        <v>6</v>
      </c>
      <c r="S116" s="98">
        <f ca="1">IF(controls!$B$33=1,(J117-E116*X117-B116)/'main page'!$K$27,(I117-E116*X117-B116)/'main page'!$K$27)</f>
        <v>4</v>
      </c>
      <c r="U116" s="71">
        <f>IF(controls!$B$6=1,$AG$4*(1+('main page'!$K$35/100))^V116-$AG$4*(1+('main page'!$K$35/100))^V115,$AG$4*(1+('main page'!$G$8/100))*(1+('main page'!$K$35/100))^V116-$AG$4*(1+('main page'!$G$8/100))*(1+('main page'!$K$35/100))^V115)</f>
        <v>0</v>
      </c>
      <c r="V116" s="73">
        <v>108</v>
      </c>
      <c r="W116" s="40">
        <f>'normal case'!V115</f>
        <v>0</v>
      </c>
      <c r="X116" s="40">
        <f>'normal case'!W115</f>
        <v>0</v>
      </c>
      <c r="Y116" s="49">
        <f ca="1">IF(controls!$B$33=1,E116-($J$4-'main page'!$K$27*2)*(1+('main page'!$K$35/100))^A115,E116-$AG$5)</f>
        <v>0</v>
      </c>
      <c r="Z116" s="49">
        <f ca="1">ABS(M116-(controls!$B$9/100)*100)</f>
        <v>0</v>
      </c>
      <c r="AI116" s="40"/>
      <c r="AJ116" s="40"/>
    </row>
    <row r="117" spans="1:36">
      <c r="A117" s="48">
        <v>114</v>
      </c>
      <c r="B117" s="75">
        <f ca="1">IF(controls!$B$6=2,AVERAGE(E113:E116)+B116*W117+hystere!$AG$9,AVERAGE(E113:E116)+B116*W117)</f>
        <v>100</v>
      </c>
      <c r="C117" s="80">
        <f t="shared" ca="1" si="7"/>
        <v>0</v>
      </c>
      <c r="D117" s="105">
        <f t="shared" ca="1" si="8"/>
        <v>0</v>
      </c>
      <c r="E117" s="77">
        <f t="shared" ca="1" si="9"/>
        <v>100</v>
      </c>
      <c r="F117" s="77">
        <f ca="1">IF('main page'!$K$34=1,hystere!H117,hystere!G117)</f>
        <v>100</v>
      </c>
      <c r="G117" s="94">
        <f ca="1">I117-'main page'!$K$27*hystere!N116</f>
        <v>100</v>
      </c>
      <c r="H117" s="75">
        <f ca="1">J117-'main page'!$K$27*N116</f>
        <v>100</v>
      </c>
      <c r="I117" s="75">
        <f t="shared" ca="1" si="10"/>
        <v>108</v>
      </c>
      <c r="J117" s="75">
        <f t="shared" ca="1" si="11"/>
        <v>108</v>
      </c>
      <c r="M117" s="75">
        <f ca="1">IF(ABS('main page'!$K$29*M116+(1-'main page'!$K$29)*(controls!$B$9/100)*100+'main page'!$K$25*(E117-B117)-M116)&lt;0.0000001,M116,'main page'!$K$29*M116+(1-'main page'!$K$29)*(controls!$B$9/100)*100+'main page'!$K$25*(E117-B117))</f>
        <v>2</v>
      </c>
      <c r="N117" s="75">
        <f ca="1">IF(controls!$B$10=1,N116,O117-'main page'!$K$29*M117-(1-'main page'!$K$29)*controls!$B$9)</f>
        <v>4</v>
      </c>
      <c r="O117" s="74">
        <f t="shared" ca="1" si="6"/>
        <v>6</v>
      </c>
      <c r="P117" s="76">
        <f ca="1">IF(controls!$B$10=1,hystere!N117+hystere!M117,hystere!Q117)</f>
        <v>6</v>
      </c>
      <c r="Q117" s="74">
        <f ca="1">IF('main page'!$Y$53=1,'choose m.p.'!$I$22*100,R117)</f>
        <v>6</v>
      </c>
      <c r="R117" s="100">
        <f ca="1">'main page'!$K$29*M117+(1-'main page'!$K$29)*controls!$B$9+S117+(('main page'!$K$25*'main page'!$U$13*'main page'!$K$29)/('main page'!$K$27*(1+('main page'!$K$25^2)*'main page'!$U$13)))*(M117-(controls!$B$9/100)*100)</f>
        <v>6</v>
      </c>
      <c r="S117" s="98">
        <f ca="1">IF(controls!$B$33=1,(J118-E117*X118-B117)/'main page'!$K$27,(I118-E117*X118-B117)/'main page'!$K$27)</f>
        <v>4</v>
      </c>
      <c r="U117" s="71">
        <f>IF(controls!$B$6=1,$AG$4*(1+('main page'!$K$35/100))^V117-$AG$4*(1+('main page'!$K$35/100))^V116,$AG$4*(1+('main page'!$G$8/100))*(1+('main page'!$K$35/100))^V117-$AG$4*(1+('main page'!$G$8/100))*(1+('main page'!$K$35/100))^V116)</f>
        <v>0</v>
      </c>
      <c r="V117" s="73">
        <v>109</v>
      </c>
      <c r="W117" s="40">
        <f ca="1">'normal case'!V116</f>
        <v>0</v>
      </c>
      <c r="X117" s="40">
        <f ca="1">'normal case'!W116</f>
        <v>0</v>
      </c>
      <c r="Y117" s="49">
        <f ca="1">IF(controls!$B$33=1,E117-($J$4-'main page'!$K$27*2)*(1+('main page'!$K$35/100))^A116,E117-$AG$5)</f>
        <v>0</v>
      </c>
      <c r="Z117" s="49">
        <f ca="1">ABS(M117-(controls!$B$9/100)*100)</f>
        <v>0</v>
      </c>
      <c r="AI117" s="40"/>
      <c r="AJ117" s="40"/>
    </row>
    <row r="118" spans="1:36">
      <c r="A118" s="48">
        <v>115</v>
      </c>
      <c r="B118" s="75">
        <f ca="1">IF(controls!$B$6=2,AVERAGE(E114:E117)+B117*W118+hystere!$AG$9,AVERAGE(E114:E117)+B117*W118)</f>
        <v>100</v>
      </c>
      <c r="C118" s="80">
        <f t="shared" ca="1" si="7"/>
        <v>0</v>
      </c>
      <c r="D118" s="105">
        <f t="shared" ca="1" si="8"/>
        <v>0</v>
      </c>
      <c r="E118" s="77">
        <f t="shared" ca="1" si="9"/>
        <v>100</v>
      </c>
      <c r="F118" s="77">
        <f ca="1">IF('main page'!$K$34=1,hystere!H118,hystere!G118)</f>
        <v>100</v>
      </c>
      <c r="G118" s="94">
        <f ca="1">I118-'main page'!$K$27*hystere!N117</f>
        <v>100</v>
      </c>
      <c r="H118" s="75">
        <f ca="1">J118-'main page'!$K$27*N117</f>
        <v>100</v>
      </c>
      <c r="I118" s="75">
        <f t="shared" ca="1" si="10"/>
        <v>108</v>
      </c>
      <c r="J118" s="75">
        <f t="shared" ca="1" si="11"/>
        <v>108</v>
      </c>
      <c r="M118" s="75">
        <f ca="1">IF(ABS('main page'!$K$29*M117+(1-'main page'!$K$29)*(controls!$B$9/100)*100+'main page'!$K$25*(E118-B118)-M117)&lt;0.0000001,M117,'main page'!$K$29*M117+(1-'main page'!$K$29)*(controls!$B$9/100)*100+'main page'!$K$25*(E118-B118))</f>
        <v>2</v>
      </c>
      <c r="N118" s="75">
        <f ca="1">IF(controls!$B$10=1,N117,O118-'main page'!$K$29*M118-(1-'main page'!$K$29)*controls!$B$9)</f>
        <v>4</v>
      </c>
      <c r="O118" s="74">
        <f t="shared" ca="1" si="6"/>
        <v>6</v>
      </c>
      <c r="P118" s="76">
        <f ca="1">IF(controls!$B$10=1,hystere!N118+hystere!M118,hystere!Q118)</f>
        <v>6</v>
      </c>
      <c r="Q118" s="74">
        <f ca="1">IF('main page'!$Y$53=1,'choose m.p.'!$I$22*100,R118)</f>
        <v>6</v>
      </c>
      <c r="R118" s="100">
        <f ca="1">'main page'!$K$29*M118+(1-'main page'!$K$29)*controls!$B$9+S118+(('main page'!$K$25*'main page'!$U$13*'main page'!$K$29)/('main page'!$K$27*(1+('main page'!$K$25^2)*'main page'!$U$13)))*(M118-(controls!$B$9/100)*100)</f>
        <v>6</v>
      </c>
      <c r="S118" s="98">
        <f ca="1">IF(controls!$B$33=1,(J119-E118*X119-B118)/'main page'!$K$27,(I119-E118*X119-B118)/'main page'!$K$27)</f>
        <v>4</v>
      </c>
      <c r="U118" s="71">
        <f>IF(controls!$B$6=1,$AG$4*(1+('main page'!$K$35/100))^V118-$AG$4*(1+('main page'!$K$35/100))^V117,$AG$4*(1+('main page'!$G$8/100))*(1+('main page'!$K$35/100))^V118-$AG$4*(1+('main page'!$G$8/100))*(1+('main page'!$K$35/100))^V117)</f>
        <v>0</v>
      </c>
      <c r="V118" s="73">
        <v>110</v>
      </c>
      <c r="W118" s="40">
        <f>'normal case'!V117</f>
        <v>0</v>
      </c>
      <c r="X118" s="40">
        <f>'normal case'!W117</f>
        <v>0</v>
      </c>
      <c r="Y118" s="49">
        <f ca="1">IF(controls!$B$33=1,E118-($J$4-'main page'!$K$27*2)*(1+('main page'!$K$35/100))^A117,E118-$AG$5)</f>
        <v>0</v>
      </c>
      <c r="Z118" s="49">
        <f ca="1">ABS(M118-(controls!$B$9/100)*100)</f>
        <v>0</v>
      </c>
      <c r="AI118" s="40"/>
      <c r="AJ118" s="40"/>
    </row>
    <row r="119" spans="1:36">
      <c r="A119" s="48">
        <v>116</v>
      </c>
      <c r="B119" s="75">
        <f ca="1">IF(controls!$B$6=2,AVERAGE(E115:E118)+B118*W119+hystere!$AG$9,AVERAGE(E115:E118)+B118*W119)</f>
        <v>100</v>
      </c>
      <c r="C119" s="80">
        <f t="shared" ca="1" si="7"/>
        <v>0</v>
      </c>
      <c r="D119" s="105">
        <f t="shared" ca="1" si="8"/>
        <v>0</v>
      </c>
      <c r="E119" s="77">
        <f t="shared" ca="1" si="9"/>
        <v>100</v>
      </c>
      <c r="F119" s="77">
        <f ca="1">IF('main page'!$K$34=1,hystere!H119,hystere!G119)</f>
        <v>100</v>
      </c>
      <c r="G119" s="94">
        <f ca="1">I119-'main page'!$K$27*hystere!N118</f>
        <v>100</v>
      </c>
      <c r="H119" s="75">
        <f ca="1">J119-'main page'!$K$27*N118</f>
        <v>100</v>
      </c>
      <c r="I119" s="75">
        <f t="shared" ca="1" si="10"/>
        <v>108</v>
      </c>
      <c r="J119" s="75">
        <f t="shared" ca="1" si="11"/>
        <v>108</v>
      </c>
      <c r="M119" s="75">
        <f ca="1">IF(ABS('main page'!$K$29*M118+(1-'main page'!$K$29)*(controls!$B$9/100)*100+'main page'!$K$25*(E119-B119)-M118)&lt;0.0000001,M118,'main page'!$K$29*M118+(1-'main page'!$K$29)*(controls!$B$9/100)*100+'main page'!$K$25*(E119-B119))</f>
        <v>2</v>
      </c>
      <c r="N119" s="75">
        <f ca="1">IF(controls!$B$10=1,N118,O119-'main page'!$K$29*M119-(1-'main page'!$K$29)*controls!$B$9)</f>
        <v>4</v>
      </c>
      <c r="O119" s="74">
        <f t="shared" ca="1" si="6"/>
        <v>6</v>
      </c>
      <c r="P119" s="76">
        <f ca="1">IF(controls!$B$10=1,hystere!N119+hystere!M119,hystere!Q119)</f>
        <v>6</v>
      </c>
      <c r="Q119" s="74">
        <f ca="1">IF('main page'!$Y$53=1,'choose m.p.'!$I$22*100,R119)</f>
        <v>6</v>
      </c>
      <c r="R119" s="100">
        <f ca="1">'main page'!$K$29*M119+(1-'main page'!$K$29)*controls!$B$9+S119+(('main page'!$K$25*'main page'!$U$13*'main page'!$K$29)/('main page'!$K$27*(1+('main page'!$K$25^2)*'main page'!$U$13)))*(M119-(controls!$B$9/100)*100)</f>
        <v>6</v>
      </c>
      <c r="S119" s="98">
        <f ca="1">IF(controls!$B$33=1,(J120-E119*X120-B119)/'main page'!$K$27,(I120-E119*X120-B119)/'main page'!$K$27)</f>
        <v>4</v>
      </c>
      <c r="U119" s="71">
        <f>IF(controls!$B$6=1,$AG$4*(1+('main page'!$K$35/100))^V119-$AG$4*(1+('main page'!$K$35/100))^V118,$AG$4*(1+('main page'!$G$8/100))*(1+('main page'!$K$35/100))^V119-$AG$4*(1+('main page'!$G$8/100))*(1+('main page'!$K$35/100))^V118)</f>
        <v>0</v>
      </c>
      <c r="V119" s="73">
        <v>111</v>
      </c>
      <c r="W119" s="40">
        <f>'normal case'!V118</f>
        <v>0</v>
      </c>
      <c r="X119" s="40">
        <f>'normal case'!W118</f>
        <v>0</v>
      </c>
      <c r="Y119" s="49">
        <f ca="1">IF(controls!$B$33=1,E119-($J$4-'main page'!$K$27*2)*(1+('main page'!$K$35/100))^A118,E119-$AG$5)</f>
        <v>0</v>
      </c>
      <c r="Z119" s="49">
        <f ca="1">ABS(M119-(controls!$B$9/100)*100)</f>
        <v>0</v>
      </c>
      <c r="AI119" s="40"/>
      <c r="AJ119" s="40"/>
    </row>
    <row r="120" spans="1:36">
      <c r="A120" s="48">
        <v>117</v>
      </c>
      <c r="B120" s="75">
        <f ca="1">IF(controls!$B$6=2,AVERAGE(E116:E119)+B119*W120+hystere!$AG$9,AVERAGE(E116:E119)+B119*W120)</f>
        <v>100</v>
      </c>
      <c r="C120" s="80">
        <f t="shared" ca="1" si="7"/>
        <v>0</v>
      </c>
      <c r="D120" s="105">
        <f t="shared" ca="1" si="8"/>
        <v>0</v>
      </c>
      <c r="E120" s="77">
        <f t="shared" ca="1" si="9"/>
        <v>100</v>
      </c>
      <c r="F120" s="77">
        <f ca="1">IF('main page'!$K$34=1,hystere!H120,hystere!G120)</f>
        <v>100</v>
      </c>
      <c r="G120" s="94">
        <f ca="1">I120-'main page'!$K$27*hystere!N119</f>
        <v>100</v>
      </c>
      <c r="H120" s="75">
        <f ca="1">J120-'main page'!$K$27*N119</f>
        <v>100</v>
      </c>
      <c r="I120" s="75">
        <f t="shared" ca="1" si="10"/>
        <v>108</v>
      </c>
      <c r="J120" s="75">
        <f t="shared" ca="1" si="11"/>
        <v>108</v>
      </c>
      <c r="M120" s="75">
        <f ca="1">IF(ABS('main page'!$K$29*M119+(1-'main page'!$K$29)*(controls!$B$9/100)*100+'main page'!$K$25*(E120-B120)-M119)&lt;0.0000001,M119,'main page'!$K$29*M119+(1-'main page'!$K$29)*(controls!$B$9/100)*100+'main page'!$K$25*(E120-B120))</f>
        <v>2</v>
      </c>
      <c r="N120" s="75">
        <f ca="1">IF(controls!$B$10=1,N119,O120-'main page'!$K$29*M120-(1-'main page'!$K$29)*controls!$B$9)</f>
        <v>4</v>
      </c>
      <c r="O120" s="74">
        <f t="shared" ca="1" si="6"/>
        <v>6</v>
      </c>
      <c r="P120" s="76">
        <f ca="1">IF(controls!$B$10=1,hystere!N120+hystere!M120,hystere!Q120)</f>
        <v>6</v>
      </c>
      <c r="Q120" s="74">
        <f ca="1">IF('main page'!$Y$53=1,'choose m.p.'!$I$22*100,R120)</f>
        <v>6</v>
      </c>
      <c r="R120" s="100">
        <f ca="1">'main page'!$K$29*M120+(1-'main page'!$K$29)*controls!$B$9+S120+(('main page'!$K$25*'main page'!$U$13*'main page'!$K$29)/('main page'!$K$27*(1+('main page'!$K$25^2)*'main page'!$U$13)))*(M120-(controls!$B$9/100)*100)</f>
        <v>6</v>
      </c>
      <c r="S120" s="98">
        <f ca="1">IF(controls!$B$33=1,(J121-E120*X121-B120)/'main page'!$K$27,(I121-E120*X121-B120)/'main page'!$K$27)</f>
        <v>4</v>
      </c>
      <c r="U120" s="71">
        <f>IF(controls!$B$6=1,$AG$4*(1+('main page'!$K$35/100))^V120-$AG$4*(1+('main page'!$K$35/100))^V119,$AG$4*(1+('main page'!$G$8/100))*(1+('main page'!$K$35/100))^V120-$AG$4*(1+('main page'!$G$8/100))*(1+('main page'!$K$35/100))^V119)</f>
        <v>0</v>
      </c>
      <c r="V120" s="73">
        <v>112</v>
      </c>
      <c r="W120" s="40">
        <f ca="1">'normal case'!V119</f>
        <v>0</v>
      </c>
      <c r="X120" s="40">
        <f ca="1">'normal case'!W119</f>
        <v>0</v>
      </c>
      <c r="Y120" s="49">
        <f ca="1">IF(controls!$B$33=1,E120-($J$4-'main page'!$K$27*2)*(1+('main page'!$K$35/100))^A119,E120-$AG$5)</f>
        <v>0</v>
      </c>
      <c r="Z120" s="49">
        <f ca="1">ABS(M120-(controls!$B$9/100)*100)</f>
        <v>0</v>
      </c>
      <c r="AI120" s="40"/>
      <c r="AJ120" s="40"/>
    </row>
    <row r="121" spans="1:36">
      <c r="A121" s="48">
        <v>118</v>
      </c>
      <c r="B121" s="75">
        <f ca="1">IF(controls!$B$6=2,AVERAGE(E117:E120)+B120*W121+hystere!$AG$9,AVERAGE(E117:E120)+B120*W121)</f>
        <v>100</v>
      </c>
      <c r="C121" s="80">
        <f t="shared" ca="1" si="7"/>
        <v>0</v>
      </c>
      <c r="D121" s="105">
        <f t="shared" ca="1" si="8"/>
        <v>0</v>
      </c>
      <c r="E121" s="77">
        <f t="shared" ca="1" si="9"/>
        <v>100</v>
      </c>
      <c r="F121" s="77">
        <f ca="1">IF('main page'!$K$34=1,hystere!H121,hystere!G121)</f>
        <v>100</v>
      </c>
      <c r="G121" s="94">
        <f ca="1">I121-'main page'!$K$27*hystere!N120</f>
        <v>100</v>
      </c>
      <c r="H121" s="75">
        <f ca="1">J121-'main page'!$K$27*N120</f>
        <v>100</v>
      </c>
      <c r="I121" s="75">
        <f t="shared" ca="1" si="10"/>
        <v>108</v>
      </c>
      <c r="J121" s="75">
        <f t="shared" ca="1" si="11"/>
        <v>108</v>
      </c>
      <c r="M121" s="75">
        <f ca="1">IF(ABS('main page'!$K$29*M120+(1-'main page'!$K$29)*(controls!$B$9/100)*100+'main page'!$K$25*(E121-B121)-M120)&lt;0.0000001,M120,'main page'!$K$29*M120+(1-'main page'!$K$29)*(controls!$B$9/100)*100+'main page'!$K$25*(E121-B121))</f>
        <v>2</v>
      </c>
      <c r="N121" s="75">
        <f ca="1">IF(controls!$B$10=1,N120,O121-'main page'!$K$29*M121-(1-'main page'!$K$29)*controls!$B$9)</f>
        <v>4</v>
      </c>
      <c r="O121" s="74">
        <f t="shared" ca="1" si="6"/>
        <v>6</v>
      </c>
      <c r="P121" s="76">
        <f ca="1">IF(controls!$B$10=1,hystere!N121+hystere!M121,hystere!Q121)</f>
        <v>6</v>
      </c>
      <c r="Q121" s="74">
        <f ca="1">IF('main page'!$Y$53=1,'choose m.p.'!$I$22*100,R121)</f>
        <v>6</v>
      </c>
      <c r="R121" s="100">
        <f ca="1">'main page'!$K$29*M121+(1-'main page'!$K$29)*controls!$B$9+S121+(('main page'!$K$25*'main page'!$U$13*'main page'!$K$29)/('main page'!$K$27*(1+('main page'!$K$25^2)*'main page'!$U$13)))*(M121-(controls!$B$9/100)*100)</f>
        <v>6</v>
      </c>
      <c r="S121" s="98">
        <f ca="1">IF(controls!$B$33=1,(J122-E121*X122-B121)/'main page'!$K$27,(I122-E121*X122-B121)/'main page'!$K$27)</f>
        <v>4</v>
      </c>
      <c r="U121" s="71">
        <f>IF(controls!$B$6=1,$AG$4*(1+('main page'!$K$35/100))^V121-$AG$4*(1+('main page'!$K$35/100))^V120,$AG$4*(1+('main page'!$G$8/100))*(1+('main page'!$K$35/100))^V121-$AG$4*(1+('main page'!$G$8/100))*(1+('main page'!$K$35/100))^V120)</f>
        <v>0</v>
      </c>
      <c r="V121" s="73">
        <v>113</v>
      </c>
      <c r="W121" s="40">
        <f>'normal case'!V120</f>
        <v>0</v>
      </c>
      <c r="X121" s="40">
        <f>'normal case'!W120</f>
        <v>0</v>
      </c>
      <c r="Y121" s="49">
        <f ca="1">IF(controls!$B$33=1,E121-($J$4-'main page'!$K$27*2)*(1+('main page'!$K$35/100))^A120,E121-$AG$5)</f>
        <v>0</v>
      </c>
      <c r="Z121" s="49">
        <f ca="1">ABS(M121-(controls!$B$9/100)*100)</f>
        <v>0</v>
      </c>
      <c r="AI121" s="40"/>
      <c r="AJ121" s="40"/>
    </row>
    <row r="122" spans="1:36">
      <c r="A122" s="48">
        <v>119</v>
      </c>
      <c r="B122" s="75">
        <f ca="1">IF(controls!$B$6=2,AVERAGE(E118:E121)+B121*W122+hystere!$AG$9,AVERAGE(E118:E121)+B121*W122)</f>
        <v>100</v>
      </c>
      <c r="C122" s="80">
        <f t="shared" ca="1" si="7"/>
        <v>0</v>
      </c>
      <c r="D122" s="105">
        <f t="shared" ca="1" si="8"/>
        <v>0</v>
      </c>
      <c r="E122" s="77">
        <f t="shared" ca="1" si="9"/>
        <v>100</v>
      </c>
      <c r="F122" s="77">
        <f ca="1">IF('main page'!$K$34=1,hystere!H122,hystere!G122)</f>
        <v>100</v>
      </c>
      <c r="G122" s="94">
        <f ca="1">I122-'main page'!$K$27*hystere!N121</f>
        <v>100</v>
      </c>
      <c r="H122" s="75">
        <f ca="1">J122-'main page'!$K$27*N121</f>
        <v>100</v>
      </c>
      <c r="I122" s="75">
        <f t="shared" ca="1" si="10"/>
        <v>108</v>
      </c>
      <c r="J122" s="75">
        <f t="shared" ca="1" si="11"/>
        <v>108</v>
      </c>
      <c r="M122" s="75">
        <f ca="1">IF(ABS('main page'!$K$29*M121+(1-'main page'!$K$29)*(controls!$B$9/100)*100+'main page'!$K$25*(E122-B122)-M121)&lt;0.0000001,M121,'main page'!$K$29*M121+(1-'main page'!$K$29)*(controls!$B$9/100)*100+'main page'!$K$25*(E122-B122))</f>
        <v>2</v>
      </c>
      <c r="N122" s="75">
        <f ca="1">IF(controls!$B$10=1,N121,O122-'main page'!$K$29*M122-(1-'main page'!$K$29)*controls!$B$9)</f>
        <v>4</v>
      </c>
      <c r="O122" s="74">
        <f t="shared" ca="1" si="6"/>
        <v>6</v>
      </c>
      <c r="P122" s="76">
        <f ca="1">IF(controls!$B$10=1,hystere!N122+hystere!M122,hystere!Q122)</f>
        <v>6</v>
      </c>
      <c r="Q122" s="74">
        <f ca="1">IF('main page'!$Y$53=1,'choose m.p.'!$I$22*100,R122)</f>
        <v>6</v>
      </c>
      <c r="R122" s="100">
        <f ca="1">'main page'!$K$29*M122+(1-'main page'!$K$29)*controls!$B$9+S122+(('main page'!$K$25*'main page'!$U$13*'main page'!$K$29)/('main page'!$K$27*(1+('main page'!$K$25^2)*'main page'!$U$13)))*(M122-(controls!$B$9/100)*100)</f>
        <v>6</v>
      </c>
      <c r="S122" s="98">
        <f ca="1">IF(controls!$B$33=1,(J123-E122*X123-B122)/'main page'!$K$27,(I123-E122*X123-B122)/'main page'!$K$27)</f>
        <v>4</v>
      </c>
      <c r="U122" s="71">
        <f>IF(controls!$B$6=1,$AG$4*(1+('main page'!$K$35/100))^V122-$AG$4*(1+('main page'!$K$35/100))^V121,$AG$4*(1+('main page'!$G$8/100))*(1+('main page'!$K$35/100))^V122-$AG$4*(1+('main page'!$G$8/100))*(1+('main page'!$K$35/100))^V121)</f>
        <v>0</v>
      </c>
      <c r="V122" s="73">
        <v>114</v>
      </c>
      <c r="W122" s="40">
        <f>'normal case'!V121</f>
        <v>0</v>
      </c>
      <c r="X122" s="40">
        <f>'normal case'!W121</f>
        <v>0</v>
      </c>
      <c r="Y122" s="49">
        <f ca="1">IF(controls!$B$33=1,E122-($J$4-'main page'!$K$27*2)*(1+('main page'!$K$35/100))^A121,E122-$AG$5)</f>
        <v>0</v>
      </c>
      <c r="Z122" s="49">
        <f ca="1">ABS(M122-(controls!$B$9/100)*100)</f>
        <v>0</v>
      </c>
      <c r="AI122" s="40"/>
      <c r="AJ122" s="40"/>
    </row>
    <row r="123" spans="1:36">
      <c r="A123" s="48">
        <v>120</v>
      </c>
      <c r="B123" s="75">
        <f ca="1">IF(controls!$B$6=2,AVERAGE(E119:E122)+B122*W123+hystere!$AG$9,AVERAGE(E119:E122)+B122*W123)</f>
        <v>100</v>
      </c>
      <c r="C123" s="80">
        <f t="shared" ca="1" si="7"/>
        <v>0</v>
      </c>
      <c r="D123" s="105">
        <f t="shared" ca="1" si="8"/>
        <v>0</v>
      </c>
      <c r="E123" s="77">
        <f t="shared" ca="1" si="9"/>
        <v>100</v>
      </c>
      <c r="F123" s="77">
        <f ca="1">IF('main page'!$K$34=1,hystere!H123,hystere!G123)</f>
        <v>100</v>
      </c>
      <c r="G123" s="94">
        <f ca="1">I123-'main page'!$K$27*hystere!N122</f>
        <v>100</v>
      </c>
      <c r="H123" s="75">
        <f ca="1">J123-'main page'!$K$27*N122</f>
        <v>100</v>
      </c>
      <c r="I123" s="75">
        <f t="shared" ca="1" si="10"/>
        <v>108</v>
      </c>
      <c r="J123" s="75">
        <f t="shared" ca="1" si="11"/>
        <v>108</v>
      </c>
      <c r="M123" s="75">
        <f ca="1">IF(ABS('main page'!$K$29*M122+(1-'main page'!$K$29)*(controls!$B$9/100)*100+'main page'!$K$25*(E123-B123)-M122)&lt;0.0000001,M122,'main page'!$K$29*M122+(1-'main page'!$K$29)*(controls!$B$9/100)*100+'main page'!$K$25*(E123-B123))</f>
        <v>2</v>
      </c>
      <c r="N123" s="75">
        <f ca="1">IF(controls!$B$10=1,N122,O123-'main page'!$K$29*M123-(1-'main page'!$K$29)*controls!$B$9)</f>
        <v>4</v>
      </c>
      <c r="O123" s="74">
        <f t="shared" ca="1" si="6"/>
        <v>6</v>
      </c>
      <c r="P123" s="76">
        <f ca="1">IF(controls!$B$10=1,hystere!N123+hystere!M123,hystere!Q123)</f>
        <v>6</v>
      </c>
      <c r="Q123" s="74">
        <f ca="1">IF('main page'!$Y$53=1,'choose m.p.'!$I$22*100,R123)</f>
        <v>6</v>
      </c>
      <c r="R123" s="100">
        <f ca="1">'main page'!$K$29*M123+(1-'main page'!$K$29)*controls!$B$9+S123+(('main page'!$K$25*'main page'!$U$13*'main page'!$K$29)/('main page'!$K$27*(1+('main page'!$K$25^2)*'main page'!$U$13)))*(M123-(controls!$B$9/100)*100)</f>
        <v>6</v>
      </c>
      <c r="S123" s="98">
        <f ca="1">IF(controls!$B$33=1,(J124-E123*X124-B123)/'main page'!$K$27,(I124-E123*X124-B123)/'main page'!$K$27)</f>
        <v>4</v>
      </c>
      <c r="U123" s="71">
        <f>IF(controls!$B$6=1,$AG$4*(1+('main page'!$K$35/100))^V123-$AG$4*(1+('main page'!$K$35/100))^V122,$AG$4*(1+('main page'!$G$8/100))*(1+('main page'!$K$35/100))^V123-$AG$4*(1+('main page'!$G$8/100))*(1+('main page'!$K$35/100))^V122)</f>
        <v>0</v>
      </c>
      <c r="V123" s="73">
        <v>115</v>
      </c>
      <c r="W123" s="40">
        <f ca="1">'normal case'!V122</f>
        <v>0</v>
      </c>
      <c r="X123" s="40">
        <f ca="1">'normal case'!W122</f>
        <v>0</v>
      </c>
      <c r="Y123" s="49">
        <f ca="1">IF(controls!$B$33=1,E123-($J$4-'main page'!$K$27*2)*(1+('main page'!$K$35/100))^A122,E123-$AG$5)</f>
        <v>0</v>
      </c>
      <c r="Z123" s="49">
        <f ca="1">ABS(M123-(controls!$B$9/100)*100)</f>
        <v>0</v>
      </c>
      <c r="AI123" s="40"/>
      <c r="AJ123" s="40"/>
    </row>
    <row r="124" spans="1:36">
      <c r="A124" s="48">
        <v>121</v>
      </c>
      <c r="B124" s="75">
        <f ca="1">IF(controls!$B$6=2,AVERAGE(E120:E123)+B123*W124+hystere!$AG$9,AVERAGE(E120:E123)+B123*W124)</f>
        <v>100</v>
      </c>
      <c r="C124" s="80">
        <f t="shared" ca="1" si="7"/>
        <v>0</v>
      </c>
      <c r="D124" s="105">
        <f t="shared" ca="1" si="8"/>
        <v>0</v>
      </c>
      <c r="E124" s="77">
        <f t="shared" ca="1" si="9"/>
        <v>100</v>
      </c>
      <c r="F124" s="77">
        <f ca="1">IF('main page'!$K$34=1,hystere!H124,hystere!G124)</f>
        <v>100</v>
      </c>
      <c r="G124" s="94">
        <f ca="1">I124-'main page'!$K$27*hystere!N123</f>
        <v>100</v>
      </c>
      <c r="H124" s="75">
        <f ca="1">J124-'main page'!$K$27*N123</f>
        <v>100</v>
      </c>
      <c r="I124" s="75">
        <f t="shared" ca="1" si="10"/>
        <v>108</v>
      </c>
      <c r="J124" s="75">
        <f t="shared" ca="1" si="11"/>
        <v>108</v>
      </c>
      <c r="M124" s="75">
        <f ca="1">IF(ABS('main page'!$K$29*M123+(1-'main page'!$K$29)*(controls!$B$9/100)*100+'main page'!$K$25*(E124-B124)-M123)&lt;0.0000001,M123,'main page'!$K$29*M123+(1-'main page'!$K$29)*(controls!$B$9/100)*100+'main page'!$K$25*(E124-B124))</f>
        <v>2</v>
      </c>
      <c r="N124" s="75">
        <f ca="1">IF(controls!$B$10=1,N123,O124-'main page'!$K$29*M124-(1-'main page'!$K$29)*controls!$B$9)</f>
        <v>4</v>
      </c>
      <c r="O124" s="74">
        <f t="shared" ca="1" si="6"/>
        <v>6</v>
      </c>
      <c r="P124" s="76">
        <f ca="1">IF(controls!$B$10=1,hystere!N124+hystere!M124,hystere!Q124)</f>
        <v>6</v>
      </c>
      <c r="Q124" s="74">
        <f ca="1">IF('main page'!$Y$53=1,'choose m.p.'!$I$22*100,R124)</f>
        <v>6</v>
      </c>
      <c r="R124" s="100">
        <f ca="1">'main page'!$K$29*M124+(1-'main page'!$K$29)*controls!$B$9+S124+(('main page'!$K$25*'main page'!$U$13*'main page'!$K$29)/('main page'!$K$27*(1+('main page'!$K$25^2)*'main page'!$U$13)))*(M124-(controls!$B$9/100)*100)</f>
        <v>6</v>
      </c>
      <c r="S124" s="98">
        <f ca="1">IF(controls!$B$33=1,(J125-E124*X125-B124)/'main page'!$K$27,(I125-E124*X125-B124)/'main page'!$K$27)</f>
        <v>4</v>
      </c>
      <c r="U124" s="71">
        <f>IF(controls!$B$6=1,$AG$4*(1+('main page'!$K$35/100))^V124-$AG$4*(1+('main page'!$K$35/100))^V123,$AG$4*(1+('main page'!$G$8/100))*(1+('main page'!$K$35/100))^V124-$AG$4*(1+('main page'!$G$8/100))*(1+('main page'!$K$35/100))^V123)</f>
        <v>0</v>
      </c>
      <c r="V124" s="73">
        <v>116</v>
      </c>
      <c r="W124" s="40">
        <f>'normal case'!V123</f>
        <v>0</v>
      </c>
      <c r="X124" s="40">
        <f>'normal case'!W123</f>
        <v>0</v>
      </c>
      <c r="Y124" s="49">
        <f ca="1">IF(controls!$B$33=1,E124-($J$4-'main page'!$K$27*2)*(1+('main page'!$K$35/100))^A123,E124-$AG$5)</f>
        <v>0</v>
      </c>
      <c r="Z124" s="49">
        <f ca="1">ABS(M124-(controls!$B$9/100)*100)</f>
        <v>0</v>
      </c>
      <c r="AI124" s="40"/>
      <c r="AJ124" s="40"/>
    </row>
    <row r="125" spans="1:36">
      <c r="A125" s="48">
        <v>122</v>
      </c>
      <c r="B125" s="75">
        <f ca="1">IF(controls!$B$6=2,AVERAGE(E121:E124)+B124*W125+hystere!$AG$9,AVERAGE(E121:E124)+B124*W125)</f>
        <v>100</v>
      </c>
      <c r="C125" s="80">
        <f t="shared" ca="1" si="7"/>
        <v>0</v>
      </c>
      <c r="D125" s="105">
        <f t="shared" ca="1" si="8"/>
        <v>0</v>
      </c>
      <c r="E125" s="77">
        <f t="shared" ca="1" si="9"/>
        <v>100</v>
      </c>
      <c r="F125" s="77">
        <f ca="1">IF('main page'!$K$34=1,hystere!H125,hystere!G125)</f>
        <v>100</v>
      </c>
      <c r="G125" s="94">
        <f ca="1">I125-'main page'!$K$27*hystere!N124</f>
        <v>100</v>
      </c>
      <c r="H125" s="75">
        <f ca="1">J125-'main page'!$K$27*N124</f>
        <v>100</v>
      </c>
      <c r="I125" s="75">
        <f t="shared" ca="1" si="10"/>
        <v>108</v>
      </c>
      <c r="J125" s="75">
        <f t="shared" ca="1" si="11"/>
        <v>108</v>
      </c>
      <c r="M125" s="75">
        <f ca="1">IF(ABS('main page'!$K$29*M124+(1-'main page'!$K$29)*(controls!$B$9/100)*100+'main page'!$K$25*(E125-B125)-M124)&lt;0.0000001,M124,'main page'!$K$29*M124+(1-'main page'!$K$29)*(controls!$B$9/100)*100+'main page'!$K$25*(E125-B125))</f>
        <v>2</v>
      </c>
      <c r="N125" s="75">
        <f ca="1">IF(controls!$B$10=1,N124,O125-'main page'!$K$29*M125-(1-'main page'!$K$29)*controls!$B$9)</f>
        <v>4</v>
      </c>
      <c r="O125" s="74">
        <f t="shared" ca="1" si="6"/>
        <v>6</v>
      </c>
      <c r="P125" s="76">
        <f ca="1">IF(controls!$B$10=1,hystere!N125+hystere!M125,hystere!Q125)</f>
        <v>6</v>
      </c>
      <c r="Q125" s="74">
        <f ca="1">IF('main page'!$Y$53=1,'choose m.p.'!$I$22*100,R125)</f>
        <v>6</v>
      </c>
      <c r="R125" s="100">
        <f ca="1">'main page'!$K$29*M125+(1-'main page'!$K$29)*controls!$B$9+S125+(('main page'!$K$25*'main page'!$U$13*'main page'!$K$29)/('main page'!$K$27*(1+('main page'!$K$25^2)*'main page'!$U$13)))*(M125-(controls!$B$9/100)*100)</f>
        <v>6</v>
      </c>
      <c r="S125" s="98">
        <f ca="1">IF(controls!$B$33=1,(J126-E125*X126-B125)/'main page'!$K$27,(I126-E125*X126-B125)/'main page'!$K$27)</f>
        <v>4</v>
      </c>
      <c r="U125" s="71">
        <f>IF(controls!$B$6=1,$AG$4*(1+('main page'!$K$35/100))^V125-$AG$4*(1+('main page'!$K$35/100))^V124,$AG$4*(1+('main page'!$G$8/100))*(1+('main page'!$K$35/100))^V125-$AG$4*(1+('main page'!$G$8/100))*(1+('main page'!$K$35/100))^V124)</f>
        <v>0</v>
      </c>
      <c r="V125" s="73">
        <v>117</v>
      </c>
      <c r="W125" s="40">
        <f>'normal case'!V124</f>
        <v>0</v>
      </c>
      <c r="X125" s="40">
        <f>'normal case'!W124</f>
        <v>0</v>
      </c>
      <c r="Y125" s="49">
        <f ca="1">IF(controls!$B$33=1,E125-($J$4-'main page'!$K$27*2)*(1+('main page'!$K$35/100))^A124,E125-$AG$5)</f>
        <v>0</v>
      </c>
      <c r="Z125" s="49">
        <f ca="1">ABS(M125-(controls!$B$9/100)*100)</f>
        <v>0</v>
      </c>
      <c r="AI125" s="40"/>
      <c r="AJ125" s="40"/>
    </row>
    <row r="126" spans="1:36">
      <c r="A126" s="48">
        <v>123</v>
      </c>
      <c r="B126" s="75">
        <f ca="1">IF(controls!$B$6=2,AVERAGE(E122:E125)+B125*W126+hystere!$AG$9,AVERAGE(E122:E125)+B125*W126)</f>
        <v>100</v>
      </c>
      <c r="C126" s="80">
        <f t="shared" ca="1" si="7"/>
        <v>0</v>
      </c>
      <c r="D126" s="105">
        <f t="shared" ca="1" si="8"/>
        <v>0</v>
      </c>
      <c r="E126" s="77">
        <f t="shared" ca="1" si="9"/>
        <v>100</v>
      </c>
      <c r="F126" s="77">
        <f ca="1">IF('main page'!$K$34=1,hystere!H126,hystere!G126)</f>
        <v>100</v>
      </c>
      <c r="G126" s="94">
        <f ca="1">I126-'main page'!$K$27*hystere!N125</f>
        <v>100</v>
      </c>
      <c r="H126" s="75">
        <f ca="1">J126-'main page'!$K$27*N125</f>
        <v>100</v>
      </c>
      <c r="I126" s="75">
        <f t="shared" ca="1" si="10"/>
        <v>108</v>
      </c>
      <c r="J126" s="75">
        <f t="shared" ca="1" si="11"/>
        <v>108</v>
      </c>
      <c r="M126" s="75">
        <f ca="1">IF(ABS('main page'!$K$29*M125+(1-'main page'!$K$29)*(controls!$B$9/100)*100+'main page'!$K$25*(E126-B126)-M125)&lt;0.0000001,M125,'main page'!$K$29*M125+(1-'main page'!$K$29)*(controls!$B$9/100)*100+'main page'!$K$25*(E126-B126))</f>
        <v>2</v>
      </c>
      <c r="N126" s="75">
        <f ca="1">IF(controls!$B$10=1,N125,O126-'main page'!$K$29*M126-(1-'main page'!$K$29)*controls!$B$9)</f>
        <v>4</v>
      </c>
      <c r="O126" s="74">
        <f t="shared" ca="1" si="6"/>
        <v>6</v>
      </c>
      <c r="P126" s="76">
        <f ca="1">IF(controls!$B$10=1,hystere!N126+hystere!M126,hystere!Q126)</f>
        <v>6</v>
      </c>
      <c r="Q126" s="74">
        <f ca="1">IF('main page'!$Y$53=1,'choose m.p.'!$I$22*100,R126)</f>
        <v>6</v>
      </c>
      <c r="R126" s="100">
        <f ca="1">'main page'!$K$29*M126+(1-'main page'!$K$29)*controls!$B$9+S126+(('main page'!$K$25*'main page'!$U$13*'main page'!$K$29)/('main page'!$K$27*(1+('main page'!$K$25^2)*'main page'!$U$13)))*(M126-(controls!$B$9/100)*100)</f>
        <v>6</v>
      </c>
      <c r="S126" s="98">
        <f ca="1">IF(controls!$B$33=1,(J127-E126*X127-B126)/'main page'!$K$27,(I127-E126*X127-B126)/'main page'!$K$27)</f>
        <v>4</v>
      </c>
      <c r="U126" s="71">
        <f>IF(controls!$B$6=1,$AG$4*(1+('main page'!$K$35/100))^V126-$AG$4*(1+('main page'!$K$35/100))^V125,$AG$4*(1+('main page'!$G$8/100))*(1+('main page'!$K$35/100))^V126-$AG$4*(1+('main page'!$G$8/100))*(1+('main page'!$K$35/100))^V125)</f>
        <v>0</v>
      </c>
      <c r="V126" s="73">
        <v>118</v>
      </c>
      <c r="W126" s="40">
        <f ca="1">'normal case'!V125</f>
        <v>0</v>
      </c>
      <c r="X126" s="40">
        <f ca="1">'normal case'!W125</f>
        <v>0</v>
      </c>
      <c r="Y126" s="49">
        <f ca="1">IF(controls!$B$33=1,E126-($J$4-'main page'!$K$27*2)*(1+('main page'!$K$35/100))^A125,E126-$AG$5)</f>
        <v>0</v>
      </c>
      <c r="Z126" s="49">
        <f ca="1">ABS(M126-(controls!$B$9/100)*100)</f>
        <v>0</v>
      </c>
      <c r="AI126" s="40"/>
      <c r="AJ126" s="40"/>
    </row>
    <row r="127" spans="1:36">
      <c r="A127" s="48">
        <v>124</v>
      </c>
      <c r="B127" s="75">
        <f ca="1">IF(controls!$B$6=2,AVERAGE(E123:E126)+B126*W127+hystere!$AG$9,AVERAGE(E123:E126)+B126*W127)</f>
        <v>100</v>
      </c>
      <c r="C127" s="80">
        <f t="shared" ca="1" si="7"/>
        <v>0</v>
      </c>
      <c r="D127" s="105">
        <f t="shared" ca="1" si="8"/>
        <v>0</v>
      </c>
      <c r="E127" s="77">
        <f t="shared" ca="1" si="9"/>
        <v>100</v>
      </c>
      <c r="F127" s="77">
        <f ca="1">IF('main page'!$K$34=1,hystere!H127,hystere!G127)</f>
        <v>100</v>
      </c>
      <c r="G127" s="94">
        <f ca="1">I127-'main page'!$K$27*hystere!N126</f>
        <v>100</v>
      </c>
      <c r="H127" s="75">
        <f ca="1">J127-'main page'!$K$27*N126</f>
        <v>100</v>
      </c>
      <c r="I127" s="75">
        <f t="shared" ca="1" si="10"/>
        <v>108</v>
      </c>
      <c r="J127" s="75">
        <f t="shared" ca="1" si="11"/>
        <v>108</v>
      </c>
      <c r="M127" s="75">
        <f ca="1">IF(ABS('main page'!$K$29*M126+(1-'main page'!$K$29)*(controls!$B$9/100)*100+'main page'!$K$25*(E127-B127)-M126)&lt;0.0000001,M126,'main page'!$K$29*M126+(1-'main page'!$K$29)*(controls!$B$9/100)*100+'main page'!$K$25*(E127-B127))</f>
        <v>2</v>
      </c>
      <c r="N127" s="75">
        <f ca="1">IF(controls!$B$10=1,N126,O127-'main page'!$K$29*M127-(1-'main page'!$K$29)*controls!$B$9)</f>
        <v>4</v>
      </c>
      <c r="O127" s="74">
        <f t="shared" ca="1" si="6"/>
        <v>6</v>
      </c>
      <c r="P127" s="76">
        <f ca="1">IF(controls!$B$10=1,hystere!N127+hystere!M127,hystere!Q127)</f>
        <v>6</v>
      </c>
      <c r="Q127" s="74">
        <f ca="1">IF('main page'!$Y$53=1,'choose m.p.'!$I$22*100,R127)</f>
        <v>6</v>
      </c>
      <c r="R127" s="100">
        <f ca="1">'main page'!$K$29*M127+(1-'main page'!$K$29)*controls!$B$9+S127+(('main page'!$K$25*'main page'!$U$13*'main page'!$K$29)/('main page'!$K$27*(1+('main page'!$K$25^2)*'main page'!$U$13)))*(M127-(controls!$B$9/100)*100)</f>
        <v>6</v>
      </c>
      <c r="S127" s="98">
        <f ca="1">IF(controls!$B$33=1,(J128-E127*X128-B127)/'main page'!$K$27,(I128-E127*X128-B127)/'main page'!$K$27)</f>
        <v>4</v>
      </c>
      <c r="U127" s="71">
        <f>IF(controls!$B$6=1,$AG$4*(1+('main page'!$K$35/100))^V127-$AG$4*(1+('main page'!$K$35/100))^V126,$AG$4*(1+('main page'!$G$8/100))*(1+('main page'!$K$35/100))^V127-$AG$4*(1+('main page'!$G$8/100))*(1+('main page'!$K$35/100))^V126)</f>
        <v>0</v>
      </c>
      <c r="V127" s="73">
        <v>119</v>
      </c>
      <c r="W127" s="40">
        <f>'normal case'!V126</f>
        <v>0</v>
      </c>
      <c r="X127" s="40">
        <f>'normal case'!W126</f>
        <v>0</v>
      </c>
      <c r="Y127" s="49">
        <f ca="1">IF(controls!$B$33=1,E127-($J$4-'main page'!$K$27*2)*(1+('main page'!$K$35/100))^A126,E127-$AG$5)</f>
        <v>0</v>
      </c>
      <c r="Z127" s="49">
        <f ca="1">ABS(M127-(controls!$B$9/100)*100)</f>
        <v>0</v>
      </c>
      <c r="AI127" s="40"/>
      <c r="AJ127" s="40"/>
    </row>
    <row r="128" spans="1:36">
      <c r="A128" s="48">
        <v>125</v>
      </c>
      <c r="B128" s="75">
        <f ca="1">IF(controls!$B$6=2,AVERAGE(E124:E127)+B127*W128+hystere!$AG$9,AVERAGE(E124:E127)+B127*W128)</f>
        <v>100</v>
      </c>
      <c r="C128" s="80">
        <f t="shared" ca="1" si="7"/>
        <v>0</v>
      </c>
      <c r="D128" s="105">
        <f t="shared" ca="1" si="8"/>
        <v>0</v>
      </c>
      <c r="E128" s="77">
        <f t="shared" ca="1" si="9"/>
        <v>100</v>
      </c>
      <c r="F128" s="77">
        <f ca="1">IF('main page'!$K$34=1,hystere!H128,hystere!G128)</f>
        <v>100</v>
      </c>
      <c r="G128" s="94">
        <f ca="1">I128-'main page'!$K$27*hystere!N127</f>
        <v>100</v>
      </c>
      <c r="H128" s="75">
        <f ca="1">J128-'main page'!$K$27*N127</f>
        <v>100</v>
      </c>
      <c r="I128" s="75">
        <f t="shared" ca="1" si="10"/>
        <v>108</v>
      </c>
      <c r="J128" s="75">
        <f t="shared" ca="1" si="11"/>
        <v>108</v>
      </c>
      <c r="M128" s="75">
        <f ca="1">IF(ABS('main page'!$K$29*M127+(1-'main page'!$K$29)*(controls!$B$9/100)*100+'main page'!$K$25*(E128-B128)-M127)&lt;0.0000001,M127,'main page'!$K$29*M127+(1-'main page'!$K$29)*(controls!$B$9/100)*100+'main page'!$K$25*(E128-B128))</f>
        <v>2</v>
      </c>
      <c r="N128" s="75">
        <f ca="1">IF(controls!$B$10=1,N127,O128-'main page'!$K$29*M128-(1-'main page'!$K$29)*controls!$B$9)</f>
        <v>4</v>
      </c>
      <c r="O128" s="74">
        <f t="shared" ca="1" si="6"/>
        <v>6</v>
      </c>
      <c r="P128" s="76">
        <f ca="1">IF(controls!$B$10=1,hystere!N128+hystere!M128,hystere!Q128)</f>
        <v>6</v>
      </c>
      <c r="Q128" s="74">
        <f ca="1">IF('main page'!$Y$53=1,'choose m.p.'!$I$22*100,R128)</f>
        <v>6</v>
      </c>
      <c r="R128" s="100">
        <f ca="1">'main page'!$K$29*M128+(1-'main page'!$K$29)*controls!$B$9+S128+(('main page'!$K$25*'main page'!$U$13*'main page'!$K$29)/('main page'!$K$27*(1+('main page'!$K$25^2)*'main page'!$U$13)))*(M128-(controls!$B$9/100)*100)</f>
        <v>6</v>
      </c>
      <c r="S128" s="98">
        <f ca="1">IF(controls!$B$33=1,(J129-E128*X129-B128)/'main page'!$K$27,(I129-E128*X129-B128)/'main page'!$K$27)</f>
        <v>4</v>
      </c>
      <c r="U128" s="71">
        <f>IF(controls!$B$6=1,$AG$4*(1+('main page'!$K$35/100))^V128-$AG$4*(1+('main page'!$K$35/100))^V127,$AG$4*(1+('main page'!$G$8/100))*(1+('main page'!$K$35/100))^V128-$AG$4*(1+('main page'!$G$8/100))*(1+('main page'!$K$35/100))^V127)</f>
        <v>0</v>
      </c>
      <c r="V128" s="73">
        <v>120</v>
      </c>
      <c r="W128" s="40">
        <f>'normal case'!V127</f>
        <v>0</v>
      </c>
      <c r="X128" s="40">
        <f>'normal case'!W127</f>
        <v>0</v>
      </c>
      <c r="Y128" s="49">
        <f ca="1">IF(controls!$B$33=1,E128-($J$4-'main page'!$K$27*2)*(1+('main page'!$K$35/100))^A127,E128-$AG$5)</f>
        <v>0</v>
      </c>
      <c r="Z128" s="49">
        <f ca="1">ABS(M128-(controls!$B$9/100)*100)</f>
        <v>0</v>
      </c>
      <c r="AI128" s="40"/>
      <c r="AJ128" s="40"/>
    </row>
    <row r="129" spans="1:36">
      <c r="A129" s="48">
        <v>126</v>
      </c>
      <c r="B129" s="75">
        <f ca="1">IF(controls!$B$6=2,AVERAGE(E125:E128)+B128*W129+hystere!$AG$9,AVERAGE(E125:E128)+B128*W129)</f>
        <v>100</v>
      </c>
      <c r="C129" s="80">
        <f t="shared" ca="1" si="7"/>
        <v>0</v>
      </c>
      <c r="D129" s="105">
        <f t="shared" ca="1" si="8"/>
        <v>0</v>
      </c>
      <c r="E129" s="77">
        <f t="shared" ca="1" si="9"/>
        <v>100</v>
      </c>
      <c r="F129" s="77">
        <f ca="1">IF('main page'!$K$34=1,hystere!H129,hystere!G129)</f>
        <v>100</v>
      </c>
      <c r="G129" s="94">
        <f ca="1">I129-'main page'!$K$27*hystere!N128</f>
        <v>100</v>
      </c>
      <c r="H129" s="75">
        <f ca="1">J129-'main page'!$K$27*N128</f>
        <v>100</v>
      </c>
      <c r="I129" s="75">
        <f t="shared" ca="1" si="10"/>
        <v>108</v>
      </c>
      <c r="J129" s="75">
        <f t="shared" ca="1" si="11"/>
        <v>108</v>
      </c>
      <c r="M129" s="75">
        <f ca="1">IF(ABS('main page'!$K$29*M128+(1-'main page'!$K$29)*(controls!$B$9/100)*100+'main page'!$K$25*(E129-B129)-M128)&lt;0.0000001,M128,'main page'!$K$29*M128+(1-'main page'!$K$29)*(controls!$B$9/100)*100+'main page'!$K$25*(E129-B129))</f>
        <v>2</v>
      </c>
      <c r="N129" s="75">
        <f ca="1">IF(controls!$B$10=1,N128,O129-'main page'!$K$29*M129-(1-'main page'!$K$29)*controls!$B$9)</f>
        <v>4</v>
      </c>
      <c r="O129" s="74">
        <f t="shared" ca="1" si="6"/>
        <v>6</v>
      </c>
      <c r="P129" s="76">
        <f ca="1">IF(controls!$B$10=1,hystere!N129+hystere!M129,hystere!Q129)</f>
        <v>6</v>
      </c>
      <c r="Q129" s="74">
        <f ca="1">IF('main page'!$Y$53=1,'choose m.p.'!$I$22*100,R129)</f>
        <v>6</v>
      </c>
      <c r="R129" s="100">
        <f ca="1">'main page'!$K$29*M129+(1-'main page'!$K$29)*controls!$B$9+S129+(('main page'!$K$25*'main page'!$U$13*'main page'!$K$29)/('main page'!$K$27*(1+('main page'!$K$25^2)*'main page'!$U$13)))*(M129-(controls!$B$9/100)*100)</f>
        <v>6</v>
      </c>
      <c r="S129" s="98">
        <f ca="1">IF(controls!$B$33=1,(J130-E129*X130-B129)/'main page'!$K$27,(I130-E129*X130-B129)/'main page'!$K$27)</f>
        <v>4</v>
      </c>
      <c r="U129" s="71">
        <f>IF(controls!$B$6=1,$AG$4*(1+('main page'!$K$35/100))^V129-$AG$4*(1+('main page'!$K$35/100))^V128,$AG$4*(1+('main page'!$G$8/100))*(1+('main page'!$K$35/100))^V129-$AG$4*(1+('main page'!$G$8/100))*(1+('main page'!$K$35/100))^V128)</f>
        <v>0</v>
      </c>
      <c r="V129" s="73">
        <v>121</v>
      </c>
      <c r="W129" s="40">
        <f ca="1">'normal case'!V128</f>
        <v>0</v>
      </c>
      <c r="X129" s="40">
        <f ca="1">'normal case'!W128</f>
        <v>0</v>
      </c>
      <c r="Y129" s="49">
        <f ca="1">IF(controls!$B$33=1,E129-($J$4-'main page'!$K$27*2)*(1+('main page'!$K$35/100))^A128,E129-$AG$5)</f>
        <v>0</v>
      </c>
      <c r="Z129" s="49">
        <f ca="1">ABS(M129-(controls!$B$9/100)*100)</f>
        <v>0</v>
      </c>
      <c r="AI129" s="40"/>
      <c r="AJ129" s="40"/>
    </row>
    <row r="130" spans="1:36">
      <c r="A130" s="48">
        <v>127</v>
      </c>
      <c r="B130" s="75">
        <f ca="1">IF(controls!$B$6=2,AVERAGE(E126:E129)+B129*W130+hystere!$AG$9,AVERAGE(E126:E129)+B129*W130)</f>
        <v>100</v>
      </c>
      <c r="C130" s="80">
        <f t="shared" ca="1" si="7"/>
        <v>0</v>
      </c>
      <c r="D130" s="105">
        <f t="shared" ca="1" si="8"/>
        <v>0</v>
      </c>
      <c r="E130" s="77">
        <f t="shared" ca="1" si="9"/>
        <v>100</v>
      </c>
      <c r="F130" s="77">
        <f ca="1">IF('main page'!$K$34=1,hystere!H130,hystere!G130)</f>
        <v>100</v>
      </c>
      <c r="G130" s="94">
        <f ca="1">I130-'main page'!$K$27*hystere!N129</f>
        <v>100</v>
      </c>
      <c r="H130" s="75">
        <f ca="1">J130-'main page'!$K$27*N129</f>
        <v>100</v>
      </c>
      <c r="I130" s="75">
        <f t="shared" ca="1" si="10"/>
        <v>108</v>
      </c>
      <c r="J130" s="75">
        <f t="shared" ca="1" si="11"/>
        <v>108</v>
      </c>
      <c r="M130" s="75">
        <f ca="1">IF(ABS('main page'!$K$29*M129+(1-'main page'!$K$29)*(controls!$B$9/100)*100+'main page'!$K$25*(E130-B130)-M129)&lt;0.0000001,M129,'main page'!$K$29*M129+(1-'main page'!$K$29)*(controls!$B$9/100)*100+'main page'!$K$25*(E130-B130))</f>
        <v>2</v>
      </c>
      <c r="N130" s="75">
        <f ca="1">IF(controls!$B$10=1,N129,O130-'main page'!$K$29*M130-(1-'main page'!$K$29)*controls!$B$9)</f>
        <v>4</v>
      </c>
      <c r="O130" s="74">
        <f t="shared" ca="1" si="6"/>
        <v>6</v>
      </c>
      <c r="P130" s="76">
        <f ca="1">IF(controls!$B$10=1,hystere!N130+hystere!M130,hystere!Q130)</f>
        <v>6</v>
      </c>
      <c r="Q130" s="74">
        <f ca="1">IF('main page'!$Y$53=1,'choose m.p.'!$I$22*100,R130)</f>
        <v>6</v>
      </c>
      <c r="R130" s="100">
        <f ca="1">'main page'!$K$29*M130+(1-'main page'!$K$29)*controls!$B$9+S130+(('main page'!$K$25*'main page'!$U$13*'main page'!$K$29)/('main page'!$K$27*(1+('main page'!$K$25^2)*'main page'!$U$13)))*(M130-(controls!$B$9/100)*100)</f>
        <v>6</v>
      </c>
      <c r="S130" s="98">
        <f ca="1">IF(controls!$B$33=1,(J131-E130*X131-B130)/'main page'!$K$27,(I131-E130*X131-B130)/'main page'!$K$27)</f>
        <v>4</v>
      </c>
      <c r="U130" s="71">
        <f>IF(controls!$B$6=1,$AG$4*(1+('main page'!$K$35/100))^V130-$AG$4*(1+('main page'!$K$35/100))^V129,$AG$4*(1+('main page'!$G$8/100))*(1+('main page'!$K$35/100))^V130-$AG$4*(1+('main page'!$G$8/100))*(1+('main page'!$K$35/100))^V129)</f>
        <v>0</v>
      </c>
      <c r="V130" s="73">
        <v>122</v>
      </c>
      <c r="W130" s="40">
        <f>'normal case'!V129</f>
        <v>0</v>
      </c>
      <c r="X130" s="40">
        <f>'normal case'!W129</f>
        <v>0</v>
      </c>
      <c r="Y130" s="49">
        <f ca="1">IF(controls!$B$33=1,E130-($J$4-'main page'!$K$27*2)*(1+('main page'!$K$35/100))^A129,E130-$AG$5)</f>
        <v>0</v>
      </c>
      <c r="Z130" s="49">
        <f ca="1">ABS(M130-(controls!$B$9/100)*100)</f>
        <v>0</v>
      </c>
      <c r="AI130" s="40"/>
      <c r="AJ130" s="40"/>
    </row>
    <row r="131" spans="1:36">
      <c r="A131" s="48">
        <v>128</v>
      </c>
      <c r="B131" s="75">
        <f ca="1">IF(controls!$B$6=2,AVERAGE(E127:E130)+B130*W131+hystere!$AG$9,AVERAGE(E127:E130)+B130*W131)</f>
        <v>100</v>
      </c>
      <c r="C131" s="80">
        <f t="shared" ca="1" si="7"/>
        <v>0</v>
      </c>
      <c r="D131" s="105">
        <f t="shared" ca="1" si="8"/>
        <v>0</v>
      </c>
      <c r="E131" s="77">
        <f t="shared" ca="1" si="9"/>
        <v>100</v>
      </c>
      <c r="F131" s="77">
        <f ca="1">IF('main page'!$K$34=1,hystere!H131,hystere!G131)</f>
        <v>100</v>
      </c>
      <c r="G131" s="94">
        <f ca="1">I131-'main page'!$K$27*hystere!N130</f>
        <v>100</v>
      </c>
      <c r="H131" s="75">
        <f ca="1">J131-'main page'!$K$27*N130</f>
        <v>100</v>
      </c>
      <c r="I131" s="75">
        <f t="shared" ca="1" si="10"/>
        <v>108</v>
      </c>
      <c r="J131" s="75">
        <f t="shared" ca="1" si="11"/>
        <v>108</v>
      </c>
      <c r="M131" s="75">
        <f ca="1">IF(ABS('main page'!$K$29*M130+(1-'main page'!$K$29)*(controls!$B$9/100)*100+'main page'!$K$25*(E131-B131)-M130)&lt;0.0000001,M130,'main page'!$K$29*M130+(1-'main page'!$K$29)*(controls!$B$9/100)*100+'main page'!$K$25*(E131-B131))</f>
        <v>2</v>
      </c>
      <c r="N131" s="75">
        <f ca="1">IF(controls!$B$10=1,N130,O131-'main page'!$K$29*M131-(1-'main page'!$K$29)*controls!$B$9)</f>
        <v>4</v>
      </c>
      <c r="O131" s="74">
        <f t="shared" ca="1" si="6"/>
        <v>6</v>
      </c>
      <c r="P131" s="76">
        <f ca="1">IF(controls!$B$10=1,hystere!N131+hystere!M131,hystere!Q131)</f>
        <v>6</v>
      </c>
      <c r="Q131" s="74">
        <f ca="1">IF('main page'!$Y$53=1,'choose m.p.'!$I$22*100,R131)</f>
        <v>6</v>
      </c>
      <c r="R131" s="100">
        <f ca="1">'main page'!$K$29*M131+(1-'main page'!$K$29)*controls!$B$9+S131+(('main page'!$K$25*'main page'!$U$13*'main page'!$K$29)/('main page'!$K$27*(1+('main page'!$K$25^2)*'main page'!$U$13)))*(M131-(controls!$B$9/100)*100)</f>
        <v>6</v>
      </c>
      <c r="S131" s="98">
        <f ca="1">IF(controls!$B$33=1,(J132-E131*X132-B131)/'main page'!$K$27,(I132-E131*X132-B131)/'main page'!$K$27)</f>
        <v>4</v>
      </c>
      <c r="U131" s="71">
        <f>IF(controls!$B$6=1,$AG$4*(1+('main page'!$K$35/100))^V131-$AG$4*(1+('main page'!$K$35/100))^V130,$AG$4*(1+('main page'!$G$8/100))*(1+('main page'!$K$35/100))^V131-$AG$4*(1+('main page'!$G$8/100))*(1+('main page'!$K$35/100))^V130)</f>
        <v>0</v>
      </c>
      <c r="V131" s="73">
        <v>123</v>
      </c>
      <c r="W131" s="40">
        <f>'normal case'!V130</f>
        <v>0</v>
      </c>
      <c r="X131" s="40">
        <f>'normal case'!W130</f>
        <v>0</v>
      </c>
      <c r="Y131" s="49">
        <f ca="1">IF(controls!$B$33=1,E131-($J$4-'main page'!$K$27*2)*(1+('main page'!$K$35/100))^A130,E131-$AG$5)</f>
        <v>0</v>
      </c>
      <c r="Z131" s="49">
        <f ca="1">ABS(M131-(controls!$B$9/100)*100)</f>
        <v>0</v>
      </c>
      <c r="AI131" s="40"/>
      <c r="AJ131" s="40"/>
    </row>
    <row r="132" spans="1:36">
      <c r="A132" s="48">
        <v>129</v>
      </c>
      <c r="B132" s="75">
        <f ca="1">IF(controls!$B$6=2,AVERAGE(E128:E131)+B131*W132+hystere!$AG$9,AVERAGE(E128:E131)+B131*W132)</f>
        <v>100</v>
      </c>
      <c r="C132" s="80">
        <f t="shared" ca="1" si="7"/>
        <v>0</v>
      </c>
      <c r="D132" s="105">
        <f t="shared" ca="1" si="8"/>
        <v>0</v>
      </c>
      <c r="E132" s="77">
        <f t="shared" ca="1" si="9"/>
        <v>100</v>
      </c>
      <c r="F132" s="77">
        <f ca="1">IF('main page'!$K$34=1,hystere!H132,hystere!G132)</f>
        <v>100</v>
      </c>
      <c r="G132" s="94">
        <f ca="1">I132-'main page'!$K$27*hystere!N131</f>
        <v>100</v>
      </c>
      <c r="H132" s="75">
        <f ca="1">J132-'main page'!$K$27*N131</f>
        <v>100</v>
      </c>
      <c r="I132" s="75">
        <f t="shared" ca="1" si="10"/>
        <v>108</v>
      </c>
      <c r="J132" s="75">
        <f t="shared" ca="1" si="11"/>
        <v>108</v>
      </c>
      <c r="M132" s="75">
        <f ca="1">IF(ABS('main page'!$K$29*M131+(1-'main page'!$K$29)*(controls!$B$9/100)*100+'main page'!$K$25*(E132-B132)-M131)&lt;0.0000001,M131,'main page'!$K$29*M131+(1-'main page'!$K$29)*(controls!$B$9/100)*100+'main page'!$K$25*(E132-B132))</f>
        <v>2</v>
      </c>
      <c r="N132" s="75">
        <f ca="1">IF(controls!$B$10=1,N131,O132-'main page'!$K$29*M132-(1-'main page'!$K$29)*controls!$B$9)</f>
        <v>4</v>
      </c>
      <c r="O132" s="74">
        <f t="shared" ref="O132:O195" ca="1" si="12">IF(P132&lt;0,0,P132)</f>
        <v>6</v>
      </c>
      <c r="P132" s="76">
        <f ca="1">IF(controls!$B$10=1,hystere!N132+hystere!M132,hystere!Q132)</f>
        <v>6</v>
      </c>
      <c r="Q132" s="74">
        <f ca="1">IF('main page'!$Y$53=1,'choose m.p.'!$I$22*100,R132)</f>
        <v>6</v>
      </c>
      <c r="R132" s="100">
        <f ca="1">'main page'!$K$29*M132+(1-'main page'!$K$29)*controls!$B$9+S132+(('main page'!$K$25*'main page'!$U$13*'main page'!$K$29)/('main page'!$K$27*(1+('main page'!$K$25^2)*'main page'!$U$13)))*(M132-(controls!$B$9/100)*100)</f>
        <v>6</v>
      </c>
      <c r="S132" s="98">
        <f ca="1">IF(controls!$B$33=1,(J133-E132*X133-B132)/'main page'!$K$27,(I133-E132*X133-B132)/'main page'!$K$27)</f>
        <v>4</v>
      </c>
      <c r="U132" s="71">
        <f>IF(controls!$B$6=1,$AG$4*(1+('main page'!$K$35/100))^V132-$AG$4*(1+('main page'!$K$35/100))^V131,$AG$4*(1+('main page'!$G$8/100))*(1+('main page'!$K$35/100))^V132-$AG$4*(1+('main page'!$G$8/100))*(1+('main page'!$K$35/100))^V131)</f>
        <v>0</v>
      </c>
      <c r="V132" s="73">
        <v>124</v>
      </c>
      <c r="W132" s="40">
        <f ca="1">'normal case'!V131</f>
        <v>0</v>
      </c>
      <c r="X132" s="40">
        <f ca="1">'normal case'!W131</f>
        <v>0</v>
      </c>
      <c r="Y132" s="49">
        <f ca="1">IF(controls!$B$33=1,E132-($J$4-'main page'!$K$27*2)*(1+('main page'!$K$35/100))^A131,E132-$AG$5)</f>
        <v>0</v>
      </c>
      <c r="Z132" s="49">
        <f ca="1">ABS(M132-(controls!$B$9/100)*100)</f>
        <v>0</v>
      </c>
      <c r="AI132" s="40"/>
      <c r="AJ132" s="40"/>
    </row>
    <row r="133" spans="1:36">
      <c r="A133" s="48">
        <v>130</v>
      </c>
      <c r="B133" s="75">
        <f ca="1">IF(controls!$B$6=2,AVERAGE(E129:E132)+B132*W133+hystere!$AG$9,AVERAGE(E129:E132)+B132*W133)</f>
        <v>100</v>
      </c>
      <c r="C133" s="80">
        <f t="shared" ref="C133:C196" ca="1" si="13">E133/E132-1</f>
        <v>0</v>
      </c>
      <c r="D133" s="105">
        <f t="shared" ref="D133:D196" ca="1" si="14">E133-B133</f>
        <v>0</v>
      </c>
      <c r="E133" s="77">
        <f t="shared" ref="E133:E196" ca="1" si="15">IF(F133&gt;0,F133,0.1)</f>
        <v>100</v>
      </c>
      <c r="F133" s="77">
        <f ca="1">IF('main page'!$K$34=1,hystere!H133,hystere!G133)</f>
        <v>100</v>
      </c>
      <c r="G133" s="94">
        <f ca="1">I133-'main page'!$K$27*hystere!N132</f>
        <v>100</v>
      </c>
      <c r="H133" s="75">
        <f ca="1">J133-'main page'!$K$27*N132</f>
        <v>100</v>
      </c>
      <c r="I133" s="75">
        <f t="shared" ca="1" si="10"/>
        <v>108</v>
      </c>
      <c r="J133" s="75">
        <f t="shared" ca="1" si="11"/>
        <v>108</v>
      </c>
      <c r="M133" s="75">
        <f ca="1">IF(ABS('main page'!$K$29*M132+(1-'main page'!$K$29)*(controls!$B$9/100)*100+'main page'!$K$25*(E133-B133)-M132)&lt;0.0000001,M132,'main page'!$K$29*M132+(1-'main page'!$K$29)*(controls!$B$9/100)*100+'main page'!$K$25*(E133-B133))</f>
        <v>2</v>
      </c>
      <c r="N133" s="75">
        <f ca="1">IF(controls!$B$10=1,N132,O133-'main page'!$K$29*M133-(1-'main page'!$K$29)*controls!$B$9)</f>
        <v>4</v>
      </c>
      <c r="O133" s="74">
        <f t="shared" ca="1" si="12"/>
        <v>6</v>
      </c>
      <c r="P133" s="76">
        <f ca="1">IF(controls!$B$10=1,hystere!N133+hystere!M133,hystere!Q133)</f>
        <v>6</v>
      </c>
      <c r="Q133" s="74">
        <f ca="1">IF('main page'!$Y$53=1,'choose m.p.'!$I$22*100,R133)</f>
        <v>6</v>
      </c>
      <c r="R133" s="100">
        <f ca="1">'main page'!$K$29*M133+(1-'main page'!$K$29)*controls!$B$9+S133+(('main page'!$K$25*'main page'!$U$13*'main page'!$K$29)/('main page'!$K$27*(1+('main page'!$K$25^2)*'main page'!$U$13)))*(M133-(controls!$B$9/100)*100)</f>
        <v>6</v>
      </c>
      <c r="S133" s="98">
        <f ca="1">IF(controls!$B$33=1,(J134-E133*X134-B133)/'main page'!$K$27,(I134-E133*X134-B133)/'main page'!$K$27)</f>
        <v>4</v>
      </c>
      <c r="U133" s="71">
        <f>IF(controls!$B$6=1,$AG$4*(1+('main page'!$K$35/100))^V133-$AG$4*(1+('main page'!$K$35/100))^V132,$AG$4*(1+('main page'!$G$8/100))*(1+('main page'!$K$35/100))^V133-$AG$4*(1+('main page'!$G$8/100))*(1+('main page'!$K$35/100))^V132)</f>
        <v>0</v>
      </c>
      <c r="V133" s="73">
        <v>125</v>
      </c>
      <c r="W133" s="40">
        <f>'normal case'!V132</f>
        <v>0</v>
      </c>
      <c r="X133" s="40">
        <f>'normal case'!W132</f>
        <v>0</v>
      </c>
      <c r="Y133" s="49">
        <f ca="1">IF(controls!$B$33=1,E133-($J$4-'main page'!$K$27*2)*(1+('main page'!$K$35/100))^A132,E133-$AG$5)</f>
        <v>0</v>
      </c>
      <c r="Z133" s="49">
        <f ca="1">ABS(M133-(controls!$B$9/100)*100)</f>
        <v>0</v>
      </c>
      <c r="AI133" s="40"/>
      <c r="AJ133" s="40"/>
    </row>
    <row r="134" spans="1:36">
      <c r="A134" s="48">
        <v>131</v>
      </c>
      <c r="B134" s="75">
        <f ca="1">IF(controls!$B$6=2,AVERAGE(E130:E133)+B133*W134+hystere!$AG$9,AVERAGE(E130:E133)+B133*W134)</f>
        <v>100</v>
      </c>
      <c r="C134" s="80">
        <f t="shared" ca="1" si="13"/>
        <v>0</v>
      </c>
      <c r="D134" s="105">
        <f t="shared" ca="1" si="14"/>
        <v>0</v>
      </c>
      <c r="E134" s="77">
        <f t="shared" ca="1" si="15"/>
        <v>100</v>
      </c>
      <c r="F134" s="77">
        <f ca="1">IF('main page'!$K$34=1,hystere!H134,hystere!G134)</f>
        <v>100</v>
      </c>
      <c r="G134" s="94">
        <f ca="1">I134-'main page'!$K$27*hystere!N133</f>
        <v>100</v>
      </c>
      <c r="H134" s="75">
        <f ca="1">J134-'main page'!$K$27*N133</f>
        <v>100</v>
      </c>
      <c r="I134" s="75">
        <f t="shared" ca="1" si="10"/>
        <v>108</v>
      </c>
      <c r="J134" s="75">
        <f t="shared" ca="1" si="11"/>
        <v>108</v>
      </c>
      <c r="M134" s="75">
        <f ca="1">IF(ABS('main page'!$K$29*M133+(1-'main page'!$K$29)*(controls!$B$9/100)*100+'main page'!$K$25*(E134-B134)-M133)&lt;0.0000001,M133,'main page'!$K$29*M133+(1-'main page'!$K$29)*(controls!$B$9/100)*100+'main page'!$K$25*(E134-B134))</f>
        <v>2</v>
      </c>
      <c r="N134" s="75">
        <f ca="1">IF(controls!$B$10=1,N133,O134-'main page'!$K$29*M134-(1-'main page'!$K$29)*controls!$B$9)</f>
        <v>4</v>
      </c>
      <c r="O134" s="74">
        <f t="shared" ca="1" si="12"/>
        <v>6</v>
      </c>
      <c r="P134" s="76">
        <f ca="1">IF(controls!$B$10=1,hystere!N134+hystere!M134,hystere!Q134)</f>
        <v>6</v>
      </c>
      <c r="Q134" s="74">
        <f ca="1">IF('main page'!$Y$53=1,'choose m.p.'!$I$22*100,R134)</f>
        <v>6</v>
      </c>
      <c r="R134" s="100">
        <f ca="1">'main page'!$K$29*M134+(1-'main page'!$K$29)*controls!$B$9+S134+(('main page'!$K$25*'main page'!$U$13*'main page'!$K$29)/('main page'!$K$27*(1+('main page'!$K$25^2)*'main page'!$U$13)))*(M134-(controls!$B$9/100)*100)</f>
        <v>6</v>
      </c>
      <c r="S134" s="98">
        <f ca="1">IF(controls!$B$33=1,(J135-E134*X135-B134)/'main page'!$K$27,(I135-E134*X135-B134)/'main page'!$K$27)</f>
        <v>4</v>
      </c>
      <c r="U134" s="71">
        <f>IF(controls!$B$6=1,$AG$4*(1+('main page'!$K$35/100))^V134-$AG$4*(1+('main page'!$K$35/100))^V133,$AG$4*(1+('main page'!$G$8/100))*(1+('main page'!$K$35/100))^V134-$AG$4*(1+('main page'!$G$8/100))*(1+('main page'!$K$35/100))^V133)</f>
        <v>0</v>
      </c>
      <c r="V134" s="73">
        <v>126</v>
      </c>
      <c r="W134" s="40">
        <f>'normal case'!V133</f>
        <v>0</v>
      </c>
      <c r="X134" s="40">
        <f>'normal case'!W133</f>
        <v>0</v>
      </c>
      <c r="Y134" s="49">
        <f ca="1">IF(controls!$B$33=1,E134-($J$4-'main page'!$K$27*2)*(1+('main page'!$K$35/100))^A133,E134-$AG$5)</f>
        <v>0</v>
      </c>
      <c r="Z134" s="49">
        <f ca="1">ABS(M134-(controls!$B$9/100)*100)</f>
        <v>0</v>
      </c>
      <c r="AI134" s="40"/>
      <c r="AJ134" s="40"/>
    </row>
    <row r="135" spans="1:36">
      <c r="A135" s="48">
        <v>132</v>
      </c>
      <c r="B135" s="75">
        <f ca="1">IF(controls!$B$6=2,AVERAGE(E131:E134)+B134*W135+hystere!$AG$9,AVERAGE(E131:E134)+B134*W135)</f>
        <v>100</v>
      </c>
      <c r="C135" s="80">
        <f t="shared" ca="1" si="13"/>
        <v>0</v>
      </c>
      <c r="D135" s="105">
        <f t="shared" ca="1" si="14"/>
        <v>0</v>
      </c>
      <c r="E135" s="77">
        <f t="shared" ca="1" si="15"/>
        <v>100</v>
      </c>
      <c r="F135" s="77">
        <f ca="1">IF('main page'!$K$34=1,hystere!H135,hystere!G135)</f>
        <v>100</v>
      </c>
      <c r="G135" s="94">
        <f ca="1">I135-'main page'!$K$27*hystere!N134</f>
        <v>100</v>
      </c>
      <c r="H135" s="75">
        <f ca="1">J135-'main page'!$K$27*N134</f>
        <v>100</v>
      </c>
      <c r="I135" s="75">
        <f t="shared" ca="1" si="10"/>
        <v>108</v>
      </c>
      <c r="J135" s="75">
        <f t="shared" ca="1" si="11"/>
        <v>108</v>
      </c>
      <c r="M135" s="75">
        <f ca="1">IF(ABS('main page'!$K$29*M134+(1-'main page'!$K$29)*(controls!$B$9/100)*100+'main page'!$K$25*(E135-B135)-M134)&lt;0.0000001,M134,'main page'!$K$29*M134+(1-'main page'!$K$29)*(controls!$B$9/100)*100+'main page'!$K$25*(E135-B135))</f>
        <v>2</v>
      </c>
      <c r="N135" s="75">
        <f ca="1">IF(controls!$B$10=1,N134,O135-'main page'!$K$29*M135-(1-'main page'!$K$29)*controls!$B$9)</f>
        <v>4</v>
      </c>
      <c r="O135" s="74">
        <f t="shared" ca="1" si="12"/>
        <v>6</v>
      </c>
      <c r="P135" s="76">
        <f ca="1">IF(controls!$B$10=1,hystere!N135+hystere!M135,hystere!Q135)</f>
        <v>6</v>
      </c>
      <c r="Q135" s="74">
        <f ca="1">IF('main page'!$Y$53=1,'choose m.p.'!$I$22*100,R135)</f>
        <v>6</v>
      </c>
      <c r="R135" s="100">
        <f ca="1">'main page'!$K$29*M135+(1-'main page'!$K$29)*controls!$B$9+S135+(('main page'!$K$25*'main page'!$U$13*'main page'!$K$29)/('main page'!$K$27*(1+('main page'!$K$25^2)*'main page'!$U$13)))*(M135-(controls!$B$9/100)*100)</f>
        <v>6</v>
      </c>
      <c r="S135" s="98">
        <f ca="1">IF(controls!$B$33=1,(J136-E135*X136-B135)/'main page'!$K$27,(I136-E135*X136-B135)/'main page'!$K$27)</f>
        <v>4</v>
      </c>
      <c r="U135" s="71">
        <f>IF(controls!$B$6=1,$AG$4*(1+('main page'!$K$35/100))^V135-$AG$4*(1+('main page'!$K$35/100))^V134,$AG$4*(1+('main page'!$G$8/100))*(1+('main page'!$K$35/100))^V135-$AG$4*(1+('main page'!$G$8/100))*(1+('main page'!$K$35/100))^V134)</f>
        <v>0</v>
      </c>
      <c r="V135" s="73">
        <v>127</v>
      </c>
      <c r="W135" s="40">
        <f ca="1">'normal case'!V134</f>
        <v>0</v>
      </c>
      <c r="X135" s="40">
        <f ca="1">'normal case'!W134</f>
        <v>0</v>
      </c>
      <c r="Y135" s="49">
        <f ca="1">IF(controls!$B$33=1,E135-($J$4-'main page'!$K$27*2)*(1+('main page'!$K$35/100))^A134,E135-$AG$5)</f>
        <v>0</v>
      </c>
      <c r="Z135" s="49">
        <f ca="1">ABS(M135-(controls!$B$9/100)*100)</f>
        <v>0</v>
      </c>
      <c r="AI135" s="40"/>
      <c r="AJ135" s="40"/>
    </row>
    <row r="136" spans="1:36">
      <c r="A136" s="48">
        <v>133</v>
      </c>
      <c r="B136" s="75">
        <f ca="1">IF(controls!$B$6=2,AVERAGE(E132:E135)+B135*W136+hystere!$AG$9,AVERAGE(E132:E135)+B135*W136)</f>
        <v>100</v>
      </c>
      <c r="C136" s="80">
        <f t="shared" ca="1" si="13"/>
        <v>0</v>
      </c>
      <c r="D136" s="105">
        <f t="shared" ca="1" si="14"/>
        <v>0</v>
      </c>
      <c r="E136" s="77">
        <f t="shared" ca="1" si="15"/>
        <v>100</v>
      </c>
      <c r="F136" s="77">
        <f ca="1">IF('main page'!$K$34=1,hystere!H136,hystere!G136)</f>
        <v>100</v>
      </c>
      <c r="G136" s="94">
        <f ca="1">I136-'main page'!$K$27*hystere!N135</f>
        <v>100</v>
      </c>
      <c r="H136" s="75">
        <f ca="1">J136-'main page'!$K$27*N135</f>
        <v>100</v>
      </c>
      <c r="I136" s="75">
        <f t="shared" ca="1" si="10"/>
        <v>108</v>
      </c>
      <c r="J136" s="75">
        <f t="shared" ca="1" si="11"/>
        <v>108</v>
      </c>
      <c r="M136" s="75">
        <f ca="1">IF(ABS('main page'!$K$29*M135+(1-'main page'!$K$29)*(controls!$B$9/100)*100+'main page'!$K$25*(E136-B136)-M135)&lt;0.0000001,M135,'main page'!$K$29*M135+(1-'main page'!$K$29)*(controls!$B$9/100)*100+'main page'!$K$25*(E136-B136))</f>
        <v>2</v>
      </c>
      <c r="N136" s="75">
        <f ca="1">IF(controls!$B$10=1,N135,O136-'main page'!$K$29*M136-(1-'main page'!$K$29)*controls!$B$9)</f>
        <v>4</v>
      </c>
      <c r="O136" s="74">
        <f t="shared" ca="1" si="12"/>
        <v>6</v>
      </c>
      <c r="P136" s="76">
        <f ca="1">IF(controls!$B$10=1,hystere!N136+hystere!M136,hystere!Q136)</f>
        <v>6</v>
      </c>
      <c r="Q136" s="74">
        <f ca="1">IF('main page'!$Y$53=1,'choose m.p.'!$I$22*100,R136)</f>
        <v>6</v>
      </c>
      <c r="R136" s="100">
        <f ca="1">'main page'!$K$29*M136+(1-'main page'!$K$29)*controls!$B$9+S136+(('main page'!$K$25*'main page'!$U$13*'main page'!$K$29)/('main page'!$K$27*(1+('main page'!$K$25^2)*'main page'!$U$13)))*(M136-(controls!$B$9/100)*100)</f>
        <v>6</v>
      </c>
      <c r="S136" s="98">
        <f ca="1">IF(controls!$B$33=1,(J137-E136*X137-B136)/'main page'!$K$27,(I137-E136*X137-B136)/'main page'!$K$27)</f>
        <v>4</v>
      </c>
      <c r="U136" s="71">
        <f>IF(controls!$B$6=1,$AG$4*(1+('main page'!$K$35/100))^V136-$AG$4*(1+('main page'!$K$35/100))^V135,$AG$4*(1+('main page'!$G$8/100))*(1+('main page'!$K$35/100))^V136-$AG$4*(1+('main page'!$G$8/100))*(1+('main page'!$K$35/100))^V135)</f>
        <v>0</v>
      </c>
      <c r="V136" s="73">
        <v>128</v>
      </c>
      <c r="W136" s="40">
        <f>'normal case'!V135</f>
        <v>0</v>
      </c>
      <c r="X136" s="40">
        <f>'normal case'!W135</f>
        <v>0</v>
      </c>
      <c r="Y136" s="49">
        <f ca="1">IF(controls!$B$33=1,E136-($J$4-'main page'!$K$27*2)*(1+('main page'!$K$35/100))^A135,E136-$AG$5)</f>
        <v>0</v>
      </c>
      <c r="Z136" s="49">
        <f ca="1">ABS(M136-(controls!$B$9/100)*100)</f>
        <v>0</v>
      </c>
      <c r="AI136" s="40"/>
      <c r="AJ136" s="40"/>
    </row>
    <row r="137" spans="1:36">
      <c r="A137" s="48">
        <v>134</v>
      </c>
      <c r="B137" s="75">
        <f ca="1">IF(controls!$B$6=2,AVERAGE(E133:E136)+B136*W137+hystere!$AG$9,AVERAGE(E133:E136)+B136*W137)</f>
        <v>100</v>
      </c>
      <c r="C137" s="80">
        <f t="shared" ca="1" si="13"/>
        <v>0</v>
      </c>
      <c r="D137" s="105">
        <f t="shared" ca="1" si="14"/>
        <v>0</v>
      </c>
      <c r="E137" s="77">
        <f t="shared" ca="1" si="15"/>
        <v>100</v>
      </c>
      <c r="F137" s="77">
        <f ca="1">IF('main page'!$K$34=1,hystere!H137,hystere!G137)</f>
        <v>100</v>
      </c>
      <c r="G137" s="94">
        <f ca="1">I137-'main page'!$K$27*hystere!N136</f>
        <v>100</v>
      </c>
      <c r="H137" s="75">
        <f ca="1">J137-'main page'!$K$27*N136</f>
        <v>100</v>
      </c>
      <c r="I137" s="75">
        <f t="shared" ca="1" si="10"/>
        <v>108</v>
      </c>
      <c r="J137" s="75">
        <f t="shared" ca="1" si="11"/>
        <v>108</v>
      </c>
      <c r="M137" s="75">
        <f ca="1">IF(ABS('main page'!$K$29*M136+(1-'main page'!$K$29)*(controls!$B$9/100)*100+'main page'!$K$25*(E137-B137)-M136)&lt;0.0000001,M136,'main page'!$K$29*M136+(1-'main page'!$K$29)*(controls!$B$9/100)*100+'main page'!$K$25*(E137-B137))</f>
        <v>2</v>
      </c>
      <c r="N137" s="75">
        <f ca="1">IF(controls!$B$10=1,N136,O137-'main page'!$K$29*M137-(1-'main page'!$K$29)*controls!$B$9)</f>
        <v>4</v>
      </c>
      <c r="O137" s="74">
        <f t="shared" ca="1" si="12"/>
        <v>6</v>
      </c>
      <c r="P137" s="76">
        <f ca="1">IF(controls!$B$10=1,hystere!N137+hystere!M137,hystere!Q137)</f>
        <v>6</v>
      </c>
      <c r="Q137" s="74">
        <f ca="1">IF('main page'!$Y$53=1,'choose m.p.'!$I$22*100,R137)</f>
        <v>6</v>
      </c>
      <c r="R137" s="100">
        <f ca="1">'main page'!$K$29*M137+(1-'main page'!$K$29)*controls!$B$9+S137+(('main page'!$K$25*'main page'!$U$13*'main page'!$K$29)/('main page'!$K$27*(1+('main page'!$K$25^2)*'main page'!$U$13)))*(M137-(controls!$B$9/100)*100)</f>
        <v>6</v>
      </c>
      <c r="S137" s="98">
        <f ca="1">IF(controls!$B$33=1,(J138-E137*X138-B137)/'main page'!$K$27,(I138-E137*X138-B137)/'main page'!$K$27)</f>
        <v>4</v>
      </c>
      <c r="U137" s="71">
        <f>IF(controls!$B$6=1,$AG$4*(1+('main page'!$K$35/100))^V137-$AG$4*(1+('main page'!$K$35/100))^V136,$AG$4*(1+('main page'!$G$8/100))*(1+('main page'!$K$35/100))^V137-$AG$4*(1+('main page'!$G$8/100))*(1+('main page'!$K$35/100))^V136)</f>
        <v>0</v>
      </c>
      <c r="V137" s="73">
        <v>129</v>
      </c>
      <c r="W137" s="40">
        <f>'normal case'!V136</f>
        <v>0</v>
      </c>
      <c r="X137" s="40">
        <f>'normal case'!W136</f>
        <v>0</v>
      </c>
      <c r="Y137" s="49">
        <f ca="1">IF(controls!$B$33=1,E137-($J$4-'main page'!$K$27*2)*(1+('main page'!$K$35/100))^A136,E137-$AG$5)</f>
        <v>0</v>
      </c>
      <c r="Z137" s="49">
        <f ca="1">ABS(M137-(controls!$B$9/100)*100)</f>
        <v>0</v>
      </c>
      <c r="AI137" s="40"/>
      <c r="AJ137" s="40"/>
    </row>
    <row r="138" spans="1:36">
      <c r="A138" s="48">
        <v>135</v>
      </c>
      <c r="B138" s="75">
        <f ca="1">IF(controls!$B$6=2,AVERAGE(E134:E137)+B137*W138+hystere!$AG$9,AVERAGE(E134:E137)+B137*W138)</f>
        <v>100</v>
      </c>
      <c r="C138" s="80">
        <f t="shared" ca="1" si="13"/>
        <v>0</v>
      </c>
      <c r="D138" s="105">
        <f t="shared" ca="1" si="14"/>
        <v>0</v>
      </c>
      <c r="E138" s="77">
        <f t="shared" ca="1" si="15"/>
        <v>100</v>
      </c>
      <c r="F138" s="77">
        <f ca="1">IF('main page'!$K$34=1,hystere!H138,hystere!G138)</f>
        <v>100</v>
      </c>
      <c r="G138" s="94">
        <f ca="1">I138-'main page'!$K$27*hystere!N137</f>
        <v>100</v>
      </c>
      <c r="H138" s="75">
        <f ca="1">J138-'main page'!$K$27*N137</f>
        <v>100</v>
      </c>
      <c r="I138" s="75">
        <f t="shared" ca="1" si="10"/>
        <v>108</v>
      </c>
      <c r="J138" s="75">
        <f t="shared" ca="1" si="11"/>
        <v>108</v>
      </c>
      <c r="M138" s="75">
        <f ca="1">IF(ABS('main page'!$K$29*M137+(1-'main page'!$K$29)*(controls!$B$9/100)*100+'main page'!$K$25*(E138-B138)-M137)&lt;0.0000001,M137,'main page'!$K$29*M137+(1-'main page'!$K$29)*(controls!$B$9/100)*100+'main page'!$K$25*(E138-B138))</f>
        <v>2</v>
      </c>
      <c r="N138" s="75">
        <f ca="1">IF(controls!$B$10=1,N137,O138-'main page'!$K$29*M138-(1-'main page'!$K$29)*controls!$B$9)</f>
        <v>4</v>
      </c>
      <c r="O138" s="74">
        <f t="shared" ca="1" si="12"/>
        <v>6</v>
      </c>
      <c r="P138" s="76">
        <f ca="1">IF(controls!$B$10=1,hystere!N138+hystere!M138,hystere!Q138)</f>
        <v>6</v>
      </c>
      <c r="Q138" s="74">
        <f ca="1">IF('main page'!$Y$53=1,'choose m.p.'!$I$22*100,R138)</f>
        <v>6</v>
      </c>
      <c r="R138" s="100">
        <f ca="1">'main page'!$K$29*M138+(1-'main page'!$K$29)*controls!$B$9+S138+(('main page'!$K$25*'main page'!$U$13*'main page'!$K$29)/('main page'!$K$27*(1+('main page'!$K$25^2)*'main page'!$U$13)))*(M138-(controls!$B$9/100)*100)</f>
        <v>6</v>
      </c>
      <c r="S138" s="98">
        <f ca="1">IF(controls!$B$33=1,(J139-E138*X139-B138)/'main page'!$K$27,(I139-E138*X139-B138)/'main page'!$K$27)</f>
        <v>4</v>
      </c>
      <c r="U138" s="71">
        <f>IF(controls!$B$6=1,$AG$4*(1+('main page'!$K$35/100))^V138-$AG$4*(1+('main page'!$K$35/100))^V137,$AG$4*(1+('main page'!$G$8/100))*(1+('main page'!$K$35/100))^V138-$AG$4*(1+('main page'!$G$8/100))*(1+('main page'!$K$35/100))^V137)</f>
        <v>0</v>
      </c>
      <c r="V138" s="73">
        <v>130</v>
      </c>
      <c r="W138" s="40">
        <f ca="1">'normal case'!V137</f>
        <v>0</v>
      </c>
      <c r="X138" s="40">
        <f ca="1">'normal case'!W137</f>
        <v>0</v>
      </c>
      <c r="Y138" s="49">
        <f ca="1">IF(controls!$B$33=1,E138-($J$4-'main page'!$K$27*2)*(1+('main page'!$K$35/100))^A137,E138-$AG$5)</f>
        <v>0</v>
      </c>
      <c r="Z138" s="49">
        <f ca="1">ABS(M138-(controls!$B$9/100)*100)</f>
        <v>0</v>
      </c>
      <c r="AI138" s="40"/>
      <c r="AJ138" s="40"/>
    </row>
    <row r="139" spans="1:36">
      <c r="A139" s="48">
        <v>136</v>
      </c>
      <c r="B139" s="75">
        <f ca="1">IF(controls!$B$6=2,AVERAGE(E135:E138)+B138*W139+hystere!$AG$9,AVERAGE(E135:E138)+B138*W139)</f>
        <v>100</v>
      </c>
      <c r="C139" s="80">
        <f t="shared" ca="1" si="13"/>
        <v>0</v>
      </c>
      <c r="D139" s="105">
        <f t="shared" ca="1" si="14"/>
        <v>0</v>
      </c>
      <c r="E139" s="77">
        <f t="shared" ca="1" si="15"/>
        <v>100</v>
      </c>
      <c r="F139" s="77">
        <f ca="1">IF('main page'!$K$34=1,hystere!H139,hystere!G139)</f>
        <v>100</v>
      </c>
      <c r="G139" s="94">
        <f ca="1">I139-'main page'!$K$27*hystere!N138</f>
        <v>100</v>
      </c>
      <c r="H139" s="75">
        <f ca="1">J139-'main page'!$K$27*N138</f>
        <v>100</v>
      </c>
      <c r="I139" s="75">
        <f t="shared" ca="1" si="10"/>
        <v>108</v>
      </c>
      <c r="J139" s="75">
        <f t="shared" ca="1" si="11"/>
        <v>108</v>
      </c>
      <c r="M139" s="75">
        <f ca="1">IF(ABS('main page'!$K$29*M138+(1-'main page'!$K$29)*(controls!$B$9/100)*100+'main page'!$K$25*(E139-B139)-M138)&lt;0.0000001,M138,'main page'!$K$29*M138+(1-'main page'!$K$29)*(controls!$B$9/100)*100+'main page'!$K$25*(E139-B139))</f>
        <v>2</v>
      </c>
      <c r="N139" s="75">
        <f ca="1">IF(controls!$B$10=1,N138,O139-'main page'!$K$29*M139-(1-'main page'!$K$29)*controls!$B$9)</f>
        <v>4</v>
      </c>
      <c r="O139" s="74">
        <f t="shared" ca="1" si="12"/>
        <v>6</v>
      </c>
      <c r="P139" s="76">
        <f ca="1">IF(controls!$B$10=1,hystere!N139+hystere!M139,hystere!Q139)</f>
        <v>6</v>
      </c>
      <c r="Q139" s="74">
        <f ca="1">IF('main page'!$Y$53=1,'choose m.p.'!$I$22*100,R139)</f>
        <v>6</v>
      </c>
      <c r="R139" s="100">
        <f ca="1">'main page'!$K$29*M139+(1-'main page'!$K$29)*controls!$B$9+S139+(('main page'!$K$25*'main page'!$U$13*'main page'!$K$29)/('main page'!$K$27*(1+('main page'!$K$25^2)*'main page'!$U$13)))*(M139-(controls!$B$9/100)*100)</f>
        <v>6</v>
      </c>
      <c r="S139" s="98">
        <f ca="1">IF(controls!$B$33=1,(J140-E139*X140-B139)/'main page'!$K$27,(I140-E139*X140-B139)/'main page'!$K$27)</f>
        <v>4</v>
      </c>
      <c r="U139" s="71">
        <f>IF(controls!$B$6=1,$AG$4*(1+('main page'!$K$35/100))^V139-$AG$4*(1+('main page'!$K$35/100))^V138,$AG$4*(1+('main page'!$G$8/100))*(1+('main page'!$K$35/100))^V139-$AG$4*(1+('main page'!$G$8/100))*(1+('main page'!$K$35/100))^V138)</f>
        <v>0</v>
      </c>
      <c r="V139" s="73">
        <v>131</v>
      </c>
      <c r="W139" s="40">
        <f>'normal case'!V138</f>
        <v>0</v>
      </c>
      <c r="X139" s="40">
        <f>'normal case'!W138</f>
        <v>0</v>
      </c>
      <c r="Y139" s="49">
        <f ca="1">IF(controls!$B$33=1,E139-($J$4-'main page'!$K$27*2)*(1+('main page'!$K$35/100))^A138,E139-$AG$5)</f>
        <v>0</v>
      </c>
      <c r="Z139" s="49">
        <f ca="1">ABS(M139-(controls!$B$9/100)*100)</f>
        <v>0</v>
      </c>
      <c r="AI139" s="40"/>
      <c r="AJ139" s="40"/>
    </row>
    <row r="140" spans="1:36">
      <c r="A140" s="48">
        <v>137</v>
      </c>
      <c r="B140" s="75">
        <f ca="1">IF(controls!$B$6=2,AVERAGE(E136:E139)+B139*W140+hystere!$AG$9,AVERAGE(E136:E139)+B139*W140)</f>
        <v>100</v>
      </c>
      <c r="C140" s="80">
        <f t="shared" ca="1" si="13"/>
        <v>0</v>
      </c>
      <c r="D140" s="105">
        <f t="shared" ca="1" si="14"/>
        <v>0</v>
      </c>
      <c r="E140" s="77">
        <f t="shared" ca="1" si="15"/>
        <v>100</v>
      </c>
      <c r="F140" s="77">
        <f ca="1">IF('main page'!$K$34=1,hystere!H140,hystere!G140)</f>
        <v>100</v>
      </c>
      <c r="G140" s="94">
        <f ca="1">I140-'main page'!$K$27*hystere!N139</f>
        <v>100</v>
      </c>
      <c r="H140" s="75">
        <f ca="1">J140-'main page'!$K$27*N139</f>
        <v>100</v>
      </c>
      <c r="I140" s="75">
        <f t="shared" ca="1" si="10"/>
        <v>108</v>
      </c>
      <c r="J140" s="75">
        <f t="shared" ca="1" si="11"/>
        <v>108</v>
      </c>
      <c r="M140" s="75">
        <f ca="1">IF(ABS('main page'!$K$29*M139+(1-'main page'!$K$29)*(controls!$B$9/100)*100+'main page'!$K$25*(E140-B140)-M139)&lt;0.0000001,M139,'main page'!$K$29*M139+(1-'main page'!$K$29)*(controls!$B$9/100)*100+'main page'!$K$25*(E140-B140))</f>
        <v>2</v>
      </c>
      <c r="N140" s="75">
        <f ca="1">IF(controls!$B$10=1,N139,O140-'main page'!$K$29*M140-(1-'main page'!$K$29)*controls!$B$9)</f>
        <v>4</v>
      </c>
      <c r="O140" s="74">
        <f t="shared" ca="1" si="12"/>
        <v>6</v>
      </c>
      <c r="P140" s="76">
        <f ca="1">IF(controls!$B$10=1,hystere!N140+hystere!M140,hystere!Q140)</f>
        <v>6</v>
      </c>
      <c r="Q140" s="74">
        <f ca="1">IF('main page'!$Y$53=1,'choose m.p.'!$I$22*100,R140)</f>
        <v>6</v>
      </c>
      <c r="R140" s="100">
        <f ca="1">'main page'!$K$29*M140+(1-'main page'!$K$29)*controls!$B$9+S140+(('main page'!$K$25*'main page'!$U$13*'main page'!$K$29)/('main page'!$K$27*(1+('main page'!$K$25^2)*'main page'!$U$13)))*(M140-(controls!$B$9/100)*100)</f>
        <v>6</v>
      </c>
      <c r="S140" s="98">
        <f ca="1">IF(controls!$B$33=1,(J141-E140*X141-B140)/'main page'!$K$27,(I141-E140*X141-B140)/'main page'!$K$27)</f>
        <v>4</v>
      </c>
      <c r="U140" s="71">
        <f>IF(controls!$B$6=1,$AG$4*(1+('main page'!$K$35/100))^V140-$AG$4*(1+('main page'!$K$35/100))^V139,$AG$4*(1+('main page'!$G$8/100))*(1+('main page'!$K$35/100))^V140-$AG$4*(1+('main page'!$G$8/100))*(1+('main page'!$K$35/100))^V139)</f>
        <v>0</v>
      </c>
      <c r="V140" s="73">
        <v>132</v>
      </c>
      <c r="W140" s="40">
        <f>'normal case'!V139</f>
        <v>0</v>
      </c>
      <c r="X140" s="40">
        <f>'normal case'!W139</f>
        <v>0</v>
      </c>
      <c r="Y140" s="49">
        <f ca="1">IF(controls!$B$33=1,E140-($J$4-'main page'!$K$27*2)*(1+('main page'!$K$35/100))^A139,E140-$AG$5)</f>
        <v>0</v>
      </c>
      <c r="Z140" s="49">
        <f ca="1">ABS(M140-(controls!$B$9/100)*100)</f>
        <v>0</v>
      </c>
      <c r="AI140" s="40"/>
      <c r="AJ140" s="40"/>
    </row>
    <row r="141" spans="1:36">
      <c r="A141" s="48">
        <v>138</v>
      </c>
      <c r="B141" s="75">
        <f ca="1">IF(controls!$B$6=2,AVERAGE(E137:E140)+B140*W141+hystere!$AG$9,AVERAGE(E137:E140)+B140*W141)</f>
        <v>100</v>
      </c>
      <c r="C141" s="80">
        <f t="shared" ca="1" si="13"/>
        <v>0</v>
      </c>
      <c r="D141" s="105">
        <f t="shared" ca="1" si="14"/>
        <v>0</v>
      </c>
      <c r="E141" s="77">
        <f t="shared" ca="1" si="15"/>
        <v>100</v>
      </c>
      <c r="F141" s="77">
        <f ca="1">IF('main page'!$K$34=1,hystere!H141,hystere!G141)</f>
        <v>100</v>
      </c>
      <c r="G141" s="94">
        <f ca="1">I141-'main page'!$K$27*hystere!N140</f>
        <v>100</v>
      </c>
      <c r="H141" s="75">
        <f ca="1">J141-'main page'!$K$27*N140</f>
        <v>100</v>
      </c>
      <c r="I141" s="75">
        <f t="shared" ca="1" si="10"/>
        <v>108</v>
      </c>
      <c r="J141" s="75">
        <f t="shared" ca="1" si="11"/>
        <v>108</v>
      </c>
      <c r="M141" s="75">
        <f ca="1">IF(ABS('main page'!$K$29*M140+(1-'main page'!$K$29)*(controls!$B$9/100)*100+'main page'!$K$25*(E141-B141)-M140)&lt;0.0000001,M140,'main page'!$K$29*M140+(1-'main page'!$K$29)*(controls!$B$9/100)*100+'main page'!$K$25*(E141-B141))</f>
        <v>2</v>
      </c>
      <c r="N141" s="75">
        <f ca="1">IF(controls!$B$10=1,N140,O141-'main page'!$K$29*M141-(1-'main page'!$K$29)*controls!$B$9)</f>
        <v>4</v>
      </c>
      <c r="O141" s="74">
        <f t="shared" ca="1" si="12"/>
        <v>6</v>
      </c>
      <c r="P141" s="76">
        <f ca="1">IF(controls!$B$10=1,hystere!N141+hystere!M141,hystere!Q141)</f>
        <v>6</v>
      </c>
      <c r="Q141" s="74">
        <f ca="1">IF('main page'!$Y$53=1,'choose m.p.'!$I$22*100,R141)</f>
        <v>6</v>
      </c>
      <c r="R141" s="100">
        <f ca="1">'main page'!$K$29*M141+(1-'main page'!$K$29)*controls!$B$9+S141+(('main page'!$K$25*'main page'!$U$13*'main page'!$K$29)/('main page'!$K$27*(1+('main page'!$K$25^2)*'main page'!$U$13)))*(M141-(controls!$B$9/100)*100)</f>
        <v>6</v>
      </c>
      <c r="S141" s="98">
        <f ca="1">IF(controls!$B$33=1,(J142-E141*X142-B141)/'main page'!$K$27,(I142-E141*X142-B141)/'main page'!$K$27)</f>
        <v>4</v>
      </c>
      <c r="U141" s="71">
        <f>IF(controls!$B$6=1,$AG$4*(1+('main page'!$K$35/100))^V141-$AG$4*(1+('main page'!$K$35/100))^V140,$AG$4*(1+('main page'!$G$8/100))*(1+('main page'!$K$35/100))^V141-$AG$4*(1+('main page'!$G$8/100))*(1+('main page'!$K$35/100))^V140)</f>
        <v>0</v>
      </c>
      <c r="V141" s="73">
        <v>133</v>
      </c>
      <c r="W141" s="40">
        <f ca="1">'normal case'!V140</f>
        <v>0</v>
      </c>
      <c r="X141" s="40">
        <f ca="1">'normal case'!W140</f>
        <v>0</v>
      </c>
      <c r="Y141" s="49">
        <f ca="1">IF(controls!$B$33=1,E141-($J$4-'main page'!$K$27*2)*(1+('main page'!$K$35/100))^A140,E141-$AG$5)</f>
        <v>0</v>
      </c>
      <c r="Z141" s="49">
        <f ca="1">ABS(M141-(controls!$B$9/100)*100)</f>
        <v>0</v>
      </c>
      <c r="AI141" s="40"/>
      <c r="AJ141" s="40"/>
    </row>
    <row r="142" spans="1:36">
      <c r="A142" s="48">
        <v>139</v>
      </c>
      <c r="B142" s="75">
        <f ca="1">IF(controls!$B$6=2,AVERAGE(E138:E141)+B141*W142+hystere!$AG$9,AVERAGE(E138:E141)+B141*W142)</f>
        <v>100</v>
      </c>
      <c r="C142" s="80">
        <f t="shared" ca="1" si="13"/>
        <v>0</v>
      </c>
      <c r="D142" s="105">
        <f t="shared" ca="1" si="14"/>
        <v>0</v>
      </c>
      <c r="E142" s="77">
        <f t="shared" ca="1" si="15"/>
        <v>100</v>
      </c>
      <c r="F142" s="77">
        <f ca="1">IF('main page'!$K$34=1,hystere!H142,hystere!G142)</f>
        <v>100</v>
      </c>
      <c r="G142" s="94">
        <f ca="1">I142-'main page'!$K$27*hystere!N141</f>
        <v>100</v>
      </c>
      <c r="H142" s="75">
        <f ca="1">J142-'main page'!$K$27*N141</f>
        <v>100</v>
      </c>
      <c r="I142" s="75">
        <f t="shared" ca="1" si="10"/>
        <v>108</v>
      </c>
      <c r="J142" s="75">
        <f t="shared" ca="1" si="11"/>
        <v>108</v>
      </c>
      <c r="M142" s="75">
        <f ca="1">IF(ABS('main page'!$K$29*M141+(1-'main page'!$K$29)*(controls!$B$9/100)*100+'main page'!$K$25*(E142-B142)-M141)&lt;0.0000001,M141,'main page'!$K$29*M141+(1-'main page'!$K$29)*(controls!$B$9/100)*100+'main page'!$K$25*(E142-B142))</f>
        <v>2</v>
      </c>
      <c r="N142" s="75">
        <f ca="1">IF(controls!$B$10=1,N141,O142-'main page'!$K$29*M142-(1-'main page'!$K$29)*controls!$B$9)</f>
        <v>4</v>
      </c>
      <c r="O142" s="74">
        <f t="shared" ca="1" si="12"/>
        <v>6</v>
      </c>
      <c r="P142" s="76">
        <f ca="1">IF(controls!$B$10=1,hystere!N142+hystere!M142,hystere!Q142)</f>
        <v>6</v>
      </c>
      <c r="Q142" s="74">
        <f ca="1">IF('main page'!$Y$53=1,'choose m.p.'!$I$22*100,R142)</f>
        <v>6</v>
      </c>
      <c r="R142" s="100">
        <f ca="1">'main page'!$K$29*M142+(1-'main page'!$K$29)*controls!$B$9+S142+(('main page'!$K$25*'main page'!$U$13*'main page'!$K$29)/('main page'!$K$27*(1+('main page'!$K$25^2)*'main page'!$U$13)))*(M142-(controls!$B$9/100)*100)</f>
        <v>6</v>
      </c>
      <c r="S142" s="98">
        <f ca="1">IF(controls!$B$33=1,(J143-E142*X143-B142)/'main page'!$K$27,(I143-E142*X143-B142)/'main page'!$K$27)</f>
        <v>4</v>
      </c>
      <c r="U142" s="71">
        <f>IF(controls!$B$6=1,$AG$4*(1+('main page'!$K$35/100))^V142-$AG$4*(1+('main page'!$K$35/100))^V141,$AG$4*(1+('main page'!$G$8/100))*(1+('main page'!$K$35/100))^V142-$AG$4*(1+('main page'!$G$8/100))*(1+('main page'!$K$35/100))^V141)</f>
        <v>0</v>
      </c>
      <c r="V142" s="73">
        <v>134</v>
      </c>
      <c r="W142" s="40">
        <f>'normal case'!V141</f>
        <v>0</v>
      </c>
      <c r="X142" s="40">
        <f>'normal case'!W141</f>
        <v>0</v>
      </c>
      <c r="Y142" s="49">
        <f ca="1">IF(controls!$B$33=1,E142-($J$4-'main page'!$K$27*2)*(1+('main page'!$K$35/100))^A141,E142-$AG$5)</f>
        <v>0</v>
      </c>
      <c r="Z142" s="49">
        <f ca="1">ABS(M142-(controls!$B$9/100)*100)</f>
        <v>0</v>
      </c>
      <c r="AI142" s="40"/>
      <c r="AJ142" s="40"/>
    </row>
    <row r="143" spans="1:36">
      <c r="A143" s="48">
        <v>140</v>
      </c>
      <c r="B143" s="75">
        <f ca="1">IF(controls!$B$6=2,AVERAGE(E139:E142)+B142*W143+hystere!$AG$9,AVERAGE(E139:E142)+B142*W143)</f>
        <v>100</v>
      </c>
      <c r="C143" s="80">
        <f t="shared" ca="1" si="13"/>
        <v>0</v>
      </c>
      <c r="D143" s="105">
        <f t="shared" ca="1" si="14"/>
        <v>0</v>
      </c>
      <c r="E143" s="77">
        <f t="shared" ca="1" si="15"/>
        <v>100</v>
      </c>
      <c r="F143" s="77">
        <f ca="1">IF('main page'!$K$34=1,hystere!H143,hystere!G143)</f>
        <v>100</v>
      </c>
      <c r="G143" s="94">
        <f ca="1">I143-'main page'!$K$27*hystere!N142</f>
        <v>100</v>
      </c>
      <c r="H143" s="75">
        <f ca="1">J143-'main page'!$K$27*N142</f>
        <v>100</v>
      </c>
      <c r="I143" s="75">
        <f t="shared" ca="1" si="10"/>
        <v>108</v>
      </c>
      <c r="J143" s="75">
        <f t="shared" ca="1" si="11"/>
        <v>108</v>
      </c>
      <c r="M143" s="75">
        <f ca="1">IF(ABS('main page'!$K$29*M142+(1-'main page'!$K$29)*(controls!$B$9/100)*100+'main page'!$K$25*(E143-B143)-M142)&lt;0.0000001,M142,'main page'!$K$29*M142+(1-'main page'!$K$29)*(controls!$B$9/100)*100+'main page'!$K$25*(E143-B143))</f>
        <v>2</v>
      </c>
      <c r="N143" s="75">
        <f ca="1">IF(controls!$B$10=1,N142,O143-'main page'!$K$29*M143-(1-'main page'!$K$29)*controls!$B$9)</f>
        <v>4</v>
      </c>
      <c r="O143" s="74">
        <f t="shared" ca="1" si="12"/>
        <v>6</v>
      </c>
      <c r="P143" s="76">
        <f ca="1">IF(controls!$B$10=1,hystere!N143+hystere!M143,hystere!Q143)</f>
        <v>6</v>
      </c>
      <c r="Q143" s="74">
        <f ca="1">IF('main page'!$Y$53=1,'choose m.p.'!$I$22*100,R143)</f>
        <v>6</v>
      </c>
      <c r="R143" s="100">
        <f ca="1">'main page'!$K$29*M143+(1-'main page'!$K$29)*controls!$B$9+S143+(('main page'!$K$25*'main page'!$U$13*'main page'!$K$29)/('main page'!$K$27*(1+('main page'!$K$25^2)*'main page'!$U$13)))*(M143-(controls!$B$9/100)*100)</f>
        <v>6</v>
      </c>
      <c r="S143" s="98">
        <f ca="1">IF(controls!$B$33=1,(J144-E143*X144-B143)/'main page'!$K$27,(I144-E143*X144-B143)/'main page'!$K$27)</f>
        <v>4</v>
      </c>
      <c r="U143" s="71">
        <f>IF(controls!$B$6=1,$AG$4*(1+('main page'!$K$35/100))^V143-$AG$4*(1+('main page'!$K$35/100))^V142,$AG$4*(1+('main page'!$G$8/100))*(1+('main page'!$K$35/100))^V143-$AG$4*(1+('main page'!$G$8/100))*(1+('main page'!$K$35/100))^V142)</f>
        <v>0</v>
      </c>
      <c r="V143" s="73">
        <v>135</v>
      </c>
      <c r="W143" s="40">
        <f>'normal case'!V142</f>
        <v>0</v>
      </c>
      <c r="X143" s="40">
        <f>'normal case'!W142</f>
        <v>0</v>
      </c>
      <c r="Y143" s="49">
        <f ca="1">IF(controls!$B$33=1,E143-($J$4-'main page'!$K$27*2)*(1+('main page'!$K$35/100))^A142,E143-$AG$5)</f>
        <v>0</v>
      </c>
      <c r="Z143" s="49">
        <f ca="1">ABS(M143-(controls!$B$9/100)*100)</f>
        <v>0</v>
      </c>
      <c r="AI143" s="40"/>
      <c r="AJ143" s="40"/>
    </row>
    <row r="144" spans="1:36">
      <c r="A144" s="48">
        <v>141</v>
      </c>
      <c r="B144" s="75">
        <f ca="1">IF(controls!$B$6=2,AVERAGE(E140:E143)+B143*W144+hystere!$AG$9,AVERAGE(E140:E143)+B143*W144)</f>
        <v>100</v>
      </c>
      <c r="C144" s="80">
        <f t="shared" ca="1" si="13"/>
        <v>0</v>
      </c>
      <c r="D144" s="105">
        <f t="shared" ca="1" si="14"/>
        <v>0</v>
      </c>
      <c r="E144" s="77">
        <f t="shared" ca="1" si="15"/>
        <v>100</v>
      </c>
      <c r="F144" s="77">
        <f ca="1">IF('main page'!$K$34=1,hystere!H144,hystere!G144)</f>
        <v>100</v>
      </c>
      <c r="G144" s="94">
        <f ca="1">I144-'main page'!$K$27*hystere!N143</f>
        <v>100</v>
      </c>
      <c r="H144" s="75">
        <f ca="1">J144-'main page'!$K$27*N143</f>
        <v>100</v>
      </c>
      <c r="I144" s="75">
        <f t="shared" ca="1" si="10"/>
        <v>108</v>
      </c>
      <c r="J144" s="75">
        <f t="shared" ca="1" si="11"/>
        <v>108</v>
      </c>
      <c r="M144" s="75">
        <f ca="1">IF(ABS('main page'!$K$29*M143+(1-'main page'!$K$29)*(controls!$B$9/100)*100+'main page'!$K$25*(E144-B144)-M143)&lt;0.0000001,M143,'main page'!$K$29*M143+(1-'main page'!$K$29)*(controls!$B$9/100)*100+'main page'!$K$25*(E144-B144))</f>
        <v>2</v>
      </c>
      <c r="N144" s="75">
        <f ca="1">IF(controls!$B$10=1,N143,O144-'main page'!$K$29*M144-(1-'main page'!$K$29)*controls!$B$9)</f>
        <v>4</v>
      </c>
      <c r="O144" s="74">
        <f t="shared" ca="1" si="12"/>
        <v>6</v>
      </c>
      <c r="P144" s="76">
        <f ca="1">IF(controls!$B$10=1,hystere!N144+hystere!M144,hystere!Q144)</f>
        <v>6</v>
      </c>
      <c r="Q144" s="74">
        <f ca="1">IF('main page'!$Y$53=1,'choose m.p.'!$I$22*100,R144)</f>
        <v>6</v>
      </c>
      <c r="R144" s="100">
        <f ca="1">'main page'!$K$29*M144+(1-'main page'!$K$29)*controls!$B$9+S144+(('main page'!$K$25*'main page'!$U$13*'main page'!$K$29)/('main page'!$K$27*(1+('main page'!$K$25^2)*'main page'!$U$13)))*(M144-(controls!$B$9/100)*100)</f>
        <v>6</v>
      </c>
      <c r="S144" s="98">
        <f ca="1">IF(controls!$B$33=1,(J145-E144*X145-B144)/'main page'!$K$27,(I145-E144*X145-B144)/'main page'!$K$27)</f>
        <v>4</v>
      </c>
      <c r="U144" s="71">
        <f>IF(controls!$B$6=1,$AG$4*(1+('main page'!$K$35/100))^V144-$AG$4*(1+('main page'!$K$35/100))^V143,$AG$4*(1+('main page'!$G$8/100))*(1+('main page'!$K$35/100))^V144-$AG$4*(1+('main page'!$G$8/100))*(1+('main page'!$K$35/100))^V143)</f>
        <v>0</v>
      </c>
      <c r="V144" s="73">
        <v>136</v>
      </c>
      <c r="W144" s="40">
        <f ca="1">'normal case'!V143</f>
        <v>0</v>
      </c>
      <c r="X144" s="40">
        <f ca="1">'normal case'!W143</f>
        <v>0</v>
      </c>
      <c r="Y144" s="49">
        <f ca="1">IF(controls!$B$33=1,E144-($J$4-'main page'!$K$27*2)*(1+('main page'!$K$35/100))^A143,E144-$AG$5)</f>
        <v>0</v>
      </c>
      <c r="Z144" s="49">
        <f ca="1">ABS(M144-(controls!$B$9/100)*100)</f>
        <v>0</v>
      </c>
      <c r="AI144" s="40"/>
      <c r="AJ144" s="40"/>
    </row>
    <row r="145" spans="1:36">
      <c r="A145" s="48">
        <v>142</v>
      </c>
      <c r="B145" s="75">
        <f ca="1">IF(controls!$B$6=2,AVERAGE(E141:E144)+B144*W145+hystere!$AG$9,AVERAGE(E141:E144)+B144*W145)</f>
        <v>100</v>
      </c>
      <c r="C145" s="80">
        <f t="shared" ca="1" si="13"/>
        <v>0</v>
      </c>
      <c r="D145" s="105">
        <f t="shared" ca="1" si="14"/>
        <v>0</v>
      </c>
      <c r="E145" s="77">
        <f t="shared" ca="1" si="15"/>
        <v>100</v>
      </c>
      <c r="F145" s="77">
        <f ca="1">IF('main page'!$K$34=1,hystere!H145,hystere!G145)</f>
        <v>100</v>
      </c>
      <c r="G145" s="94">
        <f ca="1">I145-'main page'!$K$27*hystere!N144</f>
        <v>100</v>
      </c>
      <c r="H145" s="75">
        <f ca="1">J145-'main page'!$K$27*N144</f>
        <v>100</v>
      </c>
      <c r="I145" s="75">
        <f t="shared" ca="1" si="10"/>
        <v>108</v>
      </c>
      <c r="J145" s="75">
        <f t="shared" ca="1" si="11"/>
        <v>108</v>
      </c>
      <c r="M145" s="75">
        <f ca="1">IF(ABS('main page'!$K$29*M144+(1-'main page'!$K$29)*(controls!$B$9/100)*100+'main page'!$K$25*(E145-B145)-M144)&lt;0.0000001,M144,'main page'!$K$29*M144+(1-'main page'!$K$29)*(controls!$B$9/100)*100+'main page'!$K$25*(E145-B145))</f>
        <v>2</v>
      </c>
      <c r="N145" s="75">
        <f ca="1">IF(controls!$B$10=1,N144,O145-'main page'!$K$29*M145-(1-'main page'!$K$29)*controls!$B$9)</f>
        <v>4</v>
      </c>
      <c r="O145" s="74">
        <f t="shared" ca="1" si="12"/>
        <v>6</v>
      </c>
      <c r="P145" s="76">
        <f ca="1">IF(controls!$B$10=1,hystere!N145+hystere!M145,hystere!Q145)</f>
        <v>6</v>
      </c>
      <c r="Q145" s="74">
        <f ca="1">IF('main page'!$Y$53=1,'choose m.p.'!$I$22*100,R145)</f>
        <v>6</v>
      </c>
      <c r="R145" s="100">
        <f ca="1">'main page'!$K$29*M145+(1-'main page'!$K$29)*controls!$B$9+S145+(('main page'!$K$25*'main page'!$U$13*'main page'!$K$29)/('main page'!$K$27*(1+('main page'!$K$25^2)*'main page'!$U$13)))*(M145-(controls!$B$9/100)*100)</f>
        <v>6</v>
      </c>
      <c r="S145" s="98">
        <f ca="1">IF(controls!$B$33=1,(J146-E145*X146-B145)/'main page'!$K$27,(I146-E145*X146-B145)/'main page'!$K$27)</f>
        <v>4</v>
      </c>
      <c r="U145" s="71">
        <f>IF(controls!$B$6=1,$AG$4*(1+('main page'!$K$35/100))^V145-$AG$4*(1+('main page'!$K$35/100))^V144,$AG$4*(1+('main page'!$G$8/100))*(1+('main page'!$K$35/100))^V145-$AG$4*(1+('main page'!$G$8/100))*(1+('main page'!$K$35/100))^V144)</f>
        <v>0</v>
      </c>
      <c r="V145" s="73">
        <v>137</v>
      </c>
      <c r="W145" s="40">
        <f>'normal case'!V144</f>
        <v>0</v>
      </c>
      <c r="X145" s="40">
        <f>'normal case'!W144</f>
        <v>0</v>
      </c>
      <c r="Y145" s="49">
        <f ca="1">IF(controls!$B$33=1,E145-($J$4-'main page'!$K$27*2)*(1+('main page'!$K$35/100))^A144,E145-$AG$5)</f>
        <v>0</v>
      </c>
      <c r="Z145" s="49">
        <f ca="1">ABS(M145-(controls!$B$9/100)*100)</f>
        <v>0</v>
      </c>
      <c r="AI145" s="40"/>
      <c r="AJ145" s="40"/>
    </row>
    <row r="146" spans="1:36">
      <c r="A146" s="48">
        <v>143</v>
      </c>
      <c r="B146" s="75">
        <f ca="1">IF(controls!$B$6=2,AVERAGE(E142:E145)+B145*W146+hystere!$AG$9,AVERAGE(E142:E145)+B145*W146)</f>
        <v>100</v>
      </c>
      <c r="C146" s="80">
        <f t="shared" ca="1" si="13"/>
        <v>0</v>
      </c>
      <c r="D146" s="105">
        <f t="shared" ca="1" si="14"/>
        <v>0</v>
      </c>
      <c r="E146" s="77">
        <f t="shared" ca="1" si="15"/>
        <v>100</v>
      </c>
      <c r="F146" s="77">
        <f ca="1">IF('main page'!$K$34=1,hystere!H146,hystere!G146)</f>
        <v>100</v>
      </c>
      <c r="G146" s="94">
        <f ca="1">I146-'main page'!$K$27*hystere!N145</f>
        <v>100</v>
      </c>
      <c r="H146" s="75">
        <f ca="1">J146-'main page'!$K$27*N145</f>
        <v>100</v>
      </c>
      <c r="I146" s="75">
        <f t="shared" ca="1" si="10"/>
        <v>108</v>
      </c>
      <c r="J146" s="75">
        <f t="shared" ca="1" si="11"/>
        <v>108</v>
      </c>
      <c r="M146" s="75">
        <f ca="1">IF(ABS('main page'!$K$29*M145+(1-'main page'!$K$29)*(controls!$B$9/100)*100+'main page'!$K$25*(E146-B146)-M145)&lt;0.0000001,M145,'main page'!$K$29*M145+(1-'main page'!$K$29)*(controls!$B$9/100)*100+'main page'!$K$25*(E146-B146))</f>
        <v>2</v>
      </c>
      <c r="N146" s="75">
        <f ca="1">IF(controls!$B$10=1,N145,O146-'main page'!$K$29*M146-(1-'main page'!$K$29)*controls!$B$9)</f>
        <v>4</v>
      </c>
      <c r="O146" s="74">
        <f t="shared" ca="1" si="12"/>
        <v>6</v>
      </c>
      <c r="P146" s="76">
        <f ca="1">IF(controls!$B$10=1,hystere!N146+hystere!M146,hystere!Q146)</f>
        <v>6</v>
      </c>
      <c r="Q146" s="74">
        <f ca="1">IF('main page'!$Y$53=1,'choose m.p.'!$I$22*100,R146)</f>
        <v>6</v>
      </c>
      <c r="R146" s="100">
        <f ca="1">'main page'!$K$29*M146+(1-'main page'!$K$29)*controls!$B$9+S146+(('main page'!$K$25*'main page'!$U$13*'main page'!$K$29)/('main page'!$K$27*(1+('main page'!$K$25^2)*'main page'!$U$13)))*(M146-(controls!$B$9/100)*100)</f>
        <v>6</v>
      </c>
      <c r="S146" s="98">
        <f ca="1">IF(controls!$B$33=1,(J147-E146*X147-B146)/'main page'!$K$27,(I147-E146*X147-B146)/'main page'!$K$27)</f>
        <v>4</v>
      </c>
      <c r="U146" s="71">
        <f>IF(controls!$B$6=1,$AG$4*(1+('main page'!$K$35/100))^V146-$AG$4*(1+('main page'!$K$35/100))^V145,$AG$4*(1+('main page'!$G$8/100))*(1+('main page'!$K$35/100))^V146-$AG$4*(1+('main page'!$G$8/100))*(1+('main page'!$K$35/100))^V145)</f>
        <v>0</v>
      </c>
      <c r="V146" s="73">
        <v>138</v>
      </c>
      <c r="W146" s="40">
        <f>'normal case'!V145</f>
        <v>0</v>
      </c>
      <c r="X146" s="40">
        <f>'normal case'!W145</f>
        <v>0</v>
      </c>
      <c r="Y146" s="49">
        <f ca="1">IF(controls!$B$33=1,E146-($J$4-'main page'!$K$27*2)*(1+('main page'!$K$35/100))^A145,E146-$AG$5)</f>
        <v>0</v>
      </c>
      <c r="Z146" s="49">
        <f ca="1">ABS(M146-(controls!$B$9/100)*100)</f>
        <v>0</v>
      </c>
      <c r="AI146" s="40"/>
      <c r="AJ146" s="40"/>
    </row>
    <row r="147" spans="1:36">
      <c r="A147" s="48">
        <v>144</v>
      </c>
      <c r="B147" s="75">
        <f ca="1">IF(controls!$B$6=2,AVERAGE(E143:E146)+B146*W147+hystere!$AG$9,AVERAGE(E143:E146)+B146*W147)</f>
        <v>100</v>
      </c>
      <c r="C147" s="80">
        <f t="shared" ca="1" si="13"/>
        <v>0</v>
      </c>
      <c r="D147" s="105">
        <f t="shared" ca="1" si="14"/>
        <v>0</v>
      </c>
      <c r="E147" s="77">
        <f t="shared" ca="1" si="15"/>
        <v>100</v>
      </c>
      <c r="F147" s="77">
        <f ca="1">IF('main page'!$K$34=1,hystere!H147,hystere!G147)</f>
        <v>100</v>
      </c>
      <c r="G147" s="94">
        <f ca="1">I147-'main page'!$K$27*hystere!N146</f>
        <v>100</v>
      </c>
      <c r="H147" s="75">
        <f ca="1">J147-'main page'!$K$27*N146</f>
        <v>100</v>
      </c>
      <c r="I147" s="75">
        <f t="shared" ca="1" si="10"/>
        <v>108</v>
      </c>
      <c r="J147" s="75">
        <f t="shared" ca="1" si="11"/>
        <v>108</v>
      </c>
      <c r="M147" s="75">
        <f ca="1">IF(ABS('main page'!$K$29*M146+(1-'main page'!$K$29)*(controls!$B$9/100)*100+'main page'!$K$25*(E147-B147)-M146)&lt;0.0000001,M146,'main page'!$K$29*M146+(1-'main page'!$K$29)*(controls!$B$9/100)*100+'main page'!$K$25*(E147-B147))</f>
        <v>2</v>
      </c>
      <c r="N147" s="75">
        <f ca="1">IF(controls!$B$10=1,N146,O147-'main page'!$K$29*M147-(1-'main page'!$K$29)*controls!$B$9)</f>
        <v>4</v>
      </c>
      <c r="O147" s="74">
        <f t="shared" ca="1" si="12"/>
        <v>6</v>
      </c>
      <c r="P147" s="76">
        <f ca="1">IF(controls!$B$10=1,hystere!N147+hystere!M147,hystere!Q147)</f>
        <v>6</v>
      </c>
      <c r="Q147" s="74">
        <f ca="1">IF('main page'!$Y$53=1,'choose m.p.'!$I$22*100,R147)</f>
        <v>6</v>
      </c>
      <c r="R147" s="100">
        <f ca="1">'main page'!$K$29*M147+(1-'main page'!$K$29)*controls!$B$9+S147+(('main page'!$K$25*'main page'!$U$13*'main page'!$K$29)/('main page'!$K$27*(1+('main page'!$K$25^2)*'main page'!$U$13)))*(M147-(controls!$B$9/100)*100)</f>
        <v>6</v>
      </c>
      <c r="S147" s="98">
        <f ca="1">IF(controls!$B$33=1,(J148-E147*X148-B147)/'main page'!$K$27,(I148-E147*X148-B147)/'main page'!$K$27)</f>
        <v>4</v>
      </c>
      <c r="U147" s="71">
        <f>IF(controls!$B$6=1,$AG$4*(1+('main page'!$K$35/100))^V147-$AG$4*(1+('main page'!$K$35/100))^V146,$AG$4*(1+('main page'!$G$8/100))*(1+('main page'!$K$35/100))^V147-$AG$4*(1+('main page'!$G$8/100))*(1+('main page'!$K$35/100))^V146)</f>
        <v>0</v>
      </c>
      <c r="V147" s="73">
        <v>139</v>
      </c>
      <c r="W147" s="40">
        <f ca="1">'normal case'!V146</f>
        <v>0</v>
      </c>
      <c r="X147" s="40">
        <f ca="1">'normal case'!W146</f>
        <v>0</v>
      </c>
      <c r="Y147" s="49">
        <f ca="1">IF(controls!$B$33=1,E147-($J$4-'main page'!$K$27*2)*(1+('main page'!$K$35/100))^A146,E147-$AG$5)</f>
        <v>0</v>
      </c>
      <c r="Z147" s="49">
        <f ca="1">ABS(M147-(controls!$B$9/100)*100)</f>
        <v>0</v>
      </c>
      <c r="AI147" s="40"/>
      <c r="AJ147" s="40"/>
    </row>
    <row r="148" spans="1:36">
      <c r="A148" s="48">
        <v>145</v>
      </c>
      <c r="B148" s="75">
        <f ca="1">IF(controls!$B$6=2,AVERAGE(E144:E147)+B147*W148+hystere!$AG$9,AVERAGE(E144:E147)+B147*W148)</f>
        <v>100</v>
      </c>
      <c r="C148" s="80">
        <f t="shared" ca="1" si="13"/>
        <v>0</v>
      </c>
      <c r="D148" s="105">
        <f t="shared" ca="1" si="14"/>
        <v>0</v>
      </c>
      <c r="E148" s="77">
        <f t="shared" ca="1" si="15"/>
        <v>100</v>
      </c>
      <c r="F148" s="77">
        <f ca="1">IF('main page'!$K$34=1,hystere!H148,hystere!G148)</f>
        <v>100</v>
      </c>
      <c r="G148" s="94">
        <f ca="1">I148-'main page'!$K$27*hystere!N147</f>
        <v>100</v>
      </c>
      <c r="H148" s="75">
        <f ca="1">J148-'main page'!$K$27*N147</f>
        <v>100</v>
      </c>
      <c r="I148" s="75">
        <f t="shared" ca="1" si="10"/>
        <v>108</v>
      </c>
      <c r="J148" s="75">
        <f t="shared" ca="1" si="11"/>
        <v>108</v>
      </c>
      <c r="M148" s="75">
        <f ca="1">IF(ABS('main page'!$K$29*M147+(1-'main page'!$K$29)*(controls!$B$9/100)*100+'main page'!$K$25*(E148-B148)-M147)&lt;0.0000001,M147,'main page'!$K$29*M147+(1-'main page'!$K$29)*(controls!$B$9/100)*100+'main page'!$K$25*(E148-B148))</f>
        <v>2</v>
      </c>
      <c r="N148" s="75">
        <f ca="1">IF(controls!$B$10=1,N147,O148-'main page'!$K$29*M148-(1-'main page'!$K$29)*controls!$B$9)</f>
        <v>4</v>
      </c>
      <c r="O148" s="74">
        <f t="shared" ca="1" si="12"/>
        <v>6</v>
      </c>
      <c r="P148" s="76">
        <f ca="1">IF(controls!$B$10=1,hystere!N148+hystere!M148,hystere!Q148)</f>
        <v>6</v>
      </c>
      <c r="Q148" s="74">
        <f ca="1">IF('main page'!$Y$53=1,'choose m.p.'!$I$22*100,R148)</f>
        <v>6</v>
      </c>
      <c r="R148" s="100">
        <f ca="1">'main page'!$K$29*M148+(1-'main page'!$K$29)*controls!$B$9+S148+(('main page'!$K$25*'main page'!$U$13*'main page'!$K$29)/('main page'!$K$27*(1+('main page'!$K$25^2)*'main page'!$U$13)))*(M148-(controls!$B$9/100)*100)</f>
        <v>6</v>
      </c>
      <c r="S148" s="98">
        <f ca="1">IF(controls!$B$33=1,(J149-E148*X149-B148)/'main page'!$K$27,(I149-E148*X149-B148)/'main page'!$K$27)</f>
        <v>4</v>
      </c>
      <c r="U148" s="71">
        <f>IF(controls!$B$6=1,$AG$4*(1+('main page'!$K$35/100))^V148-$AG$4*(1+('main page'!$K$35/100))^V147,$AG$4*(1+('main page'!$G$8/100))*(1+('main page'!$K$35/100))^V148-$AG$4*(1+('main page'!$G$8/100))*(1+('main page'!$K$35/100))^V147)</f>
        <v>0</v>
      </c>
      <c r="V148" s="73">
        <v>140</v>
      </c>
      <c r="W148" s="40">
        <f>'normal case'!V147</f>
        <v>0</v>
      </c>
      <c r="X148" s="40">
        <f>'normal case'!W147</f>
        <v>0</v>
      </c>
      <c r="Y148" s="49">
        <f ca="1">IF(controls!$B$33=1,E148-($J$4-'main page'!$K$27*2)*(1+('main page'!$K$35/100))^A147,E148-$AG$5)</f>
        <v>0</v>
      </c>
      <c r="Z148" s="49">
        <f ca="1">ABS(M148-(controls!$B$9/100)*100)</f>
        <v>0</v>
      </c>
      <c r="AI148" s="40"/>
      <c r="AJ148" s="40"/>
    </row>
    <row r="149" spans="1:36">
      <c r="A149" s="48">
        <v>146</v>
      </c>
      <c r="B149" s="75">
        <f ca="1">IF(controls!$B$6=2,AVERAGE(E145:E148)+B148*W149+hystere!$AG$9,AVERAGE(E145:E148)+B148*W149)</f>
        <v>100</v>
      </c>
      <c r="C149" s="80">
        <f t="shared" ca="1" si="13"/>
        <v>0</v>
      </c>
      <c r="D149" s="105">
        <f t="shared" ca="1" si="14"/>
        <v>0</v>
      </c>
      <c r="E149" s="77">
        <f t="shared" ca="1" si="15"/>
        <v>100</v>
      </c>
      <c r="F149" s="77">
        <f ca="1">IF('main page'!$K$34=1,hystere!H149,hystere!G149)</f>
        <v>100</v>
      </c>
      <c r="G149" s="94">
        <f ca="1">I149-'main page'!$K$27*hystere!N148</f>
        <v>100</v>
      </c>
      <c r="H149" s="75">
        <f ca="1">J149-'main page'!$K$27*N148</f>
        <v>100</v>
      </c>
      <c r="I149" s="75">
        <f t="shared" ca="1" si="10"/>
        <v>108</v>
      </c>
      <c r="J149" s="75">
        <f t="shared" ca="1" si="11"/>
        <v>108</v>
      </c>
      <c r="M149" s="75">
        <f ca="1">IF(ABS('main page'!$K$29*M148+(1-'main page'!$K$29)*(controls!$B$9/100)*100+'main page'!$K$25*(E149-B149)-M148)&lt;0.0000001,M148,'main page'!$K$29*M148+(1-'main page'!$K$29)*(controls!$B$9/100)*100+'main page'!$K$25*(E149-B149))</f>
        <v>2</v>
      </c>
      <c r="N149" s="75">
        <f ca="1">IF(controls!$B$10=1,N148,O149-'main page'!$K$29*M149-(1-'main page'!$K$29)*controls!$B$9)</f>
        <v>4</v>
      </c>
      <c r="O149" s="74">
        <f t="shared" ca="1" si="12"/>
        <v>6</v>
      </c>
      <c r="P149" s="76">
        <f ca="1">IF(controls!$B$10=1,hystere!N149+hystere!M149,hystere!Q149)</f>
        <v>6</v>
      </c>
      <c r="Q149" s="74">
        <f ca="1">IF('main page'!$Y$53=1,'choose m.p.'!$I$22*100,R149)</f>
        <v>6</v>
      </c>
      <c r="R149" s="100">
        <f ca="1">'main page'!$K$29*M149+(1-'main page'!$K$29)*controls!$B$9+S149+(('main page'!$K$25*'main page'!$U$13*'main page'!$K$29)/('main page'!$K$27*(1+('main page'!$K$25^2)*'main page'!$U$13)))*(M149-(controls!$B$9/100)*100)</f>
        <v>6</v>
      </c>
      <c r="S149" s="98">
        <f ca="1">IF(controls!$B$33=1,(J150-E149*X150-B149)/'main page'!$K$27,(I150-E149*X150-B149)/'main page'!$K$27)</f>
        <v>4</v>
      </c>
      <c r="U149" s="71">
        <f>IF(controls!$B$6=1,$AG$4*(1+('main page'!$K$35/100))^V149-$AG$4*(1+('main page'!$K$35/100))^V148,$AG$4*(1+('main page'!$G$8/100))*(1+('main page'!$K$35/100))^V149-$AG$4*(1+('main page'!$G$8/100))*(1+('main page'!$K$35/100))^V148)</f>
        <v>0</v>
      </c>
      <c r="V149" s="73">
        <v>141</v>
      </c>
      <c r="W149" s="40">
        <f>'normal case'!V148</f>
        <v>0</v>
      </c>
      <c r="X149" s="40">
        <f>'normal case'!W148</f>
        <v>0</v>
      </c>
      <c r="Y149" s="49">
        <f ca="1">IF(controls!$B$33=1,E149-($J$4-'main page'!$K$27*2)*(1+('main page'!$K$35/100))^A148,E149-$AG$5)</f>
        <v>0</v>
      </c>
      <c r="Z149" s="49">
        <f ca="1">ABS(M149-(controls!$B$9/100)*100)</f>
        <v>0</v>
      </c>
      <c r="AI149" s="40"/>
      <c r="AJ149" s="40"/>
    </row>
    <row r="150" spans="1:36">
      <c r="A150" s="48">
        <v>147</v>
      </c>
      <c r="B150" s="75">
        <f ca="1">IF(controls!$B$6=2,AVERAGE(E146:E149)+B149*W150+hystere!$AG$9,AVERAGE(E146:E149)+B149*W150)</f>
        <v>100</v>
      </c>
      <c r="C150" s="80">
        <f t="shared" ca="1" si="13"/>
        <v>0</v>
      </c>
      <c r="D150" s="105">
        <f t="shared" ca="1" si="14"/>
        <v>0</v>
      </c>
      <c r="E150" s="77">
        <f t="shared" ca="1" si="15"/>
        <v>100</v>
      </c>
      <c r="F150" s="77">
        <f ca="1">IF('main page'!$K$34=1,hystere!H150,hystere!G150)</f>
        <v>100</v>
      </c>
      <c r="G150" s="94">
        <f ca="1">I150-'main page'!$K$27*hystere!N149</f>
        <v>100</v>
      </c>
      <c r="H150" s="75">
        <f ca="1">J150-'main page'!$K$27*N149</f>
        <v>100</v>
      </c>
      <c r="I150" s="75">
        <f t="shared" ca="1" si="10"/>
        <v>108</v>
      </c>
      <c r="J150" s="75">
        <f t="shared" ca="1" si="11"/>
        <v>108</v>
      </c>
      <c r="M150" s="75">
        <f ca="1">IF(ABS('main page'!$K$29*M149+(1-'main page'!$K$29)*(controls!$B$9/100)*100+'main page'!$K$25*(E150-B150)-M149)&lt;0.0000001,M149,'main page'!$K$29*M149+(1-'main page'!$K$29)*(controls!$B$9/100)*100+'main page'!$K$25*(E150-B150))</f>
        <v>2</v>
      </c>
      <c r="N150" s="75">
        <f ca="1">IF(controls!$B$10=1,N149,O150-'main page'!$K$29*M150-(1-'main page'!$K$29)*controls!$B$9)</f>
        <v>4</v>
      </c>
      <c r="O150" s="74">
        <f t="shared" ca="1" si="12"/>
        <v>6</v>
      </c>
      <c r="P150" s="76">
        <f ca="1">IF(controls!$B$10=1,hystere!N150+hystere!M150,hystere!Q150)</f>
        <v>6</v>
      </c>
      <c r="Q150" s="74">
        <f ca="1">IF('main page'!$Y$53=1,'choose m.p.'!$I$22*100,R150)</f>
        <v>6</v>
      </c>
      <c r="R150" s="100">
        <f ca="1">'main page'!$K$29*M150+(1-'main page'!$K$29)*controls!$B$9+S150+(('main page'!$K$25*'main page'!$U$13*'main page'!$K$29)/('main page'!$K$27*(1+('main page'!$K$25^2)*'main page'!$U$13)))*(M150-(controls!$B$9/100)*100)</f>
        <v>6</v>
      </c>
      <c r="S150" s="98">
        <f ca="1">IF(controls!$B$33=1,(J151-E150*X151-B150)/'main page'!$K$27,(I151-E150*X151-B150)/'main page'!$K$27)</f>
        <v>4</v>
      </c>
      <c r="U150" s="71">
        <f>IF(controls!$B$6=1,$AG$4*(1+('main page'!$K$35/100))^V150-$AG$4*(1+('main page'!$K$35/100))^V149,$AG$4*(1+('main page'!$G$8/100))*(1+('main page'!$K$35/100))^V150-$AG$4*(1+('main page'!$G$8/100))*(1+('main page'!$K$35/100))^V149)</f>
        <v>0</v>
      </c>
      <c r="V150" s="73">
        <v>142</v>
      </c>
      <c r="W150" s="40">
        <f ca="1">'normal case'!V149</f>
        <v>0</v>
      </c>
      <c r="X150" s="40">
        <f ca="1">'normal case'!W149</f>
        <v>0</v>
      </c>
      <c r="Y150" s="49">
        <f ca="1">IF(controls!$B$33=1,E150-($J$4-'main page'!$K$27*2)*(1+('main page'!$K$35/100))^A149,E150-$AG$5)</f>
        <v>0</v>
      </c>
      <c r="Z150" s="49">
        <f ca="1">ABS(M150-(controls!$B$9/100)*100)</f>
        <v>0</v>
      </c>
      <c r="AI150" s="40"/>
      <c r="AJ150" s="40"/>
    </row>
    <row r="151" spans="1:36">
      <c r="A151" s="48">
        <v>148</v>
      </c>
      <c r="B151" s="75">
        <f ca="1">IF(controls!$B$6=2,AVERAGE(E147:E150)+B150*W151+hystere!$AG$9,AVERAGE(E147:E150)+B150*W151)</f>
        <v>100</v>
      </c>
      <c r="C151" s="80">
        <f t="shared" ca="1" si="13"/>
        <v>0</v>
      </c>
      <c r="D151" s="105">
        <f t="shared" ca="1" si="14"/>
        <v>0</v>
      </c>
      <c r="E151" s="77">
        <f t="shared" ca="1" si="15"/>
        <v>100</v>
      </c>
      <c r="F151" s="77">
        <f ca="1">IF('main page'!$K$34=1,hystere!H151,hystere!G151)</f>
        <v>100</v>
      </c>
      <c r="G151" s="94">
        <f ca="1">I151-'main page'!$K$27*hystere!N150</f>
        <v>100</v>
      </c>
      <c r="H151" s="75">
        <f ca="1">J151-'main page'!$K$27*N150</f>
        <v>100</v>
      </c>
      <c r="I151" s="75">
        <f t="shared" ca="1" si="10"/>
        <v>108</v>
      </c>
      <c r="J151" s="75">
        <f t="shared" ca="1" si="11"/>
        <v>108</v>
      </c>
      <c r="M151" s="75">
        <f ca="1">IF(ABS('main page'!$K$29*M150+(1-'main page'!$K$29)*(controls!$B$9/100)*100+'main page'!$K$25*(E151-B151)-M150)&lt;0.0000001,M150,'main page'!$K$29*M150+(1-'main page'!$K$29)*(controls!$B$9/100)*100+'main page'!$K$25*(E151-B151))</f>
        <v>2</v>
      </c>
      <c r="N151" s="75">
        <f ca="1">IF(controls!$B$10=1,N150,O151-'main page'!$K$29*M151-(1-'main page'!$K$29)*controls!$B$9)</f>
        <v>4</v>
      </c>
      <c r="O151" s="74">
        <f t="shared" ca="1" si="12"/>
        <v>6</v>
      </c>
      <c r="P151" s="76">
        <f ca="1">IF(controls!$B$10=1,hystere!N151+hystere!M151,hystere!Q151)</f>
        <v>6</v>
      </c>
      <c r="Q151" s="74">
        <f ca="1">IF('main page'!$Y$53=1,'choose m.p.'!$I$22*100,R151)</f>
        <v>6</v>
      </c>
      <c r="R151" s="100">
        <f ca="1">'main page'!$K$29*M151+(1-'main page'!$K$29)*controls!$B$9+S151+(('main page'!$K$25*'main page'!$U$13*'main page'!$K$29)/('main page'!$K$27*(1+('main page'!$K$25^2)*'main page'!$U$13)))*(M151-(controls!$B$9/100)*100)</f>
        <v>6</v>
      </c>
      <c r="S151" s="98">
        <f ca="1">IF(controls!$B$33=1,(J152-E151*X152-B151)/'main page'!$K$27,(I152-E151*X152-B151)/'main page'!$K$27)</f>
        <v>4</v>
      </c>
      <c r="U151" s="71">
        <f>IF(controls!$B$6=1,$AG$4*(1+('main page'!$K$35/100))^V151-$AG$4*(1+('main page'!$K$35/100))^V150,$AG$4*(1+('main page'!$G$8/100))*(1+('main page'!$K$35/100))^V151-$AG$4*(1+('main page'!$G$8/100))*(1+('main page'!$K$35/100))^V150)</f>
        <v>0</v>
      </c>
      <c r="V151" s="73">
        <v>143</v>
      </c>
      <c r="W151" s="40">
        <f>'normal case'!V150</f>
        <v>0</v>
      </c>
      <c r="X151" s="40">
        <f>'normal case'!W150</f>
        <v>0</v>
      </c>
      <c r="Y151" s="49">
        <f ca="1">IF(controls!$B$33=1,E151-($J$4-'main page'!$K$27*2)*(1+('main page'!$K$35/100))^A150,E151-$AG$5)</f>
        <v>0</v>
      </c>
      <c r="Z151" s="49">
        <f ca="1">ABS(M151-(controls!$B$9/100)*100)</f>
        <v>0</v>
      </c>
      <c r="AI151" s="40"/>
      <c r="AJ151" s="40"/>
    </row>
    <row r="152" spans="1:36">
      <c r="A152" s="48">
        <v>149</v>
      </c>
      <c r="B152" s="75">
        <f ca="1">IF(controls!$B$6=2,AVERAGE(E148:E151)+B151*W152+hystere!$AG$9,AVERAGE(E148:E151)+B151*W152)</f>
        <v>100</v>
      </c>
      <c r="C152" s="80">
        <f t="shared" ca="1" si="13"/>
        <v>0</v>
      </c>
      <c r="D152" s="105">
        <f t="shared" ca="1" si="14"/>
        <v>0</v>
      </c>
      <c r="E152" s="77">
        <f t="shared" ca="1" si="15"/>
        <v>100</v>
      </c>
      <c r="F152" s="77">
        <f ca="1">IF('main page'!$K$34=1,hystere!H152,hystere!G152)</f>
        <v>100</v>
      </c>
      <c r="G152" s="94">
        <f ca="1">I152-'main page'!$K$27*hystere!N151</f>
        <v>100</v>
      </c>
      <c r="H152" s="75">
        <f ca="1">J152-'main page'!$K$27*N151</f>
        <v>100</v>
      </c>
      <c r="I152" s="75">
        <f t="shared" ca="1" si="10"/>
        <v>108</v>
      </c>
      <c r="J152" s="75">
        <f t="shared" ca="1" si="11"/>
        <v>108</v>
      </c>
      <c r="M152" s="75">
        <f ca="1">IF(ABS('main page'!$K$29*M151+(1-'main page'!$K$29)*(controls!$B$9/100)*100+'main page'!$K$25*(E152-B152)-M151)&lt;0.0000001,M151,'main page'!$K$29*M151+(1-'main page'!$K$29)*(controls!$B$9/100)*100+'main page'!$K$25*(E152-B152))</f>
        <v>2</v>
      </c>
      <c r="N152" s="75">
        <f ca="1">IF(controls!$B$10=1,N151,O152-'main page'!$K$29*M152-(1-'main page'!$K$29)*controls!$B$9)</f>
        <v>4</v>
      </c>
      <c r="O152" s="74">
        <f t="shared" ca="1" si="12"/>
        <v>6</v>
      </c>
      <c r="P152" s="76">
        <f ca="1">IF(controls!$B$10=1,hystere!N152+hystere!M152,hystere!Q152)</f>
        <v>6</v>
      </c>
      <c r="Q152" s="74">
        <f ca="1">IF('main page'!$Y$53=1,'choose m.p.'!$I$22*100,R152)</f>
        <v>6</v>
      </c>
      <c r="R152" s="100">
        <f ca="1">'main page'!$K$29*M152+(1-'main page'!$K$29)*controls!$B$9+S152+(('main page'!$K$25*'main page'!$U$13*'main page'!$K$29)/('main page'!$K$27*(1+('main page'!$K$25^2)*'main page'!$U$13)))*(M152-(controls!$B$9/100)*100)</f>
        <v>6</v>
      </c>
      <c r="S152" s="98">
        <f ca="1">IF(controls!$B$33=1,(J153-E152*X153-B152)/'main page'!$K$27,(I153-E152*X153-B152)/'main page'!$K$27)</f>
        <v>4</v>
      </c>
      <c r="U152" s="71">
        <f>IF(controls!$B$6=1,$AG$4*(1+('main page'!$K$35/100))^V152-$AG$4*(1+('main page'!$K$35/100))^V151,$AG$4*(1+('main page'!$G$8/100))*(1+('main page'!$K$35/100))^V152-$AG$4*(1+('main page'!$G$8/100))*(1+('main page'!$K$35/100))^V151)</f>
        <v>0</v>
      </c>
      <c r="V152" s="73">
        <v>144</v>
      </c>
      <c r="W152" s="40">
        <f>'normal case'!V151</f>
        <v>0</v>
      </c>
      <c r="X152" s="40">
        <f>'normal case'!W151</f>
        <v>0</v>
      </c>
      <c r="Y152" s="49">
        <f ca="1">IF(controls!$B$33=1,E152-($J$4-'main page'!$K$27*2)*(1+('main page'!$K$35/100))^A151,E152-$AG$5)</f>
        <v>0</v>
      </c>
      <c r="Z152" s="49">
        <f ca="1">ABS(M152-(controls!$B$9/100)*100)</f>
        <v>0</v>
      </c>
      <c r="AI152" s="40"/>
      <c r="AJ152" s="40"/>
    </row>
    <row r="153" spans="1:36">
      <c r="A153" s="48">
        <v>150</v>
      </c>
      <c r="B153" s="75">
        <f ca="1">IF(controls!$B$6=2,AVERAGE(E149:E152)+B152*W153+hystere!$AG$9,AVERAGE(E149:E152)+B152*W153)</f>
        <v>100</v>
      </c>
      <c r="C153" s="80">
        <f t="shared" ca="1" si="13"/>
        <v>0</v>
      </c>
      <c r="D153" s="105">
        <f t="shared" ca="1" si="14"/>
        <v>0</v>
      </c>
      <c r="E153" s="77">
        <f t="shared" ca="1" si="15"/>
        <v>100</v>
      </c>
      <c r="F153" s="77">
        <f ca="1">IF('main page'!$K$34=1,hystere!H153,hystere!G153)</f>
        <v>100</v>
      </c>
      <c r="G153" s="94">
        <f ca="1">I153-'main page'!$K$27*hystere!N152</f>
        <v>100</v>
      </c>
      <c r="H153" s="75">
        <f ca="1">J153-'main page'!$K$27*N152</f>
        <v>100</v>
      </c>
      <c r="I153" s="75">
        <f t="shared" ref="I153:I216" ca="1" si="16">I152+E152*X153</f>
        <v>108</v>
      </c>
      <c r="J153" s="75">
        <f t="shared" ref="J153:J216" ca="1" si="17">J152+E152*X153+U153</f>
        <v>108</v>
      </c>
      <c r="M153" s="75">
        <f ca="1">IF(ABS('main page'!$K$29*M152+(1-'main page'!$K$29)*(controls!$B$9/100)*100+'main page'!$K$25*(E153-B153)-M152)&lt;0.0000001,M152,'main page'!$K$29*M152+(1-'main page'!$K$29)*(controls!$B$9/100)*100+'main page'!$K$25*(E153-B153))</f>
        <v>2</v>
      </c>
      <c r="N153" s="75">
        <f ca="1">IF(controls!$B$10=1,N152,O153-'main page'!$K$29*M153-(1-'main page'!$K$29)*controls!$B$9)</f>
        <v>4</v>
      </c>
      <c r="O153" s="74">
        <f t="shared" ca="1" si="12"/>
        <v>6</v>
      </c>
      <c r="P153" s="76">
        <f ca="1">IF(controls!$B$10=1,hystere!N153+hystere!M153,hystere!Q153)</f>
        <v>6</v>
      </c>
      <c r="Q153" s="74">
        <f ca="1">IF('main page'!$Y$53=1,'choose m.p.'!$I$22*100,R153)</f>
        <v>6</v>
      </c>
      <c r="R153" s="100">
        <f ca="1">'main page'!$K$29*M153+(1-'main page'!$K$29)*controls!$B$9+S153+(('main page'!$K$25*'main page'!$U$13*'main page'!$K$29)/('main page'!$K$27*(1+('main page'!$K$25^2)*'main page'!$U$13)))*(M153-(controls!$B$9/100)*100)</f>
        <v>6</v>
      </c>
      <c r="S153" s="98">
        <f ca="1">IF(controls!$B$33=1,(J154-E153*X154-B153)/'main page'!$K$27,(I154-E153*X154-B153)/'main page'!$K$27)</f>
        <v>4</v>
      </c>
      <c r="U153" s="71">
        <f>IF(controls!$B$6=1,$AG$4*(1+('main page'!$K$35/100))^V153-$AG$4*(1+('main page'!$K$35/100))^V152,$AG$4*(1+('main page'!$G$8/100))*(1+('main page'!$K$35/100))^V153-$AG$4*(1+('main page'!$G$8/100))*(1+('main page'!$K$35/100))^V152)</f>
        <v>0</v>
      </c>
      <c r="V153" s="73">
        <v>145</v>
      </c>
      <c r="W153" s="40">
        <f ca="1">'normal case'!V152</f>
        <v>0</v>
      </c>
      <c r="X153" s="40">
        <f ca="1">'normal case'!W152</f>
        <v>0</v>
      </c>
      <c r="Y153" s="49">
        <f ca="1">IF(controls!$B$33=1,E153-($J$4-'main page'!$K$27*2)*(1+('main page'!$K$35/100))^A152,E153-$AG$5)</f>
        <v>0</v>
      </c>
      <c r="Z153" s="49">
        <f ca="1">ABS(M153-(controls!$B$9/100)*100)</f>
        <v>0</v>
      </c>
      <c r="AI153" s="40"/>
      <c r="AJ153" s="40"/>
    </row>
    <row r="154" spans="1:36">
      <c r="A154" s="48">
        <v>151</v>
      </c>
      <c r="B154" s="75">
        <f ca="1">IF(controls!$B$6=2,AVERAGE(E150:E153)+B153*W154+hystere!$AG$9,AVERAGE(E150:E153)+B153*W154)</f>
        <v>100</v>
      </c>
      <c r="C154" s="80">
        <f t="shared" ca="1" si="13"/>
        <v>0</v>
      </c>
      <c r="D154" s="105">
        <f t="shared" ca="1" si="14"/>
        <v>0</v>
      </c>
      <c r="E154" s="77">
        <f t="shared" ca="1" si="15"/>
        <v>100</v>
      </c>
      <c r="F154" s="77">
        <f ca="1">IF('main page'!$K$34=1,hystere!H154,hystere!G154)</f>
        <v>100</v>
      </c>
      <c r="G154" s="94">
        <f ca="1">I154-'main page'!$K$27*hystere!N153</f>
        <v>100</v>
      </c>
      <c r="H154" s="75">
        <f ca="1">J154-'main page'!$K$27*N153</f>
        <v>100</v>
      </c>
      <c r="I154" s="75">
        <f t="shared" ca="1" si="16"/>
        <v>108</v>
      </c>
      <c r="J154" s="75">
        <f t="shared" ca="1" si="17"/>
        <v>108</v>
      </c>
      <c r="M154" s="75">
        <f ca="1">IF(ABS('main page'!$K$29*M153+(1-'main page'!$K$29)*(controls!$B$9/100)*100+'main page'!$K$25*(E154-B154)-M153)&lt;0.0000001,M153,'main page'!$K$29*M153+(1-'main page'!$K$29)*(controls!$B$9/100)*100+'main page'!$K$25*(E154-B154))</f>
        <v>2</v>
      </c>
      <c r="N154" s="75">
        <f ca="1">IF(controls!$B$10=1,N153,O154-'main page'!$K$29*M154-(1-'main page'!$K$29)*controls!$B$9)</f>
        <v>4</v>
      </c>
      <c r="O154" s="74">
        <f t="shared" ca="1" si="12"/>
        <v>6</v>
      </c>
      <c r="P154" s="76">
        <f ca="1">IF(controls!$B$10=1,hystere!N154+hystere!M154,hystere!Q154)</f>
        <v>6</v>
      </c>
      <c r="Q154" s="74">
        <f ca="1">IF('main page'!$Y$53=1,'choose m.p.'!$I$22*100,R154)</f>
        <v>6</v>
      </c>
      <c r="R154" s="100">
        <f ca="1">'main page'!$K$29*M154+(1-'main page'!$K$29)*controls!$B$9+S154+(('main page'!$K$25*'main page'!$U$13*'main page'!$K$29)/('main page'!$K$27*(1+('main page'!$K$25^2)*'main page'!$U$13)))*(M154-(controls!$B$9/100)*100)</f>
        <v>6</v>
      </c>
      <c r="S154" s="98">
        <f ca="1">IF(controls!$B$33=1,(J155-E154*X155-B154)/'main page'!$K$27,(I155-E154*X155-B154)/'main page'!$K$27)</f>
        <v>4</v>
      </c>
      <c r="U154" s="71">
        <f>IF(controls!$B$6=1,$AG$4*(1+('main page'!$K$35/100))^V154-$AG$4*(1+('main page'!$K$35/100))^V153,$AG$4*(1+('main page'!$G$8/100))*(1+('main page'!$K$35/100))^V154-$AG$4*(1+('main page'!$G$8/100))*(1+('main page'!$K$35/100))^V153)</f>
        <v>0</v>
      </c>
      <c r="V154" s="73">
        <v>146</v>
      </c>
      <c r="W154" s="40">
        <f>'normal case'!V153</f>
        <v>0</v>
      </c>
      <c r="X154" s="40">
        <f>'normal case'!W153</f>
        <v>0</v>
      </c>
      <c r="Y154" s="49">
        <f ca="1">IF(controls!$B$33=1,E154-($J$4-'main page'!$K$27*2)*(1+('main page'!$K$35/100))^A153,E154-$AG$5)</f>
        <v>0</v>
      </c>
      <c r="Z154" s="49">
        <f ca="1">ABS(M154-(controls!$B$9/100)*100)</f>
        <v>0</v>
      </c>
      <c r="AI154" s="40"/>
      <c r="AJ154" s="40"/>
    </row>
    <row r="155" spans="1:36">
      <c r="A155" s="48">
        <v>152</v>
      </c>
      <c r="B155" s="75">
        <f ca="1">IF(controls!$B$6=2,AVERAGE(E151:E154)+B154*W155+hystere!$AG$9,AVERAGE(E151:E154)+B154*W155)</f>
        <v>100</v>
      </c>
      <c r="C155" s="80">
        <f t="shared" ca="1" si="13"/>
        <v>0</v>
      </c>
      <c r="D155" s="105">
        <f t="shared" ca="1" si="14"/>
        <v>0</v>
      </c>
      <c r="E155" s="77">
        <f t="shared" ca="1" si="15"/>
        <v>100</v>
      </c>
      <c r="F155" s="77">
        <f ca="1">IF('main page'!$K$34=1,hystere!H155,hystere!G155)</f>
        <v>100</v>
      </c>
      <c r="G155" s="94">
        <f ca="1">I155-'main page'!$K$27*hystere!N154</f>
        <v>100</v>
      </c>
      <c r="H155" s="75">
        <f ca="1">J155-'main page'!$K$27*N154</f>
        <v>100</v>
      </c>
      <c r="I155" s="75">
        <f t="shared" ca="1" si="16"/>
        <v>108</v>
      </c>
      <c r="J155" s="75">
        <f t="shared" ca="1" si="17"/>
        <v>108</v>
      </c>
      <c r="M155" s="75">
        <f ca="1">IF(ABS('main page'!$K$29*M154+(1-'main page'!$K$29)*(controls!$B$9/100)*100+'main page'!$K$25*(E155-B155)-M154)&lt;0.0000001,M154,'main page'!$K$29*M154+(1-'main page'!$K$29)*(controls!$B$9/100)*100+'main page'!$K$25*(E155-B155))</f>
        <v>2</v>
      </c>
      <c r="N155" s="75">
        <f ca="1">IF(controls!$B$10=1,N154,O155-'main page'!$K$29*M155-(1-'main page'!$K$29)*controls!$B$9)</f>
        <v>4</v>
      </c>
      <c r="O155" s="74">
        <f t="shared" ca="1" si="12"/>
        <v>6</v>
      </c>
      <c r="P155" s="76">
        <f ca="1">IF(controls!$B$10=1,hystere!N155+hystere!M155,hystere!Q155)</f>
        <v>6</v>
      </c>
      <c r="Q155" s="74">
        <f ca="1">IF('main page'!$Y$53=1,'choose m.p.'!$I$22*100,R155)</f>
        <v>6</v>
      </c>
      <c r="R155" s="100">
        <f ca="1">'main page'!$K$29*M155+(1-'main page'!$K$29)*controls!$B$9+S155+(('main page'!$K$25*'main page'!$U$13*'main page'!$K$29)/('main page'!$K$27*(1+('main page'!$K$25^2)*'main page'!$U$13)))*(M155-(controls!$B$9/100)*100)</f>
        <v>6</v>
      </c>
      <c r="S155" s="98">
        <f ca="1">IF(controls!$B$33=1,(J156-E155*X156-B155)/'main page'!$K$27,(I156-E155*X156-B155)/'main page'!$K$27)</f>
        <v>4</v>
      </c>
      <c r="U155" s="71">
        <f>IF(controls!$B$6=1,$AG$4*(1+('main page'!$K$35/100))^V155-$AG$4*(1+('main page'!$K$35/100))^V154,$AG$4*(1+('main page'!$G$8/100))*(1+('main page'!$K$35/100))^V155-$AG$4*(1+('main page'!$G$8/100))*(1+('main page'!$K$35/100))^V154)</f>
        <v>0</v>
      </c>
      <c r="V155" s="73">
        <v>147</v>
      </c>
      <c r="W155" s="40">
        <f>'normal case'!V154</f>
        <v>0</v>
      </c>
      <c r="X155" s="40">
        <f>'normal case'!W154</f>
        <v>0</v>
      </c>
      <c r="Y155" s="49">
        <f ca="1">IF(controls!$B$33=1,E155-($J$4-'main page'!$K$27*2)*(1+('main page'!$K$35/100))^A154,E155-$AG$5)</f>
        <v>0</v>
      </c>
      <c r="Z155" s="49">
        <f ca="1">ABS(M155-(controls!$B$9/100)*100)</f>
        <v>0</v>
      </c>
      <c r="AI155" s="40"/>
      <c r="AJ155" s="40"/>
    </row>
    <row r="156" spans="1:36">
      <c r="A156" s="48">
        <v>153</v>
      </c>
      <c r="B156" s="75">
        <f ca="1">IF(controls!$B$6=2,AVERAGE(E152:E155)+B155*W156+hystere!$AG$9,AVERAGE(E152:E155)+B155*W156)</f>
        <v>100</v>
      </c>
      <c r="C156" s="80">
        <f t="shared" ca="1" si="13"/>
        <v>0</v>
      </c>
      <c r="D156" s="105">
        <f t="shared" ca="1" si="14"/>
        <v>0</v>
      </c>
      <c r="E156" s="77">
        <f t="shared" ca="1" si="15"/>
        <v>100</v>
      </c>
      <c r="F156" s="77">
        <f ca="1">IF('main page'!$K$34=1,hystere!H156,hystere!G156)</f>
        <v>100</v>
      </c>
      <c r="G156" s="94">
        <f ca="1">I156-'main page'!$K$27*hystere!N155</f>
        <v>100</v>
      </c>
      <c r="H156" s="75">
        <f ca="1">J156-'main page'!$K$27*N155</f>
        <v>100</v>
      </c>
      <c r="I156" s="75">
        <f t="shared" ca="1" si="16"/>
        <v>108</v>
      </c>
      <c r="J156" s="75">
        <f t="shared" ca="1" si="17"/>
        <v>108</v>
      </c>
      <c r="M156" s="75">
        <f ca="1">IF(ABS('main page'!$K$29*M155+(1-'main page'!$K$29)*(controls!$B$9/100)*100+'main page'!$K$25*(E156-B156)-M155)&lt;0.0000001,M155,'main page'!$K$29*M155+(1-'main page'!$K$29)*(controls!$B$9/100)*100+'main page'!$K$25*(E156-B156))</f>
        <v>2</v>
      </c>
      <c r="N156" s="75">
        <f ca="1">IF(controls!$B$10=1,N155,O156-'main page'!$K$29*M156-(1-'main page'!$K$29)*controls!$B$9)</f>
        <v>4</v>
      </c>
      <c r="O156" s="74">
        <f t="shared" ca="1" si="12"/>
        <v>6</v>
      </c>
      <c r="P156" s="76">
        <f ca="1">IF(controls!$B$10=1,hystere!N156+hystere!M156,hystere!Q156)</f>
        <v>6</v>
      </c>
      <c r="Q156" s="74">
        <f ca="1">IF('main page'!$Y$53=1,'choose m.p.'!$I$22*100,R156)</f>
        <v>6</v>
      </c>
      <c r="R156" s="100">
        <f ca="1">'main page'!$K$29*M156+(1-'main page'!$K$29)*controls!$B$9+S156+(('main page'!$K$25*'main page'!$U$13*'main page'!$K$29)/('main page'!$K$27*(1+('main page'!$K$25^2)*'main page'!$U$13)))*(M156-(controls!$B$9/100)*100)</f>
        <v>6</v>
      </c>
      <c r="S156" s="98">
        <f ca="1">IF(controls!$B$33=1,(J157-E156*X157-B156)/'main page'!$K$27,(I157-E156*X157-B156)/'main page'!$K$27)</f>
        <v>4</v>
      </c>
      <c r="U156" s="71">
        <f>IF(controls!$B$6=1,$AG$4*(1+('main page'!$K$35/100))^V156-$AG$4*(1+('main page'!$K$35/100))^V155,$AG$4*(1+('main page'!$G$8/100))*(1+('main page'!$K$35/100))^V156-$AG$4*(1+('main page'!$G$8/100))*(1+('main page'!$K$35/100))^V155)</f>
        <v>0</v>
      </c>
      <c r="V156" s="73">
        <v>148</v>
      </c>
      <c r="W156" s="40">
        <f ca="1">'normal case'!V155</f>
        <v>0</v>
      </c>
      <c r="X156" s="40">
        <f ca="1">'normal case'!W155</f>
        <v>0</v>
      </c>
      <c r="Y156" s="49">
        <f ca="1">IF(controls!$B$33=1,E156-($J$4-'main page'!$K$27*2)*(1+('main page'!$K$35/100))^A155,E156-$AG$5)</f>
        <v>0</v>
      </c>
      <c r="Z156" s="49">
        <f ca="1">ABS(M156-(controls!$B$9/100)*100)</f>
        <v>0</v>
      </c>
      <c r="AI156" s="40"/>
      <c r="AJ156" s="40"/>
    </row>
    <row r="157" spans="1:36">
      <c r="A157" s="48">
        <v>154</v>
      </c>
      <c r="B157" s="75">
        <f ca="1">IF(controls!$B$6=2,AVERAGE(E153:E156)+B156*W157+hystere!$AG$9,AVERAGE(E153:E156)+B156*W157)</f>
        <v>100</v>
      </c>
      <c r="C157" s="80">
        <f t="shared" ca="1" si="13"/>
        <v>0</v>
      </c>
      <c r="D157" s="105">
        <f t="shared" ca="1" si="14"/>
        <v>0</v>
      </c>
      <c r="E157" s="77">
        <f t="shared" ca="1" si="15"/>
        <v>100</v>
      </c>
      <c r="F157" s="77">
        <f ca="1">IF('main page'!$K$34=1,hystere!H157,hystere!G157)</f>
        <v>100</v>
      </c>
      <c r="G157" s="94">
        <f ca="1">I157-'main page'!$K$27*hystere!N156</f>
        <v>100</v>
      </c>
      <c r="H157" s="75">
        <f ca="1">J157-'main page'!$K$27*N156</f>
        <v>100</v>
      </c>
      <c r="I157" s="75">
        <f t="shared" ca="1" si="16"/>
        <v>108</v>
      </c>
      <c r="J157" s="75">
        <f t="shared" ca="1" si="17"/>
        <v>108</v>
      </c>
      <c r="M157" s="75">
        <f ca="1">IF(ABS('main page'!$K$29*M156+(1-'main page'!$K$29)*(controls!$B$9/100)*100+'main page'!$K$25*(E157-B157)-M156)&lt;0.0000001,M156,'main page'!$K$29*M156+(1-'main page'!$K$29)*(controls!$B$9/100)*100+'main page'!$K$25*(E157-B157))</f>
        <v>2</v>
      </c>
      <c r="N157" s="75">
        <f ca="1">IF(controls!$B$10=1,N156,O157-'main page'!$K$29*M157-(1-'main page'!$K$29)*controls!$B$9)</f>
        <v>4</v>
      </c>
      <c r="O157" s="74">
        <f t="shared" ca="1" si="12"/>
        <v>6</v>
      </c>
      <c r="P157" s="76">
        <f ca="1">IF(controls!$B$10=1,hystere!N157+hystere!M157,hystere!Q157)</f>
        <v>6</v>
      </c>
      <c r="Q157" s="74">
        <f ca="1">IF('main page'!$Y$53=1,'choose m.p.'!$I$22*100,R157)</f>
        <v>6</v>
      </c>
      <c r="R157" s="100">
        <f ca="1">'main page'!$K$29*M157+(1-'main page'!$K$29)*controls!$B$9+S157+(('main page'!$K$25*'main page'!$U$13*'main page'!$K$29)/('main page'!$K$27*(1+('main page'!$K$25^2)*'main page'!$U$13)))*(M157-(controls!$B$9/100)*100)</f>
        <v>6</v>
      </c>
      <c r="S157" s="98">
        <f ca="1">IF(controls!$B$33=1,(J158-E157*X158-B157)/'main page'!$K$27,(I158-E157*X158-B157)/'main page'!$K$27)</f>
        <v>4</v>
      </c>
      <c r="U157" s="71">
        <f>IF(controls!$B$6=1,$AG$4*(1+('main page'!$K$35/100))^V157-$AG$4*(1+('main page'!$K$35/100))^V156,$AG$4*(1+('main page'!$G$8/100))*(1+('main page'!$K$35/100))^V157-$AG$4*(1+('main page'!$G$8/100))*(1+('main page'!$K$35/100))^V156)</f>
        <v>0</v>
      </c>
      <c r="V157" s="73">
        <v>149</v>
      </c>
      <c r="W157" s="40">
        <f>'normal case'!V156</f>
        <v>0</v>
      </c>
      <c r="X157" s="40">
        <f>'normal case'!W156</f>
        <v>0</v>
      </c>
      <c r="Y157" s="49">
        <f ca="1">IF(controls!$B$33=1,E157-($J$4-'main page'!$K$27*2)*(1+('main page'!$K$35/100))^A156,E157-$AG$5)</f>
        <v>0</v>
      </c>
      <c r="Z157" s="49">
        <f ca="1">ABS(M157-(controls!$B$9/100)*100)</f>
        <v>0</v>
      </c>
      <c r="AI157" s="40"/>
      <c r="AJ157" s="40"/>
    </row>
    <row r="158" spans="1:36">
      <c r="A158" s="48">
        <v>155</v>
      </c>
      <c r="B158" s="75">
        <f ca="1">IF(controls!$B$6=2,AVERAGE(E154:E157)+B157*W158+hystere!$AG$9,AVERAGE(E154:E157)+B157*W158)</f>
        <v>100</v>
      </c>
      <c r="C158" s="80">
        <f t="shared" ca="1" si="13"/>
        <v>0</v>
      </c>
      <c r="D158" s="105">
        <f t="shared" ca="1" si="14"/>
        <v>0</v>
      </c>
      <c r="E158" s="77">
        <f t="shared" ca="1" si="15"/>
        <v>100</v>
      </c>
      <c r="F158" s="77">
        <f ca="1">IF('main page'!$K$34=1,hystere!H158,hystere!G158)</f>
        <v>100</v>
      </c>
      <c r="G158" s="94">
        <f ca="1">I158-'main page'!$K$27*hystere!N157</f>
        <v>100</v>
      </c>
      <c r="H158" s="75">
        <f ca="1">J158-'main page'!$K$27*N157</f>
        <v>100</v>
      </c>
      <c r="I158" s="75">
        <f t="shared" ca="1" si="16"/>
        <v>108</v>
      </c>
      <c r="J158" s="75">
        <f t="shared" ca="1" si="17"/>
        <v>108</v>
      </c>
      <c r="M158" s="75">
        <f ca="1">IF(ABS('main page'!$K$29*M157+(1-'main page'!$K$29)*(controls!$B$9/100)*100+'main page'!$K$25*(E158-B158)-M157)&lt;0.0000001,M157,'main page'!$K$29*M157+(1-'main page'!$K$29)*(controls!$B$9/100)*100+'main page'!$K$25*(E158-B158))</f>
        <v>2</v>
      </c>
      <c r="N158" s="75">
        <f ca="1">IF(controls!$B$10=1,N157,O158-'main page'!$K$29*M158-(1-'main page'!$K$29)*controls!$B$9)</f>
        <v>4</v>
      </c>
      <c r="O158" s="74">
        <f t="shared" ca="1" si="12"/>
        <v>6</v>
      </c>
      <c r="P158" s="76">
        <f ca="1">IF(controls!$B$10=1,hystere!N158+hystere!M158,hystere!Q158)</f>
        <v>6</v>
      </c>
      <c r="Q158" s="74">
        <f ca="1">IF('main page'!$Y$53=1,'choose m.p.'!$I$22*100,R158)</f>
        <v>6</v>
      </c>
      <c r="R158" s="100">
        <f ca="1">'main page'!$K$29*M158+(1-'main page'!$K$29)*controls!$B$9+S158+(('main page'!$K$25*'main page'!$U$13*'main page'!$K$29)/('main page'!$K$27*(1+('main page'!$K$25^2)*'main page'!$U$13)))*(M158-(controls!$B$9/100)*100)</f>
        <v>6</v>
      </c>
      <c r="S158" s="98">
        <f ca="1">IF(controls!$B$33=1,(J159-E158*X159-B158)/'main page'!$K$27,(I159-E158*X159-B158)/'main page'!$K$27)</f>
        <v>4</v>
      </c>
      <c r="U158" s="71">
        <f>IF(controls!$B$6=1,$AG$4*(1+('main page'!$K$35/100))^V158-$AG$4*(1+('main page'!$K$35/100))^V157,$AG$4*(1+('main page'!$G$8/100))*(1+('main page'!$K$35/100))^V158-$AG$4*(1+('main page'!$G$8/100))*(1+('main page'!$K$35/100))^V157)</f>
        <v>0</v>
      </c>
      <c r="V158" s="73">
        <v>150</v>
      </c>
      <c r="W158" s="40">
        <f>'normal case'!V157</f>
        <v>0</v>
      </c>
      <c r="X158" s="40">
        <f>'normal case'!W157</f>
        <v>0</v>
      </c>
      <c r="Y158" s="49">
        <f ca="1">IF(controls!$B$33=1,E158-($J$4-'main page'!$K$27*2)*(1+('main page'!$K$35/100))^A157,E158-$AG$5)</f>
        <v>0</v>
      </c>
      <c r="Z158" s="49">
        <f ca="1">ABS(M158-(controls!$B$9/100)*100)</f>
        <v>0</v>
      </c>
      <c r="AI158" s="40"/>
      <c r="AJ158" s="40"/>
    </row>
    <row r="159" spans="1:36">
      <c r="A159" s="48">
        <v>156</v>
      </c>
      <c r="B159" s="75">
        <f ca="1">IF(controls!$B$6=2,AVERAGE(E155:E158)+B158*W159+hystere!$AG$9,AVERAGE(E155:E158)+B158*W159)</f>
        <v>100</v>
      </c>
      <c r="C159" s="80">
        <f t="shared" ca="1" si="13"/>
        <v>0</v>
      </c>
      <c r="D159" s="105">
        <f t="shared" ca="1" si="14"/>
        <v>0</v>
      </c>
      <c r="E159" s="77">
        <f t="shared" ca="1" si="15"/>
        <v>100</v>
      </c>
      <c r="F159" s="77">
        <f ca="1">IF('main page'!$K$34=1,hystere!H159,hystere!G159)</f>
        <v>100</v>
      </c>
      <c r="G159" s="94">
        <f ca="1">I159-'main page'!$K$27*hystere!N158</f>
        <v>100</v>
      </c>
      <c r="H159" s="75">
        <f ca="1">J159-'main page'!$K$27*N158</f>
        <v>100</v>
      </c>
      <c r="I159" s="75">
        <f t="shared" ca="1" si="16"/>
        <v>108</v>
      </c>
      <c r="J159" s="75">
        <f t="shared" ca="1" si="17"/>
        <v>108</v>
      </c>
      <c r="M159" s="75">
        <f ca="1">IF(ABS('main page'!$K$29*M158+(1-'main page'!$K$29)*(controls!$B$9/100)*100+'main page'!$K$25*(E159-B159)-M158)&lt;0.0000001,M158,'main page'!$K$29*M158+(1-'main page'!$K$29)*(controls!$B$9/100)*100+'main page'!$K$25*(E159-B159))</f>
        <v>2</v>
      </c>
      <c r="N159" s="75">
        <f ca="1">IF(controls!$B$10=1,N158,O159-'main page'!$K$29*M159-(1-'main page'!$K$29)*controls!$B$9)</f>
        <v>4</v>
      </c>
      <c r="O159" s="74">
        <f t="shared" ca="1" si="12"/>
        <v>6</v>
      </c>
      <c r="P159" s="76">
        <f ca="1">IF(controls!$B$10=1,hystere!N159+hystere!M159,hystere!Q159)</f>
        <v>6</v>
      </c>
      <c r="Q159" s="74">
        <f ca="1">IF('main page'!$Y$53=1,'choose m.p.'!$I$22*100,R159)</f>
        <v>6</v>
      </c>
      <c r="R159" s="100">
        <f ca="1">'main page'!$K$29*M159+(1-'main page'!$K$29)*controls!$B$9+S159+(('main page'!$K$25*'main page'!$U$13*'main page'!$K$29)/('main page'!$K$27*(1+('main page'!$K$25^2)*'main page'!$U$13)))*(M159-(controls!$B$9/100)*100)</f>
        <v>6</v>
      </c>
      <c r="S159" s="98">
        <f ca="1">IF(controls!$B$33=1,(J160-E159*X160-B159)/'main page'!$K$27,(I160-E159*X160-B159)/'main page'!$K$27)</f>
        <v>4</v>
      </c>
      <c r="U159" s="71">
        <f>IF(controls!$B$6=1,$AG$4*(1+('main page'!$K$35/100))^V159-$AG$4*(1+('main page'!$K$35/100))^V158,$AG$4*(1+('main page'!$G$8/100))*(1+('main page'!$K$35/100))^V159-$AG$4*(1+('main page'!$G$8/100))*(1+('main page'!$K$35/100))^V158)</f>
        <v>0</v>
      </c>
      <c r="V159" s="73">
        <v>151</v>
      </c>
      <c r="W159" s="40">
        <f ca="1">'normal case'!V158</f>
        <v>0</v>
      </c>
      <c r="X159" s="40">
        <f ca="1">'normal case'!W158</f>
        <v>0</v>
      </c>
      <c r="Y159" s="49">
        <f ca="1">IF(controls!$B$33=1,E159-($J$4-'main page'!$K$27*2)*(1+('main page'!$K$35/100))^A158,E159-$AG$5)</f>
        <v>0</v>
      </c>
      <c r="Z159" s="49">
        <f ca="1">ABS(M159-(controls!$B$9/100)*100)</f>
        <v>0</v>
      </c>
      <c r="AI159" s="40"/>
      <c r="AJ159" s="40"/>
    </row>
    <row r="160" spans="1:36">
      <c r="A160" s="48">
        <v>157</v>
      </c>
      <c r="B160" s="75">
        <f ca="1">IF(controls!$B$6=2,AVERAGE(E156:E159)+B159*W160+hystere!$AG$9,AVERAGE(E156:E159)+B159*W160)</f>
        <v>100</v>
      </c>
      <c r="C160" s="80">
        <f t="shared" ca="1" si="13"/>
        <v>0</v>
      </c>
      <c r="D160" s="105">
        <f t="shared" ca="1" si="14"/>
        <v>0</v>
      </c>
      <c r="E160" s="77">
        <f t="shared" ca="1" si="15"/>
        <v>100</v>
      </c>
      <c r="F160" s="77">
        <f ca="1">IF('main page'!$K$34=1,hystere!H160,hystere!G160)</f>
        <v>100</v>
      </c>
      <c r="G160" s="94">
        <f ca="1">I160-'main page'!$K$27*hystere!N159</f>
        <v>100</v>
      </c>
      <c r="H160" s="75">
        <f ca="1">J160-'main page'!$K$27*N159</f>
        <v>100</v>
      </c>
      <c r="I160" s="75">
        <f t="shared" ca="1" si="16"/>
        <v>108</v>
      </c>
      <c r="J160" s="75">
        <f t="shared" ca="1" si="17"/>
        <v>108</v>
      </c>
      <c r="M160" s="75">
        <f ca="1">IF(ABS('main page'!$K$29*M159+(1-'main page'!$K$29)*(controls!$B$9/100)*100+'main page'!$K$25*(E160-B160)-M159)&lt;0.0000001,M159,'main page'!$K$29*M159+(1-'main page'!$K$29)*(controls!$B$9/100)*100+'main page'!$K$25*(E160-B160))</f>
        <v>2</v>
      </c>
      <c r="N160" s="75">
        <f ca="1">IF(controls!$B$10=1,N159,O160-'main page'!$K$29*M160-(1-'main page'!$K$29)*controls!$B$9)</f>
        <v>4</v>
      </c>
      <c r="O160" s="74">
        <f t="shared" ca="1" si="12"/>
        <v>6</v>
      </c>
      <c r="P160" s="76">
        <f ca="1">IF(controls!$B$10=1,hystere!N160+hystere!M160,hystere!Q160)</f>
        <v>6</v>
      </c>
      <c r="Q160" s="74">
        <f ca="1">IF('main page'!$Y$53=1,'choose m.p.'!$I$22*100,R160)</f>
        <v>6</v>
      </c>
      <c r="R160" s="100">
        <f ca="1">'main page'!$K$29*M160+(1-'main page'!$K$29)*controls!$B$9+S160+(('main page'!$K$25*'main page'!$U$13*'main page'!$K$29)/('main page'!$K$27*(1+('main page'!$K$25^2)*'main page'!$U$13)))*(M160-(controls!$B$9/100)*100)</f>
        <v>6</v>
      </c>
      <c r="S160" s="98">
        <f ca="1">IF(controls!$B$33=1,(J161-E160*X161-B160)/'main page'!$K$27,(I161-E160*X161-B160)/'main page'!$K$27)</f>
        <v>4</v>
      </c>
      <c r="U160" s="71">
        <f>IF(controls!$B$6=1,$AG$4*(1+('main page'!$K$35/100))^V160-$AG$4*(1+('main page'!$K$35/100))^V159,$AG$4*(1+('main page'!$G$8/100))*(1+('main page'!$K$35/100))^V160-$AG$4*(1+('main page'!$G$8/100))*(1+('main page'!$K$35/100))^V159)</f>
        <v>0</v>
      </c>
      <c r="V160" s="73">
        <v>152</v>
      </c>
      <c r="W160" s="40">
        <f>'normal case'!V159</f>
        <v>0</v>
      </c>
      <c r="X160" s="40">
        <f>'normal case'!W159</f>
        <v>0</v>
      </c>
      <c r="Y160" s="49">
        <f ca="1">IF(controls!$B$33=1,E160-($J$4-'main page'!$K$27*2)*(1+('main page'!$K$35/100))^A159,E160-$AG$5)</f>
        <v>0</v>
      </c>
      <c r="Z160" s="49">
        <f ca="1">ABS(M160-(controls!$B$9/100)*100)</f>
        <v>0</v>
      </c>
      <c r="AI160" s="40"/>
      <c r="AJ160" s="40"/>
    </row>
    <row r="161" spans="1:36">
      <c r="A161" s="48">
        <v>158</v>
      </c>
      <c r="B161" s="75">
        <f ca="1">IF(controls!$B$6=2,AVERAGE(E157:E160)+B160*W161+hystere!$AG$9,AVERAGE(E157:E160)+B160*W161)</f>
        <v>100</v>
      </c>
      <c r="C161" s="80">
        <f t="shared" ca="1" si="13"/>
        <v>0</v>
      </c>
      <c r="D161" s="105">
        <f t="shared" ca="1" si="14"/>
        <v>0</v>
      </c>
      <c r="E161" s="77">
        <f t="shared" ca="1" si="15"/>
        <v>100</v>
      </c>
      <c r="F161" s="77">
        <f ca="1">IF('main page'!$K$34=1,hystere!H161,hystere!G161)</f>
        <v>100</v>
      </c>
      <c r="G161" s="94">
        <f ca="1">I161-'main page'!$K$27*hystere!N160</f>
        <v>100</v>
      </c>
      <c r="H161" s="75">
        <f ca="1">J161-'main page'!$K$27*N160</f>
        <v>100</v>
      </c>
      <c r="I161" s="75">
        <f t="shared" ca="1" si="16"/>
        <v>108</v>
      </c>
      <c r="J161" s="75">
        <f t="shared" ca="1" si="17"/>
        <v>108</v>
      </c>
      <c r="M161" s="75">
        <f ca="1">IF(ABS('main page'!$K$29*M160+(1-'main page'!$K$29)*(controls!$B$9/100)*100+'main page'!$K$25*(E161-B161)-M160)&lt;0.0000001,M160,'main page'!$K$29*M160+(1-'main page'!$K$29)*(controls!$B$9/100)*100+'main page'!$K$25*(E161-B161))</f>
        <v>2</v>
      </c>
      <c r="N161" s="75">
        <f ca="1">IF(controls!$B$10=1,N160,O161-'main page'!$K$29*M161-(1-'main page'!$K$29)*controls!$B$9)</f>
        <v>4</v>
      </c>
      <c r="O161" s="74">
        <f t="shared" ca="1" si="12"/>
        <v>6</v>
      </c>
      <c r="P161" s="76">
        <f ca="1">IF(controls!$B$10=1,hystere!N161+hystere!M161,hystere!Q161)</f>
        <v>6</v>
      </c>
      <c r="Q161" s="74">
        <f ca="1">IF('main page'!$Y$53=1,'choose m.p.'!$I$22*100,R161)</f>
        <v>6</v>
      </c>
      <c r="R161" s="100">
        <f ca="1">'main page'!$K$29*M161+(1-'main page'!$K$29)*controls!$B$9+S161+(('main page'!$K$25*'main page'!$U$13*'main page'!$K$29)/('main page'!$K$27*(1+('main page'!$K$25^2)*'main page'!$U$13)))*(M161-(controls!$B$9/100)*100)</f>
        <v>6</v>
      </c>
      <c r="S161" s="98">
        <f ca="1">IF(controls!$B$33=1,(J162-E161*X162-B161)/'main page'!$K$27,(I162-E161*X162-B161)/'main page'!$K$27)</f>
        <v>4</v>
      </c>
      <c r="U161" s="71">
        <f>IF(controls!$B$6=1,$AG$4*(1+('main page'!$K$35/100))^V161-$AG$4*(1+('main page'!$K$35/100))^V160,$AG$4*(1+('main page'!$G$8/100))*(1+('main page'!$K$35/100))^V161-$AG$4*(1+('main page'!$G$8/100))*(1+('main page'!$K$35/100))^V160)</f>
        <v>0</v>
      </c>
      <c r="V161" s="73">
        <v>153</v>
      </c>
      <c r="W161" s="40">
        <f>'normal case'!V160</f>
        <v>0</v>
      </c>
      <c r="X161" s="40">
        <f>'normal case'!W160</f>
        <v>0</v>
      </c>
      <c r="Y161" s="49">
        <f ca="1">IF(controls!$B$33=1,E161-($J$4-'main page'!$K$27*2)*(1+('main page'!$K$35/100))^A160,E161-$AG$5)</f>
        <v>0</v>
      </c>
      <c r="Z161" s="49">
        <f ca="1">ABS(M161-(controls!$B$9/100)*100)</f>
        <v>0</v>
      </c>
      <c r="AI161" s="40"/>
      <c r="AJ161" s="40"/>
    </row>
    <row r="162" spans="1:36">
      <c r="A162" s="48">
        <v>159</v>
      </c>
      <c r="B162" s="75">
        <f ca="1">IF(controls!$B$6=2,AVERAGE(E158:E161)+B161*W162+hystere!$AG$9,AVERAGE(E158:E161)+B161*W162)</f>
        <v>100</v>
      </c>
      <c r="C162" s="80">
        <f t="shared" ca="1" si="13"/>
        <v>0</v>
      </c>
      <c r="D162" s="105">
        <f t="shared" ca="1" si="14"/>
        <v>0</v>
      </c>
      <c r="E162" s="77">
        <f t="shared" ca="1" si="15"/>
        <v>100</v>
      </c>
      <c r="F162" s="77">
        <f ca="1">IF('main page'!$K$34=1,hystere!H162,hystere!G162)</f>
        <v>100</v>
      </c>
      <c r="G162" s="94">
        <f ca="1">I162-'main page'!$K$27*hystere!N161</f>
        <v>100</v>
      </c>
      <c r="H162" s="75">
        <f ca="1">J162-'main page'!$K$27*N161</f>
        <v>100</v>
      </c>
      <c r="I162" s="75">
        <f t="shared" ca="1" si="16"/>
        <v>108</v>
      </c>
      <c r="J162" s="75">
        <f t="shared" ca="1" si="17"/>
        <v>108</v>
      </c>
      <c r="M162" s="75">
        <f ca="1">IF(ABS('main page'!$K$29*M161+(1-'main page'!$K$29)*(controls!$B$9/100)*100+'main page'!$K$25*(E162-B162)-M161)&lt;0.0000001,M161,'main page'!$K$29*M161+(1-'main page'!$K$29)*(controls!$B$9/100)*100+'main page'!$K$25*(E162-B162))</f>
        <v>2</v>
      </c>
      <c r="N162" s="75">
        <f ca="1">IF(controls!$B$10=1,N161,O162-'main page'!$K$29*M162-(1-'main page'!$K$29)*controls!$B$9)</f>
        <v>4</v>
      </c>
      <c r="O162" s="74">
        <f t="shared" ca="1" si="12"/>
        <v>6</v>
      </c>
      <c r="P162" s="76">
        <f ca="1">IF(controls!$B$10=1,hystere!N162+hystere!M162,hystere!Q162)</f>
        <v>6</v>
      </c>
      <c r="Q162" s="74">
        <f ca="1">IF('main page'!$Y$53=1,'choose m.p.'!$I$22*100,R162)</f>
        <v>6</v>
      </c>
      <c r="R162" s="100">
        <f ca="1">'main page'!$K$29*M162+(1-'main page'!$K$29)*controls!$B$9+S162+(('main page'!$K$25*'main page'!$U$13*'main page'!$K$29)/('main page'!$K$27*(1+('main page'!$K$25^2)*'main page'!$U$13)))*(M162-(controls!$B$9/100)*100)</f>
        <v>6</v>
      </c>
      <c r="S162" s="98">
        <f ca="1">IF(controls!$B$33=1,(J163-E162*X163-B162)/'main page'!$K$27,(I163-E162*X163-B162)/'main page'!$K$27)</f>
        <v>4</v>
      </c>
      <c r="U162" s="71">
        <f>IF(controls!$B$6=1,$AG$4*(1+('main page'!$K$35/100))^V162-$AG$4*(1+('main page'!$K$35/100))^V161,$AG$4*(1+('main page'!$G$8/100))*(1+('main page'!$K$35/100))^V162-$AG$4*(1+('main page'!$G$8/100))*(1+('main page'!$K$35/100))^V161)</f>
        <v>0</v>
      </c>
      <c r="V162" s="73">
        <v>154</v>
      </c>
      <c r="W162" s="40">
        <f ca="1">'normal case'!V161</f>
        <v>0</v>
      </c>
      <c r="X162" s="40">
        <f ca="1">'normal case'!W161</f>
        <v>0</v>
      </c>
      <c r="Y162" s="49">
        <f ca="1">IF(controls!$B$33=1,E162-($J$4-'main page'!$K$27*2)*(1+('main page'!$K$35/100))^A161,E162-$AG$5)</f>
        <v>0</v>
      </c>
      <c r="Z162" s="49">
        <f ca="1">ABS(M162-(controls!$B$9/100)*100)</f>
        <v>0</v>
      </c>
      <c r="AI162" s="40"/>
      <c r="AJ162" s="40"/>
    </row>
    <row r="163" spans="1:36">
      <c r="A163" s="48">
        <v>160</v>
      </c>
      <c r="B163" s="75">
        <f ca="1">IF(controls!$B$6=2,AVERAGE(E159:E162)+B162*W163+hystere!$AG$9,AVERAGE(E159:E162)+B162*W163)</f>
        <v>100</v>
      </c>
      <c r="C163" s="80">
        <f t="shared" ca="1" si="13"/>
        <v>0</v>
      </c>
      <c r="D163" s="105">
        <f t="shared" ca="1" si="14"/>
        <v>0</v>
      </c>
      <c r="E163" s="77">
        <f t="shared" ca="1" si="15"/>
        <v>100</v>
      </c>
      <c r="F163" s="77">
        <f ca="1">IF('main page'!$K$34=1,hystere!H163,hystere!G163)</f>
        <v>100</v>
      </c>
      <c r="G163" s="94">
        <f ca="1">I163-'main page'!$K$27*hystere!N162</f>
        <v>100</v>
      </c>
      <c r="H163" s="75">
        <f ca="1">J163-'main page'!$K$27*N162</f>
        <v>100</v>
      </c>
      <c r="I163" s="75">
        <f t="shared" ca="1" si="16"/>
        <v>108</v>
      </c>
      <c r="J163" s="75">
        <f t="shared" ca="1" si="17"/>
        <v>108</v>
      </c>
      <c r="M163" s="75">
        <f ca="1">IF(ABS('main page'!$K$29*M162+(1-'main page'!$K$29)*(controls!$B$9/100)*100+'main page'!$K$25*(E163-B163)-M162)&lt;0.0000001,M162,'main page'!$K$29*M162+(1-'main page'!$K$29)*(controls!$B$9/100)*100+'main page'!$K$25*(E163-B163))</f>
        <v>2</v>
      </c>
      <c r="N163" s="75">
        <f ca="1">IF(controls!$B$10=1,N162,O163-'main page'!$K$29*M163-(1-'main page'!$K$29)*controls!$B$9)</f>
        <v>4</v>
      </c>
      <c r="O163" s="74">
        <f t="shared" ca="1" si="12"/>
        <v>6</v>
      </c>
      <c r="P163" s="76">
        <f ca="1">IF(controls!$B$10=1,hystere!N163+hystere!M163,hystere!Q163)</f>
        <v>6</v>
      </c>
      <c r="Q163" s="74">
        <f ca="1">IF('main page'!$Y$53=1,'choose m.p.'!$I$22*100,R163)</f>
        <v>6</v>
      </c>
      <c r="R163" s="100">
        <f ca="1">'main page'!$K$29*M163+(1-'main page'!$K$29)*controls!$B$9+S163+(('main page'!$K$25*'main page'!$U$13*'main page'!$K$29)/('main page'!$K$27*(1+('main page'!$K$25^2)*'main page'!$U$13)))*(M163-(controls!$B$9/100)*100)</f>
        <v>6</v>
      </c>
      <c r="S163" s="98">
        <f ca="1">IF(controls!$B$33=1,(J164-E163*X164-B163)/'main page'!$K$27,(I164-E163*X164-B163)/'main page'!$K$27)</f>
        <v>4</v>
      </c>
      <c r="U163" s="71">
        <f>IF(controls!$B$6=1,$AG$4*(1+('main page'!$K$35/100))^V163-$AG$4*(1+('main page'!$K$35/100))^V162,$AG$4*(1+('main page'!$G$8/100))*(1+('main page'!$K$35/100))^V163-$AG$4*(1+('main page'!$G$8/100))*(1+('main page'!$K$35/100))^V162)</f>
        <v>0</v>
      </c>
      <c r="V163" s="73">
        <v>155</v>
      </c>
      <c r="W163" s="40">
        <f>'normal case'!V162</f>
        <v>0</v>
      </c>
      <c r="X163" s="40">
        <f>'normal case'!W162</f>
        <v>0</v>
      </c>
      <c r="Y163" s="49">
        <f ca="1">IF(controls!$B$33=1,E163-($J$4-'main page'!$K$27*2)*(1+('main page'!$K$35/100))^A162,E163-$AG$5)</f>
        <v>0</v>
      </c>
      <c r="Z163" s="49">
        <f ca="1">ABS(M163-(controls!$B$9/100)*100)</f>
        <v>0</v>
      </c>
      <c r="AI163" s="40"/>
      <c r="AJ163" s="40"/>
    </row>
    <row r="164" spans="1:36">
      <c r="A164" s="48">
        <v>161</v>
      </c>
      <c r="B164" s="75">
        <f ca="1">IF(controls!$B$6=2,AVERAGE(E160:E163)+B163*W164+hystere!$AG$9,AVERAGE(E160:E163)+B163*W164)</f>
        <v>100</v>
      </c>
      <c r="C164" s="80">
        <f t="shared" ca="1" si="13"/>
        <v>0</v>
      </c>
      <c r="D164" s="105">
        <f t="shared" ca="1" si="14"/>
        <v>0</v>
      </c>
      <c r="E164" s="77">
        <f t="shared" ca="1" si="15"/>
        <v>100</v>
      </c>
      <c r="F164" s="77">
        <f ca="1">IF('main page'!$K$34=1,hystere!H164,hystere!G164)</f>
        <v>100</v>
      </c>
      <c r="G164" s="94">
        <f ca="1">I164-'main page'!$K$27*hystere!N163</f>
        <v>100</v>
      </c>
      <c r="H164" s="75">
        <f ca="1">J164-'main page'!$K$27*N163</f>
        <v>100</v>
      </c>
      <c r="I164" s="75">
        <f t="shared" ca="1" si="16"/>
        <v>108</v>
      </c>
      <c r="J164" s="75">
        <f t="shared" ca="1" si="17"/>
        <v>108</v>
      </c>
      <c r="M164" s="75">
        <f ca="1">IF(ABS('main page'!$K$29*M163+(1-'main page'!$K$29)*(controls!$B$9/100)*100+'main page'!$K$25*(E164-B164)-M163)&lt;0.0000001,M163,'main page'!$K$29*M163+(1-'main page'!$K$29)*(controls!$B$9/100)*100+'main page'!$K$25*(E164-B164))</f>
        <v>2</v>
      </c>
      <c r="N164" s="75">
        <f ca="1">IF(controls!$B$10=1,N163,O164-'main page'!$K$29*M164-(1-'main page'!$K$29)*controls!$B$9)</f>
        <v>4</v>
      </c>
      <c r="O164" s="74">
        <f t="shared" ca="1" si="12"/>
        <v>6</v>
      </c>
      <c r="P164" s="76">
        <f ca="1">IF(controls!$B$10=1,hystere!N164+hystere!M164,hystere!Q164)</f>
        <v>6</v>
      </c>
      <c r="Q164" s="74">
        <f ca="1">IF('main page'!$Y$53=1,'choose m.p.'!$I$22*100,R164)</f>
        <v>6</v>
      </c>
      <c r="R164" s="100">
        <f ca="1">'main page'!$K$29*M164+(1-'main page'!$K$29)*controls!$B$9+S164+(('main page'!$K$25*'main page'!$U$13*'main page'!$K$29)/('main page'!$K$27*(1+('main page'!$K$25^2)*'main page'!$U$13)))*(M164-(controls!$B$9/100)*100)</f>
        <v>6</v>
      </c>
      <c r="S164" s="98">
        <f ca="1">IF(controls!$B$33=1,(J165-E164*X165-B164)/'main page'!$K$27,(I165-E164*X165-B164)/'main page'!$K$27)</f>
        <v>4</v>
      </c>
      <c r="U164" s="71">
        <f>IF(controls!$B$6=1,$AG$4*(1+('main page'!$K$35/100))^V164-$AG$4*(1+('main page'!$K$35/100))^V163,$AG$4*(1+('main page'!$G$8/100))*(1+('main page'!$K$35/100))^V164-$AG$4*(1+('main page'!$G$8/100))*(1+('main page'!$K$35/100))^V163)</f>
        <v>0</v>
      </c>
      <c r="V164" s="73">
        <v>156</v>
      </c>
      <c r="W164" s="40">
        <f>'normal case'!V163</f>
        <v>0</v>
      </c>
      <c r="X164" s="40">
        <f>'normal case'!W163</f>
        <v>0</v>
      </c>
      <c r="Y164" s="49">
        <f ca="1">IF(controls!$B$33=1,E164-($J$4-'main page'!$K$27*2)*(1+('main page'!$K$35/100))^A163,E164-$AG$5)</f>
        <v>0</v>
      </c>
      <c r="Z164" s="49">
        <f ca="1">ABS(M164-(controls!$B$9/100)*100)</f>
        <v>0</v>
      </c>
      <c r="AI164" s="40"/>
      <c r="AJ164" s="40"/>
    </row>
    <row r="165" spans="1:36">
      <c r="A165" s="48">
        <v>162</v>
      </c>
      <c r="B165" s="75">
        <f ca="1">IF(controls!$B$6=2,AVERAGE(E161:E164)+B164*W165+hystere!$AG$9,AVERAGE(E161:E164)+B164*W165)</f>
        <v>100</v>
      </c>
      <c r="C165" s="80">
        <f t="shared" ca="1" si="13"/>
        <v>0</v>
      </c>
      <c r="D165" s="105">
        <f t="shared" ca="1" si="14"/>
        <v>0</v>
      </c>
      <c r="E165" s="77">
        <f t="shared" ca="1" si="15"/>
        <v>100</v>
      </c>
      <c r="F165" s="77">
        <f ca="1">IF('main page'!$K$34=1,hystere!H165,hystere!G165)</f>
        <v>100</v>
      </c>
      <c r="G165" s="94">
        <f ca="1">I165-'main page'!$K$27*hystere!N164</f>
        <v>100</v>
      </c>
      <c r="H165" s="75">
        <f ca="1">J165-'main page'!$K$27*N164</f>
        <v>100</v>
      </c>
      <c r="I165" s="75">
        <f t="shared" ca="1" si="16"/>
        <v>108</v>
      </c>
      <c r="J165" s="75">
        <f t="shared" ca="1" si="17"/>
        <v>108</v>
      </c>
      <c r="M165" s="75">
        <f ca="1">IF(ABS('main page'!$K$29*M164+(1-'main page'!$K$29)*(controls!$B$9/100)*100+'main page'!$K$25*(E165-B165)-M164)&lt;0.0000001,M164,'main page'!$K$29*M164+(1-'main page'!$K$29)*(controls!$B$9/100)*100+'main page'!$K$25*(E165-B165))</f>
        <v>2</v>
      </c>
      <c r="N165" s="75">
        <f ca="1">IF(controls!$B$10=1,N164,O165-'main page'!$K$29*M165-(1-'main page'!$K$29)*controls!$B$9)</f>
        <v>4</v>
      </c>
      <c r="O165" s="74">
        <f t="shared" ca="1" si="12"/>
        <v>6</v>
      </c>
      <c r="P165" s="76">
        <f ca="1">IF(controls!$B$10=1,hystere!N165+hystere!M165,hystere!Q165)</f>
        <v>6</v>
      </c>
      <c r="Q165" s="74">
        <f ca="1">IF('main page'!$Y$53=1,'choose m.p.'!$I$22*100,R165)</f>
        <v>6</v>
      </c>
      <c r="R165" s="100">
        <f ca="1">'main page'!$K$29*M165+(1-'main page'!$K$29)*controls!$B$9+S165+(('main page'!$K$25*'main page'!$U$13*'main page'!$K$29)/('main page'!$K$27*(1+('main page'!$K$25^2)*'main page'!$U$13)))*(M165-(controls!$B$9/100)*100)</f>
        <v>6</v>
      </c>
      <c r="S165" s="98">
        <f ca="1">IF(controls!$B$33=1,(J166-E165*X166-B165)/'main page'!$K$27,(I166-E165*X166-B165)/'main page'!$K$27)</f>
        <v>4</v>
      </c>
      <c r="U165" s="71">
        <f>IF(controls!$B$6=1,$AG$4*(1+('main page'!$K$35/100))^V165-$AG$4*(1+('main page'!$K$35/100))^V164,$AG$4*(1+('main page'!$G$8/100))*(1+('main page'!$K$35/100))^V165-$AG$4*(1+('main page'!$G$8/100))*(1+('main page'!$K$35/100))^V164)</f>
        <v>0</v>
      </c>
      <c r="V165" s="73">
        <v>157</v>
      </c>
      <c r="W165" s="40">
        <f ca="1">'normal case'!V164</f>
        <v>0</v>
      </c>
      <c r="X165" s="40">
        <f ca="1">'normal case'!W164</f>
        <v>0</v>
      </c>
      <c r="Y165" s="49">
        <f ca="1">IF(controls!$B$33=1,E165-($J$4-'main page'!$K$27*2)*(1+('main page'!$K$35/100))^A164,E165-$AG$5)</f>
        <v>0</v>
      </c>
      <c r="Z165" s="49">
        <f ca="1">ABS(M165-(controls!$B$9/100)*100)</f>
        <v>0</v>
      </c>
      <c r="AI165" s="40"/>
      <c r="AJ165" s="40"/>
    </row>
    <row r="166" spans="1:36">
      <c r="A166" s="48">
        <v>163</v>
      </c>
      <c r="B166" s="75">
        <f ca="1">IF(controls!$B$6=2,AVERAGE(E162:E165)+B165*W166+hystere!$AG$9,AVERAGE(E162:E165)+B165*W166)</f>
        <v>100</v>
      </c>
      <c r="C166" s="80">
        <f t="shared" ca="1" si="13"/>
        <v>0</v>
      </c>
      <c r="D166" s="105">
        <f t="shared" ca="1" si="14"/>
        <v>0</v>
      </c>
      <c r="E166" s="77">
        <f t="shared" ca="1" si="15"/>
        <v>100</v>
      </c>
      <c r="F166" s="77">
        <f ca="1">IF('main page'!$K$34=1,hystere!H166,hystere!G166)</f>
        <v>100</v>
      </c>
      <c r="G166" s="94">
        <f ca="1">I166-'main page'!$K$27*hystere!N165</f>
        <v>100</v>
      </c>
      <c r="H166" s="75">
        <f ca="1">J166-'main page'!$K$27*N165</f>
        <v>100</v>
      </c>
      <c r="I166" s="75">
        <f t="shared" ca="1" si="16"/>
        <v>108</v>
      </c>
      <c r="J166" s="75">
        <f t="shared" ca="1" si="17"/>
        <v>108</v>
      </c>
      <c r="M166" s="75">
        <f ca="1">IF(ABS('main page'!$K$29*M165+(1-'main page'!$K$29)*(controls!$B$9/100)*100+'main page'!$K$25*(E166-B166)-M165)&lt;0.0000001,M165,'main page'!$K$29*M165+(1-'main page'!$K$29)*(controls!$B$9/100)*100+'main page'!$K$25*(E166-B166))</f>
        <v>2</v>
      </c>
      <c r="N166" s="75">
        <f ca="1">IF(controls!$B$10=1,N165,O166-'main page'!$K$29*M166-(1-'main page'!$K$29)*controls!$B$9)</f>
        <v>4</v>
      </c>
      <c r="O166" s="74">
        <f t="shared" ca="1" si="12"/>
        <v>6</v>
      </c>
      <c r="P166" s="76">
        <f ca="1">IF(controls!$B$10=1,hystere!N166+hystere!M166,hystere!Q166)</f>
        <v>6</v>
      </c>
      <c r="Q166" s="74">
        <f ca="1">IF('main page'!$Y$53=1,'choose m.p.'!$I$22*100,R166)</f>
        <v>6</v>
      </c>
      <c r="R166" s="100">
        <f ca="1">'main page'!$K$29*M166+(1-'main page'!$K$29)*controls!$B$9+S166+(('main page'!$K$25*'main page'!$U$13*'main page'!$K$29)/('main page'!$K$27*(1+('main page'!$K$25^2)*'main page'!$U$13)))*(M166-(controls!$B$9/100)*100)</f>
        <v>6</v>
      </c>
      <c r="S166" s="98">
        <f ca="1">IF(controls!$B$33=1,(J167-E166*X167-B166)/'main page'!$K$27,(I167-E166*X167-B166)/'main page'!$K$27)</f>
        <v>4</v>
      </c>
      <c r="U166" s="71">
        <f>IF(controls!$B$6=1,$AG$4*(1+('main page'!$K$35/100))^V166-$AG$4*(1+('main page'!$K$35/100))^V165,$AG$4*(1+('main page'!$G$8/100))*(1+('main page'!$K$35/100))^V166-$AG$4*(1+('main page'!$G$8/100))*(1+('main page'!$K$35/100))^V165)</f>
        <v>0</v>
      </c>
      <c r="V166" s="73">
        <v>158</v>
      </c>
      <c r="W166" s="40">
        <f>'normal case'!V165</f>
        <v>0</v>
      </c>
      <c r="X166" s="40">
        <f>'normal case'!W165</f>
        <v>0</v>
      </c>
      <c r="Y166" s="49">
        <f ca="1">IF(controls!$B$33=1,E166-($J$4-'main page'!$K$27*2)*(1+('main page'!$K$35/100))^A165,E166-$AG$5)</f>
        <v>0</v>
      </c>
      <c r="Z166" s="49">
        <f ca="1">ABS(M166-(controls!$B$9/100)*100)</f>
        <v>0</v>
      </c>
      <c r="AI166" s="40"/>
      <c r="AJ166" s="40"/>
    </row>
    <row r="167" spans="1:36">
      <c r="A167" s="48">
        <v>164</v>
      </c>
      <c r="B167" s="75">
        <f ca="1">IF(controls!$B$6=2,AVERAGE(E163:E166)+B166*W167+hystere!$AG$9,AVERAGE(E163:E166)+B166*W167)</f>
        <v>100</v>
      </c>
      <c r="C167" s="80">
        <f t="shared" ca="1" si="13"/>
        <v>0</v>
      </c>
      <c r="D167" s="105">
        <f t="shared" ca="1" si="14"/>
        <v>0</v>
      </c>
      <c r="E167" s="77">
        <f t="shared" ca="1" si="15"/>
        <v>100</v>
      </c>
      <c r="F167" s="77">
        <f ca="1">IF('main page'!$K$34=1,hystere!H167,hystere!G167)</f>
        <v>100</v>
      </c>
      <c r="G167" s="94">
        <f ca="1">I167-'main page'!$K$27*hystere!N166</f>
        <v>100</v>
      </c>
      <c r="H167" s="75">
        <f ca="1">J167-'main page'!$K$27*N166</f>
        <v>100</v>
      </c>
      <c r="I167" s="75">
        <f t="shared" ca="1" si="16"/>
        <v>108</v>
      </c>
      <c r="J167" s="75">
        <f t="shared" ca="1" si="17"/>
        <v>108</v>
      </c>
      <c r="M167" s="75">
        <f ca="1">IF(ABS('main page'!$K$29*M166+(1-'main page'!$K$29)*(controls!$B$9/100)*100+'main page'!$K$25*(E167-B167)-M166)&lt;0.0000001,M166,'main page'!$K$29*M166+(1-'main page'!$K$29)*(controls!$B$9/100)*100+'main page'!$K$25*(E167-B167))</f>
        <v>2</v>
      </c>
      <c r="N167" s="75">
        <f ca="1">IF(controls!$B$10=1,N166,O167-'main page'!$K$29*M167-(1-'main page'!$K$29)*controls!$B$9)</f>
        <v>4</v>
      </c>
      <c r="O167" s="74">
        <f t="shared" ca="1" si="12"/>
        <v>6</v>
      </c>
      <c r="P167" s="76">
        <f ca="1">IF(controls!$B$10=1,hystere!N167+hystere!M167,hystere!Q167)</f>
        <v>6</v>
      </c>
      <c r="Q167" s="74">
        <f ca="1">IF('main page'!$Y$53=1,'choose m.p.'!$I$22*100,R167)</f>
        <v>6</v>
      </c>
      <c r="R167" s="100">
        <f ca="1">'main page'!$K$29*M167+(1-'main page'!$K$29)*controls!$B$9+S167+(('main page'!$K$25*'main page'!$U$13*'main page'!$K$29)/('main page'!$K$27*(1+('main page'!$K$25^2)*'main page'!$U$13)))*(M167-(controls!$B$9/100)*100)</f>
        <v>6</v>
      </c>
      <c r="S167" s="98">
        <f ca="1">IF(controls!$B$33=1,(J168-E167*X168-B167)/'main page'!$K$27,(I168-E167*X168-B167)/'main page'!$K$27)</f>
        <v>4</v>
      </c>
      <c r="U167" s="71">
        <f>IF(controls!$B$6=1,$AG$4*(1+('main page'!$K$35/100))^V167-$AG$4*(1+('main page'!$K$35/100))^V166,$AG$4*(1+('main page'!$G$8/100))*(1+('main page'!$K$35/100))^V167-$AG$4*(1+('main page'!$G$8/100))*(1+('main page'!$K$35/100))^V166)</f>
        <v>0</v>
      </c>
      <c r="V167" s="73">
        <v>159</v>
      </c>
      <c r="W167" s="40">
        <f>'normal case'!V166</f>
        <v>0</v>
      </c>
      <c r="X167" s="40">
        <f>'normal case'!W166</f>
        <v>0</v>
      </c>
      <c r="Y167" s="49">
        <f ca="1">IF(controls!$B$33=1,E167-($J$4-'main page'!$K$27*2)*(1+('main page'!$K$35/100))^A166,E167-$AG$5)</f>
        <v>0</v>
      </c>
      <c r="Z167" s="49">
        <f ca="1">ABS(M167-(controls!$B$9/100)*100)</f>
        <v>0</v>
      </c>
      <c r="AI167" s="40"/>
      <c r="AJ167" s="40"/>
    </row>
    <row r="168" spans="1:36">
      <c r="A168" s="48">
        <v>165</v>
      </c>
      <c r="B168" s="75">
        <f ca="1">IF(controls!$B$6=2,AVERAGE(E164:E167)+B167*W168+hystere!$AG$9,AVERAGE(E164:E167)+B167*W168)</f>
        <v>100</v>
      </c>
      <c r="C168" s="80">
        <f t="shared" ca="1" si="13"/>
        <v>0</v>
      </c>
      <c r="D168" s="105">
        <f t="shared" ca="1" si="14"/>
        <v>0</v>
      </c>
      <c r="E168" s="77">
        <f t="shared" ca="1" si="15"/>
        <v>100</v>
      </c>
      <c r="F168" s="77">
        <f ca="1">IF('main page'!$K$34=1,hystere!H168,hystere!G168)</f>
        <v>100</v>
      </c>
      <c r="G168" s="94">
        <f ca="1">I168-'main page'!$K$27*hystere!N167</f>
        <v>100</v>
      </c>
      <c r="H168" s="75">
        <f ca="1">J168-'main page'!$K$27*N167</f>
        <v>100</v>
      </c>
      <c r="I168" s="75">
        <f t="shared" ca="1" si="16"/>
        <v>108</v>
      </c>
      <c r="J168" s="75">
        <f t="shared" ca="1" si="17"/>
        <v>108</v>
      </c>
      <c r="M168" s="75">
        <f ca="1">IF(ABS('main page'!$K$29*M167+(1-'main page'!$K$29)*(controls!$B$9/100)*100+'main page'!$K$25*(E168-B168)-M167)&lt;0.0000001,M167,'main page'!$K$29*M167+(1-'main page'!$K$29)*(controls!$B$9/100)*100+'main page'!$K$25*(E168-B168))</f>
        <v>2</v>
      </c>
      <c r="N168" s="75">
        <f ca="1">IF(controls!$B$10=1,N167,O168-'main page'!$K$29*M168-(1-'main page'!$K$29)*controls!$B$9)</f>
        <v>4</v>
      </c>
      <c r="O168" s="74">
        <f t="shared" ca="1" si="12"/>
        <v>6</v>
      </c>
      <c r="P168" s="76">
        <f ca="1">IF(controls!$B$10=1,hystere!N168+hystere!M168,hystere!Q168)</f>
        <v>6</v>
      </c>
      <c r="Q168" s="74">
        <f ca="1">IF('main page'!$Y$53=1,'choose m.p.'!$I$22*100,R168)</f>
        <v>6</v>
      </c>
      <c r="R168" s="100">
        <f ca="1">'main page'!$K$29*M168+(1-'main page'!$K$29)*controls!$B$9+S168+(('main page'!$K$25*'main page'!$U$13*'main page'!$K$29)/('main page'!$K$27*(1+('main page'!$K$25^2)*'main page'!$U$13)))*(M168-(controls!$B$9/100)*100)</f>
        <v>6</v>
      </c>
      <c r="S168" s="98">
        <f ca="1">IF(controls!$B$33=1,(J169-E168*X169-B168)/'main page'!$K$27,(I169-E168*X169-B168)/'main page'!$K$27)</f>
        <v>4</v>
      </c>
      <c r="U168" s="71">
        <f>IF(controls!$B$6=1,$AG$4*(1+('main page'!$K$35/100))^V168-$AG$4*(1+('main page'!$K$35/100))^V167,$AG$4*(1+('main page'!$G$8/100))*(1+('main page'!$K$35/100))^V168-$AG$4*(1+('main page'!$G$8/100))*(1+('main page'!$K$35/100))^V167)</f>
        <v>0</v>
      </c>
      <c r="V168" s="73">
        <v>160</v>
      </c>
      <c r="W168" s="40">
        <f ca="1">'normal case'!V167</f>
        <v>0</v>
      </c>
      <c r="X168" s="40">
        <f ca="1">'normal case'!W167</f>
        <v>0</v>
      </c>
      <c r="Y168" s="49">
        <f ca="1">IF(controls!$B$33=1,E168-($J$4-'main page'!$K$27*2)*(1+('main page'!$K$35/100))^A167,E168-$AG$5)</f>
        <v>0</v>
      </c>
      <c r="Z168" s="49">
        <f ca="1">ABS(M168-(controls!$B$9/100)*100)</f>
        <v>0</v>
      </c>
      <c r="AI168" s="40"/>
      <c r="AJ168" s="40"/>
    </row>
    <row r="169" spans="1:36">
      <c r="A169" s="48">
        <v>166</v>
      </c>
      <c r="B169" s="75">
        <f ca="1">IF(controls!$B$6=2,AVERAGE(E165:E168)+B168*W169+hystere!$AG$9,AVERAGE(E165:E168)+B168*W169)</f>
        <v>100</v>
      </c>
      <c r="C169" s="80">
        <f t="shared" ca="1" si="13"/>
        <v>0</v>
      </c>
      <c r="D169" s="105">
        <f t="shared" ca="1" si="14"/>
        <v>0</v>
      </c>
      <c r="E169" s="77">
        <f t="shared" ca="1" si="15"/>
        <v>100</v>
      </c>
      <c r="F169" s="77">
        <f ca="1">IF('main page'!$K$34=1,hystere!H169,hystere!G169)</f>
        <v>100</v>
      </c>
      <c r="G169" s="94">
        <f ca="1">I169-'main page'!$K$27*hystere!N168</f>
        <v>100</v>
      </c>
      <c r="H169" s="75">
        <f ca="1">J169-'main page'!$K$27*N168</f>
        <v>100</v>
      </c>
      <c r="I169" s="75">
        <f t="shared" ca="1" si="16"/>
        <v>108</v>
      </c>
      <c r="J169" s="75">
        <f t="shared" ca="1" si="17"/>
        <v>108</v>
      </c>
      <c r="M169" s="75">
        <f ca="1">IF(ABS('main page'!$K$29*M168+(1-'main page'!$K$29)*(controls!$B$9/100)*100+'main page'!$K$25*(E169-B169)-M168)&lt;0.0000001,M168,'main page'!$K$29*M168+(1-'main page'!$K$29)*(controls!$B$9/100)*100+'main page'!$K$25*(E169-B169))</f>
        <v>2</v>
      </c>
      <c r="N169" s="75">
        <f ca="1">IF(controls!$B$10=1,N168,O169-'main page'!$K$29*M169-(1-'main page'!$K$29)*controls!$B$9)</f>
        <v>4</v>
      </c>
      <c r="O169" s="74">
        <f t="shared" ca="1" si="12"/>
        <v>6</v>
      </c>
      <c r="P169" s="76">
        <f ca="1">IF(controls!$B$10=1,hystere!N169+hystere!M169,hystere!Q169)</f>
        <v>6</v>
      </c>
      <c r="Q169" s="74">
        <f ca="1">IF('main page'!$Y$53=1,'choose m.p.'!$I$22*100,R169)</f>
        <v>6</v>
      </c>
      <c r="R169" s="100">
        <f ca="1">'main page'!$K$29*M169+(1-'main page'!$K$29)*controls!$B$9+S169+(('main page'!$K$25*'main page'!$U$13*'main page'!$K$29)/('main page'!$K$27*(1+('main page'!$K$25^2)*'main page'!$U$13)))*(M169-(controls!$B$9/100)*100)</f>
        <v>6</v>
      </c>
      <c r="S169" s="98">
        <f ca="1">IF(controls!$B$33=1,(J170-E169*X170-B169)/'main page'!$K$27,(I170-E169*X170-B169)/'main page'!$K$27)</f>
        <v>4</v>
      </c>
      <c r="U169" s="71">
        <f>IF(controls!$B$6=1,$AG$4*(1+('main page'!$K$35/100))^V169-$AG$4*(1+('main page'!$K$35/100))^V168,$AG$4*(1+('main page'!$G$8/100))*(1+('main page'!$K$35/100))^V169-$AG$4*(1+('main page'!$G$8/100))*(1+('main page'!$K$35/100))^V168)</f>
        <v>0</v>
      </c>
      <c r="V169" s="73">
        <v>161</v>
      </c>
      <c r="W169" s="40">
        <f>'normal case'!V168</f>
        <v>0</v>
      </c>
      <c r="X169" s="40">
        <f>'normal case'!W168</f>
        <v>0</v>
      </c>
      <c r="Y169" s="49">
        <f ca="1">IF(controls!$B$33=1,E169-($J$4-'main page'!$K$27*2)*(1+('main page'!$K$35/100))^A168,E169-$AG$5)</f>
        <v>0</v>
      </c>
      <c r="Z169" s="49">
        <f ca="1">ABS(M169-(controls!$B$9/100)*100)</f>
        <v>0</v>
      </c>
      <c r="AI169" s="40"/>
      <c r="AJ169" s="40"/>
    </row>
    <row r="170" spans="1:36">
      <c r="A170" s="48">
        <v>167</v>
      </c>
      <c r="B170" s="75">
        <f ca="1">IF(controls!$B$6=2,AVERAGE(E166:E169)+B169*W170+hystere!$AG$9,AVERAGE(E166:E169)+B169*W170)</f>
        <v>100</v>
      </c>
      <c r="C170" s="80">
        <f t="shared" ca="1" si="13"/>
        <v>0</v>
      </c>
      <c r="D170" s="105">
        <f t="shared" ca="1" si="14"/>
        <v>0</v>
      </c>
      <c r="E170" s="77">
        <f t="shared" ca="1" si="15"/>
        <v>100</v>
      </c>
      <c r="F170" s="77">
        <f ca="1">IF('main page'!$K$34=1,hystere!H170,hystere!G170)</f>
        <v>100</v>
      </c>
      <c r="G170" s="94">
        <f ca="1">I170-'main page'!$K$27*hystere!N169</f>
        <v>100</v>
      </c>
      <c r="H170" s="75">
        <f ca="1">J170-'main page'!$K$27*N169</f>
        <v>100</v>
      </c>
      <c r="I170" s="75">
        <f t="shared" ca="1" si="16"/>
        <v>108</v>
      </c>
      <c r="J170" s="75">
        <f t="shared" ca="1" si="17"/>
        <v>108</v>
      </c>
      <c r="M170" s="75">
        <f ca="1">IF(ABS('main page'!$K$29*M169+(1-'main page'!$K$29)*(controls!$B$9/100)*100+'main page'!$K$25*(E170-B170)-M169)&lt;0.0000001,M169,'main page'!$K$29*M169+(1-'main page'!$K$29)*(controls!$B$9/100)*100+'main page'!$K$25*(E170-B170))</f>
        <v>2</v>
      </c>
      <c r="N170" s="75">
        <f ca="1">IF(controls!$B$10=1,N169,O170-'main page'!$K$29*M170-(1-'main page'!$K$29)*controls!$B$9)</f>
        <v>4</v>
      </c>
      <c r="O170" s="74">
        <f t="shared" ca="1" si="12"/>
        <v>6</v>
      </c>
      <c r="P170" s="76">
        <f ca="1">IF(controls!$B$10=1,hystere!N170+hystere!M170,hystere!Q170)</f>
        <v>6</v>
      </c>
      <c r="Q170" s="74">
        <f ca="1">IF('main page'!$Y$53=1,'choose m.p.'!$I$22*100,R170)</f>
        <v>6</v>
      </c>
      <c r="R170" s="100">
        <f ca="1">'main page'!$K$29*M170+(1-'main page'!$K$29)*controls!$B$9+S170+(('main page'!$K$25*'main page'!$U$13*'main page'!$K$29)/('main page'!$K$27*(1+('main page'!$K$25^2)*'main page'!$U$13)))*(M170-(controls!$B$9/100)*100)</f>
        <v>6</v>
      </c>
      <c r="S170" s="98">
        <f ca="1">IF(controls!$B$33=1,(J171-E170*X171-B170)/'main page'!$K$27,(I171-E170*X171-B170)/'main page'!$K$27)</f>
        <v>4</v>
      </c>
      <c r="U170" s="71">
        <f>IF(controls!$B$6=1,$AG$4*(1+('main page'!$K$35/100))^V170-$AG$4*(1+('main page'!$K$35/100))^V169,$AG$4*(1+('main page'!$G$8/100))*(1+('main page'!$K$35/100))^V170-$AG$4*(1+('main page'!$G$8/100))*(1+('main page'!$K$35/100))^V169)</f>
        <v>0</v>
      </c>
      <c r="V170" s="73">
        <v>162</v>
      </c>
      <c r="W170" s="40">
        <f>'normal case'!V169</f>
        <v>0</v>
      </c>
      <c r="X170" s="40">
        <f>'normal case'!W169</f>
        <v>0</v>
      </c>
      <c r="Y170" s="49">
        <f ca="1">IF(controls!$B$33=1,E170-($J$4-'main page'!$K$27*2)*(1+('main page'!$K$35/100))^A169,E170-$AG$5)</f>
        <v>0</v>
      </c>
      <c r="Z170" s="49">
        <f ca="1">ABS(M170-(controls!$B$9/100)*100)</f>
        <v>0</v>
      </c>
      <c r="AI170" s="40"/>
      <c r="AJ170" s="40"/>
    </row>
    <row r="171" spans="1:36">
      <c r="A171" s="48">
        <v>168</v>
      </c>
      <c r="B171" s="75">
        <f ca="1">IF(controls!$B$6=2,AVERAGE(E167:E170)+B170*W171+hystere!$AG$9,AVERAGE(E167:E170)+B170*W171)</f>
        <v>100</v>
      </c>
      <c r="C171" s="80">
        <f t="shared" ca="1" si="13"/>
        <v>0</v>
      </c>
      <c r="D171" s="105">
        <f t="shared" ca="1" si="14"/>
        <v>0</v>
      </c>
      <c r="E171" s="77">
        <f t="shared" ca="1" si="15"/>
        <v>100</v>
      </c>
      <c r="F171" s="77">
        <f ca="1">IF('main page'!$K$34=1,hystere!H171,hystere!G171)</f>
        <v>100</v>
      </c>
      <c r="G171" s="94">
        <f ca="1">I171-'main page'!$K$27*hystere!N170</f>
        <v>100</v>
      </c>
      <c r="H171" s="75">
        <f ca="1">J171-'main page'!$K$27*N170</f>
        <v>100</v>
      </c>
      <c r="I171" s="75">
        <f t="shared" ca="1" si="16"/>
        <v>108</v>
      </c>
      <c r="J171" s="75">
        <f t="shared" ca="1" si="17"/>
        <v>108</v>
      </c>
      <c r="M171" s="75">
        <f ca="1">IF(ABS('main page'!$K$29*M170+(1-'main page'!$K$29)*(controls!$B$9/100)*100+'main page'!$K$25*(E171-B171)-M170)&lt;0.0000001,M170,'main page'!$K$29*M170+(1-'main page'!$K$29)*(controls!$B$9/100)*100+'main page'!$K$25*(E171-B171))</f>
        <v>2</v>
      </c>
      <c r="N171" s="75">
        <f ca="1">IF(controls!$B$10=1,N170,O171-'main page'!$K$29*M171-(1-'main page'!$K$29)*controls!$B$9)</f>
        <v>4</v>
      </c>
      <c r="O171" s="74">
        <f t="shared" ca="1" si="12"/>
        <v>6</v>
      </c>
      <c r="P171" s="76">
        <f ca="1">IF(controls!$B$10=1,hystere!N171+hystere!M171,hystere!Q171)</f>
        <v>6</v>
      </c>
      <c r="Q171" s="74">
        <f ca="1">IF('main page'!$Y$53=1,'choose m.p.'!$I$22*100,R171)</f>
        <v>6</v>
      </c>
      <c r="R171" s="100">
        <f ca="1">'main page'!$K$29*M171+(1-'main page'!$K$29)*controls!$B$9+S171+(('main page'!$K$25*'main page'!$U$13*'main page'!$K$29)/('main page'!$K$27*(1+('main page'!$K$25^2)*'main page'!$U$13)))*(M171-(controls!$B$9/100)*100)</f>
        <v>6</v>
      </c>
      <c r="S171" s="98">
        <f ca="1">IF(controls!$B$33=1,(J172-E171*X172-B171)/'main page'!$K$27,(I172-E171*X172-B171)/'main page'!$K$27)</f>
        <v>4</v>
      </c>
      <c r="U171" s="71">
        <f>IF(controls!$B$6=1,$AG$4*(1+('main page'!$K$35/100))^V171-$AG$4*(1+('main page'!$K$35/100))^V170,$AG$4*(1+('main page'!$G$8/100))*(1+('main page'!$K$35/100))^V171-$AG$4*(1+('main page'!$G$8/100))*(1+('main page'!$K$35/100))^V170)</f>
        <v>0</v>
      </c>
      <c r="V171" s="73">
        <v>163</v>
      </c>
      <c r="W171" s="40">
        <f ca="1">'normal case'!V170</f>
        <v>0</v>
      </c>
      <c r="X171" s="40">
        <f ca="1">'normal case'!W170</f>
        <v>0</v>
      </c>
      <c r="Y171" s="49">
        <f ca="1">IF(controls!$B$33=1,E171-($J$4-'main page'!$K$27*2)*(1+('main page'!$K$35/100))^A170,E171-$AG$5)</f>
        <v>0</v>
      </c>
      <c r="Z171" s="49">
        <f ca="1">ABS(M171-(controls!$B$9/100)*100)</f>
        <v>0</v>
      </c>
      <c r="AI171" s="40"/>
      <c r="AJ171" s="40"/>
    </row>
    <row r="172" spans="1:36">
      <c r="A172" s="48">
        <v>169</v>
      </c>
      <c r="B172" s="75">
        <f ca="1">IF(controls!$B$6=2,AVERAGE(E168:E171)+B171*W172+hystere!$AG$9,AVERAGE(E168:E171)+B171*W172)</f>
        <v>100</v>
      </c>
      <c r="C172" s="80">
        <f t="shared" ca="1" si="13"/>
        <v>0</v>
      </c>
      <c r="D172" s="105">
        <f t="shared" ca="1" si="14"/>
        <v>0</v>
      </c>
      <c r="E172" s="77">
        <f t="shared" ca="1" si="15"/>
        <v>100</v>
      </c>
      <c r="F172" s="77">
        <f ca="1">IF('main page'!$K$34=1,hystere!H172,hystere!G172)</f>
        <v>100</v>
      </c>
      <c r="G172" s="94">
        <f ca="1">I172-'main page'!$K$27*hystere!N171</f>
        <v>100</v>
      </c>
      <c r="H172" s="75">
        <f ca="1">J172-'main page'!$K$27*N171</f>
        <v>100</v>
      </c>
      <c r="I172" s="75">
        <f t="shared" ca="1" si="16"/>
        <v>108</v>
      </c>
      <c r="J172" s="75">
        <f t="shared" ca="1" si="17"/>
        <v>108</v>
      </c>
      <c r="M172" s="75">
        <f ca="1">IF(ABS('main page'!$K$29*M171+(1-'main page'!$K$29)*(controls!$B$9/100)*100+'main page'!$K$25*(E172-B172)-M171)&lt;0.0000001,M171,'main page'!$K$29*M171+(1-'main page'!$K$29)*(controls!$B$9/100)*100+'main page'!$K$25*(E172-B172))</f>
        <v>2</v>
      </c>
      <c r="N172" s="75">
        <f ca="1">IF(controls!$B$10=1,N171,O172-'main page'!$K$29*M172-(1-'main page'!$K$29)*controls!$B$9)</f>
        <v>4</v>
      </c>
      <c r="O172" s="74">
        <f t="shared" ca="1" si="12"/>
        <v>6</v>
      </c>
      <c r="P172" s="76">
        <f ca="1">IF(controls!$B$10=1,hystere!N172+hystere!M172,hystere!Q172)</f>
        <v>6</v>
      </c>
      <c r="Q172" s="74">
        <f ca="1">IF('main page'!$Y$53=1,'choose m.p.'!$I$22*100,R172)</f>
        <v>6</v>
      </c>
      <c r="R172" s="100">
        <f ca="1">'main page'!$K$29*M172+(1-'main page'!$K$29)*controls!$B$9+S172+(('main page'!$K$25*'main page'!$U$13*'main page'!$K$29)/('main page'!$K$27*(1+('main page'!$K$25^2)*'main page'!$U$13)))*(M172-(controls!$B$9/100)*100)</f>
        <v>6</v>
      </c>
      <c r="S172" s="98">
        <f ca="1">IF(controls!$B$33=1,(J173-E172*X173-B172)/'main page'!$K$27,(I173-E172*X173-B172)/'main page'!$K$27)</f>
        <v>4</v>
      </c>
      <c r="U172" s="71">
        <f>IF(controls!$B$6=1,$AG$4*(1+('main page'!$K$35/100))^V172-$AG$4*(1+('main page'!$K$35/100))^V171,$AG$4*(1+('main page'!$G$8/100))*(1+('main page'!$K$35/100))^V172-$AG$4*(1+('main page'!$G$8/100))*(1+('main page'!$K$35/100))^V171)</f>
        <v>0</v>
      </c>
      <c r="V172" s="73">
        <v>164</v>
      </c>
      <c r="W172" s="40">
        <f>'normal case'!V171</f>
        <v>0</v>
      </c>
      <c r="X172" s="40">
        <f>'normal case'!W171</f>
        <v>0</v>
      </c>
      <c r="Y172" s="49">
        <f ca="1">IF(controls!$B$33=1,E172-($J$4-'main page'!$K$27*2)*(1+('main page'!$K$35/100))^A171,E172-$AG$5)</f>
        <v>0</v>
      </c>
      <c r="Z172" s="49">
        <f ca="1">ABS(M172-(controls!$B$9/100)*100)</f>
        <v>0</v>
      </c>
      <c r="AI172" s="40"/>
      <c r="AJ172" s="40"/>
    </row>
    <row r="173" spans="1:36">
      <c r="A173" s="48">
        <v>170</v>
      </c>
      <c r="B173" s="75">
        <f ca="1">IF(controls!$B$6=2,AVERAGE(E169:E172)+B172*W173+hystere!$AG$9,AVERAGE(E169:E172)+B172*W173)</f>
        <v>100</v>
      </c>
      <c r="C173" s="80">
        <f t="shared" ca="1" si="13"/>
        <v>0</v>
      </c>
      <c r="D173" s="105">
        <f t="shared" ca="1" si="14"/>
        <v>0</v>
      </c>
      <c r="E173" s="77">
        <f t="shared" ca="1" si="15"/>
        <v>100</v>
      </c>
      <c r="F173" s="77">
        <f ca="1">IF('main page'!$K$34=1,hystere!H173,hystere!G173)</f>
        <v>100</v>
      </c>
      <c r="G173" s="94">
        <f ca="1">I173-'main page'!$K$27*hystere!N172</f>
        <v>100</v>
      </c>
      <c r="H173" s="75">
        <f ca="1">J173-'main page'!$K$27*N172</f>
        <v>100</v>
      </c>
      <c r="I173" s="75">
        <f t="shared" ca="1" si="16"/>
        <v>108</v>
      </c>
      <c r="J173" s="75">
        <f t="shared" ca="1" si="17"/>
        <v>108</v>
      </c>
      <c r="M173" s="75">
        <f ca="1">IF(ABS('main page'!$K$29*M172+(1-'main page'!$K$29)*(controls!$B$9/100)*100+'main page'!$K$25*(E173-B173)-M172)&lt;0.0000001,M172,'main page'!$K$29*M172+(1-'main page'!$K$29)*(controls!$B$9/100)*100+'main page'!$K$25*(E173-B173))</f>
        <v>2</v>
      </c>
      <c r="N173" s="75">
        <f ca="1">IF(controls!$B$10=1,N172,O173-'main page'!$K$29*M173-(1-'main page'!$K$29)*controls!$B$9)</f>
        <v>4</v>
      </c>
      <c r="O173" s="74">
        <f t="shared" ca="1" si="12"/>
        <v>6</v>
      </c>
      <c r="P173" s="76">
        <f ca="1">IF(controls!$B$10=1,hystere!N173+hystere!M173,hystere!Q173)</f>
        <v>6</v>
      </c>
      <c r="Q173" s="74">
        <f ca="1">IF('main page'!$Y$53=1,'choose m.p.'!$I$22*100,R173)</f>
        <v>6</v>
      </c>
      <c r="R173" s="100">
        <f ca="1">'main page'!$K$29*M173+(1-'main page'!$K$29)*controls!$B$9+S173+(('main page'!$K$25*'main page'!$U$13*'main page'!$K$29)/('main page'!$K$27*(1+('main page'!$K$25^2)*'main page'!$U$13)))*(M173-(controls!$B$9/100)*100)</f>
        <v>6</v>
      </c>
      <c r="S173" s="98">
        <f ca="1">IF(controls!$B$33=1,(J174-E173*X174-B173)/'main page'!$K$27,(I174-E173*X174-B173)/'main page'!$K$27)</f>
        <v>4</v>
      </c>
      <c r="U173" s="71">
        <f>IF(controls!$B$6=1,$AG$4*(1+('main page'!$K$35/100))^V173-$AG$4*(1+('main page'!$K$35/100))^V172,$AG$4*(1+('main page'!$G$8/100))*(1+('main page'!$K$35/100))^V173-$AG$4*(1+('main page'!$G$8/100))*(1+('main page'!$K$35/100))^V172)</f>
        <v>0</v>
      </c>
      <c r="V173" s="73">
        <v>165</v>
      </c>
      <c r="W173" s="40">
        <f>'normal case'!V172</f>
        <v>0</v>
      </c>
      <c r="X173" s="40">
        <f>'normal case'!W172</f>
        <v>0</v>
      </c>
      <c r="Y173" s="49">
        <f ca="1">IF(controls!$B$33=1,E173-($J$4-'main page'!$K$27*2)*(1+('main page'!$K$35/100))^A172,E173-$AG$5)</f>
        <v>0</v>
      </c>
      <c r="Z173" s="49">
        <f ca="1">ABS(M173-(controls!$B$9/100)*100)</f>
        <v>0</v>
      </c>
      <c r="AI173" s="40"/>
      <c r="AJ173" s="40"/>
    </row>
    <row r="174" spans="1:36">
      <c r="A174" s="48">
        <v>171</v>
      </c>
      <c r="B174" s="75">
        <f ca="1">IF(controls!$B$6=2,AVERAGE(E170:E173)+B173*W174+hystere!$AG$9,AVERAGE(E170:E173)+B173*W174)</f>
        <v>100</v>
      </c>
      <c r="C174" s="80">
        <f t="shared" ca="1" si="13"/>
        <v>0</v>
      </c>
      <c r="D174" s="105">
        <f t="shared" ca="1" si="14"/>
        <v>0</v>
      </c>
      <c r="E174" s="77">
        <f t="shared" ca="1" si="15"/>
        <v>100</v>
      </c>
      <c r="F174" s="77">
        <f ca="1">IF('main page'!$K$34=1,hystere!H174,hystere!G174)</f>
        <v>100</v>
      </c>
      <c r="G174" s="94">
        <f ca="1">I174-'main page'!$K$27*hystere!N173</f>
        <v>100</v>
      </c>
      <c r="H174" s="75">
        <f ca="1">J174-'main page'!$K$27*N173</f>
        <v>100</v>
      </c>
      <c r="I174" s="75">
        <f t="shared" ca="1" si="16"/>
        <v>108</v>
      </c>
      <c r="J174" s="75">
        <f t="shared" ca="1" si="17"/>
        <v>108</v>
      </c>
      <c r="M174" s="75">
        <f ca="1">IF(ABS('main page'!$K$29*M173+(1-'main page'!$K$29)*(controls!$B$9/100)*100+'main page'!$K$25*(E174-B174)-M173)&lt;0.0000001,M173,'main page'!$K$29*M173+(1-'main page'!$K$29)*(controls!$B$9/100)*100+'main page'!$K$25*(E174-B174))</f>
        <v>2</v>
      </c>
      <c r="N174" s="75">
        <f ca="1">IF(controls!$B$10=1,N173,O174-'main page'!$K$29*M174-(1-'main page'!$K$29)*controls!$B$9)</f>
        <v>4</v>
      </c>
      <c r="O174" s="74">
        <f t="shared" ca="1" si="12"/>
        <v>6</v>
      </c>
      <c r="P174" s="76">
        <f ca="1">IF(controls!$B$10=1,hystere!N174+hystere!M174,hystere!Q174)</f>
        <v>6</v>
      </c>
      <c r="Q174" s="74">
        <f ca="1">IF('main page'!$Y$53=1,'choose m.p.'!$I$22*100,R174)</f>
        <v>6</v>
      </c>
      <c r="R174" s="100">
        <f ca="1">'main page'!$K$29*M174+(1-'main page'!$K$29)*controls!$B$9+S174+(('main page'!$K$25*'main page'!$U$13*'main page'!$K$29)/('main page'!$K$27*(1+('main page'!$K$25^2)*'main page'!$U$13)))*(M174-(controls!$B$9/100)*100)</f>
        <v>6</v>
      </c>
      <c r="S174" s="98">
        <f ca="1">IF(controls!$B$33=1,(J175-E174*X175-B174)/'main page'!$K$27,(I175-E174*X175-B174)/'main page'!$K$27)</f>
        <v>4</v>
      </c>
      <c r="U174" s="71">
        <f>IF(controls!$B$6=1,$AG$4*(1+('main page'!$K$35/100))^V174-$AG$4*(1+('main page'!$K$35/100))^V173,$AG$4*(1+('main page'!$G$8/100))*(1+('main page'!$K$35/100))^V174-$AG$4*(1+('main page'!$G$8/100))*(1+('main page'!$K$35/100))^V173)</f>
        <v>0</v>
      </c>
      <c r="V174" s="73">
        <v>166</v>
      </c>
      <c r="W174" s="40">
        <f ca="1">'normal case'!V173</f>
        <v>0</v>
      </c>
      <c r="X174" s="40">
        <f ca="1">'normal case'!W173</f>
        <v>0</v>
      </c>
      <c r="Y174" s="49">
        <f ca="1">IF(controls!$B$33=1,E174-($J$4-'main page'!$K$27*2)*(1+('main page'!$K$35/100))^A173,E174-$AG$5)</f>
        <v>0</v>
      </c>
      <c r="Z174" s="49">
        <f ca="1">ABS(M174-(controls!$B$9/100)*100)</f>
        <v>0</v>
      </c>
      <c r="AI174" s="40"/>
      <c r="AJ174" s="40"/>
    </row>
    <row r="175" spans="1:36">
      <c r="A175" s="48">
        <v>172</v>
      </c>
      <c r="B175" s="75">
        <f ca="1">IF(controls!$B$6=2,AVERAGE(E171:E174)+B174*W175+hystere!$AG$9,AVERAGE(E171:E174)+B174*W175)</f>
        <v>100</v>
      </c>
      <c r="C175" s="80">
        <f t="shared" ca="1" si="13"/>
        <v>0</v>
      </c>
      <c r="D175" s="105">
        <f t="shared" ca="1" si="14"/>
        <v>0</v>
      </c>
      <c r="E175" s="77">
        <f t="shared" ca="1" si="15"/>
        <v>100</v>
      </c>
      <c r="F175" s="77">
        <f ca="1">IF('main page'!$K$34=1,hystere!H175,hystere!G175)</f>
        <v>100</v>
      </c>
      <c r="G175" s="94">
        <f ca="1">I175-'main page'!$K$27*hystere!N174</f>
        <v>100</v>
      </c>
      <c r="H175" s="75">
        <f ca="1">J175-'main page'!$K$27*N174</f>
        <v>100</v>
      </c>
      <c r="I175" s="75">
        <f t="shared" ca="1" si="16"/>
        <v>108</v>
      </c>
      <c r="J175" s="75">
        <f t="shared" ca="1" si="17"/>
        <v>108</v>
      </c>
      <c r="M175" s="75">
        <f ca="1">IF(ABS('main page'!$K$29*M174+(1-'main page'!$K$29)*(controls!$B$9/100)*100+'main page'!$K$25*(E175-B175)-M174)&lt;0.0000001,M174,'main page'!$K$29*M174+(1-'main page'!$K$29)*(controls!$B$9/100)*100+'main page'!$K$25*(E175-B175))</f>
        <v>2</v>
      </c>
      <c r="N175" s="75">
        <f ca="1">IF(controls!$B$10=1,N174,O175-'main page'!$K$29*M175-(1-'main page'!$K$29)*controls!$B$9)</f>
        <v>4</v>
      </c>
      <c r="O175" s="74">
        <f t="shared" ca="1" si="12"/>
        <v>6</v>
      </c>
      <c r="P175" s="76">
        <f ca="1">IF(controls!$B$10=1,hystere!N175+hystere!M175,hystere!Q175)</f>
        <v>6</v>
      </c>
      <c r="Q175" s="74">
        <f ca="1">IF('main page'!$Y$53=1,'choose m.p.'!$I$22*100,R175)</f>
        <v>6</v>
      </c>
      <c r="R175" s="100">
        <f ca="1">'main page'!$K$29*M175+(1-'main page'!$K$29)*controls!$B$9+S175+(('main page'!$K$25*'main page'!$U$13*'main page'!$K$29)/('main page'!$K$27*(1+('main page'!$K$25^2)*'main page'!$U$13)))*(M175-(controls!$B$9/100)*100)</f>
        <v>6</v>
      </c>
      <c r="S175" s="98">
        <f ca="1">IF(controls!$B$33=1,(J176-E175*X176-B175)/'main page'!$K$27,(I176-E175*X176-B175)/'main page'!$K$27)</f>
        <v>4</v>
      </c>
      <c r="U175" s="71">
        <f>IF(controls!$B$6=1,$AG$4*(1+('main page'!$K$35/100))^V175-$AG$4*(1+('main page'!$K$35/100))^V174,$AG$4*(1+('main page'!$G$8/100))*(1+('main page'!$K$35/100))^V175-$AG$4*(1+('main page'!$G$8/100))*(1+('main page'!$K$35/100))^V174)</f>
        <v>0</v>
      </c>
      <c r="V175" s="73">
        <v>167</v>
      </c>
      <c r="W175" s="40">
        <f>'normal case'!V174</f>
        <v>0</v>
      </c>
      <c r="X175" s="40">
        <f>'normal case'!W174</f>
        <v>0</v>
      </c>
      <c r="Y175" s="49">
        <f ca="1">IF(controls!$B$33=1,E175-($J$4-'main page'!$K$27*2)*(1+('main page'!$K$35/100))^A174,E175-$AG$5)</f>
        <v>0</v>
      </c>
      <c r="Z175" s="49">
        <f ca="1">ABS(M175-(controls!$B$9/100)*100)</f>
        <v>0</v>
      </c>
      <c r="AI175" s="40"/>
      <c r="AJ175" s="40"/>
    </row>
    <row r="176" spans="1:36">
      <c r="A176" s="48">
        <v>173</v>
      </c>
      <c r="B176" s="75">
        <f ca="1">IF(controls!$B$6=2,AVERAGE(E172:E175)+B175*W176+hystere!$AG$9,AVERAGE(E172:E175)+B175*W176)</f>
        <v>100</v>
      </c>
      <c r="C176" s="80">
        <f t="shared" ca="1" si="13"/>
        <v>0</v>
      </c>
      <c r="D176" s="105">
        <f t="shared" ca="1" si="14"/>
        <v>0</v>
      </c>
      <c r="E176" s="77">
        <f t="shared" ca="1" si="15"/>
        <v>100</v>
      </c>
      <c r="F176" s="77">
        <f ca="1">IF('main page'!$K$34=1,hystere!H176,hystere!G176)</f>
        <v>100</v>
      </c>
      <c r="G176" s="94">
        <f ca="1">I176-'main page'!$K$27*hystere!N175</f>
        <v>100</v>
      </c>
      <c r="H176" s="75">
        <f ca="1">J176-'main page'!$K$27*N175</f>
        <v>100</v>
      </c>
      <c r="I176" s="75">
        <f t="shared" ca="1" si="16"/>
        <v>108</v>
      </c>
      <c r="J176" s="75">
        <f t="shared" ca="1" si="17"/>
        <v>108</v>
      </c>
      <c r="M176" s="75">
        <f ca="1">IF(ABS('main page'!$K$29*M175+(1-'main page'!$K$29)*(controls!$B$9/100)*100+'main page'!$K$25*(E176-B176)-M175)&lt;0.0000001,M175,'main page'!$K$29*M175+(1-'main page'!$K$29)*(controls!$B$9/100)*100+'main page'!$K$25*(E176-B176))</f>
        <v>2</v>
      </c>
      <c r="N176" s="75">
        <f ca="1">IF(controls!$B$10=1,N175,O176-'main page'!$K$29*M176-(1-'main page'!$K$29)*controls!$B$9)</f>
        <v>4</v>
      </c>
      <c r="O176" s="74">
        <f t="shared" ca="1" si="12"/>
        <v>6</v>
      </c>
      <c r="P176" s="76">
        <f ca="1">IF(controls!$B$10=1,hystere!N176+hystere!M176,hystere!Q176)</f>
        <v>6</v>
      </c>
      <c r="Q176" s="74">
        <f ca="1">IF('main page'!$Y$53=1,'choose m.p.'!$I$22*100,R176)</f>
        <v>6</v>
      </c>
      <c r="R176" s="100">
        <f ca="1">'main page'!$K$29*M176+(1-'main page'!$K$29)*controls!$B$9+S176+(('main page'!$K$25*'main page'!$U$13*'main page'!$K$29)/('main page'!$K$27*(1+('main page'!$K$25^2)*'main page'!$U$13)))*(M176-(controls!$B$9/100)*100)</f>
        <v>6</v>
      </c>
      <c r="S176" s="98">
        <f ca="1">IF(controls!$B$33=1,(J177-E176*X177-B176)/'main page'!$K$27,(I177-E176*X177-B176)/'main page'!$K$27)</f>
        <v>4</v>
      </c>
      <c r="U176" s="71">
        <f>IF(controls!$B$6=1,$AG$4*(1+('main page'!$K$35/100))^V176-$AG$4*(1+('main page'!$K$35/100))^V175,$AG$4*(1+('main page'!$G$8/100))*(1+('main page'!$K$35/100))^V176-$AG$4*(1+('main page'!$G$8/100))*(1+('main page'!$K$35/100))^V175)</f>
        <v>0</v>
      </c>
      <c r="V176" s="73">
        <v>168</v>
      </c>
      <c r="W176" s="40">
        <f>'normal case'!V175</f>
        <v>0</v>
      </c>
      <c r="X176" s="40">
        <f>'normal case'!W175</f>
        <v>0</v>
      </c>
      <c r="Y176" s="49">
        <f ca="1">IF(controls!$B$33=1,E176-($J$4-'main page'!$K$27*2)*(1+('main page'!$K$35/100))^A175,E176-$AG$5)</f>
        <v>0</v>
      </c>
      <c r="Z176" s="49">
        <f ca="1">ABS(M176-(controls!$B$9/100)*100)</f>
        <v>0</v>
      </c>
      <c r="AI176" s="40"/>
      <c r="AJ176" s="40"/>
    </row>
    <row r="177" spans="1:36">
      <c r="A177" s="48">
        <v>174</v>
      </c>
      <c r="B177" s="75">
        <f ca="1">IF(controls!$B$6=2,AVERAGE(E173:E176)+B176*W177+hystere!$AG$9,AVERAGE(E173:E176)+B176*W177)</f>
        <v>100</v>
      </c>
      <c r="C177" s="80">
        <f t="shared" ca="1" si="13"/>
        <v>0</v>
      </c>
      <c r="D177" s="105">
        <f t="shared" ca="1" si="14"/>
        <v>0</v>
      </c>
      <c r="E177" s="77">
        <f t="shared" ca="1" si="15"/>
        <v>100</v>
      </c>
      <c r="F177" s="77">
        <f ca="1">IF('main page'!$K$34=1,hystere!H177,hystere!G177)</f>
        <v>100</v>
      </c>
      <c r="G177" s="94">
        <f ca="1">I177-'main page'!$K$27*hystere!N176</f>
        <v>100</v>
      </c>
      <c r="H177" s="75">
        <f ca="1">J177-'main page'!$K$27*N176</f>
        <v>100</v>
      </c>
      <c r="I177" s="75">
        <f t="shared" ca="1" si="16"/>
        <v>108</v>
      </c>
      <c r="J177" s="75">
        <f t="shared" ca="1" si="17"/>
        <v>108</v>
      </c>
      <c r="M177" s="75">
        <f ca="1">IF(ABS('main page'!$K$29*M176+(1-'main page'!$K$29)*(controls!$B$9/100)*100+'main page'!$K$25*(E177-B177)-M176)&lt;0.0000001,M176,'main page'!$K$29*M176+(1-'main page'!$K$29)*(controls!$B$9/100)*100+'main page'!$K$25*(E177-B177))</f>
        <v>2</v>
      </c>
      <c r="N177" s="75">
        <f ca="1">IF(controls!$B$10=1,N176,O177-'main page'!$K$29*M177-(1-'main page'!$K$29)*controls!$B$9)</f>
        <v>4</v>
      </c>
      <c r="O177" s="74">
        <f t="shared" ca="1" si="12"/>
        <v>6</v>
      </c>
      <c r="P177" s="76">
        <f ca="1">IF(controls!$B$10=1,hystere!N177+hystere!M177,hystere!Q177)</f>
        <v>6</v>
      </c>
      <c r="Q177" s="74">
        <f ca="1">IF('main page'!$Y$53=1,'choose m.p.'!$I$22*100,R177)</f>
        <v>6</v>
      </c>
      <c r="R177" s="100">
        <f ca="1">'main page'!$K$29*M177+(1-'main page'!$K$29)*controls!$B$9+S177+(('main page'!$K$25*'main page'!$U$13*'main page'!$K$29)/('main page'!$K$27*(1+('main page'!$K$25^2)*'main page'!$U$13)))*(M177-(controls!$B$9/100)*100)</f>
        <v>6</v>
      </c>
      <c r="S177" s="98">
        <f ca="1">IF(controls!$B$33=1,(J178-E177*X178-B177)/'main page'!$K$27,(I178-E177*X178-B177)/'main page'!$K$27)</f>
        <v>4</v>
      </c>
      <c r="U177" s="71">
        <f>IF(controls!$B$6=1,$AG$4*(1+('main page'!$K$35/100))^V177-$AG$4*(1+('main page'!$K$35/100))^V176,$AG$4*(1+('main page'!$G$8/100))*(1+('main page'!$K$35/100))^V177-$AG$4*(1+('main page'!$G$8/100))*(1+('main page'!$K$35/100))^V176)</f>
        <v>0</v>
      </c>
      <c r="V177" s="73">
        <v>169</v>
      </c>
      <c r="W177" s="40">
        <f ca="1">'normal case'!V176</f>
        <v>0</v>
      </c>
      <c r="X177" s="40">
        <f ca="1">'normal case'!W176</f>
        <v>0</v>
      </c>
      <c r="Y177" s="49">
        <f ca="1">IF(controls!$B$33=1,E177-($J$4-'main page'!$K$27*2)*(1+('main page'!$K$35/100))^A176,E177-$AG$5)</f>
        <v>0</v>
      </c>
      <c r="Z177" s="49">
        <f ca="1">ABS(M177-(controls!$B$9/100)*100)</f>
        <v>0</v>
      </c>
      <c r="AI177" s="40"/>
      <c r="AJ177" s="40"/>
    </row>
    <row r="178" spans="1:36">
      <c r="A178" s="48">
        <v>175</v>
      </c>
      <c r="B178" s="75">
        <f ca="1">IF(controls!$B$6=2,AVERAGE(E174:E177)+B177*W178+hystere!$AG$9,AVERAGE(E174:E177)+B177*W178)</f>
        <v>100</v>
      </c>
      <c r="C178" s="80">
        <f t="shared" ca="1" si="13"/>
        <v>0</v>
      </c>
      <c r="D178" s="105">
        <f t="shared" ca="1" si="14"/>
        <v>0</v>
      </c>
      <c r="E178" s="77">
        <f t="shared" ca="1" si="15"/>
        <v>100</v>
      </c>
      <c r="F178" s="77">
        <f ca="1">IF('main page'!$K$34=1,hystere!H178,hystere!G178)</f>
        <v>100</v>
      </c>
      <c r="G178" s="94">
        <f ca="1">I178-'main page'!$K$27*hystere!N177</f>
        <v>100</v>
      </c>
      <c r="H178" s="75">
        <f ca="1">J178-'main page'!$K$27*N177</f>
        <v>100</v>
      </c>
      <c r="I178" s="75">
        <f t="shared" ca="1" si="16"/>
        <v>108</v>
      </c>
      <c r="J178" s="75">
        <f t="shared" ca="1" si="17"/>
        <v>108</v>
      </c>
      <c r="M178" s="75">
        <f ca="1">IF(ABS('main page'!$K$29*M177+(1-'main page'!$K$29)*(controls!$B$9/100)*100+'main page'!$K$25*(E178-B178)-M177)&lt;0.0000001,M177,'main page'!$K$29*M177+(1-'main page'!$K$29)*(controls!$B$9/100)*100+'main page'!$K$25*(E178-B178))</f>
        <v>2</v>
      </c>
      <c r="N178" s="75">
        <f ca="1">IF(controls!$B$10=1,N177,O178-'main page'!$K$29*M178-(1-'main page'!$K$29)*controls!$B$9)</f>
        <v>4</v>
      </c>
      <c r="O178" s="74">
        <f t="shared" ca="1" si="12"/>
        <v>6</v>
      </c>
      <c r="P178" s="76">
        <f ca="1">IF(controls!$B$10=1,hystere!N178+hystere!M178,hystere!Q178)</f>
        <v>6</v>
      </c>
      <c r="Q178" s="74">
        <f ca="1">IF('main page'!$Y$53=1,'choose m.p.'!$I$22*100,R178)</f>
        <v>6</v>
      </c>
      <c r="R178" s="100">
        <f ca="1">'main page'!$K$29*M178+(1-'main page'!$K$29)*controls!$B$9+S178+(('main page'!$K$25*'main page'!$U$13*'main page'!$K$29)/('main page'!$K$27*(1+('main page'!$K$25^2)*'main page'!$U$13)))*(M178-(controls!$B$9/100)*100)</f>
        <v>6</v>
      </c>
      <c r="S178" s="98">
        <f ca="1">IF(controls!$B$33=1,(J179-E178*X179-B178)/'main page'!$K$27,(I179-E178*X179-B178)/'main page'!$K$27)</f>
        <v>4</v>
      </c>
      <c r="U178" s="71">
        <f>IF(controls!$B$6=1,$AG$4*(1+('main page'!$K$35/100))^V178-$AG$4*(1+('main page'!$K$35/100))^V177,$AG$4*(1+('main page'!$G$8/100))*(1+('main page'!$K$35/100))^V178-$AG$4*(1+('main page'!$G$8/100))*(1+('main page'!$K$35/100))^V177)</f>
        <v>0</v>
      </c>
      <c r="V178" s="73">
        <v>170</v>
      </c>
      <c r="W178" s="40">
        <f>'normal case'!V177</f>
        <v>0</v>
      </c>
      <c r="X178" s="40">
        <f>'normal case'!W177</f>
        <v>0</v>
      </c>
      <c r="Y178" s="49">
        <f ca="1">IF(controls!$B$33=1,E178-($J$4-'main page'!$K$27*2)*(1+('main page'!$K$35/100))^A177,E178-$AG$5)</f>
        <v>0</v>
      </c>
      <c r="Z178" s="49">
        <f ca="1">ABS(M178-(controls!$B$9/100)*100)</f>
        <v>0</v>
      </c>
      <c r="AI178" s="40"/>
      <c r="AJ178" s="40"/>
    </row>
    <row r="179" spans="1:36">
      <c r="A179" s="48">
        <v>176</v>
      </c>
      <c r="B179" s="75">
        <f ca="1">IF(controls!$B$6=2,AVERAGE(E175:E178)+B178*W179+hystere!$AG$9,AVERAGE(E175:E178)+B178*W179)</f>
        <v>100</v>
      </c>
      <c r="C179" s="80">
        <f t="shared" ca="1" si="13"/>
        <v>0</v>
      </c>
      <c r="D179" s="105">
        <f t="shared" ca="1" si="14"/>
        <v>0</v>
      </c>
      <c r="E179" s="77">
        <f t="shared" ca="1" si="15"/>
        <v>100</v>
      </c>
      <c r="F179" s="77">
        <f ca="1">IF('main page'!$K$34=1,hystere!H179,hystere!G179)</f>
        <v>100</v>
      </c>
      <c r="G179" s="94">
        <f ca="1">I179-'main page'!$K$27*hystere!N178</f>
        <v>100</v>
      </c>
      <c r="H179" s="75">
        <f ca="1">J179-'main page'!$K$27*N178</f>
        <v>100</v>
      </c>
      <c r="I179" s="75">
        <f t="shared" ca="1" si="16"/>
        <v>108</v>
      </c>
      <c r="J179" s="75">
        <f t="shared" ca="1" si="17"/>
        <v>108</v>
      </c>
      <c r="M179" s="75">
        <f ca="1">IF(ABS('main page'!$K$29*M178+(1-'main page'!$K$29)*(controls!$B$9/100)*100+'main page'!$K$25*(E179-B179)-M178)&lt;0.0000001,M178,'main page'!$K$29*M178+(1-'main page'!$K$29)*(controls!$B$9/100)*100+'main page'!$K$25*(E179-B179))</f>
        <v>2</v>
      </c>
      <c r="N179" s="75">
        <f ca="1">IF(controls!$B$10=1,N178,O179-'main page'!$K$29*M179-(1-'main page'!$K$29)*controls!$B$9)</f>
        <v>4</v>
      </c>
      <c r="O179" s="74">
        <f t="shared" ca="1" si="12"/>
        <v>6</v>
      </c>
      <c r="P179" s="76">
        <f ca="1">IF(controls!$B$10=1,hystere!N179+hystere!M179,hystere!Q179)</f>
        <v>6</v>
      </c>
      <c r="Q179" s="74">
        <f ca="1">IF('main page'!$Y$53=1,'choose m.p.'!$I$22*100,R179)</f>
        <v>6</v>
      </c>
      <c r="R179" s="100">
        <f ca="1">'main page'!$K$29*M179+(1-'main page'!$K$29)*controls!$B$9+S179+(('main page'!$K$25*'main page'!$U$13*'main page'!$K$29)/('main page'!$K$27*(1+('main page'!$K$25^2)*'main page'!$U$13)))*(M179-(controls!$B$9/100)*100)</f>
        <v>6</v>
      </c>
      <c r="S179" s="98">
        <f ca="1">IF(controls!$B$33=1,(J180-E179*X180-B179)/'main page'!$K$27,(I180-E179*X180-B179)/'main page'!$K$27)</f>
        <v>4</v>
      </c>
      <c r="U179" s="71">
        <f>IF(controls!$B$6=1,$AG$4*(1+('main page'!$K$35/100))^V179-$AG$4*(1+('main page'!$K$35/100))^V178,$AG$4*(1+('main page'!$G$8/100))*(1+('main page'!$K$35/100))^V179-$AG$4*(1+('main page'!$G$8/100))*(1+('main page'!$K$35/100))^V178)</f>
        <v>0</v>
      </c>
      <c r="V179" s="73">
        <v>171</v>
      </c>
      <c r="W179" s="40">
        <f>'normal case'!V178</f>
        <v>0</v>
      </c>
      <c r="X179" s="40">
        <f>'normal case'!W178</f>
        <v>0</v>
      </c>
      <c r="Y179" s="49">
        <f ca="1">IF(controls!$B$33=1,E179-($J$4-'main page'!$K$27*2)*(1+('main page'!$K$35/100))^A178,E179-$AG$5)</f>
        <v>0</v>
      </c>
      <c r="Z179" s="49">
        <f ca="1">ABS(M179-(controls!$B$9/100)*100)</f>
        <v>0</v>
      </c>
      <c r="AI179" s="40"/>
      <c r="AJ179" s="40"/>
    </row>
    <row r="180" spans="1:36">
      <c r="A180" s="48">
        <v>177</v>
      </c>
      <c r="B180" s="75">
        <f ca="1">IF(controls!$B$6=2,AVERAGE(E176:E179)+B179*W180+hystere!$AG$9,AVERAGE(E176:E179)+B179*W180)</f>
        <v>100</v>
      </c>
      <c r="C180" s="80">
        <f t="shared" ca="1" si="13"/>
        <v>0</v>
      </c>
      <c r="D180" s="105">
        <f t="shared" ca="1" si="14"/>
        <v>0</v>
      </c>
      <c r="E180" s="77">
        <f t="shared" ca="1" si="15"/>
        <v>100</v>
      </c>
      <c r="F180" s="77">
        <f ca="1">IF('main page'!$K$34=1,hystere!H180,hystere!G180)</f>
        <v>100</v>
      </c>
      <c r="G180" s="94">
        <f ca="1">I180-'main page'!$K$27*hystere!N179</f>
        <v>100</v>
      </c>
      <c r="H180" s="75">
        <f ca="1">J180-'main page'!$K$27*N179</f>
        <v>100</v>
      </c>
      <c r="I180" s="75">
        <f t="shared" ca="1" si="16"/>
        <v>108</v>
      </c>
      <c r="J180" s="75">
        <f t="shared" ca="1" si="17"/>
        <v>108</v>
      </c>
      <c r="M180" s="75">
        <f ca="1">IF(ABS('main page'!$K$29*M179+(1-'main page'!$K$29)*(controls!$B$9/100)*100+'main page'!$K$25*(E180-B180)-M179)&lt;0.0000001,M179,'main page'!$K$29*M179+(1-'main page'!$K$29)*(controls!$B$9/100)*100+'main page'!$K$25*(E180-B180))</f>
        <v>2</v>
      </c>
      <c r="N180" s="75">
        <f ca="1">IF(controls!$B$10=1,N179,O180-'main page'!$K$29*M180-(1-'main page'!$K$29)*controls!$B$9)</f>
        <v>4</v>
      </c>
      <c r="O180" s="74">
        <f t="shared" ca="1" si="12"/>
        <v>6</v>
      </c>
      <c r="P180" s="76">
        <f ca="1">IF(controls!$B$10=1,hystere!N180+hystere!M180,hystere!Q180)</f>
        <v>6</v>
      </c>
      <c r="Q180" s="74">
        <f ca="1">IF('main page'!$Y$53=1,'choose m.p.'!$I$22*100,R180)</f>
        <v>6</v>
      </c>
      <c r="R180" s="100">
        <f ca="1">'main page'!$K$29*M180+(1-'main page'!$K$29)*controls!$B$9+S180+(('main page'!$K$25*'main page'!$U$13*'main page'!$K$29)/('main page'!$K$27*(1+('main page'!$K$25^2)*'main page'!$U$13)))*(M180-(controls!$B$9/100)*100)</f>
        <v>6</v>
      </c>
      <c r="S180" s="98">
        <f ca="1">IF(controls!$B$33=1,(J181-E180*X181-B180)/'main page'!$K$27,(I181-E180*X181-B180)/'main page'!$K$27)</f>
        <v>4</v>
      </c>
      <c r="U180" s="71">
        <f>IF(controls!$B$6=1,$AG$4*(1+('main page'!$K$35/100))^V180-$AG$4*(1+('main page'!$K$35/100))^V179,$AG$4*(1+('main page'!$G$8/100))*(1+('main page'!$K$35/100))^V180-$AG$4*(1+('main page'!$G$8/100))*(1+('main page'!$K$35/100))^V179)</f>
        <v>0</v>
      </c>
      <c r="V180" s="73">
        <v>172</v>
      </c>
      <c r="W180" s="40">
        <f ca="1">'normal case'!V179</f>
        <v>0</v>
      </c>
      <c r="X180" s="40">
        <f ca="1">'normal case'!W179</f>
        <v>0</v>
      </c>
      <c r="Y180" s="49">
        <f ca="1">IF(controls!$B$33=1,E180-($J$4-'main page'!$K$27*2)*(1+('main page'!$K$35/100))^A179,E180-$AG$5)</f>
        <v>0</v>
      </c>
      <c r="Z180" s="49">
        <f ca="1">ABS(M180-(controls!$B$9/100)*100)</f>
        <v>0</v>
      </c>
      <c r="AI180" s="40"/>
      <c r="AJ180" s="40"/>
    </row>
    <row r="181" spans="1:36">
      <c r="A181" s="48">
        <v>178</v>
      </c>
      <c r="B181" s="75">
        <f ca="1">IF(controls!$B$6=2,AVERAGE(E177:E180)+B180*W181+hystere!$AG$9,AVERAGE(E177:E180)+B180*W181)</f>
        <v>100</v>
      </c>
      <c r="C181" s="80">
        <f t="shared" ca="1" si="13"/>
        <v>0</v>
      </c>
      <c r="D181" s="105">
        <f t="shared" ca="1" si="14"/>
        <v>0</v>
      </c>
      <c r="E181" s="77">
        <f t="shared" ca="1" si="15"/>
        <v>100</v>
      </c>
      <c r="F181" s="77">
        <f ca="1">IF('main page'!$K$34=1,hystere!H181,hystere!G181)</f>
        <v>100</v>
      </c>
      <c r="G181" s="94">
        <f ca="1">I181-'main page'!$K$27*hystere!N180</f>
        <v>100</v>
      </c>
      <c r="H181" s="75">
        <f ca="1">J181-'main page'!$K$27*N180</f>
        <v>100</v>
      </c>
      <c r="I181" s="75">
        <f t="shared" ca="1" si="16"/>
        <v>108</v>
      </c>
      <c r="J181" s="75">
        <f t="shared" ca="1" si="17"/>
        <v>108</v>
      </c>
      <c r="M181" s="75">
        <f ca="1">IF(ABS('main page'!$K$29*M180+(1-'main page'!$K$29)*(controls!$B$9/100)*100+'main page'!$K$25*(E181-B181)-M180)&lt;0.0000001,M180,'main page'!$K$29*M180+(1-'main page'!$K$29)*(controls!$B$9/100)*100+'main page'!$K$25*(E181-B181))</f>
        <v>2</v>
      </c>
      <c r="N181" s="75">
        <f ca="1">IF(controls!$B$10=1,N180,O181-'main page'!$K$29*M181-(1-'main page'!$K$29)*controls!$B$9)</f>
        <v>4</v>
      </c>
      <c r="O181" s="74">
        <f t="shared" ca="1" si="12"/>
        <v>6</v>
      </c>
      <c r="P181" s="76">
        <f ca="1">IF(controls!$B$10=1,hystere!N181+hystere!M181,hystere!Q181)</f>
        <v>6</v>
      </c>
      <c r="Q181" s="74">
        <f ca="1">IF('main page'!$Y$53=1,'choose m.p.'!$I$22*100,R181)</f>
        <v>6</v>
      </c>
      <c r="R181" s="100">
        <f ca="1">'main page'!$K$29*M181+(1-'main page'!$K$29)*controls!$B$9+S181+(('main page'!$K$25*'main page'!$U$13*'main page'!$K$29)/('main page'!$K$27*(1+('main page'!$K$25^2)*'main page'!$U$13)))*(M181-(controls!$B$9/100)*100)</f>
        <v>6</v>
      </c>
      <c r="S181" s="98">
        <f ca="1">IF(controls!$B$33=1,(J182-E181*X182-B181)/'main page'!$K$27,(I182-E181*X182-B181)/'main page'!$K$27)</f>
        <v>4</v>
      </c>
      <c r="U181" s="71">
        <f>IF(controls!$B$6=1,$AG$4*(1+('main page'!$K$35/100))^V181-$AG$4*(1+('main page'!$K$35/100))^V180,$AG$4*(1+('main page'!$G$8/100))*(1+('main page'!$K$35/100))^V181-$AG$4*(1+('main page'!$G$8/100))*(1+('main page'!$K$35/100))^V180)</f>
        <v>0</v>
      </c>
      <c r="V181" s="73">
        <v>173</v>
      </c>
      <c r="W181" s="40">
        <f>'normal case'!V180</f>
        <v>0</v>
      </c>
      <c r="X181" s="40">
        <f>'normal case'!W180</f>
        <v>0</v>
      </c>
      <c r="Y181" s="49">
        <f ca="1">IF(controls!$B$33=1,E181-($J$4-'main page'!$K$27*2)*(1+('main page'!$K$35/100))^A180,E181-$AG$5)</f>
        <v>0</v>
      </c>
      <c r="Z181" s="49">
        <f ca="1">ABS(M181-(controls!$B$9/100)*100)</f>
        <v>0</v>
      </c>
      <c r="AI181" s="40"/>
      <c r="AJ181" s="40"/>
    </row>
    <row r="182" spans="1:36">
      <c r="A182" s="48">
        <v>179</v>
      </c>
      <c r="B182" s="75">
        <f ca="1">IF(controls!$B$6=2,AVERAGE(E178:E181)+B181*W182+hystere!$AG$9,AVERAGE(E178:E181)+B181*W182)</f>
        <v>100</v>
      </c>
      <c r="C182" s="80">
        <f t="shared" ca="1" si="13"/>
        <v>0</v>
      </c>
      <c r="D182" s="105">
        <f t="shared" ca="1" si="14"/>
        <v>0</v>
      </c>
      <c r="E182" s="77">
        <f t="shared" ca="1" si="15"/>
        <v>100</v>
      </c>
      <c r="F182" s="77">
        <f ca="1">IF('main page'!$K$34=1,hystere!H182,hystere!G182)</f>
        <v>100</v>
      </c>
      <c r="G182" s="94">
        <f ca="1">I182-'main page'!$K$27*hystere!N181</f>
        <v>100</v>
      </c>
      <c r="H182" s="75">
        <f ca="1">J182-'main page'!$K$27*N181</f>
        <v>100</v>
      </c>
      <c r="I182" s="75">
        <f t="shared" ca="1" si="16"/>
        <v>108</v>
      </c>
      <c r="J182" s="75">
        <f t="shared" ca="1" si="17"/>
        <v>108</v>
      </c>
      <c r="M182" s="75">
        <f ca="1">IF(ABS('main page'!$K$29*M181+(1-'main page'!$K$29)*(controls!$B$9/100)*100+'main page'!$K$25*(E182-B182)-M181)&lt;0.0000001,M181,'main page'!$K$29*M181+(1-'main page'!$K$29)*(controls!$B$9/100)*100+'main page'!$K$25*(E182-B182))</f>
        <v>2</v>
      </c>
      <c r="N182" s="75">
        <f ca="1">IF(controls!$B$10=1,N181,O182-'main page'!$K$29*M182-(1-'main page'!$K$29)*controls!$B$9)</f>
        <v>4</v>
      </c>
      <c r="O182" s="74">
        <f t="shared" ca="1" si="12"/>
        <v>6</v>
      </c>
      <c r="P182" s="76">
        <f ca="1">IF(controls!$B$10=1,hystere!N182+hystere!M182,hystere!Q182)</f>
        <v>6</v>
      </c>
      <c r="Q182" s="74">
        <f ca="1">IF('main page'!$Y$53=1,'choose m.p.'!$I$22*100,R182)</f>
        <v>6</v>
      </c>
      <c r="R182" s="100">
        <f ca="1">'main page'!$K$29*M182+(1-'main page'!$K$29)*controls!$B$9+S182+(('main page'!$K$25*'main page'!$U$13*'main page'!$K$29)/('main page'!$K$27*(1+('main page'!$K$25^2)*'main page'!$U$13)))*(M182-(controls!$B$9/100)*100)</f>
        <v>6</v>
      </c>
      <c r="S182" s="98">
        <f ca="1">IF(controls!$B$33=1,(J183-E182*X183-B182)/'main page'!$K$27,(I183-E182*X183-B182)/'main page'!$K$27)</f>
        <v>4</v>
      </c>
      <c r="U182" s="71">
        <f>IF(controls!$B$6=1,$AG$4*(1+('main page'!$K$35/100))^V182-$AG$4*(1+('main page'!$K$35/100))^V181,$AG$4*(1+('main page'!$G$8/100))*(1+('main page'!$K$35/100))^V182-$AG$4*(1+('main page'!$G$8/100))*(1+('main page'!$K$35/100))^V181)</f>
        <v>0</v>
      </c>
      <c r="V182" s="73">
        <v>174</v>
      </c>
      <c r="W182" s="40">
        <f>'normal case'!V181</f>
        <v>0</v>
      </c>
      <c r="X182" s="40">
        <f>'normal case'!W181</f>
        <v>0</v>
      </c>
      <c r="Y182" s="49">
        <f ca="1">IF(controls!$B$33=1,E182-($J$4-'main page'!$K$27*2)*(1+('main page'!$K$35/100))^A181,E182-$AG$5)</f>
        <v>0</v>
      </c>
      <c r="Z182" s="49">
        <f ca="1">ABS(M182-(controls!$B$9/100)*100)</f>
        <v>0</v>
      </c>
      <c r="AI182" s="40"/>
      <c r="AJ182" s="40"/>
    </row>
    <row r="183" spans="1:36">
      <c r="A183" s="48">
        <v>180</v>
      </c>
      <c r="B183" s="75">
        <f ca="1">IF(controls!$B$6=2,AVERAGE(E179:E182)+B182*W183+hystere!$AG$9,AVERAGE(E179:E182)+B182*W183)</f>
        <v>100</v>
      </c>
      <c r="C183" s="80">
        <f t="shared" ca="1" si="13"/>
        <v>0</v>
      </c>
      <c r="D183" s="105">
        <f t="shared" ca="1" si="14"/>
        <v>0</v>
      </c>
      <c r="E183" s="77">
        <f t="shared" ca="1" si="15"/>
        <v>100</v>
      </c>
      <c r="F183" s="77">
        <f ca="1">IF('main page'!$K$34=1,hystere!H183,hystere!G183)</f>
        <v>100</v>
      </c>
      <c r="G183" s="94">
        <f ca="1">I183-'main page'!$K$27*hystere!N182</f>
        <v>100</v>
      </c>
      <c r="H183" s="75">
        <f ca="1">J183-'main page'!$K$27*N182</f>
        <v>100</v>
      </c>
      <c r="I183" s="75">
        <f t="shared" ca="1" si="16"/>
        <v>108</v>
      </c>
      <c r="J183" s="75">
        <f t="shared" ca="1" si="17"/>
        <v>108</v>
      </c>
      <c r="M183" s="75">
        <f ca="1">IF(ABS('main page'!$K$29*M182+(1-'main page'!$K$29)*(controls!$B$9/100)*100+'main page'!$K$25*(E183-B183)-M182)&lt;0.0000001,M182,'main page'!$K$29*M182+(1-'main page'!$K$29)*(controls!$B$9/100)*100+'main page'!$K$25*(E183-B183))</f>
        <v>2</v>
      </c>
      <c r="N183" s="75">
        <f ca="1">IF(controls!$B$10=1,N182,O183-'main page'!$K$29*M183-(1-'main page'!$K$29)*controls!$B$9)</f>
        <v>4</v>
      </c>
      <c r="O183" s="74">
        <f t="shared" ca="1" si="12"/>
        <v>6</v>
      </c>
      <c r="P183" s="76">
        <f ca="1">IF(controls!$B$10=1,hystere!N183+hystere!M183,hystere!Q183)</f>
        <v>6</v>
      </c>
      <c r="Q183" s="74">
        <f ca="1">IF('main page'!$Y$53=1,'choose m.p.'!$I$22*100,R183)</f>
        <v>6</v>
      </c>
      <c r="R183" s="100">
        <f ca="1">'main page'!$K$29*M183+(1-'main page'!$K$29)*controls!$B$9+S183+(('main page'!$K$25*'main page'!$U$13*'main page'!$K$29)/('main page'!$K$27*(1+('main page'!$K$25^2)*'main page'!$U$13)))*(M183-(controls!$B$9/100)*100)</f>
        <v>6</v>
      </c>
      <c r="S183" s="98">
        <f ca="1">IF(controls!$B$33=1,(J184-E183*X184-B183)/'main page'!$K$27,(I184-E183*X184-B183)/'main page'!$K$27)</f>
        <v>4</v>
      </c>
      <c r="U183" s="71">
        <f>IF(controls!$B$6=1,$AG$4*(1+('main page'!$K$35/100))^V183-$AG$4*(1+('main page'!$K$35/100))^V182,$AG$4*(1+('main page'!$G$8/100))*(1+('main page'!$K$35/100))^V183-$AG$4*(1+('main page'!$G$8/100))*(1+('main page'!$K$35/100))^V182)</f>
        <v>0</v>
      </c>
      <c r="V183" s="73">
        <v>175</v>
      </c>
      <c r="W183" s="40">
        <f ca="1">'normal case'!V182</f>
        <v>0</v>
      </c>
      <c r="X183" s="40">
        <f ca="1">'normal case'!W182</f>
        <v>0</v>
      </c>
      <c r="Y183" s="49">
        <f ca="1">IF(controls!$B$33=1,E183-($J$4-'main page'!$K$27*2)*(1+('main page'!$K$35/100))^A182,E183-$AG$5)</f>
        <v>0</v>
      </c>
      <c r="Z183" s="49">
        <f ca="1">ABS(M183-(controls!$B$9/100)*100)</f>
        <v>0</v>
      </c>
      <c r="AI183" s="40"/>
      <c r="AJ183" s="40"/>
    </row>
    <row r="184" spans="1:36">
      <c r="A184" s="48">
        <v>181</v>
      </c>
      <c r="B184" s="75">
        <f ca="1">IF(controls!$B$6=2,AVERAGE(E180:E183)+B183*W184+hystere!$AG$9,AVERAGE(E180:E183)+B183*W184)</f>
        <v>100</v>
      </c>
      <c r="C184" s="80">
        <f t="shared" ca="1" si="13"/>
        <v>0</v>
      </c>
      <c r="D184" s="105">
        <f t="shared" ca="1" si="14"/>
        <v>0</v>
      </c>
      <c r="E184" s="77">
        <f t="shared" ca="1" si="15"/>
        <v>100</v>
      </c>
      <c r="F184" s="77">
        <f ca="1">IF('main page'!$K$34=1,hystere!H184,hystere!G184)</f>
        <v>100</v>
      </c>
      <c r="G184" s="94">
        <f ca="1">I184-'main page'!$K$27*hystere!N183</f>
        <v>100</v>
      </c>
      <c r="H184" s="75">
        <f ca="1">J184-'main page'!$K$27*N183</f>
        <v>100</v>
      </c>
      <c r="I184" s="75">
        <f t="shared" ca="1" si="16"/>
        <v>108</v>
      </c>
      <c r="J184" s="75">
        <f t="shared" ca="1" si="17"/>
        <v>108</v>
      </c>
      <c r="M184" s="75">
        <f ca="1">IF(ABS('main page'!$K$29*M183+(1-'main page'!$K$29)*(controls!$B$9/100)*100+'main page'!$K$25*(E184-B184)-M183)&lt;0.0000001,M183,'main page'!$K$29*M183+(1-'main page'!$K$29)*(controls!$B$9/100)*100+'main page'!$K$25*(E184-B184))</f>
        <v>2</v>
      </c>
      <c r="N184" s="75">
        <f ca="1">IF(controls!$B$10=1,N183,O184-'main page'!$K$29*M184-(1-'main page'!$K$29)*controls!$B$9)</f>
        <v>4</v>
      </c>
      <c r="O184" s="74">
        <f t="shared" ca="1" si="12"/>
        <v>6</v>
      </c>
      <c r="P184" s="76">
        <f ca="1">IF(controls!$B$10=1,hystere!N184+hystere!M184,hystere!Q184)</f>
        <v>6</v>
      </c>
      <c r="Q184" s="74">
        <f ca="1">IF('main page'!$Y$53=1,'choose m.p.'!$I$22*100,R184)</f>
        <v>6</v>
      </c>
      <c r="R184" s="100">
        <f ca="1">'main page'!$K$29*M184+(1-'main page'!$K$29)*controls!$B$9+S184+(('main page'!$K$25*'main page'!$U$13*'main page'!$K$29)/('main page'!$K$27*(1+('main page'!$K$25^2)*'main page'!$U$13)))*(M184-(controls!$B$9/100)*100)</f>
        <v>6</v>
      </c>
      <c r="S184" s="98">
        <f ca="1">IF(controls!$B$33=1,(J185-E184*X185-B184)/'main page'!$K$27,(I185-E184*X185-B184)/'main page'!$K$27)</f>
        <v>4</v>
      </c>
      <c r="U184" s="71">
        <f>IF(controls!$B$6=1,$AG$4*(1+('main page'!$K$35/100))^V184-$AG$4*(1+('main page'!$K$35/100))^V183,$AG$4*(1+('main page'!$G$8/100))*(1+('main page'!$K$35/100))^V184-$AG$4*(1+('main page'!$G$8/100))*(1+('main page'!$K$35/100))^V183)</f>
        <v>0</v>
      </c>
      <c r="V184" s="73">
        <v>176</v>
      </c>
      <c r="W184" s="40">
        <f>'normal case'!V183</f>
        <v>0</v>
      </c>
      <c r="X184" s="40">
        <f>'normal case'!W183</f>
        <v>0</v>
      </c>
      <c r="Y184" s="49">
        <f ca="1">IF(controls!$B$33=1,E184-($J$4-'main page'!$K$27*2)*(1+('main page'!$K$35/100))^A183,E184-$AG$5)</f>
        <v>0</v>
      </c>
      <c r="Z184" s="49">
        <f ca="1">ABS(M184-(controls!$B$9/100)*100)</f>
        <v>0</v>
      </c>
      <c r="AI184" s="40"/>
      <c r="AJ184" s="40"/>
    </row>
    <row r="185" spans="1:36">
      <c r="A185" s="48">
        <v>182</v>
      </c>
      <c r="B185" s="75">
        <f ca="1">IF(controls!$B$6=2,AVERAGE(E181:E184)+B184*W185+hystere!$AG$9,AVERAGE(E181:E184)+B184*W185)</f>
        <v>100</v>
      </c>
      <c r="C185" s="80">
        <f t="shared" ca="1" si="13"/>
        <v>0</v>
      </c>
      <c r="D185" s="105">
        <f t="shared" ca="1" si="14"/>
        <v>0</v>
      </c>
      <c r="E185" s="77">
        <f t="shared" ca="1" si="15"/>
        <v>100</v>
      </c>
      <c r="F185" s="77">
        <f ca="1">IF('main page'!$K$34=1,hystere!H185,hystere!G185)</f>
        <v>100</v>
      </c>
      <c r="G185" s="94">
        <f ca="1">I185-'main page'!$K$27*hystere!N184</f>
        <v>100</v>
      </c>
      <c r="H185" s="75">
        <f ca="1">J185-'main page'!$K$27*N184</f>
        <v>100</v>
      </c>
      <c r="I185" s="75">
        <f t="shared" ca="1" si="16"/>
        <v>108</v>
      </c>
      <c r="J185" s="75">
        <f t="shared" ca="1" si="17"/>
        <v>108</v>
      </c>
      <c r="M185" s="75">
        <f ca="1">IF(ABS('main page'!$K$29*M184+(1-'main page'!$K$29)*(controls!$B$9/100)*100+'main page'!$K$25*(E185-B185)-M184)&lt;0.0000001,M184,'main page'!$K$29*M184+(1-'main page'!$K$29)*(controls!$B$9/100)*100+'main page'!$K$25*(E185-B185))</f>
        <v>2</v>
      </c>
      <c r="N185" s="75">
        <f ca="1">IF(controls!$B$10=1,N184,O185-'main page'!$K$29*M185-(1-'main page'!$K$29)*controls!$B$9)</f>
        <v>4</v>
      </c>
      <c r="O185" s="74">
        <f t="shared" ca="1" si="12"/>
        <v>6</v>
      </c>
      <c r="P185" s="76">
        <f ca="1">IF(controls!$B$10=1,hystere!N185+hystere!M185,hystere!Q185)</f>
        <v>6</v>
      </c>
      <c r="Q185" s="74">
        <f ca="1">IF('main page'!$Y$53=1,'choose m.p.'!$I$22*100,R185)</f>
        <v>6</v>
      </c>
      <c r="R185" s="100">
        <f ca="1">'main page'!$K$29*M185+(1-'main page'!$K$29)*controls!$B$9+S185+(('main page'!$K$25*'main page'!$U$13*'main page'!$K$29)/('main page'!$K$27*(1+('main page'!$K$25^2)*'main page'!$U$13)))*(M185-(controls!$B$9/100)*100)</f>
        <v>6</v>
      </c>
      <c r="S185" s="98">
        <f ca="1">IF(controls!$B$33=1,(J186-E185*X186-B185)/'main page'!$K$27,(I186-E185*X186-B185)/'main page'!$K$27)</f>
        <v>4</v>
      </c>
      <c r="U185" s="71">
        <f>IF(controls!$B$6=1,$AG$4*(1+('main page'!$K$35/100))^V185-$AG$4*(1+('main page'!$K$35/100))^V184,$AG$4*(1+('main page'!$G$8/100))*(1+('main page'!$K$35/100))^V185-$AG$4*(1+('main page'!$G$8/100))*(1+('main page'!$K$35/100))^V184)</f>
        <v>0</v>
      </c>
      <c r="V185" s="73">
        <v>177</v>
      </c>
      <c r="W185" s="40">
        <f>'normal case'!V184</f>
        <v>0</v>
      </c>
      <c r="X185" s="40">
        <f>'normal case'!W184</f>
        <v>0</v>
      </c>
      <c r="Y185" s="49">
        <f ca="1">IF(controls!$B$33=1,E185-($J$4-'main page'!$K$27*2)*(1+('main page'!$K$35/100))^A184,E185-$AG$5)</f>
        <v>0</v>
      </c>
      <c r="Z185" s="49">
        <f ca="1">ABS(M185-(controls!$B$9/100)*100)</f>
        <v>0</v>
      </c>
      <c r="AI185" s="40"/>
      <c r="AJ185" s="40"/>
    </row>
    <row r="186" spans="1:36">
      <c r="A186" s="48">
        <v>183</v>
      </c>
      <c r="B186" s="75">
        <f ca="1">IF(controls!$B$6=2,AVERAGE(E182:E185)+B185*W186+hystere!$AG$9,AVERAGE(E182:E185)+B185*W186)</f>
        <v>100</v>
      </c>
      <c r="C186" s="80">
        <f t="shared" ca="1" si="13"/>
        <v>0</v>
      </c>
      <c r="D186" s="105">
        <f t="shared" ca="1" si="14"/>
        <v>0</v>
      </c>
      <c r="E186" s="77">
        <f t="shared" ca="1" si="15"/>
        <v>100</v>
      </c>
      <c r="F186" s="77">
        <f ca="1">IF('main page'!$K$34=1,hystere!H186,hystere!G186)</f>
        <v>100</v>
      </c>
      <c r="G186" s="94">
        <f ca="1">I186-'main page'!$K$27*hystere!N185</f>
        <v>100</v>
      </c>
      <c r="H186" s="75">
        <f ca="1">J186-'main page'!$K$27*N185</f>
        <v>100</v>
      </c>
      <c r="I186" s="75">
        <f t="shared" ca="1" si="16"/>
        <v>108</v>
      </c>
      <c r="J186" s="75">
        <f t="shared" ca="1" si="17"/>
        <v>108</v>
      </c>
      <c r="M186" s="75">
        <f ca="1">IF(ABS('main page'!$K$29*M185+(1-'main page'!$K$29)*(controls!$B$9/100)*100+'main page'!$K$25*(E186-B186)-M185)&lt;0.0000001,M185,'main page'!$K$29*M185+(1-'main page'!$K$29)*(controls!$B$9/100)*100+'main page'!$K$25*(E186-B186))</f>
        <v>2</v>
      </c>
      <c r="N186" s="75">
        <f ca="1">IF(controls!$B$10=1,N185,O186-'main page'!$K$29*M186-(1-'main page'!$K$29)*controls!$B$9)</f>
        <v>4</v>
      </c>
      <c r="O186" s="74">
        <f t="shared" ca="1" si="12"/>
        <v>6</v>
      </c>
      <c r="P186" s="76">
        <f ca="1">IF(controls!$B$10=1,hystere!N186+hystere!M186,hystere!Q186)</f>
        <v>6</v>
      </c>
      <c r="Q186" s="74">
        <f ca="1">IF('main page'!$Y$53=1,'choose m.p.'!$I$22*100,R186)</f>
        <v>6</v>
      </c>
      <c r="R186" s="100">
        <f ca="1">'main page'!$K$29*M186+(1-'main page'!$K$29)*controls!$B$9+S186+(('main page'!$K$25*'main page'!$U$13*'main page'!$K$29)/('main page'!$K$27*(1+('main page'!$K$25^2)*'main page'!$U$13)))*(M186-(controls!$B$9/100)*100)</f>
        <v>6</v>
      </c>
      <c r="S186" s="98">
        <f ca="1">IF(controls!$B$33=1,(J187-E186*X187-B186)/'main page'!$K$27,(I187-E186*X187-B186)/'main page'!$K$27)</f>
        <v>4</v>
      </c>
      <c r="U186" s="71">
        <f>IF(controls!$B$6=1,$AG$4*(1+('main page'!$K$35/100))^V186-$AG$4*(1+('main page'!$K$35/100))^V185,$AG$4*(1+('main page'!$G$8/100))*(1+('main page'!$K$35/100))^V186-$AG$4*(1+('main page'!$G$8/100))*(1+('main page'!$K$35/100))^V185)</f>
        <v>0</v>
      </c>
      <c r="V186" s="73">
        <v>178</v>
      </c>
      <c r="W186" s="40">
        <f ca="1">'normal case'!V185</f>
        <v>0</v>
      </c>
      <c r="X186" s="40">
        <f ca="1">'normal case'!W185</f>
        <v>0</v>
      </c>
      <c r="Y186" s="49">
        <f ca="1">IF(controls!$B$33=1,E186-($J$4-'main page'!$K$27*2)*(1+('main page'!$K$35/100))^A185,E186-$AG$5)</f>
        <v>0</v>
      </c>
      <c r="Z186" s="49">
        <f ca="1">ABS(M186-(controls!$B$9/100)*100)</f>
        <v>0</v>
      </c>
      <c r="AI186" s="40"/>
      <c r="AJ186" s="40"/>
    </row>
    <row r="187" spans="1:36">
      <c r="A187" s="48">
        <v>184</v>
      </c>
      <c r="B187" s="75">
        <f ca="1">IF(controls!$B$6=2,AVERAGE(E183:E186)+B186*W187+hystere!$AG$9,AVERAGE(E183:E186)+B186*W187)</f>
        <v>100</v>
      </c>
      <c r="C187" s="80">
        <f t="shared" ca="1" si="13"/>
        <v>0</v>
      </c>
      <c r="D187" s="105">
        <f t="shared" ca="1" si="14"/>
        <v>0</v>
      </c>
      <c r="E187" s="77">
        <f t="shared" ca="1" si="15"/>
        <v>100</v>
      </c>
      <c r="F187" s="77">
        <f ca="1">IF('main page'!$K$34=1,hystere!H187,hystere!G187)</f>
        <v>100</v>
      </c>
      <c r="G187" s="94">
        <f ca="1">I187-'main page'!$K$27*hystere!N186</f>
        <v>100</v>
      </c>
      <c r="H187" s="75">
        <f ca="1">J187-'main page'!$K$27*N186</f>
        <v>100</v>
      </c>
      <c r="I187" s="75">
        <f t="shared" ca="1" si="16"/>
        <v>108</v>
      </c>
      <c r="J187" s="75">
        <f t="shared" ca="1" si="17"/>
        <v>108</v>
      </c>
      <c r="M187" s="75">
        <f ca="1">IF(ABS('main page'!$K$29*M186+(1-'main page'!$K$29)*(controls!$B$9/100)*100+'main page'!$K$25*(E187-B187)-M186)&lt;0.0000001,M186,'main page'!$K$29*M186+(1-'main page'!$K$29)*(controls!$B$9/100)*100+'main page'!$K$25*(E187-B187))</f>
        <v>2</v>
      </c>
      <c r="N187" s="75">
        <f ca="1">IF(controls!$B$10=1,N186,O187-'main page'!$K$29*M187-(1-'main page'!$K$29)*controls!$B$9)</f>
        <v>4</v>
      </c>
      <c r="O187" s="74">
        <f t="shared" ca="1" si="12"/>
        <v>6</v>
      </c>
      <c r="P187" s="76">
        <f ca="1">IF(controls!$B$10=1,hystere!N187+hystere!M187,hystere!Q187)</f>
        <v>6</v>
      </c>
      <c r="Q187" s="74">
        <f ca="1">IF('main page'!$Y$53=1,'choose m.p.'!$I$22*100,R187)</f>
        <v>6</v>
      </c>
      <c r="R187" s="100">
        <f ca="1">'main page'!$K$29*M187+(1-'main page'!$K$29)*controls!$B$9+S187+(('main page'!$K$25*'main page'!$U$13*'main page'!$K$29)/('main page'!$K$27*(1+('main page'!$K$25^2)*'main page'!$U$13)))*(M187-(controls!$B$9/100)*100)</f>
        <v>6</v>
      </c>
      <c r="S187" s="98">
        <f ca="1">IF(controls!$B$33=1,(J188-E187*X188-B187)/'main page'!$K$27,(I188-E187*X188-B187)/'main page'!$K$27)</f>
        <v>4</v>
      </c>
      <c r="U187" s="71">
        <f>IF(controls!$B$6=1,$AG$4*(1+('main page'!$K$35/100))^V187-$AG$4*(1+('main page'!$K$35/100))^V186,$AG$4*(1+('main page'!$G$8/100))*(1+('main page'!$K$35/100))^V187-$AG$4*(1+('main page'!$G$8/100))*(1+('main page'!$K$35/100))^V186)</f>
        <v>0</v>
      </c>
      <c r="V187" s="73">
        <v>179</v>
      </c>
      <c r="W187" s="40">
        <f>'normal case'!V186</f>
        <v>0</v>
      </c>
      <c r="X187" s="40">
        <f>'normal case'!W186</f>
        <v>0</v>
      </c>
      <c r="Y187" s="49">
        <f ca="1">IF(controls!$B$33=1,E187-($J$4-'main page'!$K$27*2)*(1+('main page'!$K$35/100))^A186,E187-$AG$5)</f>
        <v>0</v>
      </c>
      <c r="Z187" s="49">
        <f ca="1">ABS(M187-(controls!$B$9/100)*100)</f>
        <v>0</v>
      </c>
      <c r="AI187" s="40"/>
      <c r="AJ187" s="40"/>
    </row>
    <row r="188" spans="1:36">
      <c r="A188" s="48">
        <v>185</v>
      </c>
      <c r="B188" s="75">
        <f ca="1">IF(controls!$B$6=2,AVERAGE(E184:E187)+B187*W188+hystere!$AG$9,AVERAGE(E184:E187)+B187*W188)</f>
        <v>100</v>
      </c>
      <c r="C188" s="80">
        <f t="shared" ca="1" si="13"/>
        <v>0</v>
      </c>
      <c r="D188" s="105">
        <f t="shared" ca="1" si="14"/>
        <v>0</v>
      </c>
      <c r="E188" s="77">
        <f t="shared" ca="1" si="15"/>
        <v>100</v>
      </c>
      <c r="F188" s="77">
        <f ca="1">IF('main page'!$K$34=1,hystere!H188,hystere!G188)</f>
        <v>100</v>
      </c>
      <c r="G188" s="94">
        <f ca="1">I188-'main page'!$K$27*hystere!N187</f>
        <v>100</v>
      </c>
      <c r="H188" s="75">
        <f ca="1">J188-'main page'!$K$27*N187</f>
        <v>100</v>
      </c>
      <c r="I188" s="75">
        <f t="shared" ca="1" si="16"/>
        <v>108</v>
      </c>
      <c r="J188" s="75">
        <f t="shared" ca="1" si="17"/>
        <v>108</v>
      </c>
      <c r="M188" s="75">
        <f ca="1">IF(ABS('main page'!$K$29*M187+(1-'main page'!$K$29)*(controls!$B$9/100)*100+'main page'!$K$25*(E188-B188)-M187)&lt;0.0000001,M187,'main page'!$K$29*M187+(1-'main page'!$K$29)*(controls!$B$9/100)*100+'main page'!$K$25*(E188-B188))</f>
        <v>2</v>
      </c>
      <c r="N188" s="75">
        <f ca="1">IF(controls!$B$10=1,N187,O188-'main page'!$K$29*M188-(1-'main page'!$K$29)*controls!$B$9)</f>
        <v>4</v>
      </c>
      <c r="O188" s="74">
        <f t="shared" ca="1" si="12"/>
        <v>6</v>
      </c>
      <c r="P188" s="76">
        <f ca="1">IF(controls!$B$10=1,hystere!N188+hystere!M188,hystere!Q188)</f>
        <v>6</v>
      </c>
      <c r="Q188" s="74">
        <f ca="1">IF('main page'!$Y$53=1,'choose m.p.'!$I$22*100,R188)</f>
        <v>6</v>
      </c>
      <c r="R188" s="100">
        <f ca="1">'main page'!$K$29*M188+(1-'main page'!$K$29)*controls!$B$9+S188+(('main page'!$K$25*'main page'!$U$13*'main page'!$K$29)/('main page'!$K$27*(1+('main page'!$K$25^2)*'main page'!$U$13)))*(M188-(controls!$B$9/100)*100)</f>
        <v>6</v>
      </c>
      <c r="S188" s="98">
        <f ca="1">IF(controls!$B$33=1,(J189-E188*X189-B188)/'main page'!$K$27,(I189-E188*X189-B188)/'main page'!$K$27)</f>
        <v>4</v>
      </c>
      <c r="U188" s="71">
        <f>IF(controls!$B$6=1,$AG$4*(1+('main page'!$K$35/100))^V188-$AG$4*(1+('main page'!$K$35/100))^V187,$AG$4*(1+('main page'!$G$8/100))*(1+('main page'!$K$35/100))^V188-$AG$4*(1+('main page'!$G$8/100))*(1+('main page'!$K$35/100))^V187)</f>
        <v>0</v>
      </c>
      <c r="V188" s="73">
        <v>180</v>
      </c>
      <c r="W188" s="40">
        <f>'normal case'!V187</f>
        <v>0</v>
      </c>
      <c r="X188" s="40">
        <f>'normal case'!W187</f>
        <v>0</v>
      </c>
      <c r="Y188" s="49">
        <f ca="1">IF(controls!$B$33=1,E188-($J$4-'main page'!$K$27*2)*(1+('main page'!$K$35/100))^A187,E188-$AG$5)</f>
        <v>0</v>
      </c>
      <c r="Z188" s="49">
        <f ca="1">ABS(M188-(controls!$B$9/100)*100)</f>
        <v>0</v>
      </c>
      <c r="AI188" s="40"/>
      <c r="AJ188" s="40"/>
    </row>
    <row r="189" spans="1:36">
      <c r="A189" s="48">
        <v>186</v>
      </c>
      <c r="B189" s="75">
        <f ca="1">IF(controls!$B$6=2,AVERAGE(E185:E188)+B188*W189+hystere!$AG$9,AVERAGE(E185:E188)+B188*W189)</f>
        <v>100</v>
      </c>
      <c r="C189" s="80">
        <f t="shared" ca="1" si="13"/>
        <v>0</v>
      </c>
      <c r="D189" s="105">
        <f t="shared" ca="1" si="14"/>
        <v>0</v>
      </c>
      <c r="E189" s="77">
        <f t="shared" ca="1" si="15"/>
        <v>100</v>
      </c>
      <c r="F189" s="77">
        <f ca="1">IF('main page'!$K$34=1,hystere!H189,hystere!G189)</f>
        <v>100</v>
      </c>
      <c r="G189" s="94">
        <f ca="1">I189-'main page'!$K$27*hystere!N188</f>
        <v>100</v>
      </c>
      <c r="H189" s="75">
        <f ca="1">J189-'main page'!$K$27*N188</f>
        <v>100</v>
      </c>
      <c r="I189" s="75">
        <f t="shared" ca="1" si="16"/>
        <v>108</v>
      </c>
      <c r="J189" s="75">
        <f t="shared" ca="1" si="17"/>
        <v>108</v>
      </c>
      <c r="M189" s="75">
        <f ca="1">IF(ABS('main page'!$K$29*M188+(1-'main page'!$K$29)*(controls!$B$9/100)*100+'main page'!$K$25*(E189-B189)-M188)&lt;0.0000001,M188,'main page'!$K$29*M188+(1-'main page'!$K$29)*(controls!$B$9/100)*100+'main page'!$K$25*(E189-B189))</f>
        <v>2</v>
      </c>
      <c r="N189" s="75">
        <f ca="1">IF(controls!$B$10=1,N188,O189-'main page'!$K$29*M189-(1-'main page'!$K$29)*controls!$B$9)</f>
        <v>4</v>
      </c>
      <c r="O189" s="74">
        <f t="shared" ca="1" si="12"/>
        <v>6</v>
      </c>
      <c r="P189" s="76">
        <f ca="1">IF(controls!$B$10=1,hystere!N189+hystere!M189,hystere!Q189)</f>
        <v>6</v>
      </c>
      <c r="Q189" s="74">
        <f ca="1">IF('main page'!$Y$53=1,'choose m.p.'!$I$22*100,R189)</f>
        <v>6</v>
      </c>
      <c r="R189" s="100">
        <f ca="1">'main page'!$K$29*M189+(1-'main page'!$K$29)*controls!$B$9+S189+(('main page'!$K$25*'main page'!$U$13*'main page'!$K$29)/('main page'!$K$27*(1+('main page'!$K$25^2)*'main page'!$U$13)))*(M189-(controls!$B$9/100)*100)</f>
        <v>6</v>
      </c>
      <c r="S189" s="98">
        <f ca="1">IF(controls!$B$33=1,(J190-E189*X190-B189)/'main page'!$K$27,(I190-E189*X190-B189)/'main page'!$K$27)</f>
        <v>4</v>
      </c>
      <c r="U189" s="71">
        <f>IF(controls!$B$6=1,$AG$4*(1+('main page'!$K$35/100))^V189-$AG$4*(1+('main page'!$K$35/100))^V188,$AG$4*(1+('main page'!$G$8/100))*(1+('main page'!$K$35/100))^V189-$AG$4*(1+('main page'!$G$8/100))*(1+('main page'!$K$35/100))^V188)</f>
        <v>0</v>
      </c>
      <c r="V189" s="73">
        <v>181</v>
      </c>
      <c r="W189" s="40">
        <f ca="1">'normal case'!V188</f>
        <v>0</v>
      </c>
      <c r="X189" s="40">
        <f ca="1">'normal case'!W188</f>
        <v>0</v>
      </c>
      <c r="Y189" s="49">
        <f ca="1">IF(controls!$B$33=1,E189-($J$4-'main page'!$K$27*2)*(1+('main page'!$K$35/100))^A188,E189-$AG$5)</f>
        <v>0</v>
      </c>
      <c r="Z189" s="49">
        <f ca="1">ABS(M189-(controls!$B$9/100)*100)</f>
        <v>0</v>
      </c>
      <c r="AI189" s="40"/>
      <c r="AJ189" s="40"/>
    </row>
    <row r="190" spans="1:36">
      <c r="A190" s="48">
        <v>187</v>
      </c>
      <c r="B190" s="75">
        <f ca="1">IF(controls!$B$6=2,AVERAGE(E186:E189)+B189*W190+hystere!$AG$9,AVERAGE(E186:E189)+B189*W190)</f>
        <v>100</v>
      </c>
      <c r="C190" s="80">
        <f t="shared" ca="1" si="13"/>
        <v>0</v>
      </c>
      <c r="D190" s="105">
        <f t="shared" ca="1" si="14"/>
        <v>0</v>
      </c>
      <c r="E190" s="77">
        <f t="shared" ca="1" si="15"/>
        <v>100</v>
      </c>
      <c r="F190" s="77">
        <f ca="1">IF('main page'!$K$34=1,hystere!H190,hystere!G190)</f>
        <v>100</v>
      </c>
      <c r="G190" s="94">
        <f ca="1">I190-'main page'!$K$27*hystere!N189</f>
        <v>100</v>
      </c>
      <c r="H190" s="75">
        <f ca="1">J190-'main page'!$K$27*N189</f>
        <v>100</v>
      </c>
      <c r="I190" s="75">
        <f t="shared" ca="1" si="16"/>
        <v>108</v>
      </c>
      <c r="J190" s="75">
        <f t="shared" ca="1" si="17"/>
        <v>108</v>
      </c>
      <c r="M190" s="75">
        <f ca="1">IF(ABS('main page'!$K$29*M189+(1-'main page'!$K$29)*(controls!$B$9/100)*100+'main page'!$K$25*(E190-B190)-M189)&lt;0.0000001,M189,'main page'!$K$29*M189+(1-'main page'!$K$29)*(controls!$B$9/100)*100+'main page'!$K$25*(E190-B190))</f>
        <v>2</v>
      </c>
      <c r="N190" s="75">
        <f ca="1">IF(controls!$B$10=1,N189,O190-'main page'!$K$29*M190-(1-'main page'!$K$29)*controls!$B$9)</f>
        <v>4</v>
      </c>
      <c r="O190" s="74">
        <f t="shared" ca="1" si="12"/>
        <v>6</v>
      </c>
      <c r="P190" s="76">
        <f ca="1">IF(controls!$B$10=1,hystere!N190+hystere!M190,hystere!Q190)</f>
        <v>6</v>
      </c>
      <c r="Q190" s="74">
        <f ca="1">IF('main page'!$Y$53=1,'choose m.p.'!$I$22*100,R190)</f>
        <v>6</v>
      </c>
      <c r="R190" s="100">
        <f ca="1">'main page'!$K$29*M190+(1-'main page'!$K$29)*controls!$B$9+S190+(('main page'!$K$25*'main page'!$U$13*'main page'!$K$29)/('main page'!$K$27*(1+('main page'!$K$25^2)*'main page'!$U$13)))*(M190-(controls!$B$9/100)*100)</f>
        <v>6</v>
      </c>
      <c r="S190" s="98">
        <f ca="1">IF(controls!$B$33=1,(J191-E190*X191-B190)/'main page'!$K$27,(I191-E190*X191-B190)/'main page'!$K$27)</f>
        <v>4</v>
      </c>
      <c r="U190" s="71">
        <f>IF(controls!$B$6=1,$AG$4*(1+('main page'!$K$35/100))^V190-$AG$4*(1+('main page'!$K$35/100))^V189,$AG$4*(1+('main page'!$G$8/100))*(1+('main page'!$K$35/100))^V190-$AG$4*(1+('main page'!$G$8/100))*(1+('main page'!$K$35/100))^V189)</f>
        <v>0</v>
      </c>
      <c r="V190" s="73">
        <v>182</v>
      </c>
      <c r="W190" s="40">
        <f>'normal case'!V189</f>
        <v>0</v>
      </c>
      <c r="X190" s="40">
        <f>'normal case'!W189</f>
        <v>0</v>
      </c>
      <c r="Y190" s="49">
        <f ca="1">IF(controls!$B$33=1,E190-($J$4-'main page'!$K$27*2)*(1+('main page'!$K$35/100))^A189,E190-$AG$5)</f>
        <v>0</v>
      </c>
      <c r="Z190" s="49">
        <f ca="1">ABS(M190-(controls!$B$9/100)*100)</f>
        <v>0</v>
      </c>
      <c r="AI190" s="40"/>
      <c r="AJ190" s="40"/>
    </row>
    <row r="191" spans="1:36">
      <c r="A191" s="48">
        <v>188</v>
      </c>
      <c r="B191" s="75">
        <f ca="1">IF(controls!$B$6=2,AVERAGE(E187:E190)+B190*W191+hystere!$AG$9,AVERAGE(E187:E190)+B190*W191)</f>
        <v>100</v>
      </c>
      <c r="C191" s="80">
        <f t="shared" ca="1" si="13"/>
        <v>0</v>
      </c>
      <c r="D191" s="105">
        <f t="shared" ca="1" si="14"/>
        <v>0</v>
      </c>
      <c r="E191" s="77">
        <f t="shared" ca="1" si="15"/>
        <v>100</v>
      </c>
      <c r="F191" s="77">
        <f ca="1">IF('main page'!$K$34=1,hystere!H191,hystere!G191)</f>
        <v>100</v>
      </c>
      <c r="G191" s="94">
        <f ca="1">I191-'main page'!$K$27*hystere!N190</f>
        <v>100</v>
      </c>
      <c r="H191" s="75">
        <f ca="1">J191-'main page'!$K$27*N190</f>
        <v>100</v>
      </c>
      <c r="I191" s="75">
        <f t="shared" ca="1" si="16"/>
        <v>108</v>
      </c>
      <c r="J191" s="75">
        <f t="shared" ca="1" si="17"/>
        <v>108</v>
      </c>
      <c r="M191" s="75">
        <f ca="1">IF(ABS('main page'!$K$29*M190+(1-'main page'!$K$29)*(controls!$B$9/100)*100+'main page'!$K$25*(E191-B191)-M190)&lt;0.0000001,M190,'main page'!$K$29*M190+(1-'main page'!$K$29)*(controls!$B$9/100)*100+'main page'!$K$25*(E191-B191))</f>
        <v>2</v>
      </c>
      <c r="N191" s="75">
        <f ca="1">IF(controls!$B$10=1,N190,O191-'main page'!$K$29*M191-(1-'main page'!$K$29)*controls!$B$9)</f>
        <v>4</v>
      </c>
      <c r="O191" s="74">
        <f t="shared" ca="1" si="12"/>
        <v>6</v>
      </c>
      <c r="P191" s="76">
        <f ca="1">IF(controls!$B$10=1,hystere!N191+hystere!M191,hystere!Q191)</f>
        <v>6</v>
      </c>
      <c r="Q191" s="74">
        <f ca="1">IF('main page'!$Y$53=1,'choose m.p.'!$I$22*100,R191)</f>
        <v>6</v>
      </c>
      <c r="R191" s="100">
        <f ca="1">'main page'!$K$29*M191+(1-'main page'!$K$29)*controls!$B$9+S191+(('main page'!$K$25*'main page'!$U$13*'main page'!$K$29)/('main page'!$K$27*(1+('main page'!$K$25^2)*'main page'!$U$13)))*(M191-(controls!$B$9/100)*100)</f>
        <v>6</v>
      </c>
      <c r="S191" s="98">
        <f ca="1">IF(controls!$B$33=1,(J192-E191*X192-B191)/'main page'!$K$27,(I192-E191*X192-B191)/'main page'!$K$27)</f>
        <v>4</v>
      </c>
      <c r="U191" s="71">
        <f>IF(controls!$B$6=1,$AG$4*(1+('main page'!$K$35/100))^V191-$AG$4*(1+('main page'!$K$35/100))^V190,$AG$4*(1+('main page'!$G$8/100))*(1+('main page'!$K$35/100))^V191-$AG$4*(1+('main page'!$G$8/100))*(1+('main page'!$K$35/100))^V190)</f>
        <v>0</v>
      </c>
      <c r="V191" s="73">
        <v>183</v>
      </c>
      <c r="W191" s="40">
        <f>'normal case'!V190</f>
        <v>0</v>
      </c>
      <c r="X191" s="40">
        <f>'normal case'!W190</f>
        <v>0</v>
      </c>
      <c r="Y191" s="49">
        <f ca="1">IF(controls!$B$33=1,E191-($J$4-'main page'!$K$27*2)*(1+('main page'!$K$35/100))^A190,E191-$AG$5)</f>
        <v>0</v>
      </c>
      <c r="Z191" s="49">
        <f ca="1">ABS(M191-(controls!$B$9/100)*100)</f>
        <v>0</v>
      </c>
      <c r="AI191" s="40"/>
      <c r="AJ191" s="40"/>
    </row>
    <row r="192" spans="1:36">
      <c r="A192" s="48">
        <v>189</v>
      </c>
      <c r="B192" s="75">
        <f ca="1">IF(controls!$B$6=2,AVERAGE(E188:E191)+B191*W192+hystere!$AG$9,AVERAGE(E188:E191)+B191*W192)</f>
        <v>100</v>
      </c>
      <c r="C192" s="80">
        <f t="shared" ca="1" si="13"/>
        <v>0</v>
      </c>
      <c r="D192" s="105">
        <f t="shared" ca="1" si="14"/>
        <v>0</v>
      </c>
      <c r="E192" s="77">
        <f t="shared" ca="1" si="15"/>
        <v>100</v>
      </c>
      <c r="F192" s="77">
        <f ca="1">IF('main page'!$K$34=1,hystere!H192,hystere!G192)</f>
        <v>100</v>
      </c>
      <c r="G192" s="94">
        <f ca="1">I192-'main page'!$K$27*hystere!N191</f>
        <v>100</v>
      </c>
      <c r="H192" s="75">
        <f ca="1">J192-'main page'!$K$27*N191</f>
        <v>100</v>
      </c>
      <c r="I192" s="75">
        <f t="shared" ca="1" si="16"/>
        <v>108</v>
      </c>
      <c r="J192" s="75">
        <f t="shared" ca="1" si="17"/>
        <v>108</v>
      </c>
      <c r="M192" s="75">
        <f ca="1">IF(ABS('main page'!$K$29*M191+(1-'main page'!$K$29)*(controls!$B$9/100)*100+'main page'!$K$25*(E192-B192)-M191)&lt;0.0000001,M191,'main page'!$K$29*M191+(1-'main page'!$K$29)*(controls!$B$9/100)*100+'main page'!$K$25*(E192-B192))</f>
        <v>2</v>
      </c>
      <c r="N192" s="75">
        <f ca="1">IF(controls!$B$10=1,N191,O192-'main page'!$K$29*M192-(1-'main page'!$K$29)*controls!$B$9)</f>
        <v>4</v>
      </c>
      <c r="O192" s="74">
        <f t="shared" ca="1" si="12"/>
        <v>6</v>
      </c>
      <c r="P192" s="76">
        <f ca="1">IF(controls!$B$10=1,hystere!N192+hystere!M192,hystere!Q192)</f>
        <v>6</v>
      </c>
      <c r="Q192" s="74">
        <f ca="1">IF('main page'!$Y$53=1,'choose m.p.'!$I$22*100,R192)</f>
        <v>6</v>
      </c>
      <c r="R192" s="100">
        <f ca="1">'main page'!$K$29*M192+(1-'main page'!$K$29)*controls!$B$9+S192+(('main page'!$K$25*'main page'!$U$13*'main page'!$K$29)/('main page'!$K$27*(1+('main page'!$K$25^2)*'main page'!$U$13)))*(M192-(controls!$B$9/100)*100)</f>
        <v>6</v>
      </c>
      <c r="S192" s="98">
        <f ca="1">IF(controls!$B$33=1,(J193-E192*X193-B192)/'main page'!$K$27,(I193-E192*X193-B192)/'main page'!$K$27)</f>
        <v>4</v>
      </c>
      <c r="U192" s="71">
        <f>IF(controls!$B$6=1,$AG$4*(1+('main page'!$K$35/100))^V192-$AG$4*(1+('main page'!$K$35/100))^V191,$AG$4*(1+('main page'!$G$8/100))*(1+('main page'!$K$35/100))^V192-$AG$4*(1+('main page'!$G$8/100))*(1+('main page'!$K$35/100))^V191)</f>
        <v>0</v>
      </c>
      <c r="V192" s="73">
        <v>184</v>
      </c>
      <c r="W192" s="40">
        <f ca="1">'normal case'!V191</f>
        <v>0</v>
      </c>
      <c r="X192" s="40">
        <f ca="1">'normal case'!W191</f>
        <v>0</v>
      </c>
      <c r="Y192" s="49">
        <f ca="1">IF(controls!$B$33=1,E192-($J$4-'main page'!$K$27*2)*(1+('main page'!$K$35/100))^A191,E192-$AG$5)</f>
        <v>0</v>
      </c>
      <c r="Z192" s="49">
        <f ca="1">ABS(M192-(controls!$B$9/100)*100)</f>
        <v>0</v>
      </c>
      <c r="AI192" s="40"/>
      <c r="AJ192" s="40"/>
    </row>
    <row r="193" spans="1:36">
      <c r="A193" s="48">
        <v>190</v>
      </c>
      <c r="B193" s="75">
        <f ca="1">IF(controls!$B$6=2,AVERAGE(E189:E192)+B192*W193+hystere!$AG$9,AVERAGE(E189:E192)+B192*W193)</f>
        <v>100</v>
      </c>
      <c r="C193" s="80">
        <f t="shared" ca="1" si="13"/>
        <v>0</v>
      </c>
      <c r="D193" s="105">
        <f t="shared" ca="1" si="14"/>
        <v>0</v>
      </c>
      <c r="E193" s="77">
        <f t="shared" ca="1" si="15"/>
        <v>100</v>
      </c>
      <c r="F193" s="77">
        <f ca="1">IF('main page'!$K$34=1,hystere!H193,hystere!G193)</f>
        <v>100</v>
      </c>
      <c r="G193" s="94">
        <f ca="1">I193-'main page'!$K$27*hystere!N192</f>
        <v>100</v>
      </c>
      <c r="H193" s="75">
        <f ca="1">J193-'main page'!$K$27*N192</f>
        <v>100</v>
      </c>
      <c r="I193" s="75">
        <f t="shared" ca="1" si="16"/>
        <v>108</v>
      </c>
      <c r="J193" s="75">
        <f t="shared" ca="1" si="17"/>
        <v>108</v>
      </c>
      <c r="M193" s="75">
        <f ca="1">IF(ABS('main page'!$K$29*M192+(1-'main page'!$K$29)*(controls!$B$9/100)*100+'main page'!$K$25*(E193-B193)-M192)&lt;0.0000001,M192,'main page'!$K$29*M192+(1-'main page'!$K$29)*(controls!$B$9/100)*100+'main page'!$K$25*(E193-B193))</f>
        <v>2</v>
      </c>
      <c r="N193" s="75">
        <f ca="1">IF(controls!$B$10=1,N192,O193-'main page'!$K$29*M193-(1-'main page'!$K$29)*controls!$B$9)</f>
        <v>4</v>
      </c>
      <c r="O193" s="74">
        <f t="shared" ca="1" si="12"/>
        <v>6</v>
      </c>
      <c r="P193" s="76">
        <f ca="1">IF(controls!$B$10=1,hystere!N193+hystere!M193,hystere!Q193)</f>
        <v>6</v>
      </c>
      <c r="Q193" s="74">
        <f ca="1">IF('main page'!$Y$53=1,'choose m.p.'!$I$22*100,R193)</f>
        <v>6</v>
      </c>
      <c r="R193" s="100">
        <f ca="1">'main page'!$K$29*M193+(1-'main page'!$K$29)*controls!$B$9+S193+(('main page'!$K$25*'main page'!$U$13*'main page'!$K$29)/('main page'!$K$27*(1+('main page'!$K$25^2)*'main page'!$U$13)))*(M193-(controls!$B$9/100)*100)</f>
        <v>6</v>
      </c>
      <c r="S193" s="98">
        <f ca="1">IF(controls!$B$33=1,(J194-E193*X194-B193)/'main page'!$K$27,(I194-E193*X194-B193)/'main page'!$K$27)</f>
        <v>4</v>
      </c>
      <c r="U193" s="71">
        <f>IF(controls!$B$6=1,$AG$4*(1+('main page'!$K$35/100))^V193-$AG$4*(1+('main page'!$K$35/100))^V192,$AG$4*(1+('main page'!$G$8/100))*(1+('main page'!$K$35/100))^V193-$AG$4*(1+('main page'!$G$8/100))*(1+('main page'!$K$35/100))^V192)</f>
        <v>0</v>
      </c>
      <c r="V193" s="73">
        <v>185</v>
      </c>
      <c r="W193" s="40">
        <f>'normal case'!V192</f>
        <v>0</v>
      </c>
      <c r="X193" s="40">
        <f>'normal case'!W192</f>
        <v>0</v>
      </c>
      <c r="Y193" s="49">
        <f ca="1">IF(controls!$B$33=1,E193-($J$4-'main page'!$K$27*2)*(1+('main page'!$K$35/100))^A192,E193-$AG$5)</f>
        <v>0</v>
      </c>
      <c r="Z193" s="49">
        <f ca="1">ABS(M193-(controls!$B$9/100)*100)</f>
        <v>0</v>
      </c>
      <c r="AI193" s="40"/>
      <c r="AJ193" s="40"/>
    </row>
    <row r="194" spans="1:36">
      <c r="A194" s="48">
        <v>191</v>
      </c>
      <c r="B194" s="75">
        <f ca="1">IF(controls!$B$6=2,AVERAGE(E190:E193)+B193*W194+hystere!$AG$9,AVERAGE(E190:E193)+B193*W194)</f>
        <v>100</v>
      </c>
      <c r="C194" s="80">
        <f t="shared" ca="1" si="13"/>
        <v>0</v>
      </c>
      <c r="D194" s="105">
        <f t="shared" ca="1" si="14"/>
        <v>0</v>
      </c>
      <c r="E194" s="77">
        <f t="shared" ca="1" si="15"/>
        <v>100</v>
      </c>
      <c r="F194" s="77">
        <f ca="1">IF('main page'!$K$34=1,hystere!H194,hystere!G194)</f>
        <v>100</v>
      </c>
      <c r="G194" s="94">
        <f ca="1">I194-'main page'!$K$27*hystere!N193</f>
        <v>100</v>
      </c>
      <c r="H194" s="75">
        <f ca="1">J194-'main page'!$K$27*N193</f>
        <v>100</v>
      </c>
      <c r="I194" s="75">
        <f t="shared" ca="1" si="16"/>
        <v>108</v>
      </c>
      <c r="J194" s="75">
        <f t="shared" ca="1" si="17"/>
        <v>108</v>
      </c>
      <c r="M194" s="75">
        <f ca="1">IF(ABS('main page'!$K$29*M193+(1-'main page'!$K$29)*(controls!$B$9/100)*100+'main page'!$K$25*(E194-B194)-M193)&lt;0.0000001,M193,'main page'!$K$29*M193+(1-'main page'!$K$29)*(controls!$B$9/100)*100+'main page'!$K$25*(E194-B194))</f>
        <v>2</v>
      </c>
      <c r="N194" s="75">
        <f ca="1">IF(controls!$B$10=1,N193,O194-'main page'!$K$29*M194-(1-'main page'!$K$29)*controls!$B$9)</f>
        <v>4</v>
      </c>
      <c r="O194" s="74">
        <f t="shared" ca="1" si="12"/>
        <v>6</v>
      </c>
      <c r="P194" s="76">
        <f ca="1">IF(controls!$B$10=1,hystere!N194+hystere!M194,hystere!Q194)</f>
        <v>6</v>
      </c>
      <c r="Q194" s="74">
        <f ca="1">IF('main page'!$Y$53=1,'choose m.p.'!$I$22*100,R194)</f>
        <v>6</v>
      </c>
      <c r="R194" s="100">
        <f ca="1">'main page'!$K$29*M194+(1-'main page'!$K$29)*controls!$B$9+S194+(('main page'!$K$25*'main page'!$U$13*'main page'!$K$29)/('main page'!$K$27*(1+('main page'!$K$25^2)*'main page'!$U$13)))*(M194-(controls!$B$9/100)*100)</f>
        <v>6</v>
      </c>
      <c r="S194" s="98">
        <f ca="1">IF(controls!$B$33=1,(J195-E194*X195-B194)/'main page'!$K$27,(I195-E194*X195-B194)/'main page'!$K$27)</f>
        <v>4</v>
      </c>
      <c r="U194" s="71">
        <f>IF(controls!$B$6=1,$AG$4*(1+('main page'!$K$35/100))^V194-$AG$4*(1+('main page'!$K$35/100))^V193,$AG$4*(1+('main page'!$G$8/100))*(1+('main page'!$K$35/100))^V194-$AG$4*(1+('main page'!$G$8/100))*(1+('main page'!$K$35/100))^V193)</f>
        <v>0</v>
      </c>
      <c r="V194" s="73">
        <v>186</v>
      </c>
      <c r="W194" s="40">
        <f>'normal case'!V193</f>
        <v>0</v>
      </c>
      <c r="X194" s="40">
        <f>'normal case'!W193</f>
        <v>0</v>
      </c>
      <c r="Y194" s="49">
        <f ca="1">IF(controls!$B$33=1,E194-($J$4-'main page'!$K$27*2)*(1+('main page'!$K$35/100))^A193,E194-$AG$5)</f>
        <v>0</v>
      </c>
      <c r="Z194" s="49">
        <f ca="1">ABS(M194-(controls!$B$9/100)*100)</f>
        <v>0</v>
      </c>
      <c r="AI194" s="40"/>
      <c r="AJ194" s="40"/>
    </row>
    <row r="195" spans="1:36">
      <c r="A195" s="48">
        <v>192</v>
      </c>
      <c r="B195" s="75">
        <f ca="1">IF(controls!$B$6=2,AVERAGE(E191:E194)+B194*W195+hystere!$AG$9,AVERAGE(E191:E194)+B194*W195)</f>
        <v>100</v>
      </c>
      <c r="C195" s="80">
        <f t="shared" ca="1" si="13"/>
        <v>0</v>
      </c>
      <c r="D195" s="105">
        <f t="shared" ca="1" si="14"/>
        <v>0</v>
      </c>
      <c r="E195" s="77">
        <f t="shared" ca="1" si="15"/>
        <v>100</v>
      </c>
      <c r="F195" s="77">
        <f ca="1">IF('main page'!$K$34=1,hystere!H195,hystere!G195)</f>
        <v>100</v>
      </c>
      <c r="G195" s="94">
        <f ca="1">I195-'main page'!$K$27*hystere!N194</f>
        <v>100</v>
      </c>
      <c r="H195" s="75">
        <f ca="1">J195-'main page'!$K$27*N194</f>
        <v>100</v>
      </c>
      <c r="I195" s="75">
        <f t="shared" ca="1" si="16"/>
        <v>108</v>
      </c>
      <c r="J195" s="75">
        <f t="shared" ca="1" si="17"/>
        <v>108</v>
      </c>
      <c r="M195" s="75">
        <f ca="1">IF(ABS('main page'!$K$29*M194+(1-'main page'!$K$29)*(controls!$B$9/100)*100+'main page'!$K$25*(E195-B195)-M194)&lt;0.0000001,M194,'main page'!$K$29*M194+(1-'main page'!$K$29)*(controls!$B$9/100)*100+'main page'!$K$25*(E195-B195))</f>
        <v>2</v>
      </c>
      <c r="N195" s="75">
        <f ca="1">IF(controls!$B$10=1,N194,O195-'main page'!$K$29*M195-(1-'main page'!$K$29)*controls!$B$9)</f>
        <v>4</v>
      </c>
      <c r="O195" s="74">
        <f t="shared" ca="1" si="12"/>
        <v>6</v>
      </c>
      <c r="P195" s="76">
        <f ca="1">IF(controls!$B$10=1,hystere!N195+hystere!M195,hystere!Q195)</f>
        <v>6</v>
      </c>
      <c r="Q195" s="74">
        <f ca="1">IF('main page'!$Y$53=1,'choose m.p.'!$I$22*100,R195)</f>
        <v>6</v>
      </c>
      <c r="R195" s="100">
        <f ca="1">'main page'!$K$29*M195+(1-'main page'!$K$29)*controls!$B$9+S195+(('main page'!$K$25*'main page'!$U$13*'main page'!$K$29)/('main page'!$K$27*(1+('main page'!$K$25^2)*'main page'!$U$13)))*(M195-(controls!$B$9/100)*100)</f>
        <v>6</v>
      </c>
      <c r="S195" s="98">
        <f ca="1">IF(controls!$B$33=1,(J196-E195*X196-B195)/'main page'!$K$27,(I196-E195*X196-B195)/'main page'!$K$27)</f>
        <v>4</v>
      </c>
      <c r="U195" s="71">
        <f>IF(controls!$B$6=1,$AG$4*(1+('main page'!$K$35/100))^V195-$AG$4*(1+('main page'!$K$35/100))^V194,$AG$4*(1+('main page'!$G$8/100))*(1+('main page'!$K$35/100))^V195-$AG$4*(1+('main page'!$G$8/100))*(1+('main page'!$K$35/100))^V194)</f>
        <v>0</v>
      </c>
      <c r="V195" s="73">
        <v>187</v>
      </c>
      <c r="W195" s="40">
        <f ca="1">'normal case'!V194</f>
        <v>0</v>
      </c>
      <c r="X195" s="40">
        <f ca="1">'normal case'!W194</f>
        <v>0</v>
      </c>
      <c r="Y195" s="49">
        <f ca="1">IF(controls!$B$33=1,E195-($J$4-'main page'!$K$27*2)*(1+('main page'!$K$35/100))^A194,E195-$AG$5)</f>
        <v>0</v>
      </c>
      <c r="Z195" s="49">
        <f ca="1">ABS(M195-(controls!$B$9/100)*100)</f>
        <v>0</v>
      </c>
      <c r="AI195" s="40"/>
      <c r="AJ195" s="40"/>
    </row>
    <row r="196" spans="1:36">
      <c r="A196" s="48">
        <v>193</v>
      </c>
      <c r="B196" s="75">
        <f ca="1">IF(controls!$B$6=2,AVERAGE(E192:E195)+B195*W196+hystere!$AG$9,AVERAGE(E192:E195)+B195*W196)</f>
        <v>100</v>
      </c>
      <c r="C196" s="80">
        <f t="shared" ca="1" si="13"/>
        <v>0</v>
      </c>
      <c r="D196" s="105">
        <f t="shared" ca="1" si="14"/>
        <v>0</v>
      </c>
      <c r="E196" s="77">
        <f t="shared" ca="1" si="15"/>
        <v>100</v>
      </c>
      <c r="F196" s="77">
        <f ca="1">IF('main page'!$K$34=1,hystere!H196,hystere!G196)</f>
        <v>100</v>
      </c>
      <c r="G196" s="94">
        <f ca="1">I196-'main page'!$K$27*hystere!N195</f>
        <v>100</v>
      </c>
      <c r="H196" s="75">
        <f ca="1">J196-'main page'!$K$27*N195</f>
        <v>100</v>
      </c>
      <c r="I196" s="75">
        <f t="shared" ca="1" si="16"/>
        <v>108</v>
      </c>
      <c r="J196" s="75">
        <f t="shared" ca="1" si="17"/>
        <v>108</v>
      </c>
      <c r="M196" s="75">
        <f ca="1">IF(ABS('main page'!$K$29*M195+(1-'main page'!$K$29)*(controls!$B$9/100)*100+'main page'!$K$25*(E196-B196)-M195)&lt;0.0000001,M195,'main page'!$K$29*M195+(1-'main page'!$K$29)*(controls!$B$9/100)*100+'main page'!$K$25*(E196-B196))</f>
        <v>2</v>
      </c>
      <c r="N196" s="75">
        <f ca="1">IF(controls!$B$10=1,N195,O196-'main page'!$K$29*M196-(1-'main page'!$K$29)*controls!$B$9)</f>
        <v>4</v>
      </c>
      <c r="O196" s="74">
        <f t="shared" ref="O196:O259" ca="1" si="18">IF(P196&lt;0,0,P196)</f>
        <v>6</v>
      </c>
      <c r="P196" s="76">
        <f ca="1">IF(controls!$B$10=1,hystere!N196+hystere!M196,hystere!Q196)</f>
        <v>6</v>
      </c>
      <c r="Q196" s="74">
        <f ca="1">IF('main page'!$Y$53=1,'choose m.p.'!$I$22*100,R196)</f>
        <v>6</v>
      </c>
      <c r="R196" s="100">
        <f ca="1">'main page'!$K$29*M196+(1-'main page'!$K$29)*controls!$B$9+S196+(('main page'!$K$25*'main page'!$U$13*'main page'!$K$29)/('main page'!$K$27*(1+('main page'!$K$25^2)*'main page'!$U$13)))*(M196-(controls!$B$9/100)*100)</f>
        <v>6</v>
      </c>
      <c r="S196" s="98">
        <f ca="1">IF(controls!$B$33=1,(J197-E196*X197-B196)/'main page'!$K$27,(I197-E196*X197-B196)/'main page'!$K$27)</f>
        <v>4</v>
      </c>
      <c r="U196" s="71">
        <f>IF(controls!$B$6=1,$AG$4*(1+('main page'!$K$35/100))^V196-$AG$4*(1+('main page'!$K$35/100))^V195,$AG$4*(1+('main page'!$G$8/100))*(1+('main page'!$K$35/100))^V196-$AG$4*(1+('main page'!$G$8/100))*(1+('main page'!$K$35/100))^V195)</f>
        <v>0</v>
      </c>
      <c r="V196" s="73">
        <v>188</v>
      </c>
      <c r="W196" s="40">
        <f>'normal case'!V195</f>
        <v>0</v>
      </c>
      <c r="X196" s="40">
        <f>'normal case'!W195</f>
        <v>0</v>
      </c>
      <c r="Y196" s="49">
        <f ca="1">IF(controls!$B$33=1,E196-($J$4-'main page'!$K$27*2)*(1+('main page'!$K$35/100))^A195,E196-$AG$5)</f>
        <v>0</v>
      </c>
      <c r="Z196" s="49">
        <f ca="1">ABS(M196-(controls!$B$9/100)*100)</f>
        <v>0</v>
      </c>
      <c r="AI196" s="40"/>
      <c r="AJ196" s="40"/>
    </row>
    <row r="197" spans="1:36">
      <c r="A197" s="48">
        <v>194</v>
      </c>
      <c r="B197" s="75">
        <f ca="1">IF(controls!$B$6=2,AVERAGE(E193:E196)+B196*W197+hystere!$AG$9,AVERAGE(E193:E196)+B196*W197)</f>
        <v>100</v>
      </c>
      <c r="C197" s="80">
        <f t="shared" ref="C197:C260" ca="1" si="19">E197/E196-1</f>
        <v>0</v>
      </c>
      <c r="D197" s="105">
        <f t="shared" ref="D197:D260" ca="1" si="20">E197-B197</f>
        <v>0</v>
      </c>
      <c r="E197" s="77">
        <f t="shared" ref="E197:E260" ca="1" si="21">IF(F197&gt;0,F197,0.1)</f>
        <v>100</v>
      </c>
      <c r="F197" s="77">
        <f ca="1">IF('main page'!$K$34=1,hystere!H197,hystere!G197)</f>
        <v>100</v>
      </c>
      <c r="G197" s="94">
        <f ca="1">I197-'main page'!$K$27*hystere!N196</f>
        <v>100</v>
      </c>
      <c r="H197" s="75">
        <f ca="1">J197-'main page'!$K$27*N196</f>
        <v>100</v>
      </c>
      <c r="I197" s="75">
        <f t="shared" ca="1" si="16"/>
        <v>108</v>
      </c>
      <c r="J197" s="75">
        <f t="shared" ca="1" si="17"/>
        <v>108</v>
      </c>
      <c r="M197" s="75">
        <f ca="1">IF(ABS('main page'!$K$29*M196+(1-'main page'!$K$29)*(controls!$B$9/100)*100+'main page'!$K$25*(E197-B197)-M196)&lt;0.0000001,M196,'main page'!$K$29*M196+(1-'main page'!$K$29)*(controls!$B$9/100)*100+'main page'!$K$25*(E197-B197))</f>
        <v>2</v>
      </c>
      <c r="N197" s="75">
        <f ca="1">IF(controls!$B$10=1,N196,O197-'main page'!$K$29*M197-(1-'main page'!$K$29)*controls!$B$9)</f>
        <v>4</v>
      </c>
      <c r="O197" s="74">
        <f t="shared" ca="1" si="18"/>
        <v>6</v>
      </c>
      <c r="P197" s="76">
        <f ca="1">IF(controls!$B$10=1,hystere!N197+hystere!M197,hystere!Q197)</f>
        <v>6</v>
      </c>
      <c r="Q197" s="74">
        <f ca="1">IF('main page'!$Y$53=1,'choose m.p.'!$I$22*100,R197)</f>
        <v>6</v>
      </c>
      <c r="R197" s="100">
        <f ca="1">'main page'!$K$29*M197+(1-'main page'!$K$29)*controls!$B$9+S197+(('main page'!$K$25*'main page'!$U$13*'main page'!$K$29)/('main page'!$K$27*(1+('main page'!$K$25^2)*'main page'!$U$13)))*(M197-(controls!$B$9/100)*100)</f>
        <v>6</v>
      </c>
      <c r="S197" s="98">
        <f ca="1">IF(controls!$B$33=1,(J198-E197*X198-B197)/'main page'!$K$27,(I198-E197*X198-B197)/'main page'!$K$27)</f>
        <v>4</v>
      </c>
      <c r="U197" s="71">
        <f>IF(controls!$B$6=1,$AG$4*(1+('main page'!$K$35/100))^V197-$AG$4*(1+('main page'!$K$35/100))^V196,$AG$4*(1+('main page'!$G$8/100))*(1+('main page'!$K$35/100))^V197-$AG$4*(1+('main page'!$G$8/100))*(1+('main page'!$K$35/100))^V196)</f>
        <v>0</v>
      </c>
      <c r="V197" s="73">
        <v>189</v>
      </c>
      <c r="W197" s="40">
        <f>'normal case'!V196</f>
        <v>0</v>
      </c>
      <c r="X197" s="40">
        <f>'normal case'!W196</f>
        <v>0</v>
      </c>
      <c r="Y197" s="49">
        <f ca="1">IF(controls!$B$33=1,E197-($J$4-'main page'!$K$27*2)*(1+('main page'!$K$35/100))^A196,E197-$AG$5)</f>
        <v>0</v>
      </c>
      <c r="Z197" s="49">
        <f ca="1">ABS(M197-(controls!$B$9/100)*100)</f>
        <v>0</v>
      </c>
      <c r="AI197" s="40"/>
      <c r="AJ197" s="40"/>
    </row>
    <row r="198" spans="1:36">
      <c r="A198" s="48">
        <v>195</v>
      </c>
      <c r="B198" s="75">
        <f ca="1">IF(controls!$B$6=2,AVERAGE(E194:E197)+B197*W198+hystere!$AG$9,AVERAGE(E194:E197)+B197*W198)</f>
        <v>100</v>
      </c>
      <c r="C198" s="80">
        <f t="shared" ca="1" si="19"/>
        <v>0</v>
      </c>
      <c r="D198" s="105">
        <f t="shared" ca="1" si="20"/>
        <v>0</v>
      </c>
      <c r="E198" s="77">
        <f t="shared" ca="1" si="21"/>
        <v>100</v>
      </c>
      <c r="F198" s="77">
        <f ca="1">IF('main page'!$K$34=1,hystere!H198,hystere!G198)</f>
        <v>100</v>
      </c>
      <c r="G198" s="94">
        <f ca="1">I198-'main page'!$K$27*hystere!N197</f>
        <v>100</v>
      </c>
      <c r="H198" s="75">
        <f ca="1">J198-'main page'!$K$27*N197</f>
        <v>100</v>
      </c>
      <c r="I198" s="75">
        <f t="shared" ca="1" si="16"/>
        <v>108</v>
      </c>
      <c r="J198" s="75">
        <f t="shared" ca="1" si="17"/>
        <v>108</v>
      </c>
      <c r="M198" s="75">
        <f ca="1">IF(ABS('main page'!$K$29*M197+(1-'main page'!$K$29)*(controls!$B$9/100)*100+'main page'!$K$25*(E198-B198)-M197)&lt;0.0000001,M197,'main page'!$K$29*M197+(1-'main page'!$K$29)*(controls!$B$9/100)*100+'main page'!$K$25*(E198-B198))</f>
        <v>2</v>
      </c>
      <c r="N198" s="75">
        <f ca="1">IF(controls!$B$10=1,N197,O198-'main page'!$K$29*M198-(1-'main page'!$K$29)*controls!$B$9)</f>
        <v>4</v>
      </c>
      <c r="O198" s="74">
        <f t="shared" ca="1" si="18"/>
        <v>6</v>
      </c>
      <c r="P198" s="76">
        <f ca="1">IF(controls!$B$10=1,hystere!N198+hystere!M198,hystere!Q198)</f>
        <v>6</v>
      </c>
      <c r="Q198" s="74">
        <f ca="1">IF('main page'!$Y$53=1,'choose m.p.'!$I$22*100,R198)</f>
        <v>6</v>
      </c>
      <c r="R198" s="100">
        <f ca="1">'main page'!$K$29*M198+(1-'main page'!$K$29)*controls!$B$9+S198+(('main page'!$K$25*'main page'!$U$13*'main page'!$K$29)/('main page'!$K$27*(1+('main page'!$K$25^2)*'main page'!$U$13)))*(M198-(controls!$B$9/100)*100)</f>
        <v>6</v>
      </c>
      <c r="S198" s="98">
        <f ca="1">IF(controls!$B$33=1,(J199-E198*X199-B198)/'main page'!$K$27,(I199-E198*X199-B198)/'main page'!$K$27)</f>
        <v>4</v>
      </c>
      <c r="U198" s="71">
        <f>IF(controls!$B$6=1,$AG$4*(1+('main page'!$K$35/100))^V198-$AG$4*(1+('main page'!$K$35/100))^V197,$AG$4*(1+('main page'!$G$8/100))*(1+('main page'!$K$35/100))^V198-$AG$4*(1+('main page'!$G$8/100))*(1+('main page'!$K$35/100))^V197)</f>
        <v>0</v>
      </c>
      <c r="V198" s="73">
        <v>190</v>
      </c>
      <c r="W198" s="40">
        <f ca="1">'normal case'!V197</f>
        <v>0</v>
      </c>
      <c r="X198" s="40">
        <f ca="1">'normal case'!W197</f>
        <v>0</v>
      </c>
      <c r="Y198" s="49">
        <f ca="1">IF(controls!$B$33=1,E198-($J$4-'main page'!$K$27*2)*(1+('main page'!$K$35/100))^A197,E198-$AG$5)</f>
        <v>0</v>
      </c>
      <c r="Z198" s="49">
        <f ca="1">ABS(M198-(controls!$B$9/100)*100)</f>
        <v>0</v>
      </c>
      <c r="AI198" s="40"/>
      <c r="AJ198" s="40"/>
    </row>
    <row r="199" spans="1:36">
      <c r="A199" s="48">
        <v>196</v>
      </c>
      <c r="B199" s="75">
        <f ca="1">IF(controls!$B$6=2,AVERAGE(E195:E198)+B198*W199+hystere!$AG$9,AVERAGE(E195:E198)+B198*W199)</f>
        <v>100</v>
      </c>
      <c r="C199" s="80">
        <f t="shared" ca="1" si="19"/>
        <v>0</v>
      </c>
      <c r="D199" s="105">
        <f t="shared" ca="1" si="20"/>
        <v>0</v>
      </c>
      <c r="E199" s="77">
        <f t="shared" ca="1" si="21"/>
        <v>100</v>
      </c>
      <c r="F199" s="77">
        <f ca="1">IF('main page'!$K$34=1,hystere!H199,hystere!G199)</f>
        <v>100</v>
      </c>
      <c r="G199" s="94">
        <f ca="1">I199-'main page'!$K$27*hystere!N198</f>
        <v>100</v>
      </c>
      <c r="H199" s="75">
        <f ca="1">J199-'main page'!$K$27*N198</f>
        <v>100</v>
      </c>
      <c r="I199" s="75">
        <f t="shared" ca="1" si="16"/>
        <v>108</v>
      </c>
      <c r="J199" s="75">
        <f t="shared" ca="1" si="17"/>
        <v>108</v>
      </c>
      <c r="M199" s="75">
        <f ca="1">IF(ABS('main page'!$K$29*M198+(1-'main page'!$K$29)*(controls!$B$9/100)*100+'main page'!$K$25*(E199-B199)-M198)&lt;0.0000001,M198,'main page'!$K$29*M198+(1-'main page'!$K$29)*(controls!$B$9/100)*100+'main page'!$K$25*(E199-B199))</f>
        <v>2</v>
      </c>
      <c r="N199" s="75">
        <f ca="1">IF(controls!$B$10=1,N198,O199-'main page'!$K$29*M199-(1-'main page'!$K$29)*controls!$B$9)</f>
        <v>4</v>
      </c>
      <c r="O199" s="74">
        <f t="shared" ca="1" si="18"/>
        <v>6</v>
      </c>
      <c r="P199" s="76">
        <f ca="1">IF(controls!$B$10=1,hystere!N199+hystere!M199,hystere!Q199)</f>
        <v>6</v>
      </c>
      <c r="Q199" s="74">
        <f ca="1">IF('main page'!$Y$53=1,'choose m.p.'!$I$22*100,R199)</f>
        <v>6</v>
      </c>
      <c r="R199" s="100">
        <f ca="1">'main page'!$K$29*M199+(1-'main page'!$K$29)*controls!$B$9+S199+(('main page'!$K$25*'main page'!$U$13*'main page'!$K$29)/('main page'!$K$27*(1+('main page'!$K$25^2)*'main page'!$U$13)))*(M199-(controls!$B$9/100)*100)</f>
        <v>6</v>
      </c>
      <c r="S199" s="98">
        <f ca="1">IF(controls!$B$33=1,(J200-E199*X200-B199)/'main page'!$K$27,(I200-E199*X200-B199)/'main page'!$K$27)</f>
        <v>4</v>
      </c>
      <c r="U199" s="71">
        <f>IF(controls!$B$6=1,$AG$4*(1+('main page'!$K$35/100))^V199-$AG$4*(1+('main page'!$K$35/100))^V198,$AG$4*(1+('main page'!$G$8/100))*(1+('main page'!$K$35/100))^V199-$AG$4*(1+('main page'!$G$8/100))*(1+('main page'!$K$35/100))^V198)</f>
        <v>0</v>
      </c>
      <c r="V199" s="73">
        <v>191</v>
      </c>
      <c r="W199" s="40">
        <f>'normal case'!V198</f>
        <v>0</v>
      </c>
      <c r="X199" s="40">
        <f>'normal case'!W198</f>
        <v>0</v>
      </c>
      <c r="Y199" s="49">
        <f ca="1">IF(controls!$B$33=1,E199-($J$4-'main page'!$K$27*2)*(1+('main page'!$K$35/100))^A198,E199-$AG$5)</f>
        <v>0</v>
      </c>
      <c r="Z199" s="49">
        <f ca="1">ABS(M199-(controls!$B$9/100)*100)</f>
        <v>0</v>
      </c>
      <c r="AI199" s="40"/>
      <c r="AJ199" s="40"/>
    </row>
    <row r="200" spans="1:36">
      <c r="A200" s="48">
        <v>197</v>
      </c>
      <c r="B200" s="75">
        <f ca="1">IF(controls!$B$6=2,AVERAGE(E196:E199)+B199*W200+hystere!$AG$9,AVERAGE(E196:E199)+B199*W200)</f>
        <v>100</v>
      </c>
      <c r="C200" s="80">
        <f t="shared" ca="1" si="19"/>
        <v>0</v>
      </c>
      <c r="D200" s="105">
        <f t="shared" ca="1" si="20"/>
        <v>0</v>
      </c>
      <c r="E200" s="77">
        <f t="shared" ca="1" si="21"/>
        <v>100</v>
      </c>
      <c r="F200" s="77">
        <f ca="1">IF('main page'!$K$34=1,hystere!H200,hystere!G200)</f>
        <v>100</v>
      </c>
      <c r="G200" s="94">
        <f ca="1">I200-'main page'!$K$27*hystere!N199</f>
        <v>100</v>
      </c>
      <c r="H200" s="75">
        <f ca="1">J200-'main page'!$K$27*N199</f>
        <v>100</v>
      </c>
      <c r="I200" s="75">
        <f t="shared" ca="1" si="16"/>
        <v>108</v>
      </c>
      <c r="J200" s="75">
        <f t="shared" ca="1" si="17"/>
        <v>108</v>
      </c>
      <c r="M200" s="75">
        <f ca="1">IF(ABS('main page'!$K$29*M199+(1-'main page'!$K$29)*(controls!$B$9/100)*100+'main page'!$K$25*(E200-B200)-M199)&lt;0.0000001,M199,'main page'!$K$29*M199+(1-'main page'!$K$29)*(controls!$B$9/100)*100+'main page'!$K$25*(E200-B200))</f>
        <v>2</v>
      </c>
      <c r="N200" s="75">
        <f ca="1">IF(controls!$B$10=1,N199,O200-'main page'!$K$29*M200-(1-'main page'!$K$29)*controls!$B$9)</f>
        <v>4</v>
      </c>
      <c r="O200" s="74">
        <f t="shared" ca="1" si="18"/>
        <v>6</v>
      </c>
      <c r="P200" s="76">
        <f ca="1">IF(controls!$B$10=1,hystere!N200+hystere!M200,hystere!Q200)</f>
        <v>6</v>
      </c>
      <c r="Q200" s="74">
        <f ca="1">IF('main page'!$Y$53=1,'choose m.p.'!$I$22*100,R200)</f>
        <v>6</v>
      </c>
      <c r="R200" s="100">
        <f ca="1">'main page'!$K$29*M200+(1-'main page'!$K$29)*controls!$B$9+S200+(('main page'!$K$25*'main page'!$U$13*'main page'!$K$29)/('main page'!$K$27*(1+('main page'!$K$25^2)*'main page'!$U$13)))*(M200-(controls!$B$9/100)*100)</f>
        <v>6</v>
      </c>
      <c r="S200" s="98">
        <f ca="1">IF(controls!$B$33=1,(J201-E200*X201-B200)/'main page'!$K$27,(I201-E200*X201-B200)/'main page'!$K$27)</f>
        <v>4</v>
      </c>
      <c r="U200" s="71">
        <f>IF(controls!$B$6=1,$AG$4*(1+('main page'!$K$35/100))^V200-$AG$4*(1+('main page'!$K$35/100))^V199,$AG$4*(1+('main page'!$G$8/100))*(1+('main page'!$K$35/100))^V200-$AG$4*(1+('main page'!$G$8/100))*(1+('main page'!$K$35/100))^V199)</f>
        <v>0</v>
      </c>
      <c r="V200" s="73">
        <v>192</v>
      </c>
      <c r="W200" s="40">
        <f>'normal case'!V199</f>
        <v>0</v>
      </c>
      <c r="X200" s="40">
        <f>'normal case'!W199</f>
        <v>0</v>
      </c>
      <c r="Y200" s="49">
        <f ca="1">IF(controls!$B$33=1,E200-($J$4-'main page'!$K$27*2)*(1+('main page'!$K$35/100))^A199,E200-$AG$5)</f>
        <v>0</v>
      </c>
      <c r="Z200" s="49">
        <f ca="1">ABS(M200-(controls!$B$9/100)*100)</f>
        <v>0</v>
      </c>
      <c r="AI200" s="40"/>
      <c r="AJ200" s="40"/>
    </row>
    <row r="201" spans="1:36">
      <c r="A201" s="48">
        <v>198</v>
      </c>
      <c r="B201" s="75">
        <f ca="1">IF(controls!$B$6=2,AVERAGE(E197:E200)+B200*W201+hystere!$AG$9,AVERAGE(E197:E200)+B200*W201)</f>
        <v>100</v>
      </c>
      <c r="C201" s="80">
        <f t="shared" ca="1" si="19"/>
        <v>0</v>
      </c>
      <c r="D201" s="105">
        <f t="shared" ca="1" si="20"/>
        <v>0</v>
      </c>
      <c r="E201" s="77">
        <f t="shared" ca="1" si="21"/>
        <v>100</v>
      </c>
      <c r="F201" s="77">
        <f ca="1">IF('main page'!$K$34=1,hystere!H201,hystere!G201)</f>
        <v>100</v>
      </c>
      <c r="G201" s="94">
        <f ca="1">I201-'main page'!$K$27*hystere!N200</f>
        <v>100</v>
      </c>
      <c r="H201" s="75">
        <f ca="1">J201-'main page'!$K$27*N200</f>
        <v>100</v>
      </c>
      <c r="I201" s="75">
        <f t="shared" ca="1" si="16"/>
        <v>108</v>
      </c>
      <c r="J201" s="75">
        <f t="shared" ca="1" si="17"/>
        <v>108</v>
      </c>
      <c r="M201" s="75">
        <f ca="1">IF(ABS('main page'!$K$29*M200+(1-'main page'!$K$29)*(controls!$B$9/100)*100+'main page'!$K$25*(E201-B201)-M200)&lt;0.0000001,M200,'main page'!$K$29*M200+(1-'main page'!$K$29)*(controls!$B$9/100)*100+'main page'!$K$25*(E201-B201))</f>
        <v>2</v>
      </c>
      <c r="N201" s="75">
        <f ca="1">IF(controls!$B$10=1,N200,O201-'main page'!$K$29*M201-(1-'main page'!$K$29)*controls!$B$9)</f>
        <v>4</v>
      </c>
      <c r="O201" s="74">
        <f t="shared" ca="1" si="18"/>
        <v>6</v>
      </c>
      <c r="P201" s="76">
        <f ca="1">IF(controls!$B$10=1,hystere!N201+hystere!M201,hystere!Q201)</f>
        <v>6</v>
      </c>
      <c r="Q201" s="74">
        <f ca="1">IF('main page'!$Y$53=1,'choose m.p.'!$I$22*100,R201)</f>
        <v>6</v>
      </c>
      <c r="R201" s="100">
        <f ca="1">'main page'!$K$29*M201+(1-'main page'!$K$29)*controls!$B$9+S201+(('main page'!$K$25*'main page'!$U$13*'main page'!$K$29)/('main page'!$K$27*(1+('main page'!$K$25^2)*'main page'!$U$13)))*(M201-(controls!$B$9/100)*100)</f>
        <v>6</v>
      </c>
      <c r="S201" s="98">
        <f ca="1">IF(controls!$B$33=1,(J202-E201*X202-B201)/'main page'!$K$27,(I202-E201*X202-B201)/'main page'!$K$27)</f>
        <v>4</v>
      </c>
      <c r="U201" s="71">
        <f>IF(controls!$B$6=1,$AG$4*(1+('main page'!$K$35/100))^V201-$AG$4*(1+('main page'!$K$35/100))^V200,$AG$4*(1+('main page'!$G$8/100))*(1+('main page'!$K$35/100))^V201-$AG$4*(1+('main page'!$G$8/100))*(1+('main page'!$K$35/100))^V200)</f>
        <v>0</v>
      </c>
      <c r="V201" s="73">
        <v>193</v>
      </c>
      <c r="W201" s="40">
        <f ca="1">'normal case'!V200</f>
        <v>0</v>
      </c>
      <c r="X201" s="40">
        <f ca="1">'normal case'!W200</f>
        <v>0</v>
      </c>
      <c r="Y201" s="49">
        <f ca="1">IF(controls!$B$33=1,E201-($J$4-'main page'!$K$27*2)*(1+('main page'!$K$35/100))^A200,E201-$AG$5)</f>
        <v>0</v>
      </c>
      <c r="Z201" s="49">
        <f ca="1">ABS(M201-(controls!$B$9/100)*100)</f>
        <v>0</v>
      </c>
      <c r="AI201" s="40"/>
      <c r="AJ201" s="40"/>
    </row>
    <row r="202" spans="1:36">
      <c r="A202" s="48">
        <v>199</v>
      </c>
      <c r="B202" s="75">
        <f ca="1">IF(controls!$B$6=2,AVERAGE(E198:E201)+B201*W202+hystere!$AG$9,AVERAGE(E198:E201)+B201*W202)</f>
        <v>100</v>
      </c>
      <c r="C202" s="80">
        <f t="shared" ca="1" si="19"/>
        <v>0</v>
      </c>
      <c r="D202" s="105">
        <f t="shared" ca="1" si="20"/>
        <v>0</v>
      </c>
      <c r="E202" s="77">
        <f t="shared" ca="1" si="21"/>
        <v>100</v>
      </c>
      <c r="F202" s="77">
        <f ca="1">IF('main page'!$K$34=1,hystere!H202,hystere!G202)</f>
        <v>100</v>
      </c>
      <c r="G202" s="94">
        <f ca="1">I202-'main page'!$K$27*hystere!N201</f>
        <v>100</v>
      </c>
      <c r="H202" s="75">
        <f ca="1">J202-'main page'!$K$27*N201</f>
        <v>100</v>
      </c>
      <c r="I202" s="75">
        <f t="shared" ca="1" si="16"/>
        <v>108</v>
      </c>
      <c r="J202" s="75">
        <f t="shared" ca="1" si="17"/>
        <v>108</v>
      </c>
      <c r="M202" s="75">
        <f ca="1">IF(ABS('main page'!$K$29*M201+(1-'main page'!$K$29)*(controls!$B$9/100)*100+'main page'!$K$25*(E202-B202)-M201)&lt;0.0000001,M201,'main page'!$K$29*M201+(1-'main page'!$K$29)*(controls!$B$9/100)*100+'main page'!$K$25*(E202-B202))</f>
        <v>2</v>
      </c>
      <c r="N202" s="75">
        <f ca="1">IF(controls!$B$10=1,N201,O202-'main page'!$K$29*M202-(1-'main page'!$K$29)*controls!$B$9)</f>
        <v>4</v>
      </c>
      <c r="O202" s="74">
        <f t="shared" ca="1" si="18"/>
        <v>6</v>
      </c>
      <c r="P202" s="76">
        <f ca="1">IF(controls!$B$10=1,hystere!N202+hystere!M202,hystere!Q202)</f>
        <v>6</v>
      </c>
      <c r="Q202" s="74">
        <f ca="1">IF('main page'!$Y$53=1,'choose m.p.'!$I$22*100,R202)</f>
        <v>6</v>
      </c>
      <c r="R202" s="100">
        <f ca="1">'main page'!$K$29*M202+(1-'main page'!$K$29)*controls!$B$9+S202+(('main page'!$K$25*'main page'!$U$13*'main page'!$K$29)/('main page'!$K$27*(1+('main page'!$K$25^2)*'main page'!$U$13)))*(M202-(controls!$B$9/100)*100)</f>
        <v>6</v>
      </c>
      <c r="S202" s="98">
        <f ca="1">IF(controls!$B$33=1,(J203-E202*X203-B202)/'main page'!$K$27,(I203-E202*X203-B202)/'main page'!$K$27)</f>
        <v>4</v>
      </c>
      <c r="U202" s="71">
        <f>IF(controls!$B$6=1,$AG$4*(1+('main page'!$K$35/100))^V202-$AG$4*(1+('main page'!$K$35/100))^V201,$AG$4*(1+('main page'!$G$8/100))*(1+('main page'!$K$35/100))^V202-$AG$4*(1+('main page'!$G$8/100))*(1+('main page'!$K$35/100))^V201)</f>
        <v>0</v>
      </c>
      <c r="V202" s="73">
        <v>194</v>
      </c>
      <c r="W202" s="40">
        <f>'normal case'!V201</f>
        <v>0</v>
      </c>
      <c r="X202" s="40">
        <f>'normal case'!W201</f>
        <v>0</v>
      </c>
      <c r="Y202" s="49">
        <f ca="1">IF(controls!$B$33=1,E202-($J$4-'main page'!$K$27*2)*(1+('main page'!$K$35/100))^A201,E202-$AG$5)</f>
        <v>0</v>
      </c>
      <c r="Z202" s="49">
        <f ca="1">ABS(M202-(controls!$B$9/100)*100)</f>
        <v>0</v>
      </c>
      <c r="AI202" s="40"/>
      <c r="AJ202" s="40"/>
    </row>
    <row r="203" spans="1:36">
      <c r="A203" s="48">
        <v>200</v>
      </c>
      <c r="B203" s="75">
        <f ca="1">IF(controls!$B$6=2,AVERAGE(E199:E202)+B202*W203+hystere!$AG$9,AVERAGE(E199:E202)+B202*W203)</f>
        <v>100</v>
      </c>
      <c r="C203" s="80">
        <f t="shared" ca="1" si="19"/>
        <v>0</v>
      </c>
      <c r="D203" s="105">
        <f t="shared" ca="1" si="20"/>
        <v>0</v>
      </c>
      <c r="E203" s="77">
        <f t="shared" ca="1" si="21"/>
        <v>100</v>
      </c>
      <c r="F203" s="77">
        <f ca="1">IF('main page'!$K$34=1,hystere!H203,hystere!G203)</f>
        <v>100</v>
      </c>
      <c r="G203" s="94">
        <f ca="1">I203-'main page'!$K$27*hystere!N202</f>
        <v>100</v>
      </c>
      <c r="H203" s="75">
        <f ca="1">J203-'main page'!$K$27*N202</f>
        <v>100</v>
      </c>
      <c r="I203" s="75">
        <f t="shared" ca="1" si="16"/>
        <v>108</v>
      </c>
      <c r="J203" s="75">
        <f t="shared" ca="1" si="17"/>
        <v>108</v>
      </c>
      <c r="M203" s="75">
        <f ca="1">IF(ABS('main page'!$K$29*M202+(1-'main page'!$K$29)*(controls!$B$9/100)*100+'main page'!$K$25*(E203-B203)-M202)&lt;0.0000001,M202,'main page'!$K$29*M202+(1-'main page'!$K$29)*(controls!$B$9/100)*100+'main page'!$K$25*(E203-B203))</f>
        <v>2</v>
      </c>
      <c r="N203" s="75">
        <f ca="1">IF(controls!$B$10=1,N202,O203-'main page'!$K$29*M203-(1-'main page'!$K$29)*controls!$B$9)</f>
        <v>4</v>
      </c>
      <c r="O203" s="74">
        <f t="shared" ca="1" si="18"/>
        <v>6</v>
      </c>
      <c r="P203" s="76">
        <f ca="1">IF(controls!$B$10=1,hystere!N203+hystere!M203,hystere!Q203)</f>
        <v>6</v>
      </c>
      <c r="Q203" s="74">
        <f ca="1">IF('main page'!$Y$53=1,'choose m.p.'!$I$22*100,R203)</f>
        <v>6</v>
      </c>
      <c r="R203" s="100">
        <f ca="1">'main page'!$K$29*M203+(1-'main page'!$K$29)*controls!$B$9+S203+(('main page'!$K$25*'main page'!$U$13*'main page'!$K$29)/('main page'!$K$27*(1+('main page'!$K$25^2)*'main page'!$U$13)))*(M203-(controls!$B$9/100)*100)</f>
        <v>6</v>
      </c>
      <c r="S203" s="98">
        <f ca="1">IF(controls!$B$33=1,(J204-E203*X204-B203)/'main page'!$K$27,(I204-E203*X204-B203)/'main page'!$K$27)</f>
        <v>4</v>
      </c>
      <c r="U203" s="71">
        <f>IF(controls!$B$6=1,$AG$4*(1+('main page'!$K$35/100))^V203-$AG$4*(1+('main page'!$K$35/100))^V202,$AG$4*(1+('main page'!$G$8/100))*(1+('main page'!$K$35/100))^V203-$AG$4*(1+('main page'!$G$8/100))*(1+('main page'!$K$35/100))^V202)</f>
        <v>0</v>
      </c>
      <c r="V203" s="73">
        <v>195</v>
      </c>
      <c r="W203" s="40">
        <f>'normal case'!V202</f>
        <v>0</v>
      </c>
      <c r="X203" s="40">
        <f>'normal case'!W202</f>
        <v>0</v>
      </c>
      <c r="Y203" s="49">
        <f ca="1">IF(controls!$B$33=1,E203-($J$4-'main page'!$K$27*2)*(1+('main page'!$K$35/100))^A202,E203-$AG$5)</f>
        <v>0</v>
      </c>
      <c r="Z203" s="49">
        <f ca="1">ABS(M203-(controls!$B$9/100)*100)</f>
        <v>0</v>
      </c>
      <c r="AI203" s="40"/>
      <c r="AJ203" s="40"/>
    </row>
    <row r="204" spans="1:36">
      <c r="A204" s="48">
        <v>201</v>
      </c>
      <c r="B204" s="75">
        <f ca="1">IF(controls!$B$6=2,AVERAGE(E200:E203)+B203*W204+hystere!$AG$9,AVERAGE(E200:E203)+B203*W204)</f>
        <v>100</v>
      </c>
      <c r="C204" s="80">
        <f t="shared" ca="1" si="19"/>
        <v>0</v>
      </c>
      <c r="D204" s="105">
        <f t="shared" ca="1" si="20"/>
        <v>0</v>
      </c>
      <c r="E204" s="77">
        <f t="shared" ca="1" si="21"/>
        <v>100</v>
      </c>
      <c r="F204" s="77">
        <f ca="1">IF('main page'!$K$34=1,hystere!H204,hystere!G204)</f>
        <v>100</v>
      </c>
      <c r="G204" s="94">
        <f ca="1">I204-'main page'!$K$27*hystere!N203</f>
        <v>100</v>
      </c>
      <c r="H204" s="75">
        <f ca="1">J204-'main page'!$K$27*N203</f>
        <v>100</v>
      </c>
      <c r="I204" s="75">
        <f t="shared" ca="1" si="16"/>
        <v>108</v>
      </c>
      <c r="J204" s="75">
        <f t="shared" ca="1" si="17"/>
        <v>108</v>
      </c>
      <c r="M204" s="75">
        <f ca="1">IF(ABS('main page'!$K$29*M203+(1-'main page'!$K$29)*(controls!$B$9/100)*100+'main page'!$K$25*(E204-B204)-M203)&lt;0.0000001,M203,'main page'!$K$29*M203+(1-'main page'!$K$29)*(controls!$B$9/100)*100+'main page'!$K$25*(E204-B204))</f>
        <v>2</v>
      </c>
      <c r="N204" s="75">
        <f ca="1">IF(controls!$B$10=1,N203,O204-'main page'!$K$29*M204-(1-'main page'!$K$29)*controls!$B$9)</f>
        <v>4</v>
      </c>
      <c r="O204" s="74">
        <f t="shared" ca="1" si="18"/>
        <v>6</v>
      </c>
      <c r="P204" s="76">
        <f ca="1">IF(controls!$B$10=1,hystere!N204+hystere!M204,hystere!Q204)</f>
        <v>6</v>
      </c>
      <c r="Q204" s="74">
        <f ca="1">IF('main page'!$Y$53=1,'choose m.p.'!$I$22*100,R204)</f>
        <v>6</v>
      </c>
      <c r="R204" s="100">
        <f ca="1">'main page'!$K$29*M204+(1-'main page'!$K$29)*controls!$B$9+S204+(('main page'!$K$25*'main page'!$U$13*'main page'!$K$29)/('main page'!$K$27*(1+('main page'!$K$25^2)*'main page'!$U$13)))*(M204-(controls!$B$9/100)*100)</f>
        <v>6</v>
      </c>
      <c r="S204" s="98">
        <f ca="1">IF(controls!$B$33=1,(J205-E204*X205-B204)/'main page'!$K$27,(I205-E204*X205-B204)/'main page'!$K$27)</f>
        <v>4</v>
      </c>
      <c r="U204" s="71">
        <f>IF(controls!$B$6=1,$AG$4*(1+('main page'!$K$35/100))^V204-$AG$4*(1+('main page'!$K$35/100))^V203,$AG$4*(1+('main page'!$G$8/100))*(1+('main page'!$K$35/100))^V204-$AG$4*(1+('main page'!$G$8/100))*(1+('main page'!$K$35/100))^V203)</f>
        <v>0</v>
      </c>
      <c r="V204" s="73">
        <v>196</v>
      </c>
      <c r="W204" s="40">
        <f ca="1">'normal case'!V203</f>
        <v>0</v>
      </c>
      <c r="X204" s="40">
        <f ca="1">'normal case'!W203</f>
        <v>0</v>
      </c>
      <c r="Y204" s="49">
        <f ca="1">IF(controls!$B$33=1,E204-($J$4-'main page'!$K$27*2)*(1+('main page'!$K$35/100))^A203,E204-$AG$5)</f>
        <v>0</v>
      </c>
      <c r="Z204" s="49">
        <f ca="1">ABS(M204-(controls!$B$9/100)*100)</f>
        <v>0</v>
      </c>
      <c r="AI204" s="40"/>
      <c r="AJ204" s="40"/>
    </row>
    <row r="205" spans="1:36">
      <c r="A205" s="48">
        <v>202</v>
      </c>
      <c r="B205" s="75">
        <f ca="1">IF(controls!$B$6=2,AVERAGE(E201:E204)+B204*W205+hystere!$AG$9,AVERAGE(E201:E204)+B204*W205)</f>
        <v>100</v>
      </c>
      <c r="C205" s="80">
        <f t="shared" ca="1" si="19"/>
        <v>0</v>
      </c>
      <c r="D205" s="105">
        <f t="shared" ca="1" si="20"/>
        <v>0</v>
      </c>
      <c r="E205" s="77">
        <f t="shared" ca="1" si="21"/>
        <v>100</v>
      </c>
      <c r="F205" s="77">
        <f ca="1">IF('main page'!$K$34=1,hystere!H205,hystere!G205)</f>
        <v>100</v>
      </c>
      <c r="G205" s="94">
        <f ca="1">I205-'main page'!$K$27*hystere!N204</f>
        <v>100</v>
      </c>
      <c r="H205" s="75">
        <f ca="1">J205-'main page'!$K$27*N204</f>
        <v>100</v>
      </c>
      <c r="I205" s="75">
        <f t="shared" ca="1" si="16"/>
        <v>108</v>
      </c>
      <c r="J205" s="75">
        <f t="shared" ca="1" si="17"/>
        <v>108</v>
      </c>
      <c r="M205" s="75">
        <f ca="1">IF(ABS('main page'!$K$29*M204+(1-'main page'!$K$29)*(controls!$B$9/100)*100+'main page'!$K$25*(E205-B205)-M204)&lt;0.0000001,M204,'main page'!$K$29*M204+(1-'main page'!$K$29)*(controls!$B$9/100)*100+'main page'!$K$25*(E205-B205))</f>
        <v>2</v>
      </c>
      <c r="N205" s="75">
        <f ca="1">IF(controls!$B$10=1,N204,O205-'main page'!$K$29*M205-(1-'main page'!$K$29)*controls!$B$9)</f>
        <v>4</v>
      </c>
      <c r="O205" s="74">
        <f t="shared" ca="1" si="18"/>
        <v>6</v>
      </c>
      <c r="P205" s="76">
        <f ca="1">IF(controls!$B$10=1,hystere!N205+hystere!M205,hystere!Q205)</f>
        <v>6</v>
      </c>
      <c r="Q205" s="74">
        <f ca="1">IF('main page'!$Y$53=1,'choose m.p.'!$I$22*100,R205)</f>
        <v>6</v>
      </c>
      <c r="R205" s="100">
        <f ca="1">'main page'!$K$29*M205+(1-'main page'!$K$29)*controls!$B$9+S205+(('main page'!$K$25*'main page'!$U$13*'main page'!$K$29)/('main page'!$K$27*(1+('main page'!$K$25^2)*'main page'!$U$13)))*(M205-(controls!$B$9/100)*100)</f>
        <v>6</v>
      </c>
      <c r="S205" s="98">
        <f ca="1">IF(controls!$B$33=1,(J206-E205*X206-B205)/'main page'!$K$27,(I206-E205*X206-B205)/'main page'!$K$27)</f>
        <v>4</v>
      </c>
      <c r="U205" s="71">
        <f>IF(controls!$B$6=1,$AG$4*(1+('main page'!$K$35/100))^V205-$AG$4*(1+('main page'!$K$35/100))^V204,$AG$4*(1+('main page'!$G$8/100))*(1+('main page'!$K$35/100))^V205-$AG$4*(1+('main page'!$G$8/100))*(1+('main page'!$K$35/100))^V204)</f>
        <v>0</v>
      </c>
      <c r="V205" s="73">
        <v>197</v>
      </c>
      <c r="W205" s="40">
        <f>'normal case'!V204</f>
        <v>0</v>
      </c>
      <c r="X205" s="40">
        <f>'normal case'!W204</f>
        <v>0</v>
      </c>
      <c r="Y205" s="49">
        <f ca="1">IF(controls!$B$33=1,E205-($J$4-'main page'!$K$27*2)*(1+('main page'!$K$35/100))^A204,E205-$AG$5)</f>
        <v>0</v>
      </c>
      <c r="Z205" s="49">
        <f ca="1">ABS(M205-(controls!$B$9/100)*100)</f>
        <v>0</v>
      </c>
      <c r="AI205" s="40"/>
      <c r="AJ205" s="40"/>
    </row>
    <row r="206" spans="1:36">
      <c r="A206" s="48">
        <v>203</v>
      </c>
      <c r="B206" s="75">
        <f ca="1">IF(controls!$B$6=2,AVERAGE(E202:E205)+B205*W206+hystere!$AG$9,AVERAGE(E202:E205)+B205*W206)</f>
        <v>100</v>
      </c>
      <c r="C206" s="80">
        <f t="shared" ca="1" si="19"/>
        <v>0</v>
      </c>
      <c r="D206" s="105">
        <f t="shared" ca="1" si="20"/>
        <v>0</v>
      </c>
      <c r="E206" s="77">
        <f t="shared" ca="1" si="21"/>
        <v>100</v>
      </c>
      <c r="F206" s="77">
        <f ca="1">IF('main page'!$K$34=1,hystere!H206,hystere!G206)</f>
        <v>100</v>
      </c>
      <c r="G206" s="94">
        <f ca="1">I206-'main page'!$K$27*hystere!N205</f>
        <v>100</v>
      </c>
      <c r="H206" s="75">
        <f ca="1">J206-'main page'!$K$27*N205</f>
        <v>100</v>
      </c>
      <c r="I206" s="75">
        <f t="shared" ca="1" si="16"/>
        <v>108</v>
      </c>
      <c r="J206" s="75">
        <f t="shared" ca="1" si="17"/>
        <v>108</v>
      </c>
      <c r="M206" s="75">
        <f ca="1">IF(ABS('main page'!$K$29*M205+(1-'main page'!$K$29)*(controls!$B$9/100)*100+'main page'!$K$25*(E206-B206)-M205)&lt;0.0000001,M205,'main page'!$K$29*M205+(1-'main page'!$K$29)*(controls!$B$9/100)*100+'main page'!$K$25*(E206-B206))</f>
        <v>2</v>
      </c>
      <c r="N206" s="75">
        <f ca="1">IF(controls!$B$10=1,N205,O206-'main page'!$K$29*M206-(1-'main page'!$K$29)*controls!$B$9)</f>
        <v>4</v>
      </c>
      <c r="O206" s="74">
        <f t="shared" ca="1" si="18"/>
        <v>6</v>
      </c>
      <c r="P206" s="76">
        <f ca="1">IF(controls!$B$10=1,hystere!N206+hystere!M206,hystere!Q206)</f>
        <v>6</v>
      </c>
      <c r="Q206" s="74">
        <f ca="1">IF('main page'!$Y$53=1,'choose m.p.'!$I$22*100,R206)</f>
        <v>6</v>
      </c>
      <c r="R206" s="100">
        <f ca="1">'main page'!$K$29*M206+(1-'main page'!$K$29)*controls!$B$9+S206+(('main page'!$K$25*'main page'!$U$13*'main page'!$K$29)/('main page'!$K$27*(1+('main page'!$K$25^2)*'main page'!$U$13)))*(M206-(controls!$B$9/100)*100)</f>
        <v>6</v>
      </c>
      <c r="S206" s="98">
        <f ca="1">IF(controls!$B$33=1,(J207-E206*X207-B206)/'main page'!$K$27,(I207-E206*X207-B206)/'main page'!$K$27)</f>
        <v>4</v>
      </c>
      <c r="U206" s="71">
        <f>IF(controls!$B$6=1,$AG$4*(1+('main page'!$K$35/100))^V206-$AG$4*(1+('main page'!$K$35/100))^V205,$AG$4*(1+('main page'!$G$8/100))*(1+('main page'!$K$35/100))^V206-$AG$4*(1+('main page'!$G$8/100))*(1+('main page'!$K$35/100))^V205)</f>
        <v>0</v>
      </c>
      <c r="V206" s="73">
        <v>198</v>
      </c>
      <c r="W206" s="40">
        <f>'normal case'!V205</f>
        <v>0</v>
      </c>
      <c r="X206" s="40">
        <f>'normal case'!W205</f>
        <v>0</v>
      </c>
      <c r="Y206" s="49">
        <f ca="1">IF(controls!$B$33=1,E206-($J$4-'main page'!$K$27*2)*(1+('main page'!$K$35/100))^A205,E206-$AG$5)</f>
        <v>0</v>
      </c>
      <c r="Z206" s="49">
        <f ca="1">ABS(M206-(controls!$B$9/100)*100)</f>
        <v>0</v>
      </c>
      <c r="AI206" s="40"/>
      <c r="AJ206" s="40"/>
    </row>
    <row r="207" spans="1:36">
      <c r="A207" s="48">
        <v>204</v>
      </c>
      <c r="B207" s="75">
        <f ca="1">IF(controls!$B$6=2,AVERAGE(E203:E206)+B206*W207+hystere!$AG$9,AVERAGE(E203:E206)+B206*W207)</f>
        <v>100</v>
      </c>
      <c r="C207" s="80">
        <f t="shared" ca="1" si="19"/>
        <v>0</v>
      </c>
      <c r="D207" s="105">
        <f t="shared" ca="1" si="20"/>
        <v>0</v>
      </c>
      <c r="E207" s="77">
        <f t="shared" ca="1" si="21"/>
        <v>100</v>
      </c>
      <c r="F207" s="77">
        <f ca="1">IF('main page'!$K$34=1,hystere!H207,hystere!G207)</f>
        <v>100</v>
      </c>
      <c r="G207" s="94">
        <f ca="1">I207-'main page'!$K$27*hystere!N206</f>
        <v>100</v>
      </c>
      <c r="H207" s="75">
        <f ca="1">J207-'main page'!$K$27*N206</f>
        <v>100</v>
      </c>
      <c r="I207" s="75">
        <f t="shared" ca="1" si="16"/>
        <v>108</v>
      </c>
      <c r="J207" s="75">
        <f t="shared" ca="1" si="17"/>
        <v>108</v>
      </c>
      <c r="M207" s="75">
        <f ca="1">IF(ABS('main page'!$K$29*M206+(1-'main page'!$K$29)*(controls!$B$9/100)*100+'main page'!$K$25*(E207-B207)-M206)&lt;0.0000001,M206,'main page'!$K$29*M206+(1-'main page'!$K$29)*(controls!$B$9/100)*100+'main page'!$K$25*(E207-B207))</f>
        <v>2</v>
      </c>
      <c r="N207" s="75">
        <f ca="1">IF(controls!$B$10=1,N206,O207-'main page'!$K$29*M207-(1-'main page'!$K$29)*controls!$B$9)</f>
        <v>4</v>
      </c>
      <c r="O207" s="74">
        <f t="shared" ca="1" si="18"/>
        <v>6</v>
      </c>
      <c r="P207" s="76">
        <f ca="1">IF(controls!$B$10=1,hystere!N207+hystere!M207,hystere!Q207)</f>
        <v>6</v>
      </c>
      <c r="Q207" s="74">
        <f ca="1">IF('main page'!$Y$53=1,'choose m.p.'!$I$22*100,R207)</f>
        <v>6</v>
      </c>
      <c r="R207" s="100">
        <f ca="1">'main page'!$K$29*M207+(1-'main page'!$K$29)*controls!$B$9+S207+(('main page'!$K$25*'main page'!$U$13*'main page'!$K$29)/('main page'!$K$27*(1+('main page'!$K$25^2)*'main page'!$U$13)))*(M207-(controls!$B$9/100)*100)</f>
        <v>6</v>
      </c>
      <c r="S207" s="98">
        <f ca="1">IF(controls!$B$33=1,(J208-E207*X208-B207)/'main page'!$K$27,(I208-E207*X208-B207)/'main page'!$K$27)</f>
        <v>4</v>
      </c>
      <c r="U207" s="71">
        <f>IF(controls!$B$6=1,$AG$4*(1+('main page'!$K$35/100))^V207-$AG$4*(1+('main page'!$K$35/100))^V206,$AG$4*(1+('main page'!$G$8/100))*(1+('main page'!$K$35/100))^V207-$AG$4*(1+('main page'!$G$8/100))*(1+('main page'!$K$35/100))^V206)</f>
        <v>0</v>
      </c>
      <c r="V207" s="73">
        <v>199</v>
      </c>
      <c r="W207" s="40">
        <f ca="1">'normal case'!V206</f>
        <v>0</v>
      </c>
      <c r="X207" s="40">
        <f ca="1">'normal case'!W206</f>
        <v>0</v>
      </c>
      <c r="Y207" s="49">
        <f ca="1">IF(controls!$B$33=1,E207-($J$4-'main page'!$K$27*2)*(1+('main page'!$K$35/100))^A206,E207-$AG$5)</f>
        <v>0</v>
      </c>
      <c r="Z207" s="49">
        <f ca="1">ABS(M207-(controls!$B$9/100)*100)</f>
        <v>0</v>
      </c>
      <c r="AI207" s="40"/>
      <c r="AJ207" s="40"/>
    </row>
    <row r="208" spans="1:36">
      <c r="A208" s="48">
        <v>205</v>
      </c>
      <c r="B208" s="75">
        <f ca="1">IF(controls!$B$6=2,AVERAGE(E204:E207)+B207*W208+hystere!$AG$9,AVERAGE(E204:E207)+B207*W208)</f>
        <v>100</v>
      </c>
      <c r="C208" s="80">
        <f t="shared" ca="1" si="19"/>
        <v>0</v>
      </c>
      <c r="D208" s="105">
        <f t="shared" ca="1" si="20"/>
        <v>0</v>
      </c>
      <c r="E208" s="77">
        <f t="shared" ca="1" si="21"/>
        <v>100</v>
      </c>
      <c r="F208" s="77">
        <f ca="1">IF('main page'!$K$34=1,hystere!H208,hystere!G208)</f>
        <v>100</v>
      </c>
      <c r="G208" s="94">
        <f ca="1">I208-'main page'!$K$27*hystere!N207</f>
        <v>100</v>
      </c>
      <c r="H208" s="75">
        <f ca="1">J208-'main page'!$K$27*N207</f>
        <v>100</v>
      </c>
      <c r="I208" s="75">
        <f t="shared" ca="1" si="16"/>
        <v>108</v>
      </c>
      <c r="J208" s="75">
        <f t="shared" ca="1" si="17"/>
        <v>108</v>
      </c>
      <c r="M208" s="75">
        <f ca="1">IF(ABS('main page'!$K$29*M207+(1-'main page'!$K$29)*(controls!$B$9/100)*100+'main page'!$K$25*(E208-B208)-M207)&lt;0.0000001,M207,'main page'!$K$29*M207+(1-'main page'!$K$29)*(controls!$B$9/100)*100+'main page'!$K$25*(E208-B208))</f>
        <v>2</v>
      </c>
      <c r="N208" s="75">
        <f ca="1">IF(controls!$B$10=1,N207,O208-'main page'!$K$29*M208-(1-'main page'!$K$29)*controls!$B$9)</f>
        <v>4</v>
      </c>
      <c r="O208" s="74">
        <f t="shared" ca="1" si="18"/>
        <v>6</v>
      </c>
      <c r="P208" s="76">
        <f ca="1">IF(controls!$B$10=1,hystere!N208+hystere!M208,hystere!Q208)</f>
        <v>6</v>
      </c>
      <c r="Q208" s="74">
        <f ca="1">IF('main page'!$Y$53=1,'choose m.p.'!$I$22*100,R208)</f>
        <v>6</v>
      </c>
      <c r="R208" s="100">
        <f ca="1">'main page'!$K$29*M208+(1-'main page'!$K$29)*controls!$B$9+S208+(('main page'!$K$25*'main page'!$U$13*'main page'!$K$29)/('main page'!$K$27*(1+('main page'!$K$25^2)*'main page'!$U$13)))*(M208-(controls!$B$9/100)*100)</f>
        <v>6</v>
      </c>
      <c r="S208" s="98">
        <f ca="1">IF(controls!$B$33=1,(J209-E208*X209-B208)/'main page'!$K$27,(I209-E208*X209-B208)/'main page'!$K$27)</f>
        <v>4</v>
      </c>
      <c r="U208" s="71">
        <f>IF(controls!$B$6=1,$AG$4*(1+('main page'!$K$35/100))^V208-$AG$4*(1+('main page'!$K$35/100))^V207,$AG$4*(1+('main page'!$G$8/100))*(1+('main page'!$K$35/100))^V208-$AG$4*(1+('main page'!$G$8/100))*(1+('main page'!$K$35/100))^V207)</f>
        <v>0</v>
      </c>
      <c r="V208" s="73">
        <v>200</v>
      </c>
      <c r="W208" s="40">
        <f>'normal case'!V207</f>
        <v>0</v>
      </c>
      <c r="X208" s="40">
        <f>'normal case'!W207</f>
        <v>0</v>
      </c>
      <c r="Y208" s="49">
        <f ca="1">IF(controls!$B$33=1,E208-($J$4-'main page'!$K$27*2)*(1+('main page'!$K$35/100))^A207,E208-$AG$5)</f>
        <v>0</v>
      </c>
      <c r="Z208" s="49">
        <f ca="1">ABS(M208-(controls!$B$9/100)*100)</f>
        <v>0</v>
      </c>
      <c r="AI208" s="40"/>
      <c r="AJ208" s="40"/>
    </row>
    <row r="209" spans="1:36">
      <c r="A209" s="48">
        <v>206</v>
      </c>
      <c r="B209" s="75">
        <f ca="1">IF(controls!$B$6=2,AVERAGE(E205:E208)+B208*W209+hystere!$AG$9,AVERAGE(E205:E208)+B208*W209)</f>
        <v>100</v>
      </c>
      <c r="C209" s="80">
        <f t="shared" ca="1" si="19"/>
        <v>0</v>
      </c>
      <c r="D209" s="105">
        <f t="shared" ca="1" si="20"/>
        <v>0</v>
      </c>
      <c r="E209" s="77">
        <f t="shared" ca="1" si="21"/>
        <v>100</v>
      </c>
      <c r="F209" s="77">
        <f ca="1">IF('main page'!$K$34=1,hystere!H209,hystere!G209)</f>
        <v>100</v>
      </c>
      <c r="G209" s="94">
        <f ca="1">I209-'main page'!$K$27*hystere!N208</f>
        <v>100</v>
      </c>
      <c r="H209" s="75">
        <f ca="1">J209-'main page'!$K$27*N208</f>
        <v>100</v>
      </c>
      <c r="I209" s="75">
        <f t="shared" ca="1" si="16"/>
        <v>108</v>
      </c>
      <c r="J209" s="75">
        <f t="shared" ca="1" si="17"/>
        <v>108</v>
      </c>
      <c r="M209" s="75">
        <f ca="1">IF(ABS('main page'!$K$29*M208+(1-'main page'!$K$29)*(controls!$B$9/100)*100+'main page'!$K$25*(E209-B209)-M208)&lt;0.0000001,M208,'main page'!$K$29*M208+(1-'main page'!$K$29)*(controls!$B$9/100)*100+'main page'!$K$25*(E209-B209))</f>
        <v>2</v>
      </c>
      <c r="N209" s="75">
        <f ca="1">IF(controls!$B$10=1,N208,O209-'main page'!$K$29*M209-(1-'main page'!$K$29)*controls!$B$9)</f>
        <v>4</v>
      </c>
      <c r="O209" s="74">
        <f t="shared" ca="1" si="18"/>
        <v>6</v>
      </c>
      <c r="P209" s="76">
        <f ca="1">IF(controls!$B$10=1,hystere!N209+hystere!M209,hystere!Q209)</f>
        <v>6</v>
      </c>
      <c r="Q209" s="74">
        <f ca="1">IF('main page'!$Y$53=1,'choose m.p.'!$I$22*100,R209)</f>
        <v>6</v>
      </c>
      <c r="R209" s="100">
        <f ca="1">'main page'!$K$29*M209+(1-'main page'!$K$29)*controls!$B$9+S209+(('main page'!$K$25*'main page'!$U$13*'main page'!$K$29)/('main page'!$K$27*(1+('main page'!$K$25^2)*'main page'!$U$13)))*(M209-(controls!$B$9/100)*100)</f>
        <v>6</v>
      </c>
      <c r="S209" s="98">
        <f ca="1">IF(controls!$B$33=1,(J210-E209*X210-B209)/'main page'!$K$27,(I210-E209*X210-B209)/'main page'!$K$27)</f>
        <v>4</v>
      </c>
      <c r="U209" s="71">
        <f>IF(controls!$B$6=1,$AG$4*(1+('main page'!$K$35/100))^V209-$AG$4*(1+('main page'!$K$35/100))^V208,$AG$4*(1+('main page'!$G$8/100))*(1+('main page'!$K$35/100))^V209-$AG$4*(1+('main page'!$G$8/100))*(1+('main page'!$K$35/100))^V208)</f>
        <v>0</v>
      </c>
      <c r="V209" s="73">
        <v>201</v>
      </c>
      <c r="W209" s="40">
        <f>'normal case'!V208</f>
        <v>0</v>
      </c>
      <c r="X209" s="40">
        <f>'normal case'!W208</f>
        <v>0</v>
      </c>
      <c r="Y209" s="49">
        <f ca="1">IF(controls!$B$33=1,E209-($J$4-'main page'!$K$27*2)*(1+('main page'!$K$35/100))^A208,E209-$AG$5)</f>
        <v>0</v>
      </c>
      <c r="Z209" s="49">
        <f ca="1">ABS(M209-(controls!$B$9/100)*100)</f>
        <v>0</v>
      </c>
      <c r="AI209" s="40"/>
      <c r="AJ209" s="40"/>
    </row>
    <row r="210" spans="1:36">
      <c r="A210" s="48">
        <v>207</v>
      </c>
      <c r="B210" s="75">
        <f ca="1">IF(controls!$B$6=2,AVERAGE(E206:E209)+B209*W210+hystere!$AG$9,AVERAGE(E206:E209)+B209*W210)</f>
        <v>100</v>
      </c>
      <c r="C210" s="80">
        <f t="shared" ca="1" si="19"/>
        <v>0</v>
      </c>
      <c r="D210" s="105">
        <f t="shared" ca="1" si="20"/>
        <v>0</v>
      </c>
      <c r="E210" s="77">
        <f t="shared" ca="1" si="21"/>
        <v>100</v>
      </c>
      <c r="F210" s="77">
        <f ca="1">IF('main page'!$K$34=1,hystere!H210,hystere!G210)</f>
        <v>100</v>
      </c>
      <c r="G210" s="94">
        <f ca="1">I210-'main page'!$K$27*hystere!N209</f>
        <v>100</v>
      </c>
      <c r="H210" s="75">
        <f ca="1">J210-'main page'!$K$27*N209</f>
        <v>100</v>
      </c>
      <c r="I210" s="75">
        <f t="shared" ca="1" si="16"/>
        <v>108</v>
      </c>
      <c r="J210" s="75">
        <f t="shared" ca="1" si="17"/>
        <v>108</v>
      </c>
      <c r="M210" s="75">
        <f ca="1">IF(ABS('main page'!$K$29*M209+(1-'main page'!$K$29)*(controls!$B$9/100)*100+'main page'!$K$25*(E210-B210)-M209)&lt;0.0000001,M209,'main page'!$K$29*M209+(1-'main page'!$K$29)*(controls!$B$9/100)*100+'main page'!$K$25*(E210-B210))</f>
        <v>2</v>
      </c>
      <c r="N210" s="75">
        <f ca="1">IF(controls!$B$10=1,N209,O210-'main page'!$K$29*M210-(1-'main page'!$K$29)*controls!$B$9)</f>
        <v>4</v>
      </c>
      <c r="O210" s="74">
        <f t="shared" ca="1" si="18"/>
        <v>6</v>
      </c>
      <c r="P210" s="76">
        <f ca="1">IF(controls!$B$10=1,hystere!N210+hystere!M210,hystere!Q210)</f>
        <v>6</v>
      </c>
      <c r="Q210" s="74">
        <f ca="1">IF('main page'!$Y$53=1,'choose m.p.'!$I$22*100,R210)</f>
        <v>6</v>
      </c>
      <c r="R210" s="100">
        <f ca="1">'main page'!$K$29*M210+(1-'main page'!$K$29)*controls!$B$9+S210+(('main page'!$K$25*'main page'!$U$13*'main page'!$K$29)/('main page'!$K$27*(1+('main page'!$K$25^2)*'main page'!$U$13)))*(M210-(controls!$B$9/100)*100)</f>
        <v>6</v>
      </c>
      <c r="S210" s="98">
        <f ca="1">IF(controls!$B$33=1,(J211-E210*X211-B210)/'main page'!$K$27,(I211-E210*X211-B210)/'main page'!$K$27)</f>
        <v>4</v>
      </c>
      <c r="U210" s="71">
        <f>IF(controls!$B$6=1,$AG$4*(1+('main page'!$K$35/100))^V210-$AG$4*(1+('main page'!$K$35/100))^V209,$AG$4*(1+('main page'!$G$8/100))*(1+('main page'!$K$35/100))^V210-$AG$4*(1+('main page'!$G$8/100))*(1+('main page'!$K$35/100))^V209)</f>
        <v>0</v>
      </c>
      <c r="V210" s="73">
        <v>202</v>
      </c>
      <c r="W210" s="40">
        <f ca="1">'normal case'!V209</f>
        <v>0</v>
      </c>
      <c r="X210" s="40">
        <f ca="1">'normal case'!W209</f>
        <v>0</v>
      </c>
      <c r="Y210" s="49">
        <f ca="1">IF(controls!$B$33=1,E210-($J$4-'main page'!$K$27*2)*(1+('main page'!$K$35/100))^A209,E210-$AG$5)</f>
        <v>0</v>
      </c>
      <c r="Z210" s="49">
        <f ca="1">ABS(M210-(controls!$B$9/100)*100)</f>
        <v>0</v>
      </c>
      <c r="AI210" s="40"/>
      <c r="AJ210" s="40"/>
    </row>
    <row r="211" spans="1:36">
      <c r="A211" s="48">
        <v>208</v>
      </c>
      <c r="B211" s="75">
        <f ca="1">IF(controls!$B$6=2,AVERAGE(E207:E210)+B210*W211+hystere!$AG$9,AVERAGE(E207:E210)+B210*W211)</f>
        <v>100</v>
      </c>
      <c r="C211" s="80">
        <f t="shared" ca="1" si="19"/>
        <v>0</v>
      </c>
      <c r="D211" s="105">
        <f t="shared" ca="1" si="20"/>
        <v>0</v>
      </c>
      <c r="E211" s="77">
        <f t="shared" ca="1" si="21"/>
        <v>100</v>
      </c>
      <c r="F211" s="77">
        <f ca="1">IF('main page'!$K$34=1,hystere!H211,hystere!G211)</f>
        <v>100</v>
      </c>
      <c r="G211" s="94">
        <f ca="1">I211-'main page'!$K$27*hystere!N210</f>
        <v>100</v>
      </c>
      <c r="H211" s="75">
        <f ca="1">J211-'main page'!$K$27*N210</f>
        <v>100</v>
      </c>
      <c r="I211" s="75">
        <f t="shared" ca="1" si="16"/>
        <v>108</v>
      </c>
      <c r="J211" s="75">
        <f t="shared" ca="1" si="17"/>
        <v>108</v>
      </c>
      <c r="M211" s="75">
        <f ca="1">IF(ABS('main page'!$K$29*M210+(1-'main page'!$K$29)*(controls!$B$9/100)*100+'main page'!$K$25*(E211-B211)-M210)&lt;0.0000001,M210,'main page'!$K$29*M210+(1-'main page'!$K$29)*(controls!$B$9/100)*100+'main page'!$K$25*(E211-B211))</f>
        <v>2</v>
      </c>
      <c r="N211" s="75">
        <f ca="1">IF(controls!$B$10=1,N210,O211-'main page'!$K$29*M211-(1-'main page'!$K$29)*controls!$B$9)</f>
        <v>4</v>
      </c>
      <c r="O211" s="74">
        <f t="shared" ca="1" si="18"/>
        <v>6</v>
      </c>
      <c r="P211" s="76">
        <f ca="1">IF(controls!$B$10=1,hystere!N211+hystere!M211,hystere!Q211)</f>
        <v>6</v>
      </c>
      <c r="Q211" s="74">
        <f ca="1">IF('main page'!$Y$53=1,'choose m.p.'!$I$22*100,R211)</f>
        <v>6</v>
      </c>
      <c r="R211" s="100">
        <f ca="1">'main page'!$K$29*M211+(1-'main page'!$K$29)*controls!$B$9+S211+(('main page'!$K$25*'main page'!$U$13*'main page'!$K$29)/('main page'!$K$27*(1+('main page'!$K$25^2)*'main page'!$U$13)))*(M211-(controls!$B$9/100)*100)</f>
        <v>6</v>
      </c>
      <c r="S211" s="98">
        <f ca="1">IF(controls!$B$33=1,(J212-E211*X212-B211)/'main page'!$K$27,(I212-E211*X212-B211)/'main page'!$K$27)</f>
        <v>4</v>
      </c>
      <c r="U211" s="71">
        <f>IF(controls!$B$6=1,$AG$4*(1+('main page'!$K$35/100))^V211-$AG$4*(1+('main page'!$K$35/100))^V210,$AG$4*(1+('main page'!$G$8/100))*(1+('main page'!$K$35/100))^V211-$AG$4*(1+('main page'!$G$8/100))*(1+('main page'!$K$35/100))^V210)</f>
        <v>0</v>
      </c>
      <c r="V211" s="73">
        <v>203</v>
      </c>
      <c r="W211" s="40">
        <f>'normal case'!V210</f>
        <v>0</v>
      </c>
      <c r="X211" s="40">
        <f>'normal case'!W210</f>
        <v>0</v>
      </c>
      <c r="Y211" s="49">
        <f ca="1">IF(controls!$B$33=1,E211-($J$4-'main page'!$K$27*2)*(1+('main page'!$K$35/100))^A210,E211-$AG$5)</f>
        <v>0</v>
      </c>
      <c r="Z211" s="49">
        <f ca="1">ABS(M211-(controls!$B$9/100)*100)</f>
        <v>0</v>
      </c>
      <c r="AI211" s="40"/>
      <c r="AJ211" s="40"/>
    </row>
    <row r="212" spans="1:36">
      <c r="A212" s="48">
        <v>209</v>
      </c>
      <c r="B212" s="75">
        <f ca="1">IF(controls!$B$6=2,AVERAGE(E208:E211)+B211*W212+hystere!$AG$9,AVERAGE(E208:E211)+B211*W212)</f>
        <v>100</v>
      </c>
      <c r="C212" s="80">
        <f t="shared" ca="1" si="19"/>
        <v>0</v>
      </c>
      <c r="D212" s="105">
        <f t="shared" ca="1" si="20"/>
        <v>0</v>
      </c>
      <c r="E212" s="77">
        <f t="shared" ca="1" si="21"/>
        <v>100</v>
      </c>
      <c r="F212" s="77">
        <f ca="1">IF('main page'!$K$34=1,hystere!H212,hystere!G212)</f>
        <v>100</v>
      </c>
      <c r="G212" s="94">
        <f ca="1">I212-'main page'!$K$27*hystere!N211</f>
        <v>100</v>
      </c>
      <c r="H212" s="75">
        <f ca="1">J212-'main page'!$K$27*N211</f>
        <v>100</v>
      </c>
      <c r="I212" s="75">
        <f t="shared" ca="1" si="16"/>
        <v>108</v>
      </c>
      <c r="J212" s="75">
        <f t="shared" ca="1" si="17"/>
        <v>108</v>
      </c>
      <c r="M212" s="75">
        <f ca="1">IF(ABS('main page'!$K$29*M211+(1-'main page'!$K$29)*(controls!$B$9/100)*100+'main page'!$K$25*(E212-B212)-M211)&lt;0.0000001,M211,'main page'!$K$29*M211+(1-'main page'!$K$29)*(controls!$B$9/100)*100+'main page'!$K$25*(E212-B212))</f>
        <v>2</v>
      </c>
      <c r="N212" s="75">
        <f ca="1">IF(controls!$B$10=1,N211,O212-'main page'!$K$29*M212-(1-'main page'!$K$29)*controls!$B$9)</f>
        <v>4</v>
      </c>
      <c r="O212" s="74">
        <f t="shared" ca="1" si="18"/>
        <v>6</v>
      </c>
      <c r="P212" s="76">
        <f ca="1">IF(controls!$B$10=1,hystere!N212+hystere!M212,hystere!Q212)</f>
        <v>6</v>
      </c>
      <c r="Q212" s="74">
        <f ca="1">IF('main page'!$Y$53=1,'choose m.p.'!$I$22*100,R212)</f>
        <v>6</v>
      </c>
      <c r="R212" s="100">
        <f ca="1">'main page'!$K$29*M212+(1-'main page'!$K$29)*controls!$B$9+S212+(('main page'!$K$25*'main page'!$U$13*'main page'!$K$29)/('main page'!$K$27*(1+('main page'!$K$25^2)*'main page'!$U$13)))*(M212-(controls!$B$9/100)*100)</f>
        <v>6</v>
      </c>
      <c r="S212" s="98">
        <f ca="1">IF(controls!$B$33=1,(J213-E212*X213-B212)/'main page'!$K$27,(I213-E212*X213-B212)/'main page'!$K$27)</f>
        <v>4</v>
      </c>
      <c r="U212" s="71">
        <f>IF(controls!$B$6=1,$AG$4*(1+('main page'!$K$35/100))^V212-$AG$4*(1+('main page'!$K$35/100))^V211,$AG$4*(1+('main page'!$G$8/100))*(1+('main page'!$K$35/100))^V212-$AG$4*(1+('main page'!$G$8/100))*(1+('main page'!$K$35/100))^V211)</f>
        <v>0</v>
      </c>
      <c r="V212" s="73">
        <v>204</v>
      </c>
      <c r="W212" s="40">
        <f>'normal case'!V211</f>
        <v>0</v>
      </c>
      <c r="X212" s="40">
        <f>'normal case'!W211</f>
        <v>0</v>
      </c>
      <c r="Y212" s="49">
        <f ca="1">IF(controls!$B$33=1,E212-($J$4-'main page'!$K$27*2)*(1+('main page'!$K$35/100))^A211,E212-$AG$5)</f>
        <v>0</v>
      </c>
      <c r="Z212" s="49">
        <f ca="1">ABS(M212-(controls!$B$9/100)*100)</f>
        <v>0</v>
      </c>
      <c r="AI212" s="40"/>
      <c r="AJ212" s="40"/>
    </row>
    <row r="213" spans="1:36">
      <c r="A213" s="48">
        <v>210</v>
      </c>
      <c r="B213" s="75">
        <f ca="1">IF(controls!$B$6=2,AVERAGE(E209:E212)+B212*W213+hystere!$AG$9,AVERAGE(E209:E212)+B212*W213)</f>
        <v>100</v>
      </c>
      <c r="C213" s="80">
        <f t="shared" ca="1" si="19"/>
        <v>0</v>
      </c>
      <c r="D213" s="105">
        <f t="shared" ca="1" si="20"/>
        <v>0</v>
      </c>
      <c r="E213" s="77">
        <f t="shared" ca="1" si="21"/>
        <v>100</v>
      </c>
      <c r="F213" s="77">
        <f ca="1">IF('main page'!$K$34=1,hystere!H213,hystere!G213)</f>
        <v>100</v>
      </c>
      <c r="G213" s="94">
        <f ca="1">I213-'main page'!$K$27*hystere!N212</f>
        <v>100</v>
      </c>
      <c r="H213" s="75">
        <f ca="1">J213-'main page'!$K$27*N212</f>
        <v>100</v>
      </c>
      <c r="I213" s="75">
        <f t="shared" ca="1" si="16"/>
        <v>108</v>
      </c>
      <c r="J213" s="75">
        <f t="shared" ca="1" si="17"/>
        <v>108</v>
      </c>
      <c r="M213" s="75">
        <f ca="1">IF(ABS('main page'!$K$29*M212+(1-'main page'!$K$29)*(controls!$B$9/100)*100+'main page'!$K$25*(E213-B213)-M212)&lt;0.0000001,M212,'main page'!$K$29*M212+(1-'main page'!$K$29)*(controls!$B$9/100)*100+'main page'!$K$25*(E213-B213))</f>
        <v>2</v>
      </c>
      <c r="N213" s="75">
        <f ca="1">IF(controls!$B$10=1,N212,O213-'main page'!$K$29*M213-(1-'main page'!$K$29)*controls!$B$9)</f>
        <v>4</v>
      </c>
      <c r="O213" s="74">
        <f t="shared" ca="1" si="18"/>
        <v>6</v>
      </c>
      <c r="P213" s="76">
        <f ca="1">IF(controls!$B$10=1,hystere!N213+hystere!M213,hystere!Q213)</f>
        <v>6</v>
      </c>
      <c r="Q213" s="74">
        <f ca="1">IF('main page'!$Y$53=1,'choose m.p.'!$I$22*100,R213)</f>
        <v>6</v>
      </c>
      <c r="R213" s="100">
        <f ca="1">'main page'!$K$29*M213+(1-'main page'!$K$29)*controls!$B$9+S213+(('main page'!$K$25*'main page'!$U$13*'main page'!$K$29)/('main page'!$K$27*(1+('main page'!$K$25^2)*'main page'!$U$13)))*(M213-(controls!$B$9/100)*100)</f>
        <v>6</v>
      </c>
      <c r="S213" s="98">
        <f ca="1">IF(controls!$B$33=1,(J214-E213*X214-B213)/'main page'!$K$27,(I214-E213*X214-B213)/'main page'!$K$27)</f>
        <v>4</v>
      </c>
      <c r="U213" s="71">
        <f>IF(controls!$B$6=1,$AG$4*(1+('main page'!$K$35/100))^V213-$AG$4*(1+('main page'!$K$35/100))^V212,$AG$4*(1+('main page'!$G$8/100))*(1+('main page'!$K$35/100))^V213-$AG$4*(1+('main page'!$G$8/100))*(1+('main page'!$K$35/100))^V212)</f>
        <v>0</v>
      </c>
      <c r="V213" s="73">
        <v>205</v>
      </c>
      <c r="W213" s="40">
        <f ca="1">'normal case'!V212</f>
        <v>0</v>
      </c>
      <c r="X213" s="40">
        <f ca="1">'normal case'!W212</f>
        <v>0</v>
      </c>
      <c r="Y213" s="49">
        <f ca="1">IF(controls!$B$33=1,E213-($J$4-'main page'!$K$27*2)*(1+('main page'!$K$35/100))^A212,E213-$AG$5)</f>
        <v>0</v>
      </c>
      <c r="Z213" s="49">
        <f ca="1">ABS(M213-(controls!$B$9/100)*100)</f>
        <v>0</v>
      </c>
      <c r="AI213" s="40"/>
      <c r="AJ213" s="40"/>
    </row>
    <row r="214" spans="1:36">
      <c r="A214" s="48">
        <v>211</v>
      </c>
      <c r="B214" s="75">
        <f ca="1">IF(controls!$B$6=2,AVERAGE(E210:E213)+B213*W214+hystere!$AG$9,AVERAGE(E210:E213)+B213*W214)</f>
        <v>100</v>
      </c>
      <c r="C214" s="80">
        <f t="shared" ca="1" si="19"/>
        <v>0</v>
      </c>
      <c r="D214" s="105">
        <f t="shared" ca="1" si="20"/>
        <v>0</v>
      </c>
      <c r="E214" s="77">
        <f t="shared" ca="1" si="21"/>
        <v>100</v>
      </c>
      <c r="F214" s="77">
        <f ca="1">IF('main page'!$K$34=1,hystere!H214,hystere!G214)</f>
        <v>100</v>
      </c>
      <c r="G214" s="94">
        <f ca="1">I214-'main page'!$K$27*hystere!N213</f>
        <v>100</v>
      </c>
      <c r="H214" s="75">
        <f ca="1">J214-'main page'!$K$27*N213</f>
        <v>100</v>
      </c>
      <c r="I214" s="75">
        <f t="shared" ca="1" si="16"/>
        <v>108</v>
      </c>
      <c r="J214" s="75">
        <f t="shared" ca="1" si="17"/>
        <v>108</v>
      </c>
      <c r="M214" s="75">
        <f ca="1">IF(ABS('main page'!$K$29*M213+(1-'main page'!$K$29)*(controls!$B$9/100)*100+'main page'!$K$25*(E214-B214)-M213)&lt;0.0000001,M213,'main page'!$K$29*M213+(1-'main page'!$K$29)*(controls!$B$9/100)*100+'main page'!$K$25*(E214-B214))</f>
        <v>2</v>
      </c>
      <c r="N214" s="75">
        <f ca="1">IF(controls!$B$10=1,N213,O214-'main page'!$K$29*M214-(1-'main page'!$K$29)*controls!$B$9)</f>
        <v>4</v>
      </c>
      <c r="O214" s="74">
        <f t="shared" ca="1" si="18"/>
        <v>6</v>
      </c>
      <c r="P214" s="76">
        <f ca="1">IF(controls!$B$10=1,hystere!N214+hystere!M214,hystere!Q214)</f>
        <v>6</v>
      </c>
      <c r="Q214" s="74">
        <f ca="1">IF('main page'!$Y$53=1,'choose m.p.'!$I$22*100,R214)</f>
        <v>6</v>
      </c>
      <c r="R214" s="100">
        <f ca="1">'main page'!$K$29*M214+(1-'main page'!$K$29)*controls!$B$9+S214+(('main page'!$K$25*'main page'!$U$13*'main page'!$K$29)/('main page'!$K$27*(1+('main page'!$K$25^2)*'main page'!$U$13)))*(M214-(controls!$B$9/100)*100)</f>
        <v>6</v>
      </c>
      <c r="S214" s="98">
        <f ca="1">IF(controls!$B$33=1,(J215-E214*X215-B214)/'main page'!$K$27,(I215-E214*X215-B214)/'main page'!$K$27)</f>
        <v>4</v>
      </c>
      <c r="U214" s="71">
        <f>IF(controls!$B$6=1,$AG$4*(1+('main page'!$K$35/100))^V214-$AG$4*(1+('main page'!$K$35/100))^V213,$AG$4*(1+('main page'!$G$8/100))*(1+('main page'!$K$35/100))^V214-$AG$4*(1+('main page'!$G$8/100))*(1+('main page'!$K$35/100))^V213)</f>
        <v>0</v>
      </c>
      <c r="V214" s="73">
        <v>206</v>
      </c>
      <c r="W214" s="40">
        <f>'normal case'!V213</f>
        <v>0</v>
      </c>
      <c r="X214" s="40">
        <f>'normal case'!W213</f>
        <v>0</v>
      </c>
      <c r="Y214" s="49">
        <f ca="1">IF(controls!$B$33=1,E214-($J$4-'main page'!$K$27*2)*(1+('main page'!$K$35/100))^A213,E214-$AG$5)</f>
        <v>0</v>
      </c>
      <c r="Z214" s="49">
        <f ca="1">ABS(M214-(controls!$B$9/100)*100)</f>
        <v>0</v>
      </c>
      <c r="AI214" s="40"/>
      <c r="AJ214" s="40"/>
    </row>
    <row r="215" spans="1:36">
      <c r="A215" s="48">
        <v>212</v>
      </c>
      <c r="B215" s="75">
        <f ca="1">IF(controls!$B$6=2,AVERAGE(E211:E214)+B214*W215+hystere!$AG$9,AVERAGE(E211:E214)+B214*W215)</f>
        <v>100</v>
      </c>
      <c r="C215" s="80">
        <f t="shared" ca="1" si="19"/>
        <v>0</v>
      </c>
      <c r="D215" s="105">
        <f t="shared" ca="1" si="20"/>
        <v>0</v>
      </c>
      <c r="E215" s="77">
        <f t="shared" ca="1" si="21"/>
        <v>100</v>
      </c>
      <c r="F215" s="77">
        <f ca="1">IF('main page'!$K$34=1,hystere!H215,hystere!G215)</f>
        <v>100</v>
      </c>
      <c r="G215" s="94">
        <f ca="1">I215-'main page'!$K$27*hystere!N214</f>
        <v>100</v>
      </c>
      <c r="H215" s="75">
        <f ca="1">J215-'main page'!$K$27*N214</f>
        <v>100</v>
      </c>
      <c r="I215" s="75">
        <f t="shared" ca="1" si="16"/>
        <v>108</v>
      </c>
      <c r="J215" s="75">
        <f t="shared" ca="1" si="17"/>
        <v>108</v>
      </c>
      <c r="M215" s="75">
        <f ca="1">IF(ABS('main page'!$K$29*M214+(1-'main page'!$K$29)*(controls!$B$9/100)*100+'main page'!$K$25*(E215-B215)-M214)&lt;0.0000001,M214,'main page'!$K$29*M214+(1-'main page'!$K$29)*(controls!$B$9/100)*100+'main page'!$K$25*(E215-B215))</f>
        <v>2</v>
      </c>
      <c r="N215" s="75">
        <f ca="1">IF(controls!$B$10=1,N214,O215-'main page'!$K$29*M215-(1-'main page'!$K$29)*controls!$B$9)</f>
        <v>4</v>
      </c>
      <c r="O215" s="74">
        <f t="shared" ca="1" si="18"/>
        <v>6</v>
      </c>
      <c r="P215" s="76">
        <f ca="1">IF(controls!$B$10=1,hystere!N215+hystere!M215,hystere!Q215)</f>
        <v>6</v>
      </c>
      <c r="Q215" s="74">
        <f ca="1">IF('main page'!$Y$53=1,'choose m.p.'!$I$22*100,R215)</f>
        <v>6</v>
      </c>
      <c r="R215" s="100">
        <f ca="1">'main page'!$K$29*M215+(1-'main page'!$K$29)*controls!$B$9+S215+(('main page'!$K$25*'main page'!$U$13*'main page'!$K$29)/('main page'!$K$27*(1+('main page'!$K$25^2)*'main page'!$U$13)))*(M215-(controls!$B$9/100)*100)</f>
        <v>6</v>
      </c>
      <c r="S215" s="98">
        <f ca="1">IF(controls!$B$33=1,(J216-E215*X216-B215)/'main page'!$K$27,(I216-E215*X216-B215)/'main page'!$K$27)</f>
        <v>4</v>
      </c>
      <c r="U215" s="71">
        <f>IF(controls!$B$6=1,$AG$4*(1+('main page'!$K$35/100))^V215-$AG$4*(1+('main page'!$K$35/100))^V214,$AG$4*(1+('main page'!$G$8/100))*(1+('main page'!$K$35/100))^V215-$AG$4*(1+('main page'!$G$8/100))*(1+('main page'!$K$35/100))^V214)</f>
        <v>0</v>
      </c>
      <c r="V215" s="73">
        <v>207</v>
      </c>
      <c r="W215" s="40">
        <f>'normal case'!V214</f>
        <v>0</v>
      </c>
      <c r="X215" s="40">
        <f>'normal case'!W214</f>
        <v>0</v>
      </c>
      <c r="Y215" s="49">
        <f ca="1">IF(controls!$B$33=1,E215-($J$4-'main page'!$K$27*2)*(1+('main page'!$K$35/100))^A214,E215-$AG$5)</f>
        <v>0</v>
      </c>
      <c r="Z215" s="49">
        <f ca="1">ABS(M215-(controls!$B$9/100)*100)</f>
        <v>0</v>
      </c>
      <c r="AI215" s="40"/>
      <c r="AJ215" s="40"/>
    </row>
    <row r="216" spans="1:36">
      <c r="A216" s="48">
        <v>213</v>
      </c>
      <c r="B216" s="75">
        <f ca="1">IF(controls!$B$6=2,AVERAGE(E212:E215)+B215*W216+hystere!$AG$9,AVERAGE(E212:E215)+B215*W216)</f>
        <v>100</v>
      </c>
      <c r="C216" s="80">
        <f t="shared" ca="1" si="19"/>
        <v>0</v>
      </c>
      <c r="D216" s="105">
        <f t="shared" ca="1" si="20"/>
        <v>0</v>
      </c>
      <c r="E216" s="77">
        <f t="shared" ca="1" si="21"/>
        <v>100</v>
      </c>
      <c r="F216" s="77">
        <f ca="1">IF('main page'!$K$34=1,hystere!H216,hystere!G216)</f>
        <v>100</v>
      </c>
      <c r="G216" s="94">
        <f ca="1">I216-'main page'!$K$27*hystere!N215</f>
        <v>100</v>
      </c>
      <c r="H216" s="75">
        <f ca="1">J216-'main page'!$K$27*N215</f>
        <v>100</v>
      </c>
      <c r="I216" s="75">
        <f t="shared" ca="1" si="16"/>
        <v>108</v>
      </c>
      <c r="J216" s="75">
        <f t="shared" ca="1" si="17"/>
        <v>108</v>
      </c>
      <c r="M216" s="75">
        <f ca="1">IF(ABS('main page'!$K$29*M215+(1-'main page'!$K$29)*(controls!$B$9/100)*100+'main page'!$K$25*(E216-B216)-M215)&lt;0.0000001,M215,'main page'!$K$29*M215+(1-'main page'!$K$29)*(controls!$B$9/100)*100+'main page'!$K$25*(E216-B216))</f>
        <v>2</v>
      </c>
      <c r="N216" s="75">
        <f ca="1">IF(controls!$B$10=1,N215,O216-'main page'!$K$29*M216-(1-'main page'!$K$29)*controls!$B$9)</f>
        <v>4</v>
      </c>
      <c r="O216" s="74">
        <f t="shared" ca="1" si="18"/>
        <v>6</v>
      </c>
      <c r="P216" s="76">
        <f ca="1">IF(controls!$B$10=1,hystere!N216+hystere!M216,hystere!Q216)</f>
        <v>6</v>
      </c>
      <c r="Q216" s="74">
        <f ca="1">IF('main page'!$Y$53=1,'choose m.p.'!$I$22*100,R216)</f>
        <v>6</v>
      </c>
      <c r="R216" s="100">
        <f ca="1">'main page'!$K$29*M216+(1-'main page'!$K$29)*controls!$B$9+S216+(('main page'!$K$25*'main page'!$U$13*'main page'!$K$29)/('main page'!$K$27*(1+('main page'!$K$25^2)*'main page'!$U$13)))*(M216-(controls!$B$9/100)*100)</f>
        <v>6</v>
      </c>
      <c r="S216" s="98">
        <f ca="1">IF(controls!$B$33=1,(J217-E216*X217-B216)/'main page'!$K$27,(I217-E216*X217-B216)/'main page'!$K$27)</f>
        <v>4</v>
      </c>
      <c r="U216" s="71">
        <f>IF(controls!$B$6=1,$AG$4*(1+('main page'!$K$35/100))^V216-$AG$4*(1+('main page'!$K$35/100))^V215,$AG$4*(1+('main page'!$G$8/100))*(1+('main page'!$K$35/100))^V216-$AG$4*(1+('main page'!$G$8/100))*(1+('main page'!$K$35/100))^V215)</f>
        <v>0</v>
      </c>
      <c r="V216" s="73">
        <v>208</v>
      </c>
      <c r="W216" s="40">
        <f ca="1">'normal case'!V215</f>
        <v>0</v>
      </c>
      <c r="X216" s="40">
        <f ca="1">'normal case'!W215</f>
        <v>0</v>
      </c>
      <c r="Y216" s="49">
        <f ca="1">IF(controls!$B$33=1,E216-($J$4-'main page'!$K$27*2)*(1+('main page'!$K$35/100))^A215,E216-$AG$5)</f>
        <v>0</v>
      </c>
      <c r="Z216" s="49">
        <f ca="1">ABS(M216-(controls!$B$9/100)*100)</f>
        <v>0</v>
      </c>
      <c r="AI216" s="40"/>
      <c r="AJ216" s="40"/>
    </row>
    <row r="217" spans="1:36">
      <c r="A217" s="48">
        <v>214</v>
      </c>
      <c r="B217" s="75">
        <f ca="1">IF(controls!$B$6=2,AVERAGE(E213:E216)+B216*W217+hystere!$AG$9,AVERAGE(E213:E216)+B216*W217)</f>
        <v>100</v>
      </c>
      <c r="C217" s="80">
        <f t="shared" ca="1" si="19"/>
        <v>0</v>
      </c>
      <c r="D217" s="105">
        <f t="shared" ca="1" si="20"/>
        <v>0</v>
      </c>
      <c r="E217" s="77">
        <f t="shared" ca="1" si="21"/>
        <v>100</v>
      </c>
      <c r="F217" s="77">
        <f ca="1">IF('main page'!$K$34=1,hystere!H217,hystere!G217)</f>
        <v>100</v>
      </c>
      <c r="G217" s="94">
        <f ca="1">I217-'main page'!$K$27*hystere!N216</f>
        <v>100</v>
      </c>
      <c r="H217" s="75">
        <f ca="1">J217-'main page'!$K$27*N216</f>
        <v>100</v>
      </c>
      <c r="I217" s="75">
        <f t="shared" ref="I217:I280" ca="1" si="22">I216+E216*X217</f>
        <v>108</v>
      </c>
      <c r="J217" s="75">
        <f t="shared" ref="J217:J280" ca="1" si="23">J216+E216*X217+U217</f>
        <v>108</v>
      </c>
      <c r="M217" s="75">
        <f ca="1">IF(ABS('main page'!$K$29*M216+(1-'main page'!$K$29)*(controls!$B$9/100)*100+'main page'!$K$25*(E217-B217)-M216)&lt;0.0000001,M216,'main page'!$K$29*M216+(1-'main page'!$K$29)*(controls!$B$9/100)*100+'main page'!$K$25*(E217-B217))</f>
        <v>2</v>
      </c>
      <c r="N217" s="75">
        <f ca="1">IF(controls!$B$10=1,N216,O217-'main page'!$K$29*M217-(1-'main page'!$K$29)*controls!$B$9)</f>
        <v>4</v>
      </c>
      <c r="O217" s="74">
        <f t="shared" ca="1" si="18"/>
        <v>6</v>
      </c>
      <c r="P217" s="76">
        <f ca="1">IF(controls!$B$10=1,hystere!N217+hystere!M217,hystere!Q217)</f>
        <v>6</v>
      </c>
      <c r="Q217" s="74">
        <f ca="1">IF('main page'!$Y$53=1,'choose m.p.'!$I$22*100,R217)</f>
        <v>6</v>
      </c>
      <c r="R217" s="100">
        <f ca="1">'main page'!$K$29*M217+(1-'main page'!$K$29)*controls!$B$9+S217+(('main page'!$K$25*'main page'!$U$13*'main page'!$K$29)/('main page'!$K$27*(1+('main page'!$K$25^2)*'main page'!$U$13)))*(M217-(controls!$B$9/100)*100)</f>
        <v>6</v>
      </c>
      <c r="S217" s="98">
        <f ca="1">IF(controls!$B$33=1,(J218-E217*X218-B217)/'main page'!$K$27,(I218-E217*X218-B217)/'main page'!$K$27)</f>
        <v>4</v>
      </c>
      <c r="U217" s="71">
        <f>IF(controls!$B$6=1,$AG$4*(1+('main page'!$K$35/100))^V217-$AG$4*(1+('main page'!$K$35/100))^V216,$AG$4*(1+('main page'!$G$8/100))*(1+('main page'!$K$35/100))^V217-$AG$4*(1+('main page'!$G$8/100))*(1+('main page'!$K$35/100))^V216)</f>
        <v>0</v>
      </c>
      <c r="V217" s="73">
        <v>209</v>
      </c>
      <c r="W217" s="40">
        <f>'normal case'!V216</f>
        <v>0</v>
      </c>
      <c r="X217" s="40">
        <f>'normal case'!W216</f>
        <v>0</v>
      </c>
      <c r="Y217" s="49">
        <f ca="1">IF(controls!$B$33=1,E217-($J$4-'main page'!$K$27*2)*(1+('main page'!$K$35/100))^A216,E217-$AG$5)</f>
        <v>0</v>
      </c>
      <c r="Z217" s="49">
        <f ca="1">ABS(M217-(controls!$B$9/100)*100)</f>
        <v>0</v>
      </c>
      <c r="AI217" s="40"/>
      <c r="AJ217" s="40"/>
    </row>
    <row r="218" spans="1:36">
      <c r="A218" s="48">
        <v>215</v>
      </c>
      <c r="B218" s="75">
        <f ca="1">IF(controls!$B$6=2,AVERAGE(E214:E217)+B217*W218+hystere!$AG$9,AVERAGE(E214:E217)+B217*W218)</f>
        <v>100</v>
      </c>
      <c r="C218" s="80">
        <f t="shared" ca="1" si="19"/>
        <v>0</v>
      </c>
      <c r="D218" s="105">
        <f t="shared" ca="1" si="20"/>
        <v>0</v>
      </c>
      <c r="E218" s="77">
        <f t="shared" ca="1" si="21"/>
        <v>100</v>
      </c>
      <c r="F218" s="77">
        <f ca="1">IF('main page'!$K$34=1,hystere!H218,hystere!G218)</f>
        <v>100</v>
      </c>
      <c r="G218" s="94">
        <f ca="1">I218-'main page'!$K$27*hystere!N217</f>
        <v>100</v>
      </c>
      <c r="H218" s="75">
        <f ca="1">J218-'main page'!$K$27*N217</f>
        <v>100</v>
      </c>
      <c r="I218" s="75">
        <f t="shared" ca="1" si="22"/>
        <v>108</v>
      </c>
      <c r="J218" s="75">
        <f t="shared" ca="1" si="23"/>
        <v>108</v>
      </c>
      <c r="M218" s="75">
        <f ca="1">IF(ABS('main page'!$K$29*M217+(1-'main page'!$K$29)*(controls!$B$9/100)*100+'main page'!$K$25*(E218-B218)-M217)&lt;0.0000001,M217,'main page'!$K$29*M217+(1-'main page'!$K$29)*(controls!$B$9/100)*100+'main page'!$K$25*(E218-B218))</f>
        <v>2</v>
      </c>
      <c r="N218" s="75">
        <f ca="1">IF(controls!$B$10=1,N217,O218-'main page'!$K$29*M218-(1-'main page'!$K$29)*controls!$B$9)</f>
        <v>4</v>
      </c>
      <c r="O218" s="74">
        <f t="shared" ca="1" si="18"/>
        <v>6</v>
      </c>
      <c r="P218" s="76">
        <f ca="1">IF(controls!$B$10=1,hystere!N218+hystere!M218,hystere!Q218)</f>
        <v>6</v>
      </c>
      <c r="Q218" s="74">
        <f ca="1">IF('main page'!$Y$53=1,'choose m.p.'!$I$22*100,R218)</f>
        <v>6</v>
      </c>
      <c r="R218" s="100">
        <f ca="1">'main page'!$K$29*M218+(1-'main page'!$K$29)*controls!$B$9+S218+(('main page'!$K$25*'main page'!$U$13*'main page'!$K$29)/('main page'!$K$27*(1+('main page'!$K$25^2)*'main page'!$U$13)))*(M218-(controls!$B$9/100)*100)</f>
        <v>6</v>
      </c>
      <c r="S218" s="98">
        <f ca="1">IF(controls!$B$33=1,(J219-E218*X219-B218)/'main page'!$K$27,(I219-E218*X219-B218)/'main page'!$K$27)</f>
        <v>4</v>
      </c>
      <c r="U218" s="71">
        <f>IF(controls!$B$6=1,$AG$4*(1+('main page'!$K$35/100))^V218-$AG$4*(1+('main page'!$K$35/100))^V217,$AG$4*(1+('main page'!$G$8/100))*(1+('main page'!$K$35/100))^V218-$AG$4*(1+('main page'!$G$8/100))*(1+('main page'!$K$35/100))^V217)</f>
        <v>0</v>
      </c>
      <c r="V218" s="73">
        <v>210</v>
      </c>
      <c r="W218" s="40">
        <f>'normal case'!V217</f>
        <v>0</v>
      </c>
      <c r="X218" s="40">
        <f>'normal case'!W217</f>
        <v>0</v>
      </c>
      <c r="Y218" s="49">
        <f ca="1">IF(controls!$B$33=1,E218-($J$4-'main page'!$K$27*2)*(1+('main page'!$K$35/100))^A217,E218-$AG$5)</f>
        <v>0</v>
      </c>
      <c r="Z218" s="49">
        <f ca="1">ABS(M218-(controls!$B$9/100)*100)</f>
        <v>0</v>
      </c>
      <c r="AI218" s="40"/>
      <c r="AJ218" s="40"/>
    </row>
    <row r="219" spans="1:36">
      <c r="A219" s="48">
        <v>216</v>
      </c>
      <c r="B219" s="75">
        <f ca="1">IF(controls!$B$6=2,AVERAGE(E215:E218)+B218*W219+hystere!$AG$9,AVERAGE(E215:E218)+B218*W219)</f>
        <v>100</v>
      </c>
      <c r="C219" s="80">
        <f t="shared" ca="1" si="19"/>
        <v>0</v>
      </c>
      <c r="D219" s="105">
        <f t="shared" ca="1" si="20"/>
        <v>0</v>
      </c>
      <c r="E219" s="77">
        <f t="shared" ca="1" si="21"/>
        <v>100</v>
      </c>
      <c r="F219" s="77">
        <f ca="1">IF('main page'!$K$34=1,hystere!H219,hystere!G219)</f>
        <v>100</v>
      </c>
      <c r="G219" s="94">
        <f ca="1">I219-'main page'!$K$27*hystere!N218</f>
        <v>100</v>
      </c>
      <c r="H219" s="75">
        <f ca="1">J219-'main page'!$K$27*N218</f>
        <v>100</v>
      </c>
      <c r="I219" s="75">
        <f t="shared" ca="1" si="22"/>
        <v>108</v>
      </c>
      <c r="J219" s="75">
        <f t="shared" ca="1" si="23"/>
        <v>108</v>
      </c>
      <c r="M219" s="75">
        <f ca="1">IF(ABS('main page'!$K$29*M218+(1-'main page'!$K$29)*(controls!$B$9/100)*100+'main page'!$K$25*(E219-B219)-M218)&lt;0.0000001,M218,'main page'!$K$29*M218+(1-'main page'!$K$29)*(controls!$B$9/100)*100+'main page'!$K$25*(E219-B219))</f>
        <v>2</v>
      </c>
      <c r="N219" s="75">
        <f ca="1">IF(controls!$B$10=1,N218,O219-'main page'!$K$29*M219-(1-'main page'!$K$29)*controls!$B$9)</f>
        <v>4</v>
      </c>
      <c r="O219" s="74">
        <f t="shared" ca="1" si="18"/>
        <v>6</v>
      </c>
      <c r="P219" s="76">
        <f ca="1">IF(controls!$B$10=1,hystere!N219+hystere!M219,hystere!Q219)</f>
        <v>6</v>
      </c>
      <c r="Q219" s="74">
        <f ca="1">IF('main page'!$Y$53=1,'choose m.p.'!$I$22*100,R219)</f>
        <v>6</v>
      </c>
      <c r="R219" s="100">
        <f ca="1">'main page'!$K$29*M219+(1-'main page'!$K$29)*controls!$B$9+S219+(('main page'!$K$25*'main page'!$U$13*'main page'!$K$29)/('main page'!$K$27*(1+('main page'!$K$25^2)*'main page'!$U$13)))*(M219-(controls!$B$9/100)*100)</f>
        <v>6</v>
      </c>
      <c r="S219" s="98">
        <f ca="1">IF(controls!$B$33=1,(J220-E219*X220-B219)/'main page'!$K$27,(I220-E219*X220-B219)/'main page'!$K$27)</f>
        <v>4</v>
      </c>
      <c r="U219" s="71">
        <f>IF(controls!$B$6=1,$AG$4*(1+('main page'!$K$35/100))^V219-$AG$4*(1+('main page'!$K$35/100))^V218,$AG$4*(1+('main page'!$G$8/100))*(1+('main page'!$K$35/100))^V219-$AG$4*(1+('main page'!$G$8/100))*(1+('main page'!$K$35/100))^V218)</f>
        <v>0</v>
      </c>
      <c r="V219" s="73">
        <v>211</v>
      </c>
      <c r="W219" s="40">
        <f ca="1">'normal case'!V218</f>
        <v>0</v>
      </c>
      <c r="X219" s="40">
        <f ca="1">'normal case'!W218</f>
        <v>0</v>
      </c>
      <c r="Y219" s="49">
        <f ca="1">IF(controls!$B$33=1,E219-($J$4-'main page'!$K$27*2)*(1+('main page'!$K$35/100))^A218,E219-$AG$5)</f>
        <v>0</v>
      </c>
      <c r="Z219" s="49">
        <f ca="1">ABS(M219-(controls!$B$9/100)*100)</f>
        <v>0</v>
      </c>
      <c r="AI219" s="40"/>
      <c r="AJ219" s="40"/>
    </row>
    <row r="220" spans="1:36">
      <c r="A220" s="48">
        <v>217</v>
      </c>
      <c r="B220" s="75">
        <f ca="1">IF(controls!$B$6=2,AVERAGE(E216:E219)+B219*W220+hystere!$AG$9,AVERAGE(E216:E219)+B219*W220)</f>
        <v>100</v>
      </c>
      <c r="C220" s="80">
        <f t="shared" ca="1" si="19"/>
        <v>0</v>
      </c>
      <c r="D220" s="105">
        <f t="shared" ca="1" si="20"/>
        <v>0</v>
      </c>
      <c r="E220" s="77">
        <f t="shared" ca="1" si="21"/>
        <v>100</v>
      </c>
      <c r="F220" s="77">
        <f ca="1">IF('main page'!$K$34=1,hystere!H220,hystere!G220)</f>
        <v>100</v>
      </c>
      <c r="G220" s="94">
        <f ca="1">I220-'main page'!$K$27*hystere!N219</f>
        <v>100</v>
      </c>
      <c r="H220" s="75">
        <f ca="1">J220-'main page'!$K$27*N219</f>
        <v>100</v>
      </c>
      <c r="I220" s="75">
        <f t="shared" ca="1" si="22"/>
        <v>108</v>
      </c>
      <c r="J220" s="75">
        <f t="shared" ca="1" si="23"/>
        <v>108</v>
      </c>
      <c r="M220" s="75">
        <f ca="1">IF(ABS('main page'!$K$29*M219+(1-'main page'!$K$29)*(controls!$B$9/100)*100+'main page'!$K$25*(E220-B220)-M219)&lt;0.0000001,M219,'main page'!$K$29*M219+(1-'main page'!$K$29)*(controls!$B$9/100)*100+'main page'!$K$25*(E220-B220))</f>
        <v>2</v>
      </c>
      <c r="N220" s="75">
        <f ca="1">IF(controls!$B$10=1,N219,O220-'main page'!$K$29*M220-(1-'main page'!$K$29)*controls!$B$9)</f>
        <v>4</v>
      </c>
      <c r="O220" s="74">
        <f t="shared" ca="1" si="18"/>
        <v>6</v>
      </c>
      <c r="P220" s="76">
        <f ca="1">IF(controls!$B$10=1,hystere!N220+hystere!M220,hystere!Q220)</f>
        <v>6</v>
      </c>
      <c r="Q220" s="74">
        <f ca="1">IF('main page'!$Y$53=1,'choose m.p.'!$I$22*100,R220)</f>
        <v>6</v>
      </c>
      <c r="R220" s="100">
        <f ca="1">'main page'!$K$29*M220+(1-'main page'!$K$29)*controls!$B$9+S220+(('main page'!$K$25*'main page'!$U$13*'main page'!$K$29)/('main page'!$K$27*(1+('main page'!$K$25^2)*'main page'!$U$13)))*(M220-(controls!$B$9/100)*100)</f>
        <v>6</v>
      </c>
      <c r="S220" s="98">
        <f ca="1">IF(controls!$B$33=1,(J221-E220*X221-B220)/'main page'!$K$27,(I221-E220*X221-B220)/'main page'!$K$27)</f>
        <v>4</v>
      </c>
      <c r="U220" s="71">
        <f>IF(controls!$B$6=1,$AG$4*(1+('main page'!$K$35/100))^V220-$AG$4*(1+('main page'!$K$35/100))^V219,$AG$4*(1+('main page'!$G$8/100))*(1+('main page'!$K$35/100))^V220-$AG$4*(1+('main page'!$G$8/100))*(1+('main page'!$K$35/100))^V219)</f>
        <v>0</v>
      </c>
      <c r="V220" s="73">
        <v>212</v>
      </c>
      <c r="W220" s="40">
        <f>'normal case'!V219</f>
        <v>0</v>
      </c>
      <c r="X220" s="40">
        <f>'normal case'!W219</f>
        <v>0</v>
      </c>
      <c r="Y220" s="49">
        <f ca="1">IF(controls!$B$33=1,E220-($J$4-'main page'!$K$27*2)*(1+('main page'!$K$35/100))^A219,E220-$AG$5)</f>
        <v>0</v>
      </c>
      <c r="Z220" s="49">
        <f ca="1">ABS(M220-(controls!$B$9/100)*100)</f>
        <v>0</v>
      </c>
      <c r="AI220" s="40"/>
      <c r="AJ220" s="40"/>
    </row>
    <row r="221" spans="1:36">
      <c r="A221" s="48">
        <v>218</v>
      </c>
      <c r="B221" s="75">
        <f ca="1">IF(controls!$B$6=2,AVERAGE(E217:E220)+B220*W221+hystere!$AG$9,AVERAGE(E217:E220)+B220*W221)</f>
        <v>100</v>
      </c>
      <c r="C221" s="80">
        <f t="shared" ca="1" si="19"/>
        <v>0</v>
      </c>
      <c r="D221" s="105">
        <f t="shared" ca="1" si="20"/>
        <v>0</v>
      </c>
      <c r="E221" s="77">
        <f t="shared" ca="1" si="21"/>
        <v>100</v>
      </c>
      <c r="F221" s="77">
        <f ca="1">IF('main page'!$K$34=1,hystere!H221,hystere!G221)</f>
        <v>100</v>
      </c>
      <c r="G221" s="94">
        <f ca="1">I221-'main page'!$K$27*hystere!N220</f>
        <v>100</v>
      </c>
      <c r="H221" s="75">
        <f ca="1">J221-'main page'!$K$27*N220</f>
        <v>100</v>
      </c>
      <c r="I221" s="75">
        <f t="shared" ca="1" si="22"/>
        <v>108</v>
      </c>
      <c r="J221" s="75">
        <f t="shared" ca="1" si="23"/>
        <v>108</v>
      </c>
      <c r="M221" s="75">
        <f ca="1">IF(ABS('main page'!$K$29*M220+(1-'main page'!$K$29)*(controls!$B$9/100)*100+'main page'!$K$25*(E221-B221)-M220)&lt;0.0000001,M220,'main page'!$K$29*M220+(1-'main page'!$K$29)*(controls!$B$9/100)*100+'main page'!$K$25*(E221-B221))</f>
        <v>2</v>
      </c>
      <c r="N221" s="75">
        <f ca="1">IF(controls!$B$10=1,N220,O221-'main page'!$K$29*M221-(1-'main page'!$K$29)*controls!$B$9)</f>
        <v>4</v>
      </c>
      <c r="O221" s="74">
        <f t="shared" ca="1" si="18"/>
        <v>6</v>
      </c>
      <c r="P221" s="76">
        <f ca="1">IF(controls!$B$10=1,hystere!N221+hystere!M221,hystere!Q221)</f>
        <v>6</v>
      </c>
      <c r="Q221" s="74">
        <f ca="1">IF('main page'!$Y$53=1,'choose m.p.'!$I$22*100,R221)</f>
        <v>6</v>
      </c>
      <c r="R221" s="100">
        <f ca="1">'main page'!$K$29*M221+(1-'main page'!$K$29)*controls!$B$9+S221+(('main page'!$K$25*'main page'!$U$13*'main page'!$K$29)/('main page'!$K$27*(1+('main page'!$K$25^2)*'main page'!$U$13)))*(M221-(controls!$B$9/100)*100)</f>
        <v>6</v>
      </c>
      <c r="S221" s="98">
        <f ca="1">IF(controls!$B$33=1,(J222-E221*X222-B221)/'main page'!$K$27,(I222-E221*X222-B221)/'main page'!$K$27)</f>
        <v>4</v>
      </c>
      <c r="U221" s="71">
        <f>IF(controls!$B$6=1,$AG$4*(1+('main page'!$K$35/100))^V221-$AG$4*(1+('main page'!$K$35/100))^V220,$AG$4*(1+('main page'!$G$8/100))*(1+('main page'!$K$35/100))^V221-$AG$4*(1+('main page'!$G$8/100))*(1+('main page'!$K$35/100))^V220)</f>
        <v>0</v>
      </c>
      <c r="V221" s="73">
        <v>213</v>
      </c>
      <c r="W221" s="40">
        <f>'normal case'!V220</f>
        <v>0</v>
      </c>
      <c r="X221" s="40">
        <f>'normal case'!W220</f>
        <v>0</v>
      </c>
      <c r="Y221" s="49">
        <f ca="1">IF(controls!$B$33=1,E221-($J$4-'main page'!$K$27*2)*(1+('main page'!$K$35/100))^A220,E221-$AG$5)</f>
        <v>0</v>
      </c>
      <c r="Z221" s="49">
        <f ca="1">ABS(M221-(controls!$B$9/100)*100)</f>
        <v>0</v>
      </c>
      <c r="AI221" s="40"/>
      <c r="AJ221" s="40"/>
    </row>
    <row r="222" spans="1:36">
      <c r="A222" s="48">
        <v>219</v>
      </c>
      <c r="B222" s="75">
        <f ca="1">IF(controls!$B$6=2,AVERAGE(E218:E221)+B221*W222+hystere!$AG$9,AVERAGE(E218:E221)+B221*W222)</f>
        <v>100</v>
      </c>
      <c r="C222" s="80">
        <f t="shared" ca="1" si="19"/>
        <v>0</v>
      </c>
      <c r="D222" s="105">
        <f t="shared" ca="1" si="20"/>
        <v>0</v>
      </c>
      <c r="E222" s="77">
        <f t="shared" ca="1" si="21"/>
        <v>100</v>
      </c>
      <c r="F222" s="77">
        <f ca="1">IF('main page'!$K$34=1,hystere!H222,hystere!G222)</f>
        <v>100</v>
      </c>
      <c r="G222" s="94">
        <f ca="1">I222-'main page'!$K$27*hystere!N221</f>
        <v>100</v>
      </c>
      <c r="H222" s="75">
        <f ca="1">J222-'main page'!$K$27*N221</f>
        <v>100</v>
      </c>
      <c r="I222" s="75">
        <f t="shared" ca="1" si="22"/>
        <v>108</v>
      </c>
      <c r="J222" s="75">
        <f t="shared" ca="1" si="23"/>
        <v>108</v>
      </c>
      <c r="M222" s="75">
        <f ca="1">IF(ABS('main page'!$K$29*M221+(1-'main page'!$K$29)*(controls!$B$9/100)*100+'main page'!$K$25*(E222-B222)-M221)&lt;0.0000001,M221,'main page'!$K$29*M221+(1-'main page'!$K$29)*(controls!$B$9/100)*100+'main page'!$K$25*(E222-B222))</f>
        <v>2</v>
      </c>
      <c r="N222" s="75">
        <f ca="1">IF(controls!$B$10=1,N221,O222-'main page'!$K$29*M222-(1-'main page'!$K$29)*controls!$B$9)</f>
        <v>4</v>
      </c>
      <c r="O222" s="74">
        <f t="shared" ca="1" si="18"/>
        <v>6</v>
      </c>
      <c r="P222" s="76">
        <f ca="1">IF(controls!$B$10=1,hystere!N222+hystere!M222,hystere!Q222)</f>
        <v>6</v>
      </c>
      <c r="Q222" s="74">
        <f ca="1">IF('main page'!$Y$53=1,'choose m.p.'!$I$22*100,R222)</f>
        <v>6</v>
      </c>
      <c r="R222" s="100">
        <f ca="1">'main page'!$K$29*M222+(1-'main page'!$K$29)*controls!$B$9+S222+(('main page'!$K$25*'main page'!$U$13*'main page'!$K$29)/('main page'!$K$27*(1+('main page'!$K$25^2)*'main page'!$U$13)))*(M222-(controls!$B$9/100)*100)</f>
        <v>6</v>
      </c>
      <c r="S222" s="98">
        <f ca="1">IF(controls!$B$33=1,(J223-E222*X223-B222)/'main page'!$K$27,(I223-E222*X223-B222)/'main page'!$K$27)</f>
        <v>4</v>
      </c>
      <c r="U222" s="71">
        <f>IF(controls!$B$6=1,$AG$4*(1+('main page'!$K$35/100))^V222-$AG$4*(1+('main page'!$K$35/100))^V221,$AG$4*(1+('main page'!$G$8/100))*(1+('main page'!$K$35/100))^V222-$AG$4*(1+('main page'!$G$8/100))*(1+('main page'!$K$35/100))^V221)</f>
        <v>0</v>
      </c>
      <c r="V222" s="73">
        <v>214</v>
      </c>
      <c r="W222" s="40">
        <f ca="1">'normal case'!V221</f>
        <v>0</v>
      </c>
      <c r="X222" s="40">
        <f ca="1">'normal case'!W221</f>
        <v>0</v>
      </c>
      <c r="Y222" s="49">
        <f ca="1">IF(controls!$B$33=1,E222-($J$4-'main page'!$K$27*2)*(1+('main page'!$K$35/100))^A221,E222-$AG$5)</f>
        <v>0</v>
      </c>
      <c r="Z222" s="49">
        <f ca="1">ABS(M222-(controls!$B$9/100)*100)</f>
        <v>0</v>
      </c>
      <c r="AI222" s="40"/>
      <c r="AJ222" s="40"/>
    </row>
    <row r="223" spans="1:36">
      <c r="A223" s="48">
        <v>220</v>
      </c>
      <c r="B223" s="75">
        <f ca="1">IF(controls!$B$6=2,AVERAGE(E219:E222)+B222*W223+hystere!$AG$9,AVERAGE(E219:E222)+B222*W223)</f>
        <v>100</v>
      </c>
      <c r="C223" s="80">
        <f t="shared" ca="1" si="19"/>
        <v>0</v>
      </c>
      <c r="D223" s="105">
        <f t="shared" ca="1" si="20"/>
        <v>0</v>
      </c>
      <c r="E223" s="77">
        <f t="shared" ca="1" si="21"/>
        <v>100</v>
      </c>
      <c r="F223" s="77">
        <f ca="1">IF('main page'!$K$34=1,hystere!H223,hystere!G223)</f>
        <v>100</v>
      </c>
      <c r="G223" s="94">
        <f ca="1">I223-'main page'!$K$27*hystere!N222</f>
        <v>100</v>
      </c>
      <c r="H223" s="75">
        <f ca="1">J223-'main page'!$K$27*N222</f>
        <v>100</v>
      </c>
      <c r="I223" s="75">
        <f t="shared" ca="1" si="22"/>
        <v>108</v>
      </c>
      <c r="J223" s="75">
        <f t="shared" ca="1" si="23"/>
        <v>108</v>
      </c>
      <c r="M223" s="75">
        <f ca="1">IF(ABS('main page'!$K$29*M222+(1-'main page'!$K$29)*(controls!$B$9/100)*100+'main page'!$K$25*(E223-B223)-M222)&lt;0.0000001,M222,'main page'!$K$29*M222+(1-'main page'!$K$29)*(controls!$B$9/100)*100+'main page'!$K$25*(E223-B223))</f>
        <v>2</v>
      </c>
      <c r="N223" s="75">
        <f ca="1">IF(controls!$B$10=1,N222,O223-'main page'!$K$29*M223-(1-'main page'!$K$29)*controls!$B$9)</f>
        <v>4</v>
      </c>
      <c r="O223" s="74">
        <f t="shared" ca="1" si="18"/>
        <v>6</v>
      </c>
      <c r="P223" s="76">
        <f ca="1">IF(controls!$B$10=1,hystere!N223+hystere!M223,hystere!Q223)</f>
        <v>6</v>
      </c>
      <c r="Q223" s="74">
        <f ca="1">IF('main page'!$Y$53=1,'choose m.p.'!$I$22*100,R223)</f>
        <v>6</v>
      </c>
      <c r="R223" s="100">
        <f ca="1">'main page'!$K$29*M223+(1-'main page'!$K$29)*controls!$B$9+S223+(('main page'!$K$25*'main page'!$U$13*'main page'!$K$29)/('main page'!$K$27*(1+('main page'!$K$25^2)*'main page'!$U$13)))*(M223-(controls!$B$9/100)*100)</f>
        <v>6</v>
      </c>
      <c r="S223" s="98">
        <f ca="1">IF(controls!$B$33=1,(J224-E223*X224-B223)/'main page'!$K$27,(I224-E223*X224-B223)/'main page'!$K$27)</f>
        <v>4</v>
      </c>
      <c r="U223" s="71">
        <f>IF(controls!$B$6=1,$AG$4*(1+('main page'!$K$35/100))^V223-$AG$4*(1+('main page'!$K$35/100))^V222,$AG$4*(1+('main page'!$G$8/100))*(1+('main page'!$K$35/100))^V223-$AG$4*(1+('main page'!$G$8/100))*(1+('main page'!$K$35/100))^V222)</f>
        <v>0</v>
      </c>
      <c r="V223" s="73">
        <v>215</v>
      </c>
      <c r="W223" s="40">
        <f>'normal case'!V222</f>
        <v>0</v>
      </c>
      <c r="X223" s="40">
        <f>'normal case'!W222</f>
        <v>0</v>
      </c>
      <c r="Y223" s="49">
        <f ca="1">IF(controls!$B$33=1,E223-($J$4-'main page'!$K$27*2)*(1+('main page'!$K$35/100))^A222,E223-$AG$5)</f>
        <v>0</v>
      </c>
      <c r="Z223" s="49">
        <f ca="1">ABS(M223-(controls!$B$9/100)*100)</f>
        <v>0</v>
      </c>
      <c r="AI223" s="40"/>
      <c r="AJ223" s="40"/>
    </row>
    <row r="224" spans="1:36">
      <c r="A224" s="48">
        <v>221</v>
      </c>
      <c r="B224" s="75">
        <f ca="1">IF(controls!$B$6=2,AVERAGE(E220:E223)+B223*W224+hystere!$AG$9,AVERAGE(E220:E223)+B223*W224)</f>
        <v>100</v>
      </c>
      <c r="C224" s="80">
        <f t="shared" ca="1" si="19"/>
        <v>0</v>
      </c>
      <c r="D224" s="105">
        <f t="shared" ca="1" si="20"/>
        <v>0</v>
      </c>
      <c r="E224" s="77">
        <f t="shared" ca="1" si="21"/>
        <v>100</v>
      </c>
      <c r="F224" s="77">
        <f ca="1">IF('main page'!$K$34=1,hystere!H224,hystere!G224)</f>
        <v>100</v>
      </c>
      <c r="G224" s="94">
        <f ca="1">I224-'main page'!$K$27*hystere!N223</f>
        <v>100</v>
      </c>
      <c r="H224" s="75">
        <f ca="1">J224-'main page'!$K$27*N223</f>
        <v>100</v>
      </c>
      <c r="I224" s="75">
        <f t="shared" ca="1" si="22"/>
        <v>108</v>
      </c>
      <c r="J224" s="75">
        <f t="shared" ca="1" si="23"/>
        <v>108</v>
      </c>
      <c r="M224" s="75">
        <f ca="1">IF(ABS('main page'!$K$29*M223+(1-'main page'!$K$29)*(controls!$B$9/100)*100+'main page'!$K$25*(E224-B224)-M223)&lt;0.0000001,M223,'main page'!$K$29*M223+(1-'main page'!$K$29)*(controls!$B$9/100)*100+'main page'!$K$25*(E224-B224))</f>
        <v>2</v>
      </c>
      <c r="N224" s="75">
        <f ca="1">IF(controls!$B$10=1,N223,O224-'main page'!$K$29*M224-(1-'main page'!$K$29)*controls!$B$9)</f>
        <v>4</v>
      </c>
      <c r="O224" s="74">
        <f t="shared" ca="1" si="18"/>
        <v>6</v>
      </c>
      <c r="P224" s="76">
        <f ca="1">IF(controls!$B$10=1,hystere!N224+hystere!M224,hystere!Q224)</f>
        <v>6</v>
      </c>
      <c r="Q224" s="74">
        <f ca="1">IF('main page'!$Y$53=1,'choose m.p.'!$I$22*100,R224)</f>
        <v>6</v>
      </c>
      <c r="R224" s="100">
        <f ca="1">'main page'!$K$29*M224+(1-'main page'!$K$29)*controls!$B$9+S224+(('main page'!$K$25*'main page'!$U$13*'main page'!$K$29)/('main page'!$K$27*(1+('main page'!$K$25^2)*'main page'!$U$13)))*(M224-(controls!$B$9/100)*100)</f>
        <v>6</v>
      </c>
      <c r="S224" s="98">
        <f ca="1">IF(controls!$B$33=1,(J225-E224*X225-B224)/'main page'!$K$27,(I225-E224*X225-B224)/'main page'!$K$27)</f>
        <v>4</v>
      </c>
      <c r="U224" s="71">
        <f>IF(controls!$B$6=1,$AG$4*(1+('main page'!$K$35/100))^V224-$AG$4*(1+('main page'!$K$35/100))^V223,$AG$4*(1+('main page'!$G$8/100))*(1+('main page'!$K$35/100))^V224-$AG$4*(1+('main page'!$G$8/100))*(1+('main page'!$K$35/100))^V223)</f>
        <v>0</v>
      </c>
      <c r="V224" s="73">
        <v>216</v>
      </c>
      <c r="W224" s="40">
        <f>'normal case'!V223</f>
        <v>0</v>
      </c>
      <c r="X224" s="40">
        <f>'normal case'!W223</f>
        <v>0</v>
      </c>
      <c r="Y224" s="49">
        <f ca="1">IF(controls!$B$33=1,E224-($J$4-'main page'!$K$27*2)*(1+('main page'!$K$35/100))^A223,E224-$AG$5)</f>
        <v>0</v>
      </c>
      <c r="Z224" s="49">
        <f ca="1">ABS(M224-(controls!$B$9/100)*100)</f>
        <v>0</v>
      </c>
      <c r="AI224" s="40"/>
      <c r="AJ224" s="40"/>
    </row>
    <row r="225" spans="1:36">
      <c r="A225" s="48">
        <v>222</v>
      </c>
      <c r="B225" s="75">
        <f ca="1">IF(controls!$B$6=2,AVERAGE(E221:E224)+B224*W225+hystere!$AG$9,AVERAGE(E221:E224)+B224*W225)</f>
        <v>100</v>
      </c>
      <c r="C225" s="80">
        <f t="shared" ca="1" si="19"/>
        <v>0</v>
      </c>
      <c r="D225" s="105">
        <f t="shared" ca="1" si="20"/>
        <v>0</v>
      </c>
      <c r="E225" s="77">
        <f t="shared" ca="1" si="21"/>
        <v>100</v>
      </c>
      <c r="F225" s="77">
        <f ca="1">IF('main page'!$K$34=1,hystere!H225,hystere!G225)</f>
        <v>100</v>
      </c>
      <c r="G225" s="94">
        <f ca="1">I225-'main page'!$K$27*hystere!N224</f>
        <v>100</v>
      </c>
      <c r="H225" s="75">
        <f ca="1">J225-'main page'!$K$27*N224</f>
        <v>100</v>
      </c>
      <c r="I225" s="75">
        <f t="shared" ca="1" si="22"/>
        <v>108</v>
      </c>
      <c r="J225" s="75">
        <f t="shared" ca="1" si="23"/>
        <v>108</v>
      </c>
      <c r="M225" s="75">
        <f ca="1">IF(ABS('main page'!$K$29*M224+(1-'main page'!$K$29)*(controls!$B$9/100)*100+'main page'!$K$25*(E225-B225)-M224)&lt;0.0000001,M224,'main page'!$K$29*M224+(1-'main page'!$K$29)*(controls!$B$9/100)*100+'main page'!$K$25*(E225-B225))</f>
        <v>2</v>
      </c>
      <c r="N225" s="75">
        <f ca="1">IF(controls!$B$10=1,N224,O225-'main page'!$K$29*M225-(1-'main page'!$K$29)*controls!$B$9)</f>
        <v>4</v>
      </c>
      <c r="O225" s="74">
        <f t="shared" ca="1" si="18"/>
        <v>6</v>
      </c>
      <c r="P225" s="76">
        <f ca="1">IF(controls!$B$10=1,hystere!N225+hystere!M225,hystere!Q225)</f>
        <v>6</v>
      </c>
      <c r="Q225" s="74">
        <f ca="1">IF('main page'!$Y$53=1,'choose m.p.'!$I$22*100,R225)</f>
        <v>6</v>
      </c>
      <c r="R225" s="100">
        <f ca="1">'main page'!$K$29*M225+(1-'main page'!$K$29)*controls!$B$9+S225+(('main page'!$K$25*'main page'!$U$13*'main page'!$K$29)/('main page'!$K$27*(1+('main page'!$K$25^2)*'main page'!$U$13)))*(M225-(controls!$B$9/100)*100)</f>
        <v>6</v>
      </c>
      <c r="S225" s="98">
        <f ca="1">IF(controls!$B$33=1,(J226-E225*X226-B225)/'main page'!$K$27,(I226-E225*X226-B225)/'main page'!$K$27)</f>
        <v>4</v>
      </c>
      <c r="U225" s="71">
        <f>IF(controls!$B$6=1,$AG$4*(1+('main page'!$K$35/100))^V225-$AG$4*(1+('main page'!$K$35/100))^V224,$AG$4*(1+('main page'!$G$8/100))*(1+('main page'!$K$35/100))^V225-$AG$4*(1+('main page'!$G$8/100))*(1+('main page'!$K$35/100))^V224)</f>
        <v>0</v>
      </c>
      <c r="V225" s="73">
        <v>217</v>
      </c>
      <c r="W225" s="40">
        <f ca="1">'normal case'!V224</f>
        <v>0</v>
      </c>
      <c r="X225" s="40">
        <f ca="1">'normal case'!W224</f>
        <v>0</v>
      </c>
      <c r="Y225" s="49">
        <f ca="1">IF(controls!$B$33=1,E225-($J$4-'main page'!$K$27*2)*(1+('main page'!$K$35/100))^A224,E225-$AG$5)</f>
        <v>0</v>
      </c>
      <c r="Z225" s="49">
        <f ca="1">ABS(M225-(controls!$B$9/100)*100)</f>
        <v>0</v>
      </c>
      <c r="AI225" s="40"/>
      <c r="AJ225" s="40"/>
    </row>
    <row r="226" spans="1:36">
      <c r="A226" s="48">
        <v>223</v>
      </c>
      <c r="B226" s="75">
        <f ca="1">IF(controls!$B$6=2,AVERAGE(E222:E225)+B225*W226+hystere!$AG$9,AVERAGE(E222:E225)+B225*W226)</f>
        <v>100</v>
      </c>
      <c r="C226" s="80">
        <f t="shared" ca="1" si="19"/>
        <v>0</v>
      </c>
      <c r="D226" s="105">
        <f t="shared" ca="1" si="20"/>
        <v>0</v>
      </c>
      <c r="E226" s="77">
        <f t="shared" ca="1" si="21"/>
        <v>100</v>
      </c>
      <c r="F226" s="77">
        <f ca="1">IF('main page'!$K$34=1,hystere!H226,hystere!G226)</f>
        <v>100</v>
      </c>
      <c r="G226" s="94">
        <f ca="1">I226-'main page'!$K$27*hystere!N225</f>
        <v>100</v>
      </c>
      <c r="H226" s="75">
        <f ca="1">J226-'main page'!$K$27*N225</f>
        <v>100</v>
      </c>
      <c r="I226" s="75">
        <f t="shared" ca="1" si="22"/>
        <v>108</v>
      </c>
      <c r="J226" s="75">
        <f t="shared" ca="1" si="23"/>
        <v>108</v>
      </c>
      <c r="M226" s="75">
        <f ca="1">IF(ABS('main page'!$K$29*M225+(1-'main page'!$K$29)*(controls!$B$9/100)*100+'main page'!$K$25*(E226-B226)-M225)&lt;0.0000001,M225,'main page'!$K$29*M225+(1-'main page'!$K$29)*(controls!$B$9/100)*100+'main page'!$K$25*(E226-B226))</f>
        <v>2</v>
      </c>
      <c r="N226" s="75">
        <f ca="1">IF(controls!$B$10=1,N225,O226-'main page'!$K$29*M226-(1-'main page'!$K$29)*controls!$B$9)</f>
        <v>4</v>
      </c>
      <c r="O226" s="74">
        <f t="shared" ca="1" si="18"/>
        <v>6</v>
      </c>
      <c r="P226" s="76">
        <f ca="1">IF(controls!$B$10=1,hystere!N226+hystere!M226,hystere!Q226)</f>
        <v>6</v>
      </c>
      <c r="Q226" s="74">
        <f ca="1">IF('main page'!$Y$53=1,'choose m.p.'!$I$22*100,R226)</f>
        <v>6</v>
      </c>
      <c r="R226" s="100">
        <f ca="1">'main page'!$K$29*M226+(1-'main page'!$K$29)*controls!$B$9+S226+(('main page'!$K$25*'main page'!$U$13*'main page'!$K$29)/('main page'!$K$27*(1+('main page'!$K$25^2)*'main page'!$U$13)))*(M226-(controls!$B$9/100)*100)</f>
        <v>6</v>
      </c>
      <c r="S226" s="98">
        <f ca="1">IF(controls!$B$33=1,(J227-E226*X227-B226)/'main page'!$K$27,(I227-E226*X227-B226)/'main page'!$K$27)</f>
        <v>4</v>
      </c>
      <c r="U226" s="71">
        <f>IF(controls!$B$6=1,$AG$4*(1+('main page'!$K$35/100))^V226-$AG$4*(1+('main page'!$K$35/100))^V225,$AG$4*(1+('main page'!$G$8/100))*(1+('main page'!$K$35/100))^V226-$AG$4*(1+('main page'!$G$8/100))*(1+('main page'!$K$35/100))^V225)</f>
        <v>0</v>
      </c>
      <c r="V226" s="73">
        <v>218</v>
      </c>
      <c r="W226" s="40">
        <f>'normal case'!V225</f>
        <v>0</v>
      </c>
      <c r="X226" s="40">
        <f>'normal case'!W225</f>
        <v>0</v>
      </c>
      <c r="Y226" s="49">
        <f ca="1">IF(controls!$B$33=1,E226-($J$4-'main page'!$K$27*2)*(1+('main page'!$K$35/100))^A225,E226-$AG$5)</f>
        <v>0</v>
      </c>
      <c r="Z226" s="49">
        <f ca="1">ABS(M226-(controls!$B$9/100)*100)</f>
        <v>0</v>
      </c>
      <c r="AI226" s="40"/>
      <c r="AJ226" s="40"/>
    </row>
    <row r="227" spans="1:36">
      <c r="A227" s="48">
        <v>224</v>
      </c>
      <c r="B227" s="75">
        <f ca="1">IF(controls!$B$6=2,AVERAGE(E223:E226)+B226*W227+hystere!$AG$9,AVERAGE(E223:E226)+B226*W227)</f>
        <v>100</v>
      </c>
      <c r="C227" s="80">
        <f t="shared" ca="1" si="19"/>
        <v>0</v>
      </c>
      <c r="D227" s="105">
        <f t="shared" ca="1" si="20"/>
        <v>0</v>
      </c>
      <c r="E227" s="77">
        <f t="shared" ca="1" si="21"/>
        <v>100</v>
      </c>
      <c r="F227" s="77">
        <f ca="1">IF('main page'!$K$34=1,hystere!H227,hystere!G227)</f>
        <v>100</v>
      </c>
      <c r="G227" s="94">
        <f ca="1">I227-'main page'!$K$27*hystere!N226</f>
        <v>100</v>
      </c>
      <c r="H227" s="75">
        <f ca="1">J227-'main page'!$K$27*N226</f>
        <v>100</v>
      </c>
      <c r="I227" s="75">
        <f t="shared" ca="1" si="22"/>
        <v>108</v>
      </c>
      <c r="J227" s="75">
        <f t="shared" ca="1" si="23"/>
        <v>108</v>
      </c>
      <c r="M227" s="75">
        <f ca="1">IF(ABS('main page'!$K$29*M226+(1-'main page'!$K$29)*(controls!$B$9/100)*100+'main page'!$K$25*(E227-B227)-M226)&lt;0.0000001,M226,'main page'!$K$29*M226+(1-'main page'!$K$29)*(controls!$B$9/100)*100+'main page'!$K$25*(E227-B227))</f>
        <v>2</v>
      </c>
      <c r="N227" s="75">
        <f ca="1">IF(controls!$B$10=1,N226,O227-'main page'!$K$29*M227-(1-'main page'!$K$29)*controls!$B$9)</f>
        <v>4</v>
      </c>
      <c r="O227" s="74">
        <f t="shared" ca="1" si="18"/>
        <v>6</v>
      </c>
      <c r="P227" s="76">
        <f ca="1">IF(controls!$B$10=1,hystere!N227+hystere!M227,hystere!Q227)</f>
        <v>6</v>
      </c>
      <c r="Q227" s="74">
        <f ca="1">IF('main page'!$Y$53=1,'choose m.p.'!$I$22*100,R227)</f>
        <v>6</v>
      </c>
      <c r="R227" s="100">
        <f ca="1">'main page'!$K$29*M227+(1-'main page'!$K$29)*controls!$B$9+S227+(('main page'!$K$25*'main page'!$U$13*'main page'!$K$29)/('main page'!$K$27*(1+('main page'!$K$25^2)*'main page'!$U$13)))*(M227-(controls!$B$9/100)*100)</f>
        <v>6</v>
      </c>
      <c r="S227" s="98">
        <f ca="1">IF(controls!$B$33=1,(J228-E227*X228-B227)/'main page'!$K$27,(I228-E227*X228-B227)/'main page'!$K$27)</f>
        <v>4</v>
      </c>
      <c r="U227" s="71">
        <f>IF(controls!$B$6=1,$AG$4*(1+('main page'!$K$35/100))^V227-$AG$4*(1+('main page'!$K$35/100))^V226,$AG$4*(1+('main page'!$G$8/100))*(1+('main page'!$K$35/100))^V227-$AG$4*(1+('main page'!$G$8/100))*(1+('main page'!$K$35/100))^V226)</f>
        <v>0</v>
      </c>
      <c r="V227" s="73">
        <v>219</v>
      </c>
      <c r="W227" s="40">
        <f>'normal case'!V226</f>
        <v>0</v>
      </c>
      <c r="X227" s="40">
        <f>'normal case'!W226</f>
        <v>0</v>
      </c>
      <c r="Y227" s="49">
        <f ca="1">IF(controls!$B$33=1,E227-($J$4-'main page'!$K$27*2)*(1+('main page'!$K$35/100))^A226,E227-$AG$5)</f>
        <v>0</v>
      </c>
      <c r="Z227" s="49">
        <f ca="1">ABS(M227-(controls!$B$9/100)*100)</f>
        <v>0</v>
      </c>
      <c r="AI227" s="40"/>
      <c r="AJ227" s="40"/>
    </row>
    <row r="228" spans="1:36">
      <c r="A228" s="48">
        <v>225</v>
      </c>
      <c r="B228" s="75">
        <f ca="1">IF(controls!$B$6=2,AVERAGE(E224:E227)+B227*W228+hystere!$AG$9,AVERAGE(E224:E227)+B227*W228)</f>
        <v>100</v>
      </c>
      <c r="C228" s="80">
        <f t="shared" ca="1" si="19"/>
        <v>0</v>
      </c>
      <c r="D228" s="105">
        <f t="shared" ca="1" si="20"/>
        <v>0</v>
      </c>
      <c r="E228" s="77">
        <f t="shared" ca="1" si="21"/>
        <v>100</v>
      </c>
      <c r="F228" s="77">
        <f ca="1">IF('main page'!$K$34=1,hystere!H228,hystere!G228)</f>
        <v>100</v>
      </c>
      <c r="G228" s="94">
        <f ca="1">I228-'main page'!$K$27*hystere!N227</f>
        <v>100</v>
      </c>
      <c r="H228" s="75">
        <f ca="1">J228-'main page'!$K$27*N227</f>
        <v>100</v>
      </c>
      <c r="I228" s="75">
        <f t="shared" ca="1" si="22"/>
        <v>108</v>
      </c>
      <c r="J228" s="75">
        <f t="shared" ca="1" si="23"/>
        <v>108</v>
      </c>
      <c r="M228" s="75">
        <f ca="1">IF(ABS('main page'!$K$29*M227+(1-'main page'!$K$29)*(controls!$B$9/100)*100+'main page'!$K$25*(E228-B228)-M227)&lt;0.0000001,M227,'main page'!$K$29*M227+(1-'main page'!$K$29)*(controls!$B$9/100)*100+'main page'!$K$25*(E228-B228))</f>
        <v>2</v>
      </c>
      <c r="N228" s="75">
        <f ca="1">IF(controls!$B$10=1,N227,O228-'main page'!$K$29*M228-(1-'main page'!$K$29)*controls!$B$9)</f>
        <v>4</v>
      </c>
      <c r="O228" s="74">
        <f t="shared" ca="1" si="18"/>
        <v>6</v>
      </c>
      <c r="P228" s="76">
        <f ca="1">IF(controls!$B$10=1,hystere!N228+hystere!M228,hystere!Q228)</f>
        <v>6</v>
      </c>
      <c r="Q228" s="74">
        <f ca="1">IF('main page'!$Y$53=1,'choose m.p.'!$I$22*100,R228)</f>
        <v>6</v>
      </c>
      <c r="R228" s="100">
        <f ca="1">'main page'!$K$29*M228+(1-'main page'!$K$29)*controls!$B$9+S228+(('main page'!$K$25*'main page'!$U$13*'main page'!$K$29)/('main page'!$K$27*(1+('main page'!$K$25^2)*'main page'!$U$13)))*(M228-(controls!$B$9/100)*100)</f>
        <v>6</v>
      </c>
      <c r="S228" s="98">
        <f ca="1">IF(controls!$B$33=1,(J229-E228*X229-B228)/'main page'!$K$27,(I229-E228*X229-B228)/'main page'!$K$27)</f>
        <v>4</v>
      </c>
      <c r="U228" s="71">
        <f>IF(controls!$B$6=1,$AG$4*(1+('main page'!$K$35/100))^V228-$AG$4*(1+('main page'!$K$35/100))^V227,$AG$4*(1+('main page'!$G$8/100))*(1+('main page'!$K$35/100))^V228-$AG$4*(1+('main page'!$G$8/100))*(1+('main page'!$K$35/100))^V227)</f>
        <v>0</v>
      </c>
      <c r="V228" s="73">
        <v>220</v>
      </c>
      <c r="W228" s="40">
        <f ca="1">'normal case'!V227</f>
        <v>0</v>
      </c>
      <c r="X228" s="40">
        <f ca="1">'normal case'!W227</f>
        <v>0</v>
      </c>
      <c r="Y228" s="49">
        <f ca="1">IF(controls!$B$33=1,E228-($J$4-'main page'!$K$27*2)*(1+('main page'!$K$35/100))^A227,E228-$AG$5)</f>
        <v>0</v>
      </c>
      <c r="Z228" s="49">
        <f ca="1">ABS(M228-(controls!$B$9/100)*100)</f>
        <v>0</v>
      </c>
      <c r="AI228" s="40"/>
      <c r="AJ228" s="40"/>
    </row>
    <row r="229" spans="1:36">
      <c r="A229" s="48">
        <v>226</v>
      </c>
      <c r="B229" s="75">
        <f ca="1">IF(controls!$B$6=2,AVERAGE(E225:E228)+B228*W229+hystere!$AG$9,AVERAGE(E225:E228)+B228*W229)</f>
        <v>100</v>
      </c>
      <c r="C229" s="80">
        <f t="shared" ca="1" si="19"/>
        <v>0</v>
      </c>
      <c r="D229" s="105">
        <f t="shared" ca="1" si="20"/>
        <v>0</v>
      </c>
      <c r="E229" s="77">
        <f t="shared" ca="1" si="21"/>
        <v>100</v>
      </c>
      <c r="F229" s="77">
        <f ca="1">IF('main page'!$K$34=1,hystere!H229,hystere!G229)</f>
        <v>100</v>
      </c>
      <c r="G229" s="94">
        <f ca="1">I229-'main page'!$K$27*hystere!N228</f>
        <v>100</v>
      </c>
      <c r="H229" s="75">
        <f ca="1">J229-'main page'!$K$27*N228</f>
        <v>100</v>
      </c>
      <c r="I229" s="75">
        <f t="shared" ca="1" si="22"/>
        <v>108</v>
      </c>
      <c r="J229" s="75">
        <f t="shared" ca="1" si="23"/>
        <v>108</v>
      </c>
      <c r="M229" s="75">
        <f ca="1">IF(ABS('main page'!$K$29*M228+(1-'main page'!$K$29)*(controls!$B$9/100)*100+'main page'!$K$25*(E229-B229)-M228)&lt;0.0000001,M228,'main page'!$K$29*M228+(1-'main page'!$K$29)*(controls!$B$9/100)*100+'main page'!$K$25*(E229-B229))</f>
        <v>2</v>
      </c>
      <c r="N229" s="75">
        <f ca="1">IF(controls!$B$10=1,N228,O229-'main page'!$K$29*M229-(1-'main page'!$K$29)*controls!$B$9)</f>
        <v>4</v>
      </c>
      <c r="O229" s="74">
        <f t="shared" ca="1" si="18"/>
        <v>6</v>
      </c>
      <c r="P229" s="76">
        <f ca="1">IF(controls!$B$10=1,hystere!N229+hystere!M229,hystere!Q229)</f>
        <v>6</v>
      </c>
      <c r="Q229" s="74">
        <f ca="1">IF('main page'!$Y$53=1,'choose m.p.'!$I$22*100,R229)</f>
        <v>6</v>
      </c>
      <c r="R229" s="100">
        <f ca="1">'main page'!$K$29*M229+(1-'main page'!$K$29)*controls!$B$9+S229+(('main page'!$K$25*'main page'!$U$13*'main page'!$K$29)/('main page'!$K$27*(1+('main page'!$K$25^2)*'main page'!$U$13)))*(M229-(controls!$B$9/100)*100)</f>
        <v>6</v>
      </c>
      <c r="S229" s="98">
        <f ca="1">IF(controls!$B$33=1,(J230-E229*X230-B229)/'main page'!$K$27,(I230-E229*X230-B229)/'main page'!$K$27)</f>
        <v>4</v>
      </c>
      <c r="U229" s="71">
        <f>IF(controls!$B$6=1,$AG$4*(1+('main page'!$K$35/100))^V229-$AG$4*(1+('main page'!$K$35/100))^V228,$AG$4*(1+('main page'!$G$8/100))*(1+('main page'!$K$35/100))^V229-$AG$4*(1+('main page'!$G$8/100))*(1+('main page'!$K$35/100))^V228)</f>
        <v>0</v>
      </c>
      <c r="V229" s="73">
        <v>221</v>
      </c>
      <c r="W229" s="40">
        <f>'normal case'!V228</f>
        <v>0</v>
      </c>
      <c r="X229" s="40">
        <f>'normal case'!W228</f>
        <v>0</v>
      </c>
      <c r="Y229" s="49">
        <f ca="1">IF(controls!$B$33=1,E229-($J$4-'main page'!$K$27*2)*(1+('main page'!$K$35/100))^A228,E229-$AG$5)</f>
        <v>0</v>
      </c>
      <c r="Z229" s="49">
        <f ca="1">ABS(M229-(controls!$B$9/100)*100)</f>
        <v>0</v>
      </c>
      <c r="AI229" s="40"/>
      <c r="AJ229" s="40"/>
    </row>
    <row r="230" spans="1:36">
      <c r="A230" s="48">
        <v>227</v>
      </c>
      <c r="B230" s="75">
        <f ca="1">IF(controls!$B$6=2,AVERAGE(E226:E229)+B229*W230+hystere!$AG$9,AVERAGE(E226:E229)+B229*W230)</f>
        <v>100</v>
      </c>
      <c r="C230" s="80">
        <f t="shared" ca="1" si="19"/>
        <v>0</v>
      </c>
      <c r="D230" s="105">
        <f t="shared" ca="1" si="20"/>
        <v>0</v>
      </c>
      <c r="E230" s="77">
        <f t="shared" ca="1" si="21"/>
        <v>100</v>
      </c>
      <c r="F230" s="77">
        <f ca="1">IF('main page'!$K$34=1,hystere!H230,hystere!G230)</f>
        <v>100</v>
      </c>
      <c r="G230" s="94">
        <f ca="1">I230-'main page'!$K$27*hystere!N229</f>
        <v>100</v>
      </c>
      <c r="H230" s="75">
        <f ca="1">J230-'main page'!$K$27*N229</f>
        <v>100</v>
      </c>
      <c r="I230" s="75">
        <f t="shared" ca="1" si="22"/>
        <v>108</v>
      </c>
      <c r="J230" s="75">
        <f t="shared" ca="1" si="23"/>
        <v>108</v>
      </c>
      <c r="M230" s="75">
        <f ca="1">IF(ABS('main page'!$K$29*M229+(1-'main page'!$K$29)*(controls!$B$9/100)*100+'main page'!$K$25*(E230-B230)-M229)&lt;0.0000001,M229,'main page'!$K$29*M229+(1-'main page'!$K$29)*(controls!$B$9/100)*100+'main page'!$K$25*(E230-B230))</f>
        <v>2</v>
      </c>
      <c r="N230" s="75">
        <f ca="1">IF(controls!$B$10=1,N229,O230-'main page'!$K$29*M230-(1-'main page'!$K$29)*controls!$B$9)</f>
        <v>4</v>
      </c>
      <c r="O230" s="74">
        <f t="shared" ca="1" si="18"/>
        <v>6</v>
      </c>
      <c r="P230" s="76">
        <f ca="1">IF(controls!$B$10=1,hystere!N230+hystere!M230,hystere!Q230)</f>
        <v>6</v>
      </c>
      <c r="Q230" s="74">
        <f ca="1">IF('main page'!$Y$53=1,'choose m.p.'!$I$22*100,R230)</f>
        <v>6</v>
      </c>
      <c r="R230" s="100">
        <f ca="1">'main page'!$K$29*M230+(1-'main page'!$K$29)*controls!$B$9+S230+(('main page'!$K$25*'main page'!$U$13*'main page'!$K$29)/('main page'!$K$27*(1+('main page'!$K$25^2)*'main page'!$U$13)))*(M230-(controls!$B$9/100)*100)</f>
        <v>6</v>
      </c>
      <c r="S230" s="98">
        <f ca="1">IF(controls!$B$33=1,(J231-E230*X231-B230)/'main page'!$K$27,(I231-E230*X231-B230)/'main page'!$K$27)</f>
        <v>4</v>
      </c>
      <c r="U230" s="71">
        <f>IF(controls!$B$6=1,$AG$4*(1+('main page'!$K$35/100))^V230-$AG$4*(1+('main page'!$K$35/100))^V229,$AG$4*(1+('main page'!$G$8/100))*(1+('main page'!$K$35/100))^V230-$AG$4*(1+('main page'!$G$8/100))*(1+('main page'!$K$35/100))^V229)</f>
        <v>0</v>
      </c>
      <c r="V230" s="73">
        <v>222</v>
      </c>
      <c r="W230" s="40">
        <f>'normal case'!V229</f>
        <v>0</v>
      </c>
      <c r="X230" s="40">
        <f>'normal case'!W229</f>
        <v>0</v>
      </c>
      <c r="Y230" s="49">
        <f ca="1">IF(controls!$B$33=1,E230-($J$4-'main page'!$K$27*2)*(1+('main page'!$K$35/100))^A229,E230-$AG$5)</f>
        <v>0</v>
      </c>
      <c r="Z230" s="49">
        <f ca="1">ABS(M230-(controls!$B$9/100)*100)</f>
        <v>0</v>
      </c>
      <c r="AI230" s="40"/>
      <c r="AJ230" s="40"/>
    </row>
    <row r="231" spans="1:36">
      <c r="A231" s="48">
        <v>228</v>
      </c>
      <c r="B231" s="75">
        <f ca="1">IF(controls!$B$6=2,AVERAGE(E227:E230)+B230*W231+hystere!$AG$9,AVERAGE(E227:E230)+B230*W231)</f>
        <v>100</v>
      </c>
      <c r="C231" s="80">
        <f t="shared" ca="1" si="19"/>
        <v>0</v>
      </c>
      <c r="D231" s="105">
        <f t="shared" ca="1" si="20"/>
        <v>0</v>
      </c>
      <c r="E231" s="77">
        <f t="shared" ca="1" si="21"/>
        <v>100</v>
      </c>
      <c r="F231" s="77">
        <f ca="1">IF('main page'!$K$34=1,hystere!H231,hystere!G231)</f>
        <v>100</v>
      </c>
      <c r="G231" s="94">
        <f ca="1">I231-'main page'!$K$27*hystere!N230</f>
        <v>100</v>
      </c>
      <c r="H231" s="75">
        <f ca="1">J231-'main page'!$K$27*N230</f>
        <v>100</v>
      </c>
      <c r="I231" s="75">
        <f t="shared" ca="1" si="22"/>
        <v>108</v>
      </c>
      <c r="J231" s="75">
        <f t="shared" ca="1" si="23"/>
        <v>108</v>
      </c>
      <c r="M231" s="75">
        <f ca="1">IF(ABS('main page'!$K$29*M230+(1-'main page'!$K$29)*(controls!$B$9/100)*100+'main page'!$K$25*(E231-B231)-M230)&lt;0.0000001,M230,'main page'!$K$29*M230+(1-'main page'!$K$29)*(controls!$B$9/100)*100+'main page'!$K$25*(E231-B231))</f>
        <v>2</v>
      </c>
      <c r="N231" s="75">
        <f ca="1">IF(controls!$B$10=1,N230,O231-'main page'!$K$29*M231-(1-'main page'!$K$29)*controls!$B$9)</f>
        <v>4</v>
      </c>
      <c r="O231" s="74">
        <f t="shared" ca="1" si="18"/>
        <v>6</v>
      </c>
      <c r="P231" s="76">
        <f ca="1">IF(controls!$B$10=1,hystere!N231+hystere!M231,hystere!Q231)</f>
        <v>6</v>
      </c>
      <c r="Q231" s="74">
        <f ca="1">IF('main page'!$Y$53=1,'choose m.p.'!$I$22*100,R231)</f>
        <v>6</v>
      </c>
      <c r="R231" s="100">
        <f ca="1">'main page'!$K$29*M231+(1-'main page'!$K$29)*controls!$B$9+S231+(('main page'!$K$25*'main page'!$U$13*'main page'!$K$29)/('main page'!$K$27*(1+('main page'!$K$25^2)*'main page'!$U$13)))*(M231-(controls!$B$9/100)*100)</f>
        <v>6</v>
      </c>
      <c r="S231" s="98">
        <f ca="1">IF(controls!$B$33=1,(J232-E231*X232-B231)/'main page'!$K$27,(I232-E231*X232-B231)/'main page'!$K$27)</f>
        <v>4</v>
      </c>
      <c r="U231" s="71">
        <f>IF(controls!$B$6=1,$AG$4*(1+('main page'!$K$35/100))^V231-$AG$4*(1+('main page'!$K$35/100))^V230,$AG$4*(1+('main page'!$G$8/100))*(1+('main page'!$K$35/100))^V231-$AG$4*(1+('main page'!$G$8/100))*(1+('main page'!$K$35/100))^V230)</f>
        <v>0</v>
      </c>
      <c r="V231" s="73">
        <v>223</v>
      </c>
      <c r="W231" s="40">
        <f ca="1">'normal case'!V230</f>
        <v>0</v>
      </c>
      <c r="X231" s="40">
        <f ca="1">'normal case'!W230</f>
        <v>0</v>
      </c>
      <c r="Y231" s="49">
        <f ca="1">IF(controls!$B$33=1,E231-($J$4-'main page'!$K$27*2)*(1+('main page'!$K$35/100))^A230,E231-$AG$5)</f>
        <v>0</v>
      </c>
      <c r="Z231" s="49">
        <f ca="1">ABS(M231-(controls!$B$9/100)*100)</f>
        <v>0</v>
      </c>
      <c r="AI231" s="40"/>
      <c r="AJ231" s="40"/>
    </row>
    <row r="232" spans="1:36">
      <c r="A232" s="48">
        <v>229</v>
      </c>
      <c r="B232" s="75">
        <f ca="1">IF(controls!$B$6=2,AVERAGE(E228:E231)+B231*W232+hystere!$AG$9,AVERAGE(E228:E231)+B231*W232)</f>
        <v>100</v>
      </c>
      <c r="C232" s="80">
        <f t="shared" ca="1" si="19"/>
        <v>0</v>
      </c>
      <c r="D232" s="105">
        <f t="shared" ca="1" si="20"/>
        <v>0</v>
      </c>
      <c r="E232" s="77">
        <f t="shared" ca="1" si="21"/>
        <v>100</v>
      </c>
      <c r="F232" s="77">
        <f ca="1">IF('main page'!$K$34=1,hystere!H232,hystere!G232)</f>
        <v>100</v>
      </c>
      <c r="G232" s="94">
        <f ca="1">I232-'main page'!$K$27*hystere!N231</f>
        <v>100</v>
      </c>
      <c r="H232" s="75">
        <f ca="1">J232-'main page'!$K$27*N231</f>
        <v>100</v>
      </c>
      <c r="I232" s="75">
        <f t="shared" ca="1" si="22"/>
        <v>108</v>
      </c>
      <c r="J232" s="75">
        <f t="shared" ca="1" si="23"/>
        <v>108</v>
      </c>
      <c r="M232" s="75">
        <f ca="1">IF(ABS('main page'!$K$29*M231+(1-'main page'!$K$29)*(controls!$B$9/100)*100+'main page'!$K$25*(E232-B232)-M231)&lt;0.0000001,M231,'main page'!$K$29*M231+(1-'main page'!$K$29)*(controls!$B$9/100)*100+'main page'!$K$25*(E232-B232))</f>
        <v>2</v>
      </c>
      <c r="N232" s="75">
        <f ca="1">IF(controls!$B$10=1,N231,O232-'main page'!$K$29*M232-(1-'main page'!$K$29)*controls!$B$9)</f>
        <v>4</v>
      </c>
      <c r="O232" s="74">
        <f t="shared" ca="1" si="18"/>
        <v>6</v>
      </c>
      <c r="P232" s="76">
        <f ca="1">IF(controls!$B$10=1,hystere!N232+hystere!M232,hystere!Q232)</f>
        <v>6</v>
      </c>
      <c r="Q232" s="74">
        <f ca="1">IF('main page'!$Y$53=1,'choose m.p.'!$I$22*100,R232)</f>
        <v>6</v>
      </c>
      <c r="R232" s="100">
        <f ca="1">'main page'!$K$29*M232+(1-'main page'!$K$29)*controls!$B$9+S232+(('main page'!$K$25*'main page'!$U$13*'main page'!$K$29)/('main page'!$K$27*(1+('main page'!$K$25^2)*'main page'!$U$13)))*(M232-(controls!$B$9/100)*100)</f>
        <v>6</v>
      </c>
      <c r="S232" s="98">
        <f ca="1">IF(controls!$B$33=1,(J233-E232*X233-B232)/'main page'!$K$27,(I233-E232*X233-B232)/'main page'!$K$27)</f>
        <v>4</v>
      </c>
      <c r="U232" s="71">
        <f>IF(controls!$B$6=1,$AG$4*(1+('main page'!$K$35/100))^V232-$AG$4*(1+('main page'!$K$35/100))^V231,$AG$4*(1+('main page'!$G$8/100))*(1+('main page'!$K$35/100))^V232-$AG$4*(1+('main page'!$G$8/100))*(1+('main page'!$K$35/100))^V231)</f>
        <v>0</v>
      </c>
      <c r="V232" s="73">
        <v>224</v>
      </c>
      <c r="W232" s="40">
        <f>'normal case'!V231</f>
        <v>0</v>
      </c>
      <c r="X232" s="40">
        <f>'normal case'!W231</f>
        <v>0</v>
      </c>
      <c r="Y232" s="49">
        <f ca="1">IF(controls!$B$33=1,E232-($J$4-'main page'!$K$27*2)*(1+('main page'!$K$35/100))^A231,E232-$AG$5)</f>
        <v>0</v>
      </c>
      <c r="Z232" s="49">
        <f ca="1">ABS(M232-(controls!$B$9/100)*100)</f>
        <v>0</v>
      </c>
      <c r="AI232" s="40"/>
      <c r="AJ232" s="40"/>
    </row>
    <row r="233" spans="1:36">
      <c r="A233" s="48">
        <v>230</v>
      </c>
      <c r="B233" s="75">
        <f ca="1">IF(controls!$B$6=2,AVERAGE(E229:E232)+B232*W233+hystere!$AG$9,AVERAGE(E229:E232)+B232*W233)</f>
        <v>100</v>
      </c>
      <c r="C233" s="80">
        <f t="shared" ca="1" si="19"/>
        <v>0</v>
      </c>
      <c r="D233" s="105">
        <f t="shared" ca="1" si="20"/>
        <v>0</v>
      </c>
      <c r="E233" s="77">
        <f t="shared" ca="1" si="21"/>
        <v>100</v>
      </c>
      <c r="F233" s="77">
        <f ca="1">IF('main page'!$K$34=1,hystere!H233,hystere!G233)</f>
        <v>100</v>
      </c>
      <c r="G233" s="94">
        <f ca="1">I233-'main page'!$K$27*hystere!N232</f>
        <v>100</v>
      </c>
      <c r="H233" s="75">
        <f ca="1">J233-'main page'!$K$27*N232</f>
        <v>100</v>
      </c>
      <c r="I233" s="75">
        <f t="shared" ca="1" si="22"/>
        <v>108</v>
      </c>
      <c r="J233" s="75">
        <f t="shared" ca="1" si="23"/>
        <v>108</v>
      </c>
      <c r="M233" s="75">
        <f ca="1">IF(ABS('main page'!$K$29*M232+(1-'main page'!$K$29)*(controls!$B$9/100)*100+'main page'!$K$25*(E233-B233)-M232)&lt;0.0000001,M232,'main page'!$K$29*M232+(1-'main page'!$K$29)*(controls!$B$9/100)*100+'main page'!$K$25*(E233-B233))</f>
        <v>2</v>
      </c>
      <c r="N233" s="75">
        <f ca="1">IF(controls!$B$10=1,N232,O233-'main page'!$K$29*M233-(1-'main page'!$K$29)*controls!$B$9)</f>
        <v>4</v>
      </c>
      <c r="O233" s="74">
        <f t="shared" ca="1" si="18"/>
        <v>6</v>
      </c>
      <c r="P233" s="76">
        <f ca="1">IF(controls!$B$10=1,hystere!N233+hystere!M233,hystere!Q233)</f>
        <v>6</v>
      </c>
      <c r="Q233" s="74">
        <f ca="1">IF('main page'!$Y$53=1,'choose m.p.'!$I$22*100,R233)</f>
        <v>6</v>
      </c>
      <c r="R233" s="100">
        <f ca="1">'main page'!$K$29*M233+(1-'main page'!$K$29)*controls!$B$9+S233+(('main page'!$K$25*'main page'!$U$13*'main page'!$K$29)/('main page'!$K$27*(1+('main page'!$K$25^2)*'main page'!$U$13)))*(M233-(controls!$B$9/100)*100)</f>
        <v>6</v>
      </c>
      <c r="S233" s="98">
        <f ca="1">IF(controls!$B$33=1,(J234-E233*X234-B233)/'main page'!$K$27,(I234-E233*X234-B233)/'main page'!$K$27)</f>
        <v>4</v>
      </c>
      <c r="U233" s="71">
        <f>IF(controls!$B$6=1,$AG$4*(1+('main page'!$K$35/100))^V233-$AG$4*(1+('main page'!$K$35/100))^V232,$AG$4*(1+('main page'!$G$8/100))*(1+('main page'!$K$35/100))^V233-$AG$4*(1+('main page'!$G$8/100))*(1+('main page'!$K$35/100))^V232)</f>
        <v>0</v>
      </c>
      <c r="V233" s="73">
        <v>225</v>
      </c>
      <c r="W233" s="40">
        <f>'normal case'!V232</f>
        <v>0</v>
      </c>
      <c r="X233" s="40">
        <f>'normal case'!W232</f>
        <v>0</v>
      </c>
      <c r="Y233" s="49">
        <f ca="1">IF(controls!$B$33=1,E233-($J$4-'main page'!$K$27*2)*(1+('main page'!$K$35/100))^A232,E233-$AG$5)</f>
        <v>0</v>
      </c>
      <c r="Z233" s="49">
        <f ca="1">ABS(M233-(controls!$B$9/100)*100)</f>
        <v>0</v>
      </c>
      <c r="AI233" s="40"/>
      <c r="AJ233" s="40"/>
    </row>
    <row r="234" spans="1:36">
      <c r="A234" s="48">
        <v>231</v>
      </c>
      <c r="B234" s="75">
        <f ca="1">IF(controls!$B$6=2,AVERAGE(E230:E233)+B233*W234+hystere!$AG$9,AVERAGE(E230:E233)+B233*W234)</f>
        <v>100</v>
      </c>
      <c r="C234" s="80">
        <f t="shared" ca="1" si="19"/>
        <v>0</v>
      </c>
      <c r="D234" s="105">
        <f t="shared" ca="1" si="20"/>
        <v>0</v>
      </c>
      <c r="E234" s="77">
        <f t="shared" ca="1" si="21"/>
        <v>100</v>
      </c>
      <c r="F234" s="77">
        <f ca="1">IF('main page'!$K$34=1,hystere!H234,hystere!G234)</f>
        <v>100</v>
      </c>
      <c r="G234" s="94">
        <f ca="1">I234-'main page'!$K$27*hystere!N233</f>
        <v>100</v>
      </c>
      <c r="H234" s="75">
        <f ca="1">J234-'main page'!$K$27*N233</f>
        <v>100</v>
      </c>
      <c r="I234" s="75">
        <f t="shared" ca="1" si="22"/>
        <v>108</v>
      </c>
      <c r="J234" s="75">
        <f t="shared" ca="1" si="23"/>
        <v>108</v>
      </c>
      <c r="M234" s="75">
        <f ca="1">IF(ABS('main page'!$K$29*M233+(1-'main page'!$K$29)*(controls!$B$9/100)*100+'main page'!$K$25*(E234-B234)-M233)&lt;0.0000001,M233,'main page'!$K$29*M233+(1-'main page'!$K$29)*(controls!$B$9/100)*100+'main page'!$K$25*(E234-B234))</f>
        <v>2</v>
      </c>
      <c r="N234" s="75">
        <f ca="1">IF(controls!$B$10=1,N233,O234-'main page'!$K$29*M234-(1-'main page'!$K$29)*controls!$B$9)</f>
        <v>4</v>
      </c>
      <c r="O234" s="74">
        <f t="shared" ca="1" si="18"/>
        <v>6</v>
      </c>
      <c r="P234" s="76">
        <f ca="1">IF(controls!$B$10=1,hystere!N234+hystere!M234,hystere!Q234)</f>
        <v>6</v>
      </c>
      <c r="Q234" s="74">
        <f ca="1">IF('main page'!$Y$53=1,'choose m.p.'!$I$22*100,R234)</f>
        <v>6</v>
      </c>
      <c r="R234" s="100">
        <f ca="1">'main page'!$K$29*M234+(1-'main page'!$K$29)*controls!$B$9+S234+(('main page'!$K$25*'main page'!$U$13*'main page'!$K$29)/('main page'!$K$27*(1+('main page'!$K$25^2)*'main page'!$U$13)))*(M234-(controls!$B$9/100)*100)</f>
        <v>6</v>
      </c>
      <c r="S234" s="98">
        <f ca="1">IF(controls!$B$33=1,(J235-E234*X235-B234)/'main page'!$K$27,(I235-E234*X235-B234)/'main page'!$K$27)</f>
        <v>4</v>
      </c>
      <c r="U234" s="71">
        <f>IF(controls!$B$6=1,$AG$4*(1+('main page'!$K$35/100))^V234-$AG$4*(1+('main page'!$K$35/100))^V233,$AG$4*(1+('main page'!$G$8/100))*(1+('main page'!$K$35/100))^V234-$AG$4*(1+('main page'!$G$8/100))*(1+('main page'!$K$35/100))^V233)</f>
        <v>0</v>
      </c>
      <c r="V234" s="73">
        <v>226</v>
      </c>
      <c r="W234" s="40">
        <f ca="1">'normal case'!V233</f>
        <v>0</v>
      </c>
      <c r="X234" s="40">
        <f ca="1">'normal case'!W233</f>
        <v>0</v>
      </c>
      <c r="Y234" s="49">
        <f ca="1">IF(controls!$B$33=1,E234-($J$4-'main page'!$K$27*2)*(1+('main page'!$K$35/100))^A233,E234-$AG$5)</f>
        <v>0</v>
      </c>
      <c r="Z234" s="49">
        <f ca="1">ABS(M234-(controls!$B$9/100)*100)</f>
        <v>0</v>
      </c>
      <c r="AI234" s="40"/>
      <c r="AJ234" s="40"/>
    </row>
    <row r="235" spans="1:36">
      <c r="A235" s="48">
        <v>232</v>
      </c>
      <c r="B235" s="75">
        <f ca="1">IF(controls!$B$6=2,AVERAGE(E231:E234)+B234*W235+hystere!$AG$9,AVERAGE(E231:E234)+B234*W235)</f>
        <v>100</v>
      </c>
      <c r="C235" s="80">
        <f t="shared" ca="1" si="19"/>
        <v>0</v>
      </c>
      <c r="D235" s="105">
        <f t="shared" ca="1" si="20"/>
        <v>0</v>
      </c>
      <c r="E235" s="77">
        <f t="shared" ca="1" si="21"/>
        <v>100</v>
      </c>
      <c r="F235" s="77">
        <f ca="1">IF('main page'!$K$34=1,hystere!H235,hystere!G235)</f>
        <v>100</v>
      </c>
      <c r="G235" s="94">
        <f ca="1">I235-'main page'!$K$27*hystere!N234</f>
        <v>100</v>
      </c>
      <c r="H235" s="75">
        <f ca="1">J235-'main page'!$K$27*N234</f>
        <v>100</v>
      </c>
      <c r="I235" s="75">
        <f t="shared" ca="1" si="22"/>
        <v>108</v>
      </c>
      <c r="J235" s="75">
        <f t="shared" ca="1" si="23"/>
        <v>108</v>
      </c>
      <c r="M235" s="75">
        <f ca="1">IF(ABS('main page'!$K$29*M234+(1-'main page'!$K$29)*(controls!$B$9/100)*100+'main page'!$K$25*(E235-B235)-M234)&lt;0.0000001,M234,'main page'!$K$29*M234+(1-'main page'!$K$29)*(controls!$B$9/100)*100+'main page'!$K$25*(E235-B235))</f>
        <v>2</v>
      </c>
      <c r="N235" s="75">
        <f ca="1">IF(controls!$B$10=1,N234,O235-'main page'!$K$29*M235-(1-'main page'!$K$29)*controls!$B$9)</f>
        <v>4</v>
      </c>
      <c r="O235" s="74">
        <f t="shared" ca="1" si="18"/>
        <v>6</v>
      </c>
      <c r="P235" s="76">
        <f ca="1">IF(controls!$B$10=1,hystere!N235+hystere!M235,hystere!Q235)</f>
        <v>6</v>
      </c>
      <c r="Q235" s="74">
        <f ca="1">IF('main page'!$Y$53=1,'choose m.p.'!$I$22*100,R235)</f>
        <v>6</v>
      </c>
      <c r="R235" s="100">
        <f ca="1">'main page'!$K$29*M235+(1-'main page'!$K$29)*controls!$B$9+S235+(('main page'!$K$25*'main page'!$U$13*'main page'!$K$29)/('main page'!$K$27*(1+('main page'!$K$25^2)*'main page'!$U$13)))*(M235-(controls!$B$9/100)*100)</f>
        <v>6</v>
      </c>
      <c r="S235" s="98">
        <f ca="1">IF(controls!$B$33=1,(J236-E235*X236-B235)/'main page'!$K$27,(I236-E235*X236-B235)/'main page'!$K$27)</f>
        <v>4</v>
      </c>
      <c r="U235" s="71">
        <f>IF(controls!$B$6=1,$AG$4*(1+('main page'!$K$35/100))^V235-$AG$4*(1+('main page'!$K$35/100))^V234,$AG$4*(1+('main page'!$G$8/100))*(1+('main page'!$K$35/100))^V235-$AG$4*(1+('main page'!$G$8/100))*(1+('main page'!$K$35/100))^V234)</f>
        <v>0</v>
      </c>
      <c r="V235" s="73">
        <v>227</v>
      </c>
      <c r="W235" s="40">
        <f>'normal case'!V234</f>
        <v>0</v>
      </c>
      <c r="X235" s="40">
        <f>'normal case'!W234</f>
        <v>0</v>
      </c>
      <c r="Y235" s="49">
        <f ca="1">IF(controls!$B$33=1,E235-($J$4-'main page'!$K$27*2)*(1+('main page'!$K$35/100))^A234,E235-$AG$5)</f>
        <v>0</v>
      </c>
      <c r="Z235" s="49">
        <f ca="1">ABS(M235-(controls!$B$9/100)*100)</f>
        <v>0</v>
      </c>
      <c r="AI235" s="40"/>
      <c r="AJ235" s="40"/>
    </row>
    <row r="236" spans="1:36">
      <c r="A236" s="48">
        <v>233</v>
      </c>
      <c r="B236" s="75">
        <f ca="1">IF(controls!$B$6=2,AVERAGE(E232:E235)+B235*W236+hystere!$AG$9,AVERAGE(E232:E235)+B235*W236)</f>
        <v>100</v>
      </c>
      <c r="C236" s="80">
        <f t="shared" ca="1" si="19"/>
        <v>0</v>
      </c>
      <c r="D236" s="105">
        <f t="shared" ca="1" si="20"/>
        <v>0</v>
      </c>
      <c r="E236" s="77">
        <f t="shared" ca="1" si="21"/>
        <v>100</v>
      </c>
      <c r="F236" s="77">
        <f ca="1">IF('main page'!$K$34=1,hystere!H236,hystere!G236)</f>
        <v>100</v>
      </c>
      <c r="G236" s="94">
        <f ca="1">I236-'main page'!$K$27*hystere!N235</f>
        <v>100</v>
      </c>
      <c r="H236" s="75">
        <f ca="1">J236-'main page'!$K$27*N235</f>
        <v>100</v>
      </c>
      <c r="I236" s="75">
        <f t="shared" ca="1" si="22"/>
        <v>108</v>
      </c>
      <c r="J236" s="75">
        <f t="shared" ca="1" si="23"/>
        <v>108</v>
      </c>
      <c r="M236" s="75">
        <f ca="1">IF(ABS('main page'!$K$29*M235+(1-'main page'!$K$29)*(controls!$B$9/100)*100+'main page'!$K$25*(E236-B236)-M235)&lt;0.0000001,M235,'main page'!$K$29*M235+(1-'main page'!$K$29)*(controls!$B$9/100)*100+'main page'!$K$25*(E236-B236))</f>
        <v>2</v>
      </c>
      <c r="N236" s="75">
        <f ca="1">IF(controls!$B$10=1,N235,O236-'main page'!$K$29*M236-(1-'main page'!$K$29)*controls!$B$9)</f>
        <v>4</v>
      </c>
      <c r="O236" s="74">
        <f t="shared" ca="1" si="18"/>
        <v>6</v>
      </c>
      <c r="P236" s="76">
        <f ca="1">IF(controls!$B$10=1,hystere!N236+hystere!M236,hystere!Q236)</f>
        <v>6</v>
      </c>
      <c r="Q236" s="74">
        <f ca="1">IF('main page'!$Y$53=1,'choose m.p.'!$I$22*100,R236)</f>
        <v>6</v>
      </c>
      <c r="R236" s="100">
        <f ca="1">'main page'!$K$29*M236+(1-'main page'!$K$29)*controls!$B$9+S236+(('main page'!$K$25*'main page'!$U$13*'main page'!$K$29)/('main page'!$K$27*(1+('main page'!$K$25^2)*'main page'!$U$13)))*(M236-(controls!$B$9/100)*100)</f>
        <v>6</v>
      </c>
      <c r="S236" s="98">
        <f ca="1">IF(controls!$B$33=1,(J237-E236*X237-B236)/'main page'!$K$27,(I237-E236*X237-B236)/'main page'!$K$27)</f>
        <v>4</v>
      </c>
      <c r="U236" s="71">
        <f>IF(controls!$B$6=1,$AG$4*(1+('main page'!$K$35/100))^V236-$AG$4*(1+('main page'!$K$35/100))^V235,$AG$4*(1+('main page'!$G$8/100))*(1+('main page'!$K$35/100))^V236-$AG$4*(1+('main page'!$G$8/100))*(1+('main page'!$K$35/100))^V235)</f>
        <v>0</v>
      </c>
      <c r="V236" s="73">
        <v>228</v>
      </c>
      <c r="W236" s="40">
        <f>'normal case'!V235</f>
        <v>0</v>
      </c>
      <c r="X236" s="40">
        <f>'normal case'!W235</f>
        <v>0</v>
      </c>
      <c r="Y236" s="49">
        <f ca="1">IF(controls!$B$33=1,E236-($J$4-'main page'!$K$27*2)*(1+('main page'!$K$35/100))^A235,E236-$AG$5)</f>
        <v>0</v>
      </c>
      <c r="Z236" s="49">
        <f ca="1">ABS(M236-(controls!$B$9/100)*100)</f>
        <v>0</v>
      </c>
      <c r="AI236" s="40"/>
      <c r="AJ236" s="40"/>
    </row>
    <row r="237" spans="1:36">
      <c r="A237" s="48">
        <v>234</v>
      </c>
      <c r="B237" s="75">
        <f ca="1">IF(controls!$B$6=2,AVERAGE(E233:E236)+B236*W237+hystere!$AG$9,AVERAGE(E233:E236)+B236*W237)</f>
        <v>100</v>
      </c>
      <c r="C237" s="80">
        <f t="shared" ca="1" si="19"/>
        <v>0</v>
      </c>
      <c r="D237" s="105">
        <f t="shared" ca="1" si="20"/>
        <v>0</v>
      </c>
      <c r="E237" s="77">
        <f t="shared" ca="1" si="21"/>
        <v>100</v>
      </c>
      <c r="F237" s="77">
        <f ca="1">IF('main page'!$K$34=1,hystere!H237,hystere!G237)</f>
        <v>100</v>
      </c>
      <c r="G237" s="94">
        <f ca="1">I237-'main page'!$K$27*hystere!N236</f>
        <v>100</v>
      </c>
      <c r="H237" s="75">
        <f ca="1">J237-'main page'!$K$27*N236</f>
        <v>100</v>
      </c>
      <c r="I237" s="75">
        <f t="shared" ca="1" si="22"/>
        <v>108</v>
      </c>
      <c r="J237" s="75">
        <f t="shared" ca="1" si="23"/>
        <v>108</v>
      </c>
      <c r="M237" s="75">
        <f ca="1">IF(ABS('main page'!$K$29*M236+(1-'main page'!$K$29)*(controls!$B$9/100)*100+'main page'!$K$25*(E237-B237)-M236)&lt;0.0000001,M236,'main page'!$K$29*M236+(1-'main page'!$K$29)*(controls!$B$9/100)*100+'main page'!$K$25*(E237-B237))</f>
        <v>2</v>
      </c>
      <c r="N237" s="75">
        <f ca="1">IF(controls!$B$10=1,N236,O237-'main page'!$K$29*M237-(1-'main page'!$K$29)*controls!$B$9)</f>
        <v>4</v>
      </c>
      <c r="O237" s="74">
        <f t="shared" ca="1" si="18"/>
        <v>6</v>
      </c>
      <c r="P237" s="76">
        <f ca="1">IF(controls!$B$10=1,hystere!N237+hystere!M237,hystere!Q237)</f>
        <v>6</v>
      </c>
      <c r="Q237" s="74">
        <f ca="1">IF('main page'!$Y$53=1,'choose m.p.'!$I$22*100,R237)</f>
        <v>6</v>
      </c>
      <c r="R237" s="100">
        <f ca="1">'main page'!$K$29*M237+(1-'main page'!$K$29)*controls!$B$9+S237+(('main page'!$K$25*'main page'!$U$13*'main page'!$K$29)/('main page'!$K$27*(1+('main page'!$K$25^2)*'main page'!$U$13)))*(M237-(controls!$B$9/100)*100)</f>
        <v>6</v>
      </c>
      <c r="S237" s="98">
        <f ca="1">IF(controls!$B$33=1,(J238-E237*X238-B237)/'main page'!$K$27,(I238-E237*X238-B237)/'main page'!$K$27)</f>
        <v>4</v>
      </c>
      <c r="U237" s="71">
        <f>IF(controls!$B$6=1,$AG$4*(1+('main page'!$K$35/100))^V237-$AG$4*(1+('main page'!$K$35/100))^V236,$AG$4*(1+('main page'!$G$8/100))*(1+('main page'!$K$35/100))^V237-$AG$4*(1+('main page'!$G$8/100))*(1+('main page'!$K$35/100))^V236)</f>
        <v>0</v>
      </c>
      <c r="V237" s="73">
        <v>229</v>
      </c>
      <c r="W237" s="40">
        <f ca="1">'normal case'!V236</f>
        <v>0</v>
      </c>
      <c r="X237" s="40">
        <f ca="1">'normal case'!W236</f>
        <v>0</v>
      </c>
      <c r="Y237" s="49">
        <f ca="1">IF(controls!$B$33=1,E237-($J$4-'main page'!$K$27*2)*(1+('main page'!$K$35/100))^A236,E237-$AG$5)</f>
        <v>0</v>
      </c>
      <c r="Z237" s="49">
        <f ca="1">ABS(M237-(controls!$B$9/100)*100)</f>
        <v>0</v>
      </c>
      <c r="AI237" s="40"/>
      <c r="AJ237" s="40"/>
    </row>
    <row r="238" spans="1:36">
      <c r="A238" s="48">
        <v>235</v>
      </c>
      <c r="B238" s="75">
        <f ca="1">IF(controls!$B$6=2,AVERAGE(E234:E237)+B237*W238+hystere!$AG$9,AVERAGE(E234:E237)+B237*W238)</f>
        <v>100</v>
      </c>
      <c r="C238" s="80">
        <f t="shared" ca="1" si="19"/>
        <v>0</v>
      </c>
      <c r="D238" s="105">
        <f t="shared" ca="1" si="20"/>
        <v>0</v>
      </c>
      <c r="E238" s="77">
        <f t="shared" ca="1" si="21"/>
        <v>100</v>
      </c>
      <c r="F238" s="77">
        <f ca="1">IF('main page'!$K$34=1,hystere!H238,hystere!G238)</f>
        <v>100</v>
      </c>
      <c r="G238" s="94">
        <f ca="1">I238-'main page'!$K$27*hystere!N237</f>
        <v>100</v>
      </c>
      <c r="H238" s="75">
        <f ca="1">J238-'main page'!$K$27*N237</f>
        <v>100</v>
      </c>
      <c r="I238" s="75">
        <f t="shared" ca="1" si="22"/>
        <v>108</v>
      </c>
      <c r="J238" s="75">
        <f t="shared" ca="1" si="23"/>
        <v>108</v>
      </c>
      <c r="M238" s="75">
        <f ca="1">IF(ABS('main page'!$K$29*M237+(1-'main page'!$K$29)*(controls!$B$9/100)*100+'main page'!$K$25*(E238-B238)-M237)&lt;0.0000001,M237,'main page'!$K$29*M237+(1-'main page'!$K$29)*(controls!$B$9/100)*100+'main page'!$K$25*(E238-B238))</f>
        <v>2</v>
      </c>
      <c r="N238" s="75">
        <f ca="1">IF(controls!$B$10=1,N237,O238-'main page'!$K$29*M238-(1-'main page'!$K$29)*controls!$B$9)</f>
        <v>4</v>
      </c>
      <c r="O238" s="74">
        <f t="shared" ca="1" si="18"/>
        <v>6</v>
      </c>
      <c r="P238" s="76">
        <f ca="1">IF(controls!$B$10=1,hystere!N238+hystere!M238,hystere!Q238)</f>
        <v>6</v>
      </c>
      <c r="Q238" s="74">
        <f ca="1">IF('main page'!$Y$53=1,'choose m.p.'!$I$22*100,R238)</f>
        <v>6</v>
      </c>
      <c r="R238" s="100">
        <f ca="1">'main page'!$K$29*M238+(1-'main page'!$K$29)*controls!$B$9+S238+(('main page'!$K$25*'main page'!$U$13*'main page'!$K$29)/('main page'!$K$27*(1+('main page'!$K$25^2)*'main page'!$U$13)))*(M238-(controls!$B$9/100)*100)</f>
        <v>6</v>
      </c>
      <c r="S238" s="98">
        <f ca="1">IF(controls!$B$33=1,(J239-E238*X239-B238)/'main page'!$K$27,(I239-E238*X239-B238)/'main page'!$K$27)</f>
        <v>4</v>
      </c>
      <c r="U238" s="71">
        <f>IF(controls!$B$6=1,$AG$4*(1+('main page'!$K$35/100))^V238-$AG$4*(1+('main page'!$K$35/100))^V237,$AG$4*(1+('main page'!$G$8/100))*(1+('main page'!$K$35/100))^V238-$AG$4*(1+('main page'!$G$8/100))*(1+('main page'!$K$35/100))^V237)</f>
        <v>0</v>
      </c>
      <c r="V238" s="73">
        <v>230</v>
      </c>
      <c r="W238" s="40">
        <f>'normal case'!V237</f>
        <v>0</v>
      </c>
      <c r="X238" s="40">
        <f>'normal case'!W237</f>
        <v>0</v>
      </c>
      <c r="Y238" s="49">
        <f ca="1">IF(controls!$B$33=1,E238-($J$4-'main page'!$K$27*2)*(1+('main page'!$K$35/100))^A237,E238-$AG$5)</f>
        <v>0</v>
      </c>
      <c r="Z238" s="49">
        <f ca="1">ABS(M238-(controls!$B$9/100)*100)</f>
        <v>0</v>
      </c>
      <c r="AI238" s="40"/>
      <c r="AJ238" s="40"/>
    </row>
    <row r="239" spans="1:36">
      <c r="A239" s="48">
        <v>236</v>
      </c>
      <c r="B239" s="75">
        <f ca="1">IF(controls!$B$6=2,AVERAGE(E235:E238)+B238*W239+hystere!$AG$9,AVERAGE(E235:E238)+B238*W239)</f>
        <v>100</v>
      </c>
      <c r="C239" s="80">
        <f t="shared" ca="1" si="19"/>
        <v>0</v>
      </c>
      <c r="D239" s="105">
        <f t="shared" ca="1" si="20"/>
        <v>0</v>
      </c>
      <c r="E239" s="77">
        <f t="shared" ca="1" si="21"/>
        <v>100</v>
      </c>
      <c r="F239" s="77">
        <f ca="1">IF('main page'!$K$34=1,hystere!H239,hystere!G239)</f>
        <v>100</v>
      </c>
      <c r="G239" s="94">
        <f ca="1">I239-'main page'!$K$27*hystere!N238</f>
        <v>100</v>
      </c>
      <c r="H239" s="75">
        <f ca="1">J239-'main page'!$K$27*N238</f>
        <v>100</v>
      </c>
      <c r="I239" s="75">
        <f t="shared" ca="1" si="22"/>
        <v>108</v>
      </c>
      <c r="J239" s="75">
        <f t="shared" ca="1" si="23"/>
        <v>108</v>
      </c>
      <c r="M239" s="75">
        <f ca="1">IF(ABS('main page'!$K$29*M238+(1-'main page'!$K$29)*(controls!$B$9/100)*100+'main page'!$K$25*(E239-B239)-M238)&lt;0.0000001,M238,'main page'!$K$29*M238+(1-'main page'!$K$29)*(controls!$B$9/100)*100+'main page'!$K$25*(E239-B239))</f>
        <v>2</v>
      </c>
      <c r="N239" s="75">
        <f ca="1">IF(controls!$B$10=1,N238,O239-'main page'!$K$29*M239-(1-'main page'!$K$29)*controls!$B$9)</f>
        <v>4</v>
      </c>
      <c r="O239" s="74">
        <f t="shared" ca="1" si="18"/>
        <v>6</v>
      </c>
      <c r="P239" s="76">
        <f ca="1">IF(controls!$B$10=1,hystere!N239+hystere!M239,hystere!Q239)</f>
        <v>6</v>
      </c>
      <c r="Q239" s="74">
        <f ca="1">IF('main page'!$Y$53=1,'choose m.p.'!$I$22*100,R239)</f>
        <v>6</v>
      </c>
      <c r="R239" s="100">
        <f ca="1">'main page'!$K$29*M239+(1-'main page'!$K$29)*controls!$B$9+S239+(('main page'!$K$25*'main page'!$U$13*'main page'!$K$29)/('main page'!$K$27*(1+('main page'!$K$25^2)*'main page'!$U$13)))*(M239-(controls!$B$9/100)*100)</f>
        <v>6</v>
      </c>
      <c r="S239" s="98">
        <f ca="1">IF(controls!$B$33=1,(J240-E239*X240-B239)/'main page'!$K$27,(I240-E239*X240-B239)/'main page'!$K$27)</f>
        <v>4</v>
      </c>
      <c r="U239" s="71">
        <f>IF(controls!$B$6=1,$AG$4*(1+('main page'!$K$35/100))^V239-$AG$4*(1+('main page'!$K$35/100))^V238,$AG$4*(1+('main page'!$G$8/100))*(1+('main page'!$K$35/100))^V239-$AG$4*(1+('main page'!$G$8/100))*(1+('main page'!$K$35/100))^V238)</f>
        <v>0</v>
      </c>
      <c r="V239" s="73">
        <v>231</v>
      </c>
      <c r="W239" s="40">
        <f>'normal case'!V238</f>
        <v>0</v>
      </c>
      <c r="X239" s="40">
        <f>'normal case'!W238</f>
        <v>0</v>
      </c>
      <c r="Y239" s="49">
        <f ca="1">IF(controls!$B$33=1,E239-($J$4-'main page'!$K$27*2)*(1+('main page'!$K$35/100))^A238,E239-$AG$5)</f>
        <v>0</v>
      </c>
      <c r="Z239" s="49">
        <f ca="1">ABS(M239-(controls!$B$9/100)*100)</f>
        <v>0</v>
      </c>
      <c r="AI239" s="40"/>
      <c r="AJ239" s="40"/>
    </row>
    <row r="240" spans="1:36">
      <c r="A240" s="48">
        <v>237</v>
      </c>
      <c r="B240" s="75">
        <f ca="1">IF(controls!$B$6=2,AVERAGE(E236:E239)+B239*W240+hystere!$AG$9,AVERAGE(E236:E239)+B239*W240)</f>
        <v>100</v>
      </c>
      <c r="C240" s="80">
        <f t="shared" ca="1" si="19"/>
        <v>0</v>
      </c>
      <c r="D240" s="105">
        <f t="shared" ca="1" si="20"/>
        <v>0</v>
      </c>
      <c r="E240" s="77">
        <f t="shared" ca="1" si="21"/>
        <v>100</v>
      </c>
      <c r="F240" s="77">
        <f ca="1">IF('main page'!$K$34=1,hystere!H240,hystere!G240)</f>
        <v>100</v>
      </c>
      <c r="G240" s="94">
        <f ca="1">I240-'main page'!$K$27*hystere!N239</f>
        <v>100</v>
      </c>
      <c r="H240" s="75">
        <f ca="1">J240-'main page'!$K$27*N239</f>
        <v>100</v>
      </c>
      <c r="I240" s="75">
        <f t="shared" ca="1" si="22"/>
        <v>108</v>
      </c>
      <c r="J240" s="75">
        <f t="shared" ca="1" si="23"/>
        <v>108</v>
      </c>
      <c r="M240" s="75">
        <f ca="1">IF(ABS('main page'!$K$29*M239+(1-'main page'!$K$29)*(controls!$B$9/100)*100+'main page'!$K$25*(E240-B240)-M239)&lt;0.0000001,M239,'main page'!$K$29*M239+(1-'main page'!$K$29)*(controls!$B$9/100)*100+'main page'!$K$25*(E240-B240))</f>
        <v>2</v>
      </c>
      <c r="N240" s="75">
        <f ca="1">IF(controls!$B$10=1,N239,O240-'main page'!$K$29*M240-(1-'main page'!$K$29)*controls!$B$9)</f>
        <v>4</v>
      </c>
      <c r="O240" s="74">
        <f t="shared" ca="1" si="18"/>
        <v>6</v>
      </c>
      <c r="P240" s="76">
        <f ca="1">IF(controls!$B$10=1,hystere!N240+hystere!M240,hystere!Q240)</f>
        <v>6</v>
      </c>
      <c r="Q240" s="74">
        <f ca="1">IF('main page'!$Y$53=1,'choose m.p.'!$I$22*100,R240)</f>
        <v>6</v>
      </c>
      <c r="R240" s="100">
        <f ca="1">'main page'!$K$29*M240+(1-'main page'!$K$29)*controls!$B$9+S240+(('main page'!$K$25*'main page'!$U$13*'main page'!$K$29)/('main page'!$K$27*(1+('main page'!$K$25^2)*'main page'!$U$13)))*(M240-(controls!$B$9/100)*100)</f>
        <v>6</v>
      </c>
      <c r="S240" s="98">
        <f ca="1">IF(controls!$B$33=1,(J241-E240*X241-B240)/'main page'!$K$27,(I241-E240*X241-B240)/'main page'!$K$27)</f>
        <v>4</v>
      </c>
      <c r="U240" s="71">
        <f>IF(controls!$B$6=1,$AG$4*(1+('main page'!$K$35/100))^V240-$AG$4*(1+('main page'!$K$35/100))^V239,$AG$4*(1+('main page'!$G$8/100))*(1+('main page'!$K$35/100))^V240-$AG$4*(1+('main page'!$G$8/100))*(1+('main page'!$K$35/100))^V239)</f>
        <v>0</v>
      </c>
      <c r="V240" s="73">
        <v>232</v>
      </c>
      <c r="W240" s="40">
        <f ca="1">'normal case'!V239</f>
        <v>0</v>
      </c>
      <c r="X240" s="40">
        <f ca="1">'normal case'!W239</f>
        <v>0</v>
      </c>
      <c r="Y240" s="49">
        <f ca="1">IF(controls!$B$33=1,E240-($J$4-'main page'!$K$27*2)*(1+('main page'!$K$35/100))^A239,E240-$AG$5)</f>
        <v>0</v>
      </c>
      <c r="Z240" s="49">
        <f ca="1">ABS(M240-(controls!$B$9/100)*100)</f>
        <v>0</v>
      </c>
      <c r="AI240" s="40"/>
      <c r="AJ240" s="40"/>
    </row>
    <row r="241" spans="1:36">
      <c r="A241" s="48">
        <v>238</v>
      </c>
      <c r="B241" s="75">
        <f ca="1">IF(controls!$B$6=2,AVERAGE(E237:E240)+B240*W241+hystere!$AG$9,AVERAGE(E237:E240)+B240*W241)</f>
        <v>100</v>
      </c>
      <c r="C241" s="80">
        <f t="shared" ca="1" si="19"/>
        <v>0</v>
      </c>
      <c r="D241" s="105">
        <f t="shared" ca="1" si="20"/>
        <v>0</v>
      </c>
      <c r="E241" s="77">
        <f t="shared" ca="1" si="21"/>
        <v>100</v>
      </c>
      <c r="F241" s="77">
        <f ca="1">IF('main page'!$K$34=1,hystere!H241,hystere!G241)</f>
        <v>100</v>
      </c>
      <c r="G241" s="94">
        <f ca="1">I241-'main page'!$K$27*hystere!N240</f>
        <v>100</v>
      </c>
      <c r="H241" s="75">
        <f ca="1">J241-'main page'!$K$27*N240</f>
        <v>100</v>
      </c>
      <c r="I241" s="75">
        <f t="shared" ca="1" si="22"/>
        <v>108</v>
      </c>
      <c r="J241" s="75">
        <f t="shared" ca="1" si="23"/>
        <v>108</v>
      </c>
      <c r="M241" s="75">
        <f ca="1">IF(ABS('main page'!$K$29*M240+(1-'main page'!$K$29)*(controls!$B$9/100)*100+'main page'!$K$25*(E241-B241)-M240)&lt;0.0000001,M240,'main page'!$K$29*M240+(1-'main page'!$K$29)*(controls!$B$9/100)*100+'main page'!$K$25*(E241-B241))</f>
        <v>2</v>
      </c>
      <c r="N241" s="75">
        <f ca="1">IF(controls!$B$10=1,N240,O241-'main page'!$K$29*M241-(1-'main page'!$K$29)*controls!$B$9)</f>
        <v>4</v>
      </c>
      <c r="O241" s="74">
        <f t="shared" ca="1" si="18"/>
        <v>6</v>
      </c>
      <c r="P241" s="76">
        <f ca="1">IF(controls!$B$10=1,hystere!N241+hystere!M241,hystere!Q241)</f>
        <v>6</v>
      </c>
      <c r="Q241" s="74">
        <f ca="1">IF('main page'!$Y$53=1,'choose m.p.'!$I$22*100,R241)</f>
        <v>6</v>
      </c>
      <c r="R241" s="100">
        <f ca="1">'main page'!$K$29*M241+(1-'main page'!$K$29)*controls!$B$9+S241+(('main page'!$K$25*'main page'!$U$13*'main page'!$K$29)/('main page'!$K$27*(1+('main page'!$K$25^2)*'main page'!$U$13)))*(M241-(controls!$B$9/100)*100)</f>
        <v>6</v>
      </c>
      <c r="S241" s="98">
        <f ca="1">IF(controls!$B$33=1,(J242-E241*X242-B241)/'main page'!$K$27,(I242-E241*X242-B241)/'main page'!$K$27)</f>
        <v>4</v>
      </c>
      <c r="U241" s="71">
        <f>IF(controls!$B$6=1,$AG$4*(1+('main page'!$K$35/100))^V241-$AG$4*(1+('main page'!$K$35/100))^V240,$AG$4*(1+('main page'!$G$8/100))*(1+('main page'!$K$35/100))^V241-$AG$4*(1+('main page'!$G$8/100))*(1+('main page'!$K$35/100))^V240)</f>
        <v>0</v>
      </c>
      <c r="V241" s="73">
        <v>233</v>
      </c>
      <c r="W241" s="40">
        <f>'normal case'!V240</f>
        <v>0</v>
      </c>
      <c r="X241" s="40">
        <f>'normal case'!W240</f>
        <v>0</v>
      </c>
      <c r="Y241" s="49">
        <f ca="1">IF(controls!$B$33=1,E241-($J$4-'main page'!$K$27*2)*(1+('main page'!$K$35/100))^A240,E241-$AG$5)</f>
        <v>0</v>
      </c>
      <c r="Z241" s="49">
        <f ca="1">ABS(M241-(controls!$B$9/100)*100)</f>
        <v>0</v>
      </c>
      <c r="AI241" s="40"/>
      <c r="AJ241" s="40"/>
    </row>
    <row r="242" spans="1:36">
      <c r="A242" s="48">
        <v>239</v>
      </c>
      <c r="B242" s="75">
        <f ca="1">IF(controls!$B$6=2,AVERAGE(E238:E241)+B241*W242+hystere!$AG$9,AVERAGE(E238:E241)+B241*W242)</f>
        <v>100</v>
      </c>
      <c r="C242" s="80">
        <f t="shared" ca="1" si="19"/>
        <v>0</v>
      </c>
      <c r="D242" s="105">
        <f t="shared" ca="1" si="20"/>
        <v>0</v>
      </c>
      <c r="E242" s="77">
        <f t="shared" ca="1" si="21"/>
        <v>100</v>
      </c>
      <c r="F242" s="77">
        <f ca="1">IF('main page'!$K$34=1,hystere!H242,hystere!G242)</f>
        <v>100</v>
      </c>
      <c r="G242" s="94">
        <f ca="1">I242-'main page'!$K$27*hystere!N241</f>
        <v>100</v>
      </c>
      <c r="H242" s="75">
        <f ca="1">J242-'main page'!$K$27*N241</f>
        <v>100</v>
      </c>
      <c r="I242" s="75">
        <f t="shared" ca="1" si="22"/>
        <v>108</v>
      </c>
      <c r="J242" s="75">
        <f t="shared" ca="1" si="23"/>
        <v>108</v>
      </c>
      <c r="M242" s="75">
        <f ca="1">IF(ABS('main page'!$K$29*M241+(1-'main page'!$K$29)*(controls!$B$9/100)*100+'main page'!$K$25*(E242-B242)-M241)&lt;0.0000001,M241,'main page'!$K$29*M241+(1-'main page'!$K$29)*(controls!$B$9/100)*100+'main page'!$K$25*(E242-B242))</f>
        <v>2</v>
      </c>
      <c r="N242" s="75">
        <f ca="1">IF(controls!$B$10=1,N241,O242-'main page'!$K$29*M242-(1-'main page'!$K$29)*controls!$B$9)</f>
        <v>4</v>
      </c>
      <c r="O242" s="74">
        <f t="shared" ca="1" si="18"/>
        <v>6</v>
      </c>
      <c r="P242" s="76">
        <f ca="1">IF(controls!$B$10=1,hystere!N242+hystere!M242,hystere!Q242)</f>
        <v>6</v>
      </c>
      <c r="Q242" s="74">
        <f ca="1">IF('main page'!$Y$53=1,'choose m.p.'!$I$22*100,R242)</f>
        <v>6</v>
      </c>
      <c r="R242" s="100">
        <f ca="1">'main page'!$K$29*M242+(1-'main page'!$K$29)*controls!$B$9+S242+(('main page'!$K$25*'main page'!$U$13*'main page'!$K$29)/('main page'!$K$27*(1+('main page'!$K$25^2)*'main page'!$U$13)))*(M242-(controls!$B$9/100)*100)</f>
        <v>6</v>
      </c>
      <c r="S242" s="98">
        <f ca="1">IF(controls!$B$33=1,(J243-E242*X243-B242)/'main page'!$K$27,(I243-E242*X243-B242)/'main page'!$K$27)</f>
        <v>4</v>
      </c>
      <c r="U242" s="71">
        <f>IF(controls!$B$6=1,$AG$4*(1+('main page'!$K$35/100))^V242-$AG$4*(1+('main page'!$K$35/100))^V241,$AG$4*(1+('main page'!$G$8/100))*(1+('main page'!$K$35/100))^V242-$AG$4*(1+('main page'!$G$8/100))*(1+('main page'!$K$35/100))^V241)</f>
        <v>0</v>
      </c>
      <c r="V242" s="73">
        <v>234</v>
      </c>
      <c r="W242" s="40">
        <f>'normal case'!V241</f>
        <v>0</v>
      </c>
      <c r="X242" s="40">
        <f>'normal case'!W241</f>
        <v>0</v>
      </c>
      <c r="Y242" s="49">
        <f ca="1">IF(controls!$B$33=1,E242-($J$4-'main page'!$K$27*2)*(1+('main page'!$K$35/100))^A241,E242-$AG$5)</f>
        <v>0</v>
      </c>
      <c r="Z242" s="49">
        <f ca="1">ABS(M242-(controls!$B$9/100)*100)</f>
        <v>0</v>
      </c>
      <c r="AI242" s="40"/>
      <c r="AJ242" s="40"/>
    </row>
    <row r="243" spans="1:36">
      <c r="A243" s="48">
        <v>240</v>
      </c>
      <c r="B243" s="75">
        <f ca="1">IF(controls!$B$6=2,AVERAGE(E239:E242)+B242*W243+hystere!$AG$9,AVERAGE(E239:E242)+B242*W243)</f>
        <v>100</v>
      </c>
      <c r="C243" s="80">
        <f t="shared" ca="1" si="19"/>
        <v>0</v>
      </c>
      <c r="D243" s="105">
        <f t="shared" ca="1" si="20"/>
        <v>0</v>
      </c>
      <c r="E243" s="77">
        <f t="shared" ca="1" si="21"/>
        <v>100</v>
      </c>
      <c r="F243" s="77">
        <f ca="1">IF('main page'!$K$34=1,hystere!H243,hystere!G243)</f>
        <v>100</v>
      </c>
      <c r="G243" s="94">
        <f ca="1">I243-'main page'!$K$27*hystere!N242</f>
        <v>100</v>
      </c>
      <c r="H243" s="75">
        <f ca="1">J243-'main page'!$K$27*N242</f>
        <v>100</v>
      </c>
      <c r="I243" s="75">
        <f t="shared" ca="1" si="22"/>
        <v>108</v>
      </c>
      <c r="J243" s="75">
        <f t="shared" ca="1" si="23"/>
        <v>108</v>
      </c>
      <c r="M243" s="75">
        <f ca="1">IF(ABS('main page'!$K$29*M242+(1-'main page'!$K$29)*(controls!$B$9/100)*100+'main page'!$K$25*(E243-B243)-M242)&lt;0.0000001,M242,'main page'!$K$29*M242+(1-'main page'!$K$29)*(controls!$B$9/100)*100+'main page'!$K$25*(E243-B243))</f>
        <v>2</v>
      </c>
      <c r="N243" s="75">
        <f ca="1">IF(controls!$B$10=1,N242,O243-'main page'!$K$29*M243-(1-'main page'!$K$29)*controls!$B$9)</f>
        <v>4</v>
      </c>
      <c r="O243" s="74">
        <f t="shared" ca="1" si="18"/>
        <v>6</v>
      </c>
      <c r="P243" s="76">
        <f ca="1">IF(controls!$B$10=1,hystere!N243+hystere!M243,hystere!Q243)</f>
        <v>6</v>
      </c>
      <c r="Q243" s="74">
        <f ca="1">IF('main page'!$Y$53=1,'choose m.p.'!$I$22*100,R243)</f>
        <v>6</v>
      </c>
      <c r="R243" s="100">
        <f ca="1">'main page'!$K$29*M243+(1-'main page'!$K$29)*controls!$B$9+S243+(('main page'!$K$25*'main page'!$U$13*'main page'!$K$29)/('main page'!$K$27*(1+('main page'!$K$25^2)*'main page'!$U$13)))*(M243-(controls!$B$9/100)*100)</f>
        <v>6</v>
      </c>
      <c r="S243" s="98">
        <f ca="1">IF(controls!$B$33=1,(J244-E243*X244-B243)/'main page'!$K$27,(I244-E243*X244-B243)/'main page'!$K$27)</f>
        <v>4</v>
      </c>
      <c r="U243" s="71">
        <f>IF(controls!$B$6=1,$AG$4*(1+('main page'!$K$35/100))^V243-$AG$4*(1+('main page'!$K$35/100))^V242,$AG$4*(1+('main page'!$G$8/100))*(1+('main page'!$K$35/100))^V243-$AG$4*(1+('main page'!$G$8/100))*(1+('main page'!$K$35/100))^V242)</f>
        <v>0</v>
      </c>
      <c r="V243" s="73">
        <v>235</v>
      </c>
      <c r="W243" s="40">
        <f ca="1">'normal case'!V242</f>
        <v>0</v>
      </c>
      <c r="X243" s="40">
        <f ca="1">'normal case'!W242</f>
        <v>0</v>
      </c>
      <c r="Y243" s="49">
        <f ca="1">IF(controls!$B$33=1,E243-($J$4-'main page'!$K$27*2)*(1+('main page'!$K$35/100))^A242,E243-$AG$5)</f>
        <v>0</v>
      </c>
      <c r="Z243" s="49">
        <f ca="1">ABS(M243-(controls!$B$9/100)*100)</f>
        <v>0</v>
      </c>
      <c r="AI243" s="40"/>
      <c r="AJ243" s="40"/>
    </row>
    <row r="244" spans="1:36">
      <c r="A244" s="48">
        <v>241</v>
      </c>
      <c r="B244" s="75">
        <f ca="1">IF(controls!$B$6=2,AVERAGE(E240:E243)+B243*W244+hystere!$AG$9,AVERAGE(E240:E243)+B243*W244)</f>
        <v>100</v>
      </c>
      <c r="C244" s="80">
        <f t="shared" ca="1" si="19"/>
        <v>0</v>
      </c>
      <c r="D244" s="105">
        <f t="shared" ca="1" si="20"/>
        <v>0</v>
      </c>
      <c r="E244" s="77">
        <f t="shared" ca="1" si="21"/>
        <v>100</v>
      </c>
      <c r="F244" s="77">
        <f ca="1">IF('main page'!$K$34=1,hystere!H244,hystere!G244)</f>
        <v>100</v>
      </c>
      <c r="G244" s="94">
        <f ca="1">I244-'main page'!$K$27*hystere!N243</f>
        <v>100</v>
      </c>
      <c r="H244" s="75">
        <f ca="1">J244-'main page'!$K$27*N243</f>
        <v>100</v>
      </c>
      <c r="I244" s="75">
        <f t="shared" ca="1" si="22"/>
        <v>108</v>
      </c>
      <c r="J244" s="75">
        <f t="shared" ca="1" si="23"/>
        <v>108</v>
      </c>
      <c r="M244" s="75">
        <f ca="1">IF(ABS('main page'!$K$29*M243+(1-'main page'!$K$29)*(controls!$B$9/100)*100+'main page'!$K$25*(E244-B244)-M243)&lt;0.0000001,M243,'main page'!$K$29*M243+(1-'main page'!$K$29)*(controls!$B$9/100)*100+'main page'!$K$25*(E244-B244))</f>
        <v>2</v>
      </c>
      <c r="N244" s="75">
        <f ca="1">IF(controls!$B$10=1,N243,O244-'main page'!$K$29*M244-(1-'main page'!$K$29)*controls!$B$9)</f>
        <v>4</v>
      </c>
      <c r="O244" s="74">
        <f t="shared" ca="1" si="18"/>
        <v>6</v>
      </c>
      <c r="P244" s="76">
        <f ca="1">IF(controls!$B$10=1,hystere!N244+hystere!M244,hystere!Q244)</f>
        <v>6</v>
      </c>
      <c r="Q244" s="74">
        <f ca="1">IF('main page'!$Y$53=1,'choose m.p.'!$I$22*100,R244)</f>
        <v>6</v>
      </c>
      <c r="R244" s="100">
        <f ca="1">'main page'!$K$29*M244+(1-'main page'!$K$29)*controls!$B$9+S244+(('main page'!$K$25*'main page'!$U$13*'main page'!$K$29)/('main page'!$K$27*(1+('main page'!$K$25^2)*'main page'!$U$13)))*(M244-(controls!$B$9/100)*100)</f>
        <v>6</v>
      </c>
      <c r="S244" s="98">
        <f ca="1">IF(controls!$B$33=1,(J245-E244*X245-B244)/'main page'!$K$27,(I245-E244*X245-B244)/'main page'!$K$27)</f>
        <v>4</v>
      </c>
      <c r="U244" s="71">
        <f>IF(controls!$B$6=1,$AG$4*(1+('main page'!$K$35/100))^V244-$AG$4*(1+('main page'!$K$35/100))^V243,$AG$4*(1+('main page'!$G$8/100))*(1+('main page'!$K$35/100))^V244-$AG$4*(1+('main page'!$G$8/100))*(1+('main page'!$K$35/100))^V243)</f>
        <v>0</v>
      </c>
      <c r="V244" s="73">
        <v>236</v>
      </c>
      <c r="W244" s="40">
        <f>'normal case'!V243</f>
        <v>0</v>
      </c>
      <c r="X244" s="40">
        <f>'normal case'!W243</f>
        <v>0</v>
      </c>
      <c r="Y244" s="49">
        <f ca="1">IF(controls!$B$33=1,E244-($J$4-'main page'!$K$27*2)*(1+('main page'!$K$35/100))^A243,E244-$AG$5)</f>
        <v>0</v>
      </c>
      <c r="Z244" s="49">
        <f ca="1">ABS(M244-(controls!$B$9/100)*100)</f>
        <v>0</v>
      </c>
      <c r="AI244" s="40"/>
      <c r="AJ244" s="40"/>
    </row>
    <row r="245" spans="1:36">
      <c r="A245" s="48">
        <v>242</v>
      </c>
      <c r="B245" s="75">
        <f ca="1">IF(controls!$B$6=2,AVERAGE(E241:E244)+B244*W245+hystere!$AG$9,AVERAGE(E241:E244)+B244*W245)</f>
        <v>100</v>
      </c>
      <c r="C245" s="80">
        <f t="shared" ca="1" si="19"/>
        <v>0</v>
      </c>
      <c r="D245" s="105">
        <f t="shared" ca="1" si="20"/>
        <v>0</v>
      </c>
      <c r="E245" s="77">
        <f t="shared" ca="1" si="21"/>
        <v>100</v>
      </c>
      <c r="F245" s="77">
        <f ca="1">IF('main page'!$K$34=1,hystere!H245,hystere!G245)</f>
        <v>100</v>
      </c>
      <c r="G245" s="94">
        <f ca="1">I245-'main page'!$K$27*hystere!N244</f>
        <v>100</v>
      </c>
      <c r="H245" s="75">
        <f ca="1">J245-'main page'!$K$27*N244</f>
        <v>100</v>
      </c>
      <c r="I245" s="75">
        <f t="shared" ca="1" si="22"/>
        <v>108</v>
      </c>
      <c r="J245" s="75">
        <f t="shared" ca="1" si="23"/>
        <v>108</v>
      </c>
      <c r="M245" s="75">
        <f ca="1">IF(ABS('main page'!$K$29*M244+(1-'main page'!$K$29)*(controls!$B$9/100)*100+'main page'!$K$25*(E245-B245)-M244)&lt;0.0000001,M244,'main page'!$K$29*M244+(1-'main page'!$K$29)*(controls!$B$9/100)*100+'main page'!$K$25*(E245-B245))</f>
        <v>2</v>
      </c>
      <c r="N245" s="75">
        <f ca="1">IF(controls!$B$10=1,N244,O245-'main page'!$K$29*M245-(1-'main page'!$K$29)*controls!$B$9)</f>
        <v>4</v>
      </c>
      <c r="O245" s="74">
        <f t="shared" ca="1" si="18"/>
        <v>6</v>
      </c>
      <c r="P245" s="76">
        <f ca="1">IF(controls!$B$10=1,hystere!N245+hystere!M245,hystere!Q245)</f>
        <v>6</v>
      </c>
      <c r="Q245" s="74">
        <f ca="1">IF('main page'!$Y$53=1,'choose m.p.'!$I$22*100,R245)</f>
        <v>6</v>
      </c>
      <c r="R245" s="100">
        <f ca="1">'main page'!$K$29*M245+(1-'main page'!$K$29)*controls!$B$9+S245+(('main page'!$K$25*'main page'!$U$13*'main page'!$K$29)/('main page'!$K$27*(1+('main page'!$K$25^2)*'main page'!$U$13)))*(M245-(controls!$B$9/100)*100)</f>
        <v>6</v>
      </c>
      <c r="S245" s="98">
        <f ca="1">IF(controls!$B$33=1,(J246-E245*X246-B245)/'main page'!$K$27,(I246-E245*X246-B245)/'main page'!$K$27)</f>
        <v>4</v>
      </c>
      <c r="U245" s="71">
        <f>IF(controls!$B$6=1,$AG$4*(1+('main page'!$K$35/100))^V245-$AG$4*(1+('main page'!$K$35/100))^V244,$AG$4*(1+('main page'!$G$8/100))*(1+('main page'!$K$35/100))^V245-$AG$4*(1+('main page'!$G$8/100))*(1+('main page'!$K$35/100))^V244)</f>
        <v>0</v>
      </c>
      <c r="V245" s="73">
        <v>237</v>
      </c>
      <c r="W245" s="40">
        <f>'normal case'!V244</f>
        <v>0</v>
      </c>
      <c r="X245" s="40">
        <f>'normal case'!W244</f>
        <v>0</v>
      </c>
      <c r="Y245" s="49">
        <f ca="1">IF(controls!$B$33=1,E245-($J$4-'main page'!$K$27*2)*(1+('main page'!$K$35/100))^A244,E245-$AG$5)</f>
        <v>0</v>
      </c>
      <c r="Z245" s="49">
        <f ca="1">ABS(M245-(controls!$B$9/100)*100)</f>
        <v>0</v>
      </c>
      <c r="AI245" s="40"/>
      <c r="AJ245" s="40"/>
    </row>
    <row r="246" spans="1:36">
      <c r="A246" s="48">
        <v>243</v>
      </c>
      <c r="B246" s="75">
        <f ca="1">IF(controls!$B$6=2,AVERAGE(E242:E245)+B245*W246+hystere!$AG$9,AVERAGE(E242:E245)+B245*W246)</f>
        <v>100</v>
      </c>
      <c r="C246" s="80">
        <f t="shared" ca="1" si="19"/>
        <v>0</v>
      </c>
      <c r="D246" s="105">
        <f t="shared" ca="1" si="20"/>
        <v>0</v>
      </c>
      <c r="E246" s="77">
        <f t="shared" ca="1" si="21"/>
        <v>100</v>
      </c>
      <c r="F246" s="77">
        <f ca="1">IF('main page'!$K$34=1,hystere!H246,hystere!G246)</f>
        <v>100</v>
      </c>
      <c r="G246" s="94">
        <f ca="1">I246-'main page'!$K$27*hystere!N245</f>
        <v>100</v>
      </c>
      <c r="H246" s="75">
        <f ca="1">J246-'main page'!$K$27*N245</f>
        <v>100</v>
      </c>
      <c r="I246" s="75">
        <f t="shared" ca="1" si="22"/>
        <v>108</v>
      </c>
      <c r="J246" s="75">
        <f t="shared" ca="1" si="23"/>
        <v>108</v>
      </c>
      <c r="M246" s="75">
        <f ca="1">IF(ABS('main page'!$K$29*M245+(1-'main page'!$K$29)*(controls!$B$9/100)*100+'main page'!$K$25*(E246-B246)-M245)&lt;0.0000001,M245,'main page'!$K$29*M245+(1-'main page'!$K$29)*(controls!$B$9/100)*100+'main page'!$K$25*(E246-B246))</f>
        <v>2</v>
      </c>
      <c r="N246" s="75">
        <f ca="1">IF(controls!$B$10=1,N245,O246-'main page'!$K$29*M246-(1-'main page'!$K$29)*controls!$B$9)</f>
        <v>4</v>
      </c>
      <c r="O246" s="74">
        <f t="shared" ca="1" si="18"/>
        <v>6</v>
      </c>
      <c r="P246" s="76">
        <f ca="1">IF(controls!$B$10=1,hystere!N246+hystere!M246,hystere!Q246)</f>
        <v>6</v>
      </c>
      <c r="Q246" s="74">
        <f ca="1">IF('main page'!$Y$53=1,'choose m.p.'!$I$22*100,R246)</f>
        <v>6</v>
      </c>
      <c r="R246" s="100">
        <f ca="1">'main page'!$K$29*M246+(1-'main page'!$K$29)*controls!$B$9+S246+(('main page'!$K$25*'main page'!$U$13*'main page'!$K$29)/('main page'!$K$27*(1+('main page'!$K$25^2)*'main page'!$U$13)))*(M246-(controls!$B$9/100)*100)</f>
        <v>6</v>
      </c>
      <c r="S246" s="98">
        <f ca="1">IF(controls!$B$33=1,(J247-E246*X247-B246)/'main page'!$K$27,(I247-E246*X247-B246)/'main page'!$K$27)</f>
        <v>4</v>
      </c>
      <c r="U246" s="71">
        <f>IF(controls!$B$6=1,$AG$4*(1+('main page'!$K$35/100))^V246-$AG$4*(1+('main page'!$K$35/100))^V245,$AG$4*(1+('main page'!$G$8/100))*(1+('main page'!$K$35/100))^V246-$AG$4*(1+('main page'!$G$8/100))*(1+('main page'!$K$35/100))^V245)</f>
        <v>0</v>
      </c>
      <c r="V246" s="73">
        <v>238</v>
      </c>
      <c r="W246" s="40">
        <f ca="1">'normal case'!V245</f>
        <v>0</v>
      </c>
      <c r="X246" s="40">
        <f ca="1">'normal case'!W245</f>
        <v>0</v>
      </c>
      <c r="Y246" s="49">
        <f ca="1">IF(controls!$B$33=1,E246-($J$4-'main page'!$K$27*2)*(1+('main page'!$K$35/100))^A245,E246-$AG$5)</f>
        <v>0</v>
      </c>
      <c r="Z246" s="49">
        <f ca="1">ABS(M246-(controls!$B$9/100)*100)</f>
        <v>0</v>
      </c>
      <c r="AI246" s="40"/>
      <c r="AJ246" s="40"/>
    </row>
    <row r="247" spans="1:36">
      <c r="A247" s="48">
        <v>244</v>
      </c>
      <c r="B247" s="75">
        <f ca="1">IF(controls!$B$6=2,AVERAGE(E243:E246)+B246*W247+hystere!$AG$9,AVERAGE(E243:E246)+B246*W247)</f>
        <v>100</v>
      </c>
      <c r="C247" s="80">
        <f t="shared" ca="1" si="19"/>
        <v>0</v>
      </c>
      <c r="D247" s="105">
        <f t="shared" ca="1" si="20"/>
        <v>0</v>
      </c>
      <c r="E247" s="77">
        <f t="shared" ca="1" si="21"/>
        <v>100</v>
      </c>
      <c r="F247" s="77">
        <f ca="1">IF('main page'!$K$34=1,hystere!H247,hystere!G247)</f>
        <v>100</v>
      </c>
      <c r="G247" s="94">
        <f ca="1">I247-'main page'!$K$27*hystere!N246</f>
        <v>100</v>
      </c>
      <c r="H247" s="75">
        <f ca="1">J247-'main page'!$K$27*N246</f>
        <v>100</v>
      </c>
      <c r="I247" s="75">
        <f t="shared" ca="1" si="22"/>
        <v>108</v>
      </c>
      <c r="J247" s="75">
        <f t="shared" ca="1" si="23"/>
        <v>108</v>
      </c>
      <c r="M247" s="75">
        <f ca="1">IF(ABS('main page'!$K$29*M246+(1-'main page'!$K$29)*(controls!$B$9/100)*100+'main page'!$K$25*(E247-B247)-M246)&lt;0.0000001,M246,'main page'!$K$29*M246+(1-'main page'!$K$29)*(controls!$B$9/100)*100+'main page'!$K$25*(E247-B247))</f>
        <v>2</v>
      </c>
      <c r="N247" s="75">
        <f ca="1">IF(controls!$B$10=1,N246,O247-'main page'!$K$29*M247-(1-'main page'!$K$29)*controls!$B$9)</f>
        <v>4</v>
      </c>
      <c r="O247" s="74">
        <f t="shared" ca="1" si="18"/>
        <v>6</v>
      </c>
      <c r="P247" s="76">
        <f ca="1">IF(controls!$B$10=1,hystere!N247+hystere!M247,hystere!Q247)</f>
        <v>6</v>
      </c>
      <c r="Q247" s="74">
        <f ca="1">IF('main page'!$Y$53=1,'choose m.p.'!$I$22*100,R247)</f>
        <v>6</v>
      </c>
      <c r="R247" s="100">
        <f ca="1">'main page'!$K$29*M247+(1-'main page'!$K$29)*controls!$B$9+S247+(('main page'!$K$25*'main page'!$U$13*'main page'!$K$29)/('main page'!$K$27*(1+('main page'!$K$25^2)*'main page'!$U$13)))*(M247-(controls!$B$9/100)*100)</f>
        <v>6</v>
      </c>
      <c r="S247" s="98">
        <f ca="1">IF(controls!$B$33=1,(J248-E247*X248-B247)/'main page'!$K$27,(I248-E247*X248-B247)/'main page'!$K$27)</f>
        <v>4</v>
      </c>
      <c r="U247" s="71">
        <f>IF(controls!$B$6=1,$AG$4*(1+('main page'!$K$35/100))^V247-$AG$4*(1+('main page'!$K$35/100))^V246,$AG$4*(1+('main page'!$G$8/100))*(1+('main page'!$K$35/100))^V247-$AG$4*(1+('main page'!$G$8/100))*(1+('main page'!$K$35/100))^V246)</f>
        <v>0</v>
      </c>
      <c r="V247" s="73">
        <v>239</v>
      </c>
      <c r="W247" s="40">
        <f>'normal case'!V246</f>
        <v>0</v>
      </c>
      <c r="X247" s="40">
        <f>'normal case'!W246</f>
        <v>0</v>
      </c>
      <c r="Y247" s="49">
        <f ca="1">IF(controls!$B$33=1,E247-($J$4-'main page'!$K$27*2)*(1+('main page'!$K$35/100))^A246,E247-$AG$5)</f>
        <v>0</v>
      </c>
      <c r="Z247" s="49">
        <f ca="1">ABS(M247-(controls!$B$9/100)*100)</f>
        <v>0</v>
      </c>
      <c r="AI247" s="40"/>
      <c r="AJ247" s="40"/>
    </row>
    <row r="248" spans="1:36">
      <c r="A248" s="48">
        <v>245</v>
      </c>
      <c r="B248" s="75">
        <f ca="1">IF(controls!$B$6=2,AVERAGE(E244:E247)+B247*W248+hystere!$AG$9,AVERAGE(E244:E247)+B247*W248)</f>
        <v>100</v>
      </c>
      <c r="C248" s="80">
        <f t="shared" ca="1" si="19"/>
        <v>0</v>
      </c>
      <c r="D248" s="105">
        <f t="shared" ca="1" si="20"/>
        <v>0</v>
      </c>
      <c r="E248" s="77">
        <f t="shared" ca="1" si="21"/>
        <v>100</v>
      </c>
      <c r="F248" s="77">
        <f ca="1">IF('main page'!$K$34=1,hystere!H248,hystere!G248)</f>
        <v>100</v>
      </c>
      <c r="G248" s="94">
        <f ca="1">I248-'main page'!$K$27*hystere!N247</f>
        <v>100</v>
      </c>
      <c r="H248" s="75">
        <f ca="1">J248-'main page'!$K$27*N247</f>
        <v>100</v>
      </c>
      <c r="I248" s="75">
        <f t="shared" ca="1" si="22"/>
        <v>108</v>
      </c>
      <c r="J248" s="75">
        <f t="shared" ca="1" si="23"/>
        <v>108</v>
      </c>
      <c r="M248" s="75">
        <f ca="1">IF(ABS('main page'!$K$29*M247+(1-'main page'!$K$29)*(controls!$B$9/100)*100+'main page'!$K$25*(E248-B248)-M247)&lt;0.0000001,M247,'main page'!$K$29*M247+(1-'main page'!$K$29)*(controls!$B$9/100)*100+'main page'!$K$25*(E248-B248))</f>
        <v>2</v>
      </c>
      <c r="N248" s="75">
        <f ca="1">IF(controls!$B$10=1,N247,O248-'main page'!$K$29*M248-(1-'main page'!$K$29)*controls!$B$9)</f>
        <v>4</v>
      </c>
      <c r="O248" s="74">
        <f t="shared" ca="1" si="18"/>
        <v>6</v>
      </c>
      <c r="P248" s="76">
        <f ca="1">IF(controls!$B$10=1,hystere!N248+hystere!M248,hystere!Q248)</f>
        <v>6</v>
      </c>
      <c r="Q248" s="74">
        <f ca="1">IF('main page'!$Y$53=1,'choose m.p.'!$I$22*100,R248)</f>
        <v>6</v>
      </c>
      <c r="R248" s="100">
        <f ca="1">'main page'!$K$29*M248+(1-'main page'!$K$29)*controls!$B$9+S248+(('main page'!$K$25*'main page'!$U$13*'main page'!$K$29)/('main page'!$K$27*(1+('main page'!$K$25^2)*'main page'!$U$13)))*(M248-(controls!$B$9/100)*100)</f>
        <v>6</v>
      </c>
      <c r="S248" s="98">
        <f ca="1">IF(controls!$B$33=1,(J249-E248*X249-B248)/'main page'!$K$27,(I249-E248*X249-B248)/'main page'!$K$27)</f>
        <v>4</v>
      </c>
      <c r="U248" s="71">
        <f>IF(controls!$B$6=1,$AG$4*(1+('main page'!$K$35/100))^V248-$AG$4*(1+('main page'!$K$35/100))^V247,$AG$4*(1+('main page'!$G$8/100))*(1+('main page'!$K$35/100))^V248-$AG$4*(1+('main page'!$G$8/100))*(1+('main page'!$K$35/100))^V247)</f>
        <v>0</v>
      </c>
      <c r="V248" s="73">
        <v>240</v>
      </c>
      <c r="W248" s="40">
        <f>'normal case'!V247</f>
        <v>0</v>
      </c>
      <c r="X248" s="40">
        <f>'normal case'!W247</f>
        <v>0</v>
      </c>
      <c r="Y248" s="49">
        <f ca="1">IF(controls!$B$33=1,E248-($J$4-'main page'!$K$27*2)*(1+('main page'!$K$35/100))^A247,E248-$AG$5)</f>
        <v>0</v>
      </c>
      <c r="Z248" s="49">
        <f ca="1">ABS(M248-(controls!$B$9/100)*100)</f>
        <v>0</v>
      </c>
      <c r="AI248" s="40"/>
      <c r="AJ248" s="40"/>
    </row>
    <row r="249" spans="1:36">
      <c r="A249" s="48">
        <v>246</v>
      </c>
      <c r="B249" s="75">
        <f ca="1">IF(controls!$B$6=2,AVERAGE(E245:E248)+B248*W249+hystere!$AG$9,AVERAGE(E245:E248)+B248*W249)</f>
        <v>100</v>
      </c>
      <c r="C249" s="80">
        <f t="shared" ca="1" si="19"/>
        <v>0</v>
      </c>
      <c r="D249" s="105">
        <f t="shared" ca="1" si="20"/>
        <v>0</v>
      </c>
      <c r="E249" s="77">
        <f t="shared" ca="1" si="21"/>
        <v>100</v>
      </c>
      <c r="F249" s="77">
        <f ca="1">IF('main page'!$K$34=1,hystere!H249,hystere!G249)</f>
        <v>100</v>
      </c>
      <c r="G249" s="94">
        <f ca="1">I249-'main page'!$K$27*hystere!N248</f>
        <v>100</v>
      </c>
      <c r="H249" s="75">
        <f ca="1">J249-'main page'!$K$27*N248</f>
        <v>100</v>
      </c>
      <c r="I249" s="75">
        <f t="shared" ca="1" si="22"/>
        <v>108</v>
      </c>
      <c r="J249" s="75">
        <f t="shared" ca="1" si="23"/>
        <v>108</v>
      </c>
      <c r="M249" s="75">
        <f ca="1">IF(ABS('main page'!$K$29*M248+(1-'main page'!$K$29)*(controls!$B$9/100)*100+'main page'!$K$25*(E249-B249)-M248)&lt;0.0000001,M248,'main page'!$K$29*M248+(1-'main page'!$K$29)*(controls!$B$9/100)*100+'main page'!$K$25*(E249-B249))</f>
        <v>2</v>
      </c>
      <c r="N249" s="75">
        <f ca="1">IF(controls!$B$10=1,N248,O249-'main page'!$K$29*M249-(1-'main page'!$K$29)*controls!$B$9)</f>
        <v>4</v>
      </c>
      <c r="O249" s="74">
        <f t="shared" ca="1" si="18"/>
        <v>6</v>
      </c>
      <c r="P249" s="76">
        <f ca="1">IF(controls!$B$10=1,hystere!N249+hystere!M249,hystere!Q249)</f>
        <v>6</v>
      </c>
      <c r="Q249" s="74">
        <f ca="1">IF('main page'!$Y$53=1,'choose m.p.'!$I$22*100,R249)</f>
        <v>6</v>
      </c>
      <c r="R249" s="100">
        <f ca="1">'main page'!$K$29*M249+(1-'main page'!$K$29)*controls!$B$9+S249+(('main page'!$K$25*'main page'!$U$13*'main page'!$K$29)/('main page'!$K$27*(1+('main page'!$K$25^2)*'main page'!$U$13)))*(M249-(controls!$B$9/100)*100)</f>
        <v>6</v>
      </c>
      <c r="S249" s="98">
        <f ca="1">IF(controls!$B$33=1,(J250-E249*X250-B249)/'main page'!$K$27,(I250-E249*X250-B249)/'main page'!$K$27)</f>
        <v>4</v>
      </c>
      <c r="U249" s="71">
        <f>IF(controls!$B$6=1,$AG$4*(1+('main page'!$K$35/100))^V249-$AG$4*(1+('main page'!$K$35/100))^V248,$AG$4*(1+('main page'!$G$8/100))*(1+('main page'!$K$35/100))^V249-$AG$4*(1+('main page'!$G$8/100))*(1+('main page'!$K$35/100))^V248)</f>
        <v>0</v>
      </c>
      <c r="V249" s="73">
        <v>241</v>
      </c>
      <c r="W249" s="40">
        <f ca="1">'normal case'!V248</f>
        <v>0</v>
      </c>
      <c r="X249" s="40">
        <f ca="1">'normal case'!W248</f>
        <v>0</v>
      </c>
      <c r="Y249" s="49">
        <f ca="1">IF(controls!$B$33=1,E249-($J$4-'main page'!$K$27*2)*(1+('main page'!$K$35/100))^A248,E249-$AG$5)</f>
        <v>0</v>
      </c>
      <c r="Z249" s="49">
        <f ca="1">ABS(M249-(controls!$B$9/100)*100)</f>
        <v>0</v>
      </c>
      <c r="AI249" s="40"/>
      <c r="AJ249" s="40"/>
    </row>
    <row r="250" spans="1:36">
      <c r="A250" s="48">
        <v>247</v>
      </c>
      <c r="B250" s="75">
        <f ca="1">IF(controls!$B$6=2,AVERAGE(E246:E249)+B249*W250+hystere!$AG$9,AVERAGE(E246:E249)+B249*W250)</f>
        <v>100</v>
      </c>
      <c r="C250" s="80">
        <f t="shared" ca="1" si="19"/>
        <v>0</v>
      </c>
      <c r="D250" s="105">
        <f t="shared" ca="1" si="20"/>
        <v>0</v>
      </c>
      <c r="E250" s="77">
        <f t="shared" ca="1" si="21"/>
        <v>100</v>
      </c>
      <c r="F250" s="77">
        <f ca="1">IF('main page'!$K$34=1,hystere!H250,hystere!G250)</f>
        <v>100</v>
      </c>
      <c r="G250" s="94">
        <f ca="1">I250-'main page'!$K$27*hystere!N249</f>
        <v>100</v>
      </c>
      <c r="H250" s="75">
        <f ca="1">J250-'main page'!$K$27*N249</f>
        <v>100</v>
      </c>
      <c r="I250" s="75">
        <f t="shared" ca="1" si="22"/>
        <v>108</v>
      </c>
      <c r="J250" s="75">
        <f t="shared" ca="1" si="23"/>
        <v>108</v>
      </c>
      <c r="M250" s="75">
        <f ca="1">IF(ABS('main page'!$K$29*M249+(1-'main page'!$K$29)*(controls!$B$9/100)*100+'main page'!$K$25*(E250-B250)-M249)&lt;0.0000001,M249,'main page'!$K$29*M249+(1-'main page'!$K$29)*(controls!$B$9/100)*100+'main page'!$K$25*(E250-B250))</f>
        <v>2</v>
      </c>
      <c r="N250" s="75">
        <f ca="1">IF(controls!$B$10=1,N249,O250-'main page'!$K$29*M250-(1-'main page'!$K$29)*controls!$B$9)</f>
        <v>4</v>
      </c>
      <c r="O250" s="74">
        <f t="shared" ca="1" si="18"/>
        <v>6</v>
      </c>
      <c r="P250" s="76">
        <f ca="1">IF(controls!$B$10=1,hystere!N250+hystere!M250,hystere!Q250)</f>
        <v>6</v>
      </c>
      <c r="Q250" s="74">
        <f ca="1">IF('main page'!$Y$53=1,'choose m.p.'!$I$22*100,R250)</f>
        <v>6</v>
      </c>
      <c r="R250" s="100">
        <f ca="1">'main page'!$K$29*M250+(1-'main page'!$K$29)*controls!$B$9+S250+(('main page'!$K$25*'main page'!$U$13*'main page'!$K$29)/('main page'!$K$27*(1+('main page'!$K$25^2)*'main page'!$U$13)))*(M250-(controls!$B$9/100)*100)</f>
        <v>6</v>
      </c>
      <c r="S250" s="98">
        <f ca="1">IF(controls!$B$33=1,(J251-E250*X251-B250)/'main page'!$K$27,(I251-E250*X251-B250)/'main page'!$K$27)</f>
        <v>4</v>
      </c>
      <c r="U250" s="71">
        <f>IF(controls!$B$6=1,$AG$4*(1+('main page'!$K$35/100))^V250-$AG$4*(1+('main page'!$K$35/100))^V249,$AG$4*(1+('main page'!$G$8/100))*(1+('main page'!$K$35/100))^V250-$AG$4*(1+('main page'!$G$8/100))*(1+('main page'!$K$35/100))^V249)</f>
        <v>0</v>
      </c>
      <c r="V250" s="73">
        <v>242</v>
      </c>
      <c r="W250" s="40">
        <f>'normal case'!V249</f>
        <v>0</v>
      </c>
      <c r="X250" s="40">
        <f>'normal case'!W249</f>
        <v>0</v>
      </c>
      <c r="Y250" s="49">
        <f ca="1">IF(controls!$B$33=1,E250-($J$4-'main page'!$K$27*2)*(1+('main page'!$K$35/100))^A249,E250-$AG$5)</f>
        <v>0</v>
      </c>
      <c r="Z250" s="49">
        <f ca="1">ABS(M250-(controls!$B$9/100)*100)</f>
        <v>0</v>
      </c>
      <c r="AI250" s="40"/>
      <c r="AJ250" s="40"/>
    </row>
    <row r="251" spans="1:36">
      <c r="A251" s="48">
        <v>248</v>
      </c>
      <c r="B251" s="75">
        <f ca="1">IF(controls!$B$6=2,AVERAGE(E247:E250)+B250*W251+hystere!$AG$9,AVERAGE(E247:E250)+B250*W251)</f>
        <v>100</v>
      </c>
      <c r="C251" s="80">
        <f t="shared" ca="1" si="19"/>
        <v>0</v>
      </c>
      <c r="D251" s="105">
        <f t="shared" ca="1" si="20"/>
        <v>0</v>
      </c>
      <c r="E251" s="77">
        <f t="shared" ca="1" si="21"/>
        <v>100</v>
      </c>
      <c r="F251" s="77">
        <f ca="1">IF('main page'!$K$34=1,hystere!H251,hystere!G251)</f>
        <v>100</v>
      </c>
      <c r="G251" s="94">
        <f ca="1">I251-'main page'!$K$27*hystere!N250</f>
        <v>100</v>
      </c>
      <c r="H251" s="75">
        <f ca="1">J251-'main page'!$K$27*N250</f>
        <v>100</v>
      </c>
      <c r="I251" s="75">
        <f t="shared" ca="1" si="22"/>
        <v>108</v>
      </c>
      <c r="J251" s="75">
        <f t="shared" ca="1" si="23"/>
        <v>108</v>
      </c>
      <c r="M251" s="75">
        <f ca="1">IF(ABS('main page'!$K$29*M250+(1-'main page'!$K$29)*(controls!$B$9/100)*100+'main page'!$K$25*(E251-B251)-M250)&lt;0.0000001,M250,'main page'!$K$29*M250+(1-'main page'!$K$29)*(controls!$B$9/100)*100+'main page'!$K$25*(E251-B251))</f>
        <v>2</v>
      </c>
      <c r="N251" s="75">
        <f ca="1">IF(controls!$B$10=1,N250,O251-'main page'!$K$29*M251-(1-'main page'!$K$29)*controls!$B$9)</f>
        <v>4</v>
      </c>
      <c r="O251" s="74">
        <f t="shared" ca="1" si="18"/>
        <v>6</v>
      </c>
      <c r="P251" s="76">
        <f ca="1">IF(controls!$B$10=1,hystere!N251+hystere!M251,hystere!Q251)</f>
        <v>6</v>
      </c>
      <c r="Q251" s="74">
        <f ca="1">IF('main page'!$Y$53=1,'choose m.p.'!$I$22*100,R251)</f>
        <v>6</v>
      </c>
      <c r="R251" s="100">
        <f ca="1">'main page'!$K$29*M251+(1-'main page'!$K$29)*controls!$B$9+S251+(('main page'!$K$25*'main page'!$U$13*'main page'!$K$29)/('main page'!$K$27*(1+('main page'!$K$25^2)*'main page'!$U$13)))*(M251-(controls!$B$9/100)*100)</f>
        <v>6</v>
      </c>
      <c r="S251" s="98">
        <f ca="1">IF(controls!$B$33=1,(J252-E251*X252-B251)/'main page'!$K$27,(I252-E251*X252-B251)/'main page'!$K$27)</f>
        <v>4</v>
      </c>
      <c r="U251" s="71">
        <f>IF(controls!$B$6=1,$AG$4*(1+('main page'!$K$35/100))^V251-$AG$4*(1+('main page'!$K$35/100))^V250,$AG$4*(1+('main page'!$G$8/100))*(1+('main page'!$K$35/100))^V251-$AG$4*(1+('main page'!$G$8/100))*(1+('main page'!$K$35/100))^V250)</f>
        <v>0</v>
      </c>
      <c r="V251" s="73">
        <v>243</v>
      </c>
      <c r="W251" s="40">
        <f>'normal case'!V250</f>
        <v>0</v>
      </c>
      <c r="X251" s="40">
        <f>'normal case'!W250</f>
        <v>0</v>
      </c>
      <c r="Y251" s="49">
        <f ca="1">IF(controls!$B$33=1,E251-($J$4-'main page'!$K$27*2)*(1+('main page'!$K$35/100))^A250,E251-$AG$5)</f>
        <v>0</v>
      </c>
      <c r="Z251" s="49">
        <f ca="1">ABS(M251-(controls!$B$9/100)*100)</f>
        <v>0</v>
      </c>
      <c r="AI251" s="40"/>
      <c r="AJ251" s="40"/>
    </row>
    <row r="252" spans="1:36">
      <c r="A252" s="48">
        <v>249</v>
      </c>
      <c r="B252" s="75">
        <f ca="1">IF(controls!$B$6=2,AVERAGE(E248:E251)+B251*W252+hystere!$AG$9,AVERAGE(E248:E251)+B251*W252)</f>
        <v>100</v>
      </c>
      <c r="C252" s="80">
        <f t="shared" ca="1" si="19"/>
        <v>0</v>
      </c>
      <c r="D252" s="105">
        <f t="shared" ca="1" si="20"/>
        <v>0</v>
      </c>
      <c r="E252" s="77">
        <f t="shared" ca="1" si="21"/>
        <v>100</v>
      </c>
      <c r="F252" s="77">
        <f ca="1">IF('main page'!$K$34=1,hystere!H252,hystere!G252)</f>
        <v>100</v>
      </c>
      <c r="G252" s="94">
        <f ca="1">I252-'main page'!$K$27*hystere!N251</f>
        <v>100</v>
      </c>
      <c r="H252" s="75">
        <f ca="1">J252-'main page'!$K$27*N251</f>
        <v>100</v>
      </c>
      <c r="I252" s="75">
        <f t="shared" ca="1" si="22"/>
        <v>108</v>
      </c>
      <c r="J252" s="75">
        <f t="shared" ca="1" si="23"/>
        <v>108</v>
      </c>
      <c r="M252" s="75">
        <f ca="1">IF(ABS('main page'!$K$29*M251+(1-'main page'!$K$29)*(controls!$B$9/100)*100+'main page'!$K$25*(E252-B252)-M251)&lt;0.0000001,M251,'main page'!$K$29*M251+(1-'main page'!$K$29)*(controls!$B$9/100)*100+'main page'!$K$25*(E252-B252))</f>
        <v>2</v>
      </c>
      <c r="N252" s="75">
        <f ca="1">IF(controls!$B$10=1,N251,O252-'main page'!$K$29*M252-(1-'main page'!$K$29)*controls!$B$9)</f>
        <v>4</v>
      </c>
      <c r="O252" s="74">
        <f t="shared" ca="1" si="18"/>
        <v>6</v>
      </c>
      <c r="P252" s="76">
        <f ca="1">IF(controls!$B$10=1,hystere!N252+hystere!M252,hystere!Q252)</f>
        <v>6</v>
      </c>
      <c r="Q252" s="74">
        <f ca="1">IF('main page'!$Y$53=1,'choose m.p.'!$I$22*100,R252)</f>
        <v>6</v>
      </c>
      <c r="R252" s="100">
        <f ca="1">'main page'!$K$29*M252+(1-'main page'!$K$29)*controls!$B$9+S252+(('main page'!$K$25*'main page'!$U$13*'main page'!$K$29)/('main page'!$K$27*(1+('main page'!$K$25^2)*'main page'!$U$13)))*(M252-(controls!$B$9/100)*100)</f>
        <v>6</v>
      </c>
      <c r="S252" s="98">
        <f ca="1">IF(controls!$B$33=1,(J253-E252*X253-B252)/'main page'!$K$27,(I253-E252*X253-B252)/'main page'!$K$27)</f>
        <v>4</v>
      </c>
      <c r="U252" s="71">
        <f>IF(controls!$B$6=1,$AG$4*(1+('main page'!$K$35/100))^V252-$AG$4*(1+('main page'!$K$35/100))^V251,$AG$4*(1+('main page'!$G$8/100))*(1+('main page'!$K$35/100))^V252-$AG$4*(1+('main page'!$G$8/100))*(1+('main page'!$K$35/100))^V251)</f>
        <v>0</v>
      </c>
      <c r="V252" s="73">
        <v>244</v>
      </c>
      <c r="W252" s="40">
        <f ca="1">'normal case'!V251</f>
        <v>0</v>
      </c>
      <c r="X252" s="40">
        <f ca="1">'normal case'!W251</f>
        <v>0</v>
      </c>
      <c r="Y252" s="49">
        <f ca="1">IF(controls!$B$33=1,E252-($J$4-'main page'!$K$27*2)*(1+('main page'!$K$35/100))^A251,E252-$AG$5)</f>
        <v>0</v>
      </c>
      <c r="Z252" s="49">
        <f ca="1">ABS(M252-(controls!$B$9/100)*100)</f>
        <v>0</v>
      </c>
      <c r="AI252" s="40"/>
      <c r="AJ252" s="40"/>
    </row>
    <row r="253" spans="1:36">
      <c r="A253" s="48">
        <v>250</v>
      </c>
      <c r="B253" s="75">
        <f ca="1">IF(controls!$B$6=2,AVERAGE(E249:E252)+B252*W253+hystere!$AG$9,AVERAGE(E249:E252)+B252*W253)</f>
        <v>100</v>
      </c>
      <c r="C253" s="80">
        <f t="shared" ca="1" si="19"/>
        <v>0</v>
      </c>
      <c r="D253" s="105">
        <f t="shared" ca="1" si="20"/>
        <v>0</v>
      </c>
      <c r="E253" s="77">
        <f t="shared" ca="1" si="21"/>
        <v>100</v>
      </c>
      <c r="F253" s="77">
        <f ca="1">IF('main page'!$K$34=1,hystere!H253,hystere!G253)</f>
        <v>100</v>
      </c>
      <c r="G253" s="94">
        <f ca="1">I253-'main page'!$K$27*hystere!N252</f>
        <v>100</v>
      </c>
      <c r="H253" s="75">
        <f ca="1">J253-'main page'!$K$27*N252</f>
        <v>100</v>
      </c>
      <c r="I253" s="75">
        <f t="shared" ca="1" si="22"/>
        <v>108</v>
      </c>
      <c r="J253" s="75">
        <f t="shared" ca="1" si="23"/>
        <v>108</v>
      </c>
      <c r="M253" s="75">
        <f ca="1">IF(ABS('main page'!$K$29*M252+(1-'main page'!$K$29)*(controls!$B$9/100)*100+'main page'!$K$25*(E253-B253)-M252)&lt;0.0000001,M252,'main page'!$K$29*M252+(1-'main page'!$K$29)*(controls!$B$9/100)*100+'main page'!$K$25*(E253-B253))</f>
        <v>2</v>
      </c>
      <c r="N253" s="75">
        <f ca="1">IF(controls!$B$10=1,N252,O253-'main page'!$K$29*M253-(1-'main page'!$K$29)*controls!$B$9)</f>
        <v>4</v>
      </c>
      <c r="O253" s="74">
        <f t="shared" ca="1" si="18"/>
        <v>6</v>
      </c>
      <c r="P253" s="76">
        <f ca="1">IF(controls!$B$10=1,hystere!N253+hystere!M253,hystere!Q253)</f>
        <v>6</v>
      </c>
      <c r="Q253" s="74">
        <f ca="1">IF('main page'!$Y$53=1,'choose m.p.'!$I$22*100,R253)</f>
        <v>6</v>
      </c>
      <c r="R253" s="100">
        <f ca="1">'main page'!$K$29*M253+(1-'main page'!$K$29)*controls!$B$9+S253+(('main page'!$K$25*'main page'!$U$13*'main page'!$K$29)/('main page'!$K$27*(1+('main page'!$K$25^2)*'main page'!$U$13)))*(M253-(controls!$B$9/100)*100)</f>
        <v>6</v>
      </c>
      <c r="S253" s="98">
        <f ca="1">IF(controls!$B$33=1,(J254-E253*X254-B253)/'main page'!$K$27,(I254-E253*X254-B253)/'main page'!$K$27)</f>
        <v>4</v>
      </c>
      <c r="U253" s="71">
        <f>IF(controls!$B$6=1,$AG$4*(1+('main page'!$K$35/100))^V253-$AG$4*(1+('main page'!$K$35/100))^V252,$AG$4*(1+('main page'!$G$8/100))*(1+('main page'!$K$35/100))^V253-$AG$4*(1+('main page'!$G$8/100))*(1+('main page'!$K$35/100))^V252)</f>
        <v>0</v>
      </c>
      <c r="V253" s="73">
        <v>245</v>
      </c>
      <c r="W253" s="40">
        <f>'normal case'!V252</f>
        <v>0</v>
      </c>
      <c r="X253" s="40">
        <f>'normal case'!W252</f>
        <v>0</v>
      </c>
      <c r="Y253" s="49">
        <f ca="1">IF(controls!$B$33=1,E253-($J$4-'main page'!$K$27*2)*(1+('main page'!$K$35/100))^A252,E253-$AG$5)</f>
        <v>0</v>
      </c>
      <c r="Z253" s="49">
        <f ca="1">ABS(M253-(controls!$B$9/100)*100)</f>
        <v>0</v>
      </c>
      <c r="AI253" s="40"/>
      <c r="AJ253" s="40"/>
    </row>
    <row r="254" spans="1:36">
      <c r="A254" s="48">
        <v>251</v>
      </c>
      <c r="B254" s="75">
        <f ca="1">IF(controls!$B$6=2,AVERAGE(E250:E253)+B253*W254+hystere!$AG$9,AVERAGE(E250:E253)+B253*W254)</f>
        <v>100</v>
      </c>
      <c r="C254" s="80">
        <f t="shared" ca="1" si="19"/>
        <v>0</v>
      </c>
      <c r="D254" s="105">
        <f t="shared" ca="1" si="20"/>
        <v>0</v>
      </c>
      <c r="E254" s="77">
        <f t="shared" ca="1" si="21"/>
        <v>100</v>
      </c>
      <c r="F254" s="77">
        <f ca="1">IF('main page'!$K$34=1,hystere!H254,hystere!G254)</f>
        <v>100</v>
      </c>
      <c r="G254" s="94">
        <f ca="1">I254-'main page'!$K$27*hystere!N253</f>
        <v>100</v>
      </c>
      <c r="H254" s="75">
        <f ca="1">J254-'main page'!$K$27*N253</f>
        <v>100</v>
      </c>
      <c r="I254" s="75">
        <f t="shared" ca="1" si="22"/>
        <v>108</v>
      </c>
      <c r="J254" s="75">
        <f t="shared" ca="1" si="23"/>
        <v>108</v>
      </c>
      <c r="M254" s="75">
        <f ca="1">IF(ABS('main page'!$K$29*M253+(1-'main page'!$K$29)*(controls!$B$9/100)*100+'main page'!$K$25*(E254-B254)-M253)&lt;0.0000001,M253,'main page'!$K$29*M253+(1-'main page'!$K$29)*(controls!$B$9/100)*100+'main page'!$K$25*(E254-B254))</f>
        <v>2</v>
      </c>
      <c r="N254" s="75">
        <f ca="1">IF(controls!$B$10=1,N253,O254-'main page'!$K$29*M254-(1-'main page'!$K$29)*controls!$B$9)</f>
        <v>4</v>
      </c>
      <c r="O254" s="74">
        <f t="shared" ca="1" si="18"/>
        <v>6</v>
      </c>
      <c r="P254" s="76">
        <f ca="1">IF(controls!$B$10=1,hystere!N254+hystere!M254,hystere!Q254)</f>
        <v>6</v>
      </c>
      <c r="Q254" s="74">
        <f ca="1">IF('main page'!$Y$53=1,'choose m.p.'!$I$22*100,R254)</f>
        <v>6</v>
      </c>
      <c r="R254" s="100">
        <f ca="1">'main page'!$K$29*M254+(1-'main page'!$K$29)*controls!$B$9+S254+(('main page'!$K$25*'main page'!$U$13*'main page'!$K$29)/('main page'!$K$27*(1+('main page'!$K$25^2)*'main page'!$U$13)))*(M254-(controls!$B$9/100)*100)</f>
        <v>6</v>
      </c>
      <c r="S254" s="98">
        <f ca="1">IF(controls!$B$33=1,(J255-E254*X255-B254)/'main page'!$K$27,(I255-E254*X255-B254)/'main page'!$K$27)</f>
        <v>4</v>
      </c>
      <c r="U254" s="71">
        <f>IF(controls!$B$6=1,$AG$4*(1+('main page'!$K$35/100))^V254-$AG$4*(1+('main page'!$K$35/100))^V253,$AG$4*(1+('main page'!$G$8/100))*(1+('main page'!$K$35/100))^V254-$AG$4*(1+('main page'!$G$8/100))*(1+('main page'!$K$35/100))^V253)</f>
        <v>0</v>
      </c>
      <c r="V254" s="73">
        <v>246</v>
      </c>
      <c r="W254" s="40">
        <f>'normal case'!V253</f>
        <v>0</v>
      </c>
      <c r="X254" s="40">
        <f>'normal case'!W253</f>
        <v>0</v>
      </c>
      <c r="Y254" s="49">
        <f ca="1">IF(controls!$B$33=1,E254-($J$4-'main page'!$K$27*2)*(1+('main page'!$K$35/100))^A253,E254-$AG$5)</f>
        <v>0</v>
      </c>
      <c r="Z254" s="49">
        <f ca="1">ABS(M254-(controls!$B$9/100)*100)</f>
        <v>0</v>
      </c>
      <c r="AI254" s="40"/>
      <c r="AJ254" s="40"/>
    </row>
    <row r="255" spans="1:36">
      <c r="A255" s="48">
        <v>252</v>
      </c>
      <c r="B255" s="75">
        <f ca="1">IF(controls!$B$6=2,AVERAGE(E251:E254)+B254*W255+hystere!$AG$9,AVERAGE(E251:E254)+B254*W255)</f>
        <v>100</v>
      </c>
      <c r="C255" s="80">
        <f t="shared" ca="1" si="19"/>
        <v>0</v>
      </c>
      <c r="D255" s="105">
        <f t="shared" ca="1" si="20"/>
        <v>0</v>
      </c>
      <c r="E255" s="77">
        <f t="shared" ca="1" si="21"/>
        <v>100</v>
      </c>
      <c r="F255" s="77">
        <f ca="1">IF('main page'!$K$34=1,hystere!H255,hystere!G255)</f>
        <v>100</v>
      </c>
      <c r="G255" s="94">
        <f ca="1">I255-'main page'!$K$27*hystere!N254</f>
        <v>100</v>
      </c>
      <c r="H255" s="75">
        <f ca="1">J255-'main page'!$K$27*N254</f>
        <v>100</v>
      </c>
      <c r="I255" s="75">
        <f t="shared" ca="1" si="22"/>
        <v>108</v>
      </c>
      <c r="J255" s="75">
        <f t="shared" ca="1" si="23"/>
        <v>108</v>
      </c>
      <c r="M255" s="75">
        <f ca="1">IF(ABS('main page'!$K$29*M254+(1-'main page'!$K$29)*(controls!$B$9/100)*100+'main page'!$K$25*(E255-B255)-M254)&lt;0.0000001,M254,'main page'!$K$29*M254+(1-'main page'!$K$29)*(controls!$B$9/100)*100+'main page'!$K$25*(E255-B255))</f>
        <v>2</v>
      </c>
      <c r="N255" s="75">
        <f ca="1">IF(controls!$B$10=1,N254,O255-'main page'!$K$29*M255-(1-'main page'!$K$29)*controls!$B$9)</f>
        <v>4</v>
      </c>
      <c r="O255" s="74">
        <f t="shared" ca="1" si="18"/>
        <v>6</v>
      </c>
      <c r="P255" s="76">
        <f ca="1">IF(controls!$B$10=1,hystere!N255+hystere!M255,hystere!Q255)</f>
        <v>6</v>
      </c>
      <c r="Q255" s="74">
        <f ca="1">IF('main page'!$Y$53=1,'choose m.p.'!$I$22*100,R255)</f>
        <v>6</v>
      </c>
      <c r="R255" s="100">
        <f ca="1">'main page'!$K$29*M255+(1-'main page'!$K$29)*controls!$B$9+S255+(('main page'!$K$25*'main page'!$U$13*'main page'!$K$29)/('main page'!$K$27*(1+('main page'!$K$25^2)*'main page'!$U$13)))*(M255-(controls!$B$9/100)*100)</f>
        <v>6</v>
      </c>
      <c r="S255" s="98">
        <f ca="1">IF(controls!$B$33=1,(J256-E255*X256-B255)/'main page'!$K$27,(I256-E255*X256-B255)/'main page'!$K$27)</f>
        <v>4</v>
      </c>
      <c r="U255" s="71">
        <f>IF(controls!$B$6=1,$AG$4*(1+('main page'!$K$35/100))^V255-$AG$4*(1+('main page'!$K$35/100))^V254,$AG$4*(1+('main page'!$G$8/100))*(1+('main page'!$K$35/100))^V255-$AG$4*(1+('main page'!$G$8/100))*(1+('main page'!$K$35/100))^V254)</f>
        <v>0</v>
      </c>
      <c r="V255" s="73">
        <v>247</v>
      </c>
      <c r="W255" s="40">
        <f ca="1">'normal case'!V254</f>
        <v>0</v>
      </c>
      <c r="X255" s="40">
        <f ca="1">'normal case'!W254</f>
        <v>0</v>
      </c>
      <c r="Y255" s="49">
        <f ca="1">IF(controls!$B$33=1,E255-($J$4-'main page'!$K$27*2)*(1+('main page'!$K$35/100))^A254,E255-$AG$5)</f>
        <v>0</v>
      </c>
      <c r="Z255" s="49">
        <f ca="1">ABS(M255-(controls!$B$9/100)*100)</f>
        <v>0</v>
      </c>
      <c r="AI255" s="40"/>
      <c r="AJ255" s="40"/>
    </row>
    <row r="256" spans="1:36">
      <c r="A256" s="48">
        <v>253</v>
      </c>
      <c r="B256" s="75">
        <f ca="1">IF(controls!$B$6=2,AVERAGE(E252:E255)+B255*W256+hystere!$AG$9,AVERAGE(E252:E255)+B255*W256)</f>
        <v>100</v>
      </c>
      <c r="C256" s="80">
        <f t="shared" ca="1" si="19"/>
        <v>0</v>
      </c>
      <c r="D256" s="105">
        <f t="shared" ca="1" si="20"/>
        <v>0</v>
      </c>
      <c r="E256" s="77">
        <f t="shared" ca="1" si="21"/>
        <v>100</v>
      </c>
      <c r="F256" s="77">
        <f ca="1">IF('main page'!$K$34=1,hystere!H256,hystere!G256)</f>
        <v>100</v>
      </c>
      <c r="G256" s="94">
        <f ca="1">I256-'main page'!$K$27*hystere!N255</f>
        <v>100</v>
      </c>
      <c r="H256" s="75">
        <f ca="1">J256-'main page'!$K$27*N255</f>
        <v>100</v>
      </c>
      <c r="I256" s="75">
        <f t="shared" ca="1" si="22"/>
        <v>108</v>
      </c>
      <c r="J256" s="75">
        <f t="shared" ca="1" si="23"/>
        <v>108</v>
      </c>
      <c r="M256" s="75">
        <f ca="1">IF(ABS('main page'!$K$29*M255+(1-'main page'!$K$29)*(controls!$B$9/100)*100+'main page'!$K$25*(E256-B256)-M255)&lt;0.0000001,M255,'main page'!$K$29*M255+(1-'main page'!$K$29)*(controls!$B$9/100)*100+'main page'!$K$25*(E256-B256))</f>
        <v>2</v>
      </c>
      <c r="N256" s="75">
        <f ca="1">IF(controls!$B$10=1,N255,O256-'main page'!$K$29*M256-(1-'main page'!$K$29)*controls!$B$9)</f>
        <v>4</v>
      </c>
      <c r="O256" s="74">
        <f t="shared" ca="1" si="18"/>
        <v>6</v>
      </c>
      <c r="P256" s="76">
        <f ca="1">IF(controls!$B$10=1,hystere!N256+hystere!M256,hystere!Q256)</f>
        <v>6</v>
      </c>
      <c r="Q256" s="74">
        <f ca="1">IF('main page'!$Y$53=1,'choose m.p.'!$I$22*100,R256)</f>
        <v>6</v>
      </c>
      <c r="R256" s="100">
        <f ca="1">'main page'!$K$29*M256+(1-'main page'!$K$29)*controls!$B$9+S256+(('main page'!$K$25*'main page'!$U$13*'main page'!$K$29)/('main page'!$K$27*(1+('main page'!$K$25^2)*'main page'!$U$13)))*(M256-(controls!$B$9/100)*100)</f>
        <v>6</v>
      </c>
      <c r="S256" s="98">
        <f ca="1">IF(controls!$B$33=1,(J257-E256*X257-B256)/'main page'!$K$27,(I257-E256*X257-B256)/'main page'!$K$27)</f>
        <v>4</v>
      </c>
      <c r="U256" s="71">
        <f>IF(controls!$B$6=1,$AG$4*(1+('main page'!$K$35/100))^V256-$AG$4*(1+('main page'!$K$35/100))^V255,$AG$4*(1+('main page'!$G$8/100))*(1+('main page'!$K$35/100))^V256-$AG$4*(1+('main page'!$G$8/100))*(1+('main page'!$K$35/100))^V255)</f>
        <v>0</v>
      </c>
      <c r="V256" s="73">
        <v>248</v>
      </c>
      <c r="W256" s="40">
        <f>'normal case'!V255</f>
        <v>0</v>
      </c>
      <c r="X256" s="40">
        <f>'normal case'!W255</f>
        <v>0</v>
      </c>
      <c r="Y256" s="49">
        <f ca="1">IF(controls!$B$33=1,E256-($J$4-'main page'!$K$27*2)*(1+('main page'!$K$35/100))^A255,E256-$AG$5)</f>
        <v>0</v>
      </c>
      <c r="Z256" s="49">
        <f ca="1">ABS(M256-(controls!$B$9/100)*100)</f>
        <v>0</v>
      </c>
      <c r="AI256" s="40"/>
      <c r="AJ256" s="40"/>
    </row>
    <row r="257" spans="1:36">
      <c r="A257" s="48">
        <v>254</v>
      </c>
      <c r="B257" s="75">
        <f ca="1">IF(controls!$B$6=2,AVERAGE(E253:E256)+B256*W257+hystere!$AG$9,AVERAGE(E253:E256)+B256*W257)</f>
        <v>100</v>
      </c>
      <c r="C257" s="80">
        <f t="shared" ca="1" si="19"/>
        <v>0</v>
      </c>
      <c r="D257" s="105">
        <f t="shared" ca="1" si="20"/>
        <v>0</v>
      </c>
      <c r="E257" s="77">
        <f t="shared" ca="1" si="21"/>
        <v>100</v>
      </c>
      <c r="F257" s="77">
        <f ca="1">IF('main page'!$K$34=1,hystere!H257,hystere!G257)</f>
        <v>100</v>
      </c>
      <c r="G257" s="94">
        <f ca="1">I257-'main page'!$K$27*hystere!N256</f>
        <v>100</v>
      </c>
      <c r="H257" s="75">
        <f ca="1">J257-'main page'!$K$27*N256</f>
        <v>100</v>
      </c>
      <c r="I257" s="75">
        <f t="shared" ca="1" si="22"/>
        <v>108</v>
      </c>
      <c r="J257" s="75">
        <f t="shared" ca="1" si="23"/>
        <v>108</v>
      </c>
      <c r="M257" s="75">
        <f ca="1">IF(ABS('main page'!$K$29*M256+(1-'main page'!$K$29)*(controls!$B$9/100)*100+'main page'!$K$25*(E257-B257)-M256)&lt;0.0000001,M256,'main page'!$K$29*M256+(1-'main page'!$K$29)*(controls!$B$9/100)*100+'main page'!$K$25*(E257-B257))</f>
        <v>2</v>
      </c>
      <c r="N257" s="75">
        <f ca="1">IF(controls!$B$10=1,N256,O257-'main page'!$K$29*M257-(1-'main page'!$K$29)*controls!$B$9)</f>
        <v>4</v>
      </c>
      <c r="O257" s="74">
        <f t="shared" ca="1" si="18"/>
        <v>6</v>
      </c>
      <c r="P257" s="76">
        <f ca="1">IF(controls!$B$10=1,hystere!N257+hystere!M257,hystere!Q257)</f>
        <v>6</v>
      </c>
      <c r="Q257" s="74">
        <f ca="1">IF('main page'!$Y$53=1,'choose m.p.'!$I$22*100,R257)</f>
        <v>6</v>
      </c>
      <c r="R257" s="100">
        <f ca="1">'main page'!$K$29*M257+(1-'main page'!$K$29)*controls!$B$9+S257+(('main page'!$K$25*'main page'!$U$13*'main page'!$K$29)/('main page'!$K$27*(1+('main page'!$K$25^2)*'main page'!$U$13)))*(M257-(controls!$B$9/100)*100)</f>
        <v>6</v>
      </c>
      <c r="S257" s="98">
        <f ca="1">IF(controls!$B$33=1,(J258-E257*X258-B257)/'main page'!$K$27,(I258-E257*X258-B257)/'main page'!$K$27)</f>
        <v>4</v>
      </c>
      <c r="U257" s="71">
        <f>IF(controls!$B$6=1,$AG$4*(1+('main page'!$K$35/100))^V257-$AG$4*(1+('main page'!$K$35/100))^V256,$AG$4*(1+('main page'!$G$8/100))*(1+('main page'!$K$35/100))^V257-$AG$4*(1+('main page'!$G$8/100))*(1+('main page'!$K$35/100))^V256)</f>
        <v>0</v>
      </c>
      <c r="V257" s="73">
        <v>249</v>
      </c>
      <c r="W257" s="40">
        <f>'normal case'!V256</f>
        <v>0</v>
      </c>
      <c r="X257" s="40">
        <f>'normal case'!W256</f>
        <v>0</v>
      </c>
      <c r="Y257" s="49">
        <f ca="1">IF(controls!$B$33=1,E257-($J$4-'main page'!$K$27*2)*(1+('main page'!$K$35/100))^A256,E257-$AG$5)</f>
        <v>0</v>
      </c>
      <c r="Z257" s="49">
        <f ca="1">ABS(M257-(controls!$B$9/100)*100)</f>
        <v>0</v>
      </c>
      <c r="AI257" s="40"/>
      <c r="AJ257" s="40"/>
    </row>
    <row r="258" spans="1:36">
      <c r="A258" s="48">
        <v>255</v>
      </c>
      <c r="B258" s="75">
        <f ca="1">IF(controls!$B$6=2,AVERAGE(E254:E257)+B257*W258+hystere!$AG$9,AVERAGE(E254:E257)+B257*W258)</f>
        <v>100</v>
      </c>
      <c r="C258" s="80">
        <f t="shared" ca="1" si="19"/>
        <v>0</v>
      </c>
      <c r="D258" s="105">
        <f t="shared" ca="1" si="20"/>
        <v>0</v>
      </c>
      <c r="E258" s="77">
        <f t="shared" ca="1" si="21"/>
        <v>100</v>
      </c>
      <c r="F258" s="77">
        <f ca="1">IF('main page'!$K$34=1,hystere!H258,hystere!G258)</f>
        <v>100</v>
      </c>
      <c r="G258" s="94">
        <f ca="1">I258-'main page'!$K$27*hystere!N257</f>
        <v>100</v>
      </c>
      <c r="H258" s="75">
        <f ca="1">J258-'main page'!$K$27*N257</f>
        <v>100</v>
      </c>
      <c r="I258" s="75">
        <f t="shared" ca="1" si="22"/>
        <v>108</v>
      </c>
      <c r="J258" s="75">
        <f t="shared" ca="1" si="23"/>
        <v>108</v>
      </c>
      <c r="M258" s="75">
        <f ca="1">IF(ABS('main page'!$K$29*M257+(1-'main page'!$K$29)*(controls!$B$9/100)*100+'main page'!$K$25*(E258-B258)-M257)&lt;0.0000001,M257,'main page'!$K$29*M257+(1-'main page'!$K$29)*(controls!$B$9/100)*100+'main page'!$K$25*(E258-B258))</f>
        <v>2</v>
      </c>
      <c r="N258" s="75">
        <f ca="1">IF(controls!$B$10=1,N257,O258-'main page'!$K$29*M258-(1-'main page'!$K$29)*controls!$B$9)</f>
        <v>4</v>
      </c>
      <c r="O258" s="74">
        <f t="shared" ca="1" si="18"/>
        <v>6</v>
      </c>
      <c r="P258" s="76">
        <f ca="1">IF(controls!$B$10=1,hystere!N258+hystere!M258,hystere!Q258)</f>
        <v>6</v>
      </c>
      <c r="Q258" s="74">
        <f ca="1">IF('main page'!$Y$53=1,'choose m.p.'!$I$22*100,R258)</f>
        <v>6</v>
      </c>
      <c r="R258" s="100">
        <f ca="1">'main page'!$K$29*M258+(1-'main page'!$K$29)*controls!$B$9+S258+(('main page'!$K$25*'main page'!$U$13*'main page'!$K$29)/('main page'!$K$27*(1+('main page'!$K$25^2)*'main page'!$U$13)))*(M258-(controls!$B$9/100)*100)</f>
        <v>6</v>
      </c>
      <c r="S258" s="98">
        <f ca="1">IF(controls!$B$33=1,(J259-E258*X259-B258)/'main page'!$K$27,(I259-E258*X259-B258)/'main page'!$K$27)</f>
        <v>4</v>
      </c>
      <c r="U258" s="71">
        <f>IF(controls!$B$6=1,$AG$4*(1+('main page'!$K$35/100))^V258-$AG$4*(1+('main page'!$K$35/100))^V257,$AG$4*(1+('main page'!$G$8/100))*(1+('main page'!$K$35/100))^V258-$AG$4*(1+('main page'!$G$8/100))*(1+('main page'!$K$35/100))^V257)</f>
        <v>0</v>
      </c>
      <c r="V258" s="73">
        <v>250</v>
      </c>
      <c r="W258" s="40">
        <f ca="1">'normal case'!V257</f>
        <v>0</v>
      </c>
      <c r="X258" s="40">
        <f ca="1">'normal case'!W257</f>
        <v>0</v>
      </c>
      <c r="Y258" s="49">
        <f ca="1">IF(controls!$B$33=1,E258-($J$4-'main page'!$K$27*2)*(1+('main page'!$K$35/100))^A257,E258-$AG$5)</f>
        <v>0</v>
      </c>
      <c r="Z258" s="49">
        <f ca="1">ABS(M258-(controls!$B$9/100)*100)</f>
        <v>0</v>
      </c>
      <c r="AI258" s="40"/>
      <c r="AJ258" s="40"/>
    </row>
    <row r="259" spans="1:36">
      <c r="A259" s="48">
        <v>256</v>
      </c>
      <c r="B259" s="75">
        <f ca="1">IF(controls!$B$6=2,AVERAGE(E255:E258)+B258*W259+hystere!$AG$9,AVERAGE(E255:E258)+B258*W259)</f>
        <v>100</v>
      </c>
      <c r="C259" s="80">
        <f t="shared" ca="1" si="19"/>
        <v>0</v>
      </c>
      <c r="D259" s="105">
        <f t="shared" ca="1" si="20"/>
        <v>0</v>
      </c>
      <c r="E259" s="77">
        <f t="shared" ca="1" si="21"/>
        <v>100</v>
      </c>
      <c r="F259" s="77">
        <f ca="1">IF('main page'!$K$34=1,hystere!H259,hystere!G259)</f>
        <v>100</v>
      </c>
      <c r="G259" s="94">
        <f ca="1">I259-'main page'!$K$27*hystere!N258</f>
        <v>100</v>
      </c>
      <c r="H259" s="75">
        <f ca="1">J259-'main page'!$K$27*N258</f>
        <v>100</v>
      </c>
      <c r="I259" s="75">
        <f t="shared" ca="1" si="22"/>
        <v>108</v>
      </c>
      <c r="J259" s="75">
        <f t="shared" ca="1" si="23"/>
        <v>108</v>
      </c>
      <c r="M259" s="75">
        <f ca="1">IF(ABS('main page'!$K$29*M258+(1-'main page'!$K$29)*(controls!$B$9/100)*100+'main page'!$K$25*(E259-B259)-M258)&lt;0.0000001,M258,'main page'!$K$29*M258+(1-'main page'!$K$29)*(controls!$B$9/100)*100+'main page'!$K$25*(E259-B259))</f>
        <v>2</v>
      </c>
      <c r="N259" s="75">
        <f ca="1">IF(controls!$B$10=1,N258,O259-'main page'!$K$29*M259-(1-'main page'!$K$29)*controls!$B$9)</f>
        <v>4</v>
      </c>
      <c r="O259" s="74">
        <f t="shared" ca="1" si="18"/>
        <v>6</v>
      </c>
      <c r="P259" s="76">
        <f ca="1">IF(controls!$B$10=1,hystere!N259+hystere!M259,hystere!Q259)</f>
        <v>6</v>
      </c>
      <c r="Q259" s="74">
        <f ca="1">IF('main page'!$Y$53=1,'choose m.p.'!$I$22*100,R259)</f>
        <v>6</v>
      </c>
      <c r="R259" s="100">
        <f ca="1">'main page'!$K$29*M259+(1-'main page'!$K$29)*controls!$B$9+S259+(('main page'!$K$25*'main page'!$U$13*'main page'!$K$29)/('main page'!$K$27*(1+('main page'!$K$25^2)*'main page'!$U$13)))*(M259-(controls!$B$9/100)*100)</f>
        <v>6</v>
      </c>
      <c r="S259" s="98">
        <f ca="1">IF(controls!$B$33=1,(J260-E259*X260-B259)/'main page'!$K$27,(I260-E259*X260-B259)/'main page'!$K$27)</f>
        <v>4</v>
      </c>
      <c r="U259" s="71">
        <f>IF(controls!$B$6=1,$AG$4*(1+('main page'!$K$35/100))^V259-$AG$4*(1+('main page'!$K$35/100))^V258,$AG$4*(1+('main page'!$G$8/100))*(1+('main page'!$K$35/100))^V259-$AG$4*(1+('main page'!$G$8/100))*(1+('main page'!$K$35/100))^V258)</f>
        <v>0</v>
      </c>
      <c r="V259" s="73">
        <v>251</v>
      </c>
      <c r="W259" s="40">
        <f>'normal case'!V258</f>
        <v>0</v>
      </c>
      <c r="X259" s="40">
        <f>'normal case'!W258</f>
        <v>0</v>
      </c>
      <c r="Y259" s="49">
        <f ca="1">IF(controls!$B$33=1,E259-($J$4-'main page'!$K$27*2)*(1+('main page'!$K$35/100))^A258,E259-$AG$5)</f>
        <v>0</v>
      </c>
      <c r="Z259" s="49">
        <f ca="1">ABS(M259-(controls!$B$9/100)*100)</f>
        <v>0</v>
      </c>
      <c r="AI259" s="40"/>
      <c r="AJ259" s="40"/>
    </row>
    <row r="260" spans="1:36">
      <c r="A260" s="48">
        <v>257</v>
      </c>
      <c r="B260" s="75">
        <f ca="1">IF(controls!$B$6=2,AVERAGE(E256:E259)+B259*W260+hystere!$AG$9,AVERAGE(E256:E259)+B259*W260)</f>
        <v>100</v>
      </c>
      <c r="C260" s="80">
        <f t="shared" ca="1" si="19"/>
        <v>0</v>
      </c>
      <c r="D260" s="105">
        <f t="shared" ca="1" si="20"/>
        <v>0</v>
      </c>
      <c r="E260" s="77">
        <f t="shared" ca="1" si="21"/>
        <v>100</v>
      </c>
      <c r="F260" s="77">
        <f ca="1">IF('main page'!$K$34=1,hystere!H260,hystere!G260)</f>
        <v>100</v>
      </c>
      <c r="G260" s="94">
        <f ca="1">I260-'main page'!$K$27*hystere!N259</f>
        <v>100</v>
      </c>
      <c r="H260" s="75">
        <f ca="1">J260-'main page'!$K$27*N259</f>
        <v>100</v>
      </c>
      <c r="I260" s="75">
        <f t="shared" ca="1" si="22"/>
        <v>108</v>
      </c>
      <c r="J260" s="75">
        <f t="shared" ca="1" si="23"/>
        <v>108</v>
      </c>
      <c r="M260" s="75">
        <f ca="1">IF(ABS('main page'!$K$29*M259+(1-'main page'!$K$29)*(controls!$B$9/100)*100+'main page'!$K$25*(E260-B260)-M259)&lt;0.0000001,M259,'main page'!$K$29*M259+(1-'main page'!$K$29)*(controls!$B$9/100)*100+'main page'!$K$25*(E260-B260))</f>
        <v>2</v>
      </c>
      <c r="N260" s="75">
        <f ca="1">IF(controls!$B$10=1,N259,O260-'main page'!$K$29*M260-(1-'main page'!$K$29)*controls!$B$9)</f>
        <v>4</v>
      </c>
      <c r="O260" s="74">
        <f t="shared" ref="O260:O323" ca="1" si="24">IF(P260&lt;0,0,P260)</f>
        <v>6</v>
      </c>
      <c r="P260" s="76">
        <f ca="1">IF(controls!$B$10=1,hystere!N260+hystere!M260,hystere!Q260)</f>
        <v>6</v>
      </c>
      <c r="Q260" s="74">
        <f ca="1">IF('main page'!$Y$53=1,'choose m.p.'!$I$22*100,R260)</f>
        <v>6</v>
      </c>
      <c r="R260" s="100">
        <f ca="1">'main page'!$K$29*M260+(1-'main page'!$K$29)*controls!$B$9+S260+(('main page'!$K$25*'main page'!$U$13*'main page'!$K$29)/('main page'!$K$27*(1+('main page'!$K$25^2)*'main page'!$U$13)))*(M260-(controls!$B$9/100)*100)</f>
        <v>6</v>
      </c>
      <c r="S260" s="98">
        <f ca="1">IF(controls!$B$33=1,(J261-E260*X261-B260)/'main page'!$K$27,(I261-E260*X261-B260)/'main page'!$K$27)</f>
        <v>4</v>
      </c>
      <c r="U260" s="71">
        <f>IF(controls!$B$6=1,$AG$4*(1+('main page'!$K$35/100))^V260-$AG$4*(1+('main page'!$K$35/100))^V259,$AG$4*(1+('main page'!$G$8/100))*(1+('main page'!$K$35/100))^V260-$AG$4*(1+('main page'!$G$8/100))*(1+('main page'!$K$35/100))^V259)</f>
        <v>0</v>
      </c>
      <c r="V260" s="73">
        <v>252</v>
      </c>
      <c r="W260" s="40">
        <f>'normal case'!V259</f>
        <v>0</v>
      </c>
      <c r="X260" s="40">
        <f>'normal case'!W259</f>
        <v>0</v>
      </c>
      <c r="Y260" s="49">
        <f ca="1">IF(controls!$B$33=1,E260-($J$4-'main page'!$K$27*2)*(1+('main page'!$K$35/100))^A259,E260-$AG$5)</f>
        <v>0</v>
      </c>
      <c r="Z260" s="49">
        <f ca="1">ABS(M260-(controls!$B$9/100)*100)</f>
        <v>0</v>
      </c>
      <c r="AI260" s="40"/>
      <c r="AJ260" s="40"/>
    </row>
    <row r="261" spans="1:36">
      <c r="A261" s="48">
        <v>258</v>
      </c>
      <c r="B261" s="75">
        <f ca="1">IF(controls!$B$6=2,AVERAGE(E257:E260)+B260*W261+hystere!$AG$9,AVERAGE(E257:E260)+B260*W261)</f>
        <v>100</v>
      </c>
      <c r="C261" s="80">
        <f t="shared" ref="C261:C324" ca="1" si="25">E261/E260-1</f>
        <v>0</v>
      </c>
      <c r="D261" s="105">
        <f t="shared" ref="D261:D324" ca="1" si="26">E261-B261</f>
        <v>0</v>
      </c>
      <c r="E261" s="77">
        <f t="shared" ref="E261:E324" ca="1" si="27">IF(F261&gt;0,F261,0.1)</f>
        <v>100</v>
      </c>
      <c r="F261" s="77">
        <f ca="1">IF('main page'!$K$34=1,hystere!H261,hystere!G261)</f>
        <v>100</v>
      </c>
      <c r="G261" s="94">
        <f ca="1">I261-'main page'!$K$27*hystere!N260</f>
        <v>100</v>
      </c>
      <c r="H261" s="75">
        <f ca="1">J261-'main page'!$K$27*N260</f>
        <v>100</v>
      </c>
      <c r="I261" s="75">
        <f t="shared" ca="1" si="22"/>
        <v>108</v>
      </c>
      <c r="J261" s="75">
        <f t="shared" ca="1" si="23"/>
        <v>108</v>
      </c>
      <c r="M261" s="75">
        <f ca="1">IF(ABS('main page'!$K$29*M260+(1-'main page'!$K$29)*(controls!$B$9/100)*100+'main page'!$K$25*(E261-B261)-M260)&lt;0.0000001,M260,'main page'!$K$29*M260+(1-'main page'!$K$29)*(controls!$B$9/100)*100+'main page'!$K$25*(E261-B261))</f>
        <v>2</v>
      </c>
      <c r="N261" s="75">
        <f ca="1">IF(controls!$B$10=1,N260,O261-'main page'!$K$29*M261-(1-'main page'!$K$29)*controls!$B$9)</f>
        <v>4</v>
      </c>
      <c r="O261" s="74">
        <f t="shared" ca="1" si="24"/>
        <v>6</v>
      </c>
      <c r="P261" s="76">
        <f ca="1">IF(controls!$B$10=1,hystere!N261+hystere!M261,hystere!Q261)</f>
        <v>6</v>
      </c>
      <c r="Q261" s="74">
        <f ca="1">IF('main page'!$Y$53=1,'choose m.p.'!$I$22*100,R261)</f>
        <v>6</v>
      </c>
      <c r="R261" s="100">
        <f ca="1">'main page'!$K$29*M261+(1-'main page'!$K$29)*controls!$B$9+S261+(('main page'!$K$25*'main page'!$U$13*'main page'!$K$29)/('main page'!$K$27*(1+('main page'!$K$25^2)*'main page'!$U$13)))*(M261-(controls!$B$9/100)*100)</f>
        <v>6</v>
      </c>
      <c r="S261" s="98">
        <f ca="1">IF(controls!$B$33=1,(J262-E261*X262-B261)/'main page'!$K$27,(I262-E261*X262-B261)/'main page'!$K$27)</f>
        <v>4</v>
      </c>
      <c r="U261" s="71">
        <f>IF(controls!$B$6=1,$AG$4*(1+('main page'!$K$35/100))^V261-$AG$4*(1+('main page'!$K$35/100))^V260,$AG$4*(1+('main page'!$G$8/100))*(1+('main page'!$K$35/100))^V261-$AG$4*(1+('main page'!$G$8/100))*(1+('main page'!$K$35/100))^V260)</f>
        <v>0</v>
      </c>
      <c r="V261" s="73">
        <v>253</v>
      </c>
      <c r="W261" s="40">
        <f ca="1">'normal case'!V260</f>
        <v>0</v>
      </c>
      <c r="X261" s="40">
        <f ca="1">'normal case'!W260</f>
        <v>0</v>
      </c>
      <c r="Y261" s="49">
        <f ca="1">IF(controls!$B$33=1,E261-($J$4-'main page'!$K$27*2)*(1+('main page'!$K$35/100))^A260,E261-$AG$5)</f>
        <v>0</v>
      </c>
      <c r="Z261" s="49">
        <f ca="1">ABS(M261-(controls!$B$9/100)*100)</f>
        <v>0</v>
      </c>
      <c r="AI261" s="40"/>
      <c r="AJ261" s="40"/>
    </row>
    <row r="262" spans="1:36">
      <c r="A262" s="48">
        <v>259</v>
      </c>
      <c r="B262" s="75">
        <f ca="1">IF(controls!$B$6=2,AVERAGE(E258:E261)+B261*W262+hystere!$AG$9,AVERAGE(E258:E261)+B261*W262)</f>
        <v>100</v>
      </c>
      <c r="C262" s="80">
        <f t="shared" ca="1" si="25"/>
        <v>0</v>
      </c>
      <c r="D262" s="105">
        <f t="shared" ca="1" si="26"/>
        <v>0</v>
      </c>
      <c r="E262" s="77">
        <f t="shared" ca="1" si="27"/>
        <v>100</v>
      </c>
      <c r="F262" s="77">
        <f ca="1">IF('main page'!$K$34=1,hystere!H262,hystere!G262)</f>
        <v>100</v>
      </c>
      <c r="G262" s="94">
        <f ca="1">I262-'main page'!$K$27*hystere!N261</f>
        <v>100</v>
      </c>
      <c r="H262" s="75">
        <f ca="1">J262-'main page'!$K$27*N261</f>
        <v>100</v>
      </c>
      <c r="I262" s="75">
        <f t="shared" ca="1" si="22"/>
        <v>108</v>
      </c>
      <c r="J262" s="75">
        <f t="shared" ca="1" si="23"/>
        <v>108</v>
      </c>
      <c r="M262" s="75">
        <f ca="1">IF(ABS('main page'!$K$29*M261+(1-'main page'!$K$29)*(controls!$B$9/100)*100+'main page'!$K$25*(E262-B262)-M261)&lt;0.0000001,M261,'main page'!$K$29*M261+(1-'main page'!$K$29)*(controls!$B$9/100)*100+'main page'!$K$25*(E262-B262))</f>
        <v>2</v>
      </c>
      <c r="N262" s="75">
        <f ca="1">IF(controls!$B$10=1,N261,O262-'main page'!$K$29*M262-(1-'main page'!$K$29)*controls!$B$9)</f>
        <v>4</v>
      </c>
      <c r="O262" s="74">
        <f t="shared" ca="1" si="24"/>
        <v>6</v>
      </c>
      <c r="P262" s="76">
        <f ca="1">IF(controls!$B$10=1,hystere!N262+hystere!M262,hystere!Q262)</f>
        <v>6</v>
      </c>
      <c r="Q262" s="74">
        <f ca="1">IF('main page'!$Y$53=1,'choose m.p.'!$I$22*100,R262)</f>
        <v>6</v>
      </c>
      <c r="R262" s="100">
        <f ca="1">'main page'!$K$29*M262+(1-'main page'!$K$29)*controls!$B$9+S262+(('main page'!$K$25*'main page'!$U$13*'main page'!$K$29)/('main page'!$K$27*(1+('main page'!$K$25^2)*'main page'!$U$13)))*(M262-(controls!$B$9/100)*100)</f>
        <v>6</v>
      </c>
      <c r="S262" s="98">
        <f ca="1">IF(controls!$B$33=1,(J263-E262*X263-B262)/'main page'!$K$27,(I263-E262*X263-B262)/'main page'!$K$27)</f>
        <v>4</v>
      </c>
      <c r="U262" s="71">
        <f>IF(controls!$B$6=1,$AG$4*(1+('main page'!$K$35/100))^V262-$AG$4*(1+('main page'!$K$35/100))^V261,$AG$4*(1+('main page'!$G$8/100))*(1+('main page'!$K$35/100))^V262-$AG$4*(1+('main page'!$G$8/100))*(1+('main page'!$K$35/100))^V261)</f>
        <v>0</v>
      </c>
      <c r="V262" s="73">
        <v>254</v>
      </c>
      <c r="W262" s="40">
        <f>'normal case'!V261</f>
        <v>0</v>
      </c>
      <c r="X262" s="40">
        <f>'normal case'!W261</f>
        <v>0</v>
      </c>
      <c r="Y262" s="49">
        <f ca="1">IF(controls!$B$33=1,E262-($J$4-'main page'!$K$27*2)*(1+('main page'!$K$35/100))^A261,E262-$AG$5)</f>
        <v>0</v>
      </c>
      <c r="Z262" s="49">
        <f ca="1">ABS(M262-(controls!$B$9/100)*100)</f>
        <v>0</v>
      </c>
      <c r="AI262" s="40"/>
      <c r="AJ262" s="40"/>
    </row>
    <row r="263" spans="1:36">
      <c r="A263" s="48">
        <v>260</v>
      </c>
      <c r="B263" s="75">
        <f ca="1">IF(controls!$B$6=2,AVERAGE(E259:E262)+B262*W263+hystere!$AG$9,AVERAGE(E259:E262)+B262*W263)</f>
        <v>100</v>
      </c>
      <c r="C263" s="80">
        <f t="shared" ca="1" si="25"/>
        <v>0</v>
      </c>
      <c r="D263" s="105">
        <f t="shared" ca="1" si="26"/>
        <v>0</v>
      </c>
      <c r="E263" s="77">
        <f t="shared" ca="1" si="27"/>
        <v>100</v>
      </c>
      <c r="F263" s="77">
        <f ca="1">IF('main page'!$K$34=1,hystere!H263,hystere!G263)</f>
        <v>100</v>
      </c>
      <c r="G263" s="94">
        <f ca="1">I263-'main page'!$K$27*hystere!N262</f>
        <v>100</v>
      </c>
      <c r="H263" s="75">
        <f ca="1">J263-'main page'!$K$27*N262</f>
        <v>100</v>
      </c>
      <c r="I263" s="75">
        <f t="shared" ca="1" si="22"/>
        <v>108</v>
      </c>
      <c r="J263" s="75">
        <f t="shared" ca="1" si="23"/>
        <v>108</v>
      </c>
      <c r="M263" s="75">
        <f ca="1">IF(ABS('main page'!$K$29*M262+(1-'main page'!$K$29)*(controls!$B$9/100)*100+'main page'!$K$25*(E263-B263)-M262)&lt;0.0000001,M262,'main page'!$K$29*M262+(1-'main page'!$K$29)*(controls!$B$9/100)*100+'main page'!$K$25*(E263-B263))</f>
        <v>2</v>
      </c>
      <c r="N263" s="75">
        <f ca="1">IF(controls!$B$10=1,N262,O263-'main page'!$K$29*M263-(1-'main page'!$K$29)*controls!$B$9)</f>
        <v>4</v>
      </c>
      <c r="O263" s="74">
        <f t="shared" ca="1" si="24"/>
        <v>6</v>
      </c>
      <c r="P263" s="76">
        <f ca="1">IF(controls!$B$10=1,hystere!N263+hystere!M263,hystere!Q263)</f>
        <v>6</v>
      </c>
      <c r="Q263" s="74">
        <f ca="1">IF('main page'!$Y$53=1,'choose m.p.'!$I$22*100,R263)</f>
        <v>6</v>
      </c>
      <c r="R263" s="100">
        <f ca="1">'main page'!$K$29*M263+(1-'main page'!$K$29)*controls!$B$9+S263+(('main page'!$K$25*'main page'!$U$13*'main page'!$K$29)/('main page'!$K$27*(1+('main page'!$K$25^2)*'main page'!$U$13)))*(M263-(controls!$B$9/100)*100)</f>
        <v>6</v>
      </c>
      <c r="S263" s="98">
        <f ca="1">IF(controls!$B$33=1,(J264-E263*X264-B263)/'main page'!$K$27,(I264-E263*X264-B263)/'main page'!$K$27)</f>
        <v>4</v>
      </c>
      <c r="U263" s="71">
        <f>IF(controls!$B$6=1,$AG$4*(1+('main page'!$K$35/100))^V263-$AG$4*(1+('main page'!$K$35/100))^V262,$AG$4*(1+('main page'!$G$8/100))*(1+('main page'!$K$35/100))^V263-$AG$4*(1+('main page'!$G$8/100))*(1+('main page'!$K$35/100))^V262)</f>
        <v>0</v>
      </c>
      <c r="V263" s="73">
        <v>255</v>
      </c>
      <c r="W263" s="40">
        <f>'normal case'!V262</f>
        <v>0</v>
      </c>
      <c r="X263" s="40">
        <f>'normal case'!W262</f>
        <v>0</v>
      </c>
      <c r="Y263" s="49">
        <f ca="1">IF(controls!$B$33=1,E263-($J$4-'main page'!$K$27*2)*(1+('main page'!$K$35/100))^A262,E263-$AG$5)</f>
        <v>0</v>
      </c>
      <c r="Z263" s="49">
        <f ca="1">ABS(M263-(controls!$B$9/100)*100)</f>
        <v>0</v>
      </c>
      <c r="AI263" s="40"/>
      <c r="AJ263" s="40"/>
    </row>
    <row r="264" spans="1:36">
      <c r="A264" s="48">
        <v>261</v>
      </c>
      <c r="B264" s="75">
        <f ca="1">IF(controls!$B$6=2,AVERAGE(E260:E263)+B263*W264+hystere!$AG$9,AVERAGE(E260:E263)+B263*W264)</f>
        <v>100</v>
      </c>
      <c r="C264" s="80">
        <f t="shared" ca="1" si="25"/>
        <v>0</v>
      </c>
      <c r="D264" s="105">
        <f t="shared" ca="1" si="26"/>
        <v>0</v>
      </c>
      <c r="E264" s="77">
        <f t="shared" ca="1" si="27"/>
        <v>100</v>
      </c>
      <c r="F264" s="77">
        <f ca="1">IF('main page'!$K$34=1,hystere!H264,hystere!G264)</f>
        <v>100</v>
      </c>
      <c r="G264" s="94">
        <f ca="1">I264-'main page'!$K$27*hystere!N263</f>
        <v>100</v>
      </c>
      <c r="H264" s="75">
        <f ca="1">J264-'main page'!$K$27*N263</f>
        <v>100</v>
      </c>
      <c r="I264" s="75">
        <f t="shared" ca="1" si="22"/>
        <v>108</v>
      </c>
      <c r="J264" s="75">
        <f t="shared" ca="1" si="23"/>
        <v>108</v>
      </c>
      <c r="M264" s="75">
        <f ca="1">IF(ABS('main page'!$K$29*M263+(1-'main page'!$K$29)*(controls!$B$9/100)*100+'main page'!$K$25*(E264-B264)-M263)&lt;0.0000001,M263,'main page'!$K$29*M263+(1-'main page'!$K$29)*(controls!$B$9/100)*100+'main page'!$K$25*(E264-B264))</f>
        <v>2</v>
      </c>
      <c r="N264" s="75">
        <f ca="1">IF(controls!$B$10=1,N263,O264-'main page'!$K$29*M264-(1-'main page'!$K$29)*controls!$B$9)</f>
        <v>4</v>
      </c>
      <c r="O264" s="74">
        <f t="shared" ca="1" si="24"/>
        <v>6</v>
      </c>
      <c r="P264" s="76">
        <f ca="1">IF(controls!$B$10=1,hystere!N264+hystere!M264,hystere!Q264)</f>
        <v>6</v>
      </c>
      <c r="Q264" s="74">
        <f ca="1">IF('main page'!$Y$53=1,'choose m.p.'!$I$22*100,R264)</f>
        <v>6</v>
      </c>
      <c r="R264" s="100">
        <f ca="1">'main page'!$K$29*M264+(1-'main page'!$K$29)*controls!$B$9+S264+(('main page'!$K$25*'main page'!$U$13*'main page'!$K$29)/('main page'!$K$27*(1+('main page'!$K$25^2)*'main page'!$U$13)))*(M264-(controls!$B$9/100)*100)</f>
        <v>6</v>
      </c>
      <c r="S264" s="98">
        <f ca="1">IF(controls!$B$33=1,(J265-E264*X265-B264)/'main page'!$K$27,(I265-E264*X265-B264)/'main page'!$K$27)</f>
        <v>4</v>
      </c>
      <c r="U264" s="71">
        <f>IF(controls!$B$6=1,$AG$4*(1+('main page'!$K$35/100))^V264-$AG$4*(1+('main page'!$K$35/100))^V263,$AG$4*(1+('main page'!$G$8/100))*(1+('main page'!$K$35/100))^V264-$AG$4*(1+('main page'!$G$8/100))*(1+('main page'!$K$35/100))^V263)</f>
        <v>0</v>
      </c>
      <c r="V264" s="73">
        <v>256</v>
      </c>
      <c r="W264" s="40">
        <f ca="1">'normal case'!V263</f>
        <v>0</v>
      </c>
      <c r="X264" s="40">
        <f ca="1">'normal case'!W263</f>
        <v>0</v>
      </c>
      <c r="Y264" s="49">
        <f ca="1">IF(controls!$B$33=1,E264-($J$4-'main page'!$K$27*2)*(1+('main page'!$K$35/100))^A263,E264-$AG$5)</f>
        <v>0</v>
      </c>
      <c r="Z264" s="49">
        <f ca="1">ABS(M264-(controls!$B$9/100)*100)</f>
        <v>0</v>
      </c>
      <c r="AI264" s="40"/>
      <c r="AJ264" s="40"/>
    </row>
    <row r="265" spans="1:36">
      <c r="A265" s="48">
        <v>262</v>
      </c>
      <c r="B265" s="75">
        <f ca="1">IF(controls!$B$6=2,AVERAGE(E261:E264)+B264*W265+hystere!$AG$9,AVERAGE(E261:E264)+B264*W265)</f>
        <v>100</v>
      </c>
      <c r="C265" s="80">
        <f t="shared" ca="1" si="25"/>
        <v>0</v>
      </c>
      <c r="D265" s="105">
        <f t="shared" ca="1" si="26"/>
        <v>0</v>
      </c>
      <c r="E265" s="77">
        <f t="shared" ca="1" si="27"/>
        <v>100</v>
      </c>
      <c r="F265" s="77">
        <f ca="1">IF('main page'!$K$34=1,hystere!H265,hystere!G265)</f>
        <v>100</v>
      </c>
      <c r="G265" s="94">
        <f ca="1">I265-'main page'!$K$27*hystere!N264</f>
        <v>100</v>
      </c>
      <c r="H265" s="75">
        <f ca="1">J265-'main page'!$K$27*N264</f>
        <v>100</v>
      </c>
      <c r="I265" s="75">
        <f t="shared" ca="1" si="22"/>
        <v>108</v>
      </c>
      <c r="J265" s="75">
        <f t="shared" ca="1" si="23"/>
        <v>108</v>
      </c>
      <c r="M265" s="75">
        <f ca="1">IF(ABS('main page'!$K$29*M264+(1-'main page'!$K$29)*(controls!$B$9/100)*100+'main page'!$K$25*(E265-B265)-M264)&lt;0.0000001,M264,'main page'!$K$29*M264+(1-'main page'!$K$29)*(controls!$B$9/100)*100+'main page'!$K$25*(E265-B265))</f>
        <v>2</v>
      </c>
      <c r="N265" s="75">
        <f ca="1">IF(controls!$B$10=1,N264,O265-'main page'!$K$29*M265-(1-'main page'!$K$29)*controls!$B$9)</f>
        <v>4</v>
      </c>
      <c r="O265" s="74">
        <f t="shared" ca="1" si="24"/>
        <v>6</v>
      </c>
      <c r="P265" s="76">
        <f ca="1">IF(controls!$B$10=1,hystere!N265+hystere!M265,hystere!Q265)</f>
        <v>6</v>
      </c>
      <c r="Q265" s="74">
        <f ca="1">IF('main page'!$Y$53=1,'choose m.p.'!$I$22*100,R265)</f>
        <v>6</v>
      </c>
      <c r="R265" s="100">
        <f ca="1">'main page'!$K$29*M265+(1-'main page'!$K$29)*controls!$B$9+S265+(('main page'!$K$25*'main page'!$U$13*'main page'!$K$29)/('main page'!$K$27*(1+('main page'!$K$25^2)*'main page'!$U$13)))*(M265-(controls!$B$9/100)*100)</f>
        <v>6</v>
      </c>
      <c r="S265" s="98">
        <f ca="1">IF(controls!$B$33=1,(J266-E265*X266-B265)/'main page'!$K$27,(I266-E265*X266-B265)/'main page'!$K$27)</f>
        <v>4</v>
      </c>
      <c r="U265" s="71">
        <f>IF(controls!$B$6=1,$AG$4*(1+('main page'!$K$35/100))^V265-$AG$4*(1+('main page'!$K$35/100))^V264,$AG$4*(1+('main page'!$G$8/100))*(1+('main page'!$K$35/100))^V265-$AG$4*(1+('main page'!$G$8/100))*(1+('main page'!$K$35/100))^V264)</f>
        <v>0</v>
      </c>
      <c r="V265" s="73">
        <v>257</v>
      </c>
      <c r="W265" s="40">
        <f>'normal case'!V264</f>
        <v>0</v>
      </c>
      <c r="X265" s="40">
        <f>'normal case'!W264</f>
        <v>0</v>
      </c>
      <c r="Y265" s="49">
        <f ca="1">IF(controls!$B$33=1,E265-($J$4-'main page'!$K$27*2)*(1+('main page'!$K$35/100))^A264,E265-$AG$5)</f>
        <v>0</v>
      </c>
      <c r="Z265" s="49">
        <f ca="1">ABS(M265-(controls!$B$9/100)*100)</f>
        <v>0</v>
      </c>
      <c r="AI265" s="40"/>
      <c r="AJ265" s="40"/>
    </row>
    <row r="266" spans="1:36">
      <c r="A266" s="48">
        <v>263</v>
      </c>
      <c r="B266" s="75">
        <f ca="1">IF(controls!$B$6=2,AVERAGE(E262:E265)+B265*W266+hystere!$AG$9,AVERAGE(E262:E265)+B265*W266)</f>
        <v>100</v>
      </c>
      <c r="C266" s="80">
        <f t="shared" ca="1" si="25"/>
        <v>0</v>
      </c>
      <c r="D266" s="105">
        <f t="shared" ca="1" si="26"/>
        <v>0</v>
      </c>
      <c r="E266" s="77">
        <f t="shared" ca="1" si="27"/>
        <v>100</v>
      </c>
      <c r="F266" s="77">
        <f ca="1">IF('main page'!$K$34=1,hystere!H266,hystere!G266)</f>
        <v>100</v>
      </c>
      <c r="G266" s="94">
        <f ca="1">I266-'main page'!$K$27*hystere!N265</f>
        <v>100</v>
      </c>
      <c r="H266" s="75">
        <f ca="1">J266-'main page'!$K$27*N265</f>
        <v>100</v>
      </c>
      <c r="I266" s="75">
        <f t="shared" ca="1" si="22"/>
        <v>108</v>
      </c>
      <c r="J266" s="75">
        <f t="shared" ca="1" si="23"/>
        <v>108</v>
      </c>
      <c r="M266" s="75">
        <f ca="1">IF(ABS('main page'!$K$29*M265+(1-'main page'!$K$29)*(controls!$B$9/100)*100+'main page'!$K$25*(E266-B266)-M265)&lt;0.0000001,M265,'main page'!$K$29*M265+(1-'main page'!$K$29)*(controls!$B$9/100)*100+'main page'!$K$25*(E266-B266))</f>
        <v>2</v>
      </c>
      <c r="N266" s="75">
        <f ca="1">IF(controls!$B$10=1,N265,O266-'main page'!$K$29*M266-(1-'main page'!$K$29)*controls!$B$9)</f>
        <v>4</v>
      </c>
      <c r="O266" s="74">
        <f t="shared" ca="1" si="24"/>
        <v>6</v>
      </c>
      <c r="P266" s="76">
        <f ca="1">IF(controls!$B$10=1,hystere!N266+hystere!M266,hystere!Q266)</f>
        <v>6</v>
      </c>
      <c r="Q266" s="74">
        <f ca="1">IF('main page'!$Y$53=1,'choose m.p.'!$I$22*100,R266)</f>
        <v>6</v>
      </c>
      <c r="R266" s="100">
        <f ca="1">'main page'!$K$29*M266+(1-'main page'!$K$29)*controls!$B$9+S266+(('main page'!$K$25*'main page'!$U$13*'main page'!$K$29)/('main page'!$K$27*(1+('main page'!$K$25^2)*'main page'!$U$13)))*(M266-(controls!$B$9/100)*100)</f>
        <v>6</v>
      </c>
      <c r="S266" s="98">
        <f ca="1">IF(controls!$B$33=1,(J267-E266*X267-B266)/'main page'!$K$27,(I267-E266*X267-B266)/'main page'!$K$27)</f>
        <v>4</v>
      </c>
      <c r="U266" s="71">
        <f>IF(controls!$B$6=1,$AG$4*(1+('main page'!$K$35/100))^V266-$AG$4*(1+('main page'!$K$35/100))^V265,$AG$4*(1+('main page'!$G$8/100))*(1+('main page'!$K$35/100))^V266-$AG$4*(1+('main page'!$G$8/100))*(1+('main page'!$K$35/100))^V265)</f>
        <v>0</v>
      </c>
      <c r="V266" s="73">
        <v>258</v>
      </c>
      <c r="W266" s="40">
        <f>'normal case'!V265</f>
        <v>0</v>
      </c>
      <c r="X266" s="40">
        <f>'normal case'!W265</f>
        <v>0</v>
      </c>
      <c r="Y266" s="49">
        <f ca="1">IF(controls!$B$33=1,E266-($J$4-'main page'!$K$27*2)*(1+('main page'!$K$35/100))^A265,E266-$AG$5)</f>
        <v>0</v>
      </c>
      <c r="Z266" s="49">
        <f ca="1">ABS(M266-(controls!$B$9/100)*100)</f>
        <v>0</v>
      </c>
      <c r="AI266" s="40"/>
      <c r="AJ266" s="40"/>
    </row>
    <row r="267" spans="1:36">
      <c r="A267" s="48">
        <v>264</v>
      </c>
      <c r="B267" s="75">
        <f ca="1">IF(controls!$B$6=2,AVERAGE(E263:E266)+B266*W267+hystere!$AG$9,AVERAGE(E263:E266)+B266*W267)</f>
        <v>100</v>
      </c>
      <c r="C267" s="80">
        <f t="shared" ca="1" si="25"/>
        <v>0</v>
      </c>
      <c r="D267" s="105">
        <f t="shared" ca="1" si="26"/>
        <v>0</v>
      </c>
      <c r="E267" s="77">
        <f t="shared" ca="1" si="27"/>
        <v>100</v>
      </c>
      <c r="F267" s="77">
        <f ca="1">IF('main page'!$K$34=1,hystere!H267,hystere!G267)</f>
        <v>100</v>
      </c>
      <c r="G267" s="94">
        <f ca="1">I267-'main page'!$K$27*hystere!N266</f>
        <v>100</v>
      </c>
      <c r="H267" s="75">
        <f ca="1">J267-'main page'!$K$27*N266</f>
        <v>100</v>
      </c>
      <c r="I267" s="75">
        <f t="shared" ca="1" si="22"/>
        <v>108</v>
      </c>
      <c r="J267" s="75">
        <f t="shared" ca="1" si="23"/>
        <v>108</v>
      </c>
      <c r="M267" s="75">
        <f ca="1">IF(ABS('main page'!$K$29*M266+(1-'main page'!$K$29)*(controls!$B$9/100)*100+'main page'!$K$25*(E267-B267)-M266)&lt;0.0000001,M266,'main page'!$K$29*M266+(1-'main page'!$K$29)*(controls!$B$9/100)*100+'main page'!$K$25*(E267-B267))</f>
        <v>2</v>
      </c>
      <c r="N267" s="75">
        <f ca="1">IF(controls!$B$10=1,N266,O267-'main page'!$K$29*M267-(1-'main page'!$K$29)*controls!$B$9)</f>
        <v>4</v>
      </c>
      <c r="O267" s="74">
        <f t="shared" ca="1" si="24"/>
        <v>6</v>
      </c>
      <c r="P267" s="76">
        <f ca="1">IF(controls!$B$10=1,hystere!N267+hystere!M267,hystere!Q267)</f>
        <v>6</v>
      </c>
      <c r="Q267" s="74">
        <f ca="1">IF('main page'!$Y$53=1,'choose m.p.'!$I$22*100,R267)</f>
        <v>6</v>
      </c>
      <c r="R267" s="100">
        <f ca="1">'main page'!$K$29*M267+(1-'main page'!$K$29)*controls!$B$9+S267+(('main page'!$K$25*'main page'!$U$13*'main page'!$K$29)/('main page'!$K$27*(1+('main page'!$K$25^2)*'main page'!$U$13)))*(M267-(controls!$B$9/100)*100)</f>
        <v>6</v>
      </c>
      <c r="S267" s="98">
        <f ca="1">IF(controls!$B$33=1,(J268-E267*X268-B267)/'main page'!$K$27,(I268-E267*X268-B267)/'main page'!$K$27)</f>
        <v>4</v>
      </c>
      <c r="U267" s="71">
        <f>IF(controls!$B$6=1,$AG$4*(1+('main page'!$K$35/100))^V267-$AG$4*(1+('main page'!$K$35/100))^V266,$AG$4*(1+('main page'!$G$8/100))*(1+('main page'!$K$35/100))^V267-$AG$4*(1+('main page'!$G$8/100))*(1+('main page'!$K$35/100))^V266)</f>
        <v>0</v>
      </c>
      <c r="V267" s="73">
        <v>259</v>
      </c>
      <c r="W267" s="40">
        <f ca="1">'normal case'!V266</f>
        <v>0</v>
      </c>
      <c r="X267" s="40">
        <f ca="1">'normal case'!W266</f>
        <v>0</v>
      </c>
      <c r="Y267" s="49">
        <f ca="1">IF(controls!$B$33=1,E267-($J$4-'main page'!$K$27*2)*(1+('main page'!$K$35/100))^A266,E267-$AG$5)</f>
        <v>0</v>
      </c>
      <c r="Z267" s="49">
        <f ca="1">ABS(M267-(controls!$B$9/100)*100)</f>
        <v>0</v>
      </c>
      <c r="AI267" s="40"/>
      <c r="AJ267" s="40"/>
    </row>
    <row r="268" spans="1:36">
      <c r="A268" s="48">
        <v>265</v>
      </c>
      <c r="B268" s="75">
        <f ca="1">IF(controls!$B$6=2,AVERAGE(E264:E267)+B267*W268+hystere!$AG$9,AVERAGE(E264:E267)+B267*W268)</f>
        <v>100</v>
      </c>
      <c r="C268" s="80">
        <f t="shared" ca="1" si="25"/>
        <v>0</v>
      </c>
      <c r="D268" s="105">
        <f t="shared" ca="1" si="26"/>
        <v>0</v>
      </c>
      <c r="E268" s="77">
        <f t="shared" ca="1" si="27"/>
        <v>100</v>
      </c>
      <c r="F268" s="77">
        <f ca="1">IF('main page'!$K$34=1,hystere!H268,hystere!G268)</f>
        <v>100</v>
      </c>
      <c r="G268" s="94">
        <f ca="1">I268-'main page'!$K$27*hystere!N267</f>
        <v>100</v>
      </c>
      <c r="H268" s="75">
        <f ca="1">J268-'main page'!$K$27*N267</f>
        <v>100</v>
      </c>
      <c r="I268" s="75">
        <f t="shared" ca="1" si="22"/>
        <v>108</v>
      </c>
      <c r="J268" s="75">
        <f t="shared" ca="1" si="23"/>
        <v>108</v>
      </c>
      <c r="M268" s="75">
        <f ca="1">IF(ABS('main page'!$K$29*M267+(1-'main page'!$K$29)*(controls!$B$9/100)*100+'main page'!$K$25*(E268-B268)-M267)&lt;0.0000001,M267,'main page'!$K$29*M267+(1-'main page'!$K$29)*(controls!$B$9/100)*100+'main page'!$K$25*(E268-B268))</f>
        <v>2</v>
      </c>
      <c r="N268" s="75">
        <f ca="1">IF(controls!$B$10=1,N267,O268-'main page'!$K$29*M268-(1-'main page'!$K$29)*controls!$B$9)</f>
        <v>4</v>
      </c>
      <c r="O268" s="74">
        <f t="shared" ca="1" si="24"/>
        <v>6</v>
      </c>
      <c r="P268" s="76">
        <f ca="1">IF(controls!$B$10=1,hystere!N268+hystere!M268,hystere!Q268)</f>
        <v>6</v>
      </c>
      <c r="Q268" s="74">
        <f ca="1">IF('main page'!$Y$53=1,'choose m.p.'!$I$22*100,R268)</f>
        <v>6</v>
      </c>
      <c r="R268" s="100">
        <f ca="1">'main page'!$K$29*M268+(1-'main page'!$K$29)*controls!$B$9+S268+(('main page'!$K$25*'main page'!$U$13*'main page'!$K$29)/('main page'!$K$27*(1+('main page'!$K$25^2)*'main page'!$U$13)))*(M268-(controls!$B$9/100)*100)</f>
        <v>6</v>
      </c>
      <c r="S268" s="98">
        <f ca="1">IF(controls!$B$33=1,(J269-E268*X269-B268)/'main page'!$K$27,(I269-E268*X269-B268)/'main page'!$K$27)</f>
        <v>4</v>
      </c>
      <c r="U268" s="71">
        <f>IF(controls!$B$6=1,$AG$4*(1+('main page'!$K$35/100))^V268-$AG$4*(1+('main page'!$K$35/100))^V267,$AG$4*(1+('main page'!$G$8/100))*(1+('main page'!$K$35/100))^V268-$AG$4*(1+('main page'!$G$8/100))*(1+('main page'!$K$35/100))^V267)</f>
        <v>0</v>
      </c>
      <c r="V268" s="73">
        <v>260</v>
      </c>
      <c r="W268" s="40">
        <f>'normal case'!V267</f>
        <v>0</v>
      </c>
      <c r="X268" s="40">
        <f>'normal case'!W267</f>
        <v>0</v>
      </c>
      <c r="Y268" s="49">
        <f ca="1">IF(controls!$B$33=1,E268-($J$4-'main page'!$K$27*2)*(1+('main page'!$K$35/100))^A267,E268-$AG$5)</f>
        <v>0</v>
      </c>
      <c r="Z268" s="49">
        <f ca="1">ABS(M268-(controls!$B$9/100)*100)</f>
        <v>0</v>
      </c>
      <c r="AI268" s="40"/>
      <c r="AJ268" s="40"/>
    </row>
    <row r="269" spans="1:36">
      <c r="A269" s="48">
        <v>266</v>
      </c>
      <c r="B269" s="75">
        <f ca="1">IF(controls!$B$6=2,AVERAGE(E265:E268)+B268*W269+hystere!$AG$9,AVERAGE(E265:E268)+B268*W269)</f>
        <v>100</v>
      </c>
      <c r="C269" s="80">
        <f t="shared" ca="1" si="25"/>
        <v>0</v>
      </c>
      <c r="D269" s="105">
        <f t="shared" ca="1" si="26"/>
        <v>0</v>
      </c>
      <c r="E269" s="77">
        <f t="shared" ca="1" si="27"/>
        <v>100</v>
      </c>
      <c r="F269" s="77">
        <f ca="1">IF('main page'!$K$34=1,hystere!H269,hystere!G269)</f>
        <v>100</v>
      </c>
      <c r="G269" s="94">
        <f ca="1">I269-'main page'!$K$27*hystere!N268</f>
        <v>100</v>
      </c>
      <c r="H269" s="75">
        <f ca="1">J269-'main page'!$K$27*N268</f>
        <v>100</v>
      </c>
      <c r="I269" s="75">
        <f t="shared" ca="1" si="22"/>
        <v>108</v>
      </c>
      <c r="J269" s="75">
        <f t="shared" ca="1" si="23"/>
        <v>108</v>
      </c>
      <c r="M269" s="75">
        <f ca="1">IF(ABS('main page'!$K$29*M268+(1-'main page'!$K$29)*(controls!$B$9/100)*100+'main page'!$K$25*(E269-B269)-M268)&lt;0.0000001,M268,'main page'!$K$29*M268+(1-'main page'!$K$29)*(controls!$B$9/100)*100+'main page'!$K$25*(E269-B269))</f>
        <v>2</v>
      </c>
      <c r="N269" s="75">
        <f ca="1">IF(controls!$B$10=1,N268,O269-'main page'!$K$29*M269-(1-'main page'!$K$29)*controls!$B$9)</f>
        <v>4</v>
      </c>
      <c r="O269" s="74">
        <f t="shared" ca="1" si="24"/>
        <v>6</v>
      </c>
      <c r="P269" s="76">
        <f ca="1">IF(controls!$B$10=1,hystere!N269+hystere!M269,hystere!Q269)</f>
        <v>6</v>
      </c>
      <c r="Q269" s="74">
        <f ca="1">IF('main page'!$Y$53=1,'choose m.p.'!$I$22*100,R269)</f>
        <v>6</v>
      </c>
      <c r="R269" s="100">
        <f ca="1">'main page'!$K$29*M269+(1-'main page'!$K$29)*controls!$B$9+S269+(('main page'!$K$25*'main page'!$U$13*'main page'!$K$29)/('main page'!$K$27*(1+('main page'!$K$25^2)*'main page'!$U$13)))*(M269-(controls!$B$9/100)*100)</f>
        <v>6</v>
      </c>
      <c r="S269" s="98">
        <f ca="1">IF(controls!$B$33=1,(J270-E269*X270-B269)/'main page'!$K$27,(I270-E269*X270-B269)/'main page'!$K$27)</f>
        <v>4</v>
      </c>
      <c r="U269" s="71">
        <f>IF(controls!$B$6=1,$AG$4*(1+('main page'!$K$35/100))^V269-$AG$4*(1+('main page'!$K$35/100))^V268,$AG$4*(1+('main page'!$G$8/100))*(1+('main page'!$K$35/100))^V269-$AG$4*(1+('main page'!$G$8/100))*(1+('main page'!$K$35/100))^V268)</f>
        <v>0</v>
      </c>
      <c r="V269" s="73">
        <v>261</v>
      </c>
      <c r="W269" s="40">
        <f>'normal case'!V268</f>
        <v>0</v>
      </c>
      <c r="X269" s="40">
        <f>'normal case'!W268</f>
        <v>0</v>
      </c>
      <c r="Y269" s="49">
        <f ca="1">IF(controls!$B$33=1,E269-($J$4-'main page'!$K$27*2)*(1+('main page'!$K$35/100))^A268,E269-$AG$5)</f>
        <v>0</v>
      </c>
      <c r="Z269" s="49">
        <f ca="1">ABS(M269-(controls!$B$9/100)*100)</f>
        <v>0</v>
      </c>
      <c r="AI269" s="40"/>
      <c r="AJ269" s="40"/>
    </row>
    <row r="270" spans="1:36">
      <c r="A270" s="48">
        <v>267</v>
      </c>
      <c r="B270" s="75">
        <f ca="1">IF(controls!$B$6=2,AVERAGE(E266:E269)+B269*W270+hystere!$AG$9,AVERAGE(E266:E269)+B269*W270)</f>
        <v>100</v>
      </c>
      <c r="C270" s="80">
        <f t="shared" ca="1" si="25"/>
        <v>0</v>
      </c>
      <c r="D270" s="105">
        <f t="shared" ca="1" si="26"/>
        <v>0</v>
      </c>
      <c r="E270" s="77">
        <f t="shared" ca="1" si="27"/>
        <v>100</v>
      </c>
      <c r="F270" s="77">
        <f ca="1">IF('main page'!$K$34=1,hystere!H270,hystere!G270)</f>
        <v>100</v>
      </c>
      <c r="G270" s="94">
        <f ca="1">I270-'main page'!$K$27*hystere!N269</f>
        <v>100</v>
      </c>
      <c r="H270" s="75">
        <f ca="1">J270-'main page'!$K$27*N269</f>
        <v>100</v>
      </c>
      <c r="I270" s="75">
        <f t="shared" ca="1" si="22"/>
        <v>108</v>
      </c>
      <c r="J270" s="75">
        <f t="shared" ca="1" si="23"/>
        <v>108</v>
      </c>
      <c r="M270" s="75">
        <f ca="1">IF(ABS('main page'!$K$29*M269+(1-'main page'!$K$29)*(controls!$B$9/100)*100+'main page'!$K$25*(E270-B270)-M269)&lt;0.0000001,M269,'main page'!$K$29*M269+(1-'main page'!$K$29)*(controls!$B$9/100)*100+'main page'!$K$25*(E270-B270))</f>
        <v>2</v>
      </c>
      <c r="N270" s="75">
        <f ca="1">IF(controls!$B$10=1,N269,O270-'main page'!$K$29*M270-(1-'main page'!$K$29)*controls!$B$9)</f>
        <v>4</v>
      </c>
      <c r="O270" s="74">
        <f t="shared" ca="1" si="24"/>
        <v>6</v>
      </c>
      <c r="P270" s="76">
        <f ca="1">IF(controls!$B$10=1,hystere!N270+hystere!M270,hystere!Q270)</f>
        <v>6</v>
      </c>
      <c r="Q270" s="74">
        <f ca="1">IF('main page'!$Y$53=1,'choose m.p.'!$I$22*100,R270)</f>
        <v>6</v>
      </c>
      <c r="R270" s="100">
        <f ca="1">'main page'!$K$29*M270+(1-'main page'!$K$29)*controls!$B$9+S270+(('main page'!$K$25*'main page'!$U$13*'main page'!$K$29)/('main page'!$K$27*(1+('main page'!$K$25^2)*'main page'!$U$13)))*(M270-(controls!$B$9/100)*100)</f>
        <v>6</v>
      </c>
      <c r="S270" s="98">
        <f ca="1">IF(controls!$B$33=1,(J271-E270*X271-B270)/'main page'!$K$27,(I271-E270*X271-B270)/'main page'!$K$27)</f>
        <v>4</v>
      </c>
      <c r="U270" s="71">
        <f>IF(controls!$B$6=1,$AG$4*(1+('main page'!$K$35/100))^V270-$AG$4*(1+('main page'!$K$35/100))^V269,$AG$4*(1+('main page'!$G$8/100))*(1+('main page'!$K$35/100))^V270-$AG$4*(1+('main page'!$G$8/100))*(1+('main page'!$K$35/100))^V269)</f>
        <v>0</v>
      </c>
      <c r="V270" s="73">
        <v>262</v>
      </c>
      <c r="W270" s="40">
        <f ca="1">'normal case'!V269</f>
        <v>0</v>
      </c>
      <c r="X270" s="40">
        <f ca="1">'normal case'!W269</f>
        <v>0</v>
      </c>
      <c r="Y270" s="49">
        <f ca="1">IF(controls!$B$33=1,E270-($J$4-'main page'!$K$27*2)*(1+('main page'!$K$35/100))^A269,E270-$AG$5)</f>
        <v>0</v>
      </c>
      <c r="Z270" s="49">
        <f ca="1">ABS(M270-(controls!$B$9/100)*100)</f>
        <v>0</v>
      </c>
      <c r="AI270" s="40"/>
      <c r="AJ270" s="40"/>
    </row>
    <row r="271" spans="1:36">
      <c r="A271" s="48">
        <v>268</v>
      </c>
      <c r="B271" s="75">
        <f ca="1">IF(controls!$B$6=2,AVERAGE(E267:E270)+B270*W271+hystere!$AG$9,AVERAGE(E267:E270)+B270*W271)</f>
        <v>100</v>
      </c>
      <c r="C271" s="80">
        <f t="shared" ca="1" si="25"/>
        <v>0</v>
      </c>
      <c r="D271" s="105">
        <f t="shared" ca="1" si="26"/>
        <v>0</v>
      </c>
      <c r="E271" s="77">
        <f t="shared" ca="1" si="27"/>
        <v>100</v>
      </c>
      <c r="F271" s="77">
        <f ca="1">IF('main page'!$K$34=1,hystere!H271,hystere!G271)</f>
        <v>100</v>
      </c>
      <c r="G271" s="94">
        <f ca="1">I271-'main page'!$K$27*hystere!N270</f>
        <v>100</v>
      </c>
      <c r="H271" s="75">
        <f ca="1">J271-'main page'!$K$27*N270</f>
        <v>100</v>
      </c>
      <c r="I271" s="75">
        <f t="shared" ca="1" si="22"/>
        <v>108</v>
      </c>
      <c r="J271" s="75">
        <f t="shared" ca="1" si="23"/>
        <v>108</v>
      </c>
      <c r="M271" s="75">
        <f ca="1">IF(ABS('main page'!$K$29*M270+(1-'main page'!$K$29)*(controls!$B$9/100)*100+'main page'!$K$25*(E271-B271)-M270)&lt;0.0000001,M270,'main page'!$K$29*M270+(1-'main page'!$K$29)*(controls!$B$9/100)*100+'main page'!$K$25*(E271-B271))</f>
        <v>2</v>
      </c>
      <c r="N271" s="75">
        <f ca="1">IF(controls!$B$10=1,N270,O271-'main page'!$K$29*M271-(1-'main page'!$K$29)*controls!$B$9)</f>
        <v>4</v>
      </c>
      <c r="O271" s="74">
        <f t="shared" ca="1" si="24"/>
        <v>6</v>
      </c>
      <c r="P271" s="76">
        <f ca="1">IF(controls!$B$10=1,hystere!N271+hystere!M271,hystere!Q271)</f>
        <v>6</v>
      </c>
      <c r="Q271" s="74">
        <f ca="1">IF('main page'!$Y$53=1,'choose m.p.'!$I$22*100,R271)</f>
        <v>6</v>
      </c>
      <c r="R271" s="100">
        <f ca="1">'main page'!$K$29*M271+(1-'main page'!$K$29)*controls!$B$9+S271+(('main page'!$K$25*'main page'!$U$13*'main page'!$K$29)/('main page'!$K$27*(1+('main page'!$K$25^2)*'main page'!$U$13)))*(M271-(controls!$B$9/100)*100)</f>
        <v>6</v>
      </c>
      <c r="S271" s="98">
        <f ca="1">IF(controls!$B$33=1,(J272-E271*X272-B271)/'main page'!$K$27,(I272-E271*X272-B271)/'main page'!$K$27)</f>
        <v>4</v>
      </c>
      <c r="U271" s="71">
        <f>IF(controls!$B$6=1,$AG$4*(1+('main page'!$K$35/100))^V271-$AG$4*(1+('main page'!$K$35/100))^V270,$AG$4*(1+('main page'!$G$8/100))*(1+('main page'!$K$35/100))^V271-$AG$4*(1+('main page'!$G$8/100))*(1+('main page'!$K$35/100))^V270)</f>
        <v>0</v>
      </c>
      <c r="V271" s="73">
        <v>263</v>
      </c>
      <c r="W271" s="40">
        <f>'normal case'!V270</f>
        <v>0</v>
      </c>
      <c r="X271" s="40">
        <f>'normal case'!W270</f>
        <v>0</v>
      </c>
      <c r="Y271" s="49">
        <f ca="1">IF(controls!$B$33=1,E271-($J$4-'main page'!$K$27*2)*(1+('main page'!$K$35/100))^A270,E271-$AG$5)</f>
        <v>0</v>
      </c>
      <c r="Z271" s="49">
        <f ca="1">ABS(M271-(controls!$B$9/100)*100)</f>
        <v>0</v>
      </c>
      <c r="AI271" s="40"/>
      <c r="AJ271" s="40"/>
    </row>
    <row r="272" spans="1:36">
      <c r="A272" s="48">
        <v>269</v>
      </c>
      <c r="B272" s="75">
        <f ca="1">IF(controls!$B$6=2,AVERAGE(E268:E271)+B271*W272+hystere!$AG$9,AVERAGE(E268:E271)+B271*W272)</f>
        <v>100</v>
      </c>
      <c r="C272" s="80">
        <f t="shared" ca="1" si="25"/>
        <v>0</v>
      </c>
      <c r="D272" s="105">
        <f t="shared" ca="1" si="26"/>
        <v>0</v>
      </c>
      <c r="E272" s="77">
        <f t="shared" ca="1" si="27"/>
        <v>100</v>
      </c>
      <c r="F272" s="77">
        <f ca="1">IF('main page'!$K$34=1,hystere!H272,hystere!G272)</f>
        <v>100</v>
      </c>
      <c r="G272" s="94">
        <f ca="1">I272-'main page'!$K$27*hystere!N271</f>
        <v>100</v>
      </c>
      <c r="H272" s="75">
        <f ca="1">J272-'main page'!$K$27*N271</f>
        <v>100</v>
      </c>
      <c r="I272" s="75">
        <f t="shared" ca="1" si="22"/>
        <v>108</v>
      </c>
      <c r="J272" s="75">
        <f t="shared" ca="1" si="23"/>
        <v>108</v>
      </c>
      <c r="M272" s="75">
        <f ca="1">IF(ABS('main page'!$K$29*M271+(1-'main page'!$K$29)*(controls!$B$9/100)*100+'main page'!$K$25*(E272-B272)-M271)&lt;0.0000001,M271,'main page'!$K$29*M271+(1-'main page'!$K$29)*(controls!$B$9/100)*100+'main page'!$K$25*(E272-B272))</f>
        <v>2</v>
      </c>
      <c r="N272" s="75">
        <f ca="1">IF(controls!$B$10=1,N271,O272-'main page'!$K$29*M272-(1-'main page'!$K$29)*controls!$B$9)</f>
        <v>4</v>
      </c>
      <c r="O272" s="74">
        <f t="shared" ca="1" si="24"/>
        <v>6</v>
      </c>
      <c r="P272" s="76">
        <f ca="1">IF(controls!$B$10=1,hystere!N272+hystere!M272,hystere!Q272)</f>
        <v>6</v>
      </c>
      <c r="Q272" s="74">
        <f ca="1">IF('main page'!$Y$53=1,'choose m.p.'!$I$22*100,R272)</f>
        <v>6</v>
      </c>
      <c r="R272" s="100">
        <f ca="1">'main page'!$K$29*M272+(1-'main page'!$K$29)*controls!$B$9+S272+(('main page'!$K$25*'main page'!$U$13*'main page'!$K$29)/('main page'!$K$27*(1+('main page'!$K$25^2)*'main page'!$U$13)))*(M272-(controls!$B$9/100)*100)</f>
        <v>6</v>
      </c>
      <c r="S272" s="98">
        <f ca="1">IF(controls!$B$33=1,(J273-E272*X273-B272)/'main page'!$K$27,(I273-E272*X273-B272)/'main page'!$K$27)</f>
        <v>4</v>
      </c>
      <c r="U272" s="71">
        <f>IF(controls!$B$6=1,$AG$4*(1+('main page'!$K$35/100))^V272-$AG$4*(1+('main page'!$K$35/100))^V271,$AG$4*(1+('main page'!$G$8/100))*(1+('main page'!$K$35/100))^V272-$AG$4*(1+('main page'!$G$8/100))*(1+('main page'!$K$35/100))^V271)</f>
        <v>0</v>
      </c>
      <c r="V272" s="73">
        <v>264</v>
      </c>
      <c r="W272" s="40">
        <f>'normal case'!V271</f>
        <v>0</v>
      </c>
      <c r="X272" s="40">
        <f>'normal case'!W271</f>
        <v>0</v>
      </c>
      <c r="Y272" s="49">
        <f ca="1">IF(controls!$B$33=1,E272-($J$4-'main page'!$K$27*2)*(1+('main page'!$K$35/100))^A271,E272-$AG$5)</f>
        <v>0</v>
      </c>
      <c r="Z272" s="49">
        <f ca="1">ABS(M272-(controls!$B$9/100)*100)</f>
        <v>0</v>
      </c>
      <c r="AI272" s="40"/>
      <c r="AJ272" s="40"/>
    </row>
    <row r="273" spans="1:36">
      <c r="A273" s="48">
        <v>270</v>
      </c>
      <c r="B273" s="75">
        <f ca="1">IF(controls!$B$6=2,AVERAGE(E269:E272)+B272*W273+hystere!$AG$9,AVERAGE(E269:E272)+B272*W273)</f>
        <v>100</v>
      </c>
      <c r="C273" s="80">
        <f t="shared" ca="1" si="25"/>
        <v>0</v>
      </c>
      <c r="D273" s="105">
        <f t="shared" ca="1" si="26"/>
        <v>0</v>
      </c>
      <c r="E273" s="77">
        <f t="shared" ca="1" si="27"/>
        <v>100</v>
      </c>
      <c r="F273" s="77">
        <f ca="1">IF('main page'!$K$34=1,hystere!H273,hystere!G273)</f>
        <v>100</v>
      </c>
      <c r="G273" s="94">
        <f ca="1">I273-'main page'!$K$27*hystere!N272</f>
        <v>100</v>
      </c>
      <c r="H273" s="75">
        <f ca="1">J273-'main page'!$K$27*N272</f>
        <v>100</v>
      </c>
      <c r="I273" s="75">
        <f t="shared" ca="1" si="22"/>
        <v>108</v>
      </c>
      <c r="J273" s="75">
        <f t="shared" ca="1" si="23"/>
        <v>108</v>
      </c>
      <c r="M273" s="75">
        <f ca="1">IF(ABS('main page'!$K$29*M272+(1-'main page'!$K$29)*(controls!$B$9/100)*100+'main page'!$K$25*(E273-B273)-M272)&lt;0.0000001,M272,'main page'!$K$29*M272+(1-'main page'!$K$29)*(controls!$B$9/100)*100+'main page'!$K$25*(E273-B273))</f>
        <v>2</v>
      </c>
      <c r="N273" s="75">
        <f ca="1">IF(controls!$B$10=1,N272,O273-'main page'!$K$29*M273-(1-'main page'!$K$29)*controls!$B$9)</f>
        <v>4</v>
      </c>
      <c r="O273" s="74">
        <f t="shared" ca="1" si="24"/>
        <v>6</v>
      </c>
      <c r="P273" s="76">
        <f ca="1">IF(controls!$B$10=1,hystere!N273+hystere!M273,hystere!Q273)</f>
        <v>6</v>
      </c>
      <c r="Q273" s="74">
        <f ca="1">IF('main page'!$Y$53=1,'choose m.p.'!$I$22*100,R273)</f>
        <v>6</v>
      </c>
      <c r="R273" s="100">
        <f ca="1">'main page'!$K$29*M273+(1-'main page'!$K$29)*controls!$B$9+S273+(('main page'!$K$25*'main page'!$U$13*'main page'!$K$29)/('main page'!$K$27*(1+('main page'!$K$25^2)*'main page'!$U$13)))*(M273-(controls!$B$9/100)*100)</f>
        <v>6</v>
      </c>
      <c r="S273" s="98">
        <f ca="1">IF(controls!$B$33=1,(J274-E273*X274-B273)/'main page'!$K$27,(I274-E273*X274-B273)/'main page'!$K$27)</f>
        <v>4</v>
      </c>
      <c r="U273" s="71">
        <f>IF(controls!$B$6=1,$AG$4*(1+('main page'!$K$35/100))^V273-$AG$4*(1+('main page'!$K$35/100))^V272,$AG$4*(1+('main page'!$G$8/100))*(1+('main page'!$K$35/100))^V273-$AG$4*(1+('main page'!$G$8/100))*(1+('main page'!$K$35/100))^V272)</f>
        <v>0</v>
      </c>
      <c r="V273" s="73">
        <v>265</v>
      </c>
      <c r="W273" s="40">
        <f ca="1">'normal case'!V272</f>
        <v>0</v>
      </c>
      <c r="X273" s="40">
        <f ca="1">'normal case'!W272</f>
        <v>0</v>
      </c>
      <c r="Y273" s="49">
        <f ca="1">IF(controls!$B$33=1,E273-($J$4-'main page'!$K$27*2)*(1+('main page'!$K$35/100))^A272,E273-$AG$5)</f>
        <v>0</v>
      </c>
      <c r="Z273" s="49">
        <f ca="1">ABS(M273-(controls!$B$9/100)*100)</f>
        <v>0</v>
      </c>
      <c r="AI273" s="40"/>
      <c r="AJ273" s="40"/>
    </row>
    <row r="274" spans="1:36">
      <c r="A274" s="48">
        <v>271</v>
      </c>
      <c r="B274" s="75">
        <f ca="1">IF(controls!$B$6=2,AVERAGE(E270:E273)+B273*W274+hystere!$AG$9,AVERAGE(E270:E273)+B273*W274)</f>
        <v>100</v>
      </c>
      <c r="C274" s="80">
        <f t="shared" ca="1" si="25"/>
        <v>0</v>
      </c>
      <c r="D274" s="105">
        <f t="shared" ca="1" si="26"/>
        <v>0</v>
      </c>
      <c r="E274" s="77">
        <f t="shared" ca="1" si="27"/>
        <v>100</v>
      </c>
      <c r="F274" s="77">
        <f ca="1">IF('main page'!$K$34=1,hystere!H274,hystere!G274)</f>
        <v>100</v>
      </c>
      <c r="G274" s="94">
        <f ca="1">I274-'main page'!$K$27*hystere!N273</f>
        <v>100</v>
      </c>
      <c r="H274" s="75">
        <f ca="1">J274-'main page'!$K$27*N273</f>
        <v>100</v>
      </c>
      <c r="I274" s="75">
        <f t="shared" ca="1" si="22"/>
        <v>108</v>
      </c>
      <c r="J274" s="75">
        <f t="shared" ca="1" si="23"/>
        <v>108</v>
      </c>
      <c r="M274" s="75">
        <f ca="1">IF(ABS('main page'!$K$29*M273+(1-'main page'!$K$29)*(controls!$B$9/100)*100+'main page'!$K$25*(E274-B274)-M273)&lt;0.0000001,M273,'main page'!$K$29*M273+(1-'main page'!$K$29)*(controls!$B$9/100)*100+'main page'!$K$25*(E274-B274))</f>
        <v>2</v>
      </c>
      <c r="N274" s="75">
        <f ca="1">IF(controls!$B$10=1,N273,O274-'main page'!$K$29*M274-(1-'main page'!$K$29)*controls!$B$9)</f>
        <v>4</v>
      </c>
      <c r="O274" s="74">
        <f t="shared" ca="1" si="24"/>
        <v>6</v>
      </c>
      <c r="P274" s="76">
        <f ca="1">IF(controls!$B$10=1,hystere!N274+hystere!M274,hystere!Q274)</f>
        <v>6</v>
      </c>
      <c r="Q274" s="74">
        <f ca="1">IF('main page'!$Y$53=1,'choose m.p.'!$I$22*100,R274)</f>
        <v>6</v>
      </c>
      <c r="R274" s="100">
        <f ca="1">'main page'!$K$29*M274+(1-'main page'!$K$29)*controls!$B$9+S274+(('main page'!$K$25*'main page'!$U$13*'main page'!$K$29)/('main page'!$K$27*(1+('main page'!$K$25^2)*'main page'!$U$13)))*(M274-(controls!$B$9/100)*100)</f>
        <v>6</v>
      </c>
      <c r="S274" s="98">
        <f ca="1">IF(controls!$B$33=1,(J275-E274*X275-B274)/'main page'!$K$27,(I275-E274*X275-B274)/'main page'!$K$27)</f>
        <v>4</v>
      </c>
      <c r="U274" s="71">
        <f>IF(controls!$B$6=1,$AG$4*(1+('main page'!$K$35/100))^V274-$AG$4*(1+('main page'!$K$35/100))^V273,$AG$4*(1+('main page'!$G$8/100))*(1+('main page'!$K$35/100))^V274-$AG$4*(1+('main page'!$G$8/100))*(1+('main page'!$K$35/100))^V273)</f>
        <v>0</v>
      </c>
      <c r="V274" s="73">
        <v>266</v>
      </c>
      <c r="W274" s="40">
        <f>'normal case'!V273</f>
        <v>0</v>
      </c>
      <c r="X274" s="40">
        <f>'normal case'!W273</f>
        <v>0</v>
      </c>
      <c r="Y274" s="49">
        <f ca="1">IF(controls!$B$33=1,E274-($J$4-'main page'!$K$27*2)*(1+('main page'!$K$35/100))^A273,E274-$AG$5)</f>
        <v>0</v>
      </c>
      <c r="Z274" s="49">
        <f ca="1">ABS(M274-(controls!$B$9/100)*100)</f>
        <v>0</v>
      </c>
      <c r="AI274" s="40"/>
      <c r="AJ274" s="40"/>
    </row>
    <row r="275" spans="1:36">
      <c r="A275" s="48">
        <v>272</v>
      </c>
      <c r="B275" s="75">
        <f ca="1">IF(controls!$B$6=2,AVERAGE(E271:E274)+B274*W275+hystere!$AG$9,AVERAGE(E271:E274)+B274*W275)</f>
        <v>100</v>
      </c>
      <c r="C275" s="80">
        <f t="shared" ca="1" si="25"/>
        <v>0</v>
      </c>
      <c r="D275" s="105">
        <f t="shared" ca="1" si="26"/>
        <v>0</v>
      </c>
      <c r="E275" s="77">
        <f t="shared" ca="1" si="27"/>
        <v>100</v>
      </c>
      <c r="F275" s="77">
        <f ca="1">IF('main page'!$K$34=1,hystere!H275,hystere!G275)</f>
        <v>100</v>
      </c>
      <c r="G275" s="94">
        <f ca="1">I275-'main page'!$K$27*hystere!N274</f>
        <v>100</v>
      </c>
      <c r="H275" s="75">
        <f ca="1">J275-'main page'!$K$27*N274</f>
        <v>100</v>
      </c>
      <c r="I275" s="75">
        <f t="shared" ca="1" si="22"/>
        <v>108</v>
      </c>
      <c r="J275" s="75">
        <f t="shared" ca="1" si="23"/>
        <v>108</v>
      </c>
      <c r="M275" s="75">
        <f ca="1">IF(ABS('main page'!$K$29*M274+(1-'main page'!$K$29)*(controls!$B$9/100)*100+'main page'!$K$25*(E275-B275)-M274)&lt;0.0000001,M274,'main page'!$K$29*M274+(1-'main page'!$K$29)*(controls!$B$9/100)*100+'main page'!$K$25*(E275-B275))</f>
        <v>2</v>
      </c>
      <c r="N275" s="75">
        <f ca="1">IF(controls!$B$10=1,N274,O275-'main page'!$K$29*M275-(1-'main page'!$K$29)*controls!$B$9)</f>
        <v>4</v>
      </c>
      <c r="O275" s="74">
        <f t="shared" ca="1" si="24"/>
        <v>6</v>
      </c>
      <c r="P275" s="76">
        <f ca="1">IF(controls!$B$10=1,hystere!N275+hystere!M275,hystere!Q275)</f>
        <v>6</v>
      </c>
      <c r="Q275" s="74">
        <f ca="1">IF('main page'!$Y$53=1,'choose m.p.'!$I$22*100,R275)</f>
        <v>6</v>
      </c>
      <c r="R275" s="100">
        <f ca="1">'main page'!$K$29*M275+(1-'main page'!$K$29)*controls!$B$9+S275+(('main page'!$K$25*'main page'!$U$13*'main page'!$K$29)/('main page'!$K$27*(1+('main page'!$K$25^2)*'main page'!$U$13)))*(M275-(controls!$B$9/100)*100)</f>
        <v>6</v>
      </c>
      <c r="S275" s="98">
        <f ca="1">IF(controls!$B$33=1,(J276-E275*X276-B275)/'main page'!$K$27,(I276-E275*X276-B275)/'main page'!$K$27)</f>
        <v>4</v>
      </c>
      <c r="U275" s="71">
        <f>IF(controls!$B$6=1,$AG$4*(1+('main page'!$K$35/100))^V275-$AG$4*(1+('main page'!$K$35/100))^V274,$AG$4*(1+('main page'!$G$8/100))*(1+('main page'!$K$35/100))^V275-$AG$4*(1+('main page'!$G$8/100))*(1+('main page'!$K$35/100))^V274)</f>
        <v>0</v>
      </c>
      <c r="V275" s="73">
        <v>267</v>
      </c>
      <c r="W275" s="40">
        <f>'normal case'!V274</f>
        <v>0</v>
      </c>
      <c r="X275" s="40">
        <f>'normal case'!W274</f>
        <v>0</v>
      </c>
      <c r="Y275" s="49">
        <f ca="1">IF(controls!$B$33=1,E275-($J$4-'main page'!$K$27*2)*(1+('main page'!$K$35/100))^A274,E275-$AG$5)</f>
        <v>0</v>
      </c>
      <c r="Z275" s="49">
        <f ca="1">ABS(M275-(controls!$B$9/100)*100)</f>
        <v>0</v>
      </c>
      <c r="AI275" s="40"/>
      <c r="AJ275" s="40"/>
    </row>
    <row r="276" spans="1:36">
      <c r="A276" s="48">
        <v>273</v>
      </c>
      <c r="B276" s="75">
        <f ca="1">IF(controls!$B$6=2,AVERAGE(E272:E275)+B275*W276+hystere!$AG$9,AVERAGE(E272:E275)+B275*W276)</f>
        <v>100</v>
      </c>
      <c r="C276" s="80">
        <f t="shared" ca="1" si="25"/>
        <v>0</v>
      </c>
      <c r="D276" s="105">
        <f t="shared" ca="1" si="26"/>
        <v>0</v>
      </c>
      <c r="E276" s="77">
        <f t="shared" ca="1" si="27"/>
        <v>100</v>
      </c>
      <c r="F276" s="77">
        <f ca="1">IF('main page'!$K$34=1,hystere!H276,hystere!G276)</f>
        <v>100</v>
      </c>
      <c r="G276" s="94">
        <f ca="1">I276-'main page'!$K$27*hystere!N275</f>
        <v>100</v>
      </c>
      <c r="H276" s="75">
        <f ca="1">J276-'main page'!$K$27*N275</f>
        <v>100</v>
      </c>
      <c r="I276" s="75">
        <f t="shared" ca="1" si="22"/>
        <v>108</v>
      </c>
      <c r="J276" s="75">
        <f t="shared" ca="1" si="23"/>
        <v>108</v>
      </c>
      <c r="M276" s="75">
        <f ca="1">IF(ABS('main page'!$K$29*M275+(1-'main page'!$K$29)*(controls!$B$9/100)*100+'main page'!$K$25*(E276-B276)-M275)&lt;0.0000001,M275,'main page'!$K$29*M275+(1-'main page'!$K$29)*(controls!$B$9/100)*100+'main page'!$K$25*(E276-B276))</f>
        <v>2</v>
      </c>
      <c r="N276" s="75">
        <f ca="1">IF(controls!$B$10=1,N275,O276-'main page'!$K$29*M276-(1-'main page'!$K$29)*controls!$B$9)</f>
        <v>4</v>
      </c>
      <c r="O276" s="74">
        <f t="shared" ca="1" si="24"/>
        <v>6</v>
      </c>
      <c r="P276" s="76">
        <f ca="1">IF(controls!$B$10=1,hystere!N276+hystere!M276,hystere!Q276)</f>
        <v>6</v>
      </c>
      <c r="Q276" s="74">
        <f ca="1">IF('main page'!$Y$53=1,'choose m.p.'!$I$22*100,R276)</f>
        <v>6</v>
      </c>
      <c r="R276" s="100">
        <f ca="1">'main page'!$K$29*M276+(1-'main page'!$K$29)*controls!$B$9+S276+(('main page'!$K$25*'main page'!$U$13*'main page'!$K$29)/('main page'!$K$27*(1+('main page'!$K$25^2)*'main page'!$U$13)))*(M276-(controls!$B$9/100)*100)</f>
        <v>6</v>
      </c>
      <c r="S276" s="98">
        <f ca="1">IF(controls!$B$33=1,(J277-E276*X277-B276)/'main page'!$K$27,(I277-E276*X277-B276)/'main page'!$K$27)</f>
        <v>4</v>
      </c>
      <c r="U276" s="71">
        <f>IF(controls!$B$6=1,$AG$4*(1+('main page'!$K$35/100))^V276-$AG$4*(1+('main page'!$K$35/100))^V275,$AG$4*(1+('main page'!$G$8/100))*(1+('main page'!$K$35/100))^V276-$AG$4*(1+('main page'!$G$8/100))*(1+('main page'!$K$35/100))^V275)</f>
        <v>0</v>
      </c>
      <c r="V276" s="73">
        <v>268</v>
      </c>
      <c r="W276" s="40">
        <f ca="1">'normal case'!V275</f>
        <v>0</v>
      </c>
      <c r="X276" s="40">
        <f ca="1">'normal case'!W275</f>
        <v>0</v>
      </c>
      <c r="Y276" s="49">
        <f ca="1">IF(controls!$B$33=1,E276-($J$4-'main page'!$K$27*2)*(1+('main page'!$K$35/100))^A275,E276-$AG$5)</f>
        <v>0</v>
      </c>
      <c r="Z276" s="49">
        <f ca="1">ABS(M276-(controls!$B$9/100)*100)</f>
        <v>0</v>
      </c>
      <c r="AI276" s="40"/>
      <c r="AJ276" s="40"/>
    </row>
    <row r="277" spans="1:36">
      <c r="A277" s="48">
        <v>274</v>
      </c>
      <c r="B277" s="75">
        <f ca="1">IF(controls!$B$6=2,AVERAGE(E273:E276)+B276*W277+hystere!$AG$9,AVERAGE(E273:E276)+B276*W277)</f>
        <v>100</v>
      </c>
      <c r="C277" s="80">
        <f t="shared" ca="1" si="25"/>
        <v>0</v>
      </c>
      <c r="D277" s="105">
        <f t="shared" ca="1" si="26"/>
        <v>0</v>
      </c>
      <c r="E277" s="77">
        <f t="shared" ca="1" si="27"/>
        <v>100</v>
      </c>
      <c r="F277" s="77">
        <f ca="1">IF('main page'!$K$34=1,hystere!H277,hystere!G277)</f>
        <v>100</v>
      </c>
      <c r="G277" s="94">
        <f ca="1">I277-'main page'!$K$27*hystere!N276</f>
        <v>100</v>
      </c>
      <c r="H277" s="75">
        <f ca="1">J277-'main page'!$K$27*N276</f>
        <v>100</v>
      </c>
      <c r="I277" s="75">
        <f t="shared" ca="1" si="22"/>
        <v>108</v>
      </c>
      <c r="J277" s="75">
        <f t="shared" ca="1" si="23"/>
        <v>108</v>
      </c>
      <c r="M277" s="75">
        <f ca="1">IF(ABS('main page'!$K$29*M276+(1-'main page'!$K$29)*(controls!$B$9/100)*100+'main page'!$K$25*(E277-B277)-M276)&lt;0.0000001,M276,'main page'!$K$29*M276+(1-'main page'!$K$29)*(controls!$B$9/100)*100+'main page'!$K$25*(E277-B277))</f>
        <v>2</v>
      </c>
      <c r="N277" s="75">
        <f ca="1">IF(controls!$B$10=1,N276,O277-'main page'!$K$29*M277-(1-'main page'!$K$29)*controls!$B$9)</f>
        <v>4</v>
      </c>
      <c r="O277" s="74">
        <f t="shared" ca="1" si="24"/>
        <v>6</v>
      </c>
      <c r="P277" s="76">
        <f ca="1">IF(controls!$B$10=1,hystere!N277+hystere!M277,hystere!Q277)</f>
        <v>6</v>
      </c>
      <c r="Q277" s="74">
        <f ca="1">IF('main page'!$Y$53=1,'choose m.p.'!$I$22*100,R277)</f>
        <v>6</v>
      </c>
      <c r="R277" s="100">
        <f ca="1">'main page'!$K$29*M277+(1-'main page'!$K$29)*controls!$B$9+S277+(('main page'!$K$25*'main page'!$U$13*'main page'!$K$29)/('main page'!$K$27*(1+('main page'!$K$25^2)*'main page'!$U$13)))*(M277-(controls!$B$9/100)*100)</f>
        <v>6</v>
      </c>
      <c r="S277" s="98">
        <f ca="1">IF(controls!$B$33=1,(J278-E277*X278-B277)/'main page'!$K$27,(I278-E277*X278-B277)/'main page'!$K$27)</f>
        <v>4</v>
      </c>
      <c r="U277" s="71">
        <f>IF(controls!$B$6=1,$AG$4*(1+('main page'!$K$35/100))^V277-$AG$4*(1+('main page'!$K$35/100))^V276,$AG$4*(1+('main page'!$G$8/100))*(1+('main page'!$K$35/100))^V277-$AG$4*(1+('main page'!$G$8/100))*(1+('main page'!$K$35/100))^V276)</f>
        <v>0</v>
      </c>
      <c r="V277" s="73">
        <v>269</v>
      </c>
      <c r="W277" s="40">
        <f>'normal case'!V276</f>
        <v>0</v>
      </c>
      <c r="X277" s="40">
        <f>'normal case'!W276</f>
        <v>0</v>
      </c>
      <c r="Y277" s="49">
        <f ca="1">IF(controls!$B$33=1,E277-($J$4-'main page'!$K$27*2)*(1+('main page'!$K$35/100))^A276,E277-$AG$5)</f>
        <v>0</v>
      </c>
      <c r="Z277" s="49">
        <f ca="1">ABS(M277-(controls!$B$9/100)*100)</f>
        <v>0</v>
      </c>
      <c r="AI277" s="40"/>
      <c r="AJ277" s="40"/>
    </row>
    <row r="278" spans="1:36">
      <c r="A278" s="48">
        <v>275</v>
      </c>
      <c r="B278" s="75">
        <f ca="1">IF(controls!$B$6=2,AVERAGE(E274:E277)+B277*W278+hystere!$AG$9,AVERAGE(E274:E277)+B277*W278)</f>
        <v>100</v>
      </c>
      <c r="C278" s="80">
        <f t="shared" ca="1" si="25"/>
        <v>0</v>
      </c>
      <c r="D278" s="105">
        <f t="shared" ca="1" si="26"/>
        <v>0</v>
      </c>
      <c r="E278" s="77">
        <f t="shared" ca="1" si="27"/>
        <v>100</v>
      </c>
      <c r="F278" s="77">
        <f ca="1">IF('main page'!$K$34=1,hystere!H278,hystere!G278)</f>
        <v>100</v>
      </c>
      <c r="G278" s="94">
        <f ca="1">I278-'main page'!$K$27*hystere!N277</f>
        <v>100</v>
      </c>
      <c r="H278" s="75">
        <f ca="1">J278-'main page'!$K$27*N277</f>
        <v>100</v>
      </c>
      <c r="I278" s="75">
        <f t="shared" ca="1" si="22"/>
        <v>108</v>
      </c>
      <c r="J278" s="75">
        <f t="shared" ca="1" si="23"/>
        <v>108</v>
      </c>
      <c r="M278" s="75">
        <f ca="1">IF(ABS('main page'!$K$29*M277+(1-'main page'!$K$29)*(controls!$B$9/100)*100+'main page'!$K$25*(E278-B278)-M277)&lt;0.0000001,M277,'main page'!$K$29*M277+(1-'main page'!$K$29)*(controls!$B$9/100)*100+'main page'!$K$25*(E278-B278))</f>
        <v>2</v>
      </c>
      <c r="N278" s="75">
        <f ca="1">IF(controls!$B$10=1,N277,O278-'main page'!$K$29*M278-(1-'main page'!$K$29)*controls!$B$9)</f>
        <v>4</v>
      </c>
      <c r="O278" s="74">
        <f t="shared" ca="1" si="24"/>
        <v>6</v>
      </c>
      <c r="P278" s="76">
        <f ca="1">IF(controls!$B$10=1,hystere!N278+hystere!M278,hystere!Q278)</f>
        <v>6</v>
      </c>
      <c r="Q278" s="74">
        <f ca="1">IF('main page'!$Y$53=1,'choose m.p.'!$I$22*100,R278)</f>
        <v>6</v>
      </c>
      <c r="R278" s="100">
        <f ca="1">'main page'!$K$29*M278+(1-'main page'!$K$29)*controls!$B$9+S278+(('main page'!$K$25*'main page'!$U$13*'main page'!$K$29)/('main page'!$K$27*(1+('main page'!$K$25^2)*'main page'!$U$13)))*(M278-(controls!$B$9/100)*100)</f>
        <v>6</v>
      </c>
      <c r="S278" s="98">
        <f ca="1">IF(controls!$B$33=1,(J279-E278*X279-B278)/'main page'!$K$27,(I279-E278*X279-B278)/'main page'!$K$27)</f>
        <v>4</v>
      </c>
      <c r="U278" s="71">
        <f>IF(controls!$B$6=1,$AG$4*(1+('main page'!$K$35/100))^V278-$AG$4*(1+('main page'!$K$35/100))^V277,$AG$4*(1+('main page'!$G$8/100))*(1+('main page'!$K$35/100))^V278-$AG$4*(1+('main page'!$G$8/100))*(1+('main page'!$K$35/100))^V277)</f>
        <v>0</v>
      </c>
      <c r="V278" s="73">
        <v>270</v>
      </c>
      <c r="W278" s="40">
        <f>'normal case'!V277</f>
        <v>0</v>
      </c>
      <c r="X278" s="40">
        <f>'normal case'!W277</f>
        <v>0</v>
      </c>
      <c r="Y278" s="49">
        <f ca="1">IF(controls!$B$33=1,E278-($J$4-'main page'!$K$27*2)*(1+('main page'!$K$35/100))^A277,E278-$AG$5)</f>
        <v>0</v>
      </c>
      <c r="Z278" s="49">
        <f ca="1">ABS(M278-(controls!$B$9/100)*100)</f>
        <v>0</v>
      </c>
      <c r="AI278" s="40"/>
      <c r="AJ278" s="40"/>
    </row>
    <row r="279" spans="1:36">
      <c r="A279" s="48">
        <v>276</v>
      </c>
      <c r="B279" s="75">
        <f ca="1">IF(controls!$B$6=2,AVERAGE(E275:E278)+B278*W279+hystere!$AG$9,AVERAGE(E275:E278)+B278*W279)</f>
        <v>100</v>
      </c>
      <c r="C279" s="80">
        <f t="shared" ca="1" si="25"/>
        <v>0</v>
      </c>
      <c r="D279" s="105">
        <f t="shared" ca="1" si="26"/>
        <v>0</v>
      </c>
      <c r="E279" s="77">
        <f t="shared" ca="1" si="27"/>
        <v>100</v>
      </c>
      <c r="F279" s="77">
        <f ca="1">IF('main page'!$K$34=1,hystere!H279,hystere!G279)</f>
        <v>100</v>
      </c>
      <c r="G279" s="94">
        <f ca="1">I279-'main page'!$K$27*hystere!N278</f>
        <v>100</v>
      </c>
      <c r="H279" s="75">
        <f ca="1">J279-'main page'!$K$27*N278</f>
        <v>100</v>
      </c>
      <c r="I279" s="75">
        <f t="shared" ca="1" si="22"/>
        <v>108</v>
      </c>
      <c r="J279" s="75">
        <f t="shared" ca="1" si="23"/>
        <v>108</v>
      </c>
      <c r="M279" s="75">
        <f ca="1">IF(ABS('main page'!$K$29*M278+(1-'main page'!$K$29)*(controls!$B$9/100)*100+'main page'!$K$25*(E279-B279)-M278)&lt;0.0000001,M278,'main page'!$K$29*M278+(1-'main page'!$K$29)*(controls!$B$9/100)*100+'main page'!$K$25*(E279-B279))</f>
        <v>2</v>
      </c>
      <c r="N279" s="75">
        <f ca="1">IF(controls!$B$10=1,N278,O279-'main page'!$K$29*M279-(1-'main page'!$K$29)*controls!$B$9)</f>
        <v>4</v>
      </c>
      <c r="O279" s="74">
        <f t="shared" ca="1" si="24"/>
        <v>6</v>
      </c>
      <c r="P279" s="76">
        <f ca="1">IF(controls!$B$10=1,hystere!N279+hystere!M279,hystere!Q279)</f>
        <v>6</v>
      </c>
      <c r="Q279" s="74">
        <f ca="1">IF('main page'!$Y$53=1,'choose m.p.'!$I$22*100,R279)</f>
        <v>6</v>
      </c>
      <c r="R279" s="100">
        <f ca="1">'main page'!$K$29*M279+(1-'main page'!$K$29)*controls!$B$9+S279+(('main page'!$K$25*'main page'!$U$13*'main page'!$K$29)/('main page'!$K$27*(1+('main page'!$K$25^2)*'main page'!$U$13)))*(M279-(controls!$B$9/100)*100)</f>
        <v>6</v>
      </c>
      <c r="S279" s="98">
        <f ca="1">IF(controls!$B$33=1,(J280-E279*X280-B279)/'main page'!$K$27,(I280-E279*X280-B279)/'main page'!$K$27)</f>
        <v>4</v>
      </c>
      <c r="U279" s="71">
        <f>IF(controls!$B$6=1,$AG$4*(1+('main page'!$K$35/100))^V279-$AG$4*(1+('main page'!$K$35/100))^V278,$AG$4*(1+('main page'!$G$8/100))*(1+('main page'!$K$35/100))^V279-$AG$4*(1+('main page'!$G$8/100))*(1+('main page'!$K$35/100))^V278)</f>
        <v>0</v>
      </c>
      <c r="V279" s="73">
        <v>271</v>
      </c>
      <c r="W279" s="40">
        <f ca="1">'normal case'!V278</f>
        <v>0</v>
      </c>
      <c r="X279" s="40">
        <f ca="1">'normal case'!W278</f>
        <v>0</v>
      </c>
      <c r="Y279" s="49">
        <f ca="1">IF(controls!$B$33=1,E279-($J$4-'main page'!$K$27*2)*(1+('main page'!$K$35/100))^A278,E279-$AG$5)</f>
        <v>0</v>
      </c>
      <c r="Z279" s="49">
        <f ca="1">ABS(M279-(controls!$B$9/100)*100)</f>
        <v>0</v>
      </c>
      <c r="AI279" s="40"/>
      <c r="AJ279" s="40"/>
    </row>
    <row r="280" spans="1:36">
      <c r="A280" s="48">
        <v>277</v>
      </c>
      <c r="B280" s="75">
        <f ca="1">IF(controls!$B$6=2,AVERAGE(E276:E279)+B279*W280+hystere!$AG$9,AVERAGE(E276:E279)+B279*W280)</f>
        <v>100</v>
      </c>
      <c r="C280" s="80">
        <f t="shared" ca="1" si="25"/>
        <v>0</v>
      </c>
      <c r="D280" s="105">
        <f t="shared" ca="1" si="26"/>
        <v>0</v>
      </c>
      <c r="E280" s="77">
        <f t="shared" ca="1" si="27"/>
        <v>100</v>
      </c>
      <c r="F280" s="77">
        <f ca="1">IF('main page'!$K$34=1,hystere!H280,hystere!G280)</f>
        <v>100</v>
      </c>
      <c r="G280" s="94">
        <f ca="1">I280-'main page'!$K$27*hystere!N279</f>
        <v>100</v>
      </c>
      <c r="H280" s="75">
        <f ca="1">J280-'main page'!$K$27*N279</f>
        <v>100</v>
      </c>
      <c r="I280" s="75">
        <f t="shared" ca="1" si="22"/>
        <v>108</v>
      </c>
      <c r="J280" s="75">
        <f t="shared" ca="1" si="23"/>
        <v>108</v>
      </c>
      <c r="M280" s="75">
        <f ca="1">IF(ABS('main page'!$K$29*M279+(1-'main page'!$K$29)*(controls!$B$9/100)*100+'main page'!$K$25*(E280-B280)-M279)&lt;0.0000001,M279,'main page'!$K$29*M279+(1-'main page'!$K$29)*(controls!$B$9/100)*100+'main page'!$K$25*(E280-B280))</f>
        <v>2</v>
      </c>
      <c r="N280" s="75">
        <f ca="1">IF(controls!$B$10=1,N279,O280-'main page'!$K$29*M280-(1-'main page'!$K$29)*controls!$B$9)</f>
        <v>4</v>
      </c>
      <c r="O280" s="74">
        <f t="shared" ca="1" si="24"/>
        <v>6</v>
      </c>
      <c r="P280" s="76">
        <f ca="1">IF(controls!$B$10=1,hystere!N280+hystere!M280,hystere!Q280)</f>
        <v>6</v>
      </c>
      <c r="Q280" s="74">
        <f ca="1">IF('main page'!$Y$53=1,'choose m.p.'!$I$22*100,R280)</f>
        <v>6</v>
      </c>
      <c r="R280" s="100">
        <f ca="1">'main page'!$K$29*M280+(1-'main page'!$K$29)*controls!$B$9+S280+(('main page'!$K$25*'main page'!$U$13*'main page'!$K$29)/('main page'!$K$27*(1+('main page'!$K$25^2)*'main page'!$U$13)))*(M280-(controls!$B$9/100)*100)</f>
        <v>6</v>
      </c>
      <c r="S280" s="98">
        <f ca="1">IF(controls!$B$33=1,(J281-E280*X281-B280)/'main page'!$K$27,(I281-E280*X281-B280)/'main page'!$K$27)</f>
        <v>4</v>
      </c>
      <c r="U280" s="71">
        <f>IF(controls!$B$6=1,$AG$4*(1+('main page'!$K$35/100))^V280-$AG$4*(1+('main page'!$K$35/100))^V279,$AG$4*(1+('main page'!$G$8/100))*(1+('main page'!$K$35/100))^V280-$AG$4*(1+('main page'!$G$8/100))*(1+('main page'!$K$35/100))^V279)</f>
        <v>0</v>
      </c>
      <c r="V280" s="73">
        <v>272</v>
      </c>
      <c r="W280" s="40">
        <f>'normal case'!V279</f>
        <v>0</v>
      </c>
      <c r="X280" s="40">
        <f>'normal case'!W279</f>
        <v>0</v>
      </c>
      <c r="Y280" s="49">
        <f ca="1">IF(controls!$B$33=1,E280-($J$4-'main page'!$K$27*2)*(1+('main page'!$K$35/100))^A279,E280-$AG$5)</f>
        <v>0</v>
      </c>
      <c r="Z280" s="49">
        <f ca="1">ABS(M280-(controls!$B$9/100)*100)</f>
        <v>0</v>
      </c>
      <c r="AI280" s="40"/>
      <c r="AJ280" s="40"/>
    </row>
    <row r="281" spans="1:36">
      <c r="A281" s="48">
        <v>278</v>
      </c>
      <c r="B281" s="75">
        <f ca="1">IF(controls!$B$6=2,AVERAGE(E277:E280)+B280*W281+hystere!$AG$9,AVERAGE(E277:E280)+B280*W281)</f>
        <v>100</v>
      </c>
      <c r="C281" s="80">
        <f t="shared" ca="1" si="25"/>
        <v>0</v>
      </c>
      <c r="D281" s="105">
        <f t="shared" ca="1" si="26"/>
        <v>0</v>
      </c>
      <c r="E281" s="77">
        <f t="shared" ca="1" si="27"/>
        <v>100</v>
      </c>
      <c r="F281" s="77">
        <f ca="1">IF('main page'!$K$34=1,hystere!H281,hystere!G281)</f>
        <v>100</v>
      </c>
      <c r="G281" s="94">
        <f ca="1">I281-'main page'!$K$27*hystere!N280</f>
        <v>100</v>
      </c>
      <c r="H281" s="75">
        <f ca="1">J281-'main page'!$K$27*N280</f>
        <v>100</v>
      </c>
      <c r="I281" s="75">
        <f t="shared" ref="I281:I344" ca="1" si="28">I280+E280*X281</f>
        <v>108</v>
      </c>
      <c r="J281" s="75">
        <f t="shared" ref="J281:J344" ca="1" si="29">J280+E280*X281+U281</f>
        <v>108</v>
      </c>
      <c r="M281" s="75">
        <f ca="1">IF(ABS('main page'!$K$29*M280+(1-'main page'!$K$29)*(controls!$B$9/100)*100+'main page'!$K$25*(E281-B281)-M280)&lt;0.0000001,M280,'main page'!$K$29*M280+(1-'main page'!$K$29)*(controls!$B$9/100)*100+'main page'!$K$25*(E281-B281))</f>
        <v>2</v>
      </c>
      <c r="N281" s="75">
        <f ca="1">IF(controls!$B$10=1,N280,O281-'main page'!$K$29*M281-(1-'main page'!$K$29)*controls!$B$9)</f>
        <v>4</v>
      </c>
      <c r="O281" s="74">
        <f t="shared" ca="1" si="24"/>
        <v>6</v>
      </c>
      <c r="P281" s="76">
        <f ca="1">IF(controls!$B$10=1,hystere!N281+hystere!M281,hystere!Q281)</f>
        <v>6</v>
      </c>
      <c r="Q281" s="74">
        <f ca="1">IF('main page'!$Y$53=1,'choose m.p.'!$I$22*100,R281)</f>
        <v>6</v>
      </c>
      <c r="R281" s="100">
        <f ca="1">'main page'!$K$29*M281+(1-'main page'!$K$29)*controls!$B$9+S281+(('main page'!$K$25*'main page'!$U$13*'main page'!$K$29)/('main page'!$K$27*(1+('main page'!$K$25^2)*'main page'!$U$13)))*(M281-(controls!$B$9/100)*100)</f>
        <v>6</v>
      </c>
      <c r="S281" s="98">
        <f ca="1">IF(controls!$B$33=1,(J282-E281*X282-B281)/'main page'!$K$27,(I282-E281*X282-B281)/'main page'!$K$27)</f>
        <v>4</v>
      </c>
      <c r="U281" s="71">
        <f>IF(controls!$B$6=1,$AG$4*(1+('main page'!$K$35/100))^V281-$AG$4*(1+('main page'!$K$35/100))^V280,$AG$4*(1+('main page'!$G$8/100))*(1+('main page'!$K$35/100))^V281-$AG$4*(1+('main page'!$G$8/100))*(1+('main page'!$K$35/100))^V280)</f>
        <v>0</v>
      </c>
      <c r="V281" s="73">
        <v>273</v>
      </c>
      <c r="W281" s="40">
        <f>'normal case'!V280</f>
        <v>0</v>
      </c>
      <c r="X281" s="40">
        <f>'normal case'!W280</f>
        <v>0</v>
      </c>
      <c r="Y281" s="49">
        <f ca="1">IF(controls!$B$33=1,E281-($J$4-'main page'!$K$27*2)*(1+('main page'!$K$35/100))^A280,E281-$AG$5)</f>
        <v>0</v>
      </c>
      <c r="Z281" s="49">
        <f ca="1">ABS(M281-(controls!$B$9/100)*100)</f>
        <v>0</v>
      </c>
      <c r="AI281" s="40"/>
      <c r="AJ281" s="40"/>
    </row>
    <row r="282" spans="1:36">
      <c r="A282" s="48">
        <v>279</v>
      </c>
      <c r="B282" s="75">
        <f ca="1">IF(controls!$B$6=2,AVERAGE(E278:E281)+B281*W282+hystere!$AG$9,AVERAGE(E278:E281)+B281*W282)</f>
        <v>100</v>
      </c>
      <c r="C282" s="80">
        <f t="shared" ca="1" si="25"/>
        <v>0</v>
      </c>
      <c r="D282" s="105">
        <f t="shared" ca="1" si="26"/>
        <v>0</v>
      </c>
      <c r="E282" s="77">
        <f t="shared" ca="1" si="27"/>
        <v>100</v>
      </c>
      <c r="F282" s="77">
        <f ca="1">IF('main page'!$K$34=1,hystere!H282,hystere!G282)</f>
        <v>100</v>
      </c>
      <c r="G282" s="94">
        <f ca="1">I282-'main page'!$K$27*hystere!N281</f>
        <v>100</v>
      </c>
      <c r="H282" s="75">
        <f ca="1">J282-'main page'!$K$27*N281</f>
        <v>100</v>
      </c>
      <c r="I282" s="75">
        <f t="shared" ca="1" si="28"/>
        <v>108</v>
      </c>
      <c r="J282" s="75">
        <f t="shared" ca="1" si="29"/>
        <v>108</v>
      </c>
      <c r="M282" s="75">
        <f ca="1">IF(ABS('main page'!$K$29*M281+(1-'main page'!$K$29)*(controls!$B$9/100)*100+'main page'!$K$25*(E282-B282)-M281)&lt;0.0000001,M281,'main page'!$K$29*M281+(1-'main page'!$K$29)*(controls!$B$9/100)*100+'main page'!$K$25*(E282-B282))</f>
        <v>2</v>
      </c>
      <c r="N282" s="75">
        <f ca="1">IF(controls!$B$10=1,N281,O282-'main page'!$K$29*M282-(1-'main page'!$K$29)*controls!$B$9)</f>
        <v>4</v>
      </c>
      <c r="O282" s="74">
        <f t="shared" ca="1" si="24"/>
        <v>6</v>
      </c>
      <c r="P282" s="76">
        <f ca="1">IF(controls!$B$10=1,hystere!N282+hystere!M282,hystere!Q282)</f>
        <v>6</v>
      </c>
      <c r="Q282" s="74">
        <f ca="1">IF('main page'!$Y$53=1,'choose m.p.'!$I$22*100,R282)</f>
        <v>6</v>
      </c>
      <c r="R282" s="100">
        <f ca="1">'main page'!$K$29*M282+(1-'main page'!$K$29)*controls!$B$9+S282+(('main page'!$K$25*'main page'!$U$13*'main page'!$K$29)/('main page'!$K$27*(1+('main page'!$K$25^2)*'main page'!$U$13)))*(M282-(controls!$B$9/100)*100)</f>
        <v>6</v>
      </c>
      <c r="S282" s="98">
        <f ca="1">IF(controls!$B$33=1,(J283-E282*X283-B282)/'main page'!$K$27,(I283-E282*X283-B282)/'main page'!$K$27)</f>
        <v>4</v>
      </c>
      <c r="U282" s="71">
        <f>IF(controls!$B$6=1,$AG$4*(1+('main page'!$K$35/100))^V282-$AG$4*(1+('main page'!$K$35/100))^V281,$AG$4*(1+('main page'!$G$8/100))*(1+('main page'!$K$35/100))^V282-$AG$4*(1+('main page'!$G$8/100))*(1+('main page'!$K$35/100))^V281)</f>
        <v>0</v>
      </c>
      <c r="V282" s="73">
        <v>274</v>
      </c>
      <c r="W282" s="40">
        <f ca="1">'normal case'!V281</f>
        <v>0</v>
      </c>
      <c r="X282" s="40">
        <f ca="1">'normal case'!W281</f>
        <v>0</v>
      </c>
      <c r="Y282" s="49">
        <f ca="1">IF(controls!$B$33=1,E282-($J$4-'main page'!$K$27*2)*(1+('main page'!$K$35/100))^A281,E282-$AG$5)</f>
        <v>0</v>
      </c>
      <c r="Z282" s="49">
        <f ca="1">ABS(M282-(controls!$B$9/100)*100)</f>
        <v>0</v>
      </c>
      <c r="AI282" s="40"/>
      <c r="AJ282" s="40"/>
    </row>
    <row r="283" spans="1:36">
      <c r="A283" s="48">
        <v>280</v>
      </c>
      <c r="B283" s="75">
        <f ca="1">IF(controls!$B$6=2,AVERAGE(E279:E282)+B282*W283+hystere!$AG$9,AVERAGE(E279:E282)+B282*W283)</f>
        <v>100</v>
      </c>
      <c r="C283" s="80">
        <f t="shared" ca="1" si="25"/>
        <v>0</v>
      </c>
      <c r="D283" s="105">
        <f t="shared" ca="1" si="26"/>
        <v>0</v>
      </c>
      <c r="E283" s="77">
        <f t="shared" ca="1" si="27"/>
        <v>100</v>
      </c>
      <c r="F283" s="77">
        <f ca="1">IF('main page'!$K$34=1,hystere!H283,hystere!G283)</f>
        <v>100</v>
      </c>
      <c r="G283" s="94">
        <f ca="1">I283-'main page'!$K$27*hystere!N282</f>
        <v>100</v>
      </c>
      <c r="H283" s="75">
        <f ca="1">J283-'main page'!$K$27*N282</f>
        <v>100</v>
      </c>
      <c r="I283" s="75">
        <f t="shared" ca="1" si="28"/>
        <v>108</v>
      </c>
      <c r="J283" s="75">
        <f t="shared" ca="1" si="29"/>
        <v>108</v>
      </c>
      <c r="M283" s="75">
        <f ca="1">IF(ABS('main page'!$K$29*M282+(1-'main page'!$K$29)*(controls!$B$9/100)*100+'main page'!$K$25*(E283-B283)-M282)&lt;0.0000001,M282,'main page'!$K$29*M282+(1-'main page'!$K$29)*(controls!$B$9/100)*100+'main page'!$K$25*(E283-B283))</f>
        <v>2</v>
      </c>
      <c r="N283" s="75">
        <f ca="1">IF(controls!$B$10=1,N282,O283-'main page'!$K$29*M283-(1-'main page'!$K$29)*controls!$B$9)</f>
        <v>4</v>
      </c>
      <c r="O283" s="74">
        <f t="shared" ca="1" si="24"/>
        <v>6</v>
      </c>
      <c r="P283" s="76">
        <f ca="1">IF(controls!$B$10=1,hystere!N283+hystere!M283,hystere!Q283)</f>
        <v>6</v>
      </c>
      <c r="Q283" s="74">
        <f ca="1">IF('main page'!$Y$53=1,'choose m.p.'!$I$22*100,R283)</f>
        <v>6</v>
      </c>
      <c r="R283" s="100">
        <f ca="1">'main page'!$K$29*M283+(1-'main page'!$K$29)*controls!$B$9+S283+(('main page'!$K$25*'main page'!$U$13*'main page'!$K$29)/('main page'!$K$27*(1+('main page'!$K$25^2)*'main page'!$U$13)))*(M283-(controls!$B$9/100)*100)</f>
        <v>6</v>
      </c>
      <c r="S283" s="98">
        <f ca="1">IF(controls!$B$33=1,(J284-E283*X284-B283)/'main page'!$K$27,(I284-E283*X284-B283)/'main page'!$K$27)</f>
        <v>4</v>
      </c>
      <c r="U283" s="71">
        <f>IF(controls!$B$6=1,$AG$4*(1+('main page'!$K$35/100))^V283-$AG$4*(1+('main page'!$K$35/100))^V282,$AG$4*(1+('main page'!$G$8/100))*(1+('main page'!$K$35/100))^V283-$AG$4*(1+('main page'!$G$8/100))*(1+('main page'!$K$35/100))^V282)</f>
        <v>0</v>
      </c>
      <c r="V283" s="73">
        <v>275</v>
      </c>
      <c r="W283" s="40">
        <f>'normal case'!V282</f>
        <v>0</v>
      </c>
      <c r="X283" s="40">
        <f>'normal case'!W282</f>
        <v>0</v>
      </c>
      <c r="Y283" s="49">
        <f ca="1">IF(controls!$B$33=1,E283-($J$4-'main page'!$K$27*2)*(1+('main page'!$K$35/100))^A282,E283-$AG$5)</f>
        <v>0</v>
      </c>
      <c r="Z283" s="49">
        <f ca="1">ABS(M283-(controls!$B$9/100)*100)</f>
        <v>0</v>
      </c>
      <c r="AI283" s="40"/>
      <c r="AJ283" s="40"/>
    </row>
    <row r="284" spans="1:36">
      <c r="A284" s="48">
        <v>281</v>
      </c>
      <c r="B284" s="75">
        <f ca="1">IF(controls!$B$6=2,AVERAGE(E280:E283)+B283*W284+hystere!$AG$9,AVERAGE(E280:E283)+B283*W284)</f>
        <v>100</v>
      </c>
      <c r="C284" s="80">
        <f t="shared" ca="1" si="25"/>
        <v>0</v>
      </c>
      <c r="D284" s="105">
        <f t="shared" ca="1" si="26"/>
        <v>0</v>
      </c>
      <c r="E284" s="77">
        <f t="shared" ca="1" si="27"/>
        <v>100</v>
      </c>
      <c r="F284" s="77">
        <f ca="1">IF('main page'!$K$34=1,hystere!H284,hystere!G284)</f>
        <v>100</v>
      </c>
      <c r="G284" s="94">
        <f ca="1">I284-'main page'!$K$27*hystere!N283</f>
        <v>100</v>
      </c>
      <c r="H284" s="75">
        <f ca="1">J284-'main page'!$K$27*N283</f>
        <v>100</v>
      </c>
      <c r="I284" s="75">
        <f t="shared" ca="1" si="28"/>
        <v>108</v>
      </c>
      <c r="J284" s="75">
        <f t="shared" ca="1" si="29"/>
        <v>108</v>
      </c>
      <c r="M284" s="75">
        <f ca="1">IF(ABS('main page'!$K$29*M283+(1-'main page'!$K$29)*(controls!$B$9/100)*100+'main page'!$K$25*(E284-B284)-M283)&lt;0.0000001,M283,'main page'!$K$29*M283+(1-'main page'!$K$29)*(controls!$B$9/100)*100+'main page'!$K$25*(E284-B284))</f>
        <v>2</v>
      </c>
      <c r="N284" s="75">
        <f ca="1">IF(controls!$B$10=1,N283,O284-'main page'!$K$29*M284-(1-'main page'!$K$29)*controls!$B$9)</f>
        <v>4</v>
      </c>
      <c r="O284" s="74">
        <f t="shared" ca="1" si="24"/>
        <v>6</v>
      </c>
      <c r="P284" s="76">
        <f ca="1">IF(controls!$B$10=1,hystere!N284+hystere!M284,hystere!Q284)</f>
        <v>6</v>
      </c>
      <c r="Q284" s="74">
        <f ca="1">IF('main page'!$Y$53=1,'choose m.p.'!$I$22*100,R284)</f>
        <v>6</v>
      </c>
      <c r="R284" s="100">
        <f ca="1">'main page'!$K$29*M284+(1-'main page'!$K$29)*controls!$B$9+S284+(('main page'!$K$25*'main page'!$U$13*'main page'!$K$29)/('main page'!$K$27*(1+('main page'!$K$25^2)*'main page'!$U$13)))*(M284-(controls!$B$9/100)*100)</f>
        <v>6</v>
      </c>
      <c r="S284" s="98">
        <f ca="1">IF(controls!$B$33=1,(J285-E284*X285-B284)/'main page'!$K$27,(I285-E284*X285-B284)/'main page'!$K$27)</f>
        <v>4</v>
      </c>
      <c r="U284" s="71">
        <f>IF(controls!$B$6=1,$AG$4*(1+('main page'!$K$35/100))^V284-$AG$4*(1+('main page'!$K$35/100))^V283,$AG$4*(1+('main page'!$G$8/100))*(1+('main page'!$K$35/100))^V284-$AG$4*(1+('main page'!$G$8/100))*(1+('main page'!$K$35/100))^V283)</f>
        <v>0</v>
      </c>
      <c r="V284" s="73">
        <v>276</v>
      </c>
      <c r="W284" s="40">
        <f>'normal case'!V283</f>
        <v>0</v>
      </c>
      <c r="X284" s="40">
        <f>'normal case'!W283</f>
        <v>0</v>
      </c>
      <c r="Y284" s="49">
        <f ca="1">IF(controls!$B$33=1,E284-($J$4-'main page'!$K$27*2)*(1+('main page'!$K$35/100))^A283,E284-$AG$5)</f>
        <v>0</v>
      </c>
      <c r="Z284" s="49">
        <f ca="1">ABS(M284-(controls!$B$9/100)*100)</f>
        <v>0</v>
      </c>
      <c r="AI284" s="40"/>
      <c r="AJ284" s="40"/>
    </row>
    <row r="285" spans="1:36">
      <c r="A285" s="48">
        <v>282</v>
      </c>
      <c r="B285" s="75">
        <f ca="1">IF(controls!$B$6=2,AVERAGE(E281:E284)+B284*W285+hystere!$AG$9,AVERAGE(E281:E284)+B284*W285)</f>
        <v>100</v>
      </c>
      <c r="C285" s="80">
        <f t="shared" ca="1" si="25"/>
        <v>0</v>
      </c>
      <c r="D285" s="105">
        <f t="shared" ca="1" si="26"/>
        <v>0</v>
      </c>
      <c r="E285" s="77">
        <f t="shared" ca="1" si="27"/>
        <v>100</v>
      </c>
      <c r="F285" s="77">
        <f ca="1">IF('main page'!$K$34=1,hystere!H285,hystere!G285)</f>
        <v>100</v>
      </c>
      <c r="G285" s="94">
        <f ca="1">I285-'main page'!$K$27*hystere!N284</f>
        <v>100</v>
      </c>
      <c r="H285" s="75">
        <f ca="1">J285-'main page'!$K$27*N284</f>
        <v>100</v>
      </c>
      <c r="I285" s="75">
        <f t="shared" ca="1" si="28"/>
        <v>108</v>
      </c>
      <c r="J285" s="75">
        <f t="shared" ca="1" si="29"/>
        <v>108</v>
      </c>
      <c r="M285" s="75">
        <f ca="1">IF(ABS('main page'!$K$29*M284+(1-'main page'!$K$29)*(controls!$B$9/100)*100+'main page'!$K$25*(E285-B285)-M284)&lt;0.0000001,M284,'main page'!$K$29*M284+(1-'main page'!$K$29)*(controls!$B$9/100)*100+'main page'!$K$25*(E285-B285))</f>
        <v>2</v>
      </c>
      <c r="N285" s="75">
        <f ca="1">IF(controls!$B$10=1,N284,O285-'main page'!$K$29*M285-(1-'main page'!$K$29)*controls!$B$9)</f>
        <v>4</v>
      </c>
      <c r="O285" s="74">
        <f t="shared" ca="1" si="24"/>
        <v>6</v>
      </c>
      <c r="P285" s="76">
        <f ca="1">IF(controls!$B$10=1,hystere!N285+hystere!M285,hystere!Q285)</f>
        <v>6</v>
      </c>
      <c r="Q285" s="74">
        <f ca="1">IF('main page'!$Y$53=1,'choose m.p.'!$I$22*100,R285)</f>
        <v>6</v>
      </c>
      <c r="R285" s="100">
        <f ca="1">'main page'!$K$29*M285+(1-'main page'!$K$29)*controls!$B$9+S285+(('main page'!$K$25*'main page'!$U$13*'main page'!$K$29)/('main page'!$K$27*(1+('main page'!$K$25^2)*'main page'!$U$13)))*(M285-(controls!$B$9/100)*100)</f>
        <v>6</v>
      </c>
      <c r="S285" s="98">
        <f ca="1">IF(controls!$B$33=1,(J286-E285*X286-B285)/'main page'!$K$27,(I286-E285*X286-B285)/'main page'!$K$27)</f>
        <v>4</v>
      </c>
      <c r="U285" s="71">
        <f>IF(controls!$B$6=1,$AG$4*(1+('main page'!$K$35/100))^V285-$AG$4*(1+('main page'!$K$35/100))^V284,$AG$4*(1+('main page'!$G$8/100))*(1+('main page'!$K$35/100))^V285-$AG$4*(1+('main page'!$G$8/100))*(1+('main page'!$K$35/100))^V284)</f>
        <v>0</v>
      </c>
      <c r="V285" s="73">
        <v>277</v>
      </c>
      <c r="W285" s="40">
        <f ca="1">'normal case'!V284</f>
        <v>0</v>
      </c>
      <c r="X285" s="40">
        <f ca="1">'normal case'!W284</f>
        <v>0</v>
      </c>
      <c r="Y285" s="49">
        <f ca="1">IF(controls!$B$33=1,E285-($J$4-'main page'!$K$27*2)*(1+('main page'!$K$35/100))^A284,E285-$AG$5)</f>
        <v>0</v>
      </c>
      <c r="Z285" s="49">
        <f ca="1">ABS(M285-(controls!$B$9/100)*100)</f>
        <v>0</v>
      </c>
      <c r="AI285" s="40"/>
      <c r="AJ285" s="40"/>
    </row>
    <row r="286" spans="1:36">
      <c r="A286" s="48">
        <v>283</v>
      </c>
      <c r="B286" s="75">
        <f ca="1">IF(controls!$B$6=2,AVERAGE(E282:E285)+B285*W286+hystere!$AG$9,AVERAGE(E282:E285)+B285*W286)</f>
        <v>100</v>
      </c>
      <c r="C286" s="80">
        <f t="shared" ca="1" si="25"/>
        <v>0</v>
      </c>
      <c r="D286" s="105">
        <f t="shared" ca="1" si="26"/>
        <v>0</v>
      </c>
      <c r="E286" s="77">
        <f t="shared" ca="1" si="27"/>
        <v>100</v>
      </c>
      <c r="F286" s="77">
        <f ca="1">IF('main page'!$K$34=1,hystere!H286,hystere!G286)</f>
        <v>100</v>
      </c>
      <c r="G286" s="94">
        <f ca="1">I286-'main page'!$K$27*hystere!N285</f>
        <v>100</v>
      </c>
      <c r="H286" s="75">
        <f ca="1">J286-'main page'!$K$27*N285</f>
        <v>100</v>
      </c>
      <c r="I286" s="75">
        <f t="shared" ca="1" si="28"/>
        <v>108</v>
      </c>
      <c r="J286" s="75">
        <f t="shared" ca="1" si="29"/>
        <v>108</v>
      </c>
      <c r="M286" s="75">
        <f ca="1">IF(ABS('main page'!$K$29*M285+(1-'main page'!$K$29)*(controls!$B$9/100)*100+'main page'!$K$25*(E286-B286)-M285)&lt;0.0000001,M285,'main page'!$K$29*M285+(1-'main page'!$K$29)*(controls!$B$9/100)*100+'main page'!$K$25*(E286-B286))</f>
        <v>2</v>
      </c>
      <c r="N286" s="75">
        <f ca="1">IF(controls!$B$10=1,N285,O286-'main page'!$K$29*M286-(1-'main page'!$K$29)*controls!$B$9)</f>
        <v>4</v>
      </c>
      <c r="O286" s="74">
        <f t="shared" ca="1" si="24"/>
        <v>6</v>
      </c>
      <c r="P286" s="76">
        <f ca="1">IF(controls!$B$10=1,hystere!N286+hystere!M286,hystere!Q286)</f>
        <v>6</v>
      </c>
      <c r="Q286" s="74">
        <f ca="1">IF('main page'!$Y$53=1,'choose m.p.'!$I$22*100,R286)</f>
        <v>6</v>
      </c>
      <c r="R286" s="100">
        <f ca="1">'main page'!$K$29*M286+(1-'main page'!$K$29)*controls!$B$9+S286+(('main page'!$K$25*'main page'!$U$13*'main page'!$K$29)/('main page'!$K$27*(1+('main page'!$K$25^2)*'main page'!$U$13)))*(M286-(controls!$B$9/100)*100)</f>
        <v>6</v>
      </c>
      <c r="S286" s="98">
        <f ca="1">IF(controls!$B$33=1,(J287-E286*X287-B286)/'main page'!$K$27,(I287-E286*X287-B286)/'main page'!$K$27)</f>
        <v>4</v>
      </c>
      <c r="U286" s="71">
        <f>IF(controls!$B$6=1,$AG$4*(1+('main page'!$K$35/100))^V286-$AG$4*(1+('main page'!$K$35/100))^V285,$AG$4*(1+('main page'!$G$8/100))*(1+('main page'!$K$35/100))^V286-$AG$4*(1+('main page'!$G$8/100))*(1+('main page'!$K$35/100))^V285)</f>
        <v>0</v>
      </c>
      <c r="V286" s="73">
        <v>278</v>
      </c>
      <c r="W286" s="40">
        <f>'normal case'!V285</f>
        <v>0</v>
      </c>
      <c r="X286" s="40">
        <f>'normal case'!W285</f>
        <v>0</v>
      </c>
      <c r="Y286" s="49">
        <f ca="1">IF(controls!$B$33=1,E286-($J$4-'main page'!$K$27*2)*(1+('main page'!$K$35/100))^A285,E286-$AG$5)</f>
        <v>0</v>
      </c>
      <c r="Z286" s="49">
        <f ca="1">ABS(M286-(controls!$B$9/100)*100)</f>
        <v>0</v>
      </c>
      <c r="AI286" s="40"/>
      <c r="AJ286" s="40"/>
    </row>
    <row r="287" spans="1:36">
      <c r="A287" s="48">
        <v>284</v>
      </c>
      <c r="B287" s="75">
        <f ca="1">IF(controls!$B$6=2,AVERAGE(E283:E286)+B286*W287+hystere!$AG$9,AVERAGE(E283:E286)+B286*W287)</f>
        <v>100</v>
      </c>
      <c r="C287" s="80">
        <f t="shared" ca="1" si="25"/>
        <v>0</v>
      </c>
      <c r="D287" s="105">
        <f t="shared" ca="1" si="26"/>
        <v>0</v>
      </c>
      <c r="E287" s="77">
        <f t="shared" ca="1" si="27"/>
        <v>100</v>
      </c>
      <c r="F287" s="77">
        <f ca="1">IF('main page'!$K$34=1,hystere!H287,hystere!G287)</f>
        <v>100</v>
      </c>
      <c r="G287" s="94">
        <f ca="1">I287-'main page'!$K$27*hystere!N286</f>
        <v>100</v>
      </c>
      <c r="H287" s="75">
        <f ca="1">J287-'main page'!$K$27*N286</f>
        <v>100</v>
      </c>
      <c r="I287" s="75">
        <f t="shared" ca="1" si="28"/>
        <v>108</v>
      </c>
      <c r="J287" s="75">
        <f t="shared" ca="1" si="29"/>
        <v>108</v>
      </c>
      <c r="M287" s="75">
        <f ca="1">IF(ABS('main page'!$K$29*M286+(1-'main page'!$K$29)*(controls!$B$9/100)*100+'main page'!$K$25*(E287-B287)-M286)&lt;0.0000001,M286,'main page'!$K$29*M286+(1-'main page'!$K$29)*(controls!$B$9/100)*100+'main page'!$K$25*(E287-B287))</f>
        <v>2</v>
      </c>
      <c r="N287" s="75">
        <f ca="1">IF(controls!$B$10=1,N286,O287-'main page'!$K$29*M287-(1-'main page'!$K$29)*controls!$B$9)</f>
        <v>4</v>
      </c>
      <c r="O287" s="74">
        <f t="shared" ca="1" si="24"/>
        <v>6</v>
      </c>
      <c r="P287" s="76">
        <f ca="1">IF(controls!$B$10=1,hystere!N287+hystere!M287,hystere!Q287)</f>
        <v>6</v>
      </c>
      <c r="Q287" s="74">
        <f ca="1">IF('main page'!$Y$53=1,'choose m.p.'!$I$22*100,R287)</f>
        <v>6</v>
      </c>
      <c r="R287" s="100">
        <f ca="1">'main page'!$K$29*M287+(1-'main page'!$K$29)*controls!$B$9+S287+(('main page'!$K$25*'main page'!$U$13*'main page'!$K$29)/('main page'!$K$27*(1+('main page'!$K$25^2)*'main page'!$U$13)))*(M287-(controls!$B$9/100)*100)</f>
        <v>6</v>
      </c>
      <c r="S287" s="98">
        <f ca="1">IF(controls!$B$33=1,(J288-E287*X288-B287)/'main page'!$K$27,(I288-E287*X288-B287)/'main page'!$K$27)</f>
        <v>4</v>
      </c>
      <c r="U287" s="71">
        <f>IF(controls!$B$6=1,$AG$4*(1+('main page'!$K$35/100))^V287-$AG$4*(1+('main page'!$K$35/100))^V286,$AG$4*(1+('main page'!$G$8/100))*(1+('main page'!$K$35/100))^V287-$AG$4*(1+('main page'!$G$8/100))*(1+('main page'!$K$35/100))^V286)</f>
        <v>0</v>
      </c>
      <c r="V287" s="73">
        <v>279</v>
      </c>
      <c r="W287" s="40">
        <f>'normal case'!V286</f>
        <v>0</v>
      </c>
      <c r="X287" s="40">
        <f>'normal case'!W286</f>
        <v>0</v>
      </c>
      <c r="Y287" s="49">
        <f ca="1">IF(controls!$B$33=1,E287-($J$4-'main page'!$K$27*2)*(1+('main page'!$K$35/100))^A286,E287-$AG$5)</f>
        <v>0</v>
      </c>
      <c r="Z287" s="49">
        <f ca="1">ABS(M287-(controls!$B$9/100)*100)</f>
        <v>0</v>
      </c>
      <c r="AI287" s="40"/>
      <c r="AJ287" s="40"/>
    </row>
    <row r="288" spans="1:36">
      <c r="A288" s="48">
        <v>285</v>
      </c>
      <c r="B288" s="75">
        <f ca="1">IF(controls!$B$6=2,AVERAGE(E284:E287)+B287*W288+hystere!$AG$9,AVERAGE(E284:E287)+B287*W288)</f>
        <v>100</v>
      </c>
      <c r="C288" s="80">
        <f t="shared" ca="1" si="25"/>
        <v>0</v>
      </c>
      <c r="D288" s="105">
        <f t="shared" ca="1" si="26"/>
        <v>0</v>
      </c>
      <c r="E288" s="77">
        <f t="shared" ca="1" si="27"/>
        <v>100</v>
      </c>
      <c r="F288" s="77">
        <f ca="1">IF('main page'!$K$34=1,hystere!H288,hystere!G288)</f>
        <v>100</v>
      </c>
      <c r="G288" s="94">
        <f ca="1">I288-'main page'!$K$27*hystere!N287</f>
        <v>100</v>
      </c>
      <c r="H288" s="75">
        <f ca="1">J288-'main page'!$K$27*N287</f>
        <v>100</v>
      </c>
      <c r="I288" s="75">
        <f t="shared" ca="1" si="28"/>
        <v>108</v>
      </c>
      <c r="J288" s="75">
        <f t="shared" ca="1" si="29"/>
        <v>108</v>
      </c>
      <c r="M288" s="75">
        <f ca="1">IF(ABS('main page'!$K$29*M287+(1-'main page'!$K$29)*(controls!$B$9/100)*100+'main page'!$K$25*(E288-B288)-M287)&lt;0.0000001,M287,'main page'!$K$29*M287+(1-'main page'!$K$29)*(controls!$B$9/100)*100+'main page'!$K$25*(E288-B288))</f>
        <v>2</v>
      </c>
      <c r="N288" s="75">
        <f ca="1">IF(controls!$B$10=1,N287,O288-'main page'!$K$29*M288-(1-'main page'!$K$29)*controls!$B$9)</f>
        <v>4</v>
      </c>
      <c r="O288" s="74">
        <f t="shared" ca="1" si="24"/>
        <v>6</v>
      </c>
      <c r="P288" s="76">
        <f ca="1">IF(controls!$B$10=1,hystere!N288+hystere!M288,hystere!Q288)</f>
        <v>6</v>
      </c>
      <c r="Q288" s="74">
        <f ca="1">IF('main page'!$Y$53=1,'choose m.p.'!$I$22*100,R288)</f>
        <v>6</v>
      </c>
      <c r="R288" s="100">
        <f ca="1">'main page'!$K$29*M288+(1-'main page'!$K$29)*controls!$B$9+S288+(('main page'!$K$25*'main page'!$U$13*'main page'!$K$29)/('main page'!$K$27*(1+('main page'!$K$25^2)*'main page'!$U$13)))*(M288-(controls!$B$9/100)*100)</f>
        <v>6</v>
      </c>
      <c r="S288" s="98">
        <f ca="1">IF(controls!$B$33=1,(J289-E288*X289-B288)/'main page'!$K$27,(I289-E288*X289-B288)/'main page'!$K$27)</f>
        <v>4</v>
      </c>
      <c r="U288" s="71">
        <f>IF(controls!$B$6=1,$AG$4*(1+('main page'!$K$35/100))^V288-$AG$4*(1+('main page'!$K$35/100))^V287,$AG$4*(1+('main page'!$G$8/100))*(1+('main page'!$K$35/100))^V288-$AG$4*(1+('main page'!$G$8/100))*(1+('main page'!$K$35/100))^V287)</f>
        <v>0</v>
      </c>
      <c r="V288" s="73">
        <v>280</v>
      </c>
      <c r="W288" s="40">
        <f ca="1">'normal case'!V287</f>
        <v>0</v>
      </c>
      <c r="X288" s="40">
        <f ca="1">'normal case'!W287</f>
        <v>0</v>
      </c>
      <c r="Y288" s="49">
        <f ca="1">IF(controls!$B$33=1,E288-($J$4-'main page'!$K$27*2)*(1+('main page'!$K$35/100))^A287,E288-$AG$5)</f>
        <v>0</v>
      </c>
      <c r="Z288" s="49">
        <f ca="1">ABS(M288-(controls!$B$9/100)*100)</f>
        <v>0</v>
      </c>
      <c r="AI288" s="40"/>
      <c r="AJ288" s="40"/>
    </row>
    <row r="289" spans="1:36">
      <c r="A289" s="48">
        <v>286</v>
      </c>
      <c r="B289" s="75">
        <f ca="1">IF(controls!$B$6=2,AVERAGE(E285:E288)+B288*W289+hystere!$AG$9,AVERAGE(E285:E288)+B288*W289)</f>
        <v>100</v>
      </c>
      <c r="C289" s="80">
        <f t="shared" ca="1" si="25"/>
        <v>0</v>
      </c>
      <c r="D289" s="105">
        <f t="shared" ca="1" si="26"/>
        <v>0</v>
      </c>
      <c r="E289" s="77">
        <f t="shared" ca="1" si="27"/>
        <v>100</v>
      </c>
      <c r="F289" s="77">
        <f ca="1">IF('main page'!$K$34=1,hystere!H289,hystere!G289)</f>
        <v>100</v>
      </c>
      <c r="G289" s="94">
        <f ca="1">I289-'main page'!$K$27*hystere!N288</f>
        <v>100</v>
      </c>
      <c r="H289" s="75">
        <f ca="1">J289-'main page'!$K$27*N288</f>
        <v>100</v>
      </c>
      <c r="I289" s="75">
        <f t="shared" ca="1" si="28"/>
        <v>108</v>
      </c>
      <c r="J289" s="75">
        <f t="shared" ca="1" si="29"/>
        <v>108</v>
      </c>
      <c r="M289" s="75">
        <f ca="1">IF(ABS('main page'!$K$29*M288+(1-'main page'!$K$29)*(controls!$B$9/100)*100+'main page'!$K$25*(E289-B289)-M288)&lt;0.0000001,M288,'main page'!$K$29*M288+(1-'main page'!$K$29)*(controls!$B$9/100)*100+'main page'!$K$25*(E289-B289))</f>
        <v>2</v>
      </c>
      <c r="N289" s="75">
        <f ca="1">IF(controls!$B$10=1,N288,O289-'main page'!$K$29*M289-(1-'main page'!$K$29)*controls!$B$9)</f>
        <v>4</v>
      </c>
      <c r="O289" s="74">
        <f t="shared" ca="1" si="24"/>
        <v>6</v>
      </c>
      <c r="P289" s="76">
        <f ca="1">IF(controls!$B$10=1,hystere!N289+hystere!M289,hystere!Q289)</f>
        <v>6</v>
      </c>
      <c r="Q289" s="74">
        <f ca="1">IF('main page'!$Y$53=1,'choose m.p.'!$I$22*100,R289)</f>
        <v>6</v>
      </c>
      <c r="R289" s="100">
        <f ca="1">'main page'!$K$29*M289+(1-'main page'!$K$29)*controls!$B$9+S289+(('main page'!$K$25*'main page'!$U$13*'main page'!$K$29)/('main page'!$K$27*(1+('main page'!$K$25^2)*'main page'!$U$13)))*(M289-(controls!$B$9/100)*100)</f>
        <v>6</v>
      </c>
      <c r="S289" s="98">
        <f ca="1">IF(controls!$B$33=1,(J290-E289*X290-B289)/'main page'!$K$27,(I290-E289*X290-B289)/'main page'!$K$27)</f>
        <v>4</v>
      </c>
      <c r="U289" s="71">
        <f>IF(controls!$B$6=1,$AG$4*(1+('main page'!$K$35/100))^V289-$AG$4*(1+('main page'!$K$35/100))^V288,$AG$4*(1+('main page'!$G$8/100))*(1+('main page'!$K$35/100))^V289-$AG$4*(1+('main page'!$G$8/100))*(1+('main page'!$K$35/100))^V288)</f>
        <v>0</v>
      </c>
      <c r="V289" s="73">
        <v>281</v>
      </c>
      <c r="W289" s="40">
        <f>'normal case'!V288</f>
        <v>0</v>
      </c>
      <c r="X289" s="40">
        <f>'normal case'!W288</f>
        <v>0</v>
      </c>
      <c r="Y289" s="49">
        <f ca="1">IF(controls!$B$33=1,E289-($J$4-'main page'!$K$27*2)*(1+('main page'!$K$35/100))^A288,E289-$AG$5)</f>
        <v>0</v>
      </c>
      <c r="Z289" s="49">
        <f ca="1">ABS(M289-(controls!$B$9/100)*100)</f>
        <v>0</v>
      </c>
      <c r="AI289" s="40"/>
      <c r="AJ289" s="40"/>
    </row>
    <row r="290" spans="1:36">
      <c r="A290" s="48">
        <v>287</v>
      </c>
      <c r="B290" s="75">
        <f ca="1">IF(controls!$B$6=2,AVERAGE(E286:E289)+B289*W290+hystere!$AG$9,AVERAGE(E286:E289)+B289*W290)</f>
        <v>100</v>
      </c>
      <c r="C290" s="80">
        <f t="shared" ca="1" si="25"/>
        <v>0</v>
      </c>
      <c r="D290" s="105">
        <f t="shared" ca="1" si="26"/>
        <v>0</v>
      </c>
      <c r="E290" s="77">
        <f t="shared" ca="1" si="27"/>
        <v>100</v>
      </c>
      <c r="F290" s="77">
        <f ca="1">IF('main page'!$K$34=1,hystere!H290,hystere!G290)</f>
        <v>100</v>
      </c>
      <c r="G290" s="94">
        <f ca="1">I290-'main page'!$K$27*hystere!N289</f>
        <v>100</v>
      </c>
      <c r="H290" s="75">
        <f ca="1">J290-'main page'!$K$27*N289</f>
        <v>100</v>
      </c>
      <c r="I290" s="75">
        <f t="shared" ca="1" si="28"/>
        <v>108</v>
      </c>
      <c r="J290" s="75">
        <f t="shared" ca="1" si="29"/>
        <v>108</v>
      </c>
      <c r="M290" s="75">
        <f ca="1">IF(ABS('main page'!$K$29*M289+(1-'main page'!$K$29)*(controls!$B$9/100)*100+'main page'!$K$25*(E290-B290)-M289)&lt;0.0000001,M289,'main page'!$K$29*M289+(1-'main page'!$K$29)*(controls!$B$9/100)*100+'main page'!$K$25*(E290-B290))</f>
        <v>2</v>
      </c>
      <c r="N290" s="75">
        <f ca="1">IF(controls!$B$10=1,N289,O290-'main page'!$K$29*M290-(1-'main page'!$K$29)*controls!$B$9)</f>
        <v>4</v>
      </c>
      <c r="O290" s="74">
        <f t="shared" ca="1" si="24"/>
        <v>6</v>
      </c>
      <c r="P290" s="76">
        <f ca="1">IF(controls!$B$10=1,hystere!N290+hystere!M290,hystere!Q290)</f>
        <v>6</v>
      </c>
      <c r="Q290" s="74">
        <f ca="1">IF('main page'!$Y$53=1,'choose m.p.'!$I$22*100,R290)</f>
        <v>6</v>
      </c>
      <c r="R290" s="100">
        <f ca="1">'main page'!$K$29*M290+(1-'main page'!$K$29)*controls!$B$9+S290+(('main page'!$K$25*'main page'!$U$13*'main page'!$K$29)/('main page'!$K$27*(1+('main page'!$K$25^2)*'main page'!$U$13)))*(M290-(controls!$B$9/100)*100)</f>
        <v>6</v>
      </c>
      <c r="S290" s="98">
        <f ca="1">IF(controls!$B$33=1,(J291-E290*X291-B290)/'main page'!$K$27,(I291-E290*X291-B290)/'main page'!$K$27)</f>
        <v>4</v>
      </c>
      <c r="U290" s="71">
        <f>IF(controls!$B$6=1,$AG$4*(1+('main page'!$K$35/100))^V290-$AG$4*(1+('main page'!$K$35/100))^V289,$AG$4*(1+('main page'!$G$8/100))*(1+('main page'!$K$35/100))^V290-$AG$4*(1+('main page'!$G$8/100))*(1+('main page'!$K$35/100))^V289)</f>
        <v>0</v>
      </c>
      <c r="V290" s="73">
        <v>282</v>
      </c>
      <c r="W290" s="40">
        <f>'normal case'!V289</f>
        <v>0</v>
      </c>
      <c r="X290" s="40">
        <f>'normal case'!W289</f>
        <v>0</v>
      </c>
      <c r="Y290" s="49">
        <f ca="1">IF(controls!$B$33=1,E290-($J$4-'main page'!$K$27*2)*(1+('main page'!$K$35/100))^A289,E290-$AG$5)</f>
        <v>0</v>
      </c>
      <c r="Z290" s="49">
        <f ca="1">ABS(M290-(controls!$B$9/100)*100)</f>
        <v>0</v>
      </c>
      <c r="AI290" s="40"/>
      <c r="AJ290" s="40"/>
    </row>
    <row r="291" spans="1:36">
      <c r="A291" s="48">
        <v>288</v>
      </c>
      <c r="B291" s="75">
        <f ca="1">IF(controls!$B$6=2,AVERAGE(E287:E290)+B290*W291+hystere!$AG$9,AVERAGE(E287:E290)+B290*W291)</f>
        <v>100</v>
      </c>
      <c r="C291" s="80">
        <f t="shared" ca="1" si="25"/>
        <v>0</v>
      </c>
      <c r="D291" s="105">
        <f t="shared" ca="1" si="26"/>
        <v>0</v>
      </c>
      <c r="E291" s="77">
        <f t="shared" ca="1" si="27"/>
        <v>100</v>
      </c>
      <c r="F291" s="77">
        <f ca="1">IF('main page'!$K$34=1,hystere!H291,hystere!G291)</f>
        <v>100</v>
      </c>
      <c r="G291" s="94">
        <f ca="1">I291-'main page'!$K$27*hystere!N290</f>
        <v>100</v>
      </c>
      <c r="H291" s="75">
        <f ca="1">J291-'main page'!$K$27*N290</f>
        <v>100</v>
      </c>
      <c r="I291" s="75">
        <f t="shared" ca="1" si="28"/>
        <v>108</v>
      </c>
      <c r="J291" s="75">
        <f t="shared" ca="1" si="29"/>
        <v>108</v>
      </c>
      <c r="M291" s="75">
        <f ca="1">IF(ABS('main page'!$K$29*M290+(1-'main page'!$K$29)*(controls!$B$9/100)*100+'main page'!$K$25*(E291-B291)-M290)&lt;0.0000001,M290,'main page'!$K$29*M290+(1-'main page'!$K$29)*(controls!$B$9/100)*100+'main page'!$K$25*(E291-B291))</f>
        <v>2</v>
      </c>
      <c r="N291" s="75">
        <f ca="1">IF(controls!$B$10=1,N290,O291-'main page'!$K$29*M291-(1-'main page'!$K$29)*controls!$B$9)</f>
        <v>4</v>
      </c>
      <c r="O291" s="74">
        <f t="shared" ca="1" si="24"/>
        <v>6</v>
      </c>
      <c r="P291" s="76">
        <f ca="1">IF(controls!$B$10=1,hystere!N291+hystere!M291,hystere!Q291)</f>
        <v>6</v>
      </c>
      <c r="Q291" s="74">
        <f ca="1">IF('main page'!$Y$53=1,'choose m.p.'!$I$22*100,R291)</f>
        <v>6</v>
      </c>
      <c r="R291" s="100">
        <f ca="1">'main page'!$K$29*M291+(1-'main page'!$K$29)*controls!$B$9+S291+(('main page'!$K$25*'main page'!$U$13*'main page'!$K$29)/('main page'!$K$27*(1+('main page'!$K$25^2)*'main page'!$U$13)))*(M291-(controls!$B$9/100)*100)</f>
        <v>6</v>
      </c>
      <c r="S291" s="98">
        <f ca="1">IF(controls!$B$33=1,(J292-E291*X292-B291)/'main page'!$K$27,(I292-E291*X292-B291)/'main page'!$K$27)</f>
        <v>4</v>
      </c>
      <c r="U291" s="71">
        <f>IF(controls!$B$6=1,$AG$4*(1+('main page'!$K$35/100))^V291-$AG$4*(1+('main page'!$K$35/100))^V290,$AG$4*(1+('main page'!$G$8/100))*(1+('main page'!$K$35/100))^V291-$AG$4*(1+('main page'!$G$8/100))*(1+('main page'!$K$35/100))^V290)</f>
        <v>0</v>
      </c>
      <c r="V291" s="73">
        <v>283</v>
      </c>
      <c r="W291" s="40">
        <f ca="1">'normal case'!V290</f>
        <v>0</v>
      </c>
      <c r="X291" s="40">
        <f ca="1">'normal case'!W290</f>
        <v>0</v>
      </c>
      <c r="Y291" s="49">
        <f ca="1">IF(controls!$B$33=1,E291-($J$4-'main page'!$K$27*2)*(1+('main page'!$K$35/100))^A290,E291-$AG$5)</f>
        <v>0</v>
      </c>
      <c r="Z291" s="49">
        <f ca="1">ABS(M291-(controls!$B$9/100)*100)</f>
        <v>0</v>
      </c>
      <c r="AI291" s="40"/>
      <c r="AJ291" s="40"/>
    </row>
    <row r="292" spans="1:36">
      <c r="A292" s="48">
        <v>289</v>
      </c>
      <c r="B292" s="75">
        <f ca="1">IF(controls!$B$6=2,AVERAGE(E288:E291)+B291*W292+hystere!$AG$9,AVERAGE(E288:E291)+B291*W292)</f>
        <v>100</v>
      </c>
      <c r="C292" s="80">
        <f t="shared" ca="1" si="25"/>
        <v>0</v>
      </c>
      <c r="D292" s="105">
        <f t="shared" ca="1" si="26"/>
        <v>0</v>
      </c>
      <c r="E292" s="77">
        <f t="shared" ca="1" si="27"/>
        <v>100</v>
      </c>
      <c r="F292" s="77">
        <f ca="1">IF('main page'!$K$34=1,hystere!H292,hystere!G292)</f>
        <v>100</v>
      </c>
      <c r="G292" s="94">
        <f ca="1">I292-'main page'!$K$27*hystere!N291</f>
        <v>100</v>
      </c>
      <c r="H292" s="75">
        <f ca="1">J292-'main page'!$K$27*N291</f>
        <v>100</v>
      </c>
      <c r="I292" s="75">
        <f t="shared" ca="1" si="28"/>
        <v>108</v>
      </c>
      <c r="J292" s="75">
        <f t="shared" ca="1" si="29"/>
        <v>108</v>
      </c>
      <c r="M292" s="75">
        <f ca="1">IF(ABS('main page'!$K$29*M291+(1-'main page'!$K$29)*(controls!$B$9/100)*100+'main page'!$K$25*(E292-B292)-M291)&lt;0.0000001,M291,'main page'!$K$29*M291+(1-'main page'!$K$29)*(controls!$B$9/100)*100+'main page'!$K$25*(E292-B292))</f>
        <v>2</v>
      </c>
      <c r="N292" s="75">
        <f ca="1">IF(controls!$B$10=1,N291,O292-'main page'!$K$29*M292-(1-'main page'!$K$29)*controls!$B$9)</f>
        <v>4</v>
      </c>
      <c r="O292" s="74">
        <f t="shared" ca="1" si="24"/>
        <v>6</v>
      </c>
      <c r="P292" s="76">
        <f ca="1">IF(controls!$B$10=1,hystere!N292+hystere!M292,hystere!Q292)</f>
        <v>6</v>
      </c>
      <c r="Q292" s="74">
        <f ca="1">IF('main page'!$Y$53=1,'choose m.p.'!$I$22*100,R292)</f>
        <v>6</v>
      </c>
      <c r="R292" s="100">
        <f ca="1">'main page'!$K$29*M292+(1-'main page'!$K$29)*controls!$B$9+S292+(('main page'!$K$25*'main page'!$U$13*'main page'!$K$29)/('main page'!$K$27*(1+('main page'!$K$25^2)*'main page'!$U$13)))*(M292-(controls!$B$9/100)*100)</f>
        <v>6</v>
      </c>
      <c r="S292" s="98">
        <f ca="1">IF(controls!$B$33=1,(J293-E292*X293-B292)/'main page'!$K$27,(I293-E292*X293-B292)/'main page'!$K$27)</f>
        <v>4</v>
      </c>
      <c r="U292" s="71">
        <f>IF(controls!$B$6=1,$AG$4*(1+('main page'!$K$35/100))^V292-$AG$4*(1+('main page'!$K$35/100))^V291,$AG$4*(1+('main page'!$G$8/100))*(1+('main page'!$K$35/100))^V292-$AG$4*(1+('main page'!$G$8/100))*(1+('main page'!$K$35/100))^V291)</f>
        <v>0</v>
      </c>
      <c r="V292" s="73">
        <v>284</v>
      </c>
      <c r="W292" s="40">
        <f>'normal case'!V291</f>
        <v>0</v>
      </c>
      <c r="X292" s="40">
        <f>'normal case'!W291</f>
        <v>0</v>
      </c>
      <c r="Y292" s="49">
        <f ca="1">IF(controls!$B$33=1,E292-($J$4-'main page'!$K$27*2)*(1+('main page'!$K$35/100))^A291,E292-$AG$5)</f>
        <v>0</v>
      </c>
      <c r="Z292" s="49">
        <f ca="1">ABS(M292-(controls!$B$9/100)*100)</f>
        <v>0</v>
      </c>
      <c r="AI292" s="40"/>
      <c r="AJ292" s="40"/>
    </row>
    <row r="293" spans="1:36">
      <c r="A293" s="48">
        <v>290</v>
      </c>
      <c r="B293" s="75">
        <f ca="1">IF(controls!$B$6=2,AVERAGE(E289:E292)+B292*W293+hystere!$AG$9,AVERAGE(E289:E292)+B292*W293)</f>
        <v>100</v>
      </c>
      <c r="C293" s="80">
        <f t="shared" ca="1" si="25"/>
        <v>0</v>
      </c>
      <c r="D293" s="105">
        <f t="shared" ca="1" si="26"/>
        <v>0</v>
      </c>
      <c r="E293" s="77">
        <f t="shared" ca="1" si="27"/>
        <v>100</v>
      </c>
      <c r="F293" s="77">
        <f ca="1">IF('main page'!$K$34=1,hystere!H293,hystere!G293)</f>
        <v>100</v>
      </c>
      <c r="G293" s="94">
        <f ca="1">I293-'main page'!$K$27*hystere!N292</f>
        <v>100</v>
      </c>
      <c r="H293" s="75">
        <f ca="1">J293-'main page'!$K$27*N292</f>
        <v>100</v>
      </c>
      <c r="I293" s="75">
        <f t="shared" ca="1" si="28"/>
        <v>108</v>
      </c>
      <c r="J293" s="75">
        <f t="shared" ca="1" si="29"/>
        <v>108</v>
      </c>
      <c r="M293" s="75">
        <f ca="1">IF(ABS('main page'!$K$29*M292+(1-'main page'!$K$29)*(controls!$B$9/100)*100+'main page'!$K$25*(E293-B293)-M292)&lt;0.0000001,M292,'main page'!$K$29*M292+(1-'main page'!$K$29)*(controls!$B$9/100)*100+'main page'!$K$25*(E293-B293))</f>
        <v>2</v>
      </c>
      <c r="N293" s="75">
        <f ca="1">IF(controls!$B$10=1,N292,O293-'main page'!$K$29*M293-(1-'main page'!$K$29)*controls!$B$9)</f>
        <v>4</v>
      </c>
      <c r="O293" s="74">
        <f t="shared" ca="1" si="24"/>
        <v>6</v>
      </c>
      <c r="P293" s="76">
        <f ca="1">IF(controls!$B$10=1,hystere!N293+hystere!M293,hystere!Q293)</f>
        <v>6</v>
      </c>
      <c r="Q293" s="74">
        <f ca="1">IF('main page'!$Y$53=1,'choose m.p.'!$I$22*100,R293)</f>
        <v>6</v>
      </c>
      <c r="R293" s="100">
        <f ca="1">'main page'!$K$29*M293+(1-'main page'!$K$29)*controls!$B$9+S293+(('main page'!$K$25*'main page'!$U$13*'main page'!$K$29)/('main page'!$K$27*(1+('main page'!$K$25^2)*'main page'!$U$13)))*(M293-(controls!$B$9/100)*100)</f>
        <v>6</v>
      </c>
      <c r="S293" s="98">
        <f ca="1">IF(controls!$B$33=1,(J294-E293*X294-B293)/'main page'!$K$27,(I294-E293*X294-B293)/'main page'!$K$27)</f>
        <v>4</v>
      </c>
      <c r="U293" s="71">
        <f>IF(controls!$B$6=1,$AG$4*(1+('main page'!$K$35/100))^V293-$AG$4*(1+('main page'!$K$35/100))^V292,$AG$4*(1+('main page'!$G$8/100))*(1+('main page'!$K$35/100))^V293-$AG$4*(1+('main page'!$G$8/100))*(1+('main page'!$K$35/100))^V292)</f>
        <v>0</v>
      </c>
      <c r="V293" s="73">
        <v>285</v>
      </c>
      <c r="W293" s="40">
        <f>'normal case'!V292</f>
        <v>0</v>
      </c>
      <c r="X293" s="40">
        <f>'normal case'!W292</f>
        <v>0</v>
      </c>
      <c r="Y293" s="49">
        <f ca="1">IF(controls!$B$33=1,E293-($J$4-'main page'!$K$27*2)*(1+('main page'!$K$35/100))^A292,E293-$AG$5)</f>
        <v>0</v>
      </c>
      <c r="Z293" s="49">
        <f ca="1">ABS(M293-(controls!$B$9/100)*100)</f>
        <v>0</v>
      </c>
      <c r="AI293" s="40"/>
      <c r="AJ293" s="40"/>
    </row>
    <row r="294" spans="1:36">
      <c r="A294" s="48">
        <v>291</v>
      </c>
      <c r="B294" s="75">
        <f ca="1">IF(controls!$B$6=2,AVERAGE(E290:E293)+B293*W294+hystere!$AG$9,AVERAGE(E290:E293)+B293*W294)</f>
        <v>100</v>
      </c>
      <c r="C294" s="80">
        <f t="shared" ca="1" si="25"/>
        <v>0</v>
      </c>
      <c r="D294" s="105">
        <f t="shared" ca="1" si="26"/>
        <v>0</v>
      </c>
      <c r="E294" s="77">
        <f t="shared" ca="1" si="27"/>
        <v>100</v>
      </c>
      <c r="F294" s="77">
        <f ca="1">IF('main page'!$K$34=1,hystere!H294,hystere!G294)</f>
        <v>100</v>
      </c>
      <c r="G294" s="94">
        <f ca="1">I294-'main page'!$K$27*hystere!N293</f>
        <v>100</v>
      </c>
      <c r="H294" s="75">
        <f ca="1">J294-'main page'!$K$27*N293</f>
        <v>100</v>
      </c>
      <c r="I294" s="75">
        <f t="shared" ca="1" si="28"/>
        <v>108</v>
      </c>
      <c r="J294" s="75">
        <f t="shared" ca="1" si="29"/>
        <v>108</v>
      </c>
      <c r="M294" s="75">
        <f ca="1">IF(ABS('main page'!$K$29*M293+(1-'main page'!$K$29)*(controls!$B$9/100)*100+'main page'!$K$25*(E294-B294)-M293)&lt;0.0000001,M293,'main page'!$K$29*M293+(1-'main page'!$K$29)*(controls!$B$9/100)*100+'main page'!$K$25*(E294-B294))</f>
        <v>2</v>
      </c>
      <c r="N294" s="75">
        <f ca="1">IF(controls!$B$10=1,N293,O294-'main page'!$K$29*M294-(1-'main page'!$K$29)*controls!$B$9)</f>
        <v>4</v>
      </c>
      <c r="O294" s="74">
        <f t="shared" ca="1" si="24"/>
        <v>6</v>
      </c>
      <c r="P294" s="76">
        <f ca="1">IF(controls!$B$10=1,hystere!N294+hystere!M294,hystere!Q294)</f>
        <v>6</v>
      </c>
      <c r="Q294" s="74">
        <f ca="1">IF('main page'!$Y$53=1,'choose m.p.'!$I$22*100,R294)</f>
        <v>6</v>
      </c>
      <c r="R294" s="100">
        <f ca="1">'main page'!$K$29*M294+(1-'main page'!$K$29)*controls!$B$9+S294+(('main page'!$K$25*'main page'!$U$13*'main page'!$K$29)/('main page'!$K$27*(1+('main page'!$K$25^2)*'main page'!$U$13)))*(M294-(controls!$B$9/100)*100)</f>
        <v>6</v>
      </c>
      <c r="S294" s="98">
        <f ca="1">IF(controls!$B$33=1,(J295-E294*X295-B294)/'main page'!$K$27,(I295-E294*X295-B294)/'main page'!$K$27)</f>
        <v>4</v>
      </c>
      <c r="U294" s="71">
        <f>IF(controls!$B$6=1,$AG$4*(1+('main page'!$K$35/100))^V294-$AG$4*(1+('main page'!$K$35/100))^V293,$AG$4*(1+('main page'!$G$8/100))*(1+('main page'!$K$35/100))^V294-$AG$4*(1+('main page'!$G$8/100))*(1+('main page'!$K$35/100))^V293)</f>
        <v>0</v>
      </c>
      <c r="V294" s="73">
        <v>286</v>
      </c>
      <c r="W294" s="40">
        <f ca="1">'normal case'!V293</f>
        <v>0</v>
      </c>
      <c r="X294" s="40">
        <f ca="1">'normal case'!W293</f>
        <v>0</v>
      </c>
      <c r="Y294" s="49">
        <f ca="1">IF(controls!$B$33=1,E294-($J$4-'main page'!$K$27*2)*(1+('main page'!$K$35/100))^A293,E294-$AG$5)</f>
        <v>0</v>
      </c>
      <c r="Z294" s="49">
        <f ca="1">ABS(M294-(controls!$B$9/100)*100)</f>
        <v>0</v>
      </c>
      <c r="AI294" s="40"/>
      <c r="AJ294" s="40"/>
    </row>
    <row r="295" spans="1:36">
      <c r="A295" s="48">
        <v>292</v>
      </c>
      <c r="B295" s="75">
        <f ca="1">IF(controls!$B$6=2,AVERAGE(E291:E294)+B294*W295+hystere!$AG$9,AVERAGE(E291:E294)+B294*W295)</f>
        <v>100</v>
      </c>
      <c r="C295" s="80">
        <f t="shared" ca="1" si="25"/>
        <v>0</v>
      </c>
      <c r="D295" s="105">
        <f t="shared" ca="1" si="26"/>
        <v>0</v>
      </c>
      <c r="E295" s="77">
        <f t="shared" ca="1" si="27"/>
        <v>100</v>
      </c>
      <c r="F295" s="77">
        <f ca="1">IF('main page'!$K$34=1,hystere!H295,hystere!G295)</f>
        <v>100</v>
      </c>
      <c r="G295" s="94">
        <f ca="1">I295-'main page'!$K$27*hystere!N294</f>
        <v>100</v>
      </c>
      <c r="H295" s="75">
        <f ca="1">J295-'main page'!$K$27*N294</f>
        <v>100</v>
      </c>
      <c r="I295" s="75">
        <f t="shared" ca="1" si="28"/>
        <v>108</v>
      </c>
      <c r="J295" s="75">
        <f t="shared" ca="1" si="29"/>
        <v>108</v>
      </c>
      <c r="M295" s="75">
        <f ca="1">IF(ABS('main page'!$K$29*M294+(1-'main page'!$K$29)*(controls!$B$9/100)*100+'main page'!$K$25*(E295-B295)-M294)&lt;0.0000001,M294,'main page'!$K$29*M294+(1-'main page'!$K$29)*(controls!$B$9/100)*100+'main page'!$K$25*(E295-B295))</f>
        <v>2</v>
      </c>
      <c r="N295" s="75">
        <f ca="1">IF(controls!$B$10=1,N294,O295-'main page'!$K$29*M295-(1-'main page'!$K$29)*controls!$B$9)</f>
        <v>4</v>
      </c>
      <c r="O295" s="74">
        <f t="shared" ca="1" si="24"/>
        <v>6</v>
      </c>
      <c r="P295" s="76">
        <f ca="1">IF(controls!$B$10=1,hystere!N295+hystere!M295,hystere!Q295)</f>
        <v>6</v>
      </c>
      <c r="Q295" s="74">
        <f ca="1">IF('main page'!$Y$53=1,'choose m.p.'!$I$22*100,R295)</f>
        <v>6</v>
      </c>
      <c r="R295" s="100">
        <f ca="1">'main page'!$K$29*M295+(1-'main page'!$K$29)*controls!$B$9+S295+(('main page'!$K$25*'main page'!$U$13*'main page'!$K$29)/('main page'!$K$27*(1+('main page'!$K$25^2)*'main page'!$U$13)))*(M295-(controls!$B$9/100)*100)</f>
        <v>6</v>
      </c>
      <c r="S295" s="98">
        <f ca="1">IF(controls!$B$33=1,(J296-E295*X296-B295)/'main page'!$K$27,(I296-E295*X296-B295)/'main page'!$K$27)</f>
        <v>4</v>
      </c>
      <c r="U295" s="71">
        <f>IF(controls!$B$6=1,$AG$4*(1+('main page'!$K$35/100))^V295-$AG$4*(1+('main page'!$K$35/100))^V294,$AG$4*(1+('main page'!$G$8/100))*(1+('main page'!$K$35/100))^V295-$AG$4*(1+('main page'!$G$8/100))*(1+('main page'!$K$35/100))^V294)</f>
        <v>0</v>
      </c>
      <c r="V295" s="73">
        <v>287</v>
      </c>
      <c r="W295" s="40">
        <f>'normal case'!V294</f>
        <v>0</v>
      </c>
      <c r="X295" s="40">
        <f>'normal case'!W294</f>
        <v>0</v>
      </c>
      <c r="Y295" s="49">
        <f ca="1">IF(controls!$B$33=1,E295-($J$4-'main page'!$K$27*2)*(1+('main page'!$K$35/100))^A294,E295-$AG$5)</f>
        <v>0</v>
      </c>
      <c r="Z295" s="49">
        <f ca="1">ABS(M295-(controls!$B$9/100)*100)</f>
        <v>0</v>
      </c>
      <c r="AI295" s="40"/>
      <c r="AJ295" s="40"/>
    </row>
    <row r="296" spans="1:36">
      <c r="A296" s="48">
        <v>293</v>
      </c>
      <c r="B296" s="75">
        <f ca="1">IF(controls!$B$6=2,AVERAGE(E292:E295)+B295*W296+hystere!$AG$9,AVERAGE(E292:E295)+B295*W296)</f>
        <v>100</v>
      </c>
      <c r="C296" s="80">
        <f t="shared" ca="1" si="25"/>
        <v>0</v>
      </c>
      <c r="D296" s="105">
        <f t="shared" ca="1" si="26"/>
        <v>0</v>
      </c>
      <c r="E296" s="77">
        <f t="shared" ca="1" si="27"/>
        <v>100</v>
      </c>
      <c r="F296" s="77">
        <f ca="1">IF('main page'!$K$34=1,hystere!H296,hystere!G296)</f>
        <v>100</v>
      </c>
      <c r="G296" s="94">
        <f ca="1">I296-'main page'!$K$27*hystere!N295</f>
        <v>100</v>
      </c>
      <c r="H296" s="75">
        <f ca="1">J296-'main page'!$K$27*N295</f>
        <v>100</v>
      </c>
      <c r="I296" s="75">
        <f t="shared" ca="1" si="28"/>
        <v>108</v>
      </c>
      <c r="J296" s="75">
        <f t="shared" ca="1" si="29"/>
        <v>108</v>
      </c>
      <c r="M296" s="75">
        <f ca="1">IF(ABS('main page'!$K$29*M295+(1-'main page'!$K$29)*(controls!$B$9/100)*100+'main page'!$K$25*(E296-B296)-M295)&lt;0.0000001,M295,'main page'!$K$29*M295+(1-'main page'!$K$29)*(controls!$B$9/100)*100+'main page'!$K$25*(E296-B296))</f>
        <v>2</v>
      </c>
      <c r="N296" s="75">
        <f ca="1">IF(controls!$B$10=1,N295,O296-'main page'!$K$29*M296-(1-'main page'!$K$29)*controls!$B$9)</f>
        <v>4</v>
      </c>
      <c r="O296" s="74">
        <f t="shared" ca="1" si="24"/>
        <v>6</v>
      </c>
      <c r="P296" s="76">
        <f ca="1">IF(controls!$B$10=1,hystere!N296+hystere!M296,hystere!Q296)</f>
        <v>6</v>
      </c>
      <c r="Q296" s="74">
        <f ca="1">IF('main page'!$Y$53=1,'choose m.p.'!$I$22*100,R296)</f>
        <v>6</v>
      </c>
      <c r="R296" s="100">
        <f ca="1">'main page'!$K$29*M296+(1-'main page'!$K$29)*controls!$B$9+S296+(('main page'!$K$25*'main page'!$U$13*'main page'!$K$29)/('main page'!$K$27*(1+('main page'!$K$25^2)*'main page'!$U$13)))*(M296-(controls!$B$9/100)*100)</f>
        <v>6</v>
      </c>
      <c r="S296" s="98">
        <f ca="1">IF(controls!$B$33=1,(J297-E296*X297-B296)/'main page'!$K$27,(I297-E296*X297-B296)/'main page'!$K$27)</f>
        <v>4</v>
      </c>
      <c r="U296" s="71">
        <f>IF(controls!$B$6=1,$AG$4*(1+('main page'!$K$35/100))^V296-$AG$4*(1+('main page'!$K$35/100))^V295,$AG$4*(1+('main page'!$G$8/100))*(1+('main page'!$K$35/100))^V296-$AG$4*(1+('main page'!$G$8/100))*(1+('main page'!$K$35/100))^V295)</f>
        <v>0</v>
      </c>
      <c r="V296" s="73">
        <v>288</v>
      </c>
      <c r="W296" s="40">
        <f>'normal case'!V295</f>
        <v>0</v>
      </c>
      <c r="X296" s="40">
        <f>'normal case'!W295</f>
        <v>0</v>
      </c>
      <c r="Y296" s="49">
        <f ca="1">IF(controls!$B$33=1,E296-($J$4-'main page'!$K$27*2)*(1+('main page'!$K$35/100))^A295,E296-$AG$5)</f>
        <v>0</v>
      </c>
      <c r="Z296" s="49">
        <f ca="1">ABS(M296-(controls!$B$9/100)*100)</f>
        <v>0</v>
      </c>
      <c r="AI296" s="40"/>
      <c r="AJ296" s="40"/>
    </row>
    <row r="297" spans="1:36">
      <c r="A297" s="48">
        <v>294</v>
      </c>
      <c r="B297" s="75">
        <f ca="1">IF(controls!$B$6=2,AVERAGE(E293:E296)+B296*W297+hystere!$AG$9,AVERAGE(E293:E296)+B296*W297)</f>
        <v>100</v>
      </c>
      <c r="C297" s="80">
        <f t="shared" ca="1" si="25"/>
        <v>0</v>
      </c>
      <c r="D297" s="105">
        <f t="shared" ca="1" si="26"/>
        <v>0</v>
      </c>
      <c r="E297" s="77">
        <f t="shared" ca="1" si="27"/>
        <v>100</v>
      </c>
      <c r="F297" s="77">
        <f ca="1">IF('main page'!$K$34=1,hystere!H297,hystere!G297)</f>
        <v>100</v>
      </c>
      <c r="G297" s="94">
        <f ca="1">I297-'main page'!$K$27*hystere!N296</f>
        <v>100</v>
      </c>
      <c r="H297" s="75">
        <f ca="1">J297-'main page'!$K$27*N296</f>
        <v>100</v>
      </c>
      <c r="I297" s="75">
        <f t="shared" ca="1" si="28"/>
        <v>108</v>
      </c>
      <c r="J297" s="75">
        <f t="shared" ca="1" si="29"/>
        <v>108</v>
      </c>
      <c r="M297" s="75">
        <f ca="1">IF(ABS('main page'!$K$29*M296+(1-'main page'!$K$29)*(controls!$B$9/100)*100+'main page'!$K$25*(E297-B297)-M296)&lt;0.0000001,M296,'main page'!$K$29*M296+(1-'main page'!$K$29)*(controls!$B$9/100)*100+'main page'!$K$25*(E297-B297))</f>
        <v>2</v>
      </c>
      <c r="N297" s="75">
        <f ca="1">IF(controls!$B$10=1,N296,O297-'main page'!$K$29*M297-(1-'main page'!$K$29)*controls!$B$9)</f>
        <v>4</v>
      </c>
      <c r="O297" s="74">
        <f t="shared" ca="1" si="24"/>
        <v>6</v>
      </c>
      <c r="P297" s="76">
        <f ca="1">IF(controls!$B$10=1,hystere!N297+hystere!M297,hystere!Q297)</f>
        <v>6</v>
      </c>
      <c r="Q297" s="74">
        <f ca="1">IF('main page'!$Y$53=1,'choose m.p.'!$I$22*100,R297)</f>
        <v>6</v>
      </c>
      <c r="R297" s="100">
        <f ca="1">'main page'!$K$29*M297+(1-'main page'!$K$29)*controls!$B$9+S297+(('main page'!$K$25*'main page'!$U$13*'main page'!$K$29)/('main page'!$K$27*(1+('main page'!$K$25^2)*'main page'!$U$13)))*(M297-(controls!$B$9/100)*100)</f>
        <v>6</v>
      </c>
      <c r="S297" s="98">
        <f ca="1">IF(controls!$B$33=1,(J298-E297*X298-B297)/'main page'!$K$27,(I298-E297*X298-B297)/'main page'!$K$27)</f>
        <v>4</v>
      </c>
      <c r="U297" s="71">
        <f>IF(controls!$B$6=1,$AG$4*(1+('main page'!$K$35/100))^V297-$AG$4*(1+('main page'!$K$35/100))^V296,$AG$4*(1+('main page'!$G$8/100))*(1+('main page'!$K$35/100))^V297-$AG$4*(1+('main page'!$G$8/100))*(1+('main page'!$K$35/100))^V296)</f>
        <v>0</v>
      </c>
      <c r="V297" s="73">
        <v>289</v>
      </c>
      <c r="W297" s="40">
        <f ca="1">'normal case'!V296</f>
        <v>0</v>
      </c>
      <c r="X297" s="40">
        <f ca="1">'normal case'!W296</f>
        <v>0</v>
      </c>
      <c r="Y297" s="49">
        <f ca="1">IF(controls!$B$33=1,E297-($J$4-'main page'!$K$27*2)*(1+('main page'!$K$35/100))^A296,E297-$AG$5)</f>
        <v>0</v>
      </c>
      <c r="Z297" s="49">
        <f ca="1">ABS(M297-(controls!$B$9/100)*100)</f>
        <v>0</v>
      </c>
      <c r="AI297" s="40"/>
      <c r="AJ297" s="40"/>
    </row>
    <row r="298" spans="1:36">
      <c r="A298" s="48">
        <v>295</v>
      </c>
      <c r="B298" s="75">
        <f ca="1">IF(controls!$B$6=2,AVERAGE(E294:E297)+B297*W298+hystere!$AG$9,AVERAGE(E294:E297)+B297*W298)</f>
        <v>100</v>
      </c>
      <c r="C298" s="80">
        <f t="shared" ca="1" si="25"/>
        <v>0</v>
      </c>
      <c r="D298" s="105">
        <f t="shared" ca="1" si="26"/>
        <v>0</v>
      </c>
      <c r="E298" s="77">
        <f t="shared" ca="1" si="27"/>
        <v>100</v>
      </c>
      <c r="F298" s="77">
        <f ca="1">IF('main page'!$K$34=1,hystere!H298,hystere!G298)</f>
        <v>100</v>
      </c>
      <c r="G298" s="94">
        <f ca="1">I298-'main page'!$K$27*hystere!N297</f>
        <v>100</v>
      </c>
      <c r="H298" s="75">
        <f ca="1">J298-'main page'!$K$27*N297</f>
        <v>100</v>
      </c>
      <c r="I298" s="75">
        <f t="shared" ca="1" si="28"/>
        <v>108</v>
      </c>
      <c r="J298" s="75">
        <f t="shared" ca="1" si="29"/>
        <v>108</v>
      </c>
      <c r="M298" s="75">
        <f ca="1">IF(ABS('main page'!$K$29*M297+(1-'main page'!$K$29)*(controls!$B$9/100)*100+'main page'!$K$25*(E298-B298)-M297)&lt;0.0000001,M297,'main page'!$K$29*M297+(1-'main page'!$K$29)*(controls!$B$9/100)*100+'main page'!$K$25*(E298-B298))</f>
        <v>2</v>
      </c>
      <c r="N298" s="75">
        <f ca="1">IF(controls!$B$10=1,N297,O298-'main page'!$K$29*M298-(1-'main page'!$K$29)*controls!$B$9)</f>
        <v>4</v>
      </c>
      <c r="O298" s="74">
        <f t="shared" ca="1" si="24"/>
        <v>6</v>
      </c>
      <c r="P298" s="76">
        <f ca="1">IF(controls!$B$10=1,hystere!N298+hystere!M298,hystere!Q298)</f>
        <v>6</v>
      </c>
      <c r="Q298" s="74">
        <f ca="1">IF('main page'!$Y$53=1,'choose m.p.'!$I$22*100,R298)</f>
        <v>6</v>
      </c>
      <c r="R298" s="100">
        <f ca="1">'main page'!$K$29*M298+(1-'main page'!$K$29)*controls!$B$9+S298+(('main page'!$K$25*'main page'!$U$13*'main page'!$K$29)/('main page'!$K$27*(1+('main page'!$K$25^2)*'main page'!$U$13)))*(M298-(controls!$B$9/100)*100)</f>
        <v>6</v>
      </c>
      <c r="S298" s="98">
        <f ca="1">IF(controls!$B$33=1,(J299-E298*X299-B298)/'main page'!$K$27,(I299-E298*X299-B298)/'main page'!$K$27)</f>
        <v>4</v>
      </c>
      <c r="U298" s="71">
        <f>IF(controls!$B$6=1,$AG$4*(1+('main page'!$K$35/100))^V298-$AG$4*(1+('main page'!$K$35/100))^V297,$AG$4*(1+('main page'!$G$8/100))*(1+('main page'!$K$35/100))^V298-$AG$4*(1+('main page'!$G$8/100))*(1+('main page'!$K$35/100))^V297)</f>
        <v>0</v>
      </c>
      <c r="V298" s="73">
        <v>290</v>
      </c>
      <c r="W298" s="40">
        <f>'normal case'!V297</f>
        <v>0</v>
      </c>
      <c r="X298" s="40">
        <f>'normal case'!W297</f>
        <v>0</v>
      </c>
      <c r="Y298" s="49">
        <f ca="1">IF(controls!$B$33=1,E298-($J$4-'main page'!$K$27*2)*(1+('main page'!$K$35/100))^A297,E298-$AG$5)</f>
        <v>0</v>
      </c>
      <c r="Z298" s="49">
        <f ca="1">ABS(M298-(controls!$B$9/100)*100)</f>
        <v>0</v>
      </c>
      <c r="AI298" s="40"/>
      <c r="AJ298" s="40"/>
    </row>
    <row r="299" spans="1:36">
      <c r="A299" s="48">
        <v>296</v>
      </c>
      <c r="B299" s="75">
        <f ca="1">IF(controls!$B$6=2,AVERAGE(E295:E298)+B298*W299+hystere!$AG$9,AVERAGE(E295:E298)+B298*W299)</f>
        <v>100</v>
      </c>
      <c r="C299" s="80">
        <f t="shared" ca="1" si="25"/>
        <v>0</v>
      </c>
      <c r="D299" s="105">
        <f t="shared" ca="1" si="26"/>
        <v>0</v>
      </c>
      <c r="E299" s="77">
        <f t="shared" ca="1" si="27"/>
        <v>100</v>
      </c>
      <c r="F299" s="77">
        <f ca="1">IF('main page'!$K$34=1,hystere!H299,hystere!G299)</f>
        <v>100</v>
      </c>
      <c r="G299" s="94">
        <f ca="1">I299-'main page'!$K$27*hystere!N298</f>
        <v>100</v>
      </c>
      <c r="H299" s="75">
        <f ca="1">J299-'main page'!$K$27*N298</f>
        <v>100</v>
      </c>
      <c r="I299" s="75">
        <f t="shared" ca="1" si="28"/>
        <v>108</v>
      </c>
      <c r="J299" s="75">
        <f t="shared" ca="1" si="29"/>
        <v>108</v>
      </c>
      <c r="M299" s="75">
        <f ca="1">IF(ABS('main page'!$K$29*M298+(1-'main page'!$K$29)*(controls!$B$9/100)*100+'main page'!$K$25*(E299-B299)-M298)&lt;0.0000001,M298,'main page'!$K$29*M298+(1-'main page'!$K$29)*(controls!$B$9/100)*100+'main page'!$K$25*(E299-B299))</f>
        <v>2</v>
      </c>
      <c r="N299" s="75">
        <f ca="1">IF(controls!$B$10=1,N298,O299-'main page'!$K$29*M299-(1-'main page'!$K$29)*controls!$B$9)</f>
        <v>4</v>
      </c>
      <c r="O299" s="74">
        <f t="shared" ca="1" si="24"/>
        <v>6</v>
      </c>
      <c r="P299" s="76">
        <f ca="1">IF(controls!$B$10=1,hystere!N299+hystere!M299,hystere!Q299)</f>
        <v>6</v>
      </c>
      <c r="Q299" s="74">
        <f ca="1">IF('main page'!$Y$53=1,'choose m.p.'!$I$22*100,R299)</f>
        <v>6</v>
      </c>
      <c r="R299" s="100">
        <f ca="1">'main page'!$K$29*M299+(1-'main page'!$K$29)*controls!$B$9+S299+(('main page'!$K$25*'main page'!$U$13*'main page'!$K$29)/('main page'!$K$27*(1+('main page'!$K$25^2)*'main page'!$U$13)))*(M299-(controls!$B$9/100)*100)</f>
        <v>6</v>
      </c>
      <c r="S299" s="98">
        <f ca="1">IF(controls!$B$33=1,(J300-E299*X300-B299)/'main page'!$K$27,(I300-E299*X300-B299)/'main page'!$K$27)</f>
        <v>4</v>
      </c>
      <c r="U299" s="71">
        <f>IF(controls!$B$6=1,$AG$4*(1+('main page'!$K$35/100))^V299-$AG$4*(1+('main page'!$K$35/100))^V298,$AG$4*(1+('main page'!$G$8/100))*(1+('main page'!$K$35/100))^V299-$AG$4*(1+('main page'!$G$8/100))*(1+('main page'!$K$35/100))^V298)</f>
        <v>0</v>
      </c>
      <c r="V299" s="73">
        <v>291</v>
      </c>
      <c r="W299" s="40">
        <f>'normal case'!V298</f>
        <v>0</v>
      </c>
      <c r="X299" s="40">
        <f>'normal case'!W298</f>
        <v>0</v>
      </c>
      <c r="Y299" s="49">
        <f ca="1">IF(controls!$B$33=1,E299-($J$4-'main page'!$K$27*2)*(1+('main page'!$K$35/100))^A298,E299-$AG$5)</f>
        <v>0</v>
      </c>
      <c r="Z299" s="49">
        <f ca="1">ABS(M299-(controls!$B$9/100)*100)</f>
        <v>0</v>
      </c>
      <c r="AI299" s="40"/>
      <c r="AJ299" s="40"/>
    </row>
    <row r="300" spans="1:36">
      <c r="A300" s="48">
        <v>297</v>
      </c>
      <c r="B300" s="75">
        <f ca="1">IF(controls!$B$6=2,AVERAGE(E296:E299)+B299*W300+hystere!$AG$9,AVERAGE(E296:E299)+B299*W300)</f>
        <v>100</v>
      </c>
      <c r="C300" s="80">
        <f t="shared" ca="1" si="25"/>
        <v>0</v>
      </c>
      <c r="D300" s="105">
        <f t="shared" ca="1" si="26"/>
        <v>0</v>
      </c>
      <c r="E300" s="77">
        <f t="shared" ca="1" si="27"/>
        <v>100</v>
      </c>
      <c r="F300" s="77">
        <f ca="1">IF('main page'!$K$34=1,hystere!H300,hystere!G300)</f>
        <v>100</v>
      </c>
      <c r="G300" s="94">
        <f ca="1">I300-'main page'!$K$27*hystere!N299</f>
        <v>100</v>
      </c>
      <c r="H300" s="75">
        <f ca="1">J300-'main page'!$K$27*N299</f>
        <v>100</v>
      </c>
      <c r="I300" s="75">
        <f t="shared" ca="1" si="28"/>
        <v>108</v>
      </c>
      <c r="J300" s="75">
        <f t="shared" ca="1" si="29"/>
        <v>108</v>
      </c>
      <c r="M300" s="75">
        <f ca="1">IF(ABS('main page'!$K$29*M299+(1-'main page'!$K$29)*(controls!$B$9/100)*100+'main page'!$K$25*(E300-B300)-M299)&lt;0.0000001,M299,'main page'!$K$29*M299+(1-'main page'!$K$29)*(controls!$B$9/100)*100+'main page'!$K$25*(E300-B300))</f>
        <v>2</v>
      </c>
      <c r="N300" s="75">
        <f ca="1">IF(controls!$B$10=1,N299,O300-'main page'!$K$29*M300-(1-'main page'!$K$29)*controls!$B$9)</f>
        <v>4</v>
      </c>
      <c r="O300" s="74">
        <f t="shared" ca="1" si="24"/>
        <v>6</v>
      </c>
      <c r="P300" s="76">
        <f ca="1">IF(controls!$B$10=1,hystere!N300+hystere!M300,hystere!Q300)</f>
        <v>6</v>
      </c>
      <c r="Q300" s="74">
        <f ca="1">IF('main page'!$Y$53=1,'choose m.p.'!$I$22*100,R300)</f>
        <v>6</v>
      </c>
      <c r="R300" s="100">
        <f ca="1">'main page'!$K$29*M300+(1-'main page'!$K$29)*controls!$B$9+S300+(('main page'!$K$25*'main page'!$U$13*'main page'!$K$29)/('main page'!$K$27*(1+('main page'!$K$25^2)*'main page'!$U$13)))*(M300-(controls!$B$9/100)*100)</f>
        <v>6</v>
      </c>
      <c r="S300" s="98">
        <f ca="1">IF(controls!$B$33=1,(J301-E300*X301-B300)/'main page'!$K$27,(I301-E300*X301-B300)/'main page'!$K$27)</f>
        <v>4</v>
      </c>
      <c r="U300" s="71">
        <f>IF(controls!$B$6=1,$AG$4*(1+('main page'!$K$35/100))^V300-$AG$4*(1+('main page'!$K$35/100))^V299,$AG$4*(1+('main page'!$G$8/100))*(1+('main page'!$K$35/100))^V300-$AG$4*(1+('main page'!$G$8/100))*(1+('main page'!$K$35/100))^V299)</f>
        <v>0</v>
      </c>
      <c r="V300" s="73">
        <v>292</v>
      </c>
      <c r="W300" s="40">
        <f ca="1">'normal case'!V299</f>
        <v>0</v>
      </c>
      <c r="X300" s="40">
        <f ca="1">'normal case'!W299</f>
        <v>0</v>
      </c>
      <c r="Y300" s="49">
        <f ca="1">IF(controls!$B$33=1,E300-($J$4-'main page'!$K$27*2)*(1+('main page'!$K$35/100))^A299,E300-$AG$5)</f>
        <v>0</v>
      </c>
      <c r="Z300" s="49">
        <f ca="1">ABS(M300-(controls!$B$9/100)*100)</f>
        <v>0</v>
      </c>
      <c r="AI300" s="40"/>
      <c r="AJ300" s="40"/>
    </row>
    <row r="301" spans="1:36">
      <c r="A301" s="48">
        <v>298</v>
      </c>
      <c r="B301" s="75">
        <f ca="1">IF(controls!$B$6=2,AVERAGE(E297:E300)+B300*W301+hystere!$AG$9,AVERAGE(E297:E300)+B300*W301)</f>
        <v>100</v>
      </c>
      <c r="C301" s="80">
        <f t="shared" ca="1" si="25"/>
        <v>0</v>
      </c>
      <c r="D301" s="105">
        <f t="shared" ca="1" si="26"/>
        <v>0</v>
      </c>
      <c r="E301" s="77">
        <f t="shared" ca="1" si="27"/>
        <v>100</v>
      </c>
      <c r="F301" s="77">
        <f ca="1">IF('main page'!$K$34=1,hystere!H301,hystere!G301)</f>
        <v>100</v>
      </c>
      <c r="G301" s="94">
        <f ca="1">I301-'main page'!$K$27*hystere!N300</f>
        <v>100</v>
      </c>
      <c r="H301" s="75">
        <f ca="1">J301-'main page'!$K$27*N300</f>
        <v>100</v>
      </c>
      <c r="I301" s="75">
        <f t="shared" ca="1" si="28"/>
        <v>108</v>
      </c>
      <c r="J301" s="75">
        <f t="shared" ca="1" si="29"/>
        <v>108</v>
      </c>
      <c r="M301" s="75">
        <f ca="1">IF(ABS('main page'!$K$29*M300+(1-'main page'!$K$29)*(controls!$B$9/100)*100+'main page'!$K$25*(E301-B301)-M300)&lt;0.0000001,M300,'main page'!$K$29*M300+(1-'main page'!$K$29)*(controls!$B$9/100)*100+'main page'!$K$25*(E301-B301))</f>
        <v>2</v>
      </c>
      <c r="N301" s="75">
        <f ca="1">IF(controls!$B$10=1,N300,O301-'main page'!$K$29*M301-(1-'main page'!$K$29)*controls!$B$9)</f>
        <v>4</v>
      </c>
      <c r="O301" s="74">
        <f t="shared" ca="1" si="24"/>
        <v>6</v>
      </c>
      <c r="P301" s="76">
        <f ca="1">IF(controls!$B$10=1,hystere!N301+hystere!M301,hystere!Q301)</f>
        <v>6</v>
      </c>
      <c r="Q301" s="74">
        <f ca="1">IF('main page'!$Y$53=1,'choose m.p.'!$I$22*100,R301)</f>
        <v>6</v>
      </c>
      <c r="R301" s="100">
        <f ca="1">'main page'!$K$29*M301+(1-'main page'!$K$29)*controls!$B$9+S301+(('main page'!$K$25*'main page'!$U$13*'main page'!$K$29)/('main page'!$K$27*(1+('main page'!$K$25^2)*'main page'!$U$13)))*(M301-(controls!$B$9/100)*100)</f>
        <v>6</v>
      </c>
      <c r="S301" s="98">
        <f ca="1">IF(controls!$B$33=1,(J302-E301*X302-B301)/'main page'!$K$27,(I302-E301*X302-B301)/'main page'!$K$27)</f>
        <v>4</v>
      </c>
      <c r="U301" s="71">
        <f>IF(controls!$B$6=1,$AG$4*(1+('main page'!$K$35/100))^V301-$AG$4*(1+('main page'!$K$35/100))^V300,$AG$4*(1+('main page'!$G$8/100))*(1+('main page'!$K$35/100))^V301-$AG$4*(1+('main page'!$G$8/100))*(1+('main page'!$K$35/100))^V300)</f>
        <v>0</v>
      </c>
      <c r="V301" s="73">
        <v>293</v>
      </c>
      <c r="W301" s="40">
        <f>'normal case'!V300</f>
        <v>0</v>
      </c>
      <c r="X301" s="40">
        <f>'normal case'!W300</f>
        <v>0</v>
      </c>
      <c r="Y301" s="49">
        <f ca="1">IF(controls!$B$33=1,E301-($J$4-'main page'!$K$27*2)*(1+('main page'!$K$35/100))^A300,E301-$AG$5)</f>
        <v>0</v>
      </c>
      <c r="Z301" s="49">
        <f ca="1">ABS(M301-(controls!$B$9/100)*100)</f>
        <v>0</v>
      </c>
      <c r="AI301" s="40"/>
      <c r="AJ301" s="40"/>
    </row>
    <row r="302" spans="1:36">
      <c r="A302" s="48">
        <v>299</v>
      </c>
      <c r="B302" s="75">
        <f ca="1">IF(controls!$B$6=2,AVERAGE(E298:E301)+B301*W302+hystere!$AG$9,AVERAGE(E298:E301)+B301*W302)</f>
        <v>100</v>
      </c>
      <c r="C302" s="80">
        <f t="shared" ca="1" si="25"/>
        <v>0</v>
      </c>
      <c r="D302" s="105">
        <f t="shared" ca="1" si="26"/>
        <v>0</v>
      </c>
      <c r="E302" s="77">
        <f t="shared" ca="1" si="27"/>
        <v>100</v>
      </c>
      <c r="F302" s="77">
        <f ca="1">IF('main page'!$K$34=1,hystere!H302,hystere!G302)</f>
        <v>100</v>
      </c>
      <c r="G302" s="94">
        <f ca="1">I302-'main page'!$K$27*hystere!N301</f>
        <v>100</v>
      </c>
      <c r="H302" s="75">
        <f ca="1">J302-'main page'!$K$27*N301</f>
        <v>100</v>
      </c>
      <c r="I302" s="75">
        <f t="shared" ca="1" si="28"/>
        <v>108</v>
      </c>
      <c r="J302" s="75">
        <f t="shared" ca="1" si="29"/>
        <v>108</v>
      </c>
      <c r="M302" s="75">
        <f ca="1">IF(ABS('main page'!$K$29*M301+(1-'main page'!$K$29)*(controls!$B$9/100)*100+'main page'!$K$25*(E302-B302)-M301)&lt;0.0000001,M301,'main page'!$K$29*M301+(1-'main page'!$K$29)*(controls!$B$9/100)*100+'main page'!$K$25*(E302-B302))</f>
        <v>2</v>
      </c>
      <c r="N302" s="75">
        <f ca="1">IF(controls!$B$10=1,N301,O302-'main page'!$K$29*M302-(1-'main page'!$K$29)*controls!$B$9)</f>
        <v>4</v>
      </c>
      <c r="O302" s="74">
        <f t="shared" ca="1" si="24"/>
        <v>6</v>
      </c>
      <c r="P302" s="76">
        <f ca="1">IF(controls!$B$10=1,hystere!N302+hystere!M302,hystere!Q302)</f>
        <v>6</v>
      </c>
      <c r="Q302" s="74">
        <f ca="1">IF('main page'!$Y$53=1,'choose m.p.'!$I$22*100,R302)</f>
        <v>6</v>
      </c>
      <c r="R302" s="100">
        <f ca="1">'main page'!$K$29*M302+(1-'main page'!$K$29)*controls!$B$9+S302+(('main page'!$K$25*'main page'!$U$13*'main page'!$K$29)/('main page'!$K$27*(1+('main page'!$K$25^2)*'main page'!$U$13)))*(M302-(controls!$B$9/100)*100)</f>
        <v>6</v>
      </c>
      <c r="S302" s="98">
        <f ca="1">IF(controls!$B$33=1,(J303-E302*X303-B302)/'main page'!$K$27,(I303-E302*X303-B302)/'main page'!$K$27)</f>
        <v>4</v>
      </c>
      <c r="U302" s="71">
        <f>IF(controls!$B$6=1,$AG$4*(1+('main page'!$K$35/100))^V302-$AG$4*(1+('main page'!$K$35/100))^V301,$AG$4*(1+('main page'!$G$8/100))*(1+('main page'!$K$35/100))^V302-$AG$4*(1+('main page'!$G$8/100))*(1+('main page'!$K$35/100))^V301)</f>
        <v>0</v>
      </c>
      <c r="V302" s="73">
        <v>294</v>
      </c>
      <c r="W302" s="40">
        <f>'normal case'!V301</f>
        <v>0</v>
      </c>
      <c r="X302" s="40">
        <f>'normal case'!W301</f>
        <v>0</v>
      </c>
      <c r="Y302" s="49">
        <f ca="1">IF(controls!$B$33=1,E302-($J$4-'main page'!$K$27*2)*(1+('main page'!$K$35/100))^A301,E302-$AG$5)</f>
        <v>0</v>
      </c>
      <c r="Z302" s="49">
        <f ca="1">ABS(M302-(controls!$B$9/100)*100)</f>
        <v>0</v>
      </c>
      <c r="AI302" s="40"/>
      <c r="AJ302" s="40"/>
    </row>
    <row r="303" spans="1:36">
      <c r="A303" s="48">
        <v>300</v>
      </c>
      <c r="B303" s="75">
        <f ca="1">IF(controls!$B$6=2,AVERAGE(E299:E302)+B302*W303+hystere!$AG$9,AVERAGE(E299:E302)+B302*W303)</f>
        <v>100</v>
      </c>
      <c r="C303" s="80">
        <f t="shared" ca="1" si="25"/>
        <v>0</v>
      </c>
      <c r="D303" s="105">
        <f t="shared" ca="1" si="26"/>
        <v>0</v>
      </c>
      <c r="E303" s="77">
        <f t="shared" ca="1" si="27"/>
        <v>100</v>
      </c>
      <c r="F303" s="77">
        <f ca="1">IF('main page'!$K$34=1,hystere!H303,hystere!G303)</f>
        <v>100</v>
      </c>
      <c r="G303" s="94">
        <f ca="1">I303-'main page'!$K$27*hystere!N302</f>
        <v>100</v>
      </c>
      <c r="H303" s="75">
        <f ca="1">J303-'main page'!$K$27*N302</f>
        <v>100</v>
      </c>
      <c r="I303" s="75">
        <f t="shared" ca="1" si="28"/>
        <v>108</v>
      </c>
      <c r="J303" s="75">
        <f t="shared" ca="1" si="29"/>
        <v>108</v>
      </c>
      <c r="M303" s="75">
        <f ca="1">IF(ABS('main page'!$K$29*M302+(1-'main page'!$K$29)*(controls!$B$9/100)*100+'main page'!$K$25*(E303-B303)-M302)&lt;0.0000001,M302,'main page'!$K$29*M302+(1-'main page'!$K$29)*(controls!$B$9/100)*100+'main page'!$K$25*(E303-B303))</f>
        <v>2</v>
      </c>
      <c r="N303" s="75">
        <f ca="1">IF(controls!$B$10=1,N302,O303-'main page'!$K$29*M303-(1-'main page'!$K$29)*controls!$B$9)</f>
        <v>4</v>
      </c>
      <c r="O303" s="74">
        <f t="shared" ca="1" si="24"/>
        <v>6</v>
      </c>
      <c r="P303" s="76">
        <f ca="1">IF(controls!$B$10=1,hystere!N303+hystere!M303,hystere!Q303)</f>
        <v>6</v>
      </c>
      <c r="Q303" s="74">
        <f ca="1">IF('main page'!$Y$53=1,'choose m.p.'!$I$22*100,R303)</f>
        <v>6</v>
      </c>
      <c r="R303" s="100">
        <f ca="1">'main page'!$K$29*M303+(1-'main page'!$K$29)*controls!$B$9+S303+(('main page'!$K$25*'main page'!$U$13*'main page'!$K$29)/('main page'!$K$27*(1+('main page'!$K$25^2)*'main page'!$U$13)))*(M303-(controls!$B$9/100)*100)</f>
        <v>6</v>
      </c>
      <c r="S303" s="98">
        <f ca="1">IF(controls!$B$33=1,(J304-E303*X304-B303)/'main page'!$K$27,(I304-E303*X304-B303)/'main page'!$K$27)</f>
        <v>4</v>
      </c>
      <c r="U303" s="71">
        <f>IF(controls!$B$6=1,$AG$4*(1+('main page'!$K$35/100))^V303-$AG$4*(1+('main page'!$K$35/100))^V302,$AG$4*(1+('main page'!$G$8/100))*(1+('main page'!$K$35/100))^V303-$AG$4*(1+('main page'!$G$8/100))*(1+('main page'!$K$35/100))^V302)</f>
        <v>0</v>
      </c>
      <c r="V303" s="73">
        <v>295</v>
      </c>
      <c r="W303" s="40">
        <f ca="1">'normal case'!V302</f>
        <v>0</v>
      </c>
      <c r="X303" s="40">
        <f ca="1">'normal case'!W302</f>
        <v>0</v>
      </c>
      <c r="Y303" s="49">
        <f ca="1">IF(controls!$B$33=1,E303-($J$4-'main page'!$K$27*2)*(1+('main page'!$K$35/100))^A302,E303-$AG$5)</f>
        <v>0</v>
      </c>
      <c r="Z303" s="49">
        <f ca="1">ABS(M303-(controls!$B$9/100)*100)</f>
        <v>0</v>
      </c>
      <c r="AI303" s="40"/>
      <c r="AJ303" s="40"/>
    </row>
    <row r="304" spans="1:36">
      <c r="A304" s="48">
        <v>301</v>
      </c>
      <c r="B304" s="75">
        <f ca="1">IF(controls!$B$6=2,AVERAGE(E300:E303)+B303*W304+hystere!$AG$9,AVERAGE(E300:E303)+B303*W304)</f>
        <v>100</v>
      </c>
      <c r="C304" s="80">
        <f t="shared" ca="1" si="25"/>
        <v>0</v>
      </c>
      <c r="D304" s="105">
        <f t="shared" ca="1" si="26"/>
        <v>0</v>
      </c>
      <c r="E304" s="77">
        <f t="shared" ca="1" si="27"/>
        <v>100</v>
      </c>
      <c r="F304" s="77">
        <f ca="1">IF('main page'!$K$34=1,hystere!H304,hystere!G304)</f>
        <v>100</v>
      </c>
      <c r="G304" s="94">
        <f ca="1">I304-'main page'!$K$27*hystere!N303</f>
        <v>100</v>
      </c>
      <c r="H304" s="75">
        <f ca="1">J304-'main page'!$K$27*N303</f>
        <v>100</v>
      </c>
      <c r="I304" s="75">
        <f t="shared" ca="1" si="28"/>
        <v>108</v>
      </c>
      <c r="J304" s="75">
        <f t="shared" ca="1" si="29"/>
        <v>108</v>
      </c>
      <c r="M304" s="75">
        <f ca="1">IF(ABS('main page'!$K$29*M303+(1-'main page'!$K$29)*(controls!$B$9/100)*100+'main page'!$K$25*(E304-B304)-M303)&lt;0.0000001,M303,'main page'!$K$29*M303+(1-'main page'!$K$29)*(controls!$B$9/100)*100+'main page'!$K$25*(E304-B304))</f>
        <v>2</v>
      </c>
      <c r="N304" s="75">
        <f ca="1">IF(controls!$B$10=1,N303,O304-'main page'!$K$29*M304-(1-'main page'!$K$29)*controls!$B$9)</f>
        <v>4</v>
      </c>
      <c r="O304" s="74">
        <f t="shared" ca="1" si="24"/>
        <v>6</v>
      </c>
      <c r="P304" s="76">
        <f ca="1">IF(controls!$B$10=1,hystere!N304+hystere!M304,hystere!Q304)</f>
        <v>6</v>
      </c>
      <c r="Q304" s="74">
        <f ca="1">IF('main page'!$Y$53=1,'choose m.p.'!$I$22*100,R304)</f>
        <v>6</v>
      </c>
      <c r="R304" s="100">
        <f ca="1">'main page'!$K$29*M304+(1-'main page'!$K$29)*controls!$B$9+S304+(('main page'!$K$25*'main page'!$U$13*'main page'!$K$29)/('main page'!$K$27*(1+('main page'!$K$25^2)*'main page'!$U$13)))*(M304-(controls!$B$9/100)*100)</f>
        <v>6</v>
      </c>
      <c r="S304" s="98">
        <f ca="1">IF(controls!$B$33=1,(J305-E304*X305-B304)/'main page'!$K$27,(I305-E304*X305-B304)/'main page'!$K$27)</f>
        <v>4</v>
      </c>
      <c r="U304" s="71">
        <f>IF(controls!$B$6=1,$AG$4*(1+('main page'!$K$35/100))^V304-$AG$4*(1+('main page'!$K$35/100))^V303,$AG$4*(1+('main page'!$G$8/100))*(1+('main page'!$K$35/100))^V304-$AG$4*(1+('main page'!$G$8/100))*(1+('main page'!$K$35/100))^V303)</f>
        <v>0</v>
      </c>
      <c r="V304" s="73">
        <v>296</v>
      </c>
      <c r="W304" s="40">
        <f>'normal case'!V303</f>
        <v>0</v>
      </c>
      <c r="X304" s="40">
        <f>'normal case'!W303</f>
        <v>0</v>
      </c>
      <c r="Y304" s="49">
        <f ca="1">IF(controls!$B$33=1,E304-($J$4-'main page'!$K$27*2)*(1+('main page'!$K$35/100))^A303,E304-$AG$5)</f>
        <v>0</v>
      </c>
      <c r="Z304" s="49">
        <f ca="1">ABS(M304-(controls!$B$9/100)*100)</f>
        <v>0</v>
      </c>
      <c r="AI304" s="40"/>
      <c r="AJ304" s="40"/>
    </row>
    <row r="305" spans="1:36">
      <c r="A305" s="48">
        <v>302</v>
      </c>
      <c r="B305" s="75">
        <f ca="1">IF(controls!$B$6=2,AVERAGE(E301:E304)+B304*W305+hystere!$AG$9,AVERAGE(E301:E304)+B304*W305)</f>
        <v>100</v>
      </c>
      <c r="C305" s="80">
        <f t="shared" ca="1" si="25"/>
        <v>0</v>
      </c>
      <c r="D305" s="105">
        <f t="shared" ca="1" si="26"/>
        <v>0</v>
      </c>
      <c r="E305" s="77">
        <f t="shared" ca="1" si="27"/>
        <v>100</v>
      </c>
      <c r="F305" s="77">
        <f ca="1">IF('main page'!$K$34=1,hystere!H305,hystere!G305)</f>
        <v>100</v>
      </c>
      <c r="G305" s="94">
        <f ca="1">I305-'main page'!$K$27*hystere!N304</f>
        <v>100</v>
      </c>
      <c r="H305" s="75">
        <f ca="1">J305-'main page'!$K$27*N304</f>
        <v>100</v>
      </c>
      <c r="I305" s="75">
        <f t="shared" ca="1" si="28"/>
        <v>108</v>
      </c>
      <c r="J305" s="75">
        <f t="shared" ca="1" si="29"/>
        <v>108</v>
      </c>
      <c r="M305" s="75">
        <f ca="1">IF(ABS('main page'!$K$29*M304+(1-'main page'!$K$29)*(controls!$B$9/100)*100+'main page'!$K$25*(E305-B305)-M304)&lt;0.0000001,M304,'main page'!$K$29*M304+(1-'main page'!$K$29)*(controls!$B$9/100)*100+'main page'!$K$25*(E305-B305))</f>
        <v>2</v>
      </c>
      <c r="N305" s="75">
        <f ca="1">IF(controls!$B$10=1,N304,O305-'main page'!$K$29*M305-(1-'main page'!$K$29)*controls!$B$9)</f>
        <v>4</v>
      </c>
      <c r="O305" s="74">
        <f t="shared" ca="1" si="24"/>
        <v>6</v>
      </c>
      <c r="P305" s="76">
        <f ca="1">IF(controls!$B$10=1,hystere!N305+hystere!M305,hystere!Q305)</f>
        <v>6</v>
      </c>
      <c r="Q305" s="74">
        <f ca="1">IF('main page'!$Y$53=1,'choose m.p.'!$I$22*100,R305)</f>
        <v>6</v>
      </c>
      <c r="R305" s="100">
        <f ca="1">'main page'!$K$29*M305+(1-'main page'!$K$29)*controls!$B$9+S305+(('main page'!$K$25*'main page'!$U$13*'main page'!$K$29)/('main page'!$K$27*(1+('main page'!$K$25^2)*'main page'!$U$13)))*(M305-(controls!$B$9/100)*100)</f>
        <v>6</v>
      </c>
      <c r="S305" s="98">
        <f ca="1">IF(controls!$B$33=1,(J306-E305*X306-B305)/'main page'!$K$27,(I306-E305*X306-B305)/'main page'!$K$27)</f>
        <v>4</v>
      </c>
      <c r="U305" s="71">
        <f>IF(controls!$B$6=1,$AG$4*(1+('main page'!$K$35/100))^V305-$AG$4*(1+('main page'!$K$35/100))^V304,$AG$4*(1+('main page'!$G$8/100))*(1+('main page'!$K$35/100))^V305-$AG$4*(1+('main page'!$G$8/100))*(1+('main page'!$K$35/100))^V304)</f>
        <v>0</v>
      </c>
      <c r="V305" s="73">
        <v>297</v>
      </c>
      <c r="W305" s="40">
        <f>'normal case'!V304</f>
        <v>0</v>
      </c>
      <c r="X305" s="40">
        <f>'normal case'!W304</f>
        <v>0</v>
      </c>
      <c r="Y305" s="49">
        <f ca="1">IF(controls!$B$33=1,E305-($J$4-'main page'!$K$27*2)*(1+('main page'!$K$35/100))^A304,E305-$AG$5)</f>
        <v>0</v>
      </c>
      <c r="Z305" s="49">
        <f ca="1">ABS(M305-(controls!$B$9/100)*100)</f>
        <v>0</v>
      </c>
      <c r="AI305" s="40"/>
      <c r="AJ305" s="40"/>
    </row>
    <row r="306" spans="1:36">
      <c r="A306" s="48">
        <v>303</v>
      </c>
      <c r="B306" s="75">
        <f ca="1">IF(controls!$B$6=2,AVERAGE(E302:E305)+B305*W306+hystere!$AG$9,AVERAGE(E302:E305)+B305*W306)</f>
        <v>100</v>
      </c>
      <c r="C306" s="80">
        <f t="shared" ca="1" si="25"/>
        <v>0</v>
      </c>
      <c r="D306" s="105">
        <f t="shared" ca="1" si="26"/>
        <v>0</v>
      </c>
      <c r="E306" s="77">
        <f t="shared" ca="1" si="27"/>
        <v>100</v>
      </c>
      <c r="F306" s="77">
        <f ca="1">IF('main page'!$K$34=1,hystere!H306,hystere!G306)</f>
        <v>100</v>
      </c>
      <c r="G306" s="94">
        <f ca="1">I306-'main page'!$K$27*hystere!N305</f>
        <v>100</v>
      </c>
      <c r="H306" s="75">
        <f ca="1">J306-'main page'!$K$27*N305</f>
        <v>100</v>
      </c>
      <c r="I306" s="75">
        <f t="shared" ca="1" si="28"/>
        <v>108</v>
      </c>
      <c r="J306" s="75">
        <f t="shared" ca="1" si="29"/>
        <v>108</v>
      </c>
      <c r="M306" s="75">
        <f ca="1">IF(ABS('main page'!$K$29*M305+(1-'main page'!$K$29)*(controls!$B$9/100)*100+'main page'!$K$25*(E306-B306)-M305)&lt;0.0000001,M305,'main page'!$K$29*M305+(1-'main page'!$K$29)*(controls!$B$9/100)*100+'main page'!$K$25*(E306-B306))</f>
        <v>2</v>
      </c>
      <c r="N306" s="75">
        <f ca="1">IF(controls!$B$10=1,N305,O306-'main page'!$K$29*M306-(1-'main page'!$K$29)*controls!$B$9)</f>
        <v>4</v>
      </c>
      <c r="O306" s="74">
        <f t="shared" ca="1" si="24"/>
        <v>6</v>
      </c>
      <c r="P306" s="76">
        <f ca="1">IF(controls!$B$10=1,hystere!N306+hystere!M306,hystere!Q306)</f>
        <v>6</v>
      </c>
      <c r="Q306" s="74">
        <f ca="1">IF('main page'!$Y$53=1,'choose m.p.'!$I$22*100,R306)</f>
        <v>6</v>
      </c>
      <c r="R306" s="100">
        <f ca="1">'main page'!$K$29*M306+(1-'main page'!$K$29)*controls!$B$9+S306+(('main page'!$K$25*'main page'!$U$13*'main page'!$K$29)/('main page'!$K$27*(1+('main page'!$K$25^2)*'main page'!$U$13)))*(M306-(controls!$B$9/100)*100)</f>
        <v>6</v>
      </c>
      <c r="S306" s="98">
        <f ca="1">IF(controls!$B$33=1,(J307-E306*X307-B306)/'main page'!$K$27,(I307-E306*X307-B306)/'main page'!$K$27)</f>
        <v>4</v>
      </c>
      <c r="U306" s="71">
        <f>IF(controls!$B$6=1,$AG$4*(1+('main page'!$K$35/100))^V306-$AG$4*(1+('main page'!$K$35/100))^V305,$AG$4*(1+('main page'!$G$8/100))*(1+('main page'!$K$35/100))^V306-$AG$4*(1+('main page'!$G$8/100))*(1+('main page'!$K$35/100))^V305)</f>
        <v>0</v>
      </c>
      <c r="V306" s="73">
        <v>298</v>
      </c>
      <c r="W306" s="40">
        <f ca="1">'normal case'!V305</f>
        <v>0</v>
      </c>
      <c r="X306" s="40">
        <f ca="1">'normal case'!W305</f>
        <v>0</v>
      </c>
      <c r="Y306" s="49">
        <f ca="1">IF(controls!$B$33=1,E306-($J$4-'main page'!$K$27*2)*(1+('main page'!$K$35/100))^A305,E306-$AG$5)</f>
        <v>0</v>
      </c>
      <c r="Z306" s="49">
        <f ca="1">ABS(M306-(controls!$B$9/100)*100)</f>
        <v>0</v>
      </c>
      <c r="AI306" s="40"/>
      <c r="AJ306" s="40"/>
    </row>
    <row r="307" spans="1:36">
      <c r="A307" s="48">
        <v>304</v>
      </c>
      <c r="B307" s="75">
        <f ca="1">IF(controls!$B$6=2,AVERAGE(E303:E306)+B306*W307+hystere!$AG$9,AVERAGE(E303:E306)+B306*W307)</f>
        <v>100</v>
      </c>
      <c r="C307" s="80">
        <f t="shared" ca="1" si="25"/>
        <v>0</v>
      </c>
      <c r="D307" s="105">
        <f t="shared" ca="1" si="26"/>
        <v>0</v>
      </c>
      <c r="E307" s="77">
        <f t="shared" ca="1" si="27"/>
        <v>100</v>
      </c>
      <c r="F307" s="77">
        <f ca="1">IF('main page'!$K$34=1,hystere!H307,hystere!G307)</f>
        <v>100</v>
      </c>
      <c r="G307" s="94">
        <f ca="1">I307-'main page'!$K$27*hystere!N306</f>
        <v>100</v>
      </c>
      <c r="H307" s="75">
        <f ca="1">J307-'main page'!$K$27*N306</f>
        <v>100</v>
      </c>
      <c r="I307" s="75">
        <f t="shared" ca="1" si="28"/>
        <v>108</v>
      </c>
      <c r="J307" s="75">
        <f t="shared" ca="1" si="29"/>
        <v>108</v>
      </c>
      <c r="M307" s="75">
        <f ca="1">IF(ABS('main page'!$K$29*M306+(1-'main page'!$K$29)*(controls!$B$9/100)*100+'main page'!$K$25*(E307-B307)-M306)&lt;0.0000001,M306,'main page'!$K$29*M306+(1-'main page'!$K$29)*(controls!$B$9/100)*100+'main page'!$K$25*(E307-B307))</f>
        <v>2</v>
      </c>
      <c r="N307" s="75">
        <f ca="1">IF(controls!$B$10=1,N306,O307-'main page'!$K$29*M307-(1-'main page'!$K$29)*controls!$B$9)</f>
        <v>4</v>
      </c>
      <c r="O307" s="74">
        <f t="shared" ca="1" si="24"/>
        <v>6</v>
      </c>
      <c r="P307" s="76">
        <f ca="1">IF(controls!$B$10=1,hystere!N307+hystere!M307,hystere!Q307)</f>
        <v>6</v>
      </c>
      <c r="Q307" s="74">
        <f ca="1">IF('main page'!$Y$53=1,'choose m.p.'!$I$22*100,R307)</f>
        <v>6</v>
      </c>
      <c r="R307" s="100">
        <f ca="1">'main page'!$K$29*M307+(1-'main page'!$K$29)*controls!$B$9+S307+(('main page'!$K$25*'main page'!$U$13*'main page'!$K$29)/('main page'!$K$27*(1+('main page'!$K$25^2)*'main page'!$U$13)))*(M307-(controls!$B$9/100)*100)</f>
        <v>6</v>
      </c>
      <c r="S307" s="98">
        <f ca="1">IF(controls!$B$33=1,(J308-E307*X308-B307)/'main page'!$K$27,(I308-E307*X308-B307)/'main page'!$K$27)</f>
        <v>4</v>
      </c>
      <c r="U307" s="71">
        <f>IF(controls!$B$6=1,$AG$4*(1+('main page'!$K$35/100))^V307-$AG$4*(1+('main page'!$K$35/100))^V306,$AG$4*(1+('main page'!$G$8/100))*(1+('main page'!$K$35/100))^V307-$AG$4*(1+('main page'!$G$8/100))*(1+('main page'!$K$35/100))^V306)</f>
        <v>0</v>
      </c>
      <c r="V307" s="73">
        <v>299</v>
      </c>
      <c r="W307" s="40">
        <f>'normal case'!V306</f>
        <v>0</v>
      </c>
      <c r="X307" s="40">
        <f>'normal case'!W306</f>
        <v>0</v>
      </c>
      <c r="Y307" s="49">
        <f ca="1">IF(controls!$B$33=1,E307-($J$4-'main page'!$K$27*2)*(1+('main page'!$K$35/100))^A306,E307-$AG$5)</f>
        <v>0</v>
      </c>
      <c r="Z307" s="49">
        <f ca="1">ABS(M307-(controls!$B$9/100)*100)</f>
        <v>0</v>
      </c>
      <c r="AI307" s="40"/>
      <c r="AJ307" s="40"/>
    </row>
    <row r="308" spans="1:36">
      <c r="A308" s="48">
        <v>305</v>
      </c>
      <c r="B308" s="75">
        <f ca="1">IF(controls!$B$6=2,AVERAGE(E304:E307)+B307*W308+hystere!$AG$9,AVERAGE(E304:E307)+B307*W308)</f>
        <v>100</v>
      </c>
      <c r="C308" s="80">
        <f t="shared" ca="1" si="25"/>
        <v>0</v>
      </c>
      <c r="D308" s="105">
        <f t="shared" ca="1" si="26"/>
        <v>0</v>
      </c>
      <c r="E308" s="77">
        <f t="shared" ca="1" si="27"/>
        <v>100</v>
      </c>
      <c r="F308" s="77">
        <f ca="1">IF('main page'!$K$34=1,hystere!H308,hystere!G308)</f>
        <v>100</v>
      </c>
      <c r="G308" s="94">
        <f ca="1">I308-'main page'!$K$27*hystere!N307</f>
        <v>100</v>
      </c>
      <c r="H308" s="75">
        <f ca="1">J308-'main page'!$K$27*N307</f>
        <v>100</v>
      </c>
      <c r="I308" s="75">
        <f t="shared" ca="1" si="28"/>
        <v>108</v>
      </c>
      <c r="J308" s="75">
        <f t="shared" ca="1" si="29"/>
        <v>108</v>
      </c>
      <c r="M308" s="75">
        <f ca="1">IF(ABS('main page'!$K$29*M307+(1-'main page'!$K$29)*(controls!$B$9/100)*100+'main page'!$K$25*(E308-B308)-M307)&lt;0.0000001,M307,'main page'!$K$29*M307+(1-'main page'!$K$29)*(controls!$B$9/100)*100+'main page'!$K$25*(E308-B308))</f>
        <v>2</v>
      </c>
      <c r="N308" s="75">
        <f ca="1">IF(controls!$B$10=1,N307,O308-'main page'!$K$29*M308-(1-'main page'!$K$29)*controls!$B$9)</f>
        <v>4</v>
      </c>
      <c r="O308" s="74">
        <f t="shared" ca="1" si="24"/>
        <v>6</v>
      </c>
      <c r="P308" s="76">
        <f ca="1">IF(controls!$B$10=1,hystere!N308+hystere!M308,hystere!Q308)</f>
        <v>6</v>
      </c>
      <c r="Q308" s="74">
        <f ca="1">IF('main page'!$Y$53=1,'choose m.p.'!$I$22*100,R308)</f>
        <v>6</v>
      </c>
      <c r="R308" s="100">
        <f ca="1">'main page'!$K$29*M308+(1-'main page'!$K$29)*controls!$B$9+S308+(('main page'!$K$25*'main page'!$U$13*'main page'!$K$29)/('main page'!$K$27*(1+('main page'!$K$25^2)*'main page'!$U$13)))*(M308-(controls!$B$9/100)*100)</f>
        <v>6</v>
      </c>
      <c r="S308" s="98">
        <f ca="1">IF(controls!$B$33=1,(J309-E308*X309-B308)/'main page'!$K$27,(I309-E308*X309-B308)/'main page'!$K$27)</f>
        <v>4</v>
      </c>
      <c r="U308" s="71">
        <f>IF(controls!$B$6=1,$AG$4*(1+('main page'!$K$35/100))^V308-$AG$4*(1+('main page'!$K$35/100))^V307,$AG$4*(1+('main page'!$G$8/100))*(1+('main page'!$K$35/100))^V308-$AG$4*(1+('main page'!$G$8/100))*(1+('main page'!$K$35/100))^V307)</f>
        <v>0</v>
      </c>
      <c r="V308" s="73">
        <v>300</v>
      </c>
      <c r="W308" s="40">
        <f>'normal case'!V307</f>
        <v>0</v>
      </c>
      <c r="X308" s="40">
        <f>'normal case'!W307</f>
        <v>0</v>
      </c>
      <c r="Y308" s="49">
        <f ca="1">IF(controls!$B$33=1,E308-($J$4-'main page'!$K$27*2)*(1+('main page'!$K$35/100))^A307,E308-$AG$5)</f>
        <v>0</v>
      </c>
      <c r="Z308" s="49">
        <f ca="1">ABS(M308-(controls!$B$9/100)*100)</f>
        <v>0</v>
      </c>
      <c r="AI308" s="40"/>
      <c r="AJ308" s="40"/>
    </row>
    <row r="309" spans="1:36">
      <c r="A309" s="48">
        <v>306</v>
      </c>
      <c r="B309" s="75">
        <f ca="1">IF(controls!$B$6=2,AVERAGE(E305:E308)+B308*W309+hystere!$AG$9,AVERAGE(E305:E308)+B308*W309)</f>
        <v>100</v>
      </c>
      <c r="C309" s="80">
        <f t="shared" ca="1" si="25"/>
        <v>0</v>
      </c>
      <c r="D309" s="105">
        <f t="shared" ca="1" si="26"/>
        <v>0</v>
      </c>
      <c r="E309" s="77">
        <f t="shared" ca="1" si="27"/>
        <v>100</v>
      </c>
      <c r="F309" s="77">
        <f ca="1">IF('main page'!$K$34=1,hystere!H309,hystere!G309)</f>
        <v>100</v>
      </c>
      <c r="G309" s="94">
        <f ca="1">I309-'main page'!$K$27*hystere!N308</f>
        <v>100</v>
      </c>
      <c r="H309" s="75">
        <f ca="1">J309-'main page'!$K$27*N308</f>
        <v>100</v>
      </c>
      <c r="I309" s="75">
        <f t="shared" ca="1" si="28"/>
        <v>108</v>
      </c>
      <c r="J309" s="75">
        <f t="shared" ca="1" si="29"/>
        <v>108</v>
      </c>
      <c r="M309" s="75">
        <f ca="1">IF(ABS('main page'!$K$29*M308+(1-'main page'!$K$29)*(controls!$B$9/100)*100+'main page'!$K$25*(E309-B309)-M308)&lt;0.0000001,M308,'main page'!$K$29*M308+(1-'main page'!$K$29)*(controls!$B$9/100)*100+'main page'!$K$25*(E309-B309))</f>
        <v>2</v>
      </c>
      <c r="N309" s="75">
        <f ca="1">IF(controls!$B$10=1,N308,O309-'main page'!$K$29*M309-(1-'main page'!$K$29)*controls!$B$9)</f>
        <v>4</v>
      </c>
      <c r="O309" s="74">
        <f t="shared" ca="1" si="24"/>
        <v>6</v>
      </c>
      <c r="P309" s="76">
        <f ca="1">IF(controls!$B$10=1,hystere!N309+hystere!M309,hystere!Q309)</f>
        <v>6</v>
      </c>
      <c r="Q309" s="74">
        <f ca="1">IF('main page'!$Y$53=1,'choose m.p.'!$I$22*100,R309)</f>
        <v>6</v>
      </c>
      <c r="R309" s="100">
        <f ca="1">'main page'!$K$29*M309+(1-'main page'!$K$29)*controls!$B$9+S309+(('main page'!$K$25*'main page'!$U$13*'main page'!$K$29)/('main page'!$K$27*(1+('main page'!$K$25^2)*'main page'!$U$13)))*(M309-(controls!$B$9/100)*100)</f>
        <v>6</v>
      </c>
      <c r="S309" s="98">
        <f ca="1">IF(controls!$B$33=1,(J310-E309*X310-B309)/'main page'!$K$27,(I310-E309*X310-B309)/'main page'!$K$27)</f>
        <v>4</v>
      </c>
      <c r="U309" s="71">
        <f>IF(controls!$B$6=1,$AG$4*(1+('main page'!$K$35/100))^V309-$AG$4*(1+('main page'!$K$35/100))^V308,$AG$4*(1+('main page'!$G$8/100))*(1+('main page'!$K$35/100))^V309-$AG$4*(1+('main page'!$G$8/100))*(1+('main page'!$K$35/100))^V308)</f>
        <v>0</v>
      </c>
      <c r="V309" s="73">
        <v>301</v>
      </c>
      <c r="W309" s="40">
        <f ca="1">'normal case'!V308</f>
        <v>0</v>
      </c>
      <c r="X309" s="40">
        <f ca="1">'normal case'!W308</f>
        <v>0</v>
      </c>
      <c r="Y309" s="49">
        <f ca="1">IF(controls!$B$33=1,E309-($J$4-'main page'!$K$27*2)*(1+('main page'!$K$35/100))^A308,E309-$AG$5)</f>
        <v>0</v>
      </c>
      <c r="Z309" s="49">
        <f ca="1">ABS(M309-(controls!$B$9/100)*100)</f>
        <v>0</v>
      </c>
      <c r="AI309" s="40"/>
      <c r="AJ309" s="40"/>
    </row>
    <row r="310" spans="1:36">
      <c r="A310" s="48">
        <v>307</v>
      </c>
      <c r="B310" s="75">
        <f ca="1">IF(controls!$B$6=2,AVERAGE(E306:E309)+B309*W310+hystere!$AG$9,AVERAGE(E306:E309)+B309*W310)</f>
        <v>100</v>
      </c>
      <c r="C310" s="80">
        <f t="shared" ca="1" si="25"/>
        <v>0</v>
      </c>
      <c r="D310" s="105">
        <f t="shared" ca="1" si="26"/>
        <v>0</v>
      </c>
      <c r="E310" s="77">
        <f t="shared" ca="1" si="27"/>
        <v>100</v>
      </c>
      <c r="F310" s="77">
        <f ca="1">IF('main page'!$K$34=1,hystere!H310,hystere!G310)</f>
        <v>100</v>
      </c>
      <c r="G310" s="94">
        <f ca="1">I310-'main page'!$K$27*hystere!N309</f>
        <v>100</v>
      </c>
      <c r="H310" s="75">
        <f ca="1">J310-'main page'!$K$27*N309</f>
        <v>100</v>
      </c>
      <c r="I310" s="75">
        <f t="shared" ca="1" si="28"/>
        <v>108</v>
      </c>
      <c r="J310" s="75">
        <f t="shared" ca="1" si="29"/>
        <v>108</v>
      </c>
      <c r="M310" s="75">
        <f ca="1">IF(ABS('main page'!$K$29*M309+(1-'main page'!$K$29)*(controls!$B$9/100)*100+'main page'!$K$25*(E310-B310)-M309)&lt;0.0000001,M309,'main page'!$K$29*M309+(1-'main page'!$K$29)*(controls!$B$9/100)*100+'main page'!$K$25*(E310-B310))</f>
        <v>2</v>
      </c>
      <c r="N310" s="75">
        <f ca="1">IF(controls!$B$10=1,N309,O310-'main page'!$K$29*M310-(1-'main page'!$K$29)*controls!$B$9)</f>
        <v>4</v>
      </c>
      <c r="O310" s="74">
        <f t="shared" ca="1" si="24"/>
        <v>6</v>
      </c>
      <c r="P310" s="76">
        <f ca="1">IF(controls!$B$10=1,hystere!N310+hystere!M310,hystere!Q310)</f>
        <v>6</v>
      </c>
      <c r="Q310" s="74">
        <f ca="1">IF('main page'!$Y$53=1,'choose m.p.'!$I$22*100,R310)</f>
        <v>6</v>
      </c>
      <c r="R310" s="100">
        <f ca="1">'main page'!$K$29*M310+(1-'main page'!$K$29)*controls!$B$9+S310+(('main page'!$K$25*'main page'!$U$13*'main page'!$K$29)/('main page'!$K$27*(1+('main page'!$K$25^2)*'main page'!$U$13)))*(M310-(controls!$B$9/100)*100)</f>
        <v>6</v>
      </c>
      <c r="S310" s="98">
        <f ca="1">IF(controls!$B$33=1,(J311-E310*X311-B310)/'main page'!$K$27,(I311-E310*X311-B310)/'main page'!$K$27)</f>
        <v>4</v>
      </c>
      <c r="U310" s="71">
        <f>IF(controls!$B$6=1,$AG$4*(1+('main page'!$K$35/100))^V310-$AG$4*(1+('main page'!$K$35/100))^V309,$AG$4*(1+('main page'!$G$8/100))*(1+('main page'!$K$35/100))^V310-$AG$4*(1+('main page'!$G$8/100))*(1+('main page'!$K$35/100))^V309)</f>
        <v>0</v>
      </c>
      <c r="V310" s="73">
        <v>302</v>
      </c>
      <c r="W310" s="40">
        <f>'normal case'!V309</f>
        <v>0</v>
      </c>
      <c r="X310" s="40">
        <f>'normal case'!W309</f>
        <v>0</v>
      </c>
      <c r="Y310" s="49">
        <f ca="1">IF(controls!$B$33=1,E310-($J$4-'main page'!$K$27*2)*(1+('main page'!$K$35/100))^A309,E310-$AG$5)</f>
        <v>0</v>
      </c>
      <c r="Z310" s="49">
        <f ca="1">ABS(M310-(controls!$B$9/100)*100)</f>
        <v>0</v>
      </c>
      <c r="AI310" s="40"/>
      <c r="AJ310" s="40"/>
    </row>
    <row r="311" spans="1:36">
      <c r="A311" s="48">
        <v>308</v>
      </c>
      <c r="B311" s="75">
        <f ca="1">IF(controls!$B$6=2,AVERAGE(E307:E310)+B310*W311+hystere!$AG$9,AVERAGE(E307:E310)+B310*W311)</f>
        <v>100</v>
      </c>
      <c r="C311" s="80">
        <f t="shared" ca="1" si="25"/>
        <v>0</v>
      </c>
      <c r="D311" s="105">
        <f t="shared" ca="1" si="26"/>
        <v>0</v>
      </c>
      <c r="E311" s="77">
        <f t="shared" ca="1" si="27"/>
        <v>100</v>
      </c>
      <c r="F311" s="77">
        <f ca="1">IF('main page'!$K$34=1,hystere!H311,hystere!G311)</f>
        <v>100</v>
      </c>
      <c r="G311" s="94">
        <f ca="1">I311-'main page'!$K$27*hystere!N310</f>
        <v>100</v>
      </c>
      <c r="H311" s="75">
        <f ca="1">J311-'main page'!$K$27*N310</f>
        <v>100</v>
      </c>
      <c r="I311" s="75">
        <f t="shared" ca="1" si="28"/>
        <v>108</v>
      </c>
      <c r="J311" s="75">
        <f t="shared" ca="1" si="29"/>
        <v>108</v>
      </c>
      <c r="M311" s="75">
        <f ca="1">IF(ABS('main page'!$K$29*M310+(1-'main page'!$K$29)*(controls!$B$9/100)*100+'main page'!$K$25*(E311-B311)-M310)&lt;0.0000001,M310,'main page'!$K$29*M310+(1-'main page'!$K$29)*(controls!$B$9/100)*100+'main page'!$K$25*(E311-B311))</f>
        <v>2</v>
      </c>
      <c r="N311" s="75">
        <f ca="1">IF(controls!$B$10=1,N310,O311-'main page'!$K$29*M311-(1-'main page'!$K$29)*controls!$B$9)</f>
        <v>4</v>
      </c>
      <c r="O311" s="74">
        <f t="shared" ca="1" si="24"/>
        <v>6</v>
      </c>
      <c r="P311" s="76">
        <f ca="1">IF(controls!$B$10=1,hystere!N311+hystere!M311,hystere!Q311)</f>
        <v>6</v>
      </c>
      <c r="Q311" s="74">
        <f ca="1">IF('main page'!$Y$53=1,'choose m.p.'!$I$22*100,R311)</f>
        <v>6</v>
      </c>
      <c r="R311" s="100">
        <f ca="1">'main page'!$K$29*M311+(1-'main page'!$K$29)*controls!$B$9+S311+(('main page'!$K$25*'main page'!$U$13*'main page'!$K$29)/('main page'!$K$27*(1+('main page'!$K$25^2)*'main page'!$U$13)))*(M311-(controls!$B$9/100)*100)</f>
        <v>6</v>
      </c>
      <c r="S311" s="98">
        <f ca="1">IF(controls!$B$33=1,(J312-E311*X312-B311)/'main page'!$K$27,(I312-E311*X312-B311)/'main page'!$K$27)</f>
        <v>4</v>
      </c>
      <c r="U311" s="71">
        <f>IF(controls!$B$6=1,$AG$4*(1+('main page'!$K$35/100))^V311-$AG$4*(1+('main page'!$K$35/100))^V310,$AG$4*(1+('main page'!$G$8/100))*(1+('main page'!$K$35/100))^V311-$AG$4*(1+('main page'!$G$8/100))*(1+('main page'!$K$35/100))^V310)</f>
        <v>0</v>
      </c>
      <c r="V311" s="73">
        <v>303</v>
      </c>
      <c r="W311" s="40">
        <f>'normal case'!V310</f>
        <v>0</v>
      </c>
      <c r="X311" s="40">
        <f>'normal case'!W310</f>
        <v>0</v>
      </c>
      <c r="Y311" s="49">
        <f ca="1">IF(controls!$B$33=1,E311-($J$4-'main page'!$K$27*2)*(1+('main page'!$K$35/100))^A310,E311-$AG$5)</f>
        <v>0</v>
      </c>
      <c r="Z311" s="49">
        <f ca="1">ABS(M311-(controls!$B$9/100)*100)</f>
        <v>0</v>
      </c>
      <c r="AI311" s="40"/>
      <c r="AJ311" s="40"/>
    </row>
    <row r="312" spans="1:36">
      <c r="A312" s="48">
        <v>309</v>
      </c>
      <c r="B312" s="75">
        <f ca="1">IF(controls!$B$6=2,AVERAGE(E308:E311)+B311*W312+hystere!$AG$9,AVERAGE(E308:E311)+B311*W312)</f>
        <v>100</v>
      </c>
      <c r="C312" s="80">
        <f t="shared" ca="1" si="25"/>
        <v>0</v>
      </c>
      <c r="D312" s="105">
        <f t="shared" ca="1" si="26"/>
        <v>0</v>
      </c>
      <c r="E312" s="77">
        <f t="shared" ca="1" si="27"/>
        <v>100</v>
      </c>
      <c r="F312" s="77">
        <f ca="1">IF('main page'!$K$34=1,hystere!H312,hystere!G312)</f>
        <v>100</v>
      </c>
      <c r="G312" s="94">
        <f ca="1">I312-'main page'!$K$27*hystere!N311</f>
        <v>100</v>
      </c>
      <c r="H312" s="75">
        <f ca="1">J312-'main page'!$K$27*N311</f>
        <v>100</v>
      </c>
      <c r="I312" s="75">
        <f t="shared" ca="1" si="28"/>
        <v>108</v>
      </c>
      <c r="J312" s="75">
        <f t="shared" ca="1" si="29"/>
        <v>108</v>
      </c>
      <c r="M312" s="75">
        <f ca="1">IF(ABS('main page'!$K$29*M311+(1-'main page'!$K$29)*(controls!$B$9/100)*100+'main page'!$K$25*(E312-B312)-M311)&lt;0.0000001,M311,'main page'!$K$29*M311+(1-'main page'!$K$29)*(controls!$B$9/100)*100+'main page'!$K$25*(E312-B312))</f>
        <v>2</v>
      </c>
      <c r="N312" s="75">
        <f ca="1">IF(controls!$B$10=1,N311,O312-'main page'!$K$29*M312-(1-'main page'!$K$29)*controls!$B$9)</f>
        <v>4</v>
      </c>
      <c r="O312" s="74">
        <f t="shared" ca="1" si="24"/>
        <v>6</v>
      </c>
      <c r="P312" s="76">
        <f ca="1">IF(controls!$B$10=1,hystere!N312+hystere!M312,hystere!Q312)</f>
        <v>6</v>
      </c>
      <c r="Q312" s="74">
        <f ca="1">IF('main page'!$Y$53=1,'choose m.p.'!$I$22*100,R312)</f>
        <v>6</v>
      </c>
      <c r="R312" s="100">
        <f ca="1">'main page'!$K$29*M312+(1-'main page'!$K$29)*controls!$B$9+S312+(('main page'!$K$25*'main page'!$U$13*'main page'!$K$29)/('main page'!$K$27*(1+('main page'!$K$25^2)*'main page'!$U$13)))*(M312-(controls!$B$9/100)*100)</f>
        <v>6</v>
      </c>
      <c r="S312" s="98">
        <f ca="1">IF(controls!$B$33=1,(J313-E312*X313-B312)/'main page'!$K$27,(I313-E312*X313-B312)/'main page'!$K$27)</f>
        <v>4</v>
      </c>
      <c r="U312" s="71">
        <f>IF(controls!$B$6=1,$AG$4*(1+('main page'!$K$35/100))^V312-$AG$4*(1+('main page'!$K$35/100))^V311,$AG$4*(1+('main page'!$G$8/100))*(1+('main page'!$K$35/100))^V312-$AG$4*(1+('main page'!$G$8/100))*(1+('main page'!$K$35/100))^V311)</f>
        <v>0</v>
      </c>
      <c r="V312" s="73">
        <v>304</v>
      </c>
      <c r="W312" s="40">
        <f ca="1">'normal case'!V311</f>
        <v>0</v>
      </c>
      <c r="X312" s="40">
        <f ca="1">'normal case'!W311</f>
        <v>0</v>
      </c>
      <c r="Y312" s="49">
        <f ca="1">IF(controls!$B$33=1,E312-($J$4-'main page'!$K$27*2)*(1+('main page'!$K$35/100))^A311,E312-$AG$5)</f>
        <v>0</v>
      </c>
      <c r="Z312" s="49">
        <f ca="1">ABS(M312-(controls!$B$9/100)*100)</f>
        <v>0</v>
      </c>
      <c r="AI312" s="40"/>
      <c r="AJ312" s="40"/>
    </row>
    <row r="313" spans="1:36">
      <c r="A313" s="48">
        <v>310</v>
      </c>
      <c r="B313" s="75">
        <f ca="1">IF(controls!$B$6=2,AVERAGE(E309:E312)+B312*W313+hystere!$AG$9,AVERAGE(E309:E312)+B312*W313)</f>
        <v>100</v>
      </c>
      <c r="C313" s="80">
        <f t="shared" ca="1" si="25"/>
        <v>0</v>
      </c>
      <c r="D313" s="105">
        <f t="shared" ca="1" si="26"/>
        <v>0</v>
      </c>
      <c r="E313" s="77">
        <f t="shared" ca="1" si="27"/>
        <v>100</v>
      </c>
      <c r="F313" s="77">
        <f ca="1">IF('main page'!$K$34=1,hystere!H313,hystere!G313)</f>
        <v>100</v>
      </c>
      <c r="G313" s="94">
        <f ca="1">I313-'main page'!$K$27*hystere!N312</f>
        <v>100</v>
      </c>
      <c r="H313" s="75">
        <f ca="1">J313-'main page'!$K$27*N312</f>
        <v>100</v>
      </c>
      <c r="I313" s="75">
        <f t="shared" ca="1" si="28"/>
        <v>108</v>
      </c>
      <c r="J313" s="75">
        <f t="shared" ca="1" si="29"/>
        <v>108</v>
      </c>
      <c r="M313" s="75">
        <f ca="1">IF(ABS('main page'!$K$29*M312+(1-'main page'!$K$29)*(controls!$B$9/100)*100+'main page'!$K$25*(E313-B313)-M312)&lt;0.0000001,M312,'main page'!$K$29*M312+(1-'main page'!$K$29)*(controls!$B$9/100)*100+'main page'!$K$25*(E313-B313))</f>
        <v>2</v>
      </c>
      <c r="N313" s="75">
        <f ca="1">IF(controls!$B$10=1,N312,O313-'main page'!$K$29*M313-(1-'main page'!$K$29)*controls!$B$9)</f>
        <v>4</v>
      </c>
      <c r="O313" s="74">
        <f t="shared" ca="1" si="24"/>
        <v>6</v>
      </c>
      <c r="P313" s="76">
        <f ca="1">IF(controls!$B$10=1,hystere!N313+hystere!M313,hystere!Q313)</f>
        <v>6</v>
      </c>
      <c r="Q313" s="74">
        <f ca="1">IF('main page'!$Y$53=1,'choose m.p.'!$I$22*100,R313)</f>
        <v>6</v>
      </c>
      <c r="R313" s="100">
        <f ca="1">'main page'!$K$29*M313+(1-'main page'!$K$29)*controls!$B$9+S313+(('main page'!$K$25*'main page'!$U$13*'main page'!$K$29)/('main page'!$K$27*(1+('main page'!$K$25^2)*'main page'!$U$13)))*(M313-(controls!$B$9/100)*100)</f>
        <v>6</v>
      </c>
      <c r="S313" s="98">
        <f ca="1">IF(controls!$B$33=1,(J314-E313*X314-B313)/'main page'!$K$27,(I314-E313*X314-B313)/'main page'!$K$27)</f>
        <v>4</v>
      </c>
      <c r="U313" s="71">
        <f>IF(controls!$B$6=1,$AG$4*(1+('main page'!$K$35/100))^V313-$AG$4*(1+('main page'!$K$35/100))^V312,$AG$4*(1+('main page'!$G$8/100))*(1+('main page'!$K$35/100))^V313-$AG$4*(1+('main page'!$G$8/100))*(1+('main page'!$K$35/100))^V312)</f>
        <v>0</v>
      </c>
      <c r="V313" s="73">
        <v>305</v>
      </c>
      <c r="W313" s="40">
        <f>'normal case'!V312</f>
        <v>0</v>
      </c>
      <c r="X313" s="40">
        <f>'normal case'!W312</f>
        <v>0</v>
      </c>
      <c r="Y313" s="49">
        <f ca="1">IF(controls!$B$33=1,E313-($J$4-'main page'!$K$27*2)*(1+('main page'!$K$35/100))^A312,E313-$AG$5)</f>
        <v>0</v>
      </c>
      <c r="Z313" s="49">
        <f ca="1">ABS(M313-(controls!$B$9/100)*100)</f>
        <v>0</v>
      </c>
      <c r="AI313" s="40"/>
      <c r="AJ313" s="40"/>
    </row>
    <row r="314" spans="1:36">
      <c r="A314" s="48">
        <v>311</v>
      </c>
      <c r="B314" s="75">
        <f ca="1">IF(controls!$B$6=2,AVERAGE(E310:E313)+B313*W314+hystere!$AG$9,AVERAGE(E310:E313)+B313*W314)</f>
        <v>100</v>
      </c>
      <c r="C314" s="80">
        <f t="shared" ca="1" si="25"/>
        <v>0</v>
      </c>
      <c r="D314" s="105">
        <f t="shared" ca="1" si="26"/>
        <v>0</v>
      </c>
      <c r="E314" s="77">
        <f t="shared" ca="1" si="27"/>
        <v>100</v>
      </c>
      <c r="F314" s="77">
        <f ca="1">IF('main page'!$K$34=1,hystere!H314,hystere!G314)</f>
        <v>100</v>
      </c>
      <c r="G314" s="94">
        <f ca="1">I314-'main page'!$K$27*hystere!N313</f>
        <v>100</v>
      </c>
      <c r="H314" s="75">
        <f ca="1">J314-'main page'!$K$27*N313</f>
        <v>100</v>
      </c>
      <c r="I314" s="75">
        <f t="shared" ca="1" si="28"/>
        <v>108</v>
      </c>
      <c r="J314" s="75">
        <f t="shared" ca="1" si="29"/>
        <v>108</v>
      </c>
      <c r="M314" s="75">
        <f ca="1">IF(ABS('main page'!$K$29*M313+(1-'main page'!$K$29)*(controls!$B$9/100)*100+'main page'!$K$25*(E314-B314)-M313)&lt;0.0000001,M313,'main page'!$K$29*M313+(1-'main page'!$K$29)*(controls!$B$9/100)*100+'main page'!$K$25*(E314-B314))</f>
        <v>2</v>
      </c>
      <c r="N314" s="75">
        <f ca="1">IF(controls!$B$10=1,N313,O314-'main page'!$K$29*M314-(1-'main page'!$K$29)*controls!$B$9)</f>
        <v>4</v>
      </c>
      <c r="O314" s="74">
        <f t="shared" ca="1" si="24"/>
        <v>6</v>
      </c>
      <c r="P314" s="76">
        <f ca="1">IF(controls!$B$10=1,hystere!N314+hystere!M314,hystere!Q314)</f>
        <v>6</v>
      </c>
      <c r="Q314" s="74">
        <f ca="1">IF('main page'!$Y$53=1,'choose m.p.'!$I$22*100,R314)</f>
        <v>6</v>
      </c>
      <c r="R314" s="100">
        <f ca="1">'main page'!$K$29*M314+(1-'main page'!$K$29)*controls!$B$9+S314+(('main page'!$K$25*'main page'!$U$13*'main page'!$K$29)/('main page'!$K$27*(1+('main page'!$K$25^2)*'main page'!$U$13)))*(M314-(controls!$B$9/100)*100)</f>
        <v>6</v>
      </c>
      <c r="S314" s="98">
        <f ca="1">IF(controls!$B$33=1,(J315-E314*X315-B314)/'main page'!$K$27,(I315-E314*X315-B314)/'main page'!$K$27)</f>
        <v>4</v>
      </c>
      <c r="U314" s="71">
        <f>IF(controls!$B$6=1,$AG$4*(1+('main page'!$K$35/100))^V314-$AG$4*(1+('main page'!$K$35/100))^V313,$AG$4*(1+('main page'!$G$8/100))*(1+('main page'!$K$35/100))^V314-$AG$4*(1+('main page'!$G$8/100))*(1+('main page'!$K$35/100))^V313)</f>
        <v>0</v>
      </c>
      <c r="V314" s="73">
        <v>306</v>
      </c>
      <c r="W314" s="40">
        <f>'normal case'!V313</f>
        <v>0</v>
      </c>
      <c r="X314" s="40">
        <f>'normal case'!W313</f>
        <v>0</v>
      </c>
      <c r="Y314" s="49">
        <f ca="1">IF(controls!$B$33=1,E314-($J$4-'main page'!$K$27*2)*(1+('main page'!$K$35/100))^A313,E314-$AG$5)</f>
        <v>0</v>
      </c>
      <c r="Z314" s="49">
        <f ca="1">ABS(M314-(controls!$B$9/100)*100)</f>
        <v>0</v>
      </c>
      <c r="AI314" s="40"/>
      <c r="AJ314" s="40"/>
    </row>
    <row r="315" spans="1:36">
      <c r="A315" s="48">
        <v>312</v>
      </c>
      <c r="B315" s="75">
        <f ca="1">IF(controls!$B$6=2,AVERAGE(E311:E314)+B314*W315+hystere!$AG$9,AVERAGE(E311:E314)+B314*W315)</f>
        <v>100</v>
      </c>
      <c r="C315" s="80">
        <f t="shared" ca="1" si="25"/>
        <v>0</v>
      </c>
      <c r="D315" s="105">
        <f t="shared" ca="1" si="26"/>
        <v>0</v>
      </c>
      <c r="E315" s="77">
        <f t="shared" ca="1" si="27"/>
        <v>100</v>
      </c>
      <c r="F315" s="77">
        <f ca="1">IF('main page'!$K$34=1,hystere!H315,hystere!G315)</f>
        <v>100</v>
      </c>
      <c r="G315" s="94">
        <f ca="1">I315-'main page'!$K$27*hystere!N314</f>
        <v>100</v>
      </c>
      <c r="H315" s="75">
        <f ca="1">J315-'main page'!$K$27*N314</f>
        <v>100</v>
      </c>
      <c r="I315" s="75">
        <f t="shared" ca="1" si="28"/>
        <v>108</v>
      </c>
      <c r="J315" s="75">
        <f t="shared" ca="1" si="29"/>
        <v>108</v>
      </c>
      <c r="M315" s="75">
        <f ca="1">IF(ABS('main page'!$K$29*M314+(1-'main page'!$K$29)*(controls!$B$9/100)*100+'main page'!$K$25*(E315-B315)-M314)&lt;0.0000001,M314,'main page'!$K$29*M314+(1-'main page'!$K$29)*(controls!$B$9/100)*100+'main page'!$K$25*(E315-B315))</f>
        <v>2</v>
      </c>
      <c r="N315" s="75">
        <f ca="1">IF(controls!$B$10=1,N314,O315-'main page'!$K$29*M315-(1-'main page'!$K$29)*controls!$B$9)</f>
        <v>4</v>
      </c>
      <c r="O315" s="74">
        <f t="shared" ca="1" si="24"/>
        <v>6</v>
      </c>
      <c r="P315" s="76">
        <f ca="1">IF(controls!$B$10=1,hystere!N315+hystere!M315,hystere!Q315)</f>
        <v>6</v>
      </c>
      <c r="Q315" s="74">
        <f ca="1">IF('main page'!$Y$53=1,'choose m.p.'!$I$22*100,R315)</f>
        <v>6</v>
      </c>
      <c r="R315" s="100">
        <f ca="1">'main page'!$K$29*M315+(1-'main page'!$K$29)*controls!$B$9+S315+(('main page'!$K$25*'main page'!$U$13*'main page'!$K$29)/('main page'!$K$27*(1+('main page'!$K$25^2)*'main page'!$U$13)))*(M315-(controls!$B$9/100)*100)</f>
        <v>6</v>
      </c>
      <c r="S315" s="98">
        <f ca="1">IF(controls!$B$33=1,(J316-E315*X316-B315)/'main page'!$K$27,(I316-E315*X316-B315)/'main page'!$K$27)</f>
        <v>4</v>
      </c>
      <c r="U315" s="71">
        <f>IF(controls!$B$6=1,$AG$4*(1+('main page'!$K$35/100))^V315-$AG$4*(1+('main page'!$K$35/100))^V314,$AG$4*(1+('main page'!$G$8/100))*(1+('main page'!$K$35/100))^V315-$AG$4*(1+('main page'!$G$8/100))*(1+('main page'!$K$35/100))^V314)</f>
        <v>0</v>
      </c>
      <c r="V315" s="73">
        <v>307</v>
      </c>
      <c r="W315" s="40">
        <f ca="1">'normal case'!V314</f>
        <v>0</v>
      </c>
      <c r="X315" s="40">
        <f ca="1">'normal case'!W314</f>
        <v>0</v>
      </c>
      <c r="Y315" s="49">
        <f ca="1">IF(controls!$B$33=1,E315-($J$4-'main page'!$K$27*2)*(1+('main page'!$K$35/100))^A314,E315-$AG$5)</f>
        <v>0</v>
      </c>
      <c r="Z315" s="49">
        <f ca="1">ABS(M315-(controls!$B$9/100)*100)</f>
        <v>0</v>
      </c>
      <c r="AI315" s="40"/>
      <c r="AJ315" s="40"/>
    </row>
    <row r="316" spans="1:36">
      <c r="A316" s="48">
        <v>313</v>
      </c>
      <c r="B316" s="75">
        <f ca="1">IF(controls!$B$6=2,AVERAGE(E312:E315)+B315*W316+hystere!$AG$9,AVERAGE(E312:E315)+B315*W316)</f>
        <v>100</v>
      </c>
      <c r="C316" s="80">
        <f t="shared" ca="1" si="25"/>
        <v>0</v>
      </c>
      <c r="D316" s="105">
        <f t="shared" ca="1" si="26"/>
        <v>0</v>
      </c>
      <c r="E316" s="77">
        <f t="shared" ca="1" si="27"/>
        <v>100</v>
      </c>
      <c r="F316" s="77">
        <f ca="1">IF('main page'!$K$34=1,hystere!H316,hystere!G316)</f>
        <v>100</v>
      </c>
      <c r="G316" s="94">
        <f ca="1">I316-'main page'!$K$27*hystere!N315</f>
        <v>100</v>
      </c>
      <c r="H316" s="75">
        <f ca="1">J316-'main page'!$K$27*N315</f>
        <v>100</v>
      </c>
      <c r="I316" s="75">
        <f t="shared" ca="1" si="28"/>
        <v>108</v>
      </c>
      <c r="J316" s="75">
        <f t="shared" ca="1" si="29"/>
        <v>108</v>
      </c>
      <c r="M316" s="75">
        <f ca="1">IF(ABS('main page'!$K$29*M315+(1-'main page'!$K$29)*(controls!$B$9/100)*100+'main page'!$K$25*(E316-B316)-M315)&lt;0.0000001,M315,'main page'!$K$29*M315+(1-'main page'!$K$29)*(controls!$B$9/100)*100+'main page'!$K$25*(E316-B316))</f>
        <v>2</v>
      </c>
      <c r="N316" s="75">
        <f ca="1">IF(controls!$B$10=1,N315,O316-'main page'!$K$29*M316-(1-'main page'!$K$29)*controls!$B$9)</f>
        <v>4</v>
      </c>
      <c r="O316" s="74">
        <f t="shared" ca="1" si="24"/>
        <v>6</v>
      </c>
      <c r="P316" s="76">
        <f ca="1">IF(controls!$B$10=1,hystere!N316+hystere!M316,hystere!Q316)</f>
        <v>6</v>
      </c>
      <c r="Q316" s="74">
        <f ca="1">IF('main page'!$Y$53=1,'choose m.p.'!$I$22*100,R316)</f>
        <v>6</v>
      </c>
      <c r="R316" s="100">
        <f ca="1">'main page'!$K$29*M316+(1-'main page'!$K$29)*controls!$B$9+S316+(('main page'!$K$25*'main page'!$U$13*'main page'!$K$29)/('main page'!$K$27*(1+('main page'!$K$25^2)*'main page'!$U$13)))*(M316-(controls!$B$9/100)*100)</f>
        <v>6</v>
      </c>
      <c r="S316" s="98">
        <f ca="1">IF(controls!$B$33=1,(J317-E316*X317-B316)/'main page'!$K$27,(I317-E316*X317-B316)/'main page'!$K$27)</f>
        <v>4</v>
      </c>
      <c r="U316" s="71">
        <f>IF(controls!$B$6=1,$AG$4*(1+('main page'!$K$35/100))^V316-$AG$4*(1+('main page'!$K$35/100))^V315,$AG$4*(1+('main page'!$G$8/100))*(1+('main page'!$K$35/100))^V316-$AG$4*(1+('main page'!$G$8/100))*(1+('main page'!$K$35/100))^V315)</f>
        <v>0</v>
      </c>
      <c r="V316" s="73">
        <v>308</v>
      </c>
      <c r="W316" s="40">
        <f>'normal case'!V315</f>
        <v>0</v>
      </c>
      <c r="X316" s="40">
        <f>'normal case'!W315</f>
        <v>0</v>
      </c>
      <c r="Y316" s="49">
        <f ca="1">IF(controls!$B$33=1,E316-($J$4-'main page'!$K$27*2)*(1+('main page'!$K$35/100))^A315,E316-$AG$5)</f>
        <v>0</v>
      </c>
      <c r="Z316" s="49">
        <f ca="1">ABS(M316-(controls!$B$9/100)*100)</f>
        <v>0</v>
      </c>
      <c r="AI316" s="40"/>
      <c r="AJ316" s="40"/>
    </row>
    <row r="317" spans="1:36">
      <c r="A317" s="48">
        <v>314</v>
      </c>
      <c r="B317" s="75">
        <f ca="1">IF(controls!$B$6=2,AVERAGE(E313:E316)+B316*W317+hystere!$AG$9,AVERAGE(E313:E316)+B316*W317)</f>
        <v>100</v>
      </c>
      <c r="C317" s="80">
        <f t="shared" ca="1" si="25"/>
        <v>0</v>
      </c>
      <c r="D317" s="105">
        <f t="shared" ca="1" si="26"/>
        <v>0</v>
      </c>
      <c r="E317" s="77">
        <f t="shared" ca="1" si="27"/>
        <v>100</v>
      </c>
      <c r="F317" s="77">
        <f ca="1">IF('main page'!$K$34=1,hystere!H317,hystere!G317)</f>
        <v>100</v>
      </c>
      <c r="G317" s="94">
        <f ca="1">I317-'main page'!$K$27*hystere!N316</f>
        <v>100</v>
      </c>
      <c r="H317" s="75">
        <f ca="1">J317-'main page'!$K$27*N316</f>
        <v>100</v>
      </c>
      <c r="I317" s="75">
        <f t="shared" ca="1" si="28"/>
        <v>108</v>
      </c>
      <c r="J317" s="75">
        <f t="shared" ca="1" si="29"/>
        <v>108</v>
      </c>
      <c r="M317" s="75">
        <f ca="1">IF(ABS('main page'!$K$29*M316+(1-'main page'!$K$29)*(controls!$B$9/100)*100+'main page'!$K$25*(E317-B317)-M316)&lt;0.0000001,M316,'main page'!$K$29*M316+(1-'main page'!$K$29)*(controls!$B$9/100)*100+'main page'!$K$25*(E317-B317))</f>
        <v>2</v>
      </c>
      <c r="N317" s="75">
        <f ca="1">IF(controls!$B$10=1,N316,O317-'main page'!$K$29*M317-(1-'main page'!$K$29)*controls!$B$9)</f>
        <v>4</v>
      </c>
      <c r="O317" s="74">
        <f t="shared" ca="1" si="24"/>
        <v>6</v>
      </c>
      <c r="P317" s="76">
        <f ca="1">IF(controls!$B$10=1,hystere!N317+hystere!M317,hystere!Q317)</f>
        <v>6</v>
      </c>
      <c r="Q317" s="74">
        <f ca="1">IF('main page'!$Y$53=1,'choose m.p.'!$I$22*100,R317)</f>
        <v>6</v>
      </c>
      <c r="R317" s="100">
        <f ca="1">'main page'!$K$29*M317+(1-'main page'!$K$29)*controls!$B$9+S317+(('main page'!$K$25*'main page'!$U$13*'main page'!$K$29)/('main page'!$K$27*(1+('main page'!$K$25^2)*'main page'!$U$13)))*(M317-(controls!$B$9/100)*100)</f>
        <v>6</v>
      </c>
      <c r="S317" s="98">
        <f ca="1">IF(controls!$B$33=1,(J318-E317*X318-B317)/'main page'!$K$27,(I318-E317*X318-B317)/'main page'!$K$27)</f>
        <v>4</v>
      </c>
      <c r="U317" s="71">
        <f>IF(controls!$B$6=1,$AG$4*(1+('main page'!$K$35/100))^V317-$AG$4*(1+('main page'!$K$35/100))^V316,$AG$4*(1+('main page'!$G$8/100))*(1+('main page'!$K$35/100))^V317-$AG$4*(1+('main page'!$G$8/100))*(1+('main page'!$K$35/100))^V316)</f>
        <v>0</v>
      </c>
      <c r="V317" s="73">
        <v>309</v>
      </c>
      <c r="W317" s="40">
        <f>'normal case'!V316</f>
        <v>0</v>
      </c>
      <c r="X317" s="40">
        <f>'normal case'!W316</f>
        <v>0</v>
      </c>
      <c r="Y317" s="49">
        <f ca="1">IF(controls!$B$33=1,E317-($J$4-'main page'!$K$27*2)*(1+('main page'!$K$35/100))^A316,E317-$AG$5)</f>
        <v>0</v>
      </c>
      <c r="Z317" s="49">
        <f ca="1">ABS(M317-(controls!$B$9/100)*100)</f>
        <v>0</v>
      </c>
      <c r="AI317" s="40"/>
      <c r="AJ317" s="40"/>
    </row>
    <row r="318" spans="1:36">
      <c r="A318" s="48">
        <v>315</v>
      </c>
      <c r="B318" s="75">
        <f ca="1">IF(controls!$B$6=2,AVERAGE(E314:E317)+B317*W318+hystere!$AG$9,AVERAGE(E314:E317)+B317*W318)</f>
        <v>100</v>
      </c>
      <c r="C318" s="80">
        <f t="shared" ca="1" si="25"/>
        <v>0</v>
      </c>
      <c r="D318" s="105">
        <f t="shared" ca="1" si="26"/>
        <v>0</v>
      </c>
      <c r="E318" s="77">
        <f t="shared" ca="1" si="27"/>
        <v>100</v>
      </c>
      <c r="F318" s="77">
        <f ca="1">IF('main page'!$K$34=1,hystere!H318,hystere!G318)</f>
        <v>100</v>
      </c>
      <c r="G318" s="94">
        <f ca="1">I318-'main page'!$K$27*hystere!N317</f>
        <v>100</v>
      </c>
      <c r="H318" s="75">
        <f ca="1">J318-'main page'!$K$27*N317</f>
        <v>100</v>
      </c>
      <c r="I318" s="75">
        <f t="shared" ca="1" si="28"/>
        <v>108</v>
      </c>
      <c r="J318" s="75">
        <f t="shared" ca="1" si="29"/>
        <v>108</v>
      </c>
      <c r="M318" s="75">
        <f ca="1">IF(ABS('main page'!$K$29*M317+(1-'main page'!$K$29)*(controls!$B$9/100)*100+'main page'!$K$25*(E318-B318)-M317)&lt;0.0000001,M317,'main page'!$K$29*M317+(1-'main page'!$K$29)*(controls!$B$9/100)*100+'main page'!$K$25*(E318-B318))</f>
        <v>2</v>
      </c>
      <c r="N318" s="75">
        <f ca="1">IF(controls!$B$10=1,N317,O318-'main page'!$K$29*M318-(1-'main page'!$K$29)*controls!$B$9)</f>
        <v>4</v>
      </c>
      <c r="O318" s="74">
        <f t="shared" ca="1" si="24"/>
        <v>6</v>
      </c>
      <c r="P318" s="76">
        <f ca="1">IF(controls!$B$10=1,hystere!N318+hystere!M318,hystere!Q318)</f>
        <v>6</v>
      </c>
      <c r="Q318" s="74">
        <f ca="1">IF('main page'!$Y$53=1,'choose m.p.'!$I$22*100,R318)</f>
        <v>6</v>
      </c>
      <c r="R318" s="100">
        <f ca="1">'main page'!$K$29*M318+(1-'main page'!$K$29)*controls!$B$9+S318+(('main page'!$K$25*'main page'!$U$13*'main page'!$K$29)/('main page'!$K$27*(1+('main page'!$K$25^2)*'main page'!$U$13)))*(M318-(controls!$B$9/100)*100)</f>
        <v>6</v>
      </c>
      <c r="S318" s="98">
        <f ca="1">IF(controls!$B$33=1,(J319-E318*X319-B318)/'main page'!$K$27,(I319-E318*X319-B318)/'main page'!$K$27)</f>
        <v>4</v>
      </c>
      <c r="U318" s="71">
        <f>IF(controls!$B$6=1,$AG$4*(1+('main page'!$K$35/100))^V318-$AG$4*(1+('main page'!$K$35/100))^V317,$AG$4*(1+('main page'!$G$8/100))*(1+('main page'!$K$35/100))^V318-$AG$4*(1+('main page'!$G$8/100))*(1+('main page'!$K$35/100))^V317)</f>
        <v>0</v>
      </c>
      <c r="V318" s="73">
        <v>310</v>
      </c>
      <c r="W318" s="40">
        <f ca="1">'normal case'!V317</f>
        <v>0</v>
      </c>
      <c r="X318" s="40">
        <f ca="1">'normal case'!W317</f>
        <v>0</v>
      </c>
      <c r="Y318" s="49">
        <f ca="1">IF(controls!$B$33=1,E318-($J$4-'main page'!$K$27*2)*(1+('main page'!$K$35/100))^A317,E318-$AG$5)</f>
        <v>0</v>
      </c>
      <c r="Z318" s="49">
        <f ca="1">ABS(M318-(controls!$B$9/100)*100)</f>
        <v>0</v>
      </c>
      <c r="AI318" s="40"/>
      <c r="AJ318" s="40"/>
    </row>
    <row r="319" spans="1:36">
      <c r="A319" s="48">
        <v>316</v>
      </c>
      <c r="B319" s="75">
        <f ca="1">IF(controls!$B$6=2,AVERAGE(E315:E318)+B318*W319+hystere!$AG$9,AVERAGE(E315:E318)+B318*W319)</f>
        <v>100</v>
      </c>
      <c r="C319" s="80">
        <f t="shared" ca="1" si="25"/>
        <v>0</v>
      </c>
      <c r="D319" s="105">
        <f t="shared" ca="1" si="26"/>
        <v>0</v>
      </c>
      <c r="E319" s="77">
        <f t="shared" ca="1" si="27"/>
        <v>100</v>
      </c>
      <c r="F319" s="77">
        <f ca="1">IF('main page'!$K$34=1,hystere!H319,hystere!G319)</f>
        <v>100</v>
      </c>
      <c r="G319" s="94">
        <f ca="1">I319-'main page'!$K$27*hystere!N318</f>
        <v>100</v>
      </c>
      <c r="H319" s="75">
        <f ca="1">J319-'main page'!$K$27*N318</f>
        <v>100</v>
      </c>
      <c r="I319" s="75">
        <f t="shared" ca="1" si="28"/>
        <v>108</v>
      </c>
      <c r="J319" s="75">
        <f t="shared" ca="1" si="29"/>
        <v>108</v>
      </c>
      <c r="M319" s="75">
        <f ca="1">IF(ABS('main page'!$K$29*M318+(1-'main page'!$K$29)*(controls!$B$9/100)*100+'main page'!$K$25*(E319-B319)-M318)&lt;0.0000001,M318,'main page'!$K$29*M318+(1-'main page'!$K$29)*(controls!$B$9/100)*100+'main page'!$K$25*(E319-B319))</f>
        <v>2</v>
      </c>
      <c r="N319" s="75">
        <f ca="1">IF(controls!$B$10=1,N318,O319-'main page'!$K$29*M319-(1-'main page'!$K$29)*controls!$B$9)</f>
        <v>4</v>
      </c>
      <c r="O319" s="74">
        <f t="shared" ca="1" si="24"/>
        <v>6</v>
      </c>
      <c r="P319" s="76">
        <f ca="1">IF(controls!$B$10=1,hystere!N319+hystere!M319,hystere!Q319)</f>
        <v>6</v>
      </c>
      <c r="Q319" s="74">
        <f ca="1">IF('main page'!$Y$53=1,'choose m.p.'!$I$22*100,R319)</f>
        <v>6</v>
      </c>
      <c r="R319" s="100">
        <f ca="1">'main page'!$K$29*M319+(1-'main page'!$K$29)*controls!$B$9+S319+(('main page'!$K$25*'main page'!$U$13*'main page'!$K$29)/('main page'!$K$27*(1+('main page'!$K$25^2)*'main page'!$U$13)))*(M319-(controls!$B$9/100)*100)</f>
        <v>6</v>
      </c>
      <c r="S319" s="98">
        <f ca="1">IF(controls!$B$33=1,(J320-E319*X320-B319)/'main page'!$K$27,(I320-E319*X320-B319)/'main page'!$K$27)</f>
        <v>4</v>
      </c>
      <c r="U319" s="71">
        <f>IF(controls!$B$6=1,$AG$4*(1+('main page'!$K$35/100))^V319-$AG$4*(1+('main page'!$K$35/100))^V318,$AG$4*(1+('main page'!$G$8/100))*(1+('main page'!$K$35/100))^V319-$AG$4*(1+('main page'!$G$8/100))*(1+('main page'!$K$35/100))^V318)</f>
        <v>0</v>
      </c>
      <c r="V319" s="73">
        <v>311</v>
      </c>
      <c r="W319" s="40">
        <f>'normal case'!V318</f>
        <v>0</v>
      </c>
      <c r="X319" s="40">
        <f>'normal case'!W318</f>
        <v>0</v>
      </c>
      <c r="Y319" s="49">
        <f ca="1">IF(controls!$B$33=1,E319-($J$4-'main page'!$K$27*2)*(1+('main page'!$K$35/100))^A318,E319-$AG$5)</f>
        <v>0</v>
      </c>
      <c r="Z319" s="49">
        <f ca="1">ABS(M319-(controls!$B$9/100)*100)</f>
        <v>0</v>
      </c>
      <c r="AI319" s="40"/>
      <c r="AJ319" s="40"/>
    </row>
    <row r="320" spans="1:36">
      <c r="A320" s="48">
        <v>317</v>
      </c>
      <c r="B320" s="75">
        <f ca="1">IF(controls!$B$6=2,AVERAGE(E316:E319)+B319*W320+hystere!$AG$9,AVERAGE(E316:E319)+B319*W320)</f>
        <v>100</v>
      </c>
      <c r="C320" s="80">
        <f t="shared" ca="1" si="25"/>
        <v>0</v>
      </c>
      <c r="D320" s="105">
        <f t="shared" ca="1" si="26"/>
        <v>0</v>
      </c>
      <c r="E320" s="77">
        <f t="shared" ca="1" si="27"/>
        <v>100</v>
      </c>
      <c r="F320" s="77">
        <f ca="1">IF('main page'!$K$34=1,hystere!H320,hystere!G320)</f>
        <v>100</v>
      </c>
      <c r="G320" s="94">
        <f ca="1">I320-'main page'!$K$27*hystere!N319</f>
        <v>100</v>
      </c>
      <c r="H320" s="75">
        <f ca="1">J320-'main page'!$K$27*N319</f>
        <v>100</v>
      </c>
      <c r="I320" s="75">
        <f t="shared" ca="1" si="28"/>
        <v>108</v>
      </c>
      <c r="J320" s="75">
        <f t="shared" ca="1" si="29"/>
        <v>108</v>
      </c>
      <c r="M320" s="75">
        <f ca="1">IF(ABS('main page'!$K$29*M319+(1-'main page'!$K$29)*(controls!$B$9/100)*100+'main page'!$K$25*(E320-B320)-M319)&lt;0.0000001,M319,'main page'!$K$29*M319+(1-'main page'!$K$29)*(controls!$B$9/100)*100+'main page'!$K$25*(E320-B320))</f>
        <v>2</v>
      </c>
      <c r="N320" s="75">
        <f ca="1">IF(controls!$B$10=1,N319,O320-'main page'!$K$29*M320-(1-'main page'!$K$29)*controls!$B$9)</f>
        <v>4</v>
      </c>
      <c r="O320" s="74">
        <f t="shared" ca="1" si="24"/>
        <v>6</v>
      </c>
      <c r="P320" s="76">
        <f ca="1">IF(controls!$B$10=1,hystere!N320+hystere!M320,hystere!Q320)</f>
        <v>6</v>
      </c>
      <c r="Q320" s="74">
        <f ca="1">IF('main page'!$Y$53=1,'choose m.p.'!$I$22*100,R320)</f>
        <v>6</v>
      </c>
      <c r="R320" s="100">
        <f ca="1">'main page'!$K$29*M320+(1-'main page'!$K$29)*controls!$B$9+S320+(('main page'!$K$25*'main page'!$U$13*'main page'!$K$29)/('main page'!$K$27*(1+('main page'!$K$25^2)*'main page'!$U$13)))*(M320-(controls!$B$9/100)*100)</f>
        <v>6</v>
      </c>
      <c r="S320" s="98">
        <f ca="1">IF(controls!$B$33=1,(J321-E320*X321-B320)/'main page'!$K$27,(I321-E320*X321-B320)/'main page'!$K$27)</f>
        <v>4</v>
      </c>
      <c r="U320" s="71">
        <f>IF(controls!$B$6=1,$AG$4*(1+('main page'!$K$35/100))^V320-$AG$4*(1+('main page'!$K$35/100))^V319,$AG$4*(1+('main page'!$G$8/100))*(1+('main page'!$K$35/100))^V320-$AG$4*(1+('main page'!$G$8/100))*(1+('main page'!$K$35/100))^V319)</f>
        <v>0</v>
      </c>
      <c r="V320" s="73">
        <v>312</v>
      </c>
      <c r="W320" s="40">
        <f>'normal case'!V319</f>
        <v>0</v>
      </c>
      <c r="X320" s="40">
        <f>'normal case'!W319</f>
        <v>0</v>
      </c>
      <c r="Y320" s="49">
        <f ca="1">IF(controls!$B$33=1,E320-($J$4-'main page'!$K$27*2)*(1+('main page'!$K$35/100))^A319,E320-$AG$5)</f>
        <v>0</v>
      </c>
      <c r="Z320" s="49">
        <f ca="1">ABS(M320-(controls!$B$9/100)*100)</f>
        <v>0</v>
      </c>
      <c r="AI320" s="40"/>
      <c r="AJ320" s="40"/>
    </row>
    <row r="321" spans="1:36">
      <c r="A321" s="48">
        <v>318</v>
      </c>
      <c r="B321" s="75">
        <f ca="1">IF(controls!$B$6=2,AVERAGE(E317:E320)+B320*W321+hystere!$AG$9,AVERAGE(E317:E320)+B320*W321)</f>
        <v>100</v>
      </c>
      <c r="C321" s="80">
        <f t="shared" ca="1" si="25"/>
        <v>0</v>
      </c>
      <c r="D321" s="105">
        <f t="shared" ca="1" si="26"/>
        <v>0</v>
      </c>
      <c r="E321" s="77">
        <f t="shared" ca="1" si="27"/>
        <v>100</v>
      </c>
      <c r="F321" s="77">
        <f ca="1">IF('main page'!$K$34=1,hystere!H321,hystere!G321)</f>
        <v>100</v>
      </c>
      <c r="G321" s="94">
        <f ca="1">I321-'main page'!$K$27*hystere!N320</f>
        <v>100</v>
      </c>
      <c r="H321" s="75">
        <f ca="1">J321-'main page'!$K$27*N320</f>
        <v>100</v>
      </c>
      <c r="I321" s="75">
        <f t="shared" ca="1" si="28"/>
        <v>108</v>
      </c>
      <c r="J321" s="75">
        <f t="shared" ca="1" si="29"/>
        <v>108</v>
      </c>
      <c r="M321" s="75">
        <f ca="1">IF(ABS('main page'!$K$29*M320+(1-'main page'!$K$29)*(controls!$B$9/100)*100+'main page'!$K$25*(E321-B321)-M320)&lt;0.0000001,M320,'main page'!$K$29*M320+(1-'main page'!$K$29)*(controls!$B$9/100)*100+'main page'!$K$25*(E321-B321))</f>
        <v>2</v>
      </c>
      <c r="N321" s="75">
        <f ca="1">IF(controls!$B$10=1,N320,O321-'main page'!$K$29*M321-(1-'main page'!$K$29)*controls!$B$9)</f>
        <v>4</v>
      </c>
      <c r="O321" s="74">
        <f t="shared" ca="1" si="24"/>
        <v>6</v>
      </c>
      <c r="P321" s="76">
        <f ca="1">IF(controls!$B$10=1,hystere!N321+hystere!M321,hystere!Q321)</f>
        <v>6</v>
      </c>
      <c r="Q321" s="74">
        <f ca="1">IF('main page'!$Y$53=1,'choose m.p.'!$I$22*100,R321)</f>
        <v>6</v>
      </c>
      <c r="R321" s="100">
        <f ca="1">'main page'!$K$29*M321+(1-'main page'!$K$29)*controls!$B$9+S321+(('main page'!$K$25*'main page'!$U$13*'main page'!$K$29)/('main page'!$K$27*(1+('main page'!$K$25^2)*'main page'!$U$13)))*(M321-(controls!$B$9/100)*100)</f>
        <v>6</v>
      </c>
      <c r="S321" s="98">
        <f ca="1">IF(controls!$B$33=1,(J322-E321*X322-B321)/'main page'!$K$27,(I322-E321*X322-B321)/'main page'!$K$27)</f>
        <v>4</v>
      </c>
      <c r="U321" s="71">
        <f>IF(controls!$B$6=1,$AG$4*(1+('main page'!$K$35/100))^V321-$AG$4*(1+('main page'!$K$35/100))^V320,$AG$4*(1+('main page'!$G$8/100))*(1+('main page'!$K$35/100))^V321-$AG$4*(1+('main page'!$G$8/100))*(1+('main page'!$K$35/100))^V320)</f>
        <v>0</v>
      </c>
      <c r="V321" s="73">
        <v>313</v>
      </c>
      <c r="W321" s="40">
        <f ca="1">'normal case'!V320</f>
        <v>0</v>
      </c>
      <c r="X321" s="40">
        <f ca="1">'normal case'!W320</f>
        <v>0</v>
      </c>
      <c r="Y321" s="49">
        <f ca="1">IF(controls!$B$33=1,E321-($J$4-'main page'!$K$27*2)*(1+('main page'!$K$35/100))^A320,E321-$AG$5)</f>
        <v>0</v>
      </c>
      <c r="Z321" s="49">
        <f ca="1">ABS(M321-(controls!$B$9/100)*100)</f>
        <v>0</v>
      </c>
      <c r="AI321" s="40"/>
      <c r="AJ321" s="40"/>
    </row>
    <row r="322" spans="1:36">
      <c r="A322" s="48">
        <v>319</v>
      </c>
      <c r="B322" s="75">
        <f ca="1">IF(controls!$B$6=2,AVERAGE(E318:E321)+B321*W322+hystere!$AG$9,AVERAGE(E318:E321)+B321*W322)</f>
        <v>100</v>
      </c>
      <c r="C322" s="80">
        <f t="shared" ca="1" si="25"/>
        <v>0</v>
      </c>
      <c r="D322" s="105">
        <f t="shared" ca="1" si="26"/>
        <v>0</v>
      </c>
      <c r="E322" s="77">
        <f t="shared" ca="1" si="27"/>
        <v>100</v>
      </c>
      <c r="F322" s="77">
        <f ca="1">IF('main page'!$K$34=1,hystere!H322,hystere!G322)</f>
        <v>100</v>
      </c>
      <c r="G322" s="94">
        <f ca="1">I322-'main page'!$K$27*hystere!N321</f>
        <v>100</v>
      </c>
      <c r="H322" s="75">
        <f ca="1">J322-'main page'!$K$27*N321</f>
        <v>100</v>
      </c>
      <c r="I322" s="75">
        <f t="shared" ca="1" si="28"/>
        <v>108</v>
      </c>
      <c r="J322" s="75">
        <f t="shared" ca="1" si="29"/>
        <v>108</v>
      </c>
      <c r="M322" s="75">
        <f ca="1">IF(ABS('main page'!$K$29*M321+(1-'main page'!$K$29)*(controls!$B$9/100)*100+'main page'!$K$25*(E322-B322)-M321)&lt;0.0000001,M321,'main page'!$K$29*M321+(1-'main page'!$K$29)*(controls!$B$9/100)*100+'main page'!$K$25*(E322-B322))</f>
        <v>2</v>
      </c>
      <c r="N322" s="75">
        <f ca="1">IF(controls!$B$10=1,N321,O322-'main page'!$K$29*M322-(1-'main page'!$K$29)*controls!$B$9)</f>
        <v>4</v>
      </c>
      <c r="O322" s="74">
        <f t="shared" ca="1" si="24"/>
        <v>6</v>
      </c>
      <c r="P322" s="76">
        <f ca="1">IF(controls!$B$10=1,hystere!N322+hystere!M322,hystere!Q322)</f>
        <v>6</v>
      </c>
      <c r="Q322" s="74">
        <f ca="1">IF('main page'!$Y$53=1,'choose m.p.'!$I$22*100,R322)</f>
        <v>6</v>
      </c>
      <c r="R322" s="100">
        <f ca="1">'main page'!$K$29*M322+(1-'main page'!$K$29)*controls!$B$9+S322+(('main page'!$K$25*'main page'!$U$13*'main page'!$K$29)/('main page'!$K$27*(1+('main page'!$K$25^2)*'main page'!$U$13)))*(M322-(controls!$B$9/100)*100)</f>
        <v>6</v>
      </c>
      <c r="S322" s="98">
        <f ca="1">IF(controls!$B$33=1,(J323-E322*X323-B322)/'main page'!$K$27,(I323-E322*X323-B322)/'main page'!$K$27)</f>
        <v>4</v>
      </c>
      <c r="U322" s="71">
        <f>IF(controls!$B$6=1,$AG$4*(1+('main page'!$K$35/100))^V322-$AG$4*(1+('main page'!$K$35/100))^V321,$AG$4*(1+('main page'!$G$8/100))*(1+('main page'!$K$35/100))^V322-$AG$4*(1+('main page'!$G$8/100))*(1+('main page'!$K$35/100))^V321)</f>
        <v>0</v>
      </c>
      <c r="V322" s="73">
        <v>314</v>
      </c>
      <c r="W322" s="40">
        <f>'normal case'!V321</f>
        <v>0</v>
      </c>
      <c r="X322" s="40">
        <f>'normal case'!W321</f>
        <v>0</v>
      </c>
      <c r="Y322" s="49">
        <f ca="1">IF(controls!$B$33=1,E322-($J$4-'main page'!$K$27*2)*(1+('main page'!$K$35/100))^A321,E322-$AG$5)</f>
        <v>0</v>
      </c>
      <c r="Z322" s="49">
        <f ca="1">ABS(M322-(controls!$B$9/100)*100)</f>
        <v>0</v>
      </c>
      <c r="AI322" s="40"/>
      <c r="AJ322" s="40"/>
    </row>
    <row r="323" spans="1:36">
      <c r="A323" s="48">
        <v>320</v>
      </c>
      <c r="B323" s="75">
        <f ca="1">IF(controls!$B$6=2,AVERAGE(E319:E322)+B322*W323+hystere!$AG$9,AVERAGE(E319:E322)+B322*W323)</f>
        <v>100</v>
      </c>
      <c r="C323" s="80">
        <f t="shared" ca="1" si="25"/>
        <v>0</v>
      </c>
      <c r="D323" s="105">
        <f t="shared" ca="1" si="26"/>
        <v>0</v>
      </c>
      <c r="E323" s="77">
        <f t="shared" ca="1" si="27"/>
        <v>100</v>
      </c>
      <c r="F323" s="77">
        <f ca="1">IF('main page'!$K$34=1,hystere!H323,hystere!G323)</f>
        <v>100</v>
      </c>
      <c r="G323" s="94">
        <f ca="1">I323-'main page'!$K$27*hystere!N322</f>
        <v>100</v>
      </c>
      <c r="H323" s="75">
        <f ca="1">J323-'main page'!$K$27*N322</f>
        <v>100</v>
      </c>
      <c r="I323" s="75">
        <f t="shared" ca="1" si="28"/>
        <v>108</v>
      </c>
      <c r="J323" s="75">
        <f t="shared" ca="1" si="29"/>
        <v>108</v>
      </c>
      <c r="M323" s="75">
        <f ca="1">IF(ABS('main page'!$K$29*M322+(1-'main page'!$K$29)*(controls!$B$9/100)*100+'main page'!$K$25*(E323-B323)-M322)&lt;0.0000001,M322,'main page'!$K$29*M322+(1-'main page'!$K$29)*(controls!$B$9/100)*100+'main page'!$K$25*(E323-B323))</f>
        <v>2</v>
      </c>
      <c r="N323" s="75">
        <f ca="1">IF(controls!$B$10=1,N322,O323-'main page'!$K$29*M323-(1-'main page'!$K$29)*controls!$B$9)</f>
        <v>4</v>
      </c>
      <c r="O323" s="74">
        <f t="shared" ca="1" si="24"/>
        <v>6</v>
      </c>
      <c r="P323" s="76">
        <f ca="1">IF(controls!$B$10=1,hystere!N323+hystere!M323,hystere!Q323)</f>
        <v>6</v>
      </c>
      <c r="Q323" s="74">
        <f ca="1">IF('main page'!$Y$53=1,'choose m.p.'!$I$22*100,R323)</f>
        <v>6</v>
      </c>
      <c r="R323" s="100">
        <f ca="1">'main page'!$K$29*M323+(1-'main page'!$K$29)*controls!$B$9+S323+(('main page'!$K$25*'main page'!$U$13*'main page'!$K$29)/('main page'!$K$27*(1+('main page'!$K$25^2)*'main page'!$U$13)))*(M323-(controls!$B$9/100)*100)</f>
        <v>6</v>
      </c>
      <c r="S323" s="98">
        <f ca="1">IF(controls!$B$33=1,(J324-E323*X324-B323)/'main page'!$K$27,(I324-E323*X324-B323)/'main page'!$K$27)</f>
        <v>4</v>
      </c>
      <c r="U323" s="71">
        <f>IF(controls!$B$6=1,$AG$4*(1+('main page'!$K$35/100))^V323-$AG$4*(1+('main page'!$K$35/100))^V322,$AG$4*(1+('main page'!$G$8/100))*(1+('main page'!$K$35/100))^V323-$AG$4*(1+('main page'!$G$8/100))*(1+('main page'!$K$35/100))^V322)</f>
        <v>0</v>
      </c>
      <c r="V323" s="73">
        <v>315</v>
      </c>
      <c r="W323" s="40">
        <f>'normal case'!V322</f>
        <v>0</v>
      </c>
      <c r="X323" s="40">
        <f>'normal case'!W322</f>
        <v>0</v>
      </c>
      <c r="Y323" s="49">
        <f ca="1">IF(controls!$B$33=1,E323-($J$4-'main page'!$K$27*2)*(1+('main page'!$K$35/100))^A322,E323-$AG$5)</f>
        <v>0</v>
      </c>
      <c r="Z323" s="49">
        <f ca="1">ABS(M323-(controls!$B$9/100)*100)</f>
        <v>0</v>
      </c>
      <c r="AI323" s="40"/>
      <c r="AJ323" s="40"/>
    </row>
    <row r="324" spans="1:36">
      <c r="A324" s="48">
        <v>321</v>
      </c>
      <c r="B324" s="75">
        <f ca="1">IF(controls!$B$6=2,AVERAGE(E320:E323)+B323*W324+hystere!$AG$9,AVERAGE(E320:E323)+B323*W324)</f>
        <v>100</v>
      </c>
      <c r="C324" s="80">
        <f t="shared" ca="1" si="25"/>
        <v>0</v>
      </c>
      <c r="D324" s="105">
        <f t="shared" ca="1" si="26"/>
        <v>0</v>
      </c>
      <c r="E324" s="77">
        <f t="shared" ca="1" si="27"/>
        <v>100</v>
      </c>
      <c r="F324" s="77">
        <f ca="1">IF('main page'!$K$34=1,hystere!H324,hystere!G324)</f>
        <v>100</v>
      </c>
      <c r="G324" s="94">
        <f ca="1">I324-'main page'!$K$27*hystere!N323</f>
        <v>100</v>
      </c>
      <c r="H324" s="75">
        <f ca="1">J324-'main page'!$K$27*N323</f>
        <v>100</v>
      </c>
      <c r="I324" s="75">
        <f t="shared" ca="1" si="28"/>
        <v>108</v>
      </c>
      <c r="J324" s="75">
        <f t="shared" ca="1" si="29"/>
        <v>108</v>
      </c>
      <c r="M324" s="75">
        <f ca="1">IF(ABS('main page'!$K$29*M323+(1-'main page'!$K$29)*(controls!$B$9/100)*100+'main page'!$K$25*(E324-B324)-M323)&lt;0.0000001,M323,'main page'!$K$29*M323+(1-'main page'!$K$29)*(controls!$B$9/100)*100+'main page'!$K$25*(E324-B324))</f>
        <v>2</v>
      </c>
      <c r="N324" s="75">
        <f ca="1">IF(controls!$B$10=1,N323,O324-'main page'!$K$29*M324-(1-'main page'!$K$29)*controls!$B$9)</f>
        <v>4</v>
      </c>
      <c r="O324" s="74">
        <f t="shared" ref="O324:O387" ca="1" si="30">IF(P324&lt;0,0,P324)</f>
        <v>6</v>
      </c>
      <c r="P324" s="76">
        <f ca="1">IF(controls!$B$10=1,hystere!N324+hystere!M324,hystere!Q324)</f>
        <v>6</v>
      </c>
      <c r="Q324" s="74">
        <f ca="1">IF('main page'!$Y$53=1,'choose m.p.'!$I$22*100,R324)</f>
        <v>6</v>
      </c>
      <c r="R324" s="100">
        <f ca="1">'main page'!$K$29*M324+(1-'main page'!$K$29)*controls!$B$9+S324+(('main page'!$K$25*'main page'!$U$13*'main page'!$K$29)/('main page'!$K$27*(1+('main page'!$K$25^2)*'main page'!$U$13)))*(M324-(controls!$B$9/100)*100)</f>
        <v>6</v>
      </c>
      <c r="S324" s="98">
        <f ca="1">IF(controls!$B$33=1,(J325-E324*X325-B324)/'main page'!$K$27,(I325-E324*X325-B324)/'main page'!$K$27)</f>
        <v>4</v>
      </c>
      <c r="U324" s="71">
        <f>IF(controls!$B$6=1,$AG$4*(1+('main page'!$K$35/100))^V324-$AG$4*(1+('main page'!$K$35/100))^V323,$AG$4*(1+('main page'!$G$8/100))*(1+('main page'!$K$35/100))^V324-$AG$4*(1+('main page'!$G$8/100))*(1+('main page'!$K$35/100))^V323)</f>
        <v>0</v>
      </c>
      <c r="V324" s="73">
        <v>316</v>
      </c>
      <c r="W324" s="40">
        <f ca="1">'normal case'!V323</f>
        <v>0</v>
      </c>
      <c r="X324" s="40">
        <f ca="1">'normal case'!W323</f>
        <v>0</v>
      </c>
      <c r="Y324" s="49">
        <f ca="1">IF(controls!$B$33=1,E324-($J$4-'main page'!$K$27*2)*(1+('main page'!$K$35/100))^A323,E324-$AG$5)</f>
        <v>0</v>
      </c>
      <c r="Z324" s="49">
        <f ca="1">ABS(M324-(controls!$B$9/100)*100)</f>
        <v>0</v>
      </c>
      <c r="AI324" s="40"/>
      <c r="AJ324" s="40"/>
    </row>
    <row r="325" spans="1:36">
      <c r="A325" s="48">
        <v>322</v>
      </c>
      <c r="B325" s="75">
        <f ca="1">IF(controls!$B$6=2,AVERAGE(E321:E324)+B324*W325+hystere!$AG$9,AVERAGE(E321:E324)+B324*W325)</f>
        <v>100</v>
      </c>
      <c r="C325" s="80">
        <f t="shared" ref="C325:C388" ca="1" si="31">E325/E324-1</f>
        <v>0</v>
      </c>
      <c r="D325" s="105">
        <f t="shared" ref="D325:D388" ca="1" si="32">E325-B325</f>
        <v>0</v>
      </c>
      <c r="E325" s="77">
        <f t="shared" ref="E325:E388" ca="1" si="33">IF(F325&gt;0,F325,0.1)</f>
        <v>100</v>
      </c>
      <c r="F325" s="77">
        <f ca="1">IF('main page'!$K$34=1,hystere!H325,hystere!G325)</f>
        <v>100</v>
      </c>
      <c r="G325" s="94">
        <f ca="1">I325-'main page'!$K$27*hystere!N324</f>
        <v>100</v>
      </c>
      <c r="H325" s="75">
        <f ca="1">J325-'main page'!$K$27*N324</f>
        <v>100</v>
      </c>
      <c r="I325" s="75">
        <f t="shared" ca="1" si="28"/>
        <v>108</v>
      </c>
      <c r="J325" s="75">
        <f t="shared" ca="1" si="29"/>
        <v>108</v>
      </c>
      <c r="M325" s="75">
        <f ca="1">IF(ABS('main page'!$K$29*M324+(1-'main page'!$K$29)*(controls!$B$9/100)*100+'main page'!$K$25*(E325-B325)-M324)&lt;0.0000001,M324,'main page'!$K$29*M324+(1-'main page'!$K$29)*(controls!$B$9/100)*100+'main page'!$K$25*(E325-B325))</f>
        <v>2</v>
      </c>
      <c r="N325" s="75">
        <f ca="1">IF(controls!$B$10=1,N324,O325-'main page'!$K$29*M325-(1-'main page'!$K$29)*controls!$B$9)</f>
        <v>4</v>
      </c>
      <c r="O325" s="74">
        <f t="shared" ca="1" si="30"/>
        <v>6</v>
      </c>
      <c r="P325" s="76">
        <f ca="1">IF(controls!$B$10=1,hystere!N325+hystere!M325,hystere!Q325)</f>
        <v>6</v>
      </c>
      <c r="Q325" s="74">
        <f ca="1">IF('main page'!$Y$53=1,'choose m.p.'!$I$22*100,R325)</f>
        <v>6</v>
      </c>
      <c r="R325" s="100">
        <f ca="1">'main page'!$K$29*M325+(1-'main page'!$K$29)*controls!$B$9+S325+(('main page'!$K$25*'main page'!$U$13*'main page'!$K$29)/('main page'!$K$27*(1+('main page'!$K$25^2)*'main page'!$U$13)))*(M325-(controls!$B$9/100)*100)</f>
        <v>6</v>
      </c>
      <c r="S325" s="98">
        <f ca="1">IF(controls!$B$33=1,(J326-E325*X326-B325)/'main page'!$K$27,(I326-E325*X326-B325)/'main page'!$K$27)</f>
        <v>4</v>
      </c>
      <c r="U325" s="71">
        <f>IF(controls!$B$6=1,$AG$4*(1+('main page'!$K$35/100))^V325-$AG$4*(1+('main page'!$K$35/100))^V324,$AG$4*(1+('main page'!$G$8/100))*(1+('main page'!$K$35/100))^V325-$AG$4*(1+('main page'!$G$8/100))*(1+('main page'!$K$35/100))^V324)</f>
        <v>0</v>
      </c>
      <c r="V325" s="73">
        <v>317</v>
      </c>
      <c r="W325" s="40">
        <f>'normal case'!V324</f>
        <v>0</v>
      </c>
      <c r="X325" s="40">
        <f>'normal case'!W324</f>
        <v>0</v>
      </c>
      <c r="Y325" s="49">
        <f ca="1">IF(controls!$B$33=1,E325-($J$4-'main page'!$K$27*2)*(1+('main page'!$K$35/100))^A324,E325-$AG$5)</f>
        <v>0</v>
      </c>
      <c r="Z325" s="49">
        <f ca="1">ABS(M325-(controls!$B$9/100)*100)</f>
        <v>0</v>
      </c>
      <c r="AI325" s="40"/>
      <c r="AJ325" s="40"/>
    </row>
    <row r="326" spans="1:36">
      <c r="A326" s="48">
        <v>323</v>
      </c>
      <c r="B326" s="75">
        <f ca="1">IF(controls!$B$6=2,AVERAGE(E322:E325)+B325*W326+hystere!$AG$9,AVERAGE(E322:E325)+B325*W326)</f>
        <v>100</v>
      </c>
      <c r="C326" s="80">
        <f t="shared" ca="1" si="31"/>
        <v>0</v>
      </c>
      <c r="D326" s="105">
        <f t="shared" ca="1" si="32"/>
        <v>0</v>
      </c>
      <c r="E326" s="77">
        <f t="shared" ca="1" si="33"/>
        <v>100</v>
      </c>
      <c r="F326" s="77">
        <f ca="1">IF('main page'!$K$34=1,hystere!H326,hystere!G326)</f>
        <v>100</v>
      </c>
      <c r="G326" s="94">
        <f ca="1">I326-'main page'!$K$27*hystere!N325</f>
        <v>100</v>
      </c>
      <c r="H326" s="75">
        <f ca="1">J326-'main page'!$K$27*N325</f>
        <v>100</v>
      </c>
      <c r="I326" s="75">
        <f t="shared" ca="1" si="28"/>
        <v>108</v>
      </c>
      <c r="J326" s="75">
        <f t="shared" ca="1" si="29"/>
        <v>108</v>
      </c>
      <c r="M326" s="75">
        <f ca="1">IF(ABS('main page'!$K$29*M325+(1-'main page'!$K$29)*(controls!$B$9/100)*100+'main page'!$K$25*(E326-B326)-M325)&lt;0.0000001,M325,'main page'!$K$29*M325+(1-'main page'!$K$29)*(controls!$B$9/100)*100+'main page'!$K$25*(E326-B326))</f>
        <v>2</v>
      </c>
      <c r="N326" s="75">
        <f ca="1">IF(controls!$B$10=1,N325,O326-'main page'!$K$29*M326-(1-'main page'!$K$29)*controls!$B$9)</f>
        <v>4</v>
      </c>
      <c r="O326" s="74">
        <f t="shared" ca="1" si="30"/>
        <v>6</v>
      </c>
      <c r="P326" s="76">
        <f ca="1">IF(controls!$B$10=1,hystere!N326+hystere!M326,hystere!Q326)</f>
        <v>6</v>
      </c>
      <c r="Q326" s="74">
        <f ca="1">IF('main page'!$Y$53=1,'choose m.p.'!$I$22*100,R326)</f>
        <v>6</v>
      </c>
      <c r="R326" s="100">
        <f ca="1">'main page'!$K$29*M326+(1-'main page'!$K$29)*controls!$B$9+S326+(('main page'!$K$25*'main page'!$U$13*'main page'!$K$29)/('main page'!$K$27*(1+('main page'!$K$25^2)*'main page'!$U$13)))*(M326-(controls!$B$9/100)*100)</f>
        <v>6</v>
      </c>
      <c r="S326" s="98">
        <f ca="1">IF(controls!$B$33=1,(J327-E326*X327-B326)/'main page'!$K$27,(I327-E326*X327-B326)/'main page'!$K$27)</f>
        <v>4</v>
      </c>
      <c r="U326" s="71">
        <f>IF(controls!$B$6=1,$AG$4*(1+('main page'!$K$35/100))^V326-$AG$4*(1+('main page'!$K$35/100))^V325,$AG$4*(1+('main page'!$G$8/100))*(1+('main page'!$K$35/100))^V326-$AG$4*(1+('main page'!$G$8/100))*(1+('main page'!$K$35/100))^V325)</f>
        <v>0</v>
      </c>
      <c r="V326" s="73">
        <v>318</v>
      </c>
      <c r="W326" s="40">
        <f>'normal case'!V325</f>
        <v>0</v>
      </c>
      <c r="X326" s="40">
        <f>'normal case'!W325</f>
        <v>0</v>
      </c>
      <c r="Y326" s="49">
        <f ca="1">IF(controls!$B$33=1,E326-($J$4-'main page'!$K$27*2)*(1+('main page'!$K$35/100))^A325,E326-$AG$5)</f>
        <v>0</v>
      </c>
      <c r="Z326" s="49">
        <f ca="1">ABS(M326-(controls!$B$9/100)*100)</f>
        <v>0</v>
      </c>
      <c r="AI326" s="40"/>
      <c r="AJ326" s="40"/>
    </row>
    <row r="327" spans="1:36">
      <c r="A327" s="48">
        <v>324</v>
      </c>
      <c r="B327" s="75">
        <f ca="1">IF(controls!$B$6=2,AVERAGE(E323:E326)+B326*W327+hystere!$AG$9,AVERAGE(E323:E326)+B326*W327)</f>
        <v>100</v>
      </c>
      <c r="C327" s="80">
        <f t="shared" ca="1" si="31"/>
        <v>0</v>
      </c>
      <c r="D327" s="105">
        <f t="shared" ca="1" si="32"/>
        <v>0</v>
      </c>
      <c r="E327" s="77">
        <f t="shared" ca="1" si="33"/>
        <v>100</v>
      </c>
      <c r="F327" s="77">
        <f ca="1">IF('main page'!$K$34=1,hystere!H327,hystere!G327)</f>
        <v>100</v>
      </c>
      <c r="G327" s="94">
        <f ca="1">I327-'main page'!$K$27*hystere!N326</f>
        <v>100</v>
      </c>
      <c r="H327" s="75">
        <f ca="1">J327-'main page'!$K$27*N326</f>
        <v>100</v>
      </c>
      <c r="I327" s="75">
        <f t="shared" ca="1" si="28"/>
        <v>108</v>
      </c>
      <c r="J327" s="75">
        <f t="shared" ca="1" si="29"/>
        <v>108</v>
      </c>
      <c r="M327" s="75">
        <f ca="1">IF(ABS('main page'!$K$29*M326+(1-'main page'!$K$29)*(controls!$B$9/100)*100+'main page'!$K$25*(E327-B327)-M326)&lt;0.0000001,M326,'main page'!$K$29*M326+(1-'main page'!$K$29)*(controls!$B$9/100)*100+'main page'!$K$25*(E327-B327))</f>
        <v>2</v>
      </c>
      <c r="N327" s="75">
        <f ca="1">IF(controls!$B$10=1,N326,O327-'main page'!$K$29*M327-(1-'main page'!$K$29)*controls!$B$9)</f>
        <v>4</v>
      </c>
      <c r="O327" s="74">
        <f t="shared" ca="1" si="30"/>
        <v>6</v>
      </c>
      <c r="P327" s="76">
        <f ca="1">IF(controls!$B$10=1,hystere!N327+hystere!M327,hystere!Q327)</f>
        <v>6</v>
      </c>
      <c r="Q327" s="74">
        <f ca="1">IF('main page'!$Y$53=1,'choose m.p.'!$I$22*100,R327)</f>
        <v>6</v>
      </c>
      <c r="R327" s="100">
        <f ca="1">'main page'!$K$29*M327+(1-'main page'!$K$29)*controls!$B$9+S327+(('main page'!$K$25*'main page'!$U$13*'main page'!$K$29)/('main page'!$K$27*(1+('main page'!$K$25^2)*'main page'!$U$13)))*(M327-(controls!$B$9/100)*100)</f>
        <v>6</v>
      </c>
      <c r="S327" s="98">
        <f ca="1">IF(controls!$B$33=1,(J328-E327*X328-B327)/'main page'!$K$27,(I328-E327*X328-B327)/'main page'!$K$27)</f>
        <v>4</v>
      </c>
      <c r="U327" s="71">
        <f>IF(controls!$B$6=1,$AG$4*(1+('main page'!$K$35/100))^V327-$AG$4*(1+('main page'!$K$35/100))^V326,$AG$4*(1+('main page'!$G$8/100))*(1+('main page'!$K$35/100))^V327-$AG$4*(1+('main page'!$G$8/100))*(1+('main page'!$K$35/100))^V326)</f>
        <v>0</v>
      </c>
      <c r="V327" s="73">
        <v>319</v>
      </c>
      <c r="W327" s="40">
        <f ca="1">'normal case'!V326</f>
        <v>0</v>
      </c>
      <c r="X327" s="40">
        <f ca="1">'normal case'!W326</f>
        <v>0</v>
      </c>
      <c r="Y327" s="49">
        <f ca="1">IF(controls!$B$33=1,E327-($J$4-'main page'!$K$27*2)*(1+('main page'!$K$35/100))^A326,E327-$AG$5)</f>
        <v>0</v>
      </c>
      <c r="Z327" s="49">
        <f ca="1">ABS(M327-(controls!$B$9/100)*100)</f>
        <v>0</v>
      </c>
      <c r="AI327" s="40"/>
      <c r="AJ327" s="40"/>
    </row>
    <row r="328" spans="1:36">
      <c r="A328" s="48">
        <v>325</v>
      </c>
      <c r="B328" s="75">
        <f ca="1">IF(controls!$B$6=2,AVERAGE(E324:E327)+B327*W328+hystere!$AG$9,AVERAGE(E324:E327)+B327*W328)</f>
        <v>100</v>
      </c>
      <c r="C328" s="80">
        <f t="shared" ca="1" si="31"/>
        <v>0</v>
      </c>
      <c r="D328" s="105">
        <f t="shared" ca="1" si="32"/>
        <v>0</v>
      </c>
      <c r="E328" s="77">
        <f t="shared" ca="1" si="33"/>
        <v>100</v>
      </c>
      <c r="F328" s="77">
        <f ca="1">IF('main page'!$K$34=1,hystere!H328,hystere!G328)</f>
        <v>100</v>
      </c>
      <c r="G328" s="94">
        <f ca="1">I328-'main page'!$K$27*hystere!N327</f>
        <v>100</v>
      </c>
      <c r="H328" s="75">
        <f ca="1">J328-'main page'!$K$27*N327</f>
        <v>100</v>
      </c>
      <c r="I328" s="75">
        <f t="shared" ca="1" si="28"/>
        <v>108</v>
      </c>
      <c r="J328" s="75">
        <f t="shared" ca="1" si="29"/>
        <v>108</v>
      </c>
      <c r="M328" s="75">
        <f ca="1">IF(ABS('main page'!$K$29*M327+(1-'main page'!$K$29)*(controls!$B$9/100)*100+'main page'!$K$25*(E328-B328)-M327)&lt;0.0000001,M327,'main page'!$K$29*M327+(1-'main page'!$K$29)*(controls!$B$9/100)*100+'main page'!$K$25*(E328-B328))</f>
        <v>2</v>
      </c>
      <c r="N328" s="75">
        <f ca="1">IF(controls!$B$10=1,N327,O328-'main page'!$K$29*M328-(1-'main page'!$K$29)*controls!$B$9)</f>
        <v>4</v>
      </c>
      <c r="O328" s="74">
        <f t="shared" ca="1" si="30"/>
        <v>6</v>
      </c>
      <c r="P328" s="76">
        <f ca="1">IF(controls!$B$10=1,hystere!N328+hystere!M328,hystere!Q328)</f>
        <v>6</v>
      </c>
      <c r="Q328" s="74">
        <f ca="1">IF('main page'!$Y$53=1,'choose m.p.'!$I$22*100,R328)</f>
        <v>6</v>
      </c>
      <c r="R328" s="100">
        <f ca="1">'main page'!$K$29*M328+(1-'main page'!$K$29)*controls!$B$9+S328+(('main page'!$K$25*'main page'!$U$13*'main page'!$K$29)/('main page'!$K$27*(1+('main page'!$K$25^2)*'main page'!$U$13)))*(M328-(controls!$B$9/100)*100)</f>
        <v>6</v>
      </c>
      <c r="S328" s="98">
        <f ca="1">IF(controls!$B$33=1,(J329-E328*X329-B328)/'main page'!$K$27,(I329-E328*X329-B328)/'main page'!$K$27)</f>
        <v>4</v>
      </c>
      <c r="U328" s="71">
        <f>IF(controls!$B$6=1,$AG$4*(1+('main page'!$K$35/100))^V328-$AG$4*(1+('main page'!$K$35/100))^V327,$AG$4*(1+('main page'!$G$8/100))*(1+('main page'!$K$35/100))^V328-$AG$4*(1+('main page'!$G$8/100))*(1+('main page'!$K$35/100))^V327)</f>
        <v>0</v>
      </c>
      <c r="V328" s="73">
        <v>320</v>
      </c>
      <c r="W328" s="40">
        <f>'normal case'!V327</f>
        <v>0</v>
      </c>
      <c r="X328" s="40">
        <f>'normal case'!W327</f>
        <v>0</v>
      </c>
      <c r="Y328" s="49">
        <f ca="1">IF(controls!$B$33=1,E328-($J$4-'main page'!$K$27*2)*(1+('main page'!$K$35/100))^A327,E328-$AG$5)</f>
        <v>0</v>
      </c>
      <c r="Z328" s="49">
        <f ca="1">ABS(M328-(controls!$B$9/100)*100)</f>
        <v>0</v>
      </c>
      <c r="AI328" s="40"/>
      <c r="AJ328" s="40"/>
    </row>
    <row r="329" spans="1:36">
      <c r="A329" s="48">
        <v>326</v>
      </c>
      <c r="B329" s="75">
        <f ca="1">IF(controls!$B$6=2,AVERAGE(E325:E328)+B328*W329+hystere!$AG$9,AVERAGE(E325:E328)+B328*W329)</f>
        <v>100</v>
      </c>
      <c r="C329" s="80">
        <f t="shared" ca="1" si="31"/>
        <v>0</v>
      </c>
      <c r="D329" s="105">
        <f t="shared" ca="1" si="32"/>
        <v>0</v>
      </c>
      <c r="E329" s="77">
        <f t="shared" ca="1" si="33"/>
        <v>100</v>
      </c>
      <c r="F329" s="77">
        <f ca="1">IF('main page'!$K$34=1,hystere!H329,hystere!G329)</f>
        <v>100</v>
      </c>
      <c r="G329" s="94">
        <f ca="1">I329-'main page'!$K$27*hystere!N328</f>
        <v>100</v>
      </c>
      <c r="H329" s="75">
        <f ca="1">J329-'main page'!$K$27*N328</f>
        <v>100</v>
      </c>
      <c r="I329" s="75">
        <f t="shared" ca="1" si="28"/>
        <v>108</v>
      </c>
      <c r="J329" s="75">
        <f t="shared" ca="1" si="29"/>
        <v>108</v>
      </c>
      <c r="M329" s="75">
        <f ca="1">IF(ABS('main page'!$K$29*M328+(1-'main page'!$K$29)*(controls!$B$9/100)*100+'main page'!$K$25*(E329-B329)-M328)&lt;0.0000001,M328,'main page'!$K$29*M328+(1-'main page'!$K$29)*(controls!$B$9/100)*100+'main page'!$K$25*(E329-B329))</f>
        <v>2</v>
      </c>
      <c r="N329" s="75">
        <f ca="1">IF(controls!$B$10=1,N328,O329-'main page'!$K$29*M329-(1-'main page'!$K$29)*controls!$B$9)</f>
        <v>4</v>
      </c>
      <c r="O329" s="74">
        <f t="shared" ca="1" si="30"/>
        <v>6</v>
      </c>
      <c r="P329" s="76">
        <f ca="1">IF(controls!$B$10=1,hystere!N329+hystere!M329,hystere!Q329)</f>
        <v>6</v>
      </c>
      <c r="Q329" s="74">
        <f ca="1">IF('main page'!$Y$53=1,'choose m.p.'!$I$22*100,R329)</f>
        <v>6</v>
      </c>
      <c r="R329" s="100">
        <f ca="1">'main page'!$K$29*M329+(1-'main page'!$K$29)*controls!$B$9+S329+(('main page'!$K$25*'main page'!$U$13*'main page'!$K$29)/('main page'!$K$27*(1+('main page'!$K$25^2)*'main page'!$U$13)))*(M329-(controls!$B$9/100)*100)</f>
        <v>6</v>
      </c>
      <c r="S329" s="98">
        <f ca="1">IF(controls!$B$33=1,(J330-E329*X330-B329)/'main page'!$K$27,(I330-E329*X330-B329)/'main page'!$K$27)</f>
        <v>4</v>
      </c>
      <c r="U329" s="71">
        <f>IF(controls!$B$6=1,$AG$4*(1+('main page'!$K$35/100))^V329-$AG$4*(1+('main page'!$K$35/100))^V328,$AG$4*(1+('main page'!$G$8/100))*(1+('main page'!$K$35/100))^V329-$AG$4*(1+('main page'!$G$8/100))*(1+('main page'!$K$35/100))^V328)</f>
        <v>0</v>
      </c>
      <c r="V329" s="73">
        <v>321</v>
      </c>
      <c r="W329" s="40">
        <f>'normal case'!V328</f>
        <v>0</v>
      </c>
      <c r="X329" s="40">
        <f>'normal case'!W328</f>
        <v>0</v>
      </c>
      <c r="Y329" s="49">
        <f ca="1">IF(controls!$B$33=1,E329-($J$4-'main page'!$K$27*2)*(1+('main page'!$K$35/100))^A328,E329-$AG$5)</f>
        <v>0</v>
      </c>
      <c r="Z329" s="49">
        <f ca="1">ABS(M329-(controls!$B$9/100)*100)</f>
        <v>0</v>
      </c>
      <c r="AI329" s="40"/>
      <c r="AJ329" s="40"/>
    </row>
    <row r="330" spans="1:36">
      <c r="A330" s="48">
        <v>327</v>
      </c>
      <c r="B330" s="75">
        <f ca="1">IF(controls!$B$6=2,AVERAGE(E326:E329)+B329*W330+hystere!$AG$9,AVERAGE(E326:E329)+B329*W330)</f>
        <v>100</v>
      </c>
      <c r="C330" s="80">
        <f t="shared" ca="1" si="31"/>
        <v>0</v>
      </c>
      <c r="D330" s="105">
        <f t="shared" ca="1" si="32"/>
        <v>0</v>
      </c>
      <c r="E330" s="77">
        <f t="shared" ca="1" si="33"/>
        <v>100</v>
      </c>
      <c r="F330" s="77">
        <f ca="1">IF('main page'!$K$34=1,hystere!H330,hystere!G330)</f>
        <v>100</v>
      </c>
      <c r="G330" s="94">
        <f ca="1">I330-'main page'!$K$27*hystere!N329</f>
        <v>100</v>
      </c>
      <c r="H330" s="75">
        <f ca="1">J330-'main page'!$K$27*N329</f>
        <v>100</v>
      </c>
      <c r="I330" s="75">
        <f t="shared" ca="1" si="28"/>
        <v>108</v>
      </c>
      <c r="J330" s="75">
        <f t="shared" ca="1" si="29"/>
        <v>108</v>
      </c>
      <c r="M330" s="75">
        <f ca="1">IF(ABS('main page'!$K$29*M329+(1-'main page'!$K$29)*(controls!$B$9/100)*100+'main page'!$K$25*(E330-B330)-M329)&lt;0.0000001,M329,'main page'!$K$29*M329+(1-'main page'!$K$29)*(controls!$B$9/100)*100+'main page'!$K$25*(E330-B330))</f>
        <v>2</v>
      </c>
      <c r="N330" s="75">
        <f ca="1">IF(controls!$B$10=1,N329,O330-'main page'!$K$29*M330-(1-'main page'!$K$29)*controls!$B$9)</f>
        <v>4</v>
      </c>
      <c r="O330" s="74">
        <f t="shared" ca="1" si="30"/>
        <v>6</v>
      </c>
      <c r="P330" s="76">
        <f ca="1">IF(controls!$B$10=1,hystere!N330+hystere!M330,hystere!Q330)</f>
        <v>6</v>
      </c>
      <c r="Q330" s="74">
        <f ca="1">IF('main page'!$Y$53=1,'choose m.p.'!$I$22*100,R330)</f>
        <v>6</v>
      </c>
      <c r="R330" s="100">
        <f ca="1">'main page'!$K$29*M330+(1-'main page'!$K$29)*controls!$B$9+S330+(('main page'!$K$25*'main page'!$U$13*'main page'!$K$29)/('main page'!$K$27*(1+('main page'!$K$25^2)*'main page'!$U$13)))*(M330-(controls!$B$9/100)*100)</f>
        <v>6</v>
      </c>
      <c r="S330" s="98">
        <f ca="1">IF(controls!$B$33=1,(J331-E330*X331-B330)/'main page'!$K$27,(I331-E330*X331-B330)/'main page'!$K$27)</f>
        <v>4</v>
      </c>
      <c r="U330" s="71">
        <f>IF(controls!$B$6=1,$AG$4*(1+('main page'!$K$35/100))^V330-$AG$4*(1+('main page'!$K$35/100))^V329,$AG$4*(1+('main page'!$G$8/100))*(1+('main page'!$K$35/100))^V330-$AG$4*(1+('main page'!$G$8/100))*(1+('main page'!$K$35/100))^V329)</f>
        <v>0</v>
      </c>
      <c r="V330" s="73">
        <v>322</v>
      </c>
      <c r="W330" s="40">
        <f ca="1">'normal case'!V329</f>
        <v>0</v>
      </c>
      <c r="X330" s="40">
        <f ca="1">'normal case'!W329</f>
        <v>0</v>
      </c>
      <c r="Y330" s="49">
        <f ca="1">IF(controls!$B$33=1,E330-($J$4-'main page'!$K$27*2)*(1+('main page'!$K$35/100))^A329,E330-$AG$5)</f>
        <v>0</v>
      </c>
      <c r="Z330" s="49">
        <f ca="1">ABS(M330-(controls!$B$9/100)*100)</f>
        <v>0</v>
      </c>
      <c r="AI330" s="40"/>
      <c r="AJ330" s="40"/>
    </row>
    <row r="331" spans="1:36">
      <c r="A331" s="48">
        <v>328</v>
      </c>
      <c r="B331" s="75">
        <f ca="1">IF(controls!$B$6=2,AVERAGE(E327:E330)+B330*W331+hystere!$AG$9,AVERAGE(E327:E330)+B330*W331)</f>
        <v>100</v>
      </c>
      <c r="C331" s="80">
        <f t="shared" ca="1" si="31"/>
        <v>0</v>
      </c>
      <c r="D331" s="105">
        <f t="shared" ca="1" si="32"/>
        <v>0</v>
      </c>
      <c r="E331" s="77">
        <f t="shared" ca="1" si="33"/>
        <v>100</v>
      </c>
      <c r="F331" s="77">
        <f ca="1">IF('main page'!$K$34=1,hystere!H331,hystere!G331)</f>
        <v>100</v>
      </c>
      <c r="G331" s="94">
        <f ca="1">I331-'main page'!$K$27*hystere!N330</f>
        <v>100</v>
      </c>
      <c r="H331" s="75">
        <f ca="1">J331-'main page'!$K$27*N330</f>
        <v>100</v>
      </c>
      <c r="I331" s="75">
        <f t="shared" ca="1" si="28"/>
        <v>108</v>
      </c>
      <c r="J331" s="75">
        <f t="shared" ca="1" si="29"/>
        <v>108</v>
      </c>
      <c r="M331" s="75">
        <f ca="1">IF(ABS('main page'!$K$29*M330+(1-'main page'!$K$29)*(controls!$B$9/100)*100+'main page'!$K$25*(E331-B331)-M330)&lt;0.0000001,M330,'main page'!$K$29*M330+(1-'main page'!$K$29)*(controls!$B$9/100)*100+'main page'!$K$25*(E331-B331))</f>
        <v>2</v>
      </c>
      <c r="N331" s="75">
        <f ca="1">IF(controls!$B$10=1,N330,O331-'main page'!$K$29*M331-(1-'main page'!$K$29)*controls!$B$9)</f>
        <v>4</v>
      </c>
      <c r="O331" s="74">
        <f t="shared" ca="1" si="30"/>
        <v>6</v>
      </c>
      <c r="P331" s="76">
        <f ca="1">IF(controls!$B$10=1,hystere!N331+hystere!M331,hystere!Q331)</f>
        <v>6</v>
      </c>
      <c r="Q331" s="74">
        <f ca="1">IF('main page'!$Y$53=1,'choose m.p.'!$I$22*100,R331)</f>
        <v>6</v>
      </c>
      <c r="R331" s="100">
        <f ca="1">'main page'!$K$29*M331+(1-'main page'!$K$29)*controls!$B$9+S331+(('main page'!$K$25*'main page'!$U$13*'main page'!$K$29)/('main page'!$K$27*(1+('main page'!$K$25^2)*'main page'!$U$13)))*(M331-(controls!$B$9/100)*100)</f>
        <v>6</v>
      </c>
      <c r="S331" s="98">
        <f ca="1">IF(controls!$B$33=1,(J332-E331*X332-B331)/'main page'!$K$27,(I332-E331*X332-B331)/'main page'!$K$27)</f>
        <v>4</v>
      </c>
      <c r="U331" s="71">
        <f>IF(controls!$B$6=1,$AG$4*(1+('main page'!$K$35/100))^V331-$AG$4*(1+('main page'!$K$35/100))^V330,$AG$4*(1+('main page'!$G$8/100))*(1+('main page'!$K$35/100))^V331-$AG$4*(1+('main page'!$G$8/100))*(1+('main page'!$K$35/100))^V330)</f>
        <v>0</v>
      </c>
      <c r="V331" s="73">
        <v>323</v>
      </c>
      <c r="W331" s="40">
        <f>'normal case'!V330</f>
        <v>0</v>
      </c>
      <c r="X331" s="40">
        <f>'normal case'!W330</f>
        <v>0</v>
      </c>
      <c r="Y331" s="49">
        <f ca="1">IF(controls!$B$33=1,E331-($J$4-'main page'!$K$27*2)*(1+('main page'!$K$35/100))^A330,E331-$AG$5)</f>
        <v>0</v>
      </c>
      <c r="Z331" s="49">
        <f ca="1">ABS(M331-(controls!$B$9/100)*100)</f>
        <v>0</v>
      </c>
      <c r="AI331" s="40"/>
      <c r="AJ331" s="40"/>
    </row>
    <row r="332" spans="1:36">
      <c r="A332" s="48">
        <v>329</v>
      </c>
      <c r="B332" s="75">
        <f ca="1">IF(controls!$B$6=2,AVERAGE(E328:E331)+B331*W332+hystere!$AG$9,AVERAGE(E328:E331)+B331*W332)</f>
        <v>100</v>
      </c>
      <c r="C332" s="80">
        <f t="shared" ca="1" si="31"/>
        <v>0</v>
      </c>
      <c r="D332" s="105">
        <f t="shared" ca="1" si="32"/>
        <v>0</v>
      </c>
      <c r="E332" s="77">
        <f t="shared" ca="1" si="33"/>
        <v>100</v>
      </c>
      <c r="F332" s="77">
        <f ca="1">IF('main page'!$K$34=1,hystere!H332,hystere!G332)</f>
        <v>100</v>
      </c>
      <c r="G332" s="94">
        <f ca="1">I332-'main page'!$K$27*hystere!N331</f>
        <v>100</v>
      </c>
      <c r="H332" s="75">
        <f ca="1">J332-'main page'!$K$27*N331</f>
        <v>100</v>
      </c>
      <c r="I332" s="75">
        <f t="shared" ca="1" si="28"/>
        <v>108</v>
      </c>
      <c r="J332" s="75">
        <f t="shared" ca="1" si="29"/>
        <v>108</v>
      </c>
      <c r="M332" s="75">
        <f ca="1">IF(ABS('main page'!$K$29*M331+(1-'main page'!$K$29)*(controls!$B$9/100)*100+'main page'!$K$25*(E332-B332)-M331)&lt;0.0000001,M331,'main page'!$K$29*M331+(1-'main page'!$K$29)*(controls!$B$9/100)*100+'main page'!$K$25*(E332-B332))</f>
        <v>2</v>
      </c>
      <c r="N332" s="75">
        <f ca="1">IF(controls!$B$10=1,N331,O332-'main page'!$K$29*M332-(1-'main page'!$K$29)*controls!$B$9)</f>
        <v>4</v>
      </c>
      <c r="O332" s="74">
        <f t="shared" ca="1" si="30"/>
        <v>6</v>
      </c>
      <c r="P332" s="76">
        <f ca="1">IF(controls!$B$10=1,hystere!N332+hystere!M332,hystere!Q332)</f>
        <v>6</v>
      </c>
      <c r="Q332" s="74">
        <f ca="1">IF('main page'!$Y$53=1,'choose m.p.'!$I$22*100,R332)</f>
        <v>6</v>
      </c>
      <c r="R332" s="100">
        <f ca="1">'main page'!$K$29*M332+(1-'main page'!$K$29)*controls!$B$9+S332+(('main page'!$K$25*'main page'!$U$13*'main page'!$K$29)/('main page'!$K$27*(1+('main page'!$K$25^2)*'main page'!$U$13)))*(M332-(controls!$B$9/100)*100)</f>
        <v>6</v>
      </c>
      <c r="S332" s="98">
        <f ca="1">IF(controls!$B$33=1,(J333-E332*X333-B332)/'main page'!$K$27,(I333-E332*X333-B332)/'main page'!$K$27)</f>
        <v>4</v>
      </c>
      <c r="U332" s="71">
        <f>IF(controls!$B$6=1,$AG$4*(1+('main page'!$K$35/100))^V332-$AG$4*(1+('main page'!$K$35/100))^V331,$AG$4*(1+('main page'!$G$8/100))*(1+('main page'!$K$35/100))^V332-$AG$4*(1+('main page'!$G$8/100))*(1+('main page'!$K$35/100))^V331)</f>
        <v>0</v>
      </c>
      <c r="V332" s="73">
        <v>324</v>
      </c>
      <c r="W332" s="40">
        <f>'normal case'!V331</f>
        <v>0</v>
      </c>
      <c r="X332" s="40">
        <f>'normal case'!W331</f>
        <v>0</v>
      </c>
      <c r="Y332" s="49">
        <f ca="1">IF(controls!$B$33=1,E332-($J$4-'main page'!$K$27*2)*(1+('main page'!$K$35/100))^A331,E332-$AG$5)</f>
        <v>0</v>
      </c>
      <c r="Z332" s="49">
        <f ca="1">ABS(M332-(controls!$B$9/100)*100)</f>
        <v>0</v>
      </c>
      <c r="AI332" s="40"/>
      <c r="AJ332" s="40"/>
    </row>
    <row r="333" spans="1:36">
      <c r="A333" s="48">
        <v>330</v>
      </c>
      <c r="B333" s="75">
        <f ca="1">IF(controls!$B$6=2,AVERAGE(E329:E332)+B332*W333+hystere!$AG$9,AVERAGE(E329:E332)+B332*W333)</f>
        <v>100</v>
      </c>
      <c r="C333" s="80">
        <f t="shared" ca="1" si="31"/>
        <v>0</v>
      </c>
      <c r="D333" s="105">
        <f t="shared" ca="1" si="32"/>
        <v>0</v>
      </c>
      <c r="E333" s="77">
        <f t="shared" ca="1" si="33"/>
        <v>100</v>
      </c>
      <c r="F333" s="77">
        <f ca="1">IF('main page'!$K$34=1,hystere!H333,hystere!G333)</f>
        <v>100</v>
      </c>
      <c r="G333" s="94">
        <f ca="1">I333-'main page'!$K$27*hystere!N332</f>
        <v>100</v>
      </c>
      <c r="H333" s="75">
        <f ca="1">J333-'main page'!$K$27*N332</f>
        <v>100</v>
      </c>
      <c r="I333" s="75">
        <f t="shared" ca="1" si="28"/>
        <v>108</v>
      </c>
      <c r="J333" s="75">
        <f t="shared" ca="1" si="29"/>
        <v>108</v>
      </c>
      <c r="M333" s="75">
        <f ca="1">IF(ABS('main page'!$K$29*M332+(1-'main page'!$K$29)*(controls!$B$9/100)*100+'main page'!$K$25*(E333-B333)-M332)&lt;0.0000001,M332,'main page'!$K$29*M332+(1-'main page'!$K$29)*(controls!$B$9/100)*100+'main page'!$K$25*(E333-B333))</f>
        <v>2</v>
      </c>
      <c r="N333" s="75">
        <f ca="1">IF(controls!$B$10=1,N332,O333-'main page'!$K$29*M333-(1-'main page'!$K$29)*controls!$B$9)</f>
        <v>4</v>
      </c>
      <c r="O333" s="74">
        <f t="shared" ca="1" si="30"/>
        <v>6</v>
      </c>
      <c r="P333" s="76">
        <f ca="1">IF(controls!$B$10=1,hystere!N333+hystere!M333,hystere!Q333)</f>
        <v>6</v>
      </c>
      <c r="Q333" s="74">
        <f ca="1">IF('main page'!$Y$53=1,'choose m.p.'!$I$22*100,R333)</f>
        <v>6</v>
      </c>
      <c r="R333" s="100">
        <f ca="1">'main page'!$K$29*M333+(1-'main page'!$K$29)*controls!$B$9+S333+(('main page'!$K$25*'main page'!$U$13*'main page'!$K$29)/('main page'!$K$27*(1+('main page'!$K$25^2)*'main page'!$U$13)))*(M333-(controls!$B$9/100)*100)</f>
        <v>6</v>
      </c>
      <c r="S333" s="98">
        <f ca="1">IF(controls!$B$33=1,(J334-E333*X334-B333)/'main page'!$K$27,(I334-E333*X334-B333)/'main page'!$K$27)</f>
        <v>4</v>
      </c>
      <c r="U333" s="71">
        <f>IF(controls!$B$6=1,$AG$4*(1+('main page'!$K$35/100))^V333-$AG$4*(1+('main page'!$K$35/100))^V332,$AG$4*(1+('main page'!$G$8/100))*(1+('main page'!$K$35/100))^V333-$AG$4*(1+('main page'!$G$8/100))*(1+('main page'!$K$35/100))^V332)</f>
        <v>0</v>
      </c>
      <c r="V333" s="73">
        <v>325</v>
      </c>
      <c r="W333" s="40">
        <f ca="1">'normal case'!V332</f>
        <v>0</v>
      </c>
      <c r="X333" s="40">
        <f ca="1">'normal case'!W332</f>
        <v>0</v>
      </c>
      <c r="Y333" s="49">
        <f ca="1">IF(controls!$B$33=1,E333-($J$4-'main page'!$K$27*2)*(1+('main page'!$K$35/100))^A332,E333-$AG$5)</f>
        <v>0</v>
      </c>
      <c r="Z333" s="49">
        <f ca="1">ABS(M333-(controls!$B$9/100)*100)</f>
        <v>0</v>
      </c>
      <c r="AI333" s="40"/>
      <c r="AJ333" s="40"/>
    </row>
    <row r="334" spans="1:36">
      <c r="A334" s="48">
        <v>331</v>
      </c>
      <c r="B334" s="75">
        <f ca="1">IF(controls!$B$6=2,AVERAGE(E330:E333)+B333*W334+hystere!$AG$9,AVERAGE(E330:E333)+B333*W334)</f>
        <v>100</v>
      </c>
      <c r="C334" s="80">
        <f t="shared" ca="1" si="31"/>
        <v>0</v>
      </c>
      <c r="D334" s="105">
        <f t="shared" ca="1" si="32"/>
        <v>0</v>
      </c>
      <c r="E334" s="77">
        <f t="shared" ca="1" si="33"/>
        <v>100</v>
      </c>
      <c r="F334" s="77">
        <f ca="1">IF('main page'!$K$34=1,hystere!H334,hystere!G334)</f>
        <v>100</v>
      </c>
      <c r="G334" s="94">
        <f ca="1">I334-'main page'!$K$27*hystere!N333</f>
        <v>100</v>
      </c>
      <c r="H334" s="75">
        <f ca="1">J334-'main page'!$K$27*N333</f>
        <v>100</v>
      </c>
      <c r="I334" s="75">
        <f t="shared" ca="1" si="28"/>
        <v>108</v>
      </c>
      <c r="J334" s="75">
        <f t="shared" ca="1" si="29"/>
        <v>108</v>
      </c>
      <c r="M334" s="75">
        <f ca="1">IF(ABS('main page'!$K$29*M333+(1-'main page'!$K$29)*(controls!$B$9/100)*100+'main page'!$K$25*(E334-B334)-M333)&lt;0.0000001,M333,'main page'!$K$29*M333+(1-'main page'!$K$29)*(controls!$B$9/100)*100+'main page'!$K$25*(E334-B334))</f>
        <v>2</v>
      </c>
      <c r="N334" s="75">
        <f ca="1">IF(controls!$B$10=1,N333,O334-'main page'!$K$29*M334-(1-'main page'!$K$29)*controls!$B$9)</f>
        <v>4</v>
      </c>
      <c r="O334" s="74">
        <f t="shared" ca="1" si="30"/>
        <v>6</v>
      </c>
      <c r="P334" s="76">
        <f ca="1">IF(controls!$B$10=1,hystere!N334+hystere!M334,hystere!Q334)</f>
        <v>6</v>
      </c>
      <c r="Q334" s="74">
        <f ca="1">IF('main page'!$Y$53=1,'choose m.p.'!$I$22*100,R334)</f>
        <v>6</v>
      </c>
      <c r="R334" s="100">
        <f ca="1">'main page'!$K$29*M334+(1-'main page'!$K$29)*controls!$B$9+S334+(('main page'!$K$25*'main page'!$U$13*'main page'!$K$29)/('main page'!$K$27*(1+('main page'!$K$25^2)*'main page'!$U$13)))*(M334-(controls!$B$9/100)*100)</f>
        <v>6</v>
      </c>
      <c r="S334" s="98">
        <f ca="1">IF(controls!$B$33=1,(J335-E334*X335-B334)/'main page'!$K$27,(I335-E334*X335-B334)/'main page'!$K$27)</f>
        <v>4</v>
      </c>
      <c r="U334" s="71">
        <f>IF(controls!$B$6=1,$AG$4*(1+('main page'!$K$35/100))^V334-$AG$4*(1+('main page'!$K$35/100))^V333,$AG$4*(1+('main page'!$G$8/100))*(1+('main page'!$K$35/100))^V334-$AG$4*(1+('main page'!$G$8/100))*(1+('main page'!$K$35/100))^V333)</f>
        <v>0</v>
      </c>
      <c r="V334" s="73">
        <v>326</v>
      </c>
      <c r="W334" s="40">
        <f>'normal case'!V333</f>
        <v>0</v>
      </c>
      <c r="X334" s="40">
        <f>'normal case'!W333</f>
        <v>0</v>
      </c>
      <c r="Y334" s="49">
        <f ca="1">IF(controls!$B$33=1,E334-($J$4-'main page'!$K$27*2)*(1+('main page'!$K$35/100))^A333,E334-$AG$5)</f>
        <v>0</v>
      </c>
      <c r="Z334" s="49">
        <f ca="1">ABS(M334-(controls!$B$9/100)*100)</f>
        <v>0</v>
      </c>
      <c r="AI334" s="40"/>
      <c r="AJ334" s="40"/>
    </row>
    <row r="335" spans="1:36">
      <c r="A335" s="48">
        <v>332</v>
      </c>
      <c r="B335" s="75">
        <f ca="1">IF(controls!$B$6=2,AVERAGE(E331:E334)+B334*W335+hystere!$AG$9,AVERAGE(E331:E334)+B334*W335)</f>
        <v>100</v>
      </c>
      <c r="C335" s="80">
        <f t="shared" ca="1" si="31"/>
        <v>0</v>
      </c>
      <c r="D335" s="105">
        <f t="shared" ca="1" si="32"/>
        <v>0</v>
      </c>
      <c r="E335" s="77">
        <f t="shared" ca="1" si="33"/>
        <v>100</v>
      </c>
      <c r="F335" s="77">
        <f ca="1">IF('main page'!$K$34=1,hystere!H335,hystere!G335)</f>
        <v>100</v>
      </c>
      <c r="G335" s="94">
        <f ca="1">I335-'main page'!$K$27*hystere!N334</f>
        <v>100</v>
      </c>
      <c r="H335" s="75">
        <f ca="1">J335-'main page'!$K$27*N334</f>
        <v>100</v>
      </c>
      <c r="I335" s="75">
        <f t="shared" ca="1" si="28"/>
        <v>108</v>
      </c>
      <c r="J335" s="75">
        <f t="shared" ca="1" si="29"/>
        <v>108</v>
      </c>
      <c r="M335" s="75">
        <f ca="1">IF(ABS('main page'!$K$29*M334+(1-'main page'!$K$29)*(controls!$B$9/100)*100+'main page'!$K$25*(E335-B335)-M334)&lt;0.0000001,M334,'main page'!$K$29*M334+(1-'main page'!$K$29)*(controls!$B$9/100)*100+'main page'!$K$25*(E335-B335))</f>
        <v>2</v>
      </c>
      <c r="N335" s="75">
        <f ca="1">IF(controls!$B$10=1,N334,O335-'main page'!$K$29*M335-(1-'main page'!$K$29)*controls!$B$9)</f>
        <v>4</v>
      </c>
      <c r="O335" s="74">
        <f t="shared" ca="1" si="30"/>
        <v>6</v>
      </c>
      <c r="P335" s="76">
        <f ca="1">IF(controls!$B$10=1,hystere!N335+hystere!M335,hystere!Q335)</f>
        <v>6</v>
      </c>
      <c r="Q335" s="74">
        <f ca="1">IF('main page'!$Y$53=1,'choose m.p.'!$I$22*100,R335)</f>
        <v>6</v>
      </c>
      <c r="R335" s="100">
        <f ca="1">'main page'!$K$29*M335+(1-'main page'!$K$29)*controls!$B$9+S335+(('main page'!$K$25*'main page'!$U$13*'main page'!$K$29)/('main page'!$K$27*(1+('main page'!$K$25^2)*'main page'!$U$13)))*(M335-(controls!$B$9/100)*100)</f>
        <v>6</v>
      </c>
      <c r="S335" s="98">
        <f ca="1">IF(controls!$B$33=1,(J336-E335*X336-B335)/'main page'!$K$27,(I336-E335*X336-B335)/'main page'!$K$27)</f>
        <v>4</v>
      </c>
      <c r="U335" s="71">
        <f>IF(controls!$B$6=1,$AG$4*(1+('main page'!$K$35/100))^V335-$AG$4*(1+('main page'!$K$35/100))^V334,$AG$4*(1+('main page'!$G$8/100))*(1+('main page'!$K$35/100))^V335-$AG$4*(1+('main page'!$G$8/100))*(1+('main page'!$K$35/100))^V334)</f>
        <v>0</v>
      </c>
      <c r="V335" s="73">
        <v>327</v>
      </c>
      <c r="W335" s="40">
        <f>'normal case'!V334</f>
        <v>0</v>
      </c>
      <c r="X335" s="40">
        <f>'normal case'!W334</f>
        <v>0</v>
      </c>
      <c r="Y335" s="49">
        <f ca="1">IF(controls!$B$33=1,E335-($J$4-'main page'!$K$27*2)*(1+('main page'!$K$35/100))^A334,E335-$AG$5)</f>
        <v>0</v>
      </c>
      <c r="Z335" s="49">
        <f ca="1">ABS(M335-(controls!$B$9/100)*100)</f>
        <v>0</v>
      </c>
      <c r="AI335" s="40"/>
      <c r="AJ335" s="40"/>
    </row>
    <row r="336" spans="1:36">
      <c r="A336" s="48">
        <v>333</v>
      </c>
      <c r="B336" s="75">
        <f ca="1">IF(controls!$B$6=2,AVERAGE(E332:E335)+B335*W336+hystere!$AG$9,AVERAGE(E332:E335)+B335*W336)</f>
        <v>100</v>
      </c>
      <c r="C336" s="80">
        <f t="shared" ca="1" si="31"/>
        <v>0</v>
      </c>
      <c r="D336" s="105">
        <f t="shared" ca="1" si="32"/>
        <v>0</v>
      </c>
      <c r="E336" s="77">
        <f t="shared" ca="1" si="33"/>
        <v>100</v>
      </c>
      <c r="F336" s="77">
        <f ca="1">IF('main page'!$K$34=1,hystere!H336,hystere!G336)</f>
        <v>100</v>
      </c>
      <c r="G336" s="94">
        <f ca="1">I336-'main page'!$K$27*hystere!N335</f>
        <v>100</v>
      </c>
      <c r="H336" s="75">
        <f ca="1">J336-'main page'!$K$27*N335</f>
        <v>100</v>
      </c>
      <c r="I336" s="75">
        <f t="shared" ca="1" si="28"/>
        <v>108</v>
      </c>
      <c r="J336" s="75">
        <f t="shared" ca="1" si="29"/>
        <v>108</v>
      </c>
      <c r="M336" s="75">
        <f ca="1">IF(ABS('main page'!$K$29*M335+(1-'main page'!$K$29)*(controls!$B$9/100)*100+'main page'!$K$25*(E336-B336)-M335)&lt;0.0000001,M335,'main page'!$K$29*M335+(1-'main page'!$K$29)*(controls!$B$9/100)*100+'main page'!$K$25*(E336-B336))</f>
        <v>2</v>
      </c>
      <c r="N336" s="75">
        <f ca="1">IF(controls!$B$10=1,N335,O336-'main page'!$K$29*M336-(1-'main page'!$K$29)*controls!$B$9)</f>
        <v>4</v>
      </c>
      <c r="O336" s="74">
        <f t="shared" ca="1" si="30"/>
        <v>6</v>
      </c>
      <c r="P336" s="76">
        <f ca="1">IF(controls!$B$10=1,hystere!N336+hystere!M336,hystere!Q336)</f>
        <v>6</v>
      </c>
      <c r="Q336" s="74">
        <f ca="1">IF('main page'!$Y$53=1,'choose m.p.'!$I$22*100,R336)</f>
        <v>6</v>
      </c>
      <c r="R336" s="100">
        <f ca="1">'main page'!$K$29*M336+(1-'main page'!$K$29)*controls!$B$9+S336+(('main page'!$K$25*'main page'!$U$13*'main page'!$K$29)/('main page'!$K$27*(1+('main page'!$K$25^2)*'main page'!$U$13)))*(M336-(controls!$B$9/100)*100)</f>
        <v>6</v>
      </c>
      <c r="S336" s="98">
        <f ca="1">IF(controls!$B$33=1,(J337-E336*X337-B336)/'main page'!$K$27,(I337-E336*X337-B336)/'main page'!$K$27)</f>
        <v>4</v>
      </c>
      <c r="U336" s="71">
        <f>IF(controls!$B$6=1,$AG$4*(1+('main page'!$K$35/100))^V336-$AG$4*(1+('main page'!$K$35/100))^V335,$AG$4*(1+('main page'!$G$8/100))*(1+('main page'!$K$35/100))^V336-$AG$4*(1+('main page'!$G$8/100))*(1+('main page'!$K$35/100))^V335)</f>
        <v>0</v>
      </c>
      <c r="V336" s="73">
        <v>328</v>
      </c>
      <c r="W336" s="40">
        <f ca="1">'normal case'!V335</f>
        <v>0</v>
      </c>
      <c r="X336" s="40">
        <f ca="1">'normal case'!W335</f>
        <v>0</v>
      </c>
      <c r="Y336" s="49">
        <f ca="1">IF(controls!$B$33=1,E336-($J$4-'main page'!$K$27*2)*(1+('main page'!$K$35/100))^A335,E336-$AG$5)</f>
        <v>0</v>
      </c>
      <c r="Z336" s="49">
        <f ca="1">ABS(M336-(controls!$B$9/100)*100)</f>
        <v>0</v>
      </c>
      <c r="AI336" s="40"/>
      <c r="AJ336" s="40"/>
    </row>
    <row r="337" spans="1:36">
      <c r="A337" s="48">
        <v>334</v>
      </c>
      <c r="B337" s="75">
        <f ca="1">IF(controls!$B$6=2,AVERAGE(E333:E336)+B336*W337+hystere!$AG$9,AVERAGE(E333:E336)+B336*W337)</f>
        <v>100</v>
      </c>
      <c r="C337" s="80">
        <f t="shared" ca="1" si="31"/>
        <v>0</v>
      </c>
      <c r="D337" s="105">
        <f t="shared" ca="1" si="32"/>
        <v>0</v>
      </c>
      <c r="E337" s="77">
        <f t="shared" ca="1" si="33"/>
        <v>100</v>
      </c>
      <c r="F337" s="77">
        <f ca="1">IF('main page'!$K$34=1,hystere!H337,hystere!G337)</f>
        <v>100</v>
      </c>
      <c r="G337" s="94">
        <f ca="1">I337-'main page'!$K$27*hystere!N336</f>
        <v>100</v>
      </c>
      <c r="H337" s="75">
        <f ca="1">J337-'main page'!$K$27*N336</f>
        <v>100</v>
      </c>
      <c r="I337" s="75">
        <f t="shared" ca="1" si="28"/>
        <v>108</v>
      </c>
      <c r="J337" s="75">
        <f t="shared" ca="1" si="29"/>
        <v>108</v>
      </c>
      <c r="M337" s="75">
        <f ca="1">IF(ABS('main page'!$K$29*M336+(1-'main page'!$K$29)*(controls!$B$9/100)*100+'main page'!$K$25*(E337-B337)-M336)&lt;0.0000001,M336,'main page'!$K$29*M336+(1-'main page'!$K$29)*(controls!$B$9/100)*100+'main page'!$K$25*(E337-B337))</f>
        <v>2</v>
      </c>
      <c r="N337" s="75">
        <f ca="1">IF(controls!$B$10=1,N336,O337-'main page'!$K$29*M337-(1-'main page'!$K$29)*controls!$B$9)</f>
        <v>4</v>
      </c>
      <c r="O337" s="74">
        <f t="shared" ca="1" si="30"/>
        <v>6</v>
      </c>
      <c r="P337" s="76">
        <f ca="1">IF(controls!$B$10=1,hystere!N337+hystere!M337,hystere!Q337)</f>
        <v>6</v>
      </c>
      <c r="Q337" s="74">
        <f ca="1">IF('main page'!$Y$53=1,'choose m.p.'!$I$22*100,R337)</f>
        <v>6</v>
      </c>
      <c r="R337" s="100">
        <f ca="1">'main page'!$K$29*M337+(1-'main page'!$K$29)*controls!$B$9+S337+(('main page'!$K$25*'main page'!$U$13*'main page'!$K$29)/('main page'!$K$27*(1+('main page'!$K$25^2)*'main page'!$U$13)))*(M337-(controls!$B$9/100)*100)</f>
        <v>6</v>
      </c>
      <c r="S337" s="98">
        <f ca="1">IF(controls!$B$33=1,(J338-E337*X338-B337)/'main page'!$K$27,(I338-E337*X338-B337)/'main page'!$K$27)</f>
        <v>4</v>
      </c>
      <c r="U337" s="71">
        <f>IF(controls!$B$6=1,$AG$4*(1+('main page'!$K$35/100))^V337-$AG$4*(1+('main page'!$K$35/100))^V336,$AG$4*(1+('main page'!$G$8/100))*(1+('main page'!$K$35/100))^V337-$AG$4*(1+('main page'!$G$8/100))*(1+('main page'!$K$35/100))^V336)</f>
        <v>0</v>
      </c>
      <c r="V337" s="73">
        <v>329</v>
      </c>
      <c r="W337" s="40">
        <f>'normal case'!V336</f>
        <v>0</v>
      </c>
      <c r="X337" s="40">
        <f>'normal case'!W336</f>
        <v>0</v>
      </c>
      <c r="Y337" s="49">
        <f ca="1">IF(controls!$B$33=1,E337-($J$4-'main page'!$K$27*2)*(1+('main page'!$K$35/100))^A336,E337-$AG$5)</f>
        <v>0</v>
      </c>
      <c r="Z337" s="49">
        <f ca="1">ABS(M337-(controls!$B$9/100)*100)</f>
        <v>0</v>
      </c>
      <c r="AI337" s="40"/>
      <c r="AJ337" s="40"/>
    </row>
    <row r="338" spans="1:36">
      <c r="A338" s="48">
        <v>335</v>
      </c>
      <c r="B338" s="75">
        <f ca="1">IF(controls!$B$6=2,AVERAGE(E334:E337)+B337*W338+hystere!$AG$9,AVERAGE(E334:E337)+B337*W338)</f>
        <v>100</v>
      </c>
      <c r="C338" s="80">
        <f t="shared" ca="1" si="31"/>
        <v>0</v>
      </c>
      <c r="D338" s="105">
        <f t="shared" ca="1" si="32"/>
        <v>0</v>
      </c>
      <c r="E338" s="77">
        <f t="shared" ca="1" si="33"/>
        <v>100</v>
      </c>
      <c r="F338" s="77">
        <f ca="1">IF('main page'!$K$34=1,hystere!H338,hystere!G338)</f>
        <v>100</v>
      </c>
      <c r="G338" s="94">
        <f ca="1">I338-'main page'!$K$27*hystere!N337</f>
        <v>100</v>
      </c>
      <c r="H338" s="75">
        <f ca="1">J338-'main page'!$K$27*N337</f>
        <v>100</v>
      </c>
      <c r="I338" s="75">
        <f t="shared" ca="1" si="28"/>
        <v>108</v>
      </c>
      <c r="J338" s="75">
        <f t="shared" ca="1" si="29"/>
        <v>108</v>
      </c>
      <c r="M338" s="75">
        <f ca="1">IF(ABS('main page'!$K$29*M337+(1-'main page'!$K$29)*(controls!$B$9/100)*100+'main page'!$K$25*(E338-B338)-M337)&lt;0.0000001,M337,'main page'!$K$29*M337+(1-'main page'!$K$29)*(controls!$B$9/100)*100+'main page'!$K$25*(E338-B338))</f>
        <v>2</v>
      </c>
      <c r="N338" s="75">
        <f ca="1">IF(controls!$B$10=1,N337,O338-'main page'!$K$29*M338-(1-'main page'!$K$29)*controls!$B$9)</f>
        <v>4</v>
      </c>
      <c r="O338" s="74">
        <f t="shared" ca="1" si="30"/>
        <v>6</v>
      </c>
      <c r="P338" s="76">
        <f ca="1">IF(controls!$B$10=1,hystere!N338+hystere!M338,hystere!Q338)</f>
        <v>6</v>
      </c>
      <c r="Q338" s="74">
        <f ca="1">IF('main page'!$Y$53=1,'choose m.p.'!$I$22*100,R338)</f>
        <v>6</v>
      </c>
      <c r="R338" s="100">
        <f ca="1">'main page'!$K$29*M338+(1-'main page'!$K$29)*controls!$B$9+S338+(('main page'!$K$25*'main page'!$U$13*'main page'!$K$29)/('main page'!$K$27*(1+('main page'!$K$25^2)*'main page'!$U$13)))*(M338-(controls!$B$9/100)*100)</f>
        <v>6</v>
      </c>
      <c r="S338" s="98">
        <f ca="1">IF(controls!$B$33=1,(J339-E338*X339-B338)/'main page'!$K$27,(I339-E338*X339-B338)/'main page'!$K$27)</f>
        <v>4</v>
      </c>
      <c r="U338" s="71">
        <f>IF(controls!$B$6=1,$AG$4*(1+('main page'!$K$35/100))^V338-$AG$4*(1+('main page'!$K$35/100))^V337,$AG$4*(1+('main page'!$G$8/100))*(1+('main page'!$K$35/100))^V338-$AG$4*(1+('main page'!$G$8/100))*(1+('main page'!$K$35/100))^V337)</f>
        <v>0</v>
      </c>
      <c r="V338" s="73">
        <v>330</v>
      </c>
      <c r="W338" s="40">
        <f>'normal case'!V337</f>
        <v>0</v>
      </c>
      <c r="X338" s="40">
        <f>'normal case'!W337</f>
        <v>0</v>
      </c>
      <c r="Y338" s="49">
        <f ca="1">IF(controls!$B$33=1,E338-($J$4-'main page'!$K$27*2)*(1+('main page'!$K$35/100))^A337,E338-$AG$5)</f>
        <v>0</v>
      </c>
      <c r="Z338" s="49">
        <f ca="1">ABS(M338-(controls!$B$9/100)*100)</f>
        <v>0</v>
      </c>
      <c r="AI338" s="40"/>
      <c r="AJ338" s="40"/>
    </row>
    <row r="339" spans="1:36">
      <c r="A339" s="48">
        <v>336</v>
      </c>
      <c r="B339" s="75">
        <f ca="1">IF(controls!$B$6=2,AVERAGE(E335:E338)+B338*W339+hystere!$AG$9,AVERAGE(E335:E338)+B338*W339)</f>
        <v>100</v>
      </c>
      <c r="C339" s="80">
        <f t="shared" ca="1" si="31"/>
        <v>0</v>
      </c>
      <c r="D339" s="105">
        <f t="shared" ca="1" si="32"/>
        <v>0</v>
      </c>
      <c r="E339" s="77">
        <f t="shared" ca="1" si="33"/>
        <v>100</v>
      </c>
      <c r="F339" s="77">
        <f ca="1">IF('main page'!$K$34=1,hystere!H339,hystere!G339)</f>
        <v>100</v>
      </c>
      <c r="G339" s="94">
        <f ca="1">I339-'main page'!$K$27*hystere!N338</f>
        <v>100</v>
      </c>
      <c r="H339" s="75">
        <f ca="1">J339-'main page'!$K$27*N338</f>
        <v>100</v>
      </c>
      <c r="I339" s="75">
        <f t="shared" ca="1" si="28"/>
        <v>108</v>
      </c>
      <c r="J339" s="75">
        <f t="shared" ca="1" si="29"/>
        <v>108</v>
      </c>
      <c r="M339" s="75">
        <f ca="1">IF(ABS('main page'!$K$29*M338+(1-'main page'!$K$29)*(controls!$B$9/100)*100+'main page'!$K$25*(E339-B339)-M338)&lt;0.0000001,M338,'main page'!$K$29*M338+(1-'main page'!$K$29)*(controls!$B$9/100)*100+'main page'!$K$25*(E339-B339))</f>
        <v>2</v>
      </c>
      <c r="N339" s="75">
        <f ca="1">IF(controls!$B$10=1,N338,O339-'main page'!$K$29*M339-(1-'main page'!$K$29)*controls!$B$9)</f>
        <v>4</v>
      </c>
      <c r="O339" s="74">
        <f t="shared" ca="1" si="30"/>
        <v>6</v>
      </c>
      <c r="P339" s="76">
        <f ca="1">IF(controls!$B$10=1,hystere!N339+hystere!M339,hystere!Q339)</f>
        <v>6</v>
      </c>
      <c r="Q339" s="74">
        <f ca="1">IF('main page'!$Y$53=1,'choose m.p.'!$I$22*100,R339)</f>
        <v>6</v>
      </c>
      <c r="R339" s="100">
        <f ca="1">'main page'!$K$29*M339+(1-'main page'!$K$29)*controls!$B$9+S339+(('main page'!$K$25*'main page'!$U$13*'main page'!$K$29)/('main page'!$K$27*(1+('main page'!$K$25^2)*'main page'!$U$13)))*(M339-(controls!$B$9/100)*100)</f>
        <v>6</v>
      </c>
      <c r="S339" s="98">
        <f ca="1">IF(controls!$B$33=1,(J340-E339*X340-B339)/'main page'!$K$27,(I340-E339*X340-B339)/'main page'!$K$27)</f>
        <v>4</v>
      </c>
      <c r="U339" s="71">
        <f>IF(controls!$B$6=1,$AG$4*(1+('main page'!$K$35/100))^V339-$AG$4*(1+('main page'!$K$35/100))^V338,$AG$4*(1+('main page'!$G$8/100))*(1+('main page'!$K$35/100))^V339-$AG$4*(1+('main page'!$G$8/100))*(1+('main page'!$K$35/100))^V338)</f>
        <v>0</v>
      </c>
      <c r="V339" s="73">
        <v>331</v>
      </c>
      <c r="W339" s="40">
        <f ca="1">'normal case'!V338</f>
        <v>0</v>
      </c>
      <c r="X339" s="40">
        <f ca="1">'normal case'!W338</f>
        <v>0</v>
      </c>
      <c r="Y339" s="49">
        <f ca="1">IF(controls!$B$33=1,E339-($J$4-'main page'!$K$27*2)*(1+('main page'!$K$35/100))^A338,E339-$AG$5)</f>
        <v>0</v>
      </c>
      <c r="Z339" s="49">
        <f ca="1">ABS(M339-(controls!$B$9/100)*100)</f>
        <v>0</v>
      </c>
      <c r="AI339" s="40"/>
      <c r="AJ339" s="40"/>
    </row>
    <row r="340" spans="1:36">
      <c r="A340" s="48">
        <v>337</v>
      </c>
      <c r="B340" s="75">
        <f ca="1">IF(controls!$B$6=2,AVERAGE(E336:E339)+B339*W340+hystere!$AG$9,AVERAGE(E336:E339)+B339*W340)</f>
        <v>100</v>
      </c>
      <c r="C340" s="80">
        <f t="shared" ca="1" si="31"/>
        <v>0</v>
      </c>
      <c r="D340" s="105">
        <f t="shared" ca="1" si="32"/>
        <v>0</v>
      </c>
      <c r="E340" s="77">
        <f t="shared" ca="1" si="33"/>
        <v>100</v>
      </c>
      <c r="F340" s="77">
        <f ca="1">IF('main page'!$K$34=1,hystere!H340,hystere!G340)</f>
        <v>100</v>
      </c>
      <c r="G340" s="94">
        <f ca="1">I340-'main page'!$K$27*hystere!N339</f>
        <v>100</v>
      </c>
      <c r="H340" s="75">
        <f ca="1">J340-'main page'!$K$27*N339</f>
        <v>100</v>
      </c>
      <c r="I340" s="75">
        <f t="shared" ca="1" si="28"/>
        <v>108</v>
      </c>
      <c r="J340" s="75">
        <f t="shared" ca="1" si="29"/>
        <v>108</v>
      </c>
      <c r="M340" s="75">
        <f ca="1">IF(ABS('main page'!$K$29*M339+(1-'main page'!$K$29)*(controls!$B$9/100)*100+'main page'!$K$25*(E340-B340)-M339)&lt;0.0000001,M339,'main page'!$K$29*M339+(1-'main page'!$K$29)*(controls!$B$9/100)*100+'main page'!$K$25*(E340-B340))</f>
        <v>2</v>
      </c>
      <c r="N340" s="75">
        <f ca="1">IF(controls!$B$10=1,N339,O340-'main page'!$K$29*M340-(1-'main page'!$K$29)*controls!$B$9)</f>
        <v>4</v>
      </c>
      <c r="O340" s="74">
        <f t="shared" ca="1" si="30"/>
        <v>6</v>
      </c>
      <c r="P340" s="76">
        <f ca="1">IF(controls!$B$10=1,hystere!N340+hystere!M340,hystere!Q340)</f>
        <v>6</v>
      </c>
      <c r="Q340" s="74">
        <f ca="1">IF('main page'!$Y$53=1,'choose m.p.'!$I$22*100,R340)</f>
        <v>6</v>
      </c>
      <c r="R340" s="100">
        <f ca="1">'main page'!$K$29*M340+(1-'main page'!$K$29)*controls!$B$9+S340+(('main page'!$K$25*'main page'!$U$13*'main page'!$K$29)/('main page'!$K$27*(1+('main page'!$K$25^2)*'main page'!$U$13)))*(M340-(controls!$B$9/100)*100)</f>
        <v>6</v>
      </c>
      <c r="S340" s="98">
        <f ca="1">IF(controls!$B$33=1,(J341-E340*X341-B340)/'main page'!$K$27,(I341-E340*X341-B340)/'main page'!$K$27)</f>
        <v>4</v>
      </c>
      <c r="U340" s="71">
        <f>IF(controls!$B$6=1,$AG$4*(1+('main page'!$K$35/100))^V340-$AG$4*(1+('main page'!$K$35/100))^V339,$AG$4*(1+('main page'!$G$8/100))*(1+('main page'!$K$35/100))^V340-$AG$4*(1+('main page'!$G$8/100))*(1+('main page'!$K$35/100))^V339)</f>
        <v>0</v>
      </c>
      <c r="V340" s="73">
        <v>332</v>
      </c>
      <c r="W340" s="40">
        <f>'normal case'!V339</f>
        <v>0</v>
      </c>
      <c r="X340" s="40">
        <f>'normal case'!W339</f>
        <v>0</v>
      </c>
      <c r="Y340" s="49">
        <f ca="1">IF(controls!$B$33=1,E340-($J$4-'main page'!$K$27*2)*(1+('main page'!$K$35/100))^A339,E340-$AG$5)</f>
        <v>0</v>
      </c>
      <c r="Z340" s="49">
        <f ca="1">ABS(M340-(controls!$B$9/100)*100)</f>
        <v>0</v>
      </c>
      <c r="AI340" s="40"/>
      <c r="AJ340" s="40"/>
    </row>
    <row r="341" spans="1:36">
      <c r="A341" s="48">
        <v>338</v>
      </c>
      <c r="B341" s="75">
        <f ca="1">IF(controls!$B$6=2,AVERAGE(E337:E340)+B340*W341+hystere!$AG$9,AVERAGE(E337:E340)+B340*W341)</f>
        <v>100</v>
      </c>
      <c r="C341" s="80">
        <f t="shared" ca="1" si="31"/>
        <v>0</v>
      </c>
      <c r="D341" s="105">
        <f t="shared" ca="1" si="32"/>
        <v>0</v>
      </c>
      <c r="E341" s="77">
        <f t="shared" ca="1" si="33"/>
        <v>100</v>
      </c>
      <c r="F341" s="77">
        <f ca="1">IF('main page'!$K$34=1,hystere!H341,hystere!G341)</f>
        <v>100</v>
      </c>
      <c r="G341" s="94">
        <f ca="1">I341-'main page'!$K$27*hystere!N340</f>
        <v>100</v>
      </c>
      <c r="H341" s="75">
        <f ca="1">J341-'main page'!$K$27*N340</f>
        <v>100</v>
      </c>
      <c r="I341" s="75">
        <f t="shared" ca="1" si="28"/>
        <v>108</v>
      </c>
      <c r="J341" s="75">
        <f t="shared" ca="1" si="29"/>
        <v>108</v>
      </c>
      <c r="M341" s="75">
        <f ca="1">IF(ABS('main page'!$K$29*M340+(1-'main page'!$K$29)*(controls!$B$9/100)*100+'main page'!$K$25*(E341-B341)-M340)&lt;0.0000001,M340,'main page'!$K$29*M340+(1-'main page'!$K$29)*(controls!$B$9/100)*100+'main page'!$K$25*(E341-B341))</f>
        <v>2</v>
      </c>
      <c r="N341" s="75">
        <f ca="1">IF(controls!$B$10=1,N340,O341-'main page'!$K$29*M341-(1-'main page'!$K$29)*controls!$B$9)</f>
        <v>4</v>
      </c>
      <c r="O341" s="74">
        <f t="shared" ca="1" si="30"/>
        <v>6</v>
      </c>
      <c r="P341" s="76">
        <f ca="1">IF(controls!$B$10=1,hystere!N341+hystere!M341,hystere!Q341)</f>
        <v>6</v>
      </c>
      <c r="Q341" s="74">
        <f ca="1">IF('main page'!$Y$53=1,'choose m.p.'!$I$22*100,R341)</f>
        <v>6</v>
      </c>
      <c r="R341" s="100">
        <f ca="1">'main page'!$K$29*M341+(1-'main page'!$K$29)*controls!$B$9+S341+(('main page'!$K$25*'main page'!$U$13*'main page'!$K$29)/('main page'!$K$27*(1+('main page'!$K$25^2)*'main page'!$U$13)))*(M341-(controls!$B$9/100)*100)</f>
        <v>6</v>
      </c>
      <c r="S341" s="98">
        <f ca="1">IF(controls!$B$33=1,(J342-E341*X342-B341)/'main page'!$K$27,(I342-E341*X342-B341)/'main page'!$K$27)</f>
        <v>4</v>
      </c>
      <c r="U341" s="71">
        <f>IF(controls!$B$6=1,$AG$4*(1+('main page'!$K$35/100))^V341-$AG$4*(1+('main page'!$K$35/100))^V340,$AG$4*(1+('main page'!$G$8/100))*(1+('main page'!$K$35/100))^V341-$AG$4*(1+('main page'!$G$8/100))*(1+('main page'!$K$35/100))^V340)</f>
        <v>0</v>
      </c>
      <c r="V341" s="73">
        <v>333</v>
      </c>
      <c r="W341" s="40">
        <f>'normal case'!V340</f>
        <v>0</v>
      </c>
      <c r="X341" s="40">
        <f>'normal case'!W340</f>
        <v>0</v>
      </c>
      <c r="Y341" s="49">
        <f ca="1">IF(controls!$B$33=1,E341-($J$4-'main page'!$K$27*2)*(1+('main page'!$K$35/100))^A340,E341-$AG$5)</f>
        <v>0</v>
      </c>
      <c r="Z341" s="49">
        <f ca="1">ABS(M341-(controls!$B$9/100)*100)</f>
        <v>0</v>
      </c>
      <c r="AI341" s="40"/>
      <c r="AJ341" s="40"/>
    </row>
    <row r="342" spans="1:36">
      <c r="A342" s="48">
        <v>339</v>
      </c>
      <c r="B342" s="75">
        <f ca="1">IF(controls!$B$6=2,AVERAGE(E338:E341)+B341*W342+hystere!$AG$9,AVERAGE(E338:E341)+B341*W342)</f>
        <v>100</v>
      </c>
      <c r="C342" s="80">
        <f t="shared" ca="1" si="31"/>
        <v>0</v>
      </c>
      <c r="D342" s="105">
        <f t="shared" ca="1" si="32"/>
        <v>0</v>
      </c>
      <c r="E342" s="77">
        <f t="shared" ca="1" si="33"/>
        <v>100</v>
      </c>
      <c r="F342" s="77">
        <f ca="1">IF('main page'!$K$34=1,hystere!H342,hystere!G342)</f>
        <v>100</v>
      </c>
      <c r="G342" s="94">
        <f ca="1">I342-'main page'!$K$27*hystere!N341</f>
        <v>100</v>
      </c>
      <c r="H342" s="75">
        <f ca="1">J342-'main page'!$K$27*N341</f>
        <v>100</v>
      </c>
      <c r="I342" s="75">
        <f t="shared" ca="1" si="28"/>
        <v>108</v>
      </c>
      <c r="J342" s="75">
        <f t="shared" ca="1" si="29"/>
        <v>108</v>
      </c>
      <c r="M342" s="75">
        <f ca="1">IF(ABS('main page'!$K$29*M341+(1-'main page'!$K$29)*(controls!$B$9/100)*100+'main page'!$K$25*(E342-B342)-M341)&lt;0.0000001,M341,'main page'!$K$29*M341+(1-'main page'!$K$29)*(controls!$B$9/100)*100+'main page'!$K$25*(E342-B342))</f>
        <v>2</v>
      </c>
      <c r="N342" s="75">
        <f ca="1">IF(controls!$B$10=1,N341,O342-'main page'!$K$29*M342-(1-'main page'!$K$29)*controls!$B$9)</f>
        <v>4</v>
      </c>
      <c r="O342" s="74">
        <f t="shared" ca="1" si="30"/>
        <v>6</v>
      </c>
      <c r="P342" s="76">
        <f ca="1">IF(controls!$B$10=1,hystere!N342+hystere!M342,hystere!Q342)</f>
        <v>6</v>
      </c>
      <c r="Q342" s="74">
        <f ca="1">IF('main page'!$Y$53=1,'choose m.p.'!$I$22*100,R342)</f>
        <v>6</v>
      </c>
      <c r="R342" s="100">
        <f ca="1">'main page'!$K$29*M342+(1-'main page'!$K$29)*controls!$B$9+S342+(('main page'!$K$25*'main page'!$U$13*'main page'!$K$29)/('main page'!$K$27*(1+('main page'!$K$25^2)*'main page'!$U$13)))*(M342-(controls!$B$9/100)*100)</f>
        <v>6</v>
      </c>
      <c r="S342" s="98">
        <f ca="1">IF(controls!$B$33=1,(J343-E342*X343-B342)/'main page'!$K$27,(I343-E342*X343-B342)/'main page'!$K$27)</f>
        <v>4</v>
      </c>
      <c r="U342" s="71">
        <f>IF(controls!$B$6=1,$AG$4*(1+('main page'!$K$35/100))^V342-$AG$4*(1+('main page'!$K$35/100))^V341,$AG$4*(1+('main page'!$G$8/100))*(1+('main page'!$K$35/100))^V342-$AG$4*(1+('main page'!$G$8/100))*(1+('main page'!$K$35/100))^V341)</f>
        <v>0</v>
      </c>
      <c r="V342" s="73">
        <v>334</v>
      </c>
      <c r="W342" s="40">
        <f ca="1">'normal case'!V341</f>
        <v>0</v>
      </c>
      <c r="X342" s="40">
        <f ca="1">'normal case'!W341</f>
        <v>0</v>
      </c>
      <c r="Y342" s="49">
        <f ca="1">IF(controls!$B$33=1,E342-($J$4-'main page'!$K$27*2)*(1+('main page'!$K$35/100))^A341,E342-$AG$5)</f>
        <v>0</v>
      </c>
      <c r="Z342" s="49">
        <f ca="1">ABS(M342-(controls!$B$9/100)*100)</f>
        <v>0</v>
      </c>
      <c r="AI342" s="40"/>
      <c r="AJ342" s="40"/>
    </row>
    <row r="343" spans="1:36">
      <c r="A343" s="48">
        <v>340</v>
      </c>
      <c r="B343" s="75">
        <f ca="1">IF(controls!$B$6=2,AVERAGE(E339:E342)+B342*W343+hystere!$AG$9,AVERAGE(E339:E342)+B342*W343)</f>
        <v>100</v>
      </c>
      <c r="C343" s="80">
        <f t="shared" ca="1" si="31"/>
        <v>0</v>
      </c>
      <c r="D343" s="105">
        <f t="shared" ca="1" si="32"/>
        <v>0</v>
      </c>
      <c r="E343" s="77">
        <f t="shared" ca="1" si="33"/>
        <v>100</v>
      </c>
      <c r="F343" s="77">
        <f ca="1">IF('main page'!$K$34=1,hystere!H343,hystere!G343)</f>
        <v>100</v>
      </c>
      <c r="G343" s="94">
        <f ca="1">I343-'main page'!$K$27*hystere!N342</f>
        <v>100</v>
      </c>
      <c r="H343" s="75">
        <f ca="1">J343-'main page'!$K$27*N342</f>
        <v>100</v>
      </c>
      <c r="I343" s="75">
        <f t="shared" ca="1" si="28"/>
        <v>108</v>
      </c>
      <c r="J343" s="75">
        <f t="shared" ca="1" si="29"/>
        <v>108</v>
      </c>
      <c r="M343" s="75">
        <f ca="1">IF(ABS('main page'!$K$29*M342+(1-'main page'!$K$29)*(controls!$B$9/100)*100+'main page'!$K$25*(E343-B343)-M342)&lt;0.0000001,M342,'main page'!$K$29*M342+(1-'main page'!$K$29)*(controls!$B$9/100)*100+'main page'!$K$25*(E343-B343))</f>
        <v>2</v>
      </c>
      <c r="N343" s="75">
        <f ca="1">IF(controls!$B$10=1,N342,O343-'main page'!$K$29*M343-(1-'main page'!$K$29)*controls!$B$9)</f>
        <v>4</v>
      </c>
      <c r="O343" s="74">
        <f t="shared" ca="1" si="30"/>
        <v>6</v>
      </c>
      <c r="P343" s="76">
        <f ca="1">IF(controls!$B$10=1,hystere!N343+hystere!M343,hystere!Q343)</f>
        <v>6</v>
      </c>
      <c r="Q343" s="74">
        <f ca="1">IF('main page'!$Y$53=1,'choose m.p.'!$I$22*100,R343)</f>
        <v>6</v>
      </c>
      <c r="R343" s="100">
        <f ca="1">'main page'!$K$29*M343+(1-'main page'!$K$29)*controls!$B$9+S343+(('main page'!$K$25*'main page'!$U$13*'main page'!$K$29)/('main page'!$K$27*(1+('main page'!$K$25^2)*'main page'!$U$13)))*(M343-(controls!$B$9/100)*100)</f>
        <v>6</v>
      </c>
      <c r="S343" s="98">
        <f ca="1">IF(controls!$B$33=1,(J344-E343*X344-B343)/'main page'!$K$27,(I344-E343*X344-B343)/'main page'!$K$27)</f>
        <v>4</v>
      </c>
      <c r="U343" s="71">
        <f>IF(controls!$B$6=1,$AG$4*(1+('main page'!$K$35/100))^V343-$AG$4*(1+('main page'!$K$35/100))^V342,$AG$4*(1+('main page'!$G$8/100))*(1+('main page'!$K$35/100))^V343-$AG$4*(1+('main page'!$G$8/100))*(1+('main page'!$K$35/100))^V342)</f>
        <v>0</v>
      </c>
      <c r="V343" s="73">
        <v>335</v>
      </c>
      <c r="W343" s="40">
        <f>'normal case'!V342</f>
        <v>0</v>
      </c>
      <c r="X343" s="40">
        <f>'normal case'!W342</f>
        <v>0</v>
      </c>
      <c r="Y343" s="49">
        <f ca="1">IF(controls!$B$33=1,E343-($J$4-'main page'!$K$27*2)*(1+('main page'!$K$35/100))^A342,E343-$AG$5)</f>
        <v>0</v>
      </c>
      <c r="Z343" s="49">
        <f ca="1">ABS(M343-(controls!$B$9/100)*100)</f>
        <v>0</v>
      </c>
      <c r="AI343" s="40"/>
      <c r="AJ343" s="40"/>
    </row>
    <row r="344" spans="1:36">
      <c r="A344" s="48">
        <v>341</v>
      </c>
      <c r="B344" s="75">
        <f ca="1">IF(controls!$B$6=2,AVERAGE(E340:E343)+B343*W344+hystere!$AG$9,AVERAGE(E340:E343)+B343*W344)</f>
        <v>100</v>
      </c>
      <c r="C344" s="80">
        <f t="shared" ca="1" si="31"/>
        <v>0</v>
      </c>
      <c r="D344" s="105">
        <f t="shared" ca="1" si="32"/>
        <v>0</v>
      </c>
      <c r="E344" s="77">
        <f t="shared" ca="1" si="33"/>
        <v>100</v>
      </c>
      <c r="F344" s="77">
        <f ca="1">IF('main page'!$K$34=1,hystere!H344,hystere!G344)</f>
        <v>100</v>
      </c>
      <c r="G344" s="94">
        <f ca="1">I344-'main page'!$K$27*hystere!N343</f>
        <v>100</v>
      </c>
      <c r="H344" s="75">
        <f ca="1">J344-'main page'!$K$27*N343</f>
        <v>100</v>
      </c>
      <c r="I344" s="75">
        <f t="shared" ca="1" si="28"/>
        <v>108</v>
      </c>
      <c r="J344" s="75">
        <f t="shared" ca="1" si="29"/>
        <v>108</v>
      </c>
      <c r="M344" s="75">
        <f ca="1">IF(ABS('main page'!$K$29*M343+(1-'main page'!$K$29)*(controls!$B$9/100)*100+'main page'!$K$25*(E344-B344)-M343)&lt;0.0000001,M343,'main page'!$K$29*M343+(1-'main page'!$K$29)*(controls!$B$9/100)*100+'main page'!$K$25*(E344-B344))</f>
        <v>2</v>
      </c>
      <c r="N344" s="75">
        <f ca="1">IF(controls!$B$10=1,N343,O344-'main page'!$K$29*M344-(1-'main page'!$K$29)*controls!$B$9)</f>
        <v>4</v>
      </c>
      <c r="O344" s="74">
        <f t="shared" ca="1" si="30"/>
        <v>6</v>
      </c>
      <c r="P344" s="76">
        <f ca="1">IF(controls!$B$10=1,hystere!N344+hystere!M344,hystere!Q344)</f>
        <v>6</v>
      </c>
      <c r="Q344" s="74">
        <f ca="1">IF('main page'!$Y$53=1,'choose m.p.'!$I$22*100,R344)</f>
        <v>6</v>
      </c>
      <c r="R344" s="100">
        <f ca="1">'main page'!$K$29*M344+(1-'main page'!$K$29)*controls!$B$9+S344+(('main page'!$K$25*'main page'!$U$13*'main page'!$K$29)/('main page'!$K$27*(1+('main page'!$K$25^2)*'main page'!$U$13)))*(M344-(controls!$B$9/100)*100)</f>
        <v>6</v>
      </c>
      <c r="S344" s="98">
        <f ca="1">IF(controls!$B$33=1,(J345-E344*X345-B344)/'main page'!$K$27,(I345-E344*X345-B344)/'main page'!$K$27)</f>
        <v>4</v>
      </c>
      <c r="U344" s="71">
        <f>IF(controls!$B$6=1,$AG$4*(1+('main page'!$K$35/100))^V344-$AG$4*(1+('main page'!$K$35/100))^V343,$AG$4*(1+('main page'!$G$8/100))*(1+('main page'!$K$35/100))^V344-$AG$4*(1+('main page'!$G$8/100))*(1+('main page'!$K$35/100))^V343)</f>
        <v>0</v>
      </c>
      <c r="V344" s="73">
        <v>336</v>
      </c>
      <c r="W344" s="40">
        <f>'normal case'!V343</f>
        <v>0</v>
      </c>
      <c r="X344" s="40">
        <f>'normal case'!W343</f>
        <v>0</v>
      </c>
      <c r="Y344" s="49">
        <f ca="1">IF(controls!$B$33=1,E344-($J$4-'main page'!$K$27*2)*(1+('main page'!$K$35/100))^A343,E344-$AG$5)</f>
        <v>0</v>
      </c>
      <c r="Z344" s="49">
        <f ca="1">ABS(M344-(controls!$B$9/100)*100)</f>
        <v>0</v>
      </c>
      <c r="AI344" s="40"/>
      <c r="AJ344" s="40"/>
    </row>
    <row r="345" spans="1:36">
      <c r="A345" s="48">
        <v>342</v>
      </c>
      <c r="B345" s="75">
        <f ca="1">IF(controls!$B$6=2,AVERAGE(E341:E344)+B344*W345+hystere!$AG$9,AVERAGE(E341:E344)+B344*W345)</f>
        <v>100</v>
      </c>
      <c r="C345" s="80">
        <f t="shared" ca="1" si="31"/>
        <v>0</v>
      </c>
      <c r="D345" s="105">
        <f t="shared" ca="1" si="32"/>
        <v>0</v>
      </c>
      <c r="E345" s="77">
        <f t="shared" ca="1" si="33"/>
        <v>100</v>
      </c>
      <c r="F345" s="77">
        <f ca="1">IF('main page'!$K$34=1,hystere!H345,hystere!G345)</f>
        <v>100</v>
      </c>
      <c r="G345" s="94">
        <f ca="1">I345-'main page'!$K$27*hystere!N344</f>
        <v>100</v>
      </c>
      <c r="H345" s="75">
        <f ca="1">J345-'main page'!$K$27*N344</f>
        <v>100</v>
      </c>
      <c r="I345" s="75">
        <f t="shared" ref="I345:I408" ca="1" si="34">I344+E344*X345</f>
        <v>108</v>
      </c>
      <c r="J345" s="75">
        <f t="shared" ref="J345:J408" ca="1" si="35">J344+E344*X345+U345</f>
        <v>108</v>
      </c>
      <c r="M345" s="75">
        <f ca="1">IF(ABS('main page'!$K$29*M344+(1-'main page'!$K$29)*(controls!$B$9/100)*100+'main page'!$K$25*(E345-B345)-M344)&lt;0.0000001,M344,'main page'!$K$29*M344+(1-'main page'!$K$29)*(controls!$B$9/100)*100+'main page'!$K$25*(E345-B345))</f>
        <v>2</v>
      </c>
      <c r="N345" s="75">
        <f ca="1">IF(controls!$B$10=1,N344,O345-'main page'!$K$29*M345-(1-'main page'!$K$29)*controls!$B$9)</f>
        <v>4</v>
      </c>
      <c r="O345" s="74">
        <f t="shared" ca="1" si="30"/>
        <v>6</v>
      </c>
      <c r="P345" s="76">
        <f ca="1">IF(controls!$B$10=1,hystere!N345+hystere!M345,hystere!Q345)</f>
        <v>6</v>
      </c>
      <c r="Q345" s="74">
        <f ca="1">IF('main page'!$Y$53=1,'choose m.p.'!$I$22*100,R345)</f>
        <v>6</v>
      </c>
      <c r="R345" s="100">
        <f ca="1">'main page'!$K$29*M345+(1-'main page'!$K$29)*controls!$B$9+S345+(('main page'!$K$25*'main page'!$U$13*'main page'!$K$29)/('main page'!$K$27*(1+('main page'!$K$25^2)*'main page'!$U$13)))*(M345-(controls!$B$9/100)*100)</f>
        <v>6</v>
      </c>
      <c r="S345" s="98">
        <f ca="1">IF(controls!$B$33=1,(J346-E345*X346-B345)/'main page'!$K$27,(I346-E345*X346-B345)/'main page'!$K$27)</f>
        <v>4</v>
      </c>
      <c r="U345" s="71">
        <f>IF(controls!$B$6=1,$AG$4*(1+('main page'!$K$35/100))^V345-$AG$4*(1+('main page'!$K$35/100))^V344,$AG$4*(1+('main page'!$G$8/100))*(1+('main page'!$K$35/100))^V345-$AG$4*(1+('main page'!$G$8/100))*(1+('main page'!$K$35/100))^V344)</f>
        <v>0</v>
      </c>
      <c r="V345" s="73">
        <v>337</v>
      </c>
      <c r="W345" s="40">
        <f ca="1">'normal case'!V344</f>
        <v>0</v>
      </c>
      <c r="X345" s="40">
        <f ca="1">'normal case'!W344</f>
        <v>0</v>
      </c>
      <c r="Y345" s="49">
        <f ca="1">IF(controls!$B$33=1,E345-($J$4-'main page'!$K$27*2)*(1+('main page'!$K$35/100))^A344,E345-$AG$5)</f>
        <v>0</v>
      </c>
      <c r="Z345" s="49">
        <f ca="1">ABS(M345-(controls!$B$9/100)*100)</f>
        <v>0</v>
      </c>
      <c r="AI345" s="40"/>
      <c r="AJ345" s="40"/>
    </row>
    <row r="346" spans="1:36">
      <c r="A346" s="48">
        <v>343</v>
      </c>
      <c r="B346" s="75">
        <f ca="1">IF(controls!$B$6=2,AVERAGE(E342:E345)+B345*W346+hystere!$AG$9,AVERAGE(E342:E345)+B345*W346)</f>
        <v>100</v>
      </c>
      <c r="C346" s="80">
        <f t="shared" ca="1" si="31"/>
        <v>0</v>
      </c>
      <c r="D346" s="105">
        <f t="shared" ca="1" si="32"/>
        <v>0</v>
      </c>
      <c r="E346" s="77">
        <f t="shared" ca="1" si="33"/>
        <v>100</v>
      </c>
      <c r="F346" s="77">
        <f ca="1">IF('main page'!$K$34=1,hystere!H346,hystere!G346)</f>
        <v>100</v>
      </c>
      <c r="G346" s="94">
        <f ca="1">I346-'main page'!$K$27*hystere!N345</f>
        <v>100</v>
      </c>
      <c r="H346" s="75">
        <f ca="1">J346-'main page'!$K$27*N345</f>
        <v>100</v>
      </c>
      <c r="I346" s="75">
        <f t="shared" ca="1" si="34"/>
        <v>108</v>
      </c>
      <c r="J346" s="75">
        <f t="shared" ca="1" si="35"/>
        <v>108</v>
      </c>
      <c r="M346" s="75">
        <f ca="1">IF(ABS('main page'!$K$29*M345+(1-'main page'!$K$29)*(controls!$B$9/100)*100+'main page'!$K$25*(E346-B346)-M345)&lt;0.0000001,M345,'main page'!$K$29*M345+(1-'main page'!$K$29)*(controls!$B$9/100)*100+'main page'!$K$25*(E346-B346))</f>
        <v>2</v>
      </c>
      <c r="N346" s="75">
        <f ca="1">IF(controls!$B$10=1,N345,O346-'main page'!$K$29*M346-(1-'main page'!$K$29)*controls!$B$9)</f>
        <v>4</v>
      </c>
      <c r="O346" s="74">
        <f t="shared" ca="1" si="30"/>
        <v>6</v>
      </c>
      <c r="P346" s="76">
        <f ca="1">IF(controls!$B$10=1,hystere!N346+hystere!M346,hystere!Q346)</f>
        <v>6</v>
      </c>
      <c r="Q346" s="74">
        <f ca="1">IF('main page'!$Y$53=1,'choose m.p.'!$I$22*100,R346)</f>
        <v>6</v>
      </c>
      <c r="R346" s="100">
        <f ca="1">'main page'!$K$29*M346+(1-'main page'!$K$29)*controls!$B$9+S346+(('main page'!$K$25*'main page'!$U$13*'main page'!$K$29)/('main page'!$K$27*(1+('main page'!$K$25^2)*'main page'!$U$13)))*(M346-(controls!$B$9/100)*100)</f>
        <v>6</v>
      </c>
      <c r="S346" s="98">
        <f ca="1">IF(controls!$B$33=1,(J347-E346*X347-B346)/'main page'!$K$27,(I347-E346*X347-B346)/'main page'!$K$27)</f>
        <v>4</v>
      </c>
      <c r="U346" s="71">
        <f>IF(controls!$B$6=1,$AG$4*(1+('main page'!$K$35/100))^V346-$AG$4*(1+('main page'!$K$35/100))^V345,$AG$4*(1+('main page'!$G$8/100))*(1+('main page'!$K$35/100))^V346-$AG$4*(1+('main page'!$G$8/100))*(1+('main page'!$K$35/100))^V345)</f>
        <v>0</v>
      </c>
      <c r="V346" s="73">
        <v>338</v>
      </c>
      <c r="W346" s="40">
        <f>'normal case'!V345</f>
        <v>0</v>
      </c>
      <c r="X346" s="40">
        <f>'normal case'!W345</f>
        <v>0</v>
      </c>
      <c r="Y346" s="49">
        <f ca="1">IF(controls!$B$33=1,E346-($J$4-'main page'!$K$27*2)*(1+('main page'!$K$35/100))^A345,E346-$AG$5)</f>
        <v>0</v>
      </c>
      <c r="Z346" s="49">
        <f ca="1">ABS(M346-(controls!$B$9/100)*100)</f>
        <v>0</v>
      </c>
      <c r="AI346" s="40"/>
      <c r="AJ346" s="40"/>
    </row>
    <row r="347" spans="1:36">
      <c r="A347" s="48">
        <v>344</v>
      </c>
      <c r="B347" s="75">
        <f ca="1">IF(controls!$B$6=2,AVERAGE(E343:E346)+B346*W347+hystere!$AG$9,AVERAGE(E343:E346)+B346*W347)</f>
        <v>100</v>
      </c>
      <c r="C347" s="80">
        <f t="shared" ca="1" si="31"/>
        <v>0</v>
      </c>
      <c r="D347" s="105">
        <f t="shared" ca="1" si="32"/>
        <v>0</v>
      </c>
      <c r="E347" s="77">
        <f t="shared" ca="1" si="33"/>
        <v>100</v>
      </c>
      <c r="F347" s="77">
        <f ca="1">IF('main page'!$K$34=1,hystere!H347,hystere!G347)</f>
        <v>100</v>
      </c>
      <c r="G347" s="94">
        <f ca="1">I347-'main page'!$K$27*hystere!N346</f>
        <v>100</v>
      </c>
      <c r="H347" s="75">
        <f ca="1">J347-'main page'!$K$27*N346</f>
        <v>100</v>
      </c>
      <c r="I347" s="75">
        <f t="shared" ca="1" si="34"/>
        <v>108</v>
      </c>
      <c r="J347" s="75">
        <f t="shared" ca="1" si="35"/>
        <v>108</v>
      </c>
      <c r="M347" s="75">
        <f ca="1">IF(ABS('main page'!$K$29*M346+(1-'main page'!$K$29)*(controls!$B$9/100)*100+'main page'!$K$25*(E347-B347)-M346)&lt;0.0000001,M346,'main page'!$K$29*M346+(1-'main page'!$K$29)*(controls!$B$9/100)*100+'main page'!$K$25*(E347-B347))</f>
        <v>2</v>
      </c>
      <c r="N347" s="75">
        <f ca="1">IF(controls!$B$10=1,N346,O347-'main page'!$K$29*M347-(1-'main page'!$K$29)*controls!$B$9)</f>
        <v>4</v>
      </c>
      <c r="O347" s="74">
        <f t="shared" ca="1" si="30"/>
        <v>6</v>
      </c>
      <c r="P347" s="76">
        <f ca="1">IF(controls!$B$10=1,hystere!N347+hystere!M347,hystere!Q347)</f>
        <v>6</v>
      </c>
      <c r="Q347" s="74">
        <f ca="1">IF('main page'!$Y$53=1,'choose m.p.'!$I$22*100,R347)</f>
        <v>6</v>
      </c>
      <c r="R347" s="100">
        <f ca="1">'main page'!$K$29*M347+(1-'main page'!$K$29)*controls!$B$9+S347+(('main page'!$K$25*'main page'!$U$13*'main page'!$K$29)/('main page'!$K$27*(1+('main page'!$K$25^2)*'main page'!$U$13)))*(M347-(controls!$B$9/100)*100)</f>
        <v>6</v>
      </c>
      <c r="S347" s="98">
        <f ca="1">IF(controls!$B$33=1,(J348-E347*X348-B347)/'main page'!$K$27,(I348-E347*X348-B347)/'main page'!$K$27)</f>
        <v>4</v>
      </c>
      <c r="U347" s="71">
        <f>IF(controls!$B$6=1,$AG$4*(1+('main page'!$K$35/100))^V347-$AG$4*(1+('main page'!$K$35/100))^V346,$AG$4*(1+('main page'!$G$8/100))*(1+('main page'!$K$35/100))^V347-$AG$4*(1+('main page'!$G$8/100))*(1+('main page'!$K$35/100))^V346)</f>
        <v>0</v>
      </c>
      <c r="V347" s="73">
        <v>339</v>
      </c>
      <c r="W347" s="40">
        <f>'normal case'!V346</f>
        <v>0</v>
      </c>
      <c r="X347" s="40">
        <f>'normal case'!W346</f>
        <v>0</v>
      </c>
      <c r="Y347" s="49">
        <f ca="1">IF(controls!$B$33=1,E347-($J$4-'main page'!$K$27*2)*(1+('main page'!$K$35/100))^A346,E347-$AG$5)</f>
        <v>0</v>
      </c>
      <c r="Z347" s="49">
        <f ca="1">ABS(M347-(controls!$B$9/100)*100)</f>
        <v>0</v>
      </c>
      <c r="AI347" s="40"/>
      <c r="AJ347" s="40"/>
    </row>
    <row r="348" spans="1:36">
      <c r="A348" s="48">
        <v>345</v>
      </c>
      <c r="B348" s="75">
        <f ca="1">IF(controls!$B$6=2,AVERAGE(E344:E347)+B347*W348+hystere!$AG$9,AVERAGE(E344:E347)+B347*W348)</f>
        <v>100</v>
      </c>
      <c r="C348" s="80">
        <f t="shared" ca="1" si="31"/>
        <v>0</v>
      </c>
      <c r="D348" s="105">
        <f t="shared" ca="1" si="32"/>
        <v>0</v>
      </c>
      <c r="E348" s="77">
        <f t="shared" ca="1" si="33"/>
        <v>100</v>
      </c>
      <c r="F348" s="77">
        <f ca="1">IF('main page'!$K$34=1,hystere!H348,hystere!G348)</f>
        <v>100</v>
      </c>
      <c r="G348" s="94">
        <f ca="1">I348-'main page'!$K$27*hystere!N347</f>
        <v>100</v>
      </c>
      <c r="H348" s="75">
        <f ca="1">J348-'main page'!$K$27*N347</f>
        <v>100</v>
      </c>
      <c r="I348" s="75">
        <f t="shared" ca="1" si="34"/>
        <v>108</v>
      </c>
      <c r="J348" s="75">
        <f t="shared" ca="1" si="35"/>
        <v>108</v>
      </c>
      <c r="M348" s="75">
        <f ca="1">IF(ABS('main page'!$K$29*M347+(1-'main page'!$K$29)*(controls!$B$9/100)*100+'main page'!$K$25*(E348-B348)-M347)&lt;0.0000001,M347,'main page'!$K$29*M347+(1-'main page'!$K$29)*(controls!$B$9/100)*100+'main page'!$K$25*(E348-B348))</f>
        <v>2</v>
      </c>
      <c r="N348" s="75">
        <f ca="1">IF(controls!$B$10=1,N347,O348-'main page'!$K$29*M348-(1-'main page'!$K$29)*controls!$B$9)</f>
        <v>4</v>
      </c>
      <c r="O348" s="74">
        <f t="shared" ca="1" si="30"/>
        <v>6</v>
      </c>
      <c r="P348" s="76">
        <f ca="1">IF(controls!$B$10=1,hystere!N348+hystere!M348,hystere!Q348)</f>
        <v>6</v>
      </c>
      <c r="Q348" s="74">
        <f ca="1">IF('main page'!$Y$53=1,'choose m.p.'!$I$22*100,R348)</f>
        <v>6</v>
      </c>
      <c r="R348" s="100">
        <f ca="1">'main page'!$K$29*M348+(1-'main page'!$K$29)*controls!$B$9+S348+(('main page'!$K$25*'main page'!$U$13*'main page'!$K$29)/('main page'!$K$27*(1+('main page'!$K$25^2)*'main page'!$U$13)))*(M348-(controls!$B$9/100)*100)</f>
        <v>6</v>
      </c>
      <c r="S348" s="98">
        <f ca="1">IF(controls!$B$33=1,(J349-E348*X349-B348)/'main page'!$K$27,(I349-E348*X349-B348)/'main page'!$K$27)</f>
        <v>4</v>
      </c>
      <c r="U348" s="71">
        <f>IF(controls!$B$6=1,$AG$4*(1+('main page'!$K$35/100))^V348-$AG$4*(1+('main page'!$K$35/100))^V347,$AG$4*(1+('main page'!$G$8/100))*(1+('main page'!$K$35/100))^V348-$AG$4*(1+('main page'!$G$8/100))*(1+('main page'!$K$35/100))^V347)</f>
        <v>0</v>
      </c>
      <c r="V348" s="73">
        <v>340</v>
      </c>
      <c r="W348" s="40">
        <f ca="1">'normal case'!V347</f>
        <v>0</v>
      </c>
      <c r="X348" s="40">
        <f ca="1">'normal case'!W347</f>
        <v>0</v>
      </c>
      <c r="Y348" s="49">
        <f ca="1">IF(controls!$B$33=1,E348-($J$4-'main page'!$K$27*2)*(1+('main page'!$K$35/100))^A347,E348-$AG$5)</f>
        <v>0</v>
      </c>
      <c r="Z348" s="49">
        <f ca="1">ABS(M348-(controls!$B$9/100)*100)</f>
        <v>0</v>
      </c>
      <c r="AI348" s="40"/>
      <c r="AJ348" s="40"/>
    </row>
    <row r="349" spans="1:36">
      <c r="A349" s="48">
        <v>346</v>
      </c>
      <c r="B349" s="75">
        <f ca="1">IF(controls!$B$6=2,AVERAGE(E345:E348)+B348*W349+hystere!$AG$9,AVERAGE(E345:E348)+B348*W349)</f>
        <v>100</v>
      </c>
      <c r="C349" s="80">
        <f t="shared" ca="1" si="31"/>
        <v>0</v>
      </c>
      <c r="D349" s="105">
        <f t="shared" ca="1" si="32"/>
        <v>0</v>
      </c>
      <c r="E349" s="77">
        <f t="shared" ca="1" si="33"/>
        <v>100</v>
      </c>
      <c r="F349" s="77">
        <f ca="1">IF('main page'!$K$34=1,hystere!H349,hystere!G349)</f>
        <v>100</v>
      </c>
      <c r="G349" s="94">
        <f ca="1">I349-'main page'!$K$27*hystere!N348</f>
        <v>100</v>
      </c>
      <c r="H349" s="75">
        <f ca="1">J349-'main page'!$K$27*N348</f>
        <v>100</v>
      </c>
      <c r="I349" s="75">
        <f t="shared" ca="1" si="34"/>
        <v>108</v>
      </c>
      <c r="J349" s="75">
        <f t="shared" ca="1" si="35"/>
        <v>108</v>
      </c>
      <c r="M349" s="75">
        <f ca="1">IF(ABS('main page'!$K$29*M348+(1-'main page'!$K$29)*(controls!$B$9/100)*100+'main page'!$K$25*(E349-B349)-M348)&lt;0.0000001,M348,'main page'!$K$29*M348+(1-'main page'!$K$29)*(controls!$B$9/100)*100+'main page'!$K$25*(E349-B349))</f>
        <v>2</v>
      </c>
      <c r="N349" s="75">
        <f ca="1">IF(controls!$B$10=1,N348,O349-'main page'!$K$29*M349-(1-'main page'!$K$29)*controls!$B$9)</f>
        <v>4</v>
      </c>
      <c r="O349" s="74">
        <f t="shared" ca="1" si="30"/>
        <v>6</v>
      </c>
      <c r="P349" s="76">
        <f ca="1">IF(controls!$B$10=1,hystere!N349+hystere!M349,hystere!Q349)</f>
        <v>6</v>
      </c>
      <c r="Q349" s="74">
        <f ca="1">IF('main page'!$Y$53=1,'choose m.p.'!$I$22*100,R349)</f>
        <v>6</v>
      </c>
      <c r="R349" s="100">
        <f ca="1">'main page'!$K$29*M349+(1-'main page'!$K$29)*controls!$B$9+S349+(('main page'!$K$25*'main page'!$U$13*'main page'!$K$29)/('main page'!$K$27*(1+('main page'!$K$25^2)*'main page'!$U$13)))*(M349-(controls!$B$9/100)*100)</f>
        <v>6</v>
      </c>
      <c r="S349" s="98">
        <f ca="1">IF(controls!$B$33=1,(J350-E349*X350-B349)/'main page'!$K$27,(I350-E349*X350-B349)/'main page'!$K$27)</f>
        <v>4</v>
      </c>
      <c r="U349" s="71">
        <f>IF(controls!$B$6=1,$AG$4*(1+('main page'!$K$35/100))^V349-$AG$4*(1+('main page'!$K$35/100))^V348,$AG$4*(1+('main page'!$G$8/100))*(1+('main page'!$K$35/100))^V349-$AG$4*(1+('main page'!$G$8/100))*(1+('main page'!$K$35/100))^V348)</f>
        <v>0</v>
      </c>
      <c r="V349" s="73">
        <v>341</v>
      </c>
      <c r="W349" s="40">
        <f>'normal case'!V348</f>
        <v>0</v>
      </c>
      <c r="X349" s="40">
        <f>'normal case'!W348</f>
        <v>0</v>
      </c>
      <c r="Y349" s="49">
        <f ca="1">IF(controls!$B$33=1,E349-($J$4-'main page'!$K$27*2)*(1+('main page'!$K$35/100))^A348,E349-$AG$5)</f>
        <v>0</v>
      </c>
      <c r="Z349" s="49">
        <f ca="1">ABS(M349-(controls!$B$9/100)*100)</f>
        <v>0</v>
      </c>
      <c r="AI349" s="40"/>
      <c r="AJ349" s="40"/>
    </row>
    <row r="350" spans="1:36">
      <c r="A350" s="48">
        <v>347</v>
      </c>
      <c r="B350" s="75">
        <f ca="1">IF(controls!$B$6=2,AVERAGE(E346:E349)+B349*W350+hystere!$AG$9,AVERAGE(E346:E349)+B349*W350)</f>
        <v>100</v>
      </c>
      <c r="C350" s="80">
        <f t="shared" ca="1" si="31"/>
        <v>0</v>
      </c>
      <c r="D350" s="105">
        <f t="shared" ca="1" si="32"/>
        <v>0</v>
      </c>
      <c r="E350" s="77">
        <f t="shared" ca="1" si="33"/>
        <v>100</v>
      </c>
      <c r="F350" s="77">
        <f ca="1">IF('main page'!$K$34=1,hystere!H350,hystere!G350)</f>
        <v>100</v>
      </c>
      <c r="G350" s="94">
        <f ca="1">I350-'main page'!$K$27*hystere!N349</f>
        <v>100</v>
      </c>
      <c r="H350" s="75">
        <f ca="1">J350-'main page'!$K$27*N349</f>
        <v>100</v>
      </c>
      <c r="I350" s="75">
        <f t="shared" ca="1" si="34"/>
        <v>108</v>
      </c>
      <c r="J350" s="75">
        <f t="shared" ca="1" si="35"/>
        <v>108</v>
      </c>
      <c r="M350" s="75">
        <f ca="1">IF(ABS('main page'!$K$29*M349+(1-'main page'!$K$29)*(controls!$B$9/100)*100+'main page'!$K$25*(E350-B350)-M349)&lt;0.0000001,M349,'main page'!$K$29*M349+(1-'main page'!$K$29)*(controls!$B$9/100)*100+'main page'!$K$25*(E350-B350))</f>
        <v>2</v>
      </c>
      <c r="N350" s="75">
        <f ca="1">IF(controls!$B$10=1,N349,O350-'main page'!$K$29*M350-(1-'main page'!$K$29)*controls!$B$9)</f>
        <v>4</v>
      </c>
      <c r="O350" s="74">
        <f t="shared" ca="1" si="30"/>
        <v>6</v>
      </c>
      <c r="P350" s="76">
        <f ca="1">IF(controls!$B$10=1,hystere!N350+hystere!M350,hystere!Q350)</f>
        <v>6</v>
      </c>
      <c r="Q350" s="74">
        <f ca="1">IF('main page'!$Y$53=1,'choose m.p.'!$I$22*100,R350)</f>
        <v>6</v>
      </c>
      <c r="R350" s="100">
        <f ca="1">'main page'!$K$29*M350+(1-'main page'!$K$29)*controls!$B$9+S350+(('main page'!$K$25*'main page'!$U$13*'main page'!$K$29)/('main page'!$K$27*(1+('main page'!$K$25^2)*'main page'!$U$13)))*(M350-(controls!$B$9/100)*100)</f>
        <v>6</v>
      </c>
      <c r="S350" s="98">
        <f ca="1">IF(controls!$B$33=1,(J351-E350*X351-B350)/'main page'!$K$27,(I351-E350*X351-B350)/'main page'!$K$27)</f>
        <v>4</v>
      </c>
      <c r="U350" s="71">
        <f>IF(controls!$B$6=1,$AG$4*(1+('main page'!$K$35/100))^V350-$AG$4*(1+('main page'!$K$35/100))^V349,$AG$4*(1+('main page'!$G$8/100))*(1+('main page'!$K$35/100))^V350-$AG$4*(1+('main page'!$G$8/100))*(1+('main page'!$K$35/100))^V349)</f>
        <v>0</v>
      </c>
      <c r="V350" s="73">
        <v>342</v>
      </c>
      <c r="W350" s="40">
        <f>'normal case'!V349</f>
        <v>0</v>
      </c>
      <c r="X350" s="40">
        <f>'normal case'!W349</f>
        <v>0</v>
      </c>
      <c r="Y350" s="49">
        <f ca="1">IF(controls!$B$33=1,E350-($J$4-'main page'!$K$27*2)*(1+('main page'!$K$35/100))^A349,E350-$AG$5)</f>
        <v>0</v>
      </c>
      <c r="Z350" s="49">
        <f ca="1">ABS(M350-(controls!$B$9/100)*100)</f>
        <v>0</v>
      </c>
      <c r="AI350" s="40"/>
      <c r="AJ350" s="40"/>
    </row>
    <row r="351" spans="1:36">
      <c r="A351" s="48">
        <v>348</v>
      </c>
      <c r="B351" s="75">
        <f ca="1">IF(controls!$B$6=2,AVERAGE(E347:E350)+B350*W351+hystere!$AG$9,AVERAGE(E347:E350)+B350*W351)</f>
        <v>100</v>
      </c>
      <c r="C351" s="80">
        <f t="shared" ca="1" si="31"/>
        <v>0</v>
      </c>
      <c r="D351" s="105">
        <f t="shared" ca="1" si="32"/>
        <v>0</v>
      </c>
      <c r="E351" s="77">
        <f t="shared" ca="1" si="33"/>
        <v>100</v>
      </c>
      <c r="F351" s="77">
        <f ca="1">IF('main page'!$K$34=1,hystere!H351,hystere!G351)</f>
        <v>100</v>
      </c>
      <c r="G351" s="94">
        <f ca="1">I351-'main page'!$K$27*hystere!N350</f>
        <v>100</v>
      </c>
      <c r="H351" s="75">
        <f ca="1">J351-'main page'!$K$27*N350</f>
        <v>100</v>
      </c>
      <c r="I351" s="75">
        <f t="shared" ca="1" si="34"/>
        <v>108</v>
      </c>
      <c r="J351" s="75">
        <f t="shared" ca="1" si="35"/>
        <v>108</v>
      </c>
      <c r="M351" s="75">
        <f ca="1">IF(ABS('main page'!$K$29*M350+(1-'main page'!$K$29)*(controls!$B$9/100)*100+'main page'!$K$25*(E351-B351)-M350)&lt;0.0000001,M350,'main page'!$K$29*M350+(1-'main page'!$K$29)*(controls!$B$9/100)*100+'main page'!$K$25*(E351-B351))</f>
        <v>2</v>
      </c>
      <c r="N351" s="75">
        <f ca="1">IF(controls!$B$10=1,N350,O351-'main page'!$K$29*M351-(1-'main page'!$K$29)*controls!$B$9)</f>
        <v>4</v>
      </c>
      <c r="O351" s="74">
        <f t="shared" ca="1" si="30"/>
        <v>6</v>
      </c>
      <c r="P351" s="76">
        <f ca="1">IF(controls!$B$10=1,hystere!N351+hystere!M351,hystere!Q351)</f>
        <v>6</v>
      </c>
      <c r="Q351" s="74">
        <f ca="1">IF('main page'!$Y$53=1,'choose m.p.'!$I$22*100,R351)</f>
        <v>6</v>
      </c>
      <c r="R351" s="100">
        <f ca="1">'main page'!$K$29*M351+(1-'main page'!$K$29)*controls!$B$9+S351+(('main page'!$K$25*'main page'!$U$13*'main page'!$K$29)/('main page'!$K$27*(1+('main page'!$K$25^2)*'main page'!$U$13)))*(M351-(controls!$B$9/100)*100)</f>
        <v>6</v>
      </c>
      <c r="S351" s="98">
        <f ca="1">IF(controls!$B$33=1,(J352-E351*X352-B351)/'main page'!$K$27,(I352-E351*X352-B351)/'main page'!$K$27)</f>
        <v>4</v>
      </c>
      <c r="U351" s="71">
        <f>IF(controls!$B$6=1,$AG$4*(1+('main page'!$K$35/100))^V351-$AG$4*(1+('main page'!$K$35/100))^V350,$AG$4*(1+('main page'!$G$8/100))*(1+('main page'!$K$35/100))^V351-$AG$4*(1+('main page'!$G$8/100))*(1+('main page'!$K$35/100))^V350)</f>
        <v>0</v>
      </c>
      <c r="V351" s="73">
        <v>343</v>
      </c>
      <c r="W351" s="40">
        <f ca="1">'normal case'!V350</f>
        <v>0</v>
      </c>
      <c r="X351" s="40">
        <f ca="1">'normal case'!W350</f>
        <v>0</v>
      </c>
      <c r="Y351" s="49">
        <f ca="1">IF(controls!$B$33=1,E351-($J$4-'main page'!$K$27*2)*(1+('main page'!$K$35/100))^A350,E351-$AG$5)</f>
        <v>0</v>
      </c>
      <c r="Z351" s="49">
        <f ca="1">ABS(M351-(controls!$B$9/100)*100)</f>
        <v>0</v>
      </c>
      <c r="AI351" s="40"/>
      <c r="AJ351" s="40"/>
    </row>
    <row r="352" spans="1:36">
      <c r="A352" s="48">
        <v>349</v>
      </c>
      <c r="B352" s="75">
        <f ca="1">IF(controls!$B$6=2,AVERAGE(E348:E351)+B351*W352+hystere!$AG$9,AVERAGE(E348:E351)+B351*W352)</f>
        <v>100</v>
      </c>
      <c r="C352" s="80">
        <f t="shared" ca="1" si="31"/>
        <v>0</v>
      </c>
      <c r="D352" s="105">
        <f t="shared" ca="1" si="32"/>
        <v>0</v>
      </c>
      <c r="E352" s="77">
        <f t="shared" ca="1" si="33"/>
        <v>100</v>
      </c>
      <c r="F352" s="77">
        <f ca="1">IF('main page'!$K$34=1,hystere!H352,hystere!G352)</f>
        <v>100</v>
      </c>
      <c r="G352" s="94">
        <f ca="1">I352-'main page'!$K$27*hystere!N351</f>
        <v>100</v>
      </c>
      <c r="H352" s="75">
        <f ca="1">J352-'main page'!$K$27*N351</f>
        <v>100</v>
      </c>
      <c r="I352" s="75">
        <f t="shared" ca="1" si="34"/>
        <v>108</v>
      </c>
      <c r="J352" s="75">
        <f t="shared" ca="1" si="35"/>
        <v>108</v>
      </c>
      <c r="M352" s="75">
        <f ca="1">IF(ABS('main page'!$K$29*M351+(1-'main page'!$K$29)*(controls!$B$9/100)*100+'main page'!$K$25*(E352-B352)-M351)&lt;0.0000001,M351,'main page'!$K$29*M351+(1-'main page'!$K$29)*(controls!$B$9/100)*100+'main page'!$K$25*(E352-B352))</f>
        <v>2</v>
      </c>
      <c r="N352" s="75">
        <f ca="1">IF(controls!$B$10=1,N351,O352-'main page'!$K$29*M352-(1-'main page'!$K$29)*controls!$B$9)</f>
        <v>4</v>
      </c>
      <c r="O352" s="74">
        <f t="shared" ca="1" si="30"/>
        <v>6</v>
      </c>
      <c r="P352" s="76">
        <f ca="1">IF(controls!$B$10=1,hystere!N352+hystere!M352,hystere!Q352)</f>
        <v>6</v>
      </c>
      <c r="Q352" s="74">
        <f ca="1">IF('main page'!$Y$53=1,'choose m.p.'!$I$22*100,R352)</f>
        <v>6</v>
      </c>
      <c r="R352" s="100">
        <f ca="1">'main page'!$K$29*M352+(1-'main page'!$K$29)*controls!$B$9+S352+(('main page'!$K$25*'main page'!$U$13*'main page'!$K$29)/('main page'!$K$27*(1+('main page'!$K$25^2)*'main page'!$U$13)))*(M352-(controls!$B$9/100)*100)</f>
        <v>6</v>
      </c>
      <c r="S352" s="98">
        <f ca="1">IF(controls!$B$33=1,(J353-E352*X353-B352)/'main page'!$K$27,(I353-E352*X353-B352)/'main page'!$K$27)</f>
        <v>4</v>
      </c>
      <c r="U352" s="71">
        <f>IF(controls!$B$6=1,$AG$4*(1+('main page'!$K$35/100))^V352-$AG$4*(1+('main page'!$K$35/100))^V351,$AG$4*(1+('main page'!$G$8/100))*(1+('main page'!$K$35/100))^V352-$AG$4*(1+('main page'!$G$8/100))*(1+('main page'!$K$35/100))^V351)</f>
        <v>0</v>
      </c>
      <c r="V352" s="73">
        <v>344</v>
      </c>
      <c r="W352" s="40">
        <f>'normal case'!V351</f>
        <v>0</v>
      </c>
      <c r="X352" s="40">
        <f>'normal case'!W351</f>
        <v>0</v>
      </c>
      <c r="Y352" s="49">
        <f ca="1">IF(controls!$B$33=1,E352-($J$4-'main page'!$K$27*2)*(1+('main page'!$K$35/100))^A351,E352-$AG$5)</f>
        <v>0</v>
      </c>
      <c r="Z352" s="49">
        <f ca="1">ABS(M352-(controls!$B$9/100)*100)</f>
        <v>0</v>
      </c>
      <c r="AI352" s="40"/>
      <c r="AJ352" s="40"/>
    </row>
    <row r="353" spans="1:36">
      <c r="A353" s="48">
        <v>350</v>
      </c>
      <c r="B353" s="75">
        <f ca="1">IF(controls!$B$6=2,AVERAGE(E349:E352)+B352*W353+hystere!$AG$9,AVERAGE(E349:E352)+B352*W353)</f>
        <v>100</v>
      </c>
      <c r="C353" s="80">
        <f t="shared" ca="1" si="31"/>
        <v>0</v>
      </c>
      <c r="D353" s="105">
        <f t="shared" ca="1" si="32"/>
        <v>0</v>
      </c>
      <c r="E353" s="77">
        <f t="shared" ca="1" si="33"/>
        <v>100</v>
      </c>
      <c r="F353" s="77">
        <f ca="1">IF('main page'!$K$34=1,hystere!H353,hystere!G353)</f>
        <v>100</v>
      </c>
      <c r="G353" s="94">
        <f ca="1">I353-'main page'!$K$27*hystere!N352</f>
        <v>100</v>
      </c>
      <c r="H353" s="75">
        <f ca="1">J353-'main page'!$K$27*N352</f>
        <v>100</v>
      </c>
      <c r="I353" s="75">
        <f t="shared" ca="1" si="34"/>
        <v>108</v>
      </c>
      <c r="J353" s="75">
        <f t="shared" ca="1" si="35"/>
        <v>108</v>
      </c>
      <c r="M353" s="75">
        <f ca="1">IF(ABS('main page'!$K$29*M352+(1-'main page'!$K$29)*(controls!$B$9/100)*100+'main page'!$K$25*(E353-B353)-M352)&lt;0.0000001,M352,'main page'!$K$29*M352+(1-'main page'!$K$29)*(controls!$B$9/100)*100+'main page'!$K$25*(E353-B353))</f>
        <v>2</v>
      </c>
      <c r="N353" s="75">
        <f ca="1">IF(controls!$B$10=1,N352,O353-'main page'!$K$29*M353-(1-'main page'!$K$29)*controls!$B$9)</f>
        <v>4</v>
      </c>
      <c r="O353" s="74">
        <f t="shared" ca="1" si="30"/>
        <v>6</v>
      </c>
      <c r="P353" s="76">
        <f ca="1">IF(controls!$B$10=1,hystere!N353+hystere!M353,hystere!Q353)</f>
        <v>6</v>
      </c>
      <c r="Q353" s="74">
        <f ca="1">IF('main page'!$Y$53=1,'choose m.p.'!$I$22*100,R353)</f>
        <v>6</v>
      </c>
      <c r="R353" s="100">
        <f ca="1">'main page'!$K$29*M353+(1-'main page'!$K$29)*controls!$B$9+S353+(('main page'!$K$25*'main page'!$U$13*'main page'!$K$29)/('main page'!$K$27*(1+('main page'!$K$25^2)*'main page'!$U$13)))*(M353-(controls!$B$9/100)*100)</f>
        <v>6</v>
      </c>
      <c r="S353" s="98">
        <f ca="1">IF(controls!$B$33=1,(J354-E353*X354-B353)/'main page'!$K$27,(I354-E353*X354-B353)/'main page'!$K$27)</f>
        <v>4</v>
      </c>
      <c r="U353" s="71">
        <f>IF(controls!$B$6=1,$AG$4*(1+('main page'!$K$35/100))^V353-$AG$4*(1+('main page'!$K$35/100))^V352,$AG$4*(1+('main page'!$G$8/100))*(1+('main page'!$K$35/100))^V353-$AG$4*(1+('main page'!$G$8/100))*(1+('main page'!$K$35/100))^V352)</f>
        <v>0</v>
      </c>
      <c r="V353" s="73">
        <v>345</v>
      </c>
      <c r="W353" s="40">
        <f>'normal case'!V352</f>
        <v>0</v>
      </c>
      <c r="X353" s="40">
        <f>'normal case'!W352</f>
        <v>0</v>
      </c>
      <c r="Y353" s="49">
        <f ca="1">IF(controls!$B$33=1,E353-($J$4-'main page'!$K$27*2)*(1+('main page'!$K$35/100))^A352,E353-$AG$5)</f>
        <v>0</v>
      </c>
      <c r="Z353" s="49">
        <f ca="1">ABS(M353-(controls!$B$9/100)*100)</f>
        <v>0</v>
      </c>
      <c r="AI353" s="40"/>
      <c r="AJ353" s="40"/>
    </row>
    <row r="354" spans="1:36">
      <c r="A354" s="48">
        <v>351</v>
      </c>
      <c r="B354" s="75">
        <f ca="1">IF(controls!$B$6=2,AVERAGE(E350:E353)+B353*W354+hystere!$AG$9,AVERAGE(E350:E353)+B353*W354)</f>
        <v>100</v>
      </c>
      <c r="C354" s="80">
        <f t="shared" ca="1" si="31"/>
        <v>0</v>
      </c>
      <c r="D354" s="105">
        <f t="shared" ca="1" si="32"/>
        <v>0</v>
      </c>
      <c r="E354" s="77">
        <f t="shared" ca="1" si="33"/>
        <v>100</v>
      </c>
      <c r="F354" s="77">
        <f ca="1">IF('main page'!$K$34=1,hystere!H354,hystere!G354)</f>
        <v>100</v>
      </c>
      <c r="G354" s="94">
        <f ca="1">I354-'main page'!$K$27*hystere!N353</f>
        <v>100</v>
      </c>
      <c r="H354" s="75">
        <f ca="1">J354-'main page'!$K$27*N353</f>
        <v>100</v>
      </c>
      <c r="I354" s="75">
        <f t="shared" ca="1" si="34"/>
        <v>108</v>
      </c>
      <c r="J354" s="75">
        <f t="shared" ca="1" si="35"/>
        <v>108</v>
      </c>
      <c r="M354" s="75">
        <f ca="1">IF(ABS('main page'!$K$29*M353+(1-'main page'!$K$29)*(controls!$B$9/100)*100+'main page'!$K$25*(E354-B354)-M353)&lt;0.0000001,M353,'main page'!$K$29*M353+(1-'main page'!$K$29)*(controls!$B$9/100)*100+'main page'!$K$25*(E354-B354))</f>
        <v>2</v>
      </c>
      <c r="N354" s="75">
        <f ca="1">IF(controls!$B$10=1,N353,O354-'main page'!$K$29*M354-(1-'main page'!$K$29)*controls!$B$9)</f>
        <v>4</v>
      </c>
      <c r="O354" s="74">
        <f t="shared" ca="1" si="30"/>
        <v>6</v>
      </c>
      <c r="P354" s="76">
        <f ca="1">IF(controls!$B$10=1,hystere!N354+hystere!M354,hystere!Q354)</f>
        <v>6</v>
      </c>
      <c r="Q354" s="74">
        <f ca="1">IF('main page'!$Y$53=1,'choose m.p.'!$I$22*100,R354)</f>
        <v>6</v>
      </c>
      <c r="R354" s="100">
        <f ca="1">'main page'!$K$29*M354+(1-'main page'!$K$29)*controls!$B$9+S354+(('main page'!$K$25*'main page'!$U$13*'main page'!$K$29)/('main page'!$K$27*(1+('main page'!$K$25^2)*'main page'!$U$13)))*(M354-(controls!$B$9/100)*100)</f>
        <v>6</v>
      </c>
      <c r="S354" s="98">
        <f ca="1">IF(controls!$B$33=1,(J355-E354*X355-B354)/'main page'!$K$27,(I355-E354*X355-B354)/'main page'!$K$27)</f>
        <v>4</v>
      </c>
      <c r="U354" s="71">
        <f>IF(controls!$B$6=1,$AG$4*(1+('main page'!$K$35/100))^V354-$AG$4*(1+('main page'!$K$35/100))^V353,$AG$4*(1+('main page'!$G$8/100))*(1+('main page'!$K$35/100))^V354-$AG$4*(1+('main page'!$G$8/100))*(1+('main page'!$K$35/100))^V353)</f>
        <v>0</v>
      </c>
      <c r="V354" s="73">
        <v>346</v>
      </c>
      <c r="W354" s="40">
        <f ca="1">'normal case'!V353</f>
        <v>0</v>
      </c>
      <c r="X354" s="40">
        <f ca="1">'normal case'!W353</f>
        <v>0</v>
      </c>
      <c r="Y354" s="49">
        <f ca="1">IF(controls!$B$33=1,E354-($J$4-'main page'!$K$27*2)*(1+('main page'!$K$35/100))^A353,E354-$AG$5)</f>
        <v>0</v>
      </c>
      <c r="Z354" s="49">
        <f ca="1">ABS(M354-(controls!$B$9/100)*100)</f>
        <v>0</v>
      </c>
      <c r="AI354" s="40"/>
      <c r="AJ354" s="40"/>
    </row>
    <row r="355" spans="1:36">
      <c r="A355" s="48">
        <v>352</v>
      </c>
      <c r="B355" s="75">
        <f ca="1">IF(controls!$B$6=2,AVERAGE(E351:E354)+B354*W355+hystere!$AG$9,AVERAGE(E351:E354)+B354*W355)</f>
        <v>100</v>
      </c>
      <c r="C355" s="80">
        <f t="shared" ca="1" si="31"/>
        <v>0</v>
      </c>
      <c r="D355" s="105">
        <f t="shared" ca="1" si="32"/>
        <v>0</v>
      </c>
      <c r="E355" s="77">
        <f t="shared" ca="1" si="33"/>
        <v>100</v>
      </c>
      <c r="F355" s="77">
        <f ca="1">IF('main page'!$K$34=1,hystere!H355,hystere!G355)</f>
        <v>100</v>
      </c>
      <c r="G355" s="94">
        <f ca="1">I355-'main page'!$K$27*hystere!N354</f>
        <v>100</v>
      </c>
      <c r="H355" s="75">
        <f ca="1">J355-'main page'!$K$27*N354</f>
        <v>100</v>
      </c>
      <c r="I355" s="75">
        <f t="shared" ca="1" si="34"/>
        <v>108</v>
      </c>
      <c r="J355" s="75">
        <f t="shared" ca="1" si="35"/>
        <v>108</v>
      </c>
      <c r="M355" s="75">
        <f ca="1">IF(ABS('main page'!$K$29*M354+(1-'main page'!$K$29)*(controls!$B$9/100)*100+'main page'!$K$25*(E355-B355)-M354)&lt;0.0000001,M354,'main page'!$K$29*M354+(1-'main page'!$K$29)*(controls!$B$9/100)*100+'main page'!$K$25*(E355-B355))</f>
        <v>2</v>
      </c>
      <c r="N355" s="75">
        <f ca="1">IF(controls!$B$10=1,N354,O355-'main page'!$K$29*M355-(1-'main page'!$K$29)*controls!$B$9)</f>
        <v>4</v>
      </c>
      <c r="O355" s="74">
        <f t="shared" ca="1" si="30"/>
        <v>6</v>
      </c>
      <c r="P355" s="76">
        <f ca="1">IF(controls!$B$10=1,hystere!N355+hystere!M355,hystere!Q355)</f>
        <v>6</v>
      </c>
      <c r="Q355" s="74">
        <f ca="1">IF('main page'!$Y$53=1,'choose m.p.'!$I$22*100,R355)</f>
        <v>6</v>
      </c>
      <c r="R355" s="100">
        <f ca="1">'main page'!$K$29*M355+(1-'main page'!$K$29)*controls!$B$9+S355+(('main page'!$K$25*'main page'!$U$13*'main page'!$K$29)/('main page'!$K$27*(1+('main page'!$K$25^2)*'main page'!$U$13)))*(M355-(controls!$B$9/100)*100)</f>
        <v>6</v>
      </c>
      <c r="S355" s="98">
        <f ca="1">IF(controls!$B$33=1,(J356-E355*X356-B355)/'main page'!$K$27,(I356-E355*X356-B355)/'main page'!$K$27)</f>
        <v>4</v>
      </c>
      <c r="U355" s="71">
        <f>IF(controls!$B$6=1,$AG$4*(1+('main page'!$K$35/100))^V355-$AG$4*(1+('main page'!$K$35/100))^V354,$AG$4*(1+('main page'!$G$8/100))*(1+('main page'!$K$35/100))^V355-$AG$4*(1+('main page'!$G$8/100))*(1+('main page'!$K$35/100))^V354)</f>
        <v>0</v>
      </c>
      <c r="V355" s="73">
        <v>347</v>
      </c>
      <c r="W355" s="40">
        <f>'normal case'!V354</f>
        <v>0</v>
      </c>
      <c r="X355" s="40">
        <f>'normal case'!W354</f>
        <v>0</v>
      </c>
      <c r="Y355" s="49">
        <f ca="1">IF(controls!$B$33=1,E355-($J$4-'main page'!$K$27*2)*(1+('main page'!$K$35/100))^A354,E355-$AG$5)</f>
        <v>0</v>
      </c>
      <c r="Z355" s="49">
        <f ca="1">ABS(M355-(controls!$B$9/100)*100)</f>
        <v>0</v>
      </c>
      <c r="AI355" s="40"/>
      <c r="AJ355" s="40"/>
    </row>
    <row r="356" spans="1:36">
      <c r="A356" s="48">
        <v>353</v>
      </c>
      <c r="B356" s="75">
        <f ca="1">IF(controls!$B$6=2,AVERAGE(E352:E355)+B355*W356+hystere!$AG$9,AVERAGE(E352:E355)+B355*W356)</f>
        <v>100</v>
      </c>
      <c r="C356" s="80">
        <f t="shared" ca="1" si="31"/>
        <v>0</v>
      </c>
      <c r="D356" s="105">
        <f t="shared" ca="1" si="32"/>
        <v>0</v>
      </c>
      <c r="E356" s="77">
        <f t="shared" ca="1" si="33"/>
        <v>100</v>
      </c>
      <c r="F356" s="77">
        <f ca="1">IF('main page'!$K$34=1,hystere!H356,hystere!G356)</f>
        <v>100</v>
      </c>
      <c r="G356" s="94">
        <f ca="1">I356-'main page'!$K$27*hystere!N355</f>
        <v>100</v>
      </c>
      <c r="H356" s="75">
        <f ca="1">J356-'main page'!$K$27*N355</f>
        <v>100</v>
      </c>
      <c r="I356" s="75">
        <f t="shared" ca="1" si="34"/>
        <v>108</v>
      </c>
      <c r="J356" s="75">
        <f t="shared" ca="1" si="35"/>
        <v>108</v>
      </c>
      <c r="M356" s="75">
        <f ca="1">IF(ABS('main page'!$K$29*M355+(1-'main page'!$K$29)*(controls!$B$9/100)*100+'main page'!$K$25*(E356-B356)-M355)&lt;0.0000001,M355,'main page'!$K$29*M355+(1-'main page'!$K$29)*(controls!$B$9/100)*100+'main page'!$K$25*(E356-B356))</f>
        <v>2</v>
      </c>
      <c r="N356" s="75">
        <f ca="1">IF(controls!$B$10=1,N355,O356-'main page'!$K$29*M356-(1-'main page'!$K$29)*controls!$B$9)</f>
        <v>4</v>
      </c>
      <c r="O356" s="74">
        <f t="shared" ca="1" si="30"/>
        <v>6</v>
      </c>
      <c r="P356" s="76">
        <f ca="1">IF(controls!$B$10=1,hystere!N356+hystere!M356,hystere!Q356)</f>
        <v>6</v>
      </c>
      <c r="Q356" s="74">
        <f ca="1">IF('main page'!$Y$53=1,'choose m.p.'!$I$22*100,R356)</f>
        <v>6</v>
      </c>
      <c r="R356" s="100">
        <f ca="1">'main page'!$K$29*M356+(1-'main page'!$K$29)*controls!$B$9+S356+(('main page'!$K$25*'main page'!$U$13*'main page'!$K$29)/('main page'!$K$27*(1+('main page'!$K$25^2)*'main page'!$U$13)))*(M356-(controls!$B$9/100)*100)</f>
        <v>6</v>
      </c>
      <c r="S356" s="98">
        <f ca="1">IF(controls!$B$33=1,(J357-E356*X357-B356)/'main page'!$K$27,(I357-E356*X357-B356)/'main page'!$K$27)</f>
        <v>4</v>
      </c>
      <c r="U356" s="71">
        <f>IF(controls!$B$6=1,$AG$4*(1+('main page'!$K$35/100))^V356-$AG$4*(1+('main page'!$K$35/100))^V355,$AG$4*(1+('main page'!$G$8/100))*(1+('main page'!$K$35/100))^V356-$AG$4*(1+('main page'!$G$8/100))*(1+('main page'!$K$35/100))^V355)</f>
        <v>0</v>
      </c>
      <c r="V356" s="73">
        <v>348</v>
      </c>
      <c r="W356" s="40">
        <f>'normal case'!V355</f>
        <v>0</v>
      </c>
      <c r="X356" s="40">
        <f>'normal case'!W355</f>
        <v>0</v>
      </c>
      <c r="Y356" s="49">
        <f ca="1">IF(controls!$B$33=1,E356-($J$4-'main page'!$K$27*2)*(1+('main page'!$K$35/100))^A355,E356-$AG$5)</f>
        <v>0</v>
      </c>
      <c r="Z356" s="49">
        <f ca="1">ABS(M356-(controls!$B$9/100)*100)</f>
        <v>0</v>
      </c>
      <c r="AI356" s="40"/>
      <c r="AJ356" s="40"/>
    </row>
    <row r="357" spans="1:36">
      <c r="A357" s="48">
        <v>354</v>
      </c>
      <c r="B357" s="75">
        <f ca="1">IF(controls!$B$6=2,AVERAGE(E353:E356)+B356*W357+hystere!$AG$9,AVERAGE(E353:E356)+B356*W357)</f>
        <v>100</v>
      </c>
      <c r="C357" s="80">
        <f t="shared" ca="1" si="31"/>
        <v>0</v>
      </c>
      <c r="D357" s="105">
        <f t="shared" ca="1" si="32"/>
        <v>0</v>
      </c>
      <c r="E357" s="77">
        <f t="shared" ca="1" si="33"/>
        <v>100</v>
      </c>
      <c r="F357" s="77">
        <f ca="1">IF('main page'!$K$34=1,hystere!H357,hystere!G357)</f>
        <v>100</v>
      </c>
      <c r="G357" s="94">
        <f ca="1">I357-'main page'!$K$27*hystere!N356</f>
        <v>100</v>
      </c>
      <c r="H357" s="75">
        <f ca="1">J357-'main page'!$K$27*N356</f>
        <v>100</v>
      </c>
      <c r="I357" s="75">
        <f t="shared" ca="1" si="34"/>
        <v>108</v>
      </c>
      <c r="J357" s="75">
        <f t="shared" ca="1" si="35"/>
        <v>108</v>
      </c>
      <c r="M357" s="75">
        <f ca="1">IF(ABS('main page'!$K$29*M356+(1-'main page'!$K$29)*(controls!$B$9/100)*100+'main page'!$K$25*(E357-B357)-M356)&lt;0.0000001,M356,'main page'!$K$29*M356+(1-'main page'!$K$29)*(controls!$B$9/100)*100+'main page'!$K$25*(E357-B357))</f>
        <v>2</v>
      </c>
      <c r="N357" s="75">
        <f ca="1">IF(controls!$B$10=1,N356,O357-'main page'!$K$29*M357-(1-'main page'!$K$29)*controls!$B$9)</f>
        <v>4</v>
      </c>
      <c r="O357" s="74">
        <f t="shared" ca="1" si="30"/>
        <v>6</v>
      </c>
      <c r="P357" s="76">
        <f ca="1">IF(controls!$B$10=1,hystere!N357+hystere!M357,hystere!Q357)</f>
        <v>6</v>
      </c>
      <c r="Q357" s="74">
        <f ca="1">IF('main page'!$Y$53=1,'choose m.p.'!$I$22*100,R357)</f>
        <v>6</v>
      </c>
      <c r="R357" s="100">
        <f ca="1">'main page'!$K$29*M357+(1-'main page'!$K$29)*controls!$B$9+S357+(('main page'!$K$25*'main page'!$U$13*'main page'!$K$29)/('main page'!$K$27*(1+('main page'!$K$25^2)*'main page'!$U$13)))*(M357-(controls!$B$9/100)*100)</f>
        <v>6</v>
      </c>
      <c r="S357" s="98">
        <f ca="1">IF(controls!$B$33=1,(J358-E357*X358-B357)/'main page'!$K$27,(I358-E357*X358-B357)/'main page'!$K$27)</f>
        <v>4</v>
      </c>
      <c r="U357" s="71">
        <f>IF(controls!$B$6=1,$AG$4*(1+('main page'!$K$35/100))^V357-$AG$4*(1+('main page'!$K$35/100))^V356,$AG$4*(1+('main page'!$G$8/100))*(1+('main page'!$K$35/100))^V357-$AG$4*(1+('main page'!$G$8/100))*(1+('main page'!$K$35/100))^V356)</f>
        <v>0</v>
      </c>
      <c r="V357" s="73">
        <v>349</v>
      </c>
      <c r="W357" s="40">
        <f ca="1">'normal case'!V356</f>
        <v>0</v>
      </c>
      <c r="X357" s="40">
        <f ca="1">'normal case'!W356</f>
        <v>0</v>
      </c>
      <c r="Y357" s="49">
        <f ca="1">IF(controls!$B$33=1,E357-($J$4-'main page'!$K$27*2)*(1+('main page'!$K$35/100))^A356,E357-$AG$5)</f>
        <v>0</v>
      </c>
      <c r="Z357" s="49">
        <f ca="1">ABS(M357-(controls!$B$9/100)*100)</f>
        <v>0</v>
      </c>
      <c r="AI357" s="40"/>
      <c r="AJ357" s="40"/>
    </row>
    <row r="358" spans="1:36">
      <c r="A358" s="48">
        <v>355</v>
      </c>
      <c r="B358" s="75">
        <f ca="1">IF(controls!$B$6=2,AVERAGE(E354:E357)+B357*W358+hystere!$AG$9,AVERAGE(E354:E357)+B357*W358)</f>
        <v>100</v>
      </c>
      <c r="C358" s="80">
        <f t="shared" ca="1" si="31"/>
        <v>0</v>
      </c>
      <c r="D358" s="105">
        <f t="shared" ca="1" si="32"/>
        <v>0</v>
      </c>
      <c r="E358" s="77">
        <f t="shared" ca="1" si="33"/>
        <v>100</v>
      </c>
      <c r="F358" s="77">
        <f ca="1">IF('main page'!$K$34=1,hystere!H358,hystere!G358)</f>
        <v>100</v>
      </c>
      <c r="G358" s="94">
        <f ca="1">I358-'main page'!$K$27*hystere!N357</f>
        <v>100</v>
      </c>
      <c r="H358" s="75">
        <f ca="1">J358-'main page'!$K$27*N357</f>
        <v>100</v>
      </c>
      <c r="I358" s="75">
        <f t="shared" ca="1" si="34"/>
        <v>108</v>
      </c>
      <c r="J358" s="75">
        <f t="shared" ca="1" si="35"/>
        <v>108</v>
      </c>
      <c r="M358" s="75">
        <f ca="1">IF(ABS('main page'!$K$29*M357+(1-'main page'!$K$29)*(controls!$B$9/100)*100+'main page'!$K$25*(E358-B358)-M357)&lt;0.0000001,M357,'main page'!$K$29*M357+(1-'main page'!$K$29)*(controls!$B$9/100)*100+'main page'!$K$25*(E358-B358))</f>
        <v>2</v>
      </c>
      <c r="N358" s="75">
        <f ca="1">IF(controls!$B$10=1,N357,O358-'main page'!$K$29*M358-(1-'main page'!$K$29)*controls!$B$9)</f>
        <v>4</v>
      </c>
      <c r="O358" s="74">
        <f t="shared" ca="1" si="30"/>
        <v>6</v>
      </c>
      <c r="P358" s="76">
        <f ca="1">IF(controls!$B$10=1,hystere!N358+hystere!M358,hystere!Q358)</f>
        <v>6</v>
      </c>
      <c r="Q358" s="74">
        <f ca="1">IF('main page'!$Y$53=1,'choose m.p.'!$I$22*100,R358)</f>
        <v>6</v>
      </c>
      <c r="R358" s="100">
        <f ca="1">'main page'!$K$29*M358+(1-'main page'!$K$29)*controls!$B$9+S358+(('main page'!$K$25*'main page'!$U$13*'main page'!$K$29)/('main page'!$K$27*(1+('main page'!$K$25^2)*'main page'!$U$13)))*(M358-(controls!$B$9/100)*100)</f>
        <v>6</v>
      </c>
      <c r="S358" s="98">
        <f ca="1">IF(controls!$B$33=1,(J359-E358*X359-B358)/'main page'!$K$27,(I359-E358*X359-B358)/'main page'!$K$27)</f>
        <v>4</v>
      </c>
      <c r="U358" s="71">
        <f>IF(controls!$B$6=1,$AG$4*(1+('main page'!$K$35/100))^V358-$AG$4*(1+('main page'!$K$35/100))^V357,$AG$4*(1+('main page'!$G$8/100))*(1+('main page'!$K$35/100))^V358-$AG$4*(1+('main page'!$G$8/100))*(1+('main page'!$K$35/100))^V357)</f>
        <v>0</v>
      </c>
      <c r="V358" s="73">
        <v>350</v>
      </c>
      <c r="W358" s="40">
        <f>'normal case'!V357</f>
        <v>0</v>
      </c>
      <c r="X358" s="40">
        <f>'normal case'!W357</f>
        <v>0</v>
      </c>
      <c r="Y358" s="49">
        <f ca="1">IF(controls!$B$33=1,E358-($J$4-'main page'!$K$27*2)*(1+('main page'!$K$35/100))^A357,E358-$AG$5)</f>
        <v>0</v>
      </c>
      <c r="Z358" s="49">
        <f ca="1">ABS(M358-(controls!$B$9/100)*100)</f>
        <v>0</v>
      </c>
      <c r="AI358" s="40"/>
      <c r="AJ358" s="40"/>
    </row>
    <row r="359" spans="1:36">
      <c r="A359" s="48">
        <v>356</v>
      </c>
      <c r="B359" s="75">
        <f ca="1">IF(controls!$B$6=2,AVERAGE(E355:E358)+B358*W359+hystere!$AG$9,AVERAGE(E355:E358)+B358*W359)</f>
        <v>100</v>
      </c>
      <c r="C359" s="80">
        <f t="shared" ca="1" si="31"/>
        <v>0</v>
      </c>
      <c r="D359" s="105">
        <f t="shared" ca="1" si="32"/>
        <v>0</v>
      </c>
      <c r="E359" s="77">
        <f t="shared" ca="1" si="33"/>
        <v>100</v>
      </c>
      <c r="F359" s="77">
        <f ca="1">IF('main page'!$K$34=1,hystere!H359,hystere!G359)</f>
        <v>100</v>
      </c>
      <c r="G359" s="94">
        <f ca="1">I359-'main page'!$K$27*hystere!N358</f>
        <v>100</v>
      </c>
      <c r="H359" s="75">
        <f ca="1">J359-'main page'!$K$27*N358</f>
        <v>100</v>
      </c>
      <c r="I359" s="75">
        <f t="shared" ca="1" si="34"/>
        <v>108</v>
      </c>
      <c r="J359" s="75">
        <f t="shared" ca="1" si="35"/>
        <v>108</v>
      </c>
      <c r="M359" s="75">
        <f ca="1">IF(ABS('main page'!$K$29*M358+(1-'main page'!$K$29)*(controls!$B$9/100)*100+'main page'!$K$25*(E359-B359)-M358)&lt;0.0000001,M358,'main page'!$K$29*M358+(1-'main page'!$K$29)*(controls!$B$9/100)*100+'main page'!$K$25*(E359-B359))</f>
        <v>2</v>
      </c>
      <c r="N359" s="75">
        <f ca="1">IF(controls!$B$10=1,N358,O359-'main page'!$K$29*M359-(1-'main page'!$K$29)*controls!$B$9)</f>
        <v>4</v>
      </c>
      <c r="O359" s="74">
        <f t="shared" ca="1" si="30"/>
        <v>6</v>
      </c>
      <c r="P359" s="76">
        <f ca="1">IF(controls!$B$10=1,hystere!N359+hystere!M359,hystere!Q359)</f>
        <v>6</v>
      </c>
      <c r="Q359" s="74">
        <f ca="1">IF('main page'!$Y$53=1,'choose m.p.'!$I$22*100,R359)</f>
        <v>6</v>
      </c>
      <c r="R359" s="100">
        <f ca="1">'main page'!$K$29*M359+(1-'main page'!$K$29)*controls!$B$9+S359+(('main page'!$K$25*'main page'!$U$13*'main page'!$K$29)/('main page'!$K$27*(1+('main page'!$K$25^2)*'main page'!$U$13)))*(M359-(controls!$B$9/100)*100)</f>
        <v>6</v>
      </c>
      <c r="S359" s="98">
        <f ca="1">IF(controls!$B$33=1,(J360-E359*X360-B359)/'main page'!$K$27,(I360-E359*X360-B359)/'main page'!$K$27)</f>
        <v>4</v>
      </c>
      <c r="U359" s="71">
        <f>IF(controls!$B$6=1,$AG$4*(1+('main page'!$K$35/100))^V359-$AG$4*(1+('main page'!$K$35/100))^V358,$AG$4*(1+('main page'!$G$8/100))*(1+('main page'!$K$35/100))^V359-$AG$4*(1+('main page'!$G$8/100))*(1+('main page'!$K$35/100))^V358)</f>
        <v>0</v>
      </c>
      <c r="V359" s="73">
        <v>351</v>
      </c>
      <c r="W359" s="40">
        <f>'normal case'!V358</f>
        <v>0</v>
      </c>
      <c r="X359" s="40">
        <f>'normal case'!W358</f>
        <v>0</v>
      </c>
      <c r="Y359" s="49">
        <f ca="1">IF(controls!$B$33=1,E359-($J$4-'main page'!$K$27*2)*(1+('main page'!$K$35/100))^A358,E359-$AG$5)</f>
        <v>0</v>
      </c>
      <c r="Z359" s="49">
        <f ca="1">ABS(M359-(controls!$B$9/100)*100)</f>
        <v>0</v>
      </c>
      <c r="AI359" s="40"/>
      <c r="AJ359" s="40"/>
    </row>
    <row r="360" spans="1:36">
      <c r="A360" s="48">
        <v>357</v>
      </c>
      <c r="B360" s="75">
        <f ca="1">IF(controls!$B$6=2,AVERAGE(E356:E359)+B359*W360+hystere!$AG$9,AVERAGE(E356:E359)+B359*W360)</f>
        <v>100</v>
      </c>
      <c r="C360" s="80">
        <f t="shared" ca="1" si="31"/>
        <v>0</v>
      </c>
      <c r="D360" s="105">
        <f t="shared" ca="1" si="32"/>
        <v>0</v>
      </c>
      <c r="E360" s="77">
        <f t="shared" ca="1" si="33"/>
        <v>100</v>
      </c>
      <c r="F360" s="77">
        <f ca="1">IF('main page'!$K$34=1,hystere!H360,hystere!G360)</f>
        <v>100</v>
      </c>
      <c r="G360" s="94">
        <f ca="1">I360-'main page'!$K$27*hystere!N359</f>
        <v>100</v>
      </c>
      <c r="H360" s="75">
        <f ca="1">J360-'main page'!$K$27*N359</f>
        <v>100</v>
      </c>
      <c r="I360" s="75">
        <f t="shared" ca="1" si="34"/>
        <v>108</v>
      </c>
      <c r="J360" s="75">
        <f t="shared" ca="1" si="35"/>
        <v>108</v>
      </c>
      <c r="M360" s="75">
        <f ca="1">IF(ABS('main page'!$K$29*M359+(1-'main page'!$K$29)*(controls!$B$9/100)*100+'main page'!$K$25*(E360-B360)-M359)&lt;0.0000001,M359,'main page'!$K$29*M359+(1-'main page'!$K$29)*(controls!$B$9/100)*100+'main page'!$K$25*(E360-B360))</f>
        <v>2</v>
      </c>
      <c r="N360" s="75">
        <f ca="1">IF(controls!$B$10=1,N359,O360-'main page'!$K$29*M360-(1-'main page'!$K$29)*controls!$B$9)</f>
        <v>4</v>
      </c>
      <c r="O360" s="74">
        <f t="shared" ca="1" si="30"/>
        <v>6</v>
      </c>
      <c r="P360" s="76">
        <f ca="1">IF(controls!$B$10=1,hystere!N360+hystere!M360,hystere!Q360)</f>
        <v>6</v>
      </c>
      <c r="Q360" s="74">
        <f ca="1">IF('main page'!$Y$53=1,'choose m.p.'!$I$22*100,R360)</f>
        <v>6</v>
      </c>
      <c r="R360" s="100">
        <f ca="1">'main page'!$K$29*M360+(1-'main page'!$K$29)*controls!$B$9+S360+(('main page'!$K$25*'main page'!$U$13*'main page'!$K$29)/('main page'!$K$27*(1+('main page'!$K$25^2)*'main page'!$U$13)))*(M360-(controls!$B$9/100)*100)</f>
        <v>6</v>
      </c>
      <c r="S360" s="98">
        <f ca="1">IF(controls!$B$33=1,(J361-E360*X361-B360)/'main page'!$K$27,(I361-E360*X361-B360)/'main page'!$K$27)</f>
        <v>4</v>
      </c>
      <c r="U360" s="71">
        <f>IF(controls!$B$6=1,$AG$4*(1+('main page'!$K$35/100))^V360-$AG$4*(1+('main page'!$K$35/100))^V359,$AG$4*(1+('main page'!$G$8/100))*(1+('main page'!$K$35/100))^V360-$AG$4*(1+('main page'!$G$8/100))*(1+('main page'!$K$35/100))^V359)</f>
        <v>0</v>
      </c>
      <c r="V360" s="73">
        <v>352</v>
      </c>
      <c r="W360" s="40">
        <f ca="1">'normal case'!V359</f>
        <v>0</v>
      </c>
      <c r="X360" s="40">
        <f ca="1">'normal case'!W359</f>
        <v>0</v>
      </c>
      <c r="Y360" s="49">
        <f ca="1">IF(controls!$B$33=1,E360-($J$4-'main page'!$K$27*2)*(1+('main page'!$K$35/100))^A359,E360-$AG$5)</f>
        <v>0</v>
      </c>
      <c r="Z360" s="49">
        <f ca="1">ABS(M360-(controls!$B$9/100)*100)</f>
        <v>0</v>
      </c>
      <c r="AI360" s="40"/>
      <c r="AJ360" s="40"/>
    </row>
    <row r="361" spans="1:36">
      <c r="A361" s="48">
        <v>358</v>
      </c>
      <c r="B361" s="75">
        <f ca="1">IF(controls!$B$6=2,AVERAGE(E357:E360)+B360*W361+hystere!$AG$9,AVERAGE(E357:E360)+B360*W361)</f>
        <v>100</v>
      </c>
      <c r="C361" s="80">
        <f t="shared" ca="1" si="31"/>
        <v>0</v>
      </c>
      <c r="D361" s="105">
        <f t="shared" ca="1" si="32"/>
        <v>0</v>
      </c>
      <c r="E361" s="77">
        <f t="shared" ca="1" si="33"/>
        <v>100</v>
      </c>
      <c r="F361" s="77">
        <f ca="1">IF('main page'!$K$34=1,hystere!H361,hystere!G361)</f>
        <v>100</v>
      </c>
      <c r="G361" s="94">
        <f ca="1">I361-'main page'!$K$27*hystere!N360</f>
        <v>100</v>
      </c>
      <c r="H361" s="75">
        <f ca="1">J361-'main page'!$K$27*N360</f>
        <v>100</v>
      </c>
      <c r="I361" s="75">
        <f t="shared" ca="1" si="34"/>
        <v>108</v>
      </c>
      <c r="J361" s="75">
        <f t="shared" ca="1" si="35"/>
        <v>108</v>
      </c>
      <c r="M361" s="75">
        <f ca="1">IF(ABS('main page'!$K$29*M360+(1-'main page'!$K$29)*(controls!$B$9/100)*100+'main page'!$K$25*(E361-B361)-M360)&lt;0.0000001,M360,'main page'!$K$29*M360+(1-'main page'!$K$29)*(controls!$B$9/100)*100+'main page'!$K$25*(E361-B361))</f>
        <v>2</v>
      </c>
      <c r="N361" s="75">
        <f ca="1">IF(controls!$B$10=1,N360,O361-'main page'!$K$29*M361-(1-'main page'!$K$29)*controls!$B$9)</f>
        <v>4</v>
      </c>
      <c r="O361" s="74">
        <f t="shared" ca="1" si="30"/>
        <v>6</v>
      </c>
      <c r="P361" s="76">
        <f ca="1">IF(controls!$B$10=1,hystere!N361+hystere!M361,hystere!Q361)</f>
        <v>6</v>
      </c>
      <c r="Q361" s="74">
        <f ca="1">IF('main page'!$Y$53=1,'choose m.p.'!$I$22*100,R361)</f>
        <v>6</v>
      </c>
      <c r="R361" s="100">
        <f ca="1">'main page'!$K$29*M361+(1-'main page'!$K$29)*controls!$B$9+S361+(('main page'!$K$25*'main page'!$U$13*'main page'!$K$29)/('main page'!$K$27*(1+('main page'!$K$25^2)*'main page'!$U$13)))*(M361-(controls!$B$9/100)*100)</f>
        <v>6</v>
      </c>
      <c r="S361" s="98">
        <f ca="1">IF(controls!$B$33=1,(J362-E361*X362-B361)/'main page'!$K$27,(I362-E361*X362-B361)/'main page'!$K$27)</f>
        <v>4</v>
      </c>
      <c r="U361" s="71">
        <f>IF(controls!$B$6=1,$AG$4*(1+('main page'!$K$35/100))^V361-$AG$4*(1+('main page'!$K$35/100))^V360,$AG$4*(1+('main page'!$G$8/100))*(1+('main page'!$K$35/100))^V361-$AG$4*(1+('main page'!$G$8/100))*(1+('main page'!$K$35/100))^V360)</f>
        <v>0</v>
      </c>
      <c r="V361" s="73">
        <v>353</v>
      </c>
      <c r="W361" s="40">
        <f>'normal case'!V360</f>
        <v>0</v>
      </c>
      <c r="X361" s="40">
        <f>'normal case'!W360</f>
        <v>0</v>
      </c>
      <c r="Y361" s="49">
        <f ca="1">IF(controls!$B$33=1,E361-($J$4-'main page'!$K$27*2)*(1+('main page'!$K$35/100))^A360,E361-$AG$5)</f>
        <v>0</v>
      </c>
      <c r="Z361" s="49">
        <f ca="1">ABS(M361-(controls!$B$9/100)*100)</f>
        <v>0</v>
      </c>
      <c r="AI361" s="40"/>
      <c r="AJ361" s="40"/>
    </row>
    <row r="362" spans="1:36">
      <c r="A362" s="48">
        <v>359</v>
      </c>
      <c r="B362" s="75">
        <f ca="1">IF(controls!$B$6=2,AVERAGE(E358:E361)+B361*W362+hystere!$AG$9,AVERAGE(E358:E361)+B361*W362)</f>
        <v>100</v>
      </c>
      <c r="C362" s="80">
        <f t="shared" ca="1" si="31"/>
        <v>0</v>
      </c>
      <c r="D362" s="105">
        <f t="shared" ca="1" si="32"/>
        <v>0</v>
      </c>
      <c r="E362" s="77">
        <f t="shared" ca="1" si="33"/>
        <v>100</v>
      </c>
      <c r="F362" s="77">
        <f ca="1">IF('main page'!$K$34=1,hystere!H362,hystere!G362)</f>
        <v>100</v>
      </c>
      <c r="G362" s="94">
        <f ca="1">I362-'main page'!$K$27*hystere!N361</f>
        <v>100</v>
      </c>
      <c r="H362" s="75">
        <f ca="1">J362-'main page'!$K$27*N361</f>
        <v>100</v>
      </c>
      <c r="I362" s="75">
        <f t="shared" ca="1" si="34"/>
        <v>108</v>
      </c>
      <c r="J362" s="75">
        <f t="shared" ca="1" si="35"/>
        <v>108</v>
      </c>
      <c r="M362" s="75">
        <f ca="1">IF(ABS('main page'!$K$29*M361+(1-'main page'!$K$29)*(controls!$B$9/100)*100+'main page'!$K$25*(E362-B362)-M361)&lt;0.0000001,M361,'main page'!$K$29*M361+(1-'main page'!$K$29)*(controls!$B$9/100)*100+'main page'!$K$25*(E362-B362))</f>
        <v>2</v>
      </c>
      <c r="N362" s="75">
        <f ca="1">IF(controls!$B$10=1,N361,O362-'main page'!$K$29*M362-(1-'main page'!$K$29)*controls!$B$9)</f>
        <v>4</v>
      </c>
      <c r="O362" s="74">
        <f t="shared" ca="1" si="30"/>
        <v>6</v>
      </c>
      <c r="P362" s="76">
        <f ca="1">IF(controls!$B$10=1,hystere!N362+hystere!M362,hystere!Q362)</f>
        <v>6</v>
      </c>
      <c r="Q362" s="74">
        <f ca="1">IF('main page'!$Y$53=1,'choose m.p.'!$I$22*100,R362)</f>
        <v>6</v>
      </c>
      <c r="R362" s="100">
        <f ca="1">'main page'!$K$29*M362+(1-'main page'!$K$29)*controls!$B$9+S362+(('main page'!$K$25*'main page'!$U$13*'main page'!$K$29)/('main page'!$K$27*(1+('main page'!$K$25^2)*'main page'!$U$13)))*(M362-(controls!$B$9/100)*100)</f>
        <v>6</v>
      </c>
      <c r="S362" s="98">
        <f ca="1">IF(controls!$B$33=1,(J363-E362*X363-B362)/'main page'!$K$27,(I363-E362*X363-B362)/'main page'!$K$27)</f>
        <v>4</v>
      </c>
      <c r="U362" s="71">
        <f>IF(controls!$B$6=1,$AG$4*(1+('main page'!$K$35/100))^V362-$AG$4*(1+('main page'!$K$35/100))^V361,$AG$4*(1+('main page'!$G$8/100))*(1+('main page'!$K$35/100))^V362-$AG$4*(1+('main page'!$G$8/100))*(1+('main page'!$K$35/100))^V361)</f>
        <v>0</v>
      </c>
      <c r="V362" s="73">
        <v>354</v>
      </c>
      <c r="W362" s="40">
        <f>'normal case'!V361</f>
        <v>0</v>
      </c>
      <c r="X362" s="40">
        <f>'normal case'!W361</f>
        <v>0</v>
      </c>
      <c r="Y362" s="49">
        <f ca="1">IF(controls!$B$33=1,E362-($J$4-'main page'!$K$27*2)*(1+('main page'!$K$35/100))^A361,E362-$AG$5)</f>
        <v>0</v>
      </c>
      <c r="Z362" s="49">
        <f ca="1">ABS(M362-(controls!$B$9/100)*100)</f>
        <v>0</v>
      </c>
      <c r="AI362" s="40"/>
      <c r="AJ362" s="40"/>
    </row>
    <row r="363" spans="1:36">
      <c r="A363" s="48">
        <v>360</v>
      </c>
      <c r="B363" s="75">
        <f ca="1">IF(controls!$B$6=2,AVERAGE(E359:E362)+B362*W363+hystere!$AG$9,AVERAGE(E359:E362)+B362*W363)</f>
        <v>100</v>
      </c>
      <c r="C363" s="80">
        <f t="shared" ca="1" si="31"/>
        <v>0</v>
      </c>
      <c r="D363" s="105">
        <f t="shared" ca="1" si="32"/>
        <v>0</v>
      </c>
      <c r="E363" s="77">
        <f t="shared" ca="1" si="33"/>
        <v>100</v>
      </c>
      <c r="F363" s="77">
        <f ca="1">IF('main page'!$K$34=1,hystere!H363,hystere!G363)</f>
        <v>100</v>
      </c>
      <c r="G363" s="94">
        <f ca="1">I363-'main page'!$K$27*hystere!N362</f>
        <v>100</v>
      </c>
      <c r="H363" s="75">
        <f ca="1">J363-'main page'!$K$27*N362</f>
        <v>100</v>
      </c>
      <c r="I363" s="75">
        <f t="shared" ca="1" si="34"/>
        <v>108</v>
      </c>
      <c r="J363" s="75">
        <f t="shared" ca="1" si="35"/>
        <v>108</v>
      </c>
      <c r="M363" s="75">
        <f ca="1">IF(ABS('main page'!$K$29*M362+(1-'main page'!$K$29)*(controls!$B$9/100)*100+'main page'!$K$25*(E363-B363)-M362)&lt;0.0000001,M362,'main page'!$K$29*M362+(1-'main page'!$K$29)*(controls!$B$9/100)*100+'main page'!$K$25*(E363-B363))</f>
        <v>2</v>
      </c>
      <c r="N363" s="75">
        <f ca="1">IF(controls!$B$10=1,N362,O363-'main page'!$K$29*M363-(1-'main page'!$K$29)*controls!$B$9)</f>
        <v>4</v>
      </c>
      <c r="O363" s="74">
        <f t="shared" ca="1" si="30"/>
        <v>6</v>
      </c>
      <c r="P363" s="76">
        <f ca="1">IF(controls!$B$10=1,hystere!N363+hystere!M363,hystere!Q363)</f>
        <v>6</v>
      </c>
      <c r="Q363" s="74">
        <f ca="1">IF('main page'!$Y$53=1,'choose m.p.'!$I$22*100,R363)</f>
        <v>6</v>
      </c>
      <c r="R363" s="100">
        <f ca="1">'main page'!$K$29*M363+(1-'main page'!$K$29)*controls!$B$9+S363+(('main page'!$K$25*'main page'!$U$13*'main page'!$K$29)/('main page'!$K$27*(1+('main page'!$K$25^2)*'main page'!$U$13)))*(M363-(controls!$B$9/100)*100)</f>
        <v>6</v>
      </c>
      <c r="S363" s="98">
        <f ca="1">IF(controls!$B$33=1,(J364-E363*X364-B363)/'main page'!$K$27,(I364-E363*X364-B363)/'main page'!$K$27)</f>
        <v>4</v>
      </c>
      <c r="U363" s="71">
        <f>IF(controls!$B$6=1,$AG$4*(1+('main page'!$K$35/100))^V363-$AG$4*(1+('main page'!$K$35/100))^V362,$AG$4*(1+('main page'!$G$8/100))*(1+('main page'!$K$35/100))^V363-$AG$4*(1+('main page'!$G$8/100))*(1+('main page'!$K$35/100))^V362)</f>
        <v>0</v>
      </c>
      <c r="V363" s="73">
        <v>355</v>
      </c>
      <c r="W363" s="40">
        <f ca="1">'normal case'!V362</f>
        <v>0</v>
      </c>
      <c r="X363" s="40">
        <f ca="1">'normal case'!W362</f>
        <v>0</v>
      </c>
      <c r="Y363" s="49">
        <f ca="1">IF(controls!$B$33=1,E363-($J$4-'main page'!$K$27*2)*(1+('main page'!$K$35/100))^A362,E363-$AG$5)</f>
        <v>0</v>
      </c>
      <c r="Z363" s="49">
        <f ca="1">ABS(M363-(controls!$B$9/100)*100)</f>
        <v>0</v>
      </c>
      <c r="AI363" s="40"/>
      <c r="AJ363" s="40"/>
    </row>
    <row r="364" spans="1:36">
      <c r="A364" s="48">
        <v>361</v>
      </c>
      <c r="B364" s="75">
        <f ca="1">IF(controls!$B$6=2,AVERAGE(E360:E363)+B363*W364+hystere!$AG$9,AVERAGE(E360:E363)+B363*W364)</f>
        <v>100</v>
      </c>
      <c r="C364" s="80">
        <f t="shared" ca="1" si="31"/>
        <v>0</v>
      </c>
      <c r="D364" s="105">
        <f t="shared" ca="1" si="32"/>
        <v>0</v>
      </c>
      <c r="E364" s="77">
        <f t="shared" ca="1" si="33"/>
        <v>100</v>
      </c>
      <c r="F364" s="77">
        <f ca="1">IF('main page'!$K$34=1,hystere!H364,hystere!G364)</f>
        <v>100</v>
      </c>
      <c r="G364" s="94">
        <f ca="1">I364-'main page'!$K$27*hystere!N363</f>
        <v>100</v>
      </c>
      <c r="H364" s="75">
        <f ca="1">J364-'main page'!$K$27*N363</f>
        <v>100</v>
      </c>
      <c r="I364" s="75">
        <f t="shared" ca="1" si="34"/>
        <v>108</v>
      </c>
      <c r="J364" s="75">
        <f t="shared" ca="1" si="35"/>
        <v>108</v>
      </c>
      <c r="M364" s="75">
        <f ca="1">IF(ABS('main page'!$K$29*M363+(1-'main page'!$K$29)*(controls!$B$9/100)*100+'main page'!$K$25*(E364-B364)-M363)&lt;0.0000001,M363,'main page'!$K$29*M363+(1-'main page'!$K$29)*(controls!$B$9/100)*100+'main page'!$K$25*(E364-B364))</f>
        <v>2</v>
      </c>
      <c r="N364" s="75">
        <f ca="1">IF(controls!$B$10=1,N363,O364-'main page'!$K$29*M364-(1-'main page'!$K$29)*controls!$B$9)</f>
        <v>4</v>
      </c>
      <c r="O364" s="74">
        <f t="shared" ca="1" si="30"/>
        <v>6</v>
      </c>
      <c r="P364" s="76">
        <f ca="1">IF(controls!$B$10=1,hystere!N364+hystere!M364,hystere!Q364)</f>
        <v>6</v>
      </c>
      <c r="Q364" s="74">
        <f ca="1">IF('main page'!$Y$53=1,'choose m.p.'!$I$22*100,R364)</f>
        <v>6</v>
      </c>
      <c r="R364" s="100">
        <f ca="1">'main page'!$K$29*M364+(1-'main page'!$K$29)*controls!$B$9+S364+(('main page'!$K$25*'main page'!$U$13*'main page'!$K$29)/('main page'!$K$27*(1+('main page'!$K$25^2)*'main page'!$U$13)))*(M364-(controls!$B$9/100)*100)</f>
        <v>6</v>
      </c>
      <c r="S364" s="98">
        <f ca="1">IF(controls!$B$33=1,(J365-E364*X365-B364)/'main page'!$K$27,(I365-E364*X365-B364)/'main page'!$K$27)</f>
        <v>4</v>
      </c>
      <c r="U364" s="71">
        <f>IF(controls!$B$6=1,$AG$4*(1+('main page'!$K$35/100))^V364-$AG$4*(1+('main page'!$K$35/100))^V363,$AG$4*(1+('main page'!$G$8/100))*(1+('main page'!$K$35/100))^V364-$AG$4*(1+('main page'!$G$8/100))*(1+('main page'!$K$35/100))^V363)</f>
        <v>0</v>
      </c>
      <c r="V364" s="73">
        <v>356</v>
      </c>
      <c r="W364" s="40">
        <f>'normal case'!V363</f>
        <v>0</v>
      </c>
      <c r="X364" s="40">
        <f>'normal case'!W363</f>
        <v>0</v>
      </c>
      <c r="Y364" s="49">
        <f ca="1">IF(controls!$B$33=1,E364-($J$4-'main page'!$K$27*2)*(1+('main page'!$K$35/100))^A363,E364-$AG$5)</f>
        <v>0</v>
      </c>
      <c r="Z364" s="49">
        <f ca="1">ABS(M364-(controls!$B$9/100)*100)</f>
        <v>0</v>
      </c>
      <c r="AI364" s="40"/>
      <c r="AJ364" s="40"/>
    </row>
    <row r="365" spans="1:36">
      <c r="A365" s="48">
        <v>362</v>
      </c>
      <c r="B365" s="75">
        <f ca="1">IF(controls!$B$6=2,AVERAGE(E361:E364)+B364*W365+hystere!$AG$9,AVERAGE(E361:E364)+B364*W365)</f>
        <v>100</v>
      </c>
      <c r="C365" s="80">
        <f t="shared" ca="1" si="31"/>
        <v>0</v>
      </c>
      <c r="D365" s="105">
        <f t="shared" ca="1" si="32"/>
        <v>0</v>
      </c>
      <c r="E365" s="77">
        <f t="shared" ca="1" si="33"/>
        <v>100</v>
      </c>
      <c r="F365" s="77">
        <f ca="1">IF('main page'!$K$34=1,hystere!H365,hystere!G365)</f>
        <v>100</v>
      </c>
      <c r="G365" s="94">
        <f ca="1">I365-'main page'!$K$27*hystere!N364</f>
        <v>100</v>
      </c>
      <c r="H365" s="75">
        <f ca="1">J365-'main page'!$K$27*N364</f>
        <v>100</v>
      </c>
      <c r="I365" s="75">
        <f t="shared" ca="1" si="34"/>
        <v>108</v>
      </c>
      <c r="J365" s="75">
        <f t="shared" ca="1" si="35"/>
        <v>108</v>
      </c>
      <c r="M365" s="75">
        <f ca="1">IF(ABS('main page'!$K$29*M364+(1-'main page'!$K$29)*(controls!$B$9/100)*100+'main page'!$K$25*(E365-B365)-M364)&lt;0.0000001,M364,'main page'!$K$29*M364+(1-'main page'!$K$29)*(controls!$B$9/100)*100+'main page'!$K$25*(E365-B365))</f>
        <v>2</v>
      </c>
      <c r="N365" s="75">
        <f ca="1">IF(controls!$B$10=1,N364,O365-'main page'!$K$29*M365-(1-'main page'!$K$29)*controls!$B$9)</f>
        <v>4</v>
      </c>
      <c r="O365" s="74">
        <f t="shared" ca="1" si="30"/>
        <v>6</v>
      </c>
      <c r="P365" s="76">
        <f ca="1">IF(controls!$B$10=1,hystere!N365+hystere!M365,hystere!Q365)</f>
        <v>6</v>
      </c>
      <c r="Q365" s="74">
        <f ca="1">IF('main page'!$Y$53=1,'choose m.p.'!$I$22*100,R365)</f>
        <v>6</v>
      </c>
      <c r="R365" s="100">
        <f ca="1">'main page'!$K$29*M365+(1-'main page'!$K$29)*controls!$B$9+S365+(('main page'!$K$25*'main page'!$U$13*'main page'!$K$29)/('main page'!$K$27*(1+('main page'!$K$25^2)*'main page'!$U$13)))*(M365-(controls!$B$9/100)*100)</f>
        <v>6</v>
      </c>
      <c r="S365" s="98">
        <f ca="1">IF(controls!$B$33=1,(J366-E365*X366-B365)/'main page'!$K$27,(I366-E365*X366-B365)/'main page'!$K$27)</f>
        <v>4</v>
      </c>
      <c r="U365" s="71">
        <f>IF(controls!$B$6=1,$AG$4*(1+('main page'!$K$35/100))^V365-$AG$4*(1+('main page'!$K$35/100))^V364,$AG$4*(1+('main page'!$G$8/100))*(1+('main page'!$K$35/100))^V365-$AG$4*(1+('main page'!$G$8/100))*(1+('main page'!$K$35/100))^V364)</f>
        <v>0</v>
      </c>
      <c r="V365" s="73">
        <v>357</v>
      </c>
      <c r="W365" s="40">
        <f>'normal case'!V364</f>
        <v>0</v>
      </c>
      <c r="X365" s="40">
        <f>'normal case'!W364</f>
        <v>0</v>
      </c>
      <c r="Y365" s="49">
        <f ca="1">IF(controls!$B$33=1,E365-($J$4-'main page'!$K$27*2)*(1+('main page'!$K$35/100))^A364,E365-$AG$5)</f>
        <v>0</v>
      </c>
      <c r="Z365" s="49">
        <f ca="1">ABS(M365-(controls!$B$9/100)*100)</f>
        <v>0</v>
      </c>
      <c r="AI365" s="40"/>
      <c r="AJ365" s="40"/>
    </row>
    <row r="366" spans="1:36">
      <c r="A366" s="48">
        <v>363</v>
      </c>
      <c r="B366" s="75">
        <f ca="1">IF(controls!$B$6=2,AVERAGE(E362:E365)+B365*W366+hystere!$AG$9,AVERAGE(E362:E365)+B365*W366)</f>
        <v>100</v>
      </c>
      <c r="C366" s="80">
        <f t="shared" ca="1" si="31"/>
        <v>0</v>
      </c>
      <c r="D366" s="105">
        <f t="shared" ca="1" si="32"/>
        <v>0</v>
      </c>
      <c r="E366" s="77">
        <f t="shared" ca="1" si="33"/>
        <v>100</v>
      </c>
      <c r="F366" s="77">
        <f ca="1">IF('main page'!$K$34=1,hystere!H366,hystere!G366)</f>
        <v>100</v>
      </c>
      <c r="G366" s="94">
        <f ca="1">I366-'main page'!$K$27*hystere!N365</f>
        <v>100</v>
      </c>
      <c r="H366" s="75">
        <f ca="1">J366-'main page'!$K$27*N365</f>
        <v>100</v>
      </c>
      <c r="I366" s="75">
        <f t="shared" ca="1" si="34"/>
        <v>108</v>
      </c>
      <c r="J366" s="75">
        <f t="shared" ca="1" si="35"/>
        <v>108</v>
      </c>
      <c r="M366" s="75">
        <f ca="1">IF(ABS('main page'!$K$29*M365+(1-'main page'!$K$29)*(controls!$B$9/100)*100+'main page'!$K$25*(E366-B366)-M365)&lt;0.0000001,M365,'main page'!$K$29*M365+(1-'main page'!$K$29)*(controls!$B$9/100)*100+'main page'!$K$25*(E366-B366))</f>
        <v>2</v>
      </c>
      <c r="N366" s="75">
        <f ca="1">IF(controls!$B$10=1,N365,O366-'main page'!$K$29*M366-(1-'main page'!$K$29)*controls!$B$9)</f>
        <v>4</v>
      </c>
      <c r="O366" s="74">
        <f t="shared" ca="1" si="30"/>
        <v>6</v>
      </c>
      <c r="P366" s="76">
        <f ca="1">IF(controls!$B$10=1,hystere!N366+hystere!M366,hystere!Q366)</f>
        <v>6</v>
      </c>
      <c r="Q366" s="74">
        <f ca="1">IF('main page'!$Y$53=1,'choose m.p.'!$I$22*100,R366)</f>
        <v>6</v>
      </c>
      <c r="R366" s="100">
        <f ca="1">'main page'!$K$29*M366+(1-'main page'!$K$29)*controls!$B$9+S366+(('main page'!$K$25*'main page'!$U$13*'main page'!$K$29)/('main page'!$K$27*(1+('main page'!$K$25^2)*'main page'!$U$13)))*(M366-(controls!$B$9/100)*100)</f>
        <v>6</v>
      </c>
      <c r="S366" s="98">
        <f ca="1">IF(controls!$B$33=1,(J367-E366*X367-B366)/'main page'!$K$27,(I367-E366*X367-B366)/'main page'!$K$27)</f>
        <v>4</v>
      </c>
      <c r="U366" s="71">
        <f>IF(controls!$B$6=1,$AG$4*(1+('main page'!$K$35/100))^V366-$AG$4*(1+('main page'!$K$35/100))^V365,$AG$4*(1+('main page'!$G$8/100))*(1+('main page'!$K$35/100))^V366-$AG$4*(1+('main page'!$G$8/100))*(1+('main page'!$K$35/100))^V365)</f>
        <v>0</v>
      </c>
      <c r="V366" s="73">
        <v>358</v>
      </c>
      <c r="W366" s="40">
        <f ca="1">'normal case'!V365</f>
        <v>0</v>
      </c>
      <c r="X366" s="40">
        <f ca="1">'normal case'!W365</f>
        <v>0</v>
      </c>
      <c r="Y366" s="49">
        <f ca="1">IF(controls!$B$33=1,E366-($J$4-'main page'!$K$27*2)*(1+('main page'!$K$35/100))^A365,E366-$AG$5)</f>
        <v>0</v>
      </c>
      <c r="Z366" s="49">
        <f ca="1">ABS(M366-(controls!$B$9/100)*100)</f>
        <v>0</v>
      </c>
      <c r="AI366" s="40"/>
      <c r="AJ366" s="40"/>
    </row>
    <row r="367" spans="1:36">
      <c r="A367" s="48">
        <v>364</v>
      </c>
      <c r="B367" s="75">
        <f ca="1">IF(controls!$B$6=2,AVERAGE(E363:E366)+B366*W367+hystere!$AG$9,AVERAGE(E363:E366)+B366*W367)</f>
        <v>100</v>
      </c>
      <c r="C367" s="80">
        <f t="shared" ca="1" si="31"/>
        <v>0</v>
      </c>
      <c r="D367" s="105">
        <f t="shared" ca="1" si="32"/>
        <v>0</v>
      </c>
      <c r="E367" s="77">
        <f t="shared" ca="1" si="33"/>
        <v>100</v>
      </c>
      <c r="F367" s="77">
        <f ca="1">IF('main page'!$K$34=1,hystere!H367,hystere!G367)</f>
        <v>100</v>
      </c>
      <c r="G367" s="94">
        <f ca="1">I367-'main page'!$K$27*hystere!N366</f>
        <v>100</v>
      </c>
      <c r="H367" s="75">
        <f ca="1">J367-'main page'!$K$27*N366</f>
        <v>100</v>
      </c>
      <c r="I367" s="75">
        <f t="shared" ca="1" si="34"/>
        <v>108</v>
      </c>
      <c r="J367" s="75">
        <f t="shared" ca="1" si="35"/>
        <v>108</v>
      </c>
      <c r="M367" s="75">
        <f ca="1">IF(ABS('main page'!$K$29*M366+(1-'main page'!$K$29)*(controls!$B$9/100)*100+'main page'!$K$25*(E367-B367)-M366)&lt;0.0000001,M366,'main page'!$K$29*M366+(1-'main page'!$K$29)*(controls!$B$9/100)*100+'main page'!$K$25*(E367-B367))</f>
        <v>2</v>
      </c>
      <c r="N367" s="75">
        <f ca="1">IF(controls!$B$10=1,N366,O367-'main page'!$K$29*M367-(1-'main page'!$K$29)*controls!$B$9)</f>
        <v>4</v>
      </c>
      <c r="O367" s="74">
        <f t="shared" ca="1" si="30"/>
        <v>6</v>
      </c>
      <c r="P367" s="76">
        <f ca="1">IF(controls!$B$10=1,hystere!N367+hystere!M367,hystere!Q367)</f>
        <v>6</v>
      </c>
      <c r="Q367" s="74">
        <f ca="1">IF('main page'!$Y$53=1,'choose m.p.'!$I$22*100,R367)</f>
        <v>6</v>
      </c>
      <c r="R367" s="100">
        <f ca="1">'main page'!$K$29*M367+(1-'main page'!$K$29)*controls!$B$9+S367+(('main page'!$K$25*'main page'!$U$13*'main page'!$K$29)/('main page'!$K$27*(1+('main page'!$K$25^2)*'main page'!$U$13)))*(M367-(controls!$B$9/100)*100)</f>
        <v>6</v>
      </c>
      <c r="S367" s="98">
        <f ca="1">IF(controls!$B$33=1,(J368-E367*X368-B367)/'main page'!$K$27,(I368-E367*X368-B367)/'main page'!$K$27)</f>
        <v>4</v>
      </c>
      <c r="U367" s="71">
        <f>IF(controls!$B$6=1,$AG$4*(1+('main page'!$K$35/100))^V367-$AG$4*(1+('main page'!$K$35/100))^V366,$AG$4*(1+('main page'!$G$8/100))*(1+('main page'!$K$35/100))^V367-$AG$4*(1+('main page'!$G$8/100))*(1+('main page'!$K$35/100))^V366)</f>
        <v>0</v>
      </c>
      <c r="V367" s="73">
        <v>359</v>
      </c>
      <c r="W367" s="40">
        <f>'normal case'!V366</f>
        <v>0</v>
      </c>
      <c r="X367" s="40">
        <f>'normal case'!W366</f>
        <v>0</v>
      </c>
      <c r="Y367" s="49">
        <f ca="1">IF(controls!$B$33=1,E367-($J$4-'main page'!$K$27*2)*(1+('main page'!$K$35/100))^A366,E367-$AG$5)</f>
        <v>0</v>
      </c>
      <c r="Z367" s="49">
        <f ca="1">ABS(M367-(controls!$B$9/100)*100)</f>
        <v>0</v>
      </c>
      <c r="AI367" s="40"/>
      <c r="AJ367" s="40"/>
    </row>
    <row r="368" spans="1:36">
      <c r="A368" s="48">
        <v>365</v>
      </c>
      <c r="B368" s="75">
        <f ca="1">IF(controls!$B$6=2,AVERAGE(E364:E367)+B367*W368+hystere!$AG$9,AVERAGE(E364:E367)+B367*W368)</f>
        <v>100</v>
      </c>
      <c r="C368" s="80">
        <f t="shared" ca="1" si="31"/>
        <v>0</v>
      </c>
      <c r="D368" s="105">
        <f t="shared" ca="1" si="32"/>
        <v>0</v>
      </c>
      <c r="E368" s="77">
        <f t="shared" ca="1" si="33"/>
        <v>100</v>
      </c>
      <c r="F368" s="77">
        <f ca="1">IF('main page'!$K$34=1,hystere!H368,hystere!G368)</f>
        <v>100</v>
      </c>
      <c r="G368" s="94">
        <f ca="1">I368-'main page'!$K$27*hystere!N367</f>
        <v>100</v>
      </c>
      <c r="H368" s="75">
        <f ca="1">J368-'main page'!$K$27*N367</f>
        <v>100</v>
      </c>
      <c r="I368" s="75">
        <f t="shared" ca="1" si="34"/>
        <v>108</v>
      </c>
      <c r="J368" s="75">
        <f t="shared" ca="1" si="35"/>
        <v>108</v>
      </c>
      <c r="M368" s="75">
        <f ca="1">IF(ABS('main page'!$K$29*M367+(1-'main page'!$K$29)*(controls!$B$9/100)*100+'main page'!$K$25*(E368-B368)-M367)&lt;0.0000001,M367,'main page'!$K$29*M367+(1-'main page'!$K$29)*(controls!$B$9/100)*100+'main page'!$K$25*(E368-B368))</f>
        <v>2</v>
      </c>
      <c r="N368" s="75">
        <f ca="1">IF(controls!$B$10=1,N367,O368-'main page'!$K$29*M368-(1-'main page'!$K$29)*controls!$B$9)</f>
        <v>4</v>
      </c>
      <c r="O368" s="74">
        <f t="shared" ca="1" si="30"/>
        <v>6</v>
      </c>
      <c r="P368" s="76">
        <f ca="1">IF(controls!$B$10=1,hystere!N368+hystere!M368,hystere!Q368)</f>
        <v>6</v>
      </c>
      <c r="Q368" s="74">
        <f ca="1">IF('main page'!$Y$53=1,'choose m.p.'!$I$22*100,R368)</f>
        <v>6</v>
      </c>
      <c r="R368" s="100">
        <f ca="1">'main page'!$K$29*M368+(1-'main page'!$K$29)*controls!$B$9+S368+(('main page'!$K$25*'main page'!$U$13*'main page'!$K$29)/('main page'!$K$27*(1+('main page'!$K$25^2)*'main page'!$U$13)))*(M368-(controls!$B$9/100)*100)</f>
        <v>6</v>
      </c>
      <c r="S368" s="98">
        <f ca="1">IF(controls!$B$33=1,(J369-E368*X369-B368)/'main page'!$K$27,(I369-E368*X369-B368)/'main page'!$K$27)</f>
        <v>4</v>
      </c>
      <c r="U368" s="71">
        <f>IF(controls!$B$6=1,$AG$4*(1+('main page'!$K$35/100))^V368-$AG$4*(1+('main page'!$K$35/100))^V367,$AG$4*(1+('main page'!$G$8/100))*(1+('main page'!$K$35/100))^V368-$AG$4*(1+('main page'!$G$8/100))*(1+('main page'!$K$35/100))^V367)</f>
        <v>0</v>
      </c>
      <c r="V368" s="73">
        <v>360</v>
      </c>
      <c r="W368" s="40">
        <f>'normal case'!V367</f>
        <v>0</v>
      </c>
      <c r="X368" s="40">
        <f>'normal case'!W367</f>
        <v>0</v>
      </c>
      <c r="Y368" s="49">
        <f ca="1">IF(controls!$B$33=1,E368-($J$4-'main page'!$K$27*2)*(1+('main page'!$K$35/100))^A367,E368-$AG$5)</f>
        <v>0</v>
      </c>
      <c r="Z368" s="49">
        <f ca="1">ABS(M368-(controls!$B$9/100)*100)</f>
        <v>0</v>
      </c>
      <c r="AI368" s="40"/>
      <c r="AJ368" s="40"/>
    </row>
    <row r="369" spans="1:36">
      <c r="A369" s="48">
        <v>366</v>
      </c>
      <c r="B369" s="75">
        <f ca="1">IF(controls!$B$6=2,AVERAGE(E365:E368)+B368*W369+hystere!$AG$9,AVERAGE(E365:E368)+B368*W369)</f>
        <v>100</v>
      </c>
      <c r="C369" s="80">
        <f t="shared" ca="1" si="31"/>
        <v>0</v>
      </c>
      <c r="D369" s="105">
        <f t="shared" ca="1" si="32"/>
        <v>0</v>
      </c>
      <c r="E369" s="77">
        <f t="shared" ca="1" si="33"/>
        <v>100</v>
      </c>
      <c r="F369" s="77">
        <f ca="1">IF('main page'!$K$34=1,hystere!H369,hystere!G369)</f>
        <v>100</v>
      </c>
      <c r="G369" s="94">
        <f ca="1">I369-'main page'!$K$27*hystere!N368</f>
        <v>100</v>
      </c>
      <c r="H369" s="75">
        <f ca="1">J369-'main page'!$K$27*N368</f>
        <v>100</v>
      </c>
      <c r="I369" s="75">
        <f t="shared" ca="1" si="34"/>
        <v>108</v>
      </c>
      <c r="J369" s="75">
        <f t="shared" ca="1" si="35"/>
        <v>108</v>
      </c>
      <c r="M369" s="75">
        <f ca="1">IF(ABS('main page'!$K$29*M368+(1-'main page'!$K$29)*(controls!$B$9/100)*100+'main page'!$K$25*(E369-B369)-M368)&lt;0.0000001,M368,'main page'!$K$29*M368+(1-'main page'!$K$29)*(controls!$B$9/100)*100+'main page'!$K$25*(E369-B369))</f>
        <v>2</v>
      </c>
      <c r="N369" s="75">
        <f ca="1">IF(controls!$B$10=1,N368,O369-'main page'!$K$29*M369-(1-'main page'!$K$29)*controls!$B$9)</f>
        <v>4</v>
      </c>
      <c r="O369" s="74">
        <f t="shared" ca="1" si="30"/>
        <v>6</v>
      </c>
      <c r="P369" s="76">
        <f ca="1">IF(controls!$B$10=1,hystere!N369+hystere!M369,hystere!Q369)</f>
        <v>6</v>
      </c>
      <c r="Q369" s="74">
        <f ca="1">IF('main page'!$Y$53=1,'choose m.p.'!$I$22*100,R369)</f>
        <v>6</v>
      </c>
      <c r="R369" s="100">
        <f ca="1">'main page'!$K$29*M369+(1-'main page'!$K$29)*controls!$B$9+S369+(('main page'!$K$25*'main page'!$U$13*'main page'!$K$29)/('main page'!$K$27*(1+('main page'!$K$25^2)*'main page'!$U$13)))*(M369-(controls!$B$9/100)*100)</f>
        <v>6</v>
      </c>
      <c r="S369" s="98">
        <f ca="1">IF(controls!$B$33=1,(J370-E369*X370-B369)/'main page'!$K$27,(I370-E369*X370-B369)/'main page'!$K$27)</f>
        <v>4</v>
      </c>
      <c r="U369" s="71">
        <f>IF(controls!$B$6=1,$AG$4*(1+('main page'!$K$35/100))^V369-$AG$4*(1+('main page'!$K$35/100))^V368,$AG$4*(1+('main page'!$G$8/100))*(1+('main page'!$K$35/100))^V369-$AG$4*(1+('main page'!$G$8/100))*(1+('main page'!$K$35/100))^V368)</f>
        <v>0</v>
      </c>
      <c r="V369" s="73">
        <v>361</v>
      </c>
      <c r="W369" s="40">
        <f ca="1">'normal case'!V368</f>
        <v>0</v>
      </c>
      <c r="X369" s="40">
        <f ca="1">'normal case'!W368</f>
        <v>0</v>
      </c>
      <c r="Y369" s="49">
        <f ca="1">IF(controls!$B$33=1,E369-($J$4-'main page'!$K$27*2)*(1+('main page'!$K$35/100))^A368,E369-$AG$5)</f>
        <v>0</v>
      </c>
      <c r="Z369" s="49">
        <f ca="1">ABS(M369-(controls!$B$9/100)*100)</f>
        <v>0</v>
      </c>
      <c r="AI369" s="40"/>
      <c r="AJ369" s="40"/>
    </row>
    <row r="370" spans="1:36">
      <c r="A370" s="48">
        <v>367</v>
      </c>
      <c r="B370" s="75">
        <f ca="1">IF(controls!$B$6=2,AVERAGE(E366:E369)+B369*W370+hystere!$AG$9,AVERAGE(E366:E369)+B369*W370)</f>
        <v>100</v>
      </c>
      <c r="C370" s="80">
        <f t="shared" ca="1" si="31"/>
        <v>0</v>
      </c>
      <c r="D370" s="105">
        <f t="shared" ca="1" si="32"/>
        <v>0</v>
      </c>
      <c r="E370" s="77">
        <f t="shared" ca="1" si="33"/>
        <v>100</v>
      </c>
      <c r="F370" s="77">
        <f ca="1">IF('main page'!$K$34=1,hystere!H370,hystere!G370)</f>
        <v>100</v>
      </c>
      <c r="G370" s="94">
        <f ca="1">I370-'main page'!$K$27*hystere!N369</f>
        <v>100</v>
      </c>
      <c r="H370" s="75">
        <f ca="1">J370-'main page'!$K$27*N369</f>
        <v>100</v>
      </c>
      <c r="I370" s="75">
        <f t="shared" ca="1" si="34"/>
        <v>108</v>
      </c>
      <c r="J370" s="75">
        <f t="shared" ca="1" si="35"/>
        <v>108</v>
      </c>
      <c r="M370" s="75">
        <f ca="1">IF(ABS('main page'!$K$29*M369+(1-'main page'!$K$29)*(controls!$B$9/100)*100+'main page'!$K$25*(E370-B370)-M369)&lt;0.0000001,M369,'main page'!$K$29*M369+(1-'main page'!$K$29)*(controls!$B$9/100)*100+'main page'!$K$25*(E370-B370))</f>
        <v>2</v>
      </c>
      <c r="N370" s="75">
        <f ca="1">IF(controls!$B$10=1,N369,O370-'main page'!$K$29*M370-(1-'main page'!$K$29)*controls!$B$9)</f>
        <v>4</v>
      </c>
      <c r="O370" s="74">
        <f t="shared" ca="1" si="30"/>
        <v>6</v>
      </c>
      <c r="P370" s="76">
        <f ca="1">IF(controls!$B$10=1,hystere!N370+hystere!M370,hystere!Q370)</f>
        <v>6</v>
      </c>
      <c r="Q370" s="74">
        <f ca="1">IF('main page'!$Y$53=1,'choose m.p.'!$I$22*100,R370)</f>
        <v>6</v>
      </c>
      <c r="R370" s="100">
        <f ca="1">'main page'!$K$29*M370+(1-'main page'!$K$29)*controls!$B$9+S370+(('main page'!$K$25*'main page'!$U$13*'main page'!$K$29)/('main page'!$K$27*(1+('main page'!$K$25^2)*'main page'!$U$13)))*(M370-(controls!$B$9/100)*100)</f>
        <v>6</v>
      </c>
      <c r="S370" s="98">
        <f ca="1">IF(controls!$B$33=1,(J371-E370*X371-B370)/'main page'!$K$27,(I371-E370*X371-B370)/'main page'!$K$27)</f>
        <v>4</v>
      </c>
      <c r="U370" s="71">
        <f>IF(controls!$B$6=1,$AG$4*(1+('main page'!$K$35/100))^V370-$AG$4*(1+('main page'!$K$35/100))^V369,$AG$4*(1+('main page'!$G$8/100))*(1+('main page'!$K$35/100))^V370-$AG$4*(1+('main page'!$G$8/100))*(1+('main page'!$K$35/100))^V369)</f>
        <v>0</v>
      </c>
      <c r="V370" s="73">
        <v>362</v>
      </c>
      <c r="W370" s="40">
        <f>'normal case'!V369</f>
        <v>0</v>
      </c>
      <c r="X370" s="40">
        <f>'normal case'!W369</f>
        <v>0</v>
      </c>
      <c r="Y370" s="49">
        <f ca="1">IF(controls!$B$33=1,E370-($J$4-'main page'!$K$27*2)*(1+('main page'!$K$35/100))^A369,E370-$AG$5)</f>
        <v>0</v>
      </c>
      <c r="Z370" s="49">
        <f ca="1">ABS(M370-(controls!$B$9/100)*100)</f>
        <v>0</v>
      </c>
      <c r="AI370" s="40"/>
      <c r="AJ370" s="40"/>
    </row>
    <row r="371" spans="1:36">
      <c r="A371" s="48">
        <v>368</v>
      </c>
      <c r="B371" s="75">
        <f ca="1">IF(controls!$B$6=2,AVERAGE(E367:E370)+B370*W371+hystere!$AG$9,AVERAGE(E367:E370)+B370*W371)</f>
        <v>100</v>
      </c>
      <c r="C371" s="80">
        <f t="shared" ca="1" si="31"/>
        <v>0</v>
      </c>
      <c r="D371" s="105">
        <f t="shared" ca="1" si="32"/>
        <v>0</v>
      </c>
      <c r="E371" s="77">
        <f t="shared" ca="1" si="33"/>
        <v>100</v>
      </c>
      <c r="F371" s="77">
        <f ca="1">IF('main page'!$K$34=1,hystere!H371,hystere!G371)</f>
        <v>100</v>
      </c>
      <c r="G371" s="94">
        <f ca="1">I371-'main page'!$K$27*hystere!N370</f>
        <v>100</v>
      </c>
      <c r="H371" s="75">
        <f ca="1">J371-'main page'!$K$27*N370</f>
        <v>100</v>
      </c>
      <c r="I371" s="75">
        <f t="shared" ca="1" si="34"/>
        <v>108</v>
      </c>
      <c r="J371" s="75">
        <f t="shared" ca="1" si="35"/>
        <v>108</v>
      </c>
      <c r="M371" s="75">
        <f ca="1">IF(ABS('main page'!$K$29*M370+(1-'main page'!$K$29)*(controls!$B$9/100)*100+'main page'!$K$25*(E371-B371)-M370)&lt;0.0000001,M370,'main page'!$K$29*M370+(1-'main page'!$K$29)*(controls!$B$9/100)*100+'main page'!$K$25*(E371-B371))</f>
        <v>2</v>
      </c>
      <c r="N371" s="75">
        <f ca="1">IF(controls!$B$10=1,N370,O371-'main page'!$K$29*M371-(1-'main page'!$K$29)*controls!$B$9)</f>
        <v>4</v>
      </c>
      <c r="O371" s="74">
        <f t="shared" ca="1" si="30"/>
        <v>6</v>
      </c>
      <c r="P371" s="76">
        <f ca="1">IF(controls!$B$10=1,hystere!N371+hystere!M371,hystere!Q371)</f>
        <v>6</v>
      </c>
      <c r="Q371" s="74">
        <f ca="1">IF('main page'!$Y$53=1,'choose m.p.'!$I$22*100,R371)</f>
        <v>6</v>
      </c>
      <c r="R371" s="100">
        <f ca="1">'main page'!$K$29*M371+(1-'main page'!$K$29)*controls!$B$9+S371+(('main page'!$K$25*'main page'!$U$13*'main page'!$K$29)/('main page'!$K$27*(1+('main page'!$K$25^2)*'main page'!$U$13)))*(M371-(controls!$B$9/100)*100)</f>
        <v>6</v>
      </c>
      <c r="S371" s="98">
        <f ca="1">IF(controls!$B$33=1,(J372-E371*X372-B371)/'main page'!$K$27,(I372-E371*X372-B371)/'main page'!$K$27)</f>
        <v>4</v>
      </c>
      <c r="U371" s="71">
        <f>IF(controls!$B$6=1,$AG$4*(1+('main page'!$K$35/100))^V371-$AG$4*(1+('main page'!$K$35/100))^V370,$AG$4*(1+('main page'!$G$8/100))*(1+('main page'!$K$35/100))^V371-$AG$4*(1+('main page'!$G$8/100))*(1+('main page'!$K$35/100))^V370)</f>
        <v>0</v>
      </c>
      <c r="V371" s="73">
        <v>363</v>
      </c>
      <c r="W371" s="40">
        <f>'normal case'!V370</f>
        <v>0</v>
      </c>
      <c r="X371" s="40">
        <f>'normal case'!W370</f>
        <v>0</v>
      </c>
      <c r="Y371" s="49">
        <f ca="1">IF(controls!$B$33=1,E371-($J$4-'main page'!$K$27*2)*(1+('main page'!$K$35/100))^A370,E371-$AG$5)</f>
        <v>0</v>
      </c>
      <c r="Z371" s="49">
        <f ca="1">ABS(M371-(controls!$B$9/100)*100)</f>
        <v>0</v>
      </c>
      <c r="AI371" s="40"/>
      <c r="AJ371" s="40"/>
    </row>
    <row r="372" spans="1:36">
      <c r="A372" s="48">
        <v>369</v>
      </c>
      <c r="B372" s="75">
        <f ca="1">IF(controls!$B$6=2,AVERAGE(E368:E371)+B371*W372+hystere!$AG$9,AVERAGE(E368:E371)+B371*W372)</f>
        <v>100</v>
      </c>
      <c r="C372" s="80">
        <f t="shared" ca="1" si="31"/>
        <v>0</v>
      </c>
      <c r="D372" s="105">
        <f t="shared" ca="1" si="32"/>
        <v>0</v>
      </c>
      <c r="E372" s="77">
        <f t="shared" ca="1" si="33"/>
        <v>100</v>
      </c>
      <c r="F372" s="77">
        <f ca="1">IF('main page'!$K$34=1,hystere!H372,hystere!G372)</f>
        <v>100</v>
      </c>
      <c r="G372" s="94">
        <f ca="1">I372-'main page'!$K$27*hystere!N371</f>
        <v>100</v>
      </c>
      <c r="H372" s="75">
        <f ca="1">J372-'main page'!$K$27*N371</f>
        <v>100</v>
      </c>
      <c r="I372" s="75">
        <f t="shared" ca="1" si="34"/>
        <v>108</v>
      </c>
      <c r="J372" s="75">
        <f t="shared" ca="1" si="35"/>
        <v>108</v>
      </c>
      <c r="M372" s="75">
        <f ca="1">IF(ABS('main page'!$K$29*M371+(1-'main page'!$K$29)*(controls!$B$9/100)*100+'main page'!$K$25*(E372-B372)-M371)&lt;0.0000001,M371,'main page'!$K$29*M371+(1-'main page'!$K$29)*(controls!$B$9/100)*100+'main page'!$K$25*(E372-B372))</f>
        <v>2</v>
      </c>
      <c r="N372" s="75">
        <f ca="1">IF(controls!$B$10=1,N371,O372-'main page'!$K$29*M372-(1-'main page'!$K$29)*controls!$B$9)</f>
        <v>4</v>
      </c>
      <c r="O372" s="74">
        <f t="shared" ca="1" si="30"/>
        <v>6</v>
      </c>
      <c r="P372" s="76">
        <f ca="1">IF(controls!$B$10=1,hystere!N372+hystere!M372,hystere!Q372)</f>
        <v>6</v>
      </c>
      <c r="Q372" s="74">
        <f ca="1">IF('main page'!$Y$53=1,'choose m.p.'!$I$22*100,R372)</f>
        <v>6</v>
      </c>
      <c r="R372" s="100">
        <f ca="1">'main page'!$K$29*M372+(1-'main page'!$K$29)*controls!$B$9+S372+(('main page'!$K$25*'main page'!$U$13*'main page'!$K$29)/('main page'!$K$27*(1+('main page'!$K$25^2)*'main page'!$U$13)))*(M372-(controls!$B$9/100)*100)</f>
        <v>6</v>
      </c>
      <c r="S372" s="98">
        <f ca="1">IF(controls!$B$33=1,(J373-E372*X373-B372)/'main page'!$K$27,(I373-E372*X373-B372)/'main page'!$K$27)</f>
        <v>4</v>
      </c>
      <c r="U372" s="71">
        <f>IF(controls!$B$6=1,$AG$4*(1+('main page'!$K$35/100))^V372-$AG$4*(1+('main page'!$K$35/100))^V371,$AG$4*(1+('main page'!$G$8/100))*(1+('main page'!$K$35/100))^V372-$AG$4*(1+('main page'!$G$8/100))*(1+('main page'!$K$35/100))^V371)</f>
        <v>0</v>
      </c>
      <c r="V372" s="73">
        <v>364</v>
      </c>
      <c r="W372" s="40">
        <f ca="1">'normal case'!V371</f>
        <v>0</v>
      </c>
      <c r="X372" s="40">
        <f ca="1">'normal case'!W371</f>
        <v>0</v>
      </c>
      <c r="Y372" s="49">
        <f ca="1">IF(controls!$B$33=1,E372-($J$4-'main page'!$K$27*2)*(1+('main page'!$K$35/100))^A371,E372-$AG$5)</f>
        <v>0</v>
      </c>
      <c r="Z372" s="49">
        <f ca="1">ABS(M372-(controls!$B$9/100)*100)</f>
        <v>0</v>
      </c>
      <c r="AI372" s="40"/>
      <c r="AJ372" s="40"/>
    </row>
    <row r="373" spans="1:36">
      <c r="A373" s="48">
        <v>370</v>
      </c>
      <c r="B373" s="75">
        <f ca="1">IF(controls!$B$6=2,AVERAGE(E369:E372)+B372*W373+hystere!$AG$9,AVERAGE(E369:E372)+B372*W373)</f>
        <v>100</v>
      </c>
      <c r="C373" s="80">
        <f t="shared" ca="1" si="31"/>
        <v>0</v>
      </c>
      <c r="D373" s="105">
        <f t="shared" ca="1" si="32"/>
        <v>0</v>
      </c>
      <c r="E373" s="77">
        <f t="shared" ca="1" si="33"/>
        <v>100</v>
      </c>
      <c r="F373" s="77">
        <f ca="1">IF('main page'!$K$34=1,hystere!H373,hystere!G373)</f>
        <v>100</v>
      </c>
      <c r="G373" s="94">
        <f ca="1">I373-'main page'!$K$27*hystere!N372</f>
        <v>100</v>
      </c>
      <c r="H373" s="75">
        <f ca="1">J373-'main page'!$K$27*N372</f>
        <v>100</v>
      </c>
      <c r="I373" s="75">
        <f t="shared" ca="1" si="34"/>
        <v>108</v>
      </c>
      <c r="J373" s="75">
        <f t="shared" ca="1" si="35"/>
        <v>108</v>
      </c>
      <c r="M373" s="75">
        <f ca="1">IF(ABS('main page'!$K$29*M372+(1-'main page'!$K$29)*(controls!$B$9/100)*100+'main page'!$K$25*(E373-B373)-M372)&lt;0.0000001,M372,'main page'!$K$29*M372+(1-'main page'!$K$29)*(controls!$B$9/100)*100+'main page'!$K$25*(E373-B373))</f>
        <v>2</v>
      </c>
      <c r="N373" s="75">
        <f ca="1">IF(controls!$B$10=1,N372,O373-'main page'!$K$29*M373-(1-'main page'!$K$29)*controls!$B$9)</f>
        <v>4</v>
      </c>
      <c r="O373" s="74">
        <f t="shared" ca="1" si="30"/>
        <v>6</v>
      </c>
      <c r="P373" s="76">
        <f ca="1">IF(controls!$B$10=1,hystere!N373+hystere!M373,hystere!Q373)</f>
        <v>6</v>
      </c>
      <c r="Q373" s="74">
        <f ca="1">IF('main page'!$Y$53=1,'choose m.p.'!$I$22*100,R373)</f>
        <v>6</v>
      </c>
      <c r="R373" s="100">
        <f ca="1">'main page'!$K$29*M373+(1-'main page'!$K$29)*controls!$B$9+S373+(('main page'!$K$25*'main page'!$U$13*'main page'!$K$29)/('main page'!$K$27*(1+('main page'!$K$25^2)*'main page'!$U$13)))*(M373-(controls!$B$9/100)*100)</f>
        <v>6</v>
      </c>
      <c r="S373" s="98">
        <f ca="1">IF(controls!$B$33=1,(J374-E373*X374-B373)/'main page'!$K$27,(I374-E373*X374-B373)/'main page'!$K$27)</f>
        <v>4</v>
      </c>
      <c r="U373" s="71">
        <f>IF(controls!$B$6=1,$AG$4*(1+('main page'!$K$35/100))^V373-$AG$4*(1+('main page'!$K$35/100))^V372,$AG$4*(1+('main page'!$G$8/100))*(1+('main page'!$K$35/100))^V373-$AG$4*(1+('main page'!$G$8/100))*(1+('main page'!$K$35/100))^V372)</f>
        <v>0</v>
      </c>
      <c r="V373" s="73">
        <v>365</v>
      </c>
      <c r="W373" s="40">
        <f>'normal case'!V372</f>
        <v>0</v>
      </c>
      <c r="X373" s="40">
        <f>'normal case'!W372</f>
        <v>0</v>
      </c>
      <c r="Y373" s="49">
        <f ca="1">IF(controls!$B$33=1,E373-($J$4-'main page'!$K$27*2)*(1+('main page'!$K$35/100))^A372,E373-$AG$5)</f>
        <v>0</v>
      </c>
      <c r="Z373" s="49">
        <f ca="1">ABS(M373-(controls!$B$9/100)*100)</f>
        <v>0</v>
      </c>
      <c r="AI373" s="40"/>
      <c r="AJ373" s="40"/>
    </row>
    <row r="374" spans="1:36">
      <c r="A374" s="48">
        <v>371</v>
      </c>
      <c r="B374" s="75">
        <f ca="1">IF(controls!$B$6=2,AVERAGE(E370:E373)+B373*W374+hystere!$AG$9,AVERAGE(E370:E373)+B373*W374)</f>
        <v>100</v>
      </c>
      <c r="C374" s="80">
        <f t="shared" ca="1" si="31"/>
        <v>0</v>
      </c>
      <c r="D374" s="105">
        <f t="shared" ca="1" si="32"/>
        <v>0</v>
      </c>
      <c r="E374" s="77">
        <f t="shared" ca="1" si="33"/>
        <v>100</v>
      </c>
      <c r="F374" s="77">
        <f ca="1">IF('main page'!$K$34=1,hystere!H374,hystere!G374)</f>
        <v>100</v>
      </c>
      <c r="G374" s="94">
        <f ca="1">I374-'main page'!$K$27*hystere!N373</f>
        <v>100</v>
      </c>
      <c r="H374" s="75">
        <f ca="1">J374-'main page'!$K$27*N373</f>
        <v>100</v>
      </c>
      <c r="I374" s="75">
        <f t="shared" ca="1" si="34"/>
        <v>108</v>
      </c>
      <c r="J374" s="75">
        <f t="shared" ca="1" si="35"/>
        <v>108</v>
      </c>
      <c r="M374" s="75">
        <f ca="1">IF(ABS('main page'!$K$29*M373+(1-'main page'!$K$29)*(controls!$B$9/100)*100+'main page'!$K$25*(E374-B374)-M373)&lt;0.0000001,M373,'main page'!$K$29*M373+(1-'main page'!$K$29)*(controls!$B$9/100)*100+'main page'!$K$25*(E374-B374))</f>
        <v>2</v>
      </c>
      <c r="N374" s="75">
        <f ca="1">IF(controls!$B$10=1,N373,O374-'main page'!$K$29*M374-(1-'main page'!$K$29)*controls!$B$9)</f>
        <v>4</v>
      </c>
      <c r="O374" s="74">
        <f t="shared" ca="1" si="30"/>
        <v>6</v>
      </c>
      <c r="P374" s="76">
        <f ca="1">IF(controls!$B$10=1,hystere!N374+hystere!M374,hystere!Q374)</f>
        <v>6</v>
      </c>
      <c r="Q374" s="74">
        <f ca="1">IF('main page'!$Y$53=1,'choose m.p.'!$I$22*100,R374)</f>
        <v>6</v>
      </c>
      <c r="R374" s="100">
        <f ca="1">'main page'!$K$29*M374+(1-'main page'!$K$29)*controls!$B$9+S374+(('main page'!$K$25*'main page'!$U$13*'main page'!$K$29)/('main page'!$K$27*(1+('main page'!$K$25^2)*'main page'!$U$13)))*(M374-(controls!$B$9/100)*100)</f>
        <v>6</v>
      </c>
      <c r="S374" s="98">
        <f ca="1">IF(controls!$B$33=1,(J375-E374*X375-B374)/'main page'!$K$27,(I375-E374*X375-B374)/'main page'!$K$27)</f>
        <v>4</v>
      </c>
      <c r="U374" s="71">
        <f>IF(controls!$B$6=1,$AG$4*(1+('main page'!$K$35/100))^V374-$AG$4*(1+('main page'!$K$35/100))^V373,$AG$4*(1+('main page'!$G$8/100))*(1+('main page'!$K$35/100))^V374-$AG$4*(1+('main page'!$G$8/100))*(1+('main page'!$K$35/100))^V373)</f>
        <v>0</v>
      </c>
      <c r="V374" s="73">
        <v>366</v>
      </c>
      <c r="W374" s="40">
        <f>'normal case'!V373</f>
        <v>0</v>
      </c>
      <c r="X374" s="40">
        <f>'normal case'!W373</f>
        <v>0</v>
      </c>
      <c r="Y374" s="49">
        <f ca="1">IF(controls!$B$33=1,E374-($J$4-'main page'!$K$27*2)*(1+('main page'!$K$35/100))^A373,E374-$AG$5)</f>
        <v>0</v>
      </c>
      <c r="Z374" s="49">
        <f ca="1">ABS(M374-(controls!$B$9/100)*100)</f>
        <v>0</v>
      </c>
      <c r="AI374" s="40"/>
      <c r="AJ374" s="40"/>
    </row>
    <row r="375" spans="1:36">
      <c r="A375" s="48">
        <v>372</v>
      </c>
      <c r="B375" s="75">
        <f ca="1">IF(controls!$B$6=2,AVERAGE(E371:E374)+B374*W375+hystere!$AG$9,AVERAGE(E371:E374)+B374*W375)</f>
        <v>100</v>
      </c>
      <c r="C375" s="80">
        <f t="shared" ca="1" si="31"/>
        <v>0</v>
      </c>
      <c r="D375" s="105">
        <f t="shared" ca="1" si="32"/>
        <v>0</v>
      </c>
      <c r="E375" s="77">
        <f t="shared" ca="1" si="33"/>
        <v>100</v>
      </c>
      <c r="F375" s="77">
        <f ca="1">IF('main page'!$K$34=1,hystere!H375,hystere!G375)</f>
        <v>100</v>
      </c>
      <c r="G375" s="94">
        <f ca="1">I375-'main page'!$K$27*hystere!N374</f>
        <v>100</v>
      </c>
      <c r="H375" s="75">
        <f ca="1">J375-'main page'!$K$27*N374</f>
        <v>100</v>
      </c>
      <c r="I375" s="75">
        <f t="shared" ca="1" si="34"/>
        <v>108</v>
      </c>
      <c r="J375" s="75">
        <f t="shared" ca="1" si="35"/>
        <v>108</v>
      </c>
      <c r="M375" s="75">
        <f ca="1">IF(ABS('main page'!$K$29*M374+(1-'main page'!$K$29)*(controls!$B$9/100)*100+'main page'!$K$25*(E375-B375)-M374)&lt;0.0000001,M374,'main page'!$K$29*M374+(1-'main page'!$K$29)*(controls!$B$9/100)*100+'main page'!$K$25*(E375-B375))</f>
        <v>2</v>
      </c>
      <c r="N375" s="75">
        <f ca="1">IF(controls!$B$10=1,N374,O375-'main page'!$K$29*M375-(1-'main page'!$K$29)*controls!$B$9)</f>
        <v>4</v>
      </c>
      <c r="O375" s="74">
        <f t="shared" ca="1" si="30"/>
        <v>6</v>
      </c>
      <c r="P375" s="76">
        <f ca="1">IF(controls!$B$10=1,hystere!N375+hystere!M375,hystere!Q375)</f>
        <v>6</v>
      </c>
      <c r="Q375" s="74">
        <f ca="1">IF('main page'!$Y$53=1,'choose m.p.'!$I$22*100,R375)</f>
        <v>6</v>
      </c>
      <c r="R375" s="100">
        <f ca="1">'main page'!$K$29*M375+(1-'main page'!$K$29)*controls!$B$9+S375+(('main page'!$K$25*'main page'!$U$13*'main page'!$K$29)/('main page'!$K$27*(1+('main page'!$K$25^2)*'main page'!$U$13)))*(M375-(controls!$B$9/100)*100)</f>
        <v>6</v>
      </c>
      <c r="S375" s="98">
        <f ca="1">IF(controls!$B$33=1,(J376-E375*X376-B375)/'main page'!$K$27,(I376-E375*X376-B375)/'main page'!$K$27)</f>
        <v>4</v>
      </c>
      <c r="U375" s="71">
        <f>IF(controls!$B$6=1,$AG$4*(1+('main page'!$K$35/100))^V375-$AG$4*(1+('main page'!$K$35/100))^V374,$AG$4*(1+('main page'!$G$8/100))*(1+('main page'!$K$35/100))^V375-$AG$4*(1+('main page'!$G$8/100))*(1+('main page'!$K$35/100))^V374)</f>
        <v>0</v>
      </c>
      <c r="V375" s="73">
        <v>367</v>
      </c>
      <c r="W375" s="40">
        <f ca="1">'normal case'!V374</f>
        <v>0</v>
      </c>
      <c r="X375" s="40">
        <f ca="1">'normal case'!W374</f>
        <v>0</v>
      </c>
      <c r="Y375" s="49">
        <f ca="1">IF(controls!$B$33=1,E375-($J$4-'main page'!$K$27*2)*(1+('main page'!$K$35/100))^A374,E375-$AG$5)</f>
        <v>0</v>
      </c>
      <c r="Z375" s="49">
        <f ca="1">ABS(M375-(controls!$B$9/100)*100)</f>
        <v>0</v>
      </c>
      <c r="AI375" s="40"/>
      <c r="AJ375" s="40"/>
    </row>
    <row r="376" spans="1:36">
      <c r="A376" s="48">
        <v>373</v>
      </c>
      <c r="B376" s="75">
        <f ca="1">IF(controls!$B$6=2,AVERAGE(E372:E375)+B375*W376+hystere!$AG$9,AVERAGE(E372:E375)+B375*W376)</f>
        <v>100</v>
      </c>
      <c r="C376" s="80">
        <f t="shared" ca="1" si="31"/>
        <v>0</v>
      </c>
      <c r="D376" s="105">
        <f t="shared" ca="1" si="32"/>
        <v>0</v>
      </c>
      <c r="E376" s="77">
        <f t="shared" ca="1" si="33"/>
        <v>100</v>
      </c>
      <c r="F376" s="77">
        <f ca="1">IF('main page'!$K$34=1,hystere!H376,hystere!G376)</f>
        <v>100</v>
      </c>
      <c r="G376" s="94">
        <f ca="1">I376-'main page'!$K$27*hystere!N375</f>
        <v>100</v>
      </c>
      <c r="H376" s="75">
        <f ca="1">J376-'main page'!$K$27*N375</f>
        <v>100</v>
      </c>
      <c r="I376" s="75">
        <f t="shared" ca="1" si="34"/>
        <v>108</v>
      </c>
      <c r="J376" s="75">
        <f t="shared" ca="1" si="35"/>
        <v>108</v>
      </c>
      <c r="M376" s="75">
        <f ca="1">IF(ABS('main page'!$K$29*M375+(1-'main page'!$K$29)*(controls!$B$9/100)*100+'main page'!$K$25*(E376-B376)-M375)&lt;0.0000001,M375,'main page'!$K$29*M375+(1-'main page'!$K$29)*(controls!$B$9/100)*100+'main page'!$K$25*(E376-B376))</f>
        <v>2</v>
      </c>
      <c r="N376" s="75">
        <f ca="1">IF(controls!$B$10=1,N375,O376-'main page'!$K$29*M376-(1-'main page'!$K$29)*controls!$B$9)</f>
        <v>4</v>
      </c>
      <c r="O376" s="74">
        <f t="shared" ca="1" si="30"/>
        <v>6</v>
      </c>
      <c r="P376" s="76">
        <f ca="1">IF(controls!$B$10=1,hystere!N376+hystere!M376,hystere!Q376)</f>
        <v>6</v>
      </c>
      <c r="Q376" s="74">
        <f ca="1">IF('main page'!$Y$53=1,'choose m.p.'!$I$22*100,R376)</f>
        <v>6</v>
      </c>
      <c r="R376" s="100">
        <f ca="1">'main page'!$K$29*M376+(1-'main page'!$K$29)*controls!$B$9+S376+(('main page'!$K$25*'main page'!$U$13*'main page'!$K$29)/('main page'!$K$27*(1+('main page'!$K$25^2)*'main page'!$U$13)))*(M376-(controls!$B$9/100)*100)</f>
        <v>6</v>
      </c>
      <c r="S376" s="98">
        <f ca="1">IF(controls!$B$33=1,(J377-E376*X377-B376)/'main page'!$K$27,(I377-E376*X377-B376)/'main page'!$K$27)</f>
        <v>4</v>
      </c>
      <c r="U376" s="71">
        <f>IF(controls!$B$6=1,$AG$4*(1+('main page'!$K$35/100))^V376-$AG$4*(1+('main page'!$K$35/100))^V375,$AG$4*(1+('main page'!$G$8/100))*(1+('main page'!$K$35/100))^V376-$AG$4*(1+('main page'!$G$8/100))*(1+('main page'!$K$35/100))^V375)</f>
        <v>0</v>
      </c>
      <c r="V376" s="73">
        <v>368</v>
      </c>
      <c r="W376" s="40">
        <f>'normal case'!V375</f>
        <v>0</v>
      </c>
      <c r="X376" s="40">
        <f>'normal case'!W375</f>
        <v>0</v>
      </c>
      <c r="Y376" s="49">
        <f ca="1">IF(controls!$B$33=1,E376-($J$4-'main page'!$K$27*2)*(1+('main page'!$K$35/100))^A375,E376-$AG$5)</f>
        <v>0</v>
      </c>
      <c r="Z376" s="49">
        <f ca="1">ABS(M376-(controls!$B$9/100)*100)</f>
        <v>0</v>
      </c>
      <c r="AI376" s="40"/>
      <c r="AJ376" s="40"/>
    </row>
    <row r="377" spans="1:36">
      <c r="A377" s="48">
        <v>374</v>
      </c>
      <c r="B377" s="75">
        <f ca="1">IF(controls!$B$6=2,AVERAGE(E373:E376)+B376*W377+hystere!$AG$9,AVERAGE(E373:E376)+B376*W377)</f>
        <v>100</v>
      </c>
      <c r="C377" s="80">
        <f t="shared" ca="1" si="31"/>
        <v>0</v>
      </c>
      <c r="D377" s="105">
        <f t="shared" ca="1" si="32"/>
        <v>0</v>
      </c>
      <c r="E377" s="77">
        <f t="shared" ca="1" si="33"/>
        <v>100</v>
      </c>
      <c r="F377" s="77">
        <f ca="1">IF('main page'!$K$34=1,hystere!H377,hystere!G377)</f>
        <v>100</v>
      </c>
      <c r="G377" s="94">
        <f ca="1">I377-'main page'!$K$27*hystere!N376</f>
        <v>100</v>
      </c>
      <c r="H377" s="75">
        <f ca="1">J377-'main page'!$K$27*N376</f>
        <v>100</v>
      </c>
      <c r="I377" s="75">
        <f t="shared" ca="1" si="34"/>
        <v>108</v>
      </c>
      <c r="J377" s="75">
        <f t="shared" ca="1" si="35"/>
        <v>108</v>
      </c>
      <c r="M377" s="75">
        <f ca="1">IF(ABS('main page'!$K$29*M376+(1-'main page'!$K$29)*(controls!$B$9/100)*100+'main page'!$K$25*(E377-B377)-M376)&lt;0.0000001,M376,'main page'!$K$29*M376+(1-'main page'!$K$29)*(controls!$B$9/100)*100+'main page'!$K$25*(E377-B377))</f>
        <v>2</v>
      </c>
      <c r="N377" s="75">
        <f ca="1">IF(controls!$B$10=1,N376,O377-'main page'!$K$29*M377-(1-'main page'!$K$29)*controls!$B$9)</f>
        <v>4</v>
      </c>
      <c r="O377" s="74">
        <f t="shared" ca="1" si="30"/>
        <v>6</v>
      </c>
      <c r="P377" s="76">
        <f ca="1">IF(controls!$B$10=1,hystere!N377+hystere!M377,hystere!Q377)</f>
        <v>6</v>
      </c>
      <c r="Q377" s="74">
        <f ca="1">IF('main page'!$Y$53=1,'choose m.p.'!$I$22*100,R377)</f>
        <v>6</v>
      </c>
      <c r="R377" s="100">
        <f ca="1">'main page'!$K$29*M377+(1-'main page'!$K$29)*controls!$B$9+S377+(('main page'!$K$25*'main page'!$U$13*'main page'!$K$29)/('main page'!$K$27*(1+('main page'!$K$25^2)*'main page'!$U$13)))*(M377-(controls!$B$9/100)*100)</f>
        <v>6</v>
      </c>
      <c r="S377" s="98">
        <f ca="1">IF(controls!$B$33=1,(J378-E377*X378-B377)/'main page'!$K$27,(I378-E377*X378-B377)/'main page'!$K$27)</f>
        <v>4</v>
      </c>
      <c r="U377" s="71">
        <f>IF(controls!$B$6=1,$AG$4*(1+('main page'!$K$35/100))^V377-$AG$4*(1+('main page'!$K$35/100))^V376,$AG$4*(1+('main page'!$G$8/100))*(1+('main page'!$K$35/100))^V377-$AG$4*(1+('main page'!$G$8/100))*(1+('main page'!$K$35/100))^V376)</f>
        <v>0</v>
      </c>
      <c r="V377" s="73">
        <v>369</v>
      </c>
      <c r="W377" s="40">
        <f>'normal case'!V376</f>
        <v>0</v>
      </c>
      <c r="X377" s="40">
        <f>'normal case'!W376</f>
        <v>0</v>
      </c>
      <c r="Y377" s="49">
        <f ca="1">IF(controls!$B$33=1,E377-($J$4-'main page'!$K$27*2)*(1+('main page'!$K$35/100))^A376,E377-$AG$5)</f>
        <v>0</v>
      </c>
      <c r="Z377" s="49">
        <f ca="1">ABS(M377-(controls!$B$9/100)*100)</f>
        <v>0</v>
      </c>
      <c r="AI377" s="40"/>
      <c r="AJ377" s="40"/>
    </row>
    <row r="378" spans="1:36">
      <c r="A378" s="48">
        <v>375</v>
      </c>
      <c r="B378" s="75">
        <f ca="1">IF(controls!$B$6=2,AVERAGE(E374:E377)+B377*W378+hystere!$AG$9,AVERAGE(E374:E377)+B377*W378)</f>
        <v>100</v>
      </c>
      <c r="C378" s="80">
        <f t="shared" ca="1" si="31"/>
        <v>0</v>
      </c>
      <c r="D378" s="105">
        <f t="shared" ca="1" si="32"/>
        <v>0</v>
      </c>
      <c r="E378" s="77">
        <f t="shared" ca="1" si="33"/>
        <v>100</v>
      </c>
      <c r="F378" s="77">
        <f ca="1">IF('main page'!$K$34=1,hystere!H378,hystere!G378)</f>
        <v>100</v>
      </c>
      <c r="G378" s="94">
        <f ca="1">I378-'main page'!$K$27*hystere!N377</f>
        <v>100</v>
      </c>
      <c r="H378" s="75">
        <f ca="1">J378-'main page'!$K$27*N377</f>
        <v>100</v>
      </c>
      <c r="I378" s="75">
        <f t="shared" ca="1" si="34"/>
        <v>108</v>
      </c>
      <c r="J378" s="75">
        <f t="shared" ca="1" si="35"/>
        <v>108</v>
      </c>
      <c r="M378" s="75">
        <f ca="1">IF(ABS('main page'!$K$29*M377+(1-'main page'!$K$29)*(controls!$B$9/100)*100+'main page'!$K$25*(E378-B378)-M377)&lt;0.0000001,M377,'main page'!$K$29*M377+(1-'main page'!$K$29)*(controls!$B$9/100)*100+'main page'!$K$25*(E378-B378))</f>
        <v>2</v>
      </c>
      <c r="N378" s="75">
        <f ca="1">IF(controls!$B$10=1,N377,O378-'main page'!$K$29*M378-(1-'main page'!$K$29)*controls!$B$9)</f>
        <v>4</v>
      </c>
      <c r="O378" s="74">
        <f t="shared" ca="1" si="30"/>
        <v>6</v>
      </c>
      <c r="P378" s="76">
        <f ca="1">IF(controls!$B$10=1,hystere!N378+hystere!M378,hystere!Q378)</f>
        <v>6</v>
      </c>
      <c r="Q378" s="74">
        <f ca="1">IF('main page'!$Y$53=1,'choose m.p.'!$I$22*100,R378)</f>
        <v>6</v>
      </c>
      <c r="R378" s="100">
        <f ca="1">'main page'!$K$29*M378+(1-'main page'!$K$29)*controls!$B$9+S378+(('main page'!$K$25*'main page'!$U$13*'main page'!$K$29)/('main page'!$K$27*(1+('main page'!$K$25^2)*'main page'!$U$13)))*(M378-(controls!$B$9/100)*100)</f>
        <v>6</v>
      </c>
      <c r="S378" s="98">
        <f ca="1">IF(controls!$B$33=1,(J379-E378*X379-B378)/'main page'!$K$27,(I379-E378*X379-B378)/'main page'!$K$27)</f>
        <v>4</v>
      </c>
      <c r="U378" s="71">
        <f>IF(controls!$B$6=1,$AG$4*(1+('main page'!$K$35/100))^V378-$AG$4*(1+('main page'!$K$35/100))^V377,$AG$4*(1+('main page'!$G$8/100))*(1+('main page'!$K$35/100))^V378-$AG$4*(1+('main page'!$G$8/100))*(1+('main page'!$K$35/100))^V377)</f>
        <v>0</v>
      </c>
      <c r="V378" s="73">
        <v>370</v>
      </c>
      <c r="W378" s="40">
        <f ca="1">'normal case'!V377</f>
        <v>0</v>
      </c>
      <c r="X378" s="40">
        <f ca="1">'normal case'!W377</f>
        <v>0</v>
      </c>
      <c r="Y378" s="49">
        <f ca="1">IF(controls!$B$33=1,E378-($J$4-'main page'!$K$27*2)*(1+('main page'!$K$35/100))^A377,E378-$AG$5)</f>
        <v>0</v>
      </c>
      <c r="Z378" s="49">
        <f ca="1">ABS(M378-(controls!$B$9/100)*100)</f>
        <v>0</v>
      </c>
      <c r="AI378" s="40"/>
      <c r="AJ378" s="40"/>
    </row>
    <row r="379" spans="1:36">
      <c r="A379" s="48">
        <v>376</v>
      </c>
      <c r="B379" s="75">
        <f ca="1">IF(controls!$B$6=2,AVERAGE(E375:E378)+B378*W379+hystere!$AG$9,AVERAGE(E375:E378)+B378*W379)</f>
        <v>100</v>
      </c>
      <c r="C379" s="80">
        <f t="shared" ca="1" si="31"/>
        <v>0</v>
      </c>
      <c r="D379" s="105">
        <f t="shared" ca="1" si="32"/>
        <v>0</v>
      </c>
      <c r="E379" s="77">
        <f t="shared" ca="1" si="33"/>
        <v>100</v>
      </c>
      <c r="F379" s="77">
        <f ca="1">IF('main page'!$K$34=1,hystere!H379,hystere!G379)</f>
        <v>100</v>
      </c>
      <c r="G379" s="94">
        <f ca="1">I379-'main page'!$K$27*hystere!N378</f>
        <v>100</v>
      </c>
      <c r="H379" s="75">
        <f ca="1">J379-'main page'!$K$27*N378</f>
        <v>100</v>
      </c>
      <c r="I379" s="75">
        <f t="shared" ca="1" si="34"/>
        <v>108</v>
      </c>
      <c r="J379" s="75">
        <f t="shared" ca="1" si="35"/>
        <v>108</v>
      </c>
      <c r="M379" s="75">
        <f ca="1">IF(ABS('main page'!$K$29*M378+(1-'main page'!$K$29)*(controls!$B$9/100)*100+'main page'!$K$25*(E379-B379)-M378)&lt;0.0000001,M378,'main page'!$K$29*M378+(1-'main page'!$K$29)*(controls!$B$9/100)*100+'main page'!$K$25*(E379-B379))</f>
        <v>2</v>
      </c>
      <c r="N379" s="75">
        <f ca="1">IF(controls!$B$10=1,N378,O379-'main page'!$K$29*M379-(1-'main page'!$K$29)*controls!$B$9)</f>
        <v>4</v>
      </c>
      <c r="O379" s="74">
        <f t="shared" ca="1" si="30"/>
        <v>6</v>
      </c>
      <c r="P379" s="76">
        <f ca="1">IF(controls!$B$10=1,hystere!N379+hystere!M379,hystere!Q379)</f>
        <v>6</v>
      </c>
      <c r="Q379" s="74">
        <f ca="1">IF('main page'!$Y$53=1,'choose m.p.'!$I$22*100,R379)</f>
        <v>6</v>
      </c>
      <c r="R379" s="100">
        <f ca="1">'main page'!$K$29*M379+(1-'main page'!$K$29)*controls!$B$9+S379+(('main page'!$K$25*'main page'!$U$13*'main page'!$K$29)/('main page'!$K$27*(1+('main page'!$K$25^2)*'main page'!$U$13)))*(M379-(controls!$B$9/100)*100)</f>
        <v>6</v>
      </c>
      <c r="S379" s="98">
        <f ca="1">IF(controls!$B$33=1,(J380-E379*X380-B379)/'main page'!$K$27,(I380-E379*X380-B379)/'main page'!$K$27)</f>
        <v>4</v>
      </c>
      <c r="U379" s="71">
        <f>IF(controls!$B$6=1,$AG$4*(1+('main page'!$K$35/100))^V379-$AG$4*(1+('main page'!$K$35/100))^V378,$AG$4*(1+('main page'!$G$8/100))*(1+('main page'!$K$35/100))^V379-$AG$4*(1+('main page'!$G$8/100))*(1+('main page'!$K$35/100))^V378)</f>
        <v>0</v>
      </c>
      <c r="V379" s="73">
        <v>371</v>
      </c>
      <c r="W379" s="40">
        <f>'normal case'!V378</f>
        <v>0</v>
      </c>
      <c r="X379" s="40">
        <f>'normal case'!W378</f>
        <v>0</v>
      </c>
      <c r="Y379" s="49">
        <f ca="1">IF(controls!$B$33=1,E379-($J$4-'main page'!$K$27*2)*(1+('main page'!$K$35/100))^A378,E379-$AG$5)</f>
        <v>0</v>
      </c>
      <c r="Z379" s="49">
        <f ca="1">ABS(M379-(controls!$B$9/100)*100)</f>
        <v>0</v>
      </c>
      <c r="AI379" s="40"/>
      <c r="AJ379" s="40"/>
    </row>
    <row r="380" spans="1:36">
      <c r="A380" s="48">
        <v>377</v>
      </c>
      <c r="B380" s="75">
        <f ca="1">IF(controls!$B$6=2,AVERAGE(E376:E379)+B379*W380+hystere!$AG$9,AVERAGE(E376:E379)+B379*W380)</f>
        <v>100</v>
      </c>
      <c r="C380" s="80">
        <f t="shared" ca="1" si="31"/>
        <v>0</v>
      </c>
      <c r="D380" s="105">
        <f t="shared" ca="1" si="32"/>
        <v>0</v>
      </c>
      <c r="E380" s="77">
        <f t="shared" ca="1" si="33"/>
        <v>100</v>
      </c>
      <c r="F380" s="77">
        <f ca="1">IF('main page'!$K$34=1,hystere!H380,hystere!G380)</f>
        <v>100</v>
      </c>
      <c r="G380" s="94">
        <f ca="1">I380-'main page'!$K$27*hystere!N379</f>
        <v>100</v>
      </c>
      <c r="H380" s="75">
        <f ca="1">J380-'main page'!$K$27*N379</f>
        <v>100</v>
      </c>
      <c r="I380" s="75">
        <f t="shared" ca="1" si="34"/>
        <v>108</v>
      </c>
      <c r="J380" s="75">
        <f t="shared" ca="1" si="35"/>
        <v>108</v>
      </c>
      <c r="M380" s="75">
        <f ca="1">IF(ABS('main page'!$K$29*M379+(1-'main page'!$K$29)*(controls!$B$9/100)*100+'main page'!$K$25*(E380-B380)-M379)&lt;0.0000001,M379,'main page'!$K$29*M379+(1-'main page'!$K$29)*(controls!$B$9/100)*100+'main page'!$K$25*(E380-B380))</f>
        <v>2</v>
      </c>
      <c r="N380" s="75">
        <f ca="1">IF(controls!$B$10=1,N379,O380-'main page'!$K$29*M380-(1-'main page'!$K$29)*controls!$B$9)</f>
        <v>4</v>
      </c>
      <c r="O380" s="74">
        <f t="shared" ca="1" si="30"/>
        <v>6</v>
      </c>
      <c r="P380" s="76">
        <f ca="1">IF(controls!$B$10=1,hystere!N380+hystere!M380,hystere!Q380)</f>
        <v>6</v>
      </c>
      <c r="Q380" s="74">
        <f ca="1">IF('main page'!$Y$53=1,'choose m.p.'!$I$22*100,R380)</f>
        <v>6</v>
      </c>
      <c r="R380" s="100">
        <f ca="1">'main page'!$K$29*M380+(1-'main page'!$K$29)*controls!$B$9+S380+(('main page'!$K$25*'main page'!$U$13*'main page'!$K$29)/('main page'!$K$27*(1+('main page'!$K$25^2)*'main page'!$U$13)))*(M380-(controls!$B$9/100)*100)</f>
        <v>6</v>
      </c>
      <c r="S380" s="98">
        <f ca="1">IF(controls!$B$33=1,(J381-E380*X381-B380)/'main page'!$K$27,(I381-E380*X381-B380)/'main page'!$K$27)</f>
        <v>4</v>
      </c>
      <c r="U380" s="71">
        <f>IF(controls!$B$6=1,$AG$4*(1+('main page'!$K$35/100))^V380-$AG$4*(1+('main page'!$K$35/100))^V379,$AG$4*(1+('main page'!$G$8/100))*(1+('main page'!$K$35/100))^V380-$AG$4*(1+('main page'!$G$8/100))*(1+('main page'!$K$35/100))^V379)</f>
        <v>0</v>
      </c>
      <c r="V380" s="73">
        <v>372</v>
      </c>
      <c r="W380" s="40">
        <f>'normal case'!V379</f>
        <v>0</v>
      </c>
      <c r="X380" s="40">
        <f>'normal case'!W379</f>
        <v>0</v>
      </c>
      <c r="Y380" s="49">
        <f ca="1">IF(controls!$B$33=1,E380-($J$4-'main page'!$K$27*2)*(1+('main page'!$K$35/100))^A379,E380-$AG$5)</f>
        <v>0</v>
      </c>
      <c r="Z380" s="49">
        <f ca="1">ABS(M380-(controls!$B$9/100)*100)</f>
        <v>0</v>
      </c>
      <c r="AI380" s="40"/>
      <c r="AJ380" s="40"/>
    </row>
    <row r="381" spans="1:36">
      <c r="A381" s="48">
        <v>378</v>
      </c>
      <c r="B381" s="75">
        <f ca="1">IF(controls!$B$6=2,AVERAGE(E377:E380)+B380*W381+hystere!$AG$9,AVERAGE(E377:E380)+B380*W381)</f>
        <v>100</v>
      </c>
      <c r="C381" s="80">
        <f t="shared" ca="1" si="31"/>
        <v>0</v>
      </c>
      <c r="D381" s="105">
        <f t="shared" ca="1" si="32"/>
        <v>0</v>
      </c>
      <c r="E381" s="77">
        <f t="shared" ca="1" si="33"/>
        <v>100</v>
      </c>
      <c r="F381" s="77">
        <f ca="1">IF('main page'!$K$34=1,hystere!H381,hystere!G381)</f>
        <v>100</v>
      </c>
      <c r="G381" s="94">
        <f ca="1">I381-'main page'!$K$27*hystere!N380</f>
        <v>100</v>
      </c>
      <c r="H381" s="75">
        <f ca="1">J381-'main page'!$K$27*N380</f>
        <v>100</v>
      </c>
      <c r="I381" s="75">
        <f t="shared" ca="1" si="34"/>
        <v>108</v>
      </c>
      <c r="J381" s="75">
        <f t="shared" ca="1" si="35"/>
        <v>108</v>
      </c>
      <c r="M381" s="75">
        <f ca="1">IF(ABS('main page'!$K$29*M380+(1-'main page'!$K$29)*(controls!$B$9/100)*100+'main page'!$K$25*(E381-B381)-M380)&lt;0.0000001,M380,'main page'!$K$29*M380+(1-'main page'!$K$29)*(controls!$B$9/100)*100+'main page'!$K$25*(E381-B381))</f>
        <v>2</v>
      </c>
      <c r="N381" s="75">
        <f ca="1">IF(controls!$B$10=1,N380,O381-'main page'!$K$29*M381-(1-'main page'!$K$29)*controls!$B$9)</f>
        <v>4</v>
      </c>
      <c r="O381" s="74">
        <f t="shared" ca="1" si="30"/>
        <v>6</v>
      </c>
      <c r="P381" s="76">
        <f ca="1">IF(controls!$B$10=1,hystere!N381+hystere!M381,hystere!Q381)</f>
        <v>6</v>
      </c>
      <c r="Q381" s="74">
        <f ca="1">IF('main page'!$Y$53=1,'choose m.p.'!$I$22*100,R381)</f>
        <v>6</v>
      </c>
      <c r="R381" s="100">
        <f ca="1">'main page'!$K$29*M381+(1-'main page'!$K$29)*controls!$B$9+S381+(('main page'!$K$25*'main page'!$U$13*'main page'!$K$29)/('main page'!$K$27*(1+('main page'!$K$25^2)*'main page'!$U$13)))*(M381-(controls!$B$9/100)*100)</f>
        <v>6</v>
      </c>
      <c r="S381" s="98">
        <f ca="1">IF(controls!$B$33=1,(J382-E381*X382-B381)/'main page'!$K$27,(I382-E381*X382-B381)/'main page'!$K$27)</f>
        <v>4</v>
      </c>
      <c r="U381" s="71">
        <f>IF(controls!$B$6=1,$AG$4*(1+('main page'!$K$35/100))^V381-$AG$4*(1+('main page'!$K$35/100))^V380,$AG$4*(1+('main page'!$G$8/100))*(1+('main page'!$K$35/100))^V381-$AG$4*(1+('main page'!$G$8/100))*(1+('main page'!$K$35/100))^V380)</f>
        <v>0</v>
      </c>
      <c r="V381" s="73">
        <v>373</v>
      </c>
      <c r="W381" s="40">
        <f ca="1">'normal case'!V380</f>
        <v>0</v>
      </c>
      <c r="X381" s="40">
        <f ca="1">'normal case'!W380</f>
        <v>0</v>
      </c>
      <c r="Y381" s="49">
        <f ca="1">IF(controls!$B$33=1,E381-($J$4-'main page'!$K$27*2)*(1+('main page'!$K$35/100))^A380,E381-$AG$5)</f>
        <v>0</v>
      </c>
      <c r="Z381" s="49">
        <f ca="1">ABS(M381-(controls!$B$9/100)*100)</f>
        <v>0</v>
      </c>
      <c r="AI381" s="40"/>
      <c r="AJ381" s="40"/>
    </row>
    <row r="382" spans="1:36">
      <c r="A382" s="48">
        <v>379</v>
      </c>
      <c r="B382" s="75">
        <f ca="1">IF(controls!$B$6=2,AVERAGE(E378:E381)+B381*W382+hystere!$AG$9,AVERAGE(E378:E381)+B381*W382)</f>
        <v>100</v>
      </c>
      <c r="C382" s="80">
        <f t="shared" ca="1" si="31"/>
        <v>0</v>
      </c>
      <c r="D382" s="105">
        <f t="shared" ca="1" si="32"/>
        <v>0</v>
      </c>
      <c r="E382" s="77">
        <f t="shared" ca="1" si="33"/>
        <v>100</v>
      </c>
      <c r="F382" s="77">
        <f ca="1">IF('main page'!$K$34=1,hystere!H382,hystere!G382)</f>
        <v>100</v>
      </c>
      <c r="G382" s="94">
        <f ca="1">I382-'main page'!$K$27*hystere!N381</f>
        <v>100</v>
      </c>
      <c r="H382" s="75">
        <f ca="1">J382-'main page'!$K$27*N381</f>
        <v>100</v>
      </c>
      <c r="I382" s="75">
        <f t="shared" ca="1" si="34"/>
        <v>108</v>
      </c>
      <c r="J382" s="75">
        <f t="shared" ca="1" si="35"/>
        <v>108</v>
      </c>
      <c r="M382" s="75">
        <f ca="1">IF(ABS('main page'!$K$29*M381+(1-'main page'!$K$29)*(controls!$B$9/100)*100+'main page'!$K$25*(E382-B382)-M381)&lt;0.0000001,M381,'main page'!$K$29*M381+(1-'main page'!$K$29)*(controls!$B$9/100)*100+'main page'!$K$25*(E382-B382))</f>
        <v>2</v>
      </c>
      <c r="N382" s="75">
        <f ca="1">IF(controls!$B$10=1,N381,O382-'main page'!$K$29*M382-(1-'main page'!$K$29)*controls!$B$9)</f>
        <v>4</v>
      </c>
      <c r="O382" s="74">
        <f t="shared" ca="1" si="30"/>
        <v>6</v>
      </c>
      <c r="P382" s="76">
        <f ca="1">IF(controls!$B$10=1,hystere!N382+hystere!M382,hystere!Q382)</f>
        <v>6</v>
      </c>
      <c r="Q382" s="74">
        <f ca="1">IF('main page'!$Y$53=1,'choose m.p.'!$I$22*100,R382)</f>
        <v>6</v>
      </c>
      <c r="R382" s="100">
        <f ca="1">'main page'!$K$29*M382+(1-'main page'!$K$29)*controls!$B$9+S382+(('main page'!$K$25*'main page'!$U$13*'main page'!$K$29)/('main page'!$K$27*(1+('main page'!$K$25^2)*'main page'!$U$13)))*(M382-(controls!$B$9/100)*100)</f>
        <v>6</v>
      </c>
      <c r="S382" s="98">
        <f ca="1">IF(controls!$B$33=1,(J383-E382*X383-B382)/'main page'!$K$27,(I383-E382*X383-B382)/'main page'!$K$27)</f>
        <v>4</v>
      </c>
      <c r="U382" s="71">
        <f>IF(controls!$B$6=1,$AG$4*(1+('main page'!$K$35/100))^V382-$AG$4*(1+('main page'!$K$35/100))^V381,$AG$4*(1+('main page'!$G$8/100))*(1+('main page'!$K$35/100))^V382-$AG$4*(1+('main page'!$G$8/100))*(1+('main page'!$K$35/100))^V381)</f>
        <v>0</v>
      </c>
      <c r="V382" s="73">
        <v>374</v>
      </c>
      <c r="W382" s="40">
        <f>'normal case'!V381</f>
        <v>0</v>
      </c>
      <c r="X382" s="40">
        <f>'normal case'!W381</f>
        <v>0</v>
      </c>
      <c r="Y382" s="49">
        <f ca="1">IF(controls!$B$33=1,E382-($J$4-'main page'!$K$27*2)*(1+('main page'!$K$35/100))^A381,E382-$AG$5)</f>
        <v>0</v>
      </c>
      <c r="Z382" s="49">
        <f ca="1">ABS(M382-(controls!$B$9/100)*100)</f>
        <v>0</v>
      </c>
      <c r="AI382" s="40"/>
      <c r="AJ382" s="40"/>
    </row>
    <row r="383" spans="1:36">
      <c r="A383" s="48">
        <v>380</v>
      </c>
      <c r="B383" s="75">
        <f ca="1">IF(controls!$B$6=2,AVERAGE(E379:E382)+B382*W383+hystere!$AG$9,AVERAGE(E379:E382)+B382*W383)</f>
        <v>100</v>
      </c>
      <c r="C383" s="80">
        <f t="shared" ca="1" si="31"/>
        <v>0</v>
      </c>
      <c r="D383" s="105">
        <f t="shared" ca="1" si="32"/>
        <v>0</v>
      </c>
      <c r="E383" s="77">
        <f t="shared" ca="1" si="33"/>
        <v>100</v>
      </c>
      <c r="F383" s="77">
        <f ca="1">IF('main page'!$K$34=1,hystere!H383,hystere!G383)</f>
        <v>100</v>
      </c>
      <c r="G383" s="94">
        <f ca="1">I383-'main page'!$K$27*hystere!N382</f>
        <v>100</v>
      </c>
      <c r="H383" s="75">
        <f ca="1">J383-'main page'!$K$27*N382</f>
        <v>100</v>
      </c>
      <c r="I383" s="75">
        <f t="shared" ca="1" si="34"/>
        <v>108</v>
      </c>
      <c r="J383" s="75">
        <f t="shared" ca="1" si="35"/>
        <v>108</v>
      </c>
      <c r="M383" s="75">
        <f ca="1">IF(ABS('main page'!$K$29*M382+(1-'main page'!$K$29)*(controls!$B$9/100)*100+'main page'!$K$25*(E383-B383)-M382)&lt;0.0000001,M382,'main page'!$K$29*M382+(1-'main page'!$K$29)*(controls!$B$9/100)*100+'main page'!$K$25*(E383-B383))</f>
        <v>2</v>
      </c>
      <c r="N383" s="75">
        <f ca="1">IF(controls!$B$10=1,N382,O383-'main page'!$K$29*M383-(1-'main page'!$K$29)*controls!$B$9)</f>
        <v>4</v>
      </c>
      <c r="O383" s="74">
        <f t="shared" ca="1" si="30"/>
        <v>6</v>
      </c>
      <c r="P383" s="76">
        <f ca="1">IF(controls!$B$10=1,hystere!N383+hystere!M383,hystere!Q383)</f>
        <v>6</v>
      </c>
      <c r="Q383" s="74">
        <f ca="1">IF('main page'!$Y$53=1,'choose m.p.'!$I$22*100,R383)</f>
        <v>6</v>
      </c>
      <c r="R383" s="100">
        <f ca="1">'main page'!$K$29*M383+(1-'main page'!$K$29)*controls!$B$9+S383+(('main page'!$K$25*'main page'!$U$13*'main page'!$K$29)/('main page'!$K$27*(1+('main page'!$K$25^2)*'main page'!$U$13)))*(M383-(controls!$B$9/100)*100)</f>
        <v>6</v>
      </c>
      <c r="S383" s="98">
        <f ca="1">IF(controls!$B$33=1,(J384-E383*X384-B383)/'main page'!$K$27,(I384-E383*X384-B383)/'main page'!$K$27)</f>
        <v>4</v>
      </c>
      <c r="U383" s="71">
        <f>IF(controls!$B$6=1,$AG$4*(1+('main page'!$K$35/100))^V383-$AG$4*(1+('main page'!$K$35/100))^V382,$AG$4*(1+('main page'!$G$8/100))*(1+('main page'!$K$35/100))^V383-$AG$4*(1+('main page'!$G$8/100))*(1+('main page'!$K$35/100))^V382)</f>
        <v>0</v>
      </c>
      <c r="V383" s="73">
        <v>375</v>
      </c>
      <c r="W383" s="40">
        <f>'normal case'!V382</f>
        <v>0</v>
      </c>
      <c r="X383" s="40">
        <f>'normal case'!W382</f>
        <v>0</v>
      </c>
      <c r="Y383" s="49">
        <f ca="1">IF(controls!$B$33=1,E383-($J$4-'main page'!$K$27*2)*(1+('main page'!$K$35/100))^A382,E383-$AG$5)</f>
        <v>0</v>
      </c>
      <c r="Z383" s="49">
        <f ca="1">ABS(M383-(controls!$B$9/100)*100)</f>
        <v>0</v>
      </c>
      <c r="AI383" s="40"/>
      <c r="AJ383" s="40"/>
    </row>
    <row r="384" spans="1:36">
      <c r="A384" s="48">
        <v>381</v>
      </c>
      <c r="B384" s="75">
        <f ca="1">IF(controls!$B$6=2,AVERAGE(E380:E383)+B383*W384+hystere!$AG$9,AVERAGE(E380:E383)+B383*W384)</f>
        <v>100</v>
      </c>
      <c r="C384" s="80">
        <f t="shared" ca="1" si="31"/>
        <v>0</v>
      </c>
      <c r="D384" s="105">
        <f t="shared" ca="1" si="32"/>
        <v>0</v>
      </c>
      <c r="E384" s="77">
        <f t="shared" ca="1" si="33"/>
        <v>100</v>
      </c>
      <c r="F384" s="77">
        <f ca="1">IF('main page'!$K$34=1,hystere!H384,hystere!G384)</f>
        <v>100</v>
      </c>
      <c r="G384" s="94">
        <f ca="1">I384-'main page'!$K$27*hystere!N383</f>
        <v>100</v>
      </c>
      <c r="H384" s="75">
        <f ca="1">J384-'main page'!$K$27*N383</f>
        <v>100</v>
      </c>
      <c r="I384" s="75">
        <f t="shared" ca="1" si="34"/>
        <v>108</v>
      </c>
      <c r="J384" s="75">
        <f t="shared" ca="1" si="35"/>
        <v>108</v>
      </c>
      <c r="M384" s="75">
        <f ca="1">IF(ABS('main page'!$K$29*M383+(1-'main page'!$K$29)*(controls!$B$9/100)*100+'main page'!$K$25*(E384-B384)-M383)&lt;0.0000001,M383,'main page'!$K$29*M383+(1-'main page'!$K$29)*(controls!$B$9/100)*100+'main page'!$K$25*(E384-B384))</f>
        <v>2</v>
      </c>
      <c r="N384" s="75">
        <f ca="1">IF(controls!$B$10=1,N383,O384-'main page'!$K$29*M384-(1-'main page'!$K$29)*controls!$B$9)</f>
        <v>4</v>
      </c>
      <c r="O384" s="74">
        <f t="shared" ca="1" si="30"/>
        <v>6</v>
      </c>
      <c r="P384" s="76">
        <f ca="1">IF(controls!$B$10=1,hystere!N384+hystere!M384,hystere!Q384)</f>
        <v>6</v>
      </c>
      <c r="Q384" s="74">
        <f ca="1">IF('main page'!$Y$53=1,'choose m.p.'!$I$22*100,R384)</f>
        <v>6</v>
      </c>
      <c r="R384" s="100">
        <f ca="1">'main page'!$K$29*M384+(1-'main page'!$K$29)*controls!$B$9+S384+(('main page'!$K$25*'main page'!$U$13*'main page'!$K$29)/('main page'!$K$27*(1+('main page'!$K$25^2)*'main page'!$U$13)))*(M384-(controls!$B$9/100)*100)</f>
        <v>6</v>
      </c>
      <c r="S384" s="98">
        <f ca="1">IF(controls!$B$33=1,(J385-E384*X385-B384)/'main page'!$K$27,(I385-E384*X385-B384)/'main page'!$K$27)</f>
        <v>4</v>
      </c>
      <c r="U384" s="71">
        <f>IF(controls!$B$6=1,$AG$4*(1+('main page'!$K$35/100))^V384-$AG$4*(1+('main page'!$K$35/100))^V383,$AG$4*(1+('main page'!$G$8/100))*(1+('main page'!$K$35/100))^V384-$AG$4*(1+('main page'!$G$8/100))*(1+('main page'!$K$35/100))^V383)</f>
        <v>0</v>
      </c>
      <c r="V384" s="73">
        <v>376</v>
      </c>
      <c r="W384" s="40">
        <f ca="1">'normal case'!V383</f>
        <v>0</v>
      </c>
      <c r="X384" s="40">
        <f ca="1">'normal case'!W383</f>
        <v>0</v>
      </c>
      <c r="Y384" s="49">
        <f ca="1">IF(controls!$B$33=1,E384-($J$4-'main page'!$K$27*2)*(1+('main page'!$K$35/100))^A383,E384-$AG$5)</f>
        <v>0</v>
      </c>
      <c r="Z384" s="49">
        <f ca="1">ABS(M384-(controls!$B$9/100)*100)</f>
        <v>0</v>
      </c>
      <c r="AI384" s="40"/>
      <c r="AJ384" s="40"/>
    </row>
    <row r="385" spans="1:36">
      <c r="A385" s="48">
        <v>382</v>
      </c>
      <c r="B385" s="75">
        <f ca="1">IF(controls!$B$6=2,AVERAGE(E381:E384)+B384*W385+hystere!$AG$9,AVERAGE(E381:E384)+B384*W385)</f>
        <v>100</v>
      </c>
      <c r="C385" s="80">
        <f t="shared" ca="1" si="31"/>
        <v>0</v>
      </c>
      <c r="D385" s="105">
        <f t="shared" ca="1" si="32"/>
        <v>0</v>
      </c>
      <c r="E385" s="77">
        <f t="shared" ca="1" si="33"/>
        <v>100</v>
      </c>
      <c r="F385" s="77">
        <f ca="1">IF('main page'!$K$34=1,hystere!H385,hystere!G385)</f>
        <v>100</v>
      </c>
      <c r="G385" s="94">
        <f ca="1">I385-'main page'!$K$27*hystere!N384</f>
        <v>100</v>
      </c>
      <c r="H385" s="75">
        <f ca="1">J385-'main page'!$K$27*N384</f>
        <v>100</v>
      </c>
      <c r="I385" s="75">
        <f t="shared" ca="1" si="34"/>
        <v>108</v>
      </c>
      <c r="J385" s="75">
        <f t="shared" ca="1" si="35"/>
        <v>108</v>
      </c>
      <c r="M385" s="75">
        <f ca="1">IF(ABS('main page'!$K$29*M384+(1-'main page'!$K$29)*(controls!$B$9/100)*100+'main page'!$K$25*(E385-B385)-M384)&lt;0.0000001,M384,'main page'!$K$29*M384+(1-'main page'!$K$29)*(controls!$B$9/100)*100+'main page'!$K$25*(E385-B385))</f>
        <v>2</v>
      </c>
      <c r="N385" s="75">
        <f ca="1">IF(controls!$B$10=1,N384,O385-'main page'!$K$29*M385-(1-'main page'!$K$29)*controls!$B$9)</f>
        <v>4</v>
      </c>
      <c r="O385" s="74">
        <f t="shared" ca="1" si="30"/>
        <v>6</v>
      </c>
      <c r="P385" s="76">
        <f ca="1">IF(controls!$B$10=1,hystere!N385+hystere!M385,hystere!Q385)</f>
        <v>6</v>
      </c>
      <c r="Q385" s="74">
        <f ca="1">IF('main page'!$Y$53=1,'choose m.p.'!$I$22*100,R385)</f>
        <v>6</v>
      </c>
      <c r="R385" s="100">
        <f ca="1">'main page'!$K$29*M385+(1-'main page'!$K$29)*controls!$B$9+S385+(('main page'!$K$25*'main page'!$U$13*'main page'!$K$29)/('main page'!$K$27*(1+('main page'!$K$25^2)*'main page'!$U$13)))*(M385-(controls!$B$9/100)*100)</f>
        <v>6</v>
      </c>
      <c r="S385" s="98">
        <f ca="1">IF(controls!$B$33=1,(J386-E385*X386-B385)/'main page'!$K$27,(I386-E385*X386-B385)/'main page'!$K$27)</f>
        <v>4</v>
      </c>
      <c r="U385" s="71">
        <f>IF(controls!$B$6=1,$AG$4*(1+('main page'!$K$35/100))^V385-$AG$4*(1+('main page'!$K$35/100))^V384,$AG$4*(1+('main page'!$G$8/100))*(1+('main page'!$K$35/100))^V385-$AG$4*(1+('main page'!$G$8/100))*(1+('main page'!$K$35/100))^V384)</f>
        <v>0</v>
      </c>
      <c r="V385" s="73">
        <v>377</v>
      </c>
      <c r="W385" s="40">
        <f>'normal case'!V384</f>
        <v>0</v>
      </c>
      <c r="X385" s="40">
        <f>'normal case'!W384</f>
        <v>0</v>
      </c>
      <c r="Y385" s="49">
        <f ca="1">IF(controls!$B$33=1,E385-($J$4-'main page'!$K$27*2)*(1+('main page'!$K$35/100))^A384,E385-$AG$5)</f>
        <v>0</v>
      </c>
      <c r="Z385" s="49">
        <f ca="1">ABS(M385-(controls!$B$9/100)*100)</f>
        <v>0</v>
      </c>
      <c r="AI385" s="40"/>
      <c r="AJ385" s="40"/>
    </row>
    <row r="386" spans="1:36">
      <c r="A386" s="48">
        <v>383</v>
      </c>
      <c r="B386" s="75">
        <f ca="1">IF(controls!$B$6=2,AVERAGE(E382:E385)+B385*W386+hystere!$AG$9,AVERAGE(E382:E385)+B385*W386)</f>
        <v>100</v>
      </c>
      <c r="C386" s="80">
        <f t="shared" ca="1" si="31"/>
        <v>0</v>
      </c>
      <c r="D386" s="105">
        <f t="shared" ca="1" si="32"/>
        <v>0</v>
      </c>
      <c r="E386" s="77">
        <f t="shared" ca="1" si="33"/>
        <v>100</v>
      </c>
      <c r="F386" s="77">
        <f ca="1">IF('main page'!$K$34=1,hystere!H386,hystere!G386)</f>
        <v>100</v>
      </c>
      <c r="G386" s="94">
        <f ca="1">I386-'main page'!$K$27*hystere!N385</f>
        <v>100</v>
      </c>
      <c r="H386" s="75">
        <f ca="1">J386-'main page'!$K$27*N385</f>
        <v>100</v>
      </c>
      <c r="I386" s="75">
        <f t="shared" ca="1" si="34"/>
        <v>108</v>
      </c>
      <c r="J386" s="75">
        <f t="shared" ca="1" si="35"/>
        <v>108</v>
      </c>
      <c r="M386" s="75">
        <f ca="1">IF(ABS('main page'!$K$29*M385+(1-'main page'!$K$29)*(controls!$B$9/100)*100+'main page'!$K$25*(E386-B386)-M385)&lt;0.0000001,M385,'main page'!$K$29*M385+(1-'main page'!$K$29)*(controls!$B$9/100)*100+'main page'!$K$25*(E386-B386))</f>
        <v>2</v>
      </c>
      <c r="N386" s="75">
        <f ca="1">IF(controls!$B$10=1,N385,O386-'main page'!$K$29*M386-(1-'main page'!$K$29)*controls!$B$9)</f>
        <v>4</v>
      </c>
      <c r="O386" s="74">
        <f t="shared" ca="1" si="30"/>
        <v>6</v>
      </c>
      <c r="P386" s="76">
        <f ca="1">IF(controls!$B$10=1,hystere!N386+hystere!M386,hystere!Q386)</f>
        <v>6</v>
      </c>
      <c r="Q386" s="74">
        <f ca="1">IF('main page'!$Y$53=1,'choose m.p.'!$I$22*100,R386)</f>
        <v>6</v>
      </c>
      <c r="R386" s="100">
        <f ca="1">'main page'!$K$29*M386+(1-'main page'!$K$29)*controls!$B$9+S386+(('main page'!$K$25*'main page'!$U$13*'main page'!$K$29)/('main page'!$K$27*(1+('main page'!$K$25^2)*'main page'!$U$13)))*(M386-(controls!$B$9/100)*100)</f>
        <v>6</v>
      </c>
      <c r="S386" s="98">
        <f ca="1">IF(controls!$B$33=1,(J387-E386*X387-B386)/'main page'!$K$27,(I387-E386*X387-B386)/'main page'!$K$27)</f>
        <v>4</v>
      </c>
      <c r="U386" s="71">
        <f>IF(controls!$B$6=1,$AG$4*(1+('main page'!$K$35/100))^V386-$AG$4*(1+('main page'!$K$35/100))^V385,$AG$4*(1+('main page'!$G$8/100))*(1+('main page'!$K$35/100))^V386-$AG$4*(1+('main page'!$G$8/100))*(1+('main page'!$K$35/100))^V385)</f>
        <v>0</v>
      </c>
      <c r="V386" s="73">
        <v>378</v>
      </c>
      <c r="W386" s="40">
        <f>'normal case'!V385</f>
        <v>0</v>
      </c>
      <c r="X386" s="40">
        <f>'normal case'!W385</f>
        <v>0</v>
      </c>
      <c r="Y386" s="49">
        <f ca="1">IF(controls!$B$33=1,E386-($J$4-'main page'!$K$27*2)*(1+('main page'!$K$35/100))^A385,E386-$AG$5)</f>
        <v>0</v>
      </c>
      <c r="Z386" s="49">
        <f ca="1">ABS(M386-(controls!$B$9/100)*100)</f>
        <v>0</v>
      </c>
      <c r="AI386" s="40"/>
      <c r="AJ386" s="40"/>
    </row>
    <row r="387" spans="1:36">
      <c r="A387" s="48">
        <v>384</v>
      </c>
      <c r="B387" s="75">
        <f ca="1">IF(controls!$B$6=2,AVERAGE(E383:E386)+B386*W387+hystere!$AG$9,AVERAGE(E383:E386)+B386*W387)</f>
        <v>100</v>
      </c>
      <c r="C387" s="80">
        <f t="shared" ca="1" si="31"/>
        <v>0</v>
      </c>
      <c r="D387" s="105">
        <f t="shared" ca="1" si="32"/>
        <v>0</v>
      </c>
      <c r="E387" s="77">
        <f t="shared" ca="1" si="33"/>
        <v>100</v>
      </c>
      <c r="F387" s="77">
        <f ca="1">IF('main page'!$K$34=1,hystere!H387,hystere!G387)</f>
        <v>100</v>
      </c>
      <c r="G387" s="94">
        <f ca="1">I387-'main page'!$K$27*hystere!N386</f>
        <v>100</v>
      </c>
      <c r="H387" s="75">
        <f ca="1">J387-'main page'!$K$27*N386</f>
        <v>100</v>
      </c>
      <c r="I387" s="75">
        <f t="shared" ca="1" si="34"/>
        <v>108</v>
      </c>
      <c r="J387" s="75">
        <f t="shared" ca="1" si="35"/>
        <v>108</v>
      </c>
      <c r="M387" s="75">
        <f ca="1">IF(ABS('main page'!$K$29*M386+(1-'main page'!$K$29)*(controls!$B$9/100)*100+'main page'!$K$25*(E387-B387)-M386)&lt;0.0000001,M386,'main page'!$K$29*M386+(1-'main page'!$K$29)*(controls!$B$9/100)*100+'main page'!$K$25*(E387-B387))</f>
        <v>2</v>
      </c>
      <c r="N387" s="75">
        <f ca="1">IF(controls!$B$10=1,N386,O387-'main page'!$K$29*M387-(1-'main page'!$K$29)*controls!$B$9)</f>
        <v>4</v>
      </c>
      <c r="O387" s="74">
        <f t="shared" ca="1" si="30"/>
        <v>6</v>
      </c>
      <c r="P387" s="76">
        <f ca="1">IF(controls!$B$10=1,hystere!N387+hystere!M387,hystere!Q387)</f>
        <v>6</v>
      </c>
      <c r="Q387" s="74">
        <f ca="1">IF('main page'!$Y$53=1,'choose m.p.'!$I$22*100,R387)</f>
        <v>6</v>
      </c>
      <c r="R387" s="100">
        <f ca="1">'main page'!$K$29*M387+(1-'main page'!$K$29)*controls!$B$9+S387+(('main page'!$K$25*'main page'!$U$13*'main page'!$K$29)/('main page'!$K$27*(1+('main page'!$K$25^2)*'main page'!$U$13)))*(M387-(controls!$B$9/100)*100)</f>
        <v>6</v>
      </c>
      <c r="S387" s="98">
        <f ca="1">IF(controls!$B$33=1,(J388-E387*X388-B387)/'main page'!$K$27,(I388-E387*X388-B387)/'main page'!$K$27)</f>
        <v>4</v>
      </c>
      <c r="U387" s="71">
        <f>IF(controls!$B$6=1,$AG$4*(1+('main page'!$K$35/100))^V387-$AG$4*(1+('main page'!$K$35/100))^V386,$AG$4*(1+('main page'!$G$8/100))*(1+('main page'!$K$35/100))^V387-$AG$4*(1+('main page'!$G$8/100))*(1+('main page'!$K$35/100))^V386)</f>
        <v>0</v>
      </c>
      <c r="V387" s="73">
        <v>379</v>
      </c>
      <c r="W387" s="40">
        <f ca="1">'normal case'!V386</f>
        <v>0</v>
      </c>
      <c r="X387" s="40">
        <f ca="1">'normal case'!W386</f>
        <v>0</v>
      </c>
      <c r="Y387" s="49">
        <f ca="1">IF(controls!$B$33=1,E387-($J$4-'main page'!$K$27*2)*(1+('main page'!$K$35/100))^A386,E387-$AG$5)</f>
        <v>0</v>
      </c>
      <c r="Z387" s="49">
        <f ca="1">ABS(M387-(controls!$B$9/100)*100)</f>
        <v>0</v>
      </c>
      <c r="AI387" s="40"/>
      <c r="AJ387" s="40"/>
    </row>
    <row r="388" spans="1:36">
      <c r="A388" s="48">
        <v>385</v>
      </c>
      <c r="B388" s="75">
        <f ca="1">IF(controls!$B$6=2,AVERAGE(E384:E387)+B387*W388+hystere!$AG$9,AVERAGE(E384:E387)+B387*W388)</f>
        <v>100</v>
      </c>
      <c r="C388" s="80">
        <f t="shared" ca="1" si="31"/>
        <v>0</v>
      </c>
      <c r="D388" s="105">
        <f t="shared" ca="1" si="32"/>
        <v>0</v>
      </c>
      <c r="E388" s="77">
        <f t="shared" ca="1" si="33"/>
        <v>100</v>
      </c>
      <c r="F388" s="77">
        <f ca="1">IF('main page'!$K$34=1,hystere!H388,hystere!G388)</f>
        <v>100</v>
      </c>
      <c r="G388" s="94">
        <f ca="1">I388-'main page'!$K$27*hystere!N387</f>
        <v>100</v>
      </c>
      <c r="H388" s="75">
        <f ca="1">J388-'main page'!$K$27*N387</f>
        <v>100</v>
      </c>
      <c r="I388" s="75">
        <f t="shared" ca="1" si="34"/>
        <v>108</v>
      </c>
      <c r="J388" s="75">
        <f t="shared" ca="1" si="35"/>
        <v>108</v>
      </c>
      <c r="M388" s="75">
        <f ca="1">IF(ABS('main page'!$K$29*M387+(1-'main page'!$K$29)*(controls!$B$9/100)*100+'main page'!$K$25*(E388-B388)-M387)&lt;0.0000001,M387,'main page'!$K$29*M387+(1-'main page'!$K$29)*(controls!$B$9/100)*100+'main page'!$K$25*(E388-B388))</f>
        <v>2</v>
      </c>
      <c r="N388" s="75">
        <f ca="1">IF(controls!$B$10=1,N387,O388-'main page'!$K$29*M388-(1-'main page'!$K$29)*controls!$B$9)</f>
        <v>4</v>
      </c>
      <c r="O388" s="74">
        <f t="shared" ref="O388:O451" ca="1" si="36">IF(P388&lt;0,0,P388)</f>
        <v>6</v>
      </c>
      <c r="P388" s="76">
        <f ca="1">IF(controls!$B$10=1,hystere!N388+hystere!M388,hystere!Q388)</f>
        <v>6</v>
      </c>
      <c r="Q388" s="74">
        <f ca="1">IF('main page'!$Y$53=1,'choose m.p.'!$I$22*100,R388)</f>
        <v>6</v>
      </c>
      <c r="R388" s="100">
        <f ca="1">'main page'!$K$29*M388+(1-'main page'!$K$29)*controls!$B$9+S388+(('main page'!$K$25*'main page'!$U$13*'main page'!$K$29)/('main page'!$K$27*(1+('main page'!$K$25^2)*'main page'!$U$13)))*(M388-(controls!$B$9/100)*100)</f>
        <v>6</v>
      </c>
      <c r="S388" s="98">
        <f ca="1">IF(controls!$B$33=1,(J389-E388*X389-B388)/'main page'!$K$27,(I389-E388*X389-B388)/'main page'!$K$27)</f>
        <v>4</v>
      </c>
      <c r="U388" s="71">
        <f>IF(controls!$B$6=1,$AG$4*(1+('main page'!$K$35/100))^V388-$AG$4*(1+('main page'!$K$35/100))^V387,$AG$4*(1+('main page'!$G$8/100))*(1+('main page'!$K$35/100))^V388-$AG$4*(1+('main page'!$G$8/100))*(1+('main page'!$K$35/100))^V387)</f>
        <v>0</v>
      </c>
      <c r="V388" s="73">
        <v>380</v>
      </c>
      <c r="W388" s="40">
        <f>'normal case'!V387</f>
        <v>0</v>
      </c>
      <c r="X388" s="40">
        <f>'normal case'!W387</f>
        <v>0</v>
      </c>
      <c r="Y388" s="49">
        <f ca="1">IF(controls!$B$33=1,E388-($J$4-'main page'!$K$27*2)*(1+('main page'!$K$35/100))^A387,E388-$AG$5)</f>
        <v>0</v>
      </c>
      <c r="Z388" s="49">
        <f ca="1">ABS(M388-(controls!$B$9/100)*100)</f>
        <v>0</v>
      </c>
      <c r="AI388" s="40"/>
      <c r="AJ388" s="40"/>
    </row>
    <row r="389" spans="1:36">
      <c r="A389" s="48">
        <v>386</v>
      </c>
      <c r="B389" s="75">
        <f ca="1">IF(controls!$B$6=2,AVERAGE(E385:E388)+B388*W389+hystere!$AG$9,AVERAGE(E385:E388)+B388*W389)</f>
        <v>100</v>
      </c>
      <c r="C389" s="80">
        <f t="shared" ref="C389:C452" ca="1" si="37">E389/E388-1</f>
        <v>0</v>
      </c>
      <c r="D389" s="105">
        <f t="shared" ref="D389:D452" ca="1" si="38">E389-B389</f>
        <v>0</v>
      </c>
      <c r="E389" s="77">
        <f t="shared" ref="E389:E452" ca="1" si="39">IF(F389&gt;0,F389,0.1)</f>
        <v>100</v>
      </c>
      <c r="F389" s="77">
        <f ca="1">IF('main page'!$K$34=1,hystere!H389,hystere!G389)</f>
        <v>100</v>
      </c>
      <c r="G389" s="94">
        <f ca="1">I389-'main page'!$K$27*hystere!N388</f>
        <v>100</v>
      </c>
      <c r="H389" s="75">
        <f ca="1">J389-'main page'!$K$27*N388</f>
        <v>100</v>
      </c>
      <c r="I389" s="75">
        <f t="shared" ca="1" si="34"/>
        <v>108</v>
      </c>
      <c r="J389" s="75">
        <f t="shared" ca="1" si="35"/>
        <v>108</v>
      </c>
      <c r="M389" s="75">
        <f ca="1">IF(ABS('main page'!$K$29*M388+(1-'main page'!$K$29)*(controls!$B$9/100)*100+'main page'!$K$25*(E389-B389)-M388)&lt;0.0000001,M388,'main page'!$K$29*M388+(1-'main page'!$K$29)*(controls!$B$9/100)*100+'main page'!$K$25*(E389-B389))</f>
        <v>2</v>
      </c>
      <c r="N389" s="75">
        <f ca="1">IF(controls!$B$10=1,N388,O389-'main page'!$K$29*M389-(1-'main page'!$K$29)*controls!$B$9)</f>
        <v>4</v>
      </c>
      <c r="O389" s="74">
        <f t="shared" ca="1" si="36"/>
        <v>6</v>
      </c>
      <c r="P389" s="76">
        <f ca="1">IF(controls!$B$10=1,hystere!N389+hystere!M389,hystere!Q389)</f>
        <v>6</v>
      </c>
      <c r="Q389" s="74">
        <f ca="1">IF('main page'!$Y$53=1,'choose m.p.'!$I$22*100,R389)</f>
        <v>6</v>
      </c>
      <c r="R389" s="100">
        <f ca="1">'main page'!$K$29*M389+(1-'main page'!$K$29)*controls!$B$9+S389+(('main page'!$K$25*'main page'!$U$13*'main page'!$K$29)/('main page'!$K$27*(1+('main page'!$K$25^2)*'main page'!$U$13)))*(M389-(controls!$B$9/100)*100)</f>
        <v>6</v>
      </c>
      <c r="S389" s="98">
        <f ca="1">IF(controls!$B$33=1,(J390-E389*X390-B389)/'main page'!$K$27,(I390-E389*X390-B389)/'main page'!$K$27)</f>
        <v>4</v>
      </c>
      <c r="U389" s="71">
        <f>IF(controls!$B$6=1,$AG$4*(1+('main page'!$K$35/100))^V389-$AG$4*(1+('main page'!$K$35/100))^V388,$AG$4*(1+('main page'!$G$8/100))*(1+('main page'!$K$35/100))^V389-$AG$4*(1+('main page'!$G$8/100))*(1+('main page'!$K$35/100))^V388)</f>
        <v>0</v>
      </c>
      <c r="V389" s="73">
        <v>381</v>
      </c>
      <c r="W389" s="40">
        <f>'normal case'!V388</f>
        <v>0</v>
      </c>
      <c r="X389" s="40">
        <f>'normal case'!W388</f>
        <v>0</v>
      </c>
      <c r="Y389" s="49">
        <f ca="1">IF(controls!$B$33=1,E389-($J$4-'main page'!$K$27*2)*(1+('main page'!$K$35/100))^A388,E389-$AG$5)</f>
        <v>0</v>
      </c>
      <c r="Z389" s="49">
        <f ca="1">ABS(M389-(controls!$B$9/100)*100)</f>
        <v>0</v>
      </c>
      <c r="AI389" s="40"/>
      <c r="AJ389" s="40"/>
    </row>
    <row r="390" spans="1:36">
      <c r="A390" s="48">
        <v>387</v>
      </c>
      <c r="B390" s="75">
        <f ca="1">IF(controls!$B$6=2,AVERAGE(E386:E389)+B389*W390+hystere!$AG$9,AVERAGE(E386:E389)+B389*W390)</f>
        <v>100</v>
      </c>
      <c r="C390" s="80">
        <f t="shared" ca="1" si="37"/>
        <v>0</v>
      </c>
      <c r="D390" s="105">
        <f t="shared" ca="1" si="38"/>
        <v>0</v>
      </c>
      <c r="E390" s="77">
        <f t="shared" ca="1" si="39"/>
        <v>100</v>
      </c>
      <c r="F390" s="77">
        <f ca="1">IF('main page'!$K$34=1,hystere!H390,hystere!G390)</f>
        <v>100</v>
      </c>
      <c r="G390" s="94">
        <f ca="1">I390-'main page'!$K$27*hystere!N389</f>
        <v>100</v>
      </c>
      <c r="H390" s="75">
        <f ca="1">J390-'main page'!$K$27*N389</f>
        <v>100</v>
      </c>
      <c r="I390" s="75">
        <f t="shared" ca="1" si="34"/>
        <v>108</v>
      </c>
      <c r="J390" s="75">
        <f t="shared" ca="1" si="35"/>
        <v>108</v>
      </c>
      <c r="M390" s="75">
        <f ca="1">IF(ABS('main page'!$K$29*M389+(1-'main page'!$K$29)*(controls!$B$9/100)*100+'main page'!$K$25*(E390-B390)-M389)&lt;0.0000001,M389,'main page'!$K$29*M389+(1-'main page'!$K$29)*(controls!$B$9/100)*100+'main page'!$K$25*(E390-B390))</f>
        <v>2</v>
      </c>
      <c r="N390" s="75">
        <f ca="1">IF(controls!$B$10=1,N389,O390-'main page'!$K$29*M390-(1-'main page'!$K$29)*controls!$B$9)</f>
        <v>4</v>
      </c>
      <c r="O390" s="74">
        <f t="shared" ca="1" si="36"/>
        <v>6</v>
      </c>
      <c r="P390" s="76">
        <f ca="1">IF(controls!$B$10=1,hystere!N390+hystere!M390,hystere!Q390)</f>
        <v>6</v>
      </c>
      <c r="Q390" s="74">
        <f ca="1">IF('main page'!$Y$53=1,'choose m.p.'!$I$22*100,R390)</f>
        <v>6</v>
      </c>
      <c r="R390" s="100">
        <f ca="1">'main page'!$K$29*M390+(1-'main page'!$K$29)*controls!$B$9+S390+(('main page'!$K$25*'main page'!$U$13*'main page'!$K$29)/('main page'!$K$27*(1+('main page'!$K$25^2)*'main page'!$U$13)))*(M390-(controls!$B$9/100)*100)</f>
        <v>6</v>
      </c>
      <c r="S390" s="98">
        <f ca="1">IF(controls!$B$33=1,(J391-E390*X391-B390)/'main page'!$K$27,(I391-E390*X391-B390)/'main page'!$K$27)</f>
        <v>4</v>
      </c>
      <c r="U390" s="71">
        <f>IF(controls!$B$6=1,$AG$4*(1+('main page'!$K$35/100))^V390-$AG$4*(1+('main page'!$K$35/100))^V389,$AG$4*(1+('main page'!$G$8/100))*(1+('main page'!$K$35/100))^V390-$AG$4*(1+('main page'!$G$8/100))*(1+('main page'!$K$35/100))^V389)</f>
        <v>0</v>
      </c>
      <c r="V390" s="73">
        <v>382</v>
      </c>
      <c r="W390" s="40">
        <f ca="1">'normal case'!V389</f>
        <v>0</v>
      </c>
      <c r="X390" s="40">
        <f ca="1">'normal case'!W389</f>
        <v>0</v>
      </c>
      <c r="Y390" s="49">
        <f ca="1">IF(controls!$B$33=1,E390-($J$4-'main page'!$K$27*2)*(1+('main page'!$K$35/100))^A389,E390-$AG$5)</f>
        <v>0</v>
      </c>
      <c r="Z390" s="49">
        <f ca="1">ABS(M390-(controls!$B$9/100)*100)</f>
        <v>0</v>
      </c>
      <c r="AI390" s="40"/>
      <c r="AJ390" s="40"/>
    </row>
    <row r="391" spans="1:36">
      <c r="A391" s="48">
        <v>388</v>
      </c>
      <c r="B391" s="75">
        <f ca="1">IF(controls!$B$6=2,AVERAGE(E387:E390)+B390*W391+hystere!$AG$9,AVERAGE(E387:E390)+B390*W391)</f>
        <v>100</v>
      </c>
      <c r="C391" s="80">
        <f t="shared" ca="1" si="37"/>
        <v>0</v>
      </c>
      <c r="D391" s="105">
        <f t="shared" ca="1" si="38"/>
        <v>0</v>
      </c>
      <c r="E391" s="77">
        <f t="shared" ca="1" si="39"/>
        <v>100</v>
      </c>
      <c r="F391" s="77">
        <f ca="1">IF('main page'!$K$34=1,hystere!H391,hystere!G391)</f>
        <v>100</v>
      </c>
      <c r="G391" s="94">
        <f ca="1">I391-'main page'!$K$27*hystere!N390</f>
        <v>100</v>
      </c>
      <c r="H391" s="75">
        <f ca="1">J391-'main page'!$K$27*N390</f>
        <v>100</v>
      </c>
      <c r="I391" s="75">
        <f t="shared" ca="1" si="34"/>
        <v>108</v>
      </c>
      <c r="J391" s="75">
        <f t="shared" ca="1" si="35"/>
        <v>108</v>
      </c>
      <c r="M391" s="75">
        <f ca="1">IF(ABS('main page'!$K$29*M390+(1-'main page'!$K$29)*(controls!$B$9/100)*100+'main page'!$K$25*(E391-B391)-M390)&lt;0.0000001,M390,'main page'!$K$29*M390+(1-'main page'!$K$29)*(controls!$B$9/100)*100+'main page'!$K$25*(E391-B391))</f>
        <v>2</v>
      </c>
      <c r="N391" s="75">
        <f ca="1">IF(controls!$B$10=1,N390,O391-'main page'!$K$29*M391-(1-'main page'!$K$29)*controls!$B$9)</f>
        <v>4</v>
      </c>
      <c r="O391" s="74">
        <f t="shared" ca="1" si="36"/>
        <v>6</v>
      </c>
      <c r="P391" s="76">
        <f ca="1">IF(controls!$B$10=1,hystere!N391+hystere!M391,hystere!Q391)</f>
        <v>6</v>
      </c>
      <c r="Q391" s="74">
        <f ca="1">IF('main page'!$Y$53=1,'choose m.p.'!$I$22*100,R391)</f>
        <v>6</v>
      </c>
      <c r="R391" s="100">
        <f ca="1">'main page'!$K$29*M391+(1-'main page'!$K$29)*controls!$B$9+S391+(('main page'!$K$25*'main page'!$U$13*'main page'!$K$29)/('main page'!$K$27*(1+('main page'!$K$25^2)*'main page'!$U$13)))*(M391-(controls!$B$9/100)*100)</f>
        <v>6</v>
      </c>
      <c r="S391" s="98">
        <f ca="1">IF(controls!$B$33=1,(J392-E391*X392-B391)/'main page'!$K$27,(I392-E391*X392-B391)/'main page'!$K$27)</f>
        <v>4</v>
      </c>
      <c r="U391" s="71">
        <f>IF(controls!$B$6=1,$AG$4*(1+('main page'!$K$35/100))^V391-$AG$4*(1+('main page'!$K$35/100))^V390,$AG$4*(1+('main page'!$G$8/100))*(1+('main page'!$K$35/100))^V391-$AG$4*(1+('main page'!$G$8/100))*(1+('main page'!$K$35/100))^V390)</f>
        <v>0</v>
      </c>
      <c r="V391" s="73">
        <v>383</v>
      </c>
      <c r="W391" s="40">
        <f>'normal case'!V390</f>
        <v>0</v>
      </c>
      <c r="X391" s="40">
        <f>'normal case'!W390</f>
        <v>0</v>
      </c>
      <c r="Y391" s="49">
        <f ca="1">IF(controls!$B$33=1,E391-($J$4-'main page'!$K$27*2)*(1+('main page'!$K$35/100))^A390,E391-$AG$5)</f>
        <v>0</v>
      </c>
      <c r="Z391" s="49">
        <f ca="1">ABS(M391-(controls!$B$9/100)*100)</f>
        <v>0</v>
      </c>
      <c r="AI391" s="40"/>
      <c r="AJ391" s="40"/>
    </row>
    <row r="392" spans="1:36">
      <c r="A392" s="48">
        <v>389</v>
      </c>
      <c r="B392" s="75">
        <f ca="1">IF(controls!$B$6=2,AVERAGE(E388:E391)+B391*W392+hystere!$AG$9,AVERAGE(E388:E391)+B391*W392)</f>
        <v>100</v>
      </c>
      <c r="C392" s="80">
        <f t="shared" ca="1" si="37"/>
        <v>0</v>
      </c>
      <c r="D392" s="105">
        <f t="shared" ca="1" si="38"/>
        <v>0</v>
      </c>
      <c r="E392" s="77">
        <f t="shared" ca="1" si="39"/>
        <v>100</v>
      </c>
      <c r="F392" s="77">
        <f ca="1">IF('main page'!$K$34=1,hystere!H392,hystere!G392)</f>
        <v>100</v>
      </c>
      <c r="G392" s="94">
        <f ca="1">I392-'main page'!$K$27*hystere!N391</f>
        <v>100</v>
      </c>
      <c r="H392" s="75">
        <f ca="1">J392-'main page'!$K$27*N391</f>
        <v>100</v>
      </c>
      <c r="I392" s="75">
        <f t="shared" ca="1" si="34"/>
        <v>108</v>
      </c>
      <c r="J392" s="75">
        <f t="shared" ca="1" si="35"/>
        <v>108</v>
      </c>
      <c r="M392" s="75">
        <f ca="1">IF(ABS('main page'!$K$29*M391+(1-'main page'!$K$29)*(controls!$B$9/100)*100+'main page'!$K$25*(E392-B392)-M391)&lt;0.0000001,M391,'main page'!$K$29*M391+(1-'main page'!$K$29)*(controls!$B$9/100)*100+'main page'!$K$25*(E392-B392))</f>
        <v>2</v>
      </c>
      <c r="N392" s="75">
        <f ca="1">IF(controls!$B$10=1,N391,O392-'main page'!$K$29*M392-(1-'main page'!$K$29)*controls!$B$9)</f>
        <v>4</v>
      </c>
      <c r="O392" s="74">
        <f t="shared" ca="1" si="36"/>
        <v>6</v>
      </c>
      <c r="P392" s="76">
        <f ca="1">IF(controls!$B$10=1,hystere!N392+hystere!M392,hystere!Q392)</f>
        <v>6</v>
      </c>
      <c r="Q392" s="74">
        <f ca="1">IF('main page'!$Y$53=1,'choose m.p.'!$I$22*100,R392)</f>
        <v>6</v>
      </c>
      <c r="R392" s="100">
        <f ca="1">'main page'!$K$29*M392+(1-'main page'!$K$29)*controls!$B$9+S392+(('main page'!$K$25*'main page'!$U$13*'main page'!$K$29)/('main page'!$K$27*(1+('main page'!$K$25^2)*'main page'!$U$13)))*(M392-(controls!$B$9/100)*100)</f>
        <v>6</v>
      </c>
      <c r="S392" s="98">
        <f ca="1">IF(controls!$B$33=1,(J393-E392*X393-B392)/'main page'!$K$27,(I393-E392*X393-B392)/'main page'!$K$27)</f>
        <v>4</v>
      </c>
      <c r="U392" s="71">
        <f>IF(controls!$B$6=1,$AG$4*(1+('main page'!$K$35/100))^V392-$AG$4*(1+('main page'!$K$35/100))^V391,$AG$4*(1+('main page'!$G$8/100))*(1+('main page'!$K$35/100))^V392-$AG$4*(1+('main page'!$G$8/100))*(1+('main page'!$K$35/100))^V391)</f>
        <v>0</v>
      </c>
      <c r="V392" s="73">
        <v>384</v>
      </c>
      <c r="W392" s="40">
        <f>'normal case'!V391</f>
        <v>0</v>
      </c>
      <c r="X392" s="40">
        <f>'normal case'!W391</f>
        <v>0</v>
      </c>
      <c r="Y392" s="49">
        <f ca="1">IF(controls!$B$33=1,E392-($J$4-'main page'!$K$27*2)*(1+('main page'!$K$35/100))^A391,E392-$AG$5)</f>
        <v>0</v>
      </c>
      <c r="Z392" s="49">
        <f ca="1">ABS(M392-(controls!$B$9/100)*100)</f>
        <v>0</v>
      </c>
      <c r="AI392" s="40"/>
      <c r="AJ392" s="40"/>
    </row>
    <row r="393" spans="1:36">
      <c r="A393" s="48">
        <v>390</v>
      </c>
      <c r="B393" s="75">
        <f ca="1">IF(controls!$B$6=2,AVERAGE(E389:E392)+B392*W393+hystere!$AG$9,AVERAGE(E389:E392)+B392*W393)</f>
        <v>100</v>
      </c>
      <c r="C393" s="80">
        <f t="shared" ca="1" si="37"/>
        <v>0</v>
      </c>
      <c r="D393" s="105">
        <f t="shared" ca="1" si="38"/>
        <v>0</v>
      </c>
      <c r="E393" s="77">
        <f t="shared" ca="1" si="39"/>
        <v>100</v>
      </c>
      <c r="F393" s="77">
        <f ca="1">IF('main page'!$K$34=1,hystere!H393,hystere!G393)</f>
        <v>100</v>
      </c>
      <c r="G393" s="94">
        <f ca="1">I393-'main page'!$K$27*hystere!N392</f>
        <v>100</v>
      </c>
      <c r="H393" s="75">
        <f ca="1">J393-'main page'!$K$27*N392</f>
        <v>100</v>
      </c>
      <c r="I393" s="75">
        <f t="shared" ca="1" si="34"/>
        <v>108</v>
      </c>
      <c r="J393" s="75">
        <f t="shared" ca="1" si="35"/>
        <v>108</v>
      </c>
      <c r="M393" s="75">
        <f ca="1">IF(ABS('main page'!$K$29*M392+(1-'main page'!$K$29)*(controls!$B$9/100)*100+'main page'!$K$25*(E393-B393)-M392)&lt;0.0000001,M392,'main page'!$K$29*M392+(1-'main page'!$K$29)*(controls!$B$9/100)*100+'main page'!$K$25*(E393-B393))</f>
        <v>2</v>
      </c>
      <c r="N393" s="75">
        <f ca="1">IF(controls!$B$10=1,N392,O393-'main page'!$K$29*M393-(1-'main page'!$K$29)*controls!$B$9)</f>
        <v>4</v>
      </c>
      <c r="O393" s="74">
        <f t="shared" ca="1" si="36"/>
        <v>6</v>
      </c>
      <c r="P393" s="76">
        <f ca="1">IF(controls!$B$10=1,hystere!N393+hystere!M393,hystere!Q393)</f>
        <v>6</v>
      </c>
      <c r="Q393" s="74">
        <f ca="1">IF('main page'!$Y$53=1,'choose m.p.'!$I$22*100,R393)</f>
        <v>6</v>
      </c>
      <c r="R393" s="100">
        <f ca="1">'main page'!$K$29*M393+(1-'main page'!$K$29)*controls!$B$9+S393+(('main page'!$K$25*'main page'!$U$13*'main page'!$K$29)/('main page'!$K$27*(1+('main page'!$K$25^2)*'main page'!$U$13)))*(M393-(controls!$B$9/100)*100)</f>
        <v>6</v>
      </c>
      <c r="S393" s="98">
        <f ca="1">IF(controls!$B$33=1,(J394-E393*X394-B393)/'main page'!$K$27,(I394-E393*X394-B393)/'main page'!$K$27)</f>
        <v>4</v>
      </c>
      <c r="U393" s="71">
        <f>IF(controls!$B$6=1,$AG$4*(1+('main page'!$K$35/100))^V393-$AG$4*(1+('main page'!$K$35/100))^V392,$AG$4*(1+('main page'!$G$8/100))*(1+('main page'!$K$35/100))^V393-$AG$4*(1+('main page'!$G$8/100))*(1+('main page'!$K$35/100))^V392)</f>
        <v>0</v>
      </c>
      <c r="V393" s="73">
        <v>385</v>
      </c>
      <c r="W393" s="40">
        <f ca="1">'normal case'!V392</f>
        <v>0</v>
      </c>
      <c r="X393" s="40">
        <f ca="1">'normal case'!W392</f>
        <v>0</v>
      </c>
      <c r="Y393" s="49">
        <f ca="1">IF(controls!$B$33=1,E393-($J$4-'main page'!$K$27*2)*(1+('main page'!$K$35/100))^A392,E393-$AG$5)</f>
        <v>0</v>
      </c>
      <c r="Z393" s="49">
        <f ca="1">ABS(M393-(controls!$B$9/100)*100)</f>
        <v>0</v>
      </c>
      <c r="AI393" s="40"/>
      <c r="AJ393" s="40"/>
    </row>
    <row r="394" spans="1:36">
      <c r="A394" s="48">
        <v>391</v>
      </c>
      <c r="B394" s="75">
        <f ca="1">IF(controls!$B$6=2,AVERAGE(E390:E393)+B393*W394+hystere!$AG$9,AVERAGE(E390:E393)+B393*W394)</f>
        <v>100</v>
      </c>
      <c r="C394" s="80">
        <f t="shared" ca="1" si="37"/>
        <v>0</v>
      </c>
      <c r="D394" s="105">
        <f t="shared" ca="1" si="38"/>
        <v>0</v>
      </c>
      <c r="E394" s="77">
        <f t="shared" ca="1" si="39"/>
        <v>100</v>
      </c>
      <c r="F394" s="77">
        <f ca="1">IF('main page'!$K$34=1,hystere!H394,hystere!G394)</f>
        <v>100</v>
      </c>
      <c r="G394" s="94">
        <f ca="1">I394-'main page'!$K$27*hystere!N393</f>
        <v>100</v>
      </c>
      <c r="H394" s="75">
        <f ca="1">J394-'main page'!$K$27*N393</f>
        <v>100</v>
      </c>
      <c r="I394" s="75">
        <f t="shared" ca="1" si="34"/>
        <v>108</v>
      </c>
      <c r="J394" s="75">
        <f t="shared" ca="1" si="35"/>
        <v>108</v>
      </c>
      <c r="M394" s="75">
        <f ca="1">IF(ABS('main page'!$K$29*M393+(1-'main page'!$K$29)*(controls!$B$9/100)*100+'main page'!$K$25*(E394-B394)-M393)&lt;0.0000001,M393,'main page'!$K$29*M393+(1-'main page'!$K$29)*(controls!$B$9/100)*100+'main page'!$K$25*(E394-B394))</f>
        <v>2</v>
      </c>
      <c r="N394" s="75">
        <f ca="1">IF(controls!$B$10=1,N393,O394-'main page'!$K$29*M394-(1-'main page'!$K$29)*controls!$B$9)</f>
        <v>4</v>
      </c>
      <c r="O394" s="74">
        <f t="shared" ca="1" si="36"/>
        <v>6</v>
      </c>
      <c r="P394" s="76">
        <f ca="1">IF(controls!$B$10=1,hystere!N394+hystere!M394,hystere!Q394)</f>
        <v>6</v>
      </c>
      <c r="Q394" s="74">
        <f ca="1">IF('main page'!$Y$53=1,'choose m.p.'!$I$22*100,R394)</f>
        <v>6</v>
      </c>
      <c r="R394" s="100">
        <f ca="1">'main page'!$K$29*M394+(1-'main page'!$K$29)*controls!$B$9+S394+(('main page'!$K$25*'main page'!$U$13*'main page'!$K$29)/('main page'!$K$27*(1+('main page'!$K$25^2)*'main page'!$U$13)))*(M394-(controls!$B$9/100)*100)</f>
        <v>6</v>
      </c>
      <c r="S394" s="98">
        <f ca="1">IF(controls!$B$33=1,(J395-E394*X395-B394)/'main page'!$K$27,(I395-E394*X395-B394)/'main page'!$K$27)</f>
        <v>4</v>
      </c>
      <c r="U394" s="71">
        <f>IF(controls!$B$6=1,$AG$4*(1+('main page'!$K$35/100))^V394-$AG$4*(1+('main page'!$K$35/100))^V393,$AG$4*(1+('main page'!$G$8/100))*(1+('main page'!$K$35/100))^V394-$AG$4*(1+('main page'!$G$8/100))*(1+('main page'!$K$35/100))^V393)</f>
        <v>0</v>
      </c>
      <c r="V394" s="73">
        <v>386</v>
      </c>
      <c r="W394" s="40">
        <f>'normal case'!V393</f>
        <v>0</v>
      </c>
      <c r="X394" s="40">
        <f>'normal case'!W393</f>
        <v>0</v>
      </c>
      <c r="Y394" s="49">
        <f ca="1">IF(controls!$B$33=1,E394-($J$4-'main page'!$K$27*2)*(1+('main page'!$K$35/100))^A393,E394-$AG$5)</f>
        <v>0</v>
      </c>
      <c r="Z394" s="49">
        <f ca="1">ABS(M394-(controls!$B$9/100)*100)</f>
        <v>0</v>
      </c>
      <c r="AI394" s="40"/>
      <c r="AJ394" s="40"/>
    </row>
    <row r="395" spans="1:36">
      <c r="A395" s="48">
        <v>392</v>
      </c>
      <c r="B395" s="75">
        <f ca="1">IF(controls!$B$6=2,AVERAGE(E391:E394)+B394*W395+hystere!$AG$9,AVERAGE(E391:E394)+B394*W395)</f>
        <v>100</v>
      </c>
      <c r="C395" s="80">
        <f t="shared" ca="1" si="37"/>
        <v>0</v>
      </c>
      <c r="D395" s="105">
        <f t="shared" ca="1" si="38"/>
        <v>0</v>
      </c>
      <c r="E395" s="77">
        <f t="shared" ca="1" si="39"/>
        <v>100</v>
      </c>
      <c r="F395" s="77">
        <f ca="1">IF('main page'!$K$34=1,hystere!H395,hystere!G395)</f>
        <v>100</v>
      </c>
      <c r="G395" s="94">
        <f ca="1">I395-'main page'!$K$27*hystere!N394</f>
        <v>100</v>
      </c>
      <c r="H395" s="75">
        <f ca="1">J395-'main page'!$K$27*N394</f>
        <v>100</v>
      </c>
      <c r="I395" s="75">
        <f t="shared" ca="1" si="34"/>
        <v>108</v>
      </c>
      <c r="J395" s="75">
        <f t="shared" ca="1" si="35"/>
        <v>108</v>
      </c>
      <c r="M395" s="75">
        <f ca="1">IF(ABS('main page'!$K$29*M394+(1-'main page'!$K$29)*(controls!$B$9/100)*100+'main page'!$K$25*(E395-B395)-M394)&lt;0.0000001,M394,'main page'!$K$29*M394+(1-'main page'!$K$29)*(controls!$B$9/100)*100+'main page'!$K$25*(E395-B395))</f>
        <v>2</v>
      </c>
      <c r="N395" s="75">
        <f ca="1">IF(controls!$B$10=1,N394,O395-'main page'!$K$29*M395-(1-'main page'!$K$29)*controls!$B$9)</f>
        <v>4</v>
      </c>
      <c r="O395" s="74">
        <f t="shared" ca="1" si="36"/>
        <v>6</v>
      </c>
      <c r="P395" s="76">
        <f ca="1">IF(controls!$B$10=1,hystere!N395+hystere!M395,hystere!Q395)</f>
        <v>6</v>
      </c>
      <c r="Q395" s="74">
        <f ca="1">IF('main page'!$Y$53=1,'choose m.p.'!$I$22*100,R395)</f>
        <v>6</v>
      </c>
      <c r="R395" s="100">
        <f ca="1">'main page'!$K$29*M395+(1-'main page'!$K$29)*controls!$B$9+S395+(('main page'!$K$25*'main page'!$U$13*'main page'!$K$29)/('main page'!$K$27*(1+('main page'!$K$25^2)*'main page'!$U$13)))*(M395-(controls!$B$9/100)*100)</f>
        <v>6</v>
      </c>
      <c r="S395" s="98">
        <f ca="1">IF(controls!$B$33=1,(J396-E395*X396-B395)/'main page'!$K$27,(I396-E395*X396-B395)/'main page'!$K$27)</f>
        <v>4</v>
      </c>
      <c r="U395" s="71">
        <f>IF(controls!$B$6=1,$AG$4*(1+('main page'!$K$35/100))^V395-$AG$4*(1+('main page'!$K$35/100))^V394,$AG$4*(1+('main page'!$G$8/100))*(1+('main page'!$K$35/100))^V395-$AG$4*(1+('main page'!$G$8/100))*(1+('main page'!$K$35/100))^V394)</f>
        <v>0</v>
      </c>
      <c r="V395" s="73">
        <v>387</v>
      </c>
      <c r="W395" s="40">
        <f>'normal case'!V394</f>
        <v>0</v>
      </c>
      <c r="X395" s="40">
        <f>'normal case'!W394</f>
        <v>0</v>
      </c>
      <c r="Y395" s="49">
        <f ca="1">IF(controls!$B$33=1,E395-($J$4-'main page'!$K$27*2)*(1+('main page'!$K$35/100))^A394,E395-$AG$5)</f>
        <v>0</v>
      </c>
      <c r="Z395" s="49">
        <f ca="1">ABS(M395-(controls!$B$9/100)*100)</f>
        <v>0</v>
      </c>
      <c r="AI395" s="40"/>
      <c r="AJ395" s="40"/>
    </row>
    <row r="396" spans="1:36">
      <c r="A396" s="48">
        <v>393</v>
      </c>
      <c r="B396" s="75">
        <f ca="1">IF(controls!$B$6=2,AVERAGE(E392:E395)+B395*W396+hystere!$AG$9,AVERAGE(E392:E395)+B395*W396)</f>
        <v>100</v>
      </c>
      <c r="C396" s="80">
        <f t="shared" ca="1" si="37"/>
        <v>0</v>
      </c>
      <c r="D396" s="105">
        <f t="shared" ca="1" si="38"/>
        <v>0</v>
      </c>
      <c r="E396" s="77">
        <f t="shared" ca="1" si="39"/>
        <v>100</v>
      </c>
      <c r="F396" s="77">
        <f ca="1">IF('main page'!$K$34=1,hystere!H396,hystere!G396)</f>
        <v>100</v>
      </c>
      <c r="G396" s="94">
        <f ca="1">I396-'main page'!$K$27*hystere!N395</f>
        <v>100</v>
      </c>
      <c r="H396" s="75">
        <f ca="1">J396-'main page'!$K$27*N395</f>
        <v>100</v>
      </c>
      <c r="I396" s="75">
        <f t="shared" ca="1" si="34"/>
        <v>108</v>
      </c>
      <c r="J396" s="75">
        <f t="shared" ca="1" si="35"/>
        <v>108</v>
      </c>
      <c r="M396" s="75">
        <f ca="1">IF(ABS('main page'!$K$29*M395+(1-'main page'!$K$29)*(controls!$B$9/100)*100+'main page'!$K$25*(E396-B396)-M395)&lt;0.0000001,M395,'main page'!$K$29*M395+(1-'main page'!$K$29)*(controls!$B$9/100)*100+'main page'!$K$25*(E396-B396))</f>
        <v>2</v>
      </c>
      <c r="N396" s="75">
        <f ca="1">IF(controls!$B$10=1,N395,O396-'main page'!$K$29*M396-(1-'main page'!$K$29)*controls!$B$9)</f>
        <v>4</v>
      </c>
      <c r="O396" s="74">
        <f t="shared" ca="1" si="36"/>
        <v>6</v>
      </c>
      <c r="P396" s="76">
        <f ca="1">IF(controls!$B$10=1,hystere!N396+hystere!M396,hystere!Q396)</f>
        <v>6</v>
      </c>
      <c r="Q396" s="74">
        <f ca="1">IF('main page'!$Y$53=1,'choose m.p.'!$I$22*100,R396)</f>
        <v>6</v>
      </c>
      <c r="R396" s="100">
        <f ca="1">'main page'!$K$29*M396+(1-'main page'!$K$29)*controls!$B$9+S396+(('main page'!$K$25*'main page'!$U$13*'main page'!$K$29)/('main page'!$K$27*(1+('main page'!$K$25^2)*'main page'!$U$13)))*(M396-(controls!$B$9/100)*100)</f>
        <v>6</v>
      </c>
      <c r="S396" s="98">
        <f ca="1">IF(controls!$B$33=1,(J397-E396*X397-B396)/'main page'!$K$27,(I397-E396*X397-B396)/'main page'!$K$27)</f>
        <v>4</v>
      </c>
      <c r="U396" s="71">
        <f>IF(controls!$B$6=1,$AG$4*(1+('main page'!$K$35/100))^V396-$AG$4*(1+('main page'!$K$35/100))^V395,$AG$4*(1+('main page'!$G$8/100))*(1+('main page'!$K$35/100))^V396-$AG$4*(1+('main page'!$G$8/100))*(1+('main page'!$K$35/100))^V395)</f>
        <v>0</v>
      </c>
      <c r="V396" s="73">
        <v>388</v>
      </c>
      <c r="W396" s="40">
        <f ca="1">'normal case'!V395</f>
        <v>0</v>
      </c>
      <c r="X396" s="40">
        <f ca="1">'normal case'!W395</f>
        <v>0</v>
      </c>
      <c r="Y396" s="49">
        <f ca="1">IF(controls!$B$33=1,E396-($J$4-'main page'!$K$27*2)*(1+('main page'!$K$35/100))^A395,E396-$AG$5)</f>
        <v>0</v>
      </c>
      <c r="Z396" s="49">
        <f ca="1">ABS(M396-(controls!$B$9/100)*100)</f>
        <v>0</v>
      </c>
      <c r="AI396" s="40"/>
      <c r="AJ396" s="40"/>
    </row>
    <row r="397" spans="1:36">
      <c r="A397" s="48">
        <v>394</v>
      </c>
      <c r="B397" s="75">
        <f ca="1">IF(controls!$B$6=2,AVERAGE(E393:E396)+B396*W397+hystere!$AG$9,AVERAGE(E393:E396)+B396*W397)</f>
        <v>100</v>
      </c>
      <c r="C397" s="80">
        <f t="shared" ca="1" si="37"/>
        <v>0</v>
      </c>
      <c r="D397" s="105">
        <f t="shared" ca="1" si="38"/>
        <v>0</v>
      </c>
      <c r="E397" s="77">
        <f t="shared" ca="1" si="39"/>
        <v>100</v>
      </c>
      <c r="F397" s="77">
        <f ca="1">IF('main page'!$K$34=1,hystere!H397,hystere!G397)</f>
        <v>100</v>
      </c>
      <c r="G397" s="94">
        <f ca="1">I397-'main page'!$K$27*hystere!N396</f>
        <v>100</v>
      </c>
      <c r="H397" s="75">
        <f ca="1">J397-'main page'!$K$27*N396</f>
        <v>100</v>
      </c>
      <c r="I397" s="75">
        <f t="shared" ca="1" si="34"/>
        <v>108</v>
      </c>
      <c r="J397" s="75">
        <f t="shared" ca="1" si="35"/>
        <v>108</v>
      </c>
      <c r="M397" s="75">
        <f ca="1">IF(ABS('main page'!$K$29*M396+(1-'main page'!$K$29)*(controls!$B$9/100)*100+'main page'!$K$25*(E397-B397)-M396)&lt;0.0000001,M396,'main page'!$K$29*M396+(1-'main page'!$K$29)*(controls!$B$9/100)*100+'main page'!$K$25*(E397-B397))</f>
        <v>2</v>
      </c>
      <c r="N397" s="75">
        <f ca="1">IF(controls!$B$10=1,N396,O397-'main page'!$K$29*M397-(1-'main page'!$K$29)*controls!$B$9)</f>
        <v>4</v>
      </c>
      <c r="O397" s="74">
        <f t="shared" ca="1" si="36"/>
        <v>6</v>
      </c>
      <c r="P397" s="76">
        <f ca="1">IF(controls!$B$10=1,hystere!N397+hystere!M397,hystere!Q397)</f>
        <v>6</v>
      </c>
      <c r="Q397" s="74">
        <f ca="1">IF('main page'!$Y$53=1,'choose m.p.'!$I$22*100,R397)</f>
        <v>6</v>
      </c>
      <c r="R397" s="100">
        <f ca="1">'main page'!$K$29*M397+(1-'main page'!$K$29)*controls!$B$9+S397+(('main page'!$K$25*'main page'!$U$13*'main page'!$K$29)/('main page'!$K$27*(1+('main page'!$K$25^2)*'main page'!$U$13)))*(M397-(controls!$B$9/100)*100)</f>
        <v>6</v>
      </c>
      <c r="S397" s="98">
        <f ca="1">IF(controls!$B$33=1,(J398-E397*X398-B397)/'main page'!$K$27,(I398-E397*X398-B397)/'main page'!$K$27)</f>
        <v>4</v>
      </c>
      <c r="U397" s="71">
        <f>IF(controls!$B$6=1,$AG$4*(1+('main page'!$K$35/100))^V397-$AG$4*(1+('main page'!$K$35/100))^V396,$AG$4*(1+('main page'!$G$8/100))*(1+('main page'!$K$35/100))^V397-$AG$4*(1+('main page'!$G$8/100))*(1+('main page'!$K$35/100))^V396)</f>
        <v>0</v>
      </c>
      <c r="V397" s="73">
        <v>389</v>
      </c>
      <c r="W397" s="40">
        <f>'normal case'!V396</f>
        <v>0</v>
      </c>
      <c r="X397" s="40">
        <f>'normal case'!W396</f>
        <v>0</v>
      </c>
      <c r="Y397" s="49">
        <f ca="1">IF(controls!$B$33=1,E397-($J$4-'main page'!$K$27*2)*(1+('main page'!$K$35/100))^A396,E397-$AG$5)</f>
        <v>0</v>
      </c>
      <c r="Z397" s="49">
        <f ca="1">ABS(M397-(controls!$B$9/100)*100)</f>
        <v>0</v>
      </c>
      <c r="AI397" s="40"/>
      <c r="AJ397" s="40"/>
    </row>
    <row r="398" spans="1:36">
      <c r="A398" s="48">
        <v>395</v>
      </c>
      <c r="B398" s="75">
        <f ca="1">IF(controls!$B$6=2,AVERAGE(E394:E397)+B397*W398+hystere!$AG$9,AVERAGE(E394:E397)+B397*W398)</f>
        <v>100</v>
      </c>
      <c r="C398" s="80">
        <f t="shared" ca="1" si="37"/>
        <v>0</v>
      </c>
      <c r="D398" s="105">
        <f t="shared" ca="1" si="38"/>
        <v>0</v>
      </c>
      <c r="E398" s="77">
        <f t="shared" ca="1" si="39"/>
        <v>100</v>
      </c>
      <c r="F398" s="77">
        <f ca="1">IF('main page'!$K$34=1,hystere!H398,hystere!G398)</f>
        <v>100</v>
      </c>
      <c r="G398" s="94">
        <f ca="1">I398-'main page'!$K$27*hystere!N397</f>
        <v>100</v>
      </c>
      <c r="H398" s="75">
        <f ca="1">J398-'main page'!$K$27*N397</f>
        <v>100</v>
      </c>
      <c r="I398" s="75">
        <f t="shared" ca="1" si="34"/>
        <v>108</v>
      </c>
      <c r="J398" s="75">
        <f t="shared" ca="1" si="35"/>
        <v>108</v>
      </c>
      <c r="M398" s="75">
        <f ca="1">IF(ABS('main page'!$K$29*M397+(1-'main page'!$K$29)*(controls!$B$9/100)*100+'main page'!$K$25*(E398-B398)-M397)&lt;0.0000001,M397,'main page'!$K$29*M397+(1-'main page'!$K$29)*(controls!$B$9/100)*100+'main page'!$K$25*(E398-B398))</f>
        <v>2</v>
      </c>
      <c r="N398" s="75">
        <f ca="1">IF(controls!$B$10=1,N397,O398-'main page'!$K$29*M398-(1-'main page'!$K$29)*controls!$B$9)</f>
        <v>4</v>
      </c>
      <c r="O398" s="74">
        <f t="shared" ca="1" si="36"/>
        <v>6</v>
      </c>
      <c r="P398" s="76">
        <f ca="1">IF(controls!$B$10=1,hystere!N398+hystere!M398,hystere!Q398)</f>
        <v>6</v>
      </c>
      <c r="Q398" s="74">
        <f ca="1">IF('main page'!$Y$53=1,'choose m.p.'!$I$22*100,R398)</f>
        <v>6</v>
      </c>
      <c r="R398" s="100">
        <f ca="1">'main page'!$K$29*M398+(1-'main page'!$K$29)*controls!$B$9+S398+(('main page'!$K$25*'main page'!$U$13*'main page'!$K$29)/('main page'!$K$27*(1+('main page'!$K$25^2)*'main page'!$U$13)))*(M398-(controls!$B$9/100)*100)</f>
        <v>6</v>
      </c>
      <c r="S398" s="98">
        <f ca="1">IF(controls!$B$33=1,(J399-E398*X399-B398)/'main page'!$K$27,(I399-E398*X399-B398)/'main page'!$K$27)</f>
        <v>4</v>
      </c>
      <c r="U398" s="71">
        <f>IF(controls!$B$6=1,$AG$4*(1+('main page'!$K$35/100))^V398-$AG$4*(1+('main page'!$K$35/100))^V397,$AG$4*(1+('main page'!$G$8/100))*(1+('main page'!$K$35/100))^V398-$AG$4*(1+('main page'!$G$8/100))*(1+('main page'!$K$35/100))^V397)</f>
        <v>0</v>
      </c>
      <c r="V398" s="73">
        <v>390</v>
      </c>
      <c r="W398" s="40">
        <f>'normal case'!V397</f>
        <v>0</v>
      </c>
      <c r="X398" s="40">
        <f>'normal case'!W397</f>
        <v>0</v>
      </c>
      <c r="Y398" s="49">
        <f ca="1">IF(controls!$B$33=1,E398-($J$4-'main page'!$K$27*2)*(1+('main page'!$K$35/100))^A397,E398-$AG$5)</f>
        <v>0</v>
      </c>
      <c r="Z398" s="49">
        <f ca="1">ABS(M398-(controls!$B$9/100)*100)</f>
        <v>0</v>
      </c>
      <c r="AI398" s="40"/>
      <c r="AJ398" s="40"/>
    </row>
    <row r="399" spans="1:36">
      <c r="A399" s="48">
        <v>396</v>
      </c>
      <c r="B399" s="75">
        <f ca="1">IF(controls!$B$6=2,AVERAGE(E395:E398)+B398*W399+hystere!$AG$9,AVERAGE(E395:E398)+B398*W399)</f>
        <v>100</v>
      </c>
      <c r="C399" s="80">
        <f t="shared" ca="1" si="37"/>
        <v>0</v>
      </c>
      <c r="D399" s="105">
        <f t="shared" ca="1" si="38"/>
        <v>0</v>
      </c>
      <c r="E399" s="77">
        <f t="shared" ca="1" si="39"/>
        <v>100</v>
      </c>
      <c r="F399" s="77">
        <f ca="1">IF('main page'!$K$34=1,hystere!H399,hystere!G399)</f>
        <v>100</v>
      </c>
      <c r="G399" s="94">
        <f ca="1">I399-'main page'!$K$27*hystere!N398</f>
        <v>100</v>
      </c>
      <c r="H399" s="75">
        <f ca="1">J399-'main page'!$K$27*N398</f>
        <v>100</v>
      </c>
      <c r="I399" s="75">
        <f t="shared" ca="1" si="34"/>
        <v>108</v>
      </c>
      <c r="J399" s="75">
        <f t="shared" ca="1" si="35"/>
        <v>108</v>
      </c>
      <c r="M399" s="75">
        <f ca="1">IF(ABS('main page'!$K$29*M398+(1-'main page'!$K$29)*(controls!$B$9/100)*100+'main page'!$K$25*(E399-B399)-M398)&lt;0.0000001,M398,'main page'!$K$29*M398+(1-'main page'!$K$29)*(controls!$B$9/100)*100+'main page'!$K$25*(E399-B399))</f>
        <v>2</v>
      </c>
      <c r="N399" s="75">
        <f ca="1">IF(controls!$B$10=1,N398,O399-'main page'!$K$29*M399-(1-'main page'!$K$29)*controls!$B$9)</f>
        <v>4</v>
      </c>
      <c r="O399" s="74">
        <f t="shared" ca="1" si="36"/>
        <v>6</v>
      </c>
      <c r="P399" s="76">
        <f ca="1">IF(controls!$B$10=1,hystere!N399+hystere!M399,hystere!Q399)</f>
        <v>6</v>
      </c>
      <c r="Q399" s="74">
        <f ca="1">IF('main page'!$Y$53=1,'choose m.p.'!$I$22*100,R399)</f>
        <v>6</v>
      </c>
      <c r="R399" s="100">
        <f ca="1">'main page'!$K$29*M399+(1-'main page'!$K$29)*controls!$B$9+S399+(('main page'!$K$25*'main page'!$U$13*'main page'!$K$29)/('main page'!$K$27*(1+('main page'!$K$25^2)*'main page'!$U$13)))*(M399-(controls!$B$9/100)*100)</f>
        <v>6</v>
      </c>
      <c r="S399" s="98">
        <f ca="1">IF(controls!$B$33=1,(J400-E399*X400-B399)/'main page'!$K$27,(I400-E399*X400-B399)/'main page'!$K$27)</f>
        <v>4</v>
      </c>
      <c r="U399" s="71">
        <f>IF(controls!$B$6=1,$AG$4*(1+('main page'!$K$35/100))^V399-$AG$4*(1+('main page'!$K$35/100))^V398,$AG$4*(1+('main page'!$G$8/100))*(1+('main page'!$K$35/100))^V399-$AG$4*(1+('main page'!$G$8/100))*(1+('main page'!$K$35/100))^V398)</f>
        <v>0</v>
      </c>
      <c r="V399" s="73">
        <v>391</v>
      </c>
      <c r="W399" s="40">
        <f ca="1">'normal case'!V398</f>
        <v>0</v>
      </c>
      <c r="X399" s="40">
        <f ca="1">'normal case'!W398</f>
        <v>0</v>
      </c>
      <c r="Y399" s="49">
        <f ca="1">IF(controls!$B$33=1,E399-($J$4-'main page'!$K$27*2)*(1+('main page'!$K$35/100))^A398,E399-$AG$5)</f>
        <v>0</v>
      </c>
      <c r="Z399" s="49">
        <f ca="1">ABS(M399-(controls!$B$9/100)*100)</f>
        <v>0</v>
      </c>
      <c r="AI399" s="40"/>
      <c r="AJ399" s="40"/>
    </row>
    <row r="400" spans="1:36">
      <c r="A400" s="48">
        <v>397</v>
      </c>
      <c r="B400" s="75">
        <f ca="1">IF(controls!$B$6=2,AVERAGE(E396:E399)+B399*W400+hystere!$AG$9,AVERAGE(E396:E399)+B399*W400)</f>
        <v>100</v>
      </c>
      <c r="C400" s="80">
        <f t="shared" ca="1" si="37"/>
        <v>0</v>
      </c>
      <c r="D400" s="105">
        <f t="shared" ca="1" si="38"/>
        <v>0</v>
      </c>
      <c r="E400" s="77">
        <f t="shared" ca="1" si="39"/>
        <v>100</v>
      </c>
      <c r="F400" s="77">
        <f ca="1">IF('main page'!$K$34=1,hystere!H400,hystere!G400)</f>
        <v>100</v>
      </c>
      <c r="G400" s="94">
        <f ca="1">I400-'main page'!$K$27*hystere!N399</f>
        <v>100</v>
      </c>
      <c r="H400" s="75">
        <f ca="1">J400-'main page'!$K$27*N399</f>
        <v>100</v>
      </c>
      <c r="I400" s="75">
        <f t="shared" ca="1" si="34"/>
        <v>108</v>
      </c>
      <c r="J400" s="75">
        <f t="shared" ca="1" si="35"/>
        <v>108</v>
      </c>
      <c r="M400" s="75">
        <f ca="1">IF(ABS('main page'!$K$29*M399+(1-'main page'!$K$29)*(controls!$B$9/100)*100+'main page'!$K$25*(E400-B400)-M399)&lt;0.0000001,M399,'main page'!$K$29*M399+(1-'main page'!$K$29)*(controls!$B$9/100)*100+'main page'!$K$25*(E400-B400))</f>
        <v>2</v>
      </c>
      <c r="N400" s="75">
        <f ca="1">IF(controls!$B$10=1,N399,O400-'main page'!$K$29*M400-(1-'main page'!$K$29)*controls!$B$9)</f>
        <v>4</v>
      </c>
      <c r="O400" s="74">
        <f t="shared" ca="1" si="36"/>
        <v>6</v>
      </c>
      <c r="P400" s="76">
        <f ca="1">IF(controls!$B$10=1,hystere!N400+hystere!M400,hystere!Q400)</f>
        <v>6</v>
      </c>
      <c r="Q400" s="74">
        <f ca="1">IF('main page'!$Y$53=1,'choose m.p.'!$I$22*100,R400)</f>
        <v>6</v>
      </c>
      <c r="R400" s="100">
        <f ca="1">'main page'!$K$29*M400+(1-'main page'!$K$29)*controls!$B$9+S400+(('main page'!$K$25*'main page'!$U$13*'main page'!$K$29)/('main page'!$K$27*(1+('main page'!$K$25^2)*'main page'!$U$13)))*(M400-(controls!$B$9/100)*100)</f>
        <v>6</v>
      </c>
      <c r="S400" s="98">
        <f ca="1">IF(controls!$B$33=1,(J401-E400*X401-B400)/'main page'!$K$27,(I401-E400*X401-B400)/'main page'!$K$27)</f>
        <v>4</v>
      </c>
      <c r="U400" s="71">
        <f>IF(controls!$B$6=1,$AG$4*(1+('main page'!$K$35/100))^V400-$AG$4*(1+('main page'!$K$35/100))^V399,$AG$4*(1+('main page'!$G$8/100))*(1+('main page'!$K$35/100))^V400-$AG$4*(1+('main page'!$G$8/100))*(1+('main page'!$K$35/100))^V399)</f>
        <v>0</v>
      </c>
      <c r="V400" s="73">
        <v>392</v>
      </c>
      <c r="W400" s="40">
        <f>'normal case'!V399</f>
        <v>0</v>
      </c>
      <c r="X400" s="40">
        <f>'normal case'!W399</f>
        <v>0</v>
      </c>
      <c r="Y400" s="49">
        <f ca="1">IF(controls!$B$33=1,E400-($J$4-'main page'!$K$27*2)*(1+('main page'!$K$35/100))^A399,E400-$AG$5)</f>
        <v>0</v>
      </c>
      <c r="Z400" s="49">
        <f ca="1">ABS(M400-(controls!$B$9/100)*100)</f>
        <v>0</v>
      </c>
      <c r="AI400" s="40"/>
      <c r="AJ400" s="40"/>
    </row>
    <row r="401" spans="1:36">
      <c r="A401" s="48">
        <v>398</v>
      </c>
      <c r="B401" s="75">
        <f ca="1">IF(controls!$B$6=2,AVERAGE(E397:E400)+B400*W401+hystere!$AG$9,AVERAGE(E397:E400)+B400*W401)</f>
        <v>100</v>
      </c>
      <c r="C401" s="80">
        <f t="shared" ca="1" si="37"/>
        <v>0</v>
      </c>
      <c r="D401" s="105">
        <f t="shared" ca="1" si="38"/>
        <v>0</v>
      </c>
      <c r="E401" s="77">
        <f t="shared" ca="1" si="39"/>
        <v>100</v>
      </c>
      <c r="F401" s="77">
        <f ca="1">IF('main page'!$K$34=1,hystere!H401,hystere!G401)</f>
        <v>100</v>
      </c>
      <c r="G401" s="94">
        <f ca="1">I401-'main page'!$K$27*hystere!N400</f>
        <v>100</v>
      </c>
      <c r="H401" s="75">
        <f ca="1">J401-'main page'!$K$27*N400</f>
        <v>100</v>
      </c>
      <c r="I401" s="75">
        <f t="shared" ca="1" si="34"/>
        <v>108</v>
      </c>
      <c r="J401" s="75">
        <f t="shared" ca="1" si="35"/>
        <v>108</v>
      </c>
      <c r="M401" s="75">
        <f ca="1">IF(ABS('main page'!$K$29*M400+(1-'main page'!$K$29)*(controls!$B$9/100)*100+'main page'!$K$25*(E401-B401)-M400)&lt;0.0000001,M400,'main page'!$K$29*M400+(1-'main page'!$K$29)*(controls!$B$9/100)*100+'main page'!$K$25*(E401-B401))</f>
        <v>2</v>
      </c>
      <c r="N401" s="75">
        <f ca="1">IF(controls!$B$10=1,N400,O401-'main page'!$K$29*M401-(1-'main page'!$K$29)*controls!$B$9)</f>
        <v>4</v>
      </c>
      <c r="O401" s="74">
        <f t="shared" ca="1" si="36"/>
        <v>6</v>
      </c>
      <c r="P401" s="76">
        <f ca="1">IF(controls!$B$10=1,hystere!N401+hystere!M401,hystere!Q401)</f>
        <v>6</v>
      </c>
      <c r="Q401" s="74">
        <f ca="1">IF('main page'!$Y$53=1,'choose m.p.'!$I$22*100,R401)</f>
        <v>6</v>
      </c>
      <c r="R401" s="100">
        <f ca="1">'main page'!$K$29*M401+(1-'main page'!$K$29)*controls!$B$9+S401+(('main page'!$K$25*'main page'!$U$13*'main page'!$K$29)/('main page'!$K$27*(1+('main page'!$K$25^2)*'main page'!$U$13)))*(M401-(controls!$B$9/100)*100)</f>
        <v>6</v>
      </c>
      <c r="S401" s="98">
        <f ca="1">IF(controls!$B$33=1,(J402-E401*X402-B401)/'main page'!$K$27,(I402-E401*X402-B401)/'main page'!$K$27)</f>
        <v>4</v>
      </c>
      <c r="U401" s="71">
        <f>IF(controls!$B$6=1,$AG$4*(1+('main page'!$K$35/100))^V401-$AG$4*(1+('main page'!$K$35/100))^V400,$AG$4*(1+('main page'!$G$8/100))*(1+('main page'!$K$35/100))^V401-$AG$4*(1+('main page'!$G$8/100))*(1+('main page'!$K$35/100))^V400)</f>
        <v>0</v>
      </c>
      <c r="V401" s="73">
        <v>393</v>
      </c>
      <c r="W401" s="40">
        <f>'normal case'!V400</f>
        <v>0</v>
      </c>
      <c r="X401" s="40">
        <f>'normal case'!W400</f>
        <v>0</v>
      </c>
      <c r="Y401" s="49">
        <f ca="1">IF(controls!$B$33=1,E401-($J$4-'main page'!$K$27*2)*(1+('main page'!$K$35/100))^A400,E401-$AG$5)</f>
        <v>0</v>
      </c>
      <c r="Z401" s="49">
        <f ca="1">ABS(M401-(controls!$B$9/100)*100)</f>
        <v>0</v>
      </c>
      <c r="AI401" s="40"/>
      <c r="AJ401" s="40"/>
    </row>
    <row r="402" spans="1:36">
      <c r="A402" s="48">
        <v>399</v>
      </c>
      <c r="B402" s="75">
        <f ca="1">IF(controls!$B$6=2,AVERAGE(E398:E401)+B401*W402+hystere!$AG$9,AVERAGE(E398:E401)+B401*W402)</f>
        <v>100</v>
      </c>
      <c r="C402" s="80">
        <f t="shared" ca="1" si="37"/>
        <v>0</v>
      </c>
      <c r="D402" s="105">
        <f t="shared" ca="1" si="38"/>
        <v>0</v>
      </c>
      <c r="E402" s="77">
        <f t="shared" ca="1" si="39"/>
        <v>100</v>
      </c>
      <c r="F402" s="77">
        <f ca="1">IF('main page'!$K$34=1,hystere!H402,hystere!G402)</f>
        <v>100</v>
      </c>
      <c r="G402" s="94">
        <f ca="1">I402-'main page'!$K$27*hystere!N401</f>
        <v>100</v>
      </c>
      <c r="H402" s="75">
        <f ca="1">J402-'main page'!$K$27*N401</f>
        <v>100</v>
      </c>
      <c r="I402" s="75">
        <f t="shared" ca="1" si="34"/>
        <v>108</v>
      </c>
      <c r="J402" s="75">
        <f t="shared" ca="1" si="35"/>
        <v>108</v>
      </c>
      <c r="M402" s="75">
        <f ca="1">IF(ABS('main page'!$K$29*M401+(1-'main page'!$K$29)*(controls!$B$9/100)*100+'main page'!$K$25*(E402-B402)-M401)&lt;0.0000001,M401,'main page'!$K$29*M401+(1-'main page'!$K$29)*(controls!$B$9/100)*100+'main page'!$K$25*(E402-B402))</f>
        <v>2</v>
      </c>
      <c r="N402" s="75">
        <f ca="1">IF(controls!$B$10=1,N401,O402-'main page'!$K$29*M402-(1-'main page'!$K$29)*controls!$B$9)</f>
        <v>4</v>
      </c>
      <c r="O402" s="74">
        <f t="shared" ca="1" si="36"/>
        <v>6</v>
      </c>
      <c r="P402" s="76">
        <f ca="1">IF(controls!$B$10=1,hystere!N402+hystere!M402,hystere!Q402)</f>
        <v>6</v>
      </c>
      <c r="Q402" s="74">
        <f ca="1">IF('main page'!$Y$53=1,'choose m.p.'!$I$22*100,R402)</f>
        <v>6</v>
      </c>
      <c r="R402" s="100">
        <f ca="1">'main page'!$K$29*M402+(1-'main page'!$K$29)*controls!$B$9+S402+(('main page'!$K$25*'main page'!$U$13*'main page'!$K$29)/('main page'!$K$27*(1+('main page'!$K$25^2)*'main page'!$U$13)))*(M402-(controls!$B$9/100)*100)</f>
        <v>6</v>
      </c>
      <c r="S402" s="98">
        <f ca="1">IF(controls!$B$33=1,(J403-E402*X403-B402)/'main page'!$K$27,(I403-E402*X403-B402)/'main page'!$K$27)</f>
        <v>4</v>
      </c>
      <c r="U402" s="71">
        <f>IF(controls!$B$6=1,$AG$4*(1+('main page'!$K$35/100))^V402-$AG$4*(1+('main page'!$K$35/100))^V401,$AG$4*(1+('main page'!$G$8/100))*(1+('main page'!$K$35/100))^V402-$AG$4*(1+('main page'!$G$8/100))*(1+('main page'!$K$35/100))^V401)</f>
        <v>0</v>
      </c>
      <c r="V402" s="73">
        <v>394</v>
      </c>
      <c r="W402" s="40">
        <f ca="1">'normal case'!V401</f>
        <v>0</v>
      </c>
      <c r="X402" s="40">
        <f ca="1">'normal case'!W401</f>
        <v>0</v>
      </c>
      <c r="Y402" s="49">
        <f ca="1">IF(controls!$B$33=1,E402-($J$4-'main page'!$K$27*2)*(1+('main page'!$K$35/100))^A401,E402-$AG$5)</f>
        <v>0</v>
      </c>
      <c r="Z402" s="49">
        <f ca="1">ABS(M402-(controls!$B$9/100)*100)</f>
        <v>0</v>
      </c>
      <c r="AI402" s="40"/>
      <c r="AJ402" s="40"/>
    </row>
    <row r="403" spans="1:36">
      <c r="A403" s="48">
        <v>400</v>
      </c>
      <c r="B403" s="75">
        <f ca="1">IF(controls!$B$6=2,AVERAGE(E399:E402)+B402*W403+hystere!$AG$9,AVERAGE(E399:E402)+B402*W403)</f>
        <v>100</v>
      </c>
      <c r="C403" s="80">
        <f t="shared" ca="1" si="37"/>
        <v>0</v>
      </c>
      <c r="D403" s="105">
        <f t="shared" ca="1" si="38"/>
        <v>0</v>
      </c>
      <c r="E403" s="77">
        <f t="shared" ca="1" si="39"/>
        <v>100</v>
      </c>
      <c r="F403" s="77">
        <f ca="1">IF('main page'!$K$34=1,hystere!H403,hystere!G403)</f>
        <v>100</v>
      </c>
      <c r="G403" s="94">
        <f ca="1">I403-'main page'!$K$27*hystere!N402</f>
        <v>100</v>
      </c>
      <c r="H403" s="75">
        <f ca="1">J403-'main page'!$K$27*N402</f>
        <v>100</v>
      </c>
      <c r="I403" s="75">
        <f t="shared" ca="1" si="34"/>
        <v>108</v>
      </c>
      <c r="J403" s="75">
        <f t="shared" ca="1" si="35"/>
        <v>108</v>
      </c>
      <c r="M403" s="75">
        <f ca="1">IF(ABS('main page'!$K$29*M402+(1-'main page'!$K$29)*(controls!$B$9/100)*100+'main page'!$K$25*(E403-B403)-M402)&lt;0.0000001,M402,'main page'!$K$29*M402+(1-'main page'!$K$29)*(controls!$B$9/100)*100+'main page'!$K$25*(E403-B403))</f>
        <v>2</v>
      </c>
      <c r="N403" s="75">
        <f ca="1">IF(controls!$B$10=1,N402,O403-'main page'!$K$29*M403-(1-'main page'!$K$29)*controls!$B$9)</f>
        <v>4</v>
      </c>
      <c r="O403" s="74">
        <f t="shared" ca="1" si="36"/>
        <v>6</v>
      </c>
      <c r="P403" s="76">
        <f ca="1">IF(controls!$B$10=1,hystere!N403+hystere!M403,hystere!Q403)</f>
        <v>6</v>
      </c>
      <c r="Q403" s="74">
        <f ca="1">IF('main page'!$Y$53=1,'choose m.p.'!$I$22*100,R403)</f>
        <v>6</v>
      </c>
      <c r="R403" s="100">
        <f ca="1">'main page'!$K$29*M403+(1-'main page'!$K$29)*controls!$B$9+S403+(('main page'!$K$25*'main page'!$U$13*'main page'!$K$29)/('main page'!$K$27*(1+('main page'!$K$25^2)*'main page'!$U$13)))*(M403-(controls!$B$9/100)*100)</f>
        <v>6</v>
      </c>
      <c r="S403" s="98">
        <f ca="1">IF(controls!$B$33=1,(J404-E403*X404-B403)/'main page'!$K$27,(I404-E403*X404-B403)/'main page'!$K$27)</f>
        <v>4</v>
      </c>
      <c r="U403" s="71">
        <f>IF(controls!$B$6=1,$AG$4*(1+('main page'!$K$35/100))^V403-$AG$4*(1+('main page'!$K$35/100))^V402,$AG$4*(1+('main page'!$G$8/100))*(1+('main page'!$K$35/100))^V403-$AG$4*(1+('main page'!$G$8/100))*(1+('main page'!$K$35/100))^V402)</f>
        <v>0</v>
      </c>
      <c r="V403" s="73">
        <v>395</v>
      </c>
      <c r="W403" s="40">
        <f>'normal case'!V402</f>
        <v>0</v>
      </c>
      <c r="X403" s="40">
        <f>'normal case'!W402</f>
        <v>0</v>
      </c>
      <c r="Y403" s="49">
        <f ca="1">IF(controls!$B$33=1,E403-($J$4-'main page'!$K$27*2)*(1+('main page'!$K$35/100))^A402,E403-$AG$5)</f>
        <v>0</v>
      </c>
      <c r="Z403" s="49">
        <f ca="1">ABS(M403-(controls!$B$9/100)*100)</f>
        <v>0</v>
      </c>
      <c r="AI403" s="40"/>
      <c r="AJ403" s="40"/>
    </row>
    <row r="404" spans="1:36">
      <c r="A404" s="48">
        <v>401</v>
      </c>
      <c r="B404" s="75">
        <f ca="1">IF(controls!$B$6=2,AVERAGE(E400:E403)+B403*W404+hystere!$AG$9,AVERAGE(E400:E403)+B403*W404)</f>
        <v>100</v>
      </c>
      <c r="C404" s="80">
        <f t="shared" ca="1" si="37"/>
        <v>0</v>
      </c>
      <c r="D404" s="105">
        <f t="shared" ca="1" si="38"/>
        <v>0</v>
      </c>
      <c r="E404" s="77">
        <f t="shared" ca="1" si="39"/>
        <v>100</v>
      </c>
      <c r="F404" s="77">
        <f ca="1">IF('main page'!$K$34=1,hystere!H404,hystere!G404)</f>
        <v>100</v>
      </c>
      <c r="G404" s="94">
        <f ca="1">I404-'main page'!$K$27*hystere!N403</f>
        <v>100</v>
      </c>
      <c r="H404" s="75">
        <f ca="1">J404-'main page'!$K$27*N403</f>
        <v>100</v>
      </c>
      <c r="I404" s="75">
        <f t="shared" ca="1" si="34"/>
        <v>108</v>
      </c>
      <c r="J404" s="75">
        <f t="shared" ca="1" si="35"/>
        <v>108</v>
      </c>
      <c r="M404" s="75">
        <f ca="1">IF(ABS('main page'!$K$29*M403+(1-'main page'!$K$29)*(controls!$B$9/100)*100+'main page'!$K$25*(E404-B404)-M403)&lt;0.0000001,M403,'main page'!$K$29*M403+(1-'main page'!$K$29)*(controls!$B$9/100)*100+'main page'!$K$25*(E404-B404))</f>
        <v>2</v>
      </c>
      <c r="N404" s="75">
        <f ca="1">IF(controls!$B$10=1,N403,O404-'main page'!$K$29*M404-(1-'main page'!$K$29)*controls!$B$9)</f>
        <v>4</v>
      </c>
      <c r="O404" s="74">
        <f t="shared" ca="1" si="36"/>
        <v>6</v>
      </c>
      <c r="P404" s="76">
        <f ca="1">IF(controls!$B$10=1,hystere!N404+hystere!M404,hystere!Q404)</f>
        <v>6</v>
      </c>
      <c r="Q404" s="74">
        <f ca="1">IF('main page'!$Y$53=1,'choose m.p.'!$I$22*100,R404)</f>
        <v>6</v>
      </c>
      <c r="R404" s="100">
        <f ca="1">'main page'!$K$29*M404+(1-'main page'!$K$29)*controls!$B$9+S404+(('main page'!$K$25*'main page'!$U$13*'main page'!$K$29)/('main page'!$K$27*(1+('main page'!$K$25^2)*'main page'!$U$13)))*(M404-(controls!$B$9/100)*100)</f>
        <v>6</v>
      </c>
      <c r="S404" s="98">
        <f ca="1">IF(controls!$B$33=1,(J405-E404*X405-B404)/'main page'!$K$27,(I405-E404*X405-B404)/'main page'!$K$27)</f>
        <v>4</v>
      </c>
      <c r="U404" s="71">
        <f>IF(controls!$B$6=1,$AG$4*(1+('main page'!$K$35/100))^V404-$AG$4*(1+('main page'!$K$35/100))^V403,$AG$4*(1+('main page'!$G$8/100))*(1+('main page'!$K$35/100))^V404-$AG$4*(1+('main page'!$G$8/100))*(1+('main page'!$K$35/100))^V403)</f>
        <v>0</v>
      </c>
      <c r="V404" s="73">
        <v>396</v>
      </c>
      <c r="W404" s="40">
        <f>'normal case'!V403</f>
        <v>0</v>
      </c>
      <c r="X404" s="40">
        <f>'normal case'!W403</f>
        <v>0</v>
      </c>
      <c r="Y404" s="49">
        <f ca="1">IF(controls!$B$33=1,E404-($J$4-'main page'!$K$27*2)*(1+('main page'!$K$35/100))^A403,E404-$AG$5)</f>
        <v>0</v>
      </c>
      <c r="Z404" s="49">
        <f ca="1">ABS(M404-(controls!$B$9/100)*100)</f>
        <v>0</v>
      </c>
      <c r="AI404" s="40"/>
      <c r="AJ404" s="40"/>
    </row>
    <row r="405" spans="1:36">
      <c r="A405" s="48">
        <v>402</v>
      </c>
      <c r="B405" s="75">
        <f ca="1">IF(controls!$B$6=2,AVERAGE(E401:E404)+B404*W405+hystere!$AG$9,AVERAGE(E401:E404)+B404*W405)</f>
        <v>100</v>
      </c>
      <c r="C405" s="80">
        <f t="shared" ca="1" si="37"/>
        <v>0</v>
      </c>
      <c r="D405" s="105">
        <f t="shared" ca="1" si="38"/>
        <v>0</v>
      </c>
      <c r="E405" s="77">
        <f t="shared" ca="1" si="39"/>
        <v>100</v>
      </c>
      <c r="F405" s="77">
        <f ca="1">IF('main page'!$K$34=1,hystere!H405,hystere!G405)</f>
        <v>100</v>
      </c>
      <c r="G405" s="94">
        <f ca="1">I405-'main page'!$K$27*hystere!N404</f>
        <v>100</v>
      </c>
      <c r="H405" s="75">
        <f ca="1">J405-'main page'!$K$27*N404</f>
        <v>100</v>
      </c>
      <c r="I405" s="75">
        <f t="shared" ca="1" si="34"/>
        <v>108</v>
      </c>
      <c r="J405" s="75">
        <f t="shared" ca="1" si="35"/>
        <v>108</v>
      </c>
      <c r="M405" s="75">
        <f ca="1">IF(ABS('main page'!$K$29*M404+(1-'main page'!$K$29)*(controls!$B$9/100)*100+'main page'!$K$25*(E405-B405)-M404)&lt;0.0000001,M404,'main page'!$K$29*M404+(1-'main page'!$K$29)*(controls!$B$9/100)*100+'main page'!$K$25*(E405-B405))</f>
        <v>2</v>
      </c>
      <c r="N405" s="75">
        <f ca="1">IF(controls!$B$10=1,N404,O405-'main page'!$K$29*M405-(1-'main page'!$K$29)*controls!$B$9)</f>
        <v>4</v>
      </c>
      <c r="O405" s="74">
        <f t="shared" ca="1" si="36"/>
        <v>6</v>
      </c>
      <c r="P405" s="76">
        <f ca="1">IF(controls!$B$10=1,hystere!N405+hystere!M405,hystere!Q405)</f>
        <v>6</v>
      </c>
      <c r="Q405" s="74">
        <f ca="1">IF('main page'!$Y$53=1,'choose m.p.'!$I$22*100,R405)</f>
        <v>6</v>
      </c>
      <c r="R405" s="100">
        <f ca="1">'main page'!$K$29*M405+(1-'main page'!$K$29)*controls!$B$9+S405+(('main page'!$K$25*'main page'!$U$13*'main page'!$K$29)/('main page'!$K$27*(1+('main page'!$K$25^2)*'main page'!$U$13)))*(M405-(controls!$B$9/100)*100)</f>
        <v>6</v>
      </c>
      <c r="S405" s="98">
        <f ca="1">IF(controls!$B$33=1,(J406-E405*X406-B405)/'main page'!$K$27,(I406-E405*X406-B405)/'main page'!$K$27)</f>
        <v>4</v>
      </c>
      <c r="U405" s="71">
        <f>IF(controls!$B$6=1,$AG$4*(1+('main page'!$K$35/100))^V405-$AG$4*(1+('main page'!$K$35/100))^V404,$AG$4*(1+('main page'!$G$8/100))*(1+('main page'!$K$35/100))^V405-$AG$4*(1+('main page'!$G$8/100))*(1+('main page'!$K$35/100))^V404)</f>
        <v>0</v>
      </c>
      <c r="V405" s="73">
        <v>397</v>
      </c>
      <c r="W405" s="40">
        <f ca="1">'normal case'!V404</f>
        <v>0</v>
      </c>
      <c r="X405" s="40">
        <f ca="1">'normal case'!W404</f>
        <v>0</v>
      </c>
      <c r="Y405" s="49">
        <f ca="1">IF(controls!$B$33=1,E405-($J$4-'main page'!$K$27*2)*(1+('main page'!$K$35/100))^A404,E405-$AG$5)</f>
        <v>0</v>
      </c>
      <c r="Z405" s="49">
        <f ca="1">ABS(M405-(controls!$B$9/100)*100)</f>
        <v>0</v>
      </c>
      <c r="AI405" s="40"/>
      <c r="AJ405" s="40"/>
    </row>
    <row r="406" spans="1:36">
      <c r="A406" s="48">
        <v>403</v>
      </c>
      <c r="B406" s="75">
        <f ca="1">IF(controls!$B$6=2,AVERAGE(E402:E405)+B405*W406+hystere!$AG$9,AVERAGE(E402:E405)+B405*W406)</f>
        <v>100</v>
      </c>
      <c r="C406" s="80">
        <f t="shared" ca="1" si="37"/>
        <v>0</v>
      </c>
      <c r="D406" s="105">
        <f t="shared" ca="1" si="38"/>
        <v>0</v>
      </c>
      <c r="E406" s="77">
        <f t="shared" ca="1" si="39"/>
        <v>100</v>
      </c>
      <c r="F406" s="77">
        <f ca="1">IF('main page'!$K$34=1,hystere!H406,hystere!G406)</f>
        <v>100</v>
      </c>
      <c r="G406" s="94">
        <f ca="1">I406-'main page'!$K$27*hystere!N405</f>
        <v>100</v>
      </c>
      <c r="H406" s="75">
        <f ca="1">J406-'main page'!$K$27*N405</f>
        <v>100</v>
      </c>
      <c r="I406" s="75">
        <f t="shared" ca="1" si="34"/>
        <v>108</v>
      </c>
      <c r="J406" s="75">
        <f t="shared" ca="1" si="35"/>
        <v>108</v>
      </c>
      <c r="M406" s="75">
        <f ca="1">IF(ABS('main page'!$K$29*M405+(1-'main page'!$K$29)*(controls!$B$9/100)*100+'main page'!$K$25*(E406-B406)-M405)&lt;0.0000001,M405,'main page'!$K$29*M405+(1-'main page'!$K$29)*(controls!$B$9/100)*100+'main page'!$K$25*(E406-B406))</f>
        <v>2</v>
      </c>
      <c r="N406" s="75">
        <f ca="1">IF(controls!$B$10=1,N405,O406-'main page'!$K$29*M406-(1-'main page'!$K$29)*controls!$B$9)</f>
        <v>4</v>
      </c>
      <c r="O406" s="74">
        <f t="shared" ca="1" si="36"/>
        <v>6</v>
      </c>
      <c r="P406" s="76">
        <f ca="1">IF(controls!$B$10=1,hystere!N406+hystere!M406,hystere!Q406)</f>
        <v>6</v>
      </c>
      <c r="Q406" s="74">
        <f ca="1">IF('main page'!$Y$53=1,'choose m.p.'!$I$22*100,R406)</f>
        <v>6</v>
      </c>
      <c r="R406" s="100">
        <f ca="1">'main page'!$K$29*M406+(1-'main page'!$K$29)*controls!$B$9+S406+(('main page'!$K$25*'main page'!$U$13*'main page'!$K$29)/('main page'!$K$27*(1+('main page'!$K$25^2)*'main page'!$U$13)))*(M406-(controls!$B$9/100)*100)</f>
        <v>6</v>
      </c>
      <c r="S406" s="98">
        <f ca="1">IF(controls!$B$33=1,(J407-E406*X407-B406)/'main page'!$K$27,(I407-E406*X407-B406)/'main page'!$K$27)</f>
        <v>4</v>
      </c>
      <c r="U406" s="71">
        <f>IF(controls!$B$6=1,$AG$4*(1+('main page'!$K$35/100))^V406-$AG$4*(1+('main page'!$K$35/100))^V405,$AG$4*(1+('main page'!$G$8/100))*(1+('main page'!$K$35/100))^V406-$AG$4*(1+('main page'!$G$8/100))*(1+('main page'!$K$35/100))^V405)</f>
        <v>0</v>
      </c>
      <c r="V406" s="73">
        <v>398</v>
      </c>
      <c r="W406" s="40">
        <f>'normal case'!V405</f>
        <v>0</v>
      </c>
      <c r="X406" s="40">
        <f>'normal case'!W405</f>
        <v>0</v>
      </c>
      <c r="Y406" s="49">
        <f ca="1">IF(controls!$B$33=1,E406-($J$4-'main page'!$K$27*2)*(1+('main page'!$K$35/100))^A405,E406-$AG$5)</f>
        <v>0</v>
      </c>
      <c r="Z406" s="49">
        <f ca="1">ABS(M406-(controls!$B$9/100)*100)</f>
        <v>0</v>
      </c>
      <c r="AI406" s="40"/>
      <c r="AJ406" s="40"/>
    </row>
    <row r="407" spans="1:36">
      <c r="A407" s="48">
        <v>404</v>
      </c>
      <c r="B407" s="75">
        <f ca="1">IF(controls!$B$6=2,AVERAGE(E403:E406)+B406*W407+hystere!$AG$9,AVERAGE(E403:E406)+B406*W407)</f>
        <v>100</v>
      </c>
      <c r="C407" s="80">
        <f t="shared" ca="1" si="37"/>
        <v>0</v>
      </c>
      <c r="D407" s="105">
        <f t="shared" ca="1" si="38"/>
        <v>0</v>
      </c>
      <c r="E407" s="77">
        <f t="shared" ca="1" si="39"/>
        <v>100</v>
      </c>
      <c r="F407" s="77">
        <f ca="1">IF('main page'!$K$34=1,hystere!H407,hystere!G407)</f>
        <v>100</v>
      </c>
      <c r="G407" s="94">
        <f ca="1">I407-'main page'!$K$27*hystere!N406</f>
        <v>100</v>
      </c>
      <c r="H407" s="75">
        <f ca="1">J407-'main page'!$K$27*N406</f>
        <v>100</v>
      </c>
      <c r="I407" s="75">
        <f t="shared" ca="1" si="34"/>
        <v>108</v>
      </c>
      <c r="J407" s="75">
        <f t="shared" ca="1" si="35"/>
        <v>108</v>
      </c>
      <c r="M407" s="75">
        <f ca="1">IF(ABS('main page'!$K$29*M406+(1-'main page'!$K$29)*(controls!$B$9/100)*100+'main page'!$K$25*(E407-B407)-M406)&lt;0.0000001,M406,'main page'!$K$29*M406+(1-'main page'!$K$29)*(controls!$B$9/100)*100+'main page'!$K$25*(E407-B407))</f>
        <v>2</v>
      </c>
      <c r="N407" s="75">
        <f ca="1">IF(controls!$B$10=1,N406,O407-'main page'!$K$29*M407-(1-'main page'!$K$29)*controls!$B$9)</f>
        <v>4</v>
      </c>
      <c r="O407" s="74">
        <f t="shared" ca="1" si="36"/>
        <v>6</v>
      </c>
      <c r="P407" s="76">
        <f ca="1">IF(controls!$B$10=1,hystere!N407+hystere!M407,hystere!Q407)</f>
        <v>6</v>
      </c>
      <c r="Q407" s="74">
        <f ca="1">IF('main page'!$Y$53=1,'choose m.p.'!$I$22*100,R407)</f>
        <v>6</v>
      </c>
      <c r="R407" s="100">
        <f ca="1">'main page'!$K$29*M407+(1-'main page'!$K$29)*controls!$B$9+S407+(('main page'!$K$25*'main page'!$U$13*'main page'!$K$29)/('main page'!$K$27*(1+('main page'!$K$25^2)*'main page'!$U$13)))*(M407-(controls!$B$9/100)*100)</f>
        <v>6</v>
      </c>
      <c r="S407" s="98">
        <f ca="1">IF(controls!$B$33=1,(J408-E407*X408-B407)/'main page'!$K$27,(I408-E407*X408-B407)/'main page'!$K$27)</f>
        <v>4</v>
      </c>
      <c r="U407" s="71">
        <f>IF(controls!$B$6=1,$AG$4*(1+('main page'!$K$35/100))^V407-$AG$4*(1+('main page'!$K$35/100))^V406,$AG$4*(1+('main page'!$G$8/100))*(1+('main page'!$K$35/100))^V407-$AG$4*(1+('main page'!$G$8/100))*(1+('main page'!$K$35/100))^V406)</f>
        <v>0</v>
      </c>
      <c r="V407" s="73">
        <v>399</v>
      </c>
      <c r="W407" s="40">
        <f>'normal case'!V406</f>
        <v>0</v>
      </c>
      <c r="X407" s="40">
        <f>'normal case'!W406</f>
        <v>0</v>
      </c>
      <c r="Y407" s="49">
        <f ca="1">IF(controls!$B$33=1,E407-($J$4-'main page'!$K$27*2)*(1+('main page'!$K$35/100))^A406,E407-$AG$5)</f>
        <v>0</v>
      </c>
      <c r="Z407" s="49">
        <f ca="1">ABS(M407-(controls!$B$9/100)*100)</f>
        <v>0</v>
      </c>
      <c r="AI407" s="40"/>
      <c r="AJ407" s="40"/>
    </row>
    <row r="408" spans="1:36">
      <c r="A408" s="48">
        <v>405</v>
      </c>
      <c r="B408" s="75">
        <f ca="1">IF(controls!$B$6=2,AVERAGE(E404:E407)+B407*W408+hystere!$AG$9,AVERAGE(E404:E407)+B407*W408)</f>
        <v>100</v>
      </c>
      <c r="C408" s="80">
        <f t="shared" ca="1" si="37"/>
        <v>0</v>
      </c>
      <c r="D408" s="105">
        <f t="shared" ca="1" si="38"/>
        <v>0</v>
      </c>
      <c r="E408" s="77">
        <f t="shared" ca="1" si="39"/>
        <v>100</v>
      </c>
      <c r="F408" s="77">
        <f ca="1">IF('main page'!$K$34=1,hystere!H408,hystere!G408)</f>
        <v>100</v>
      </c>
      <c r="G408" s="94">
        <f ca="1">I408-'main page'!$K$27*hystere!N407</f>
        <v>100</v>
      </c>
      <c r="H408" s="75">
        <f ca="1">J408-'main page'!$K$27*N407</f>
        <v>100</v>
      </c>
      <c r="I408" s="75">
        <f t="shared" ca="1" si="34"/>
        <v>108</v>
      </c>
      <c r="J408" s="75">
        <f t="shared" ca="1" si="35"/>
        <v>108</v>
      </c>
      <c r="M408" s="75">
        <f ca="1">IF(ABS('main page'!$K$29*M407+(1-'main page'!$K$29)*(controls!$B$9/100)*100+'main page'!$K$25*(E408-B408)-M407)&lt;0.0000001,M407,'main page'!$K$29*M407+(1-'main page'!$K$29)*(controls!$B$9/100)*100+'main page'!$K$25*(E408-B408))</f>
        <v>2</v>
      </c>
      <c r="N408" s="75">
        <f ca="1">IF(controls!$B$10=1,N407,O408-'main page'!$K$29*M408-(1-'main page'!$K$29)*controls!$B$9)</f>
        <v>4</v>
      </c>
      <c r="O408" s="74">
        <f t="shared" ca="1" si="36"/>
        <v>6</v>
      </c>
      <c r="P408" s="76">
        <f ca="1">IF(controls!$B$10=1,hystere!N408+hystere!M408,hystere!Q408)</f>
        <v>6</v>
      </c>
      <c r="Q408" s="74">
        <f ca="1">IF('main page'!$Y$53=1,'choose m.p.'!$I$22*100,R408)</f>
        <v>6</v>
      </c>
      <c r="R408" s="100">
        <f ca="1">'main page'!$K$29*M408+(1-'main page'!$K$29)*controls!$B$9+S408+(('main page'!$K$25*'main page'!$U$13*'main page'!$K$29)/('main page'!$K$27*(1+('main page'!$K$25^2)*'main page'!$U$13)))*(M408-(controls!$B$9/100)*100)</f>
        <v>6</v>
      </c>
      <c r="S408" s="98">
        <f ca="1">IF(controls!$B$33=1,(J409-E408*X409-B408)/'main page'!$K$27,(I409-E408*X409-B408)/'main page'!$K$27)</f>
        <v>4</v>
      </c>
      <c r="U408" s="71">
        <f>IF(controls!$B$6=1,$AG$4*(1+('main page'!$K$35/100))^V408-$AG$4*(1+('main page'!$K$35/100))^V407,$AG$4*(1+('main page'!$G$8/100))*(1+('main page'!$K$35/100))^V408-$AG$4*(1+('main page'!$G$8/100))*(1+('main page'!$K$35/100))^V407)</f>
        <v>0</v>
      </c>
      <c r="V408" s="73">
        <v>400</v>
      </c>
      <c r="W408" s="40">
        <f ca="1">'normal case'!V407</f>
        <v>0</v>
      </c>
      <c r="X408" s="40">
        <f ca="1">'normal case'!W407</f>
        <v>0</v>
      </c>
      <c r="Y408" s="49">
        <f ca="1">IF(controls!$B$33=1,E408-($J$4-'main page'!$K$27*2)*(1+('main page'!$K$35/100))^A407,E408-$AG$5)</f>
        <v>0</v>
      </c>
      <c r="Z408" s="49">
        <f ca="1">ABS(M408-(controls!$B$9/100)*100)</f>
        <v>0</v>
      </c>
      <c r="AI408" s="40"/>
      <c r="AJ408" s="40"/>
    </row>
    <row r="409" spans="1:36">
      <c r="A409" s="48">
        <v>406</v>
      </c>
      <c r="B409" s="75">
        <f ca="1">IF(controls!$B$6=2,AVERAGE(E405:E408)+B408*W409+hystere!$AG$9,AVERAGE(E405:E408)+B408*W409)</f>
        <v>100</v>
      </c>
      <c r="C409" s="80">
        <f t="shared" ca="1" si="37"/>
        <v>0</v>
      </c>
      <c r="D409" s="105">
        <f t="shared" ca="1" si="38"/>
        <v>0</v>
      </c>
      <c r="E409" s="77">
        <f t="shared" ca="1" si="39"/>
        <v>100</v>
      </c>
      <c r="F409" s="77">
        <f ca="1">IF('main page'!$K$34=1,hystere!H409,hystere!G409)</f>
        <v>100</v>
      </c>
      <c r="G409" s="94">
        <f ca="1">I409-'main page'!$K$27*hystere!N408</f>
        <v>100</v>
      </c>
      <c r="H409" s="75">
        <f ca="1">J409-'main page'!$K$27*N408</f>
        <v>100</v>
      </c>
      <c r="I409" s="75">
        <f t="shared" ref="I409:I472" ca="1" si="40">I408+E408*X409</f>
        <v>108</v>
      </c>
      <c r="J409" s="75">
        <f t="shared" ref="J409:J472" ca="1" si="41">J408+E408*X409+U409</f>
        <v>108</v>
      </c>
      <c r="M409" s="75">
        <f ca="1">IF(ABS('main page'!$K$29*M408+(1-'main page'!$K$29)*(controls!$B$9/100)*100+'main page'!$K$25*(E409-B409)-M408)&lt;0.0000001,M408,'main page'!$K$29*M408+(1-'main page'!$K$29)*(controls!$B$9/100)*100+'main page'!$K$25*(E409-B409))</f>
        <v>2</v>
      </c>
      <c r="N409" s="75">
        <f ca="1">IF(controls!$B$10=1,N408,O409-'main page'!$K$29*M409-(1-'main page'!$K$29)*controls!$B$9)</f>
        <v>4</v>
      </c>
      <c r="O409" s="74">
        <f t="shared" ca="1" si="36"/>
        <v>6</v>
      </c>
      <c r="P409" s="76">
        <f ca="1">IF(controls!$B$10=1,hystere!N409+hystere!M409,hystere!Q409)</f>
        <v>6</v>
      </c>
      <c r="Q409" s="74">
        <f ca="1">IF('main page'!$Y$53=1,'choose m.p.'!$I$22*100,R409)</f>
        <v>6</v>
      </c>
      <c r="R409" s="100">
        <f ca="1">'main page'!$K$29*M409+(1-'main page'!$K$29)*controls!$B$9+S409+(('main page'!$K$25*'main page'!$U$13*'main page'!$K$29)/('main page'!$K$27*(1+('main page'!$K$25^2)*'main page'!$U$13)))*(M409-(controls!$B$9/100)*100)</f>
        <v>6</v>
      </c>
      <c r="S409" s="98">
        <f ca="1">IF(controls!$B$33=1,(J410-E409*X410-B409)/'main page'!$K$27,(I410-E409*X410-B409)/'main page'!$K$27)</f>
        <v>4</v>
      </c>
      <c r="U409" s="71">
        <f>IF(controls!$B$6=1,$AG$4*(1+('main page'!$K$35/100))^V409-$AG$4*(1+('main page'!$K$35/100))^V408,$AG$4*(1+('main page'!$G$8/100))*(1+('main page'!$K$35/100))^V409-$AG$4*(1+('main page'!$G$8/100))*(1+('main page'!$K$35/100))^V408)</f>
        <v>0</v>
      </c>
      <c r="V409" s="73">
        <v>401</v>
      </c>
      <c r="W409" s="40">
        <f>'normal case'!V408</f>
        <v>0</v>
      </c>
      <c r="X409" s="40">
        <f>'normal case'!W408</f>
        <v>0</v>
      </c>
      <c r="Y409" s="49">
        <f ca="1">IF(controls!$B$33=1,E409-($J$4-'main page'!$K$27*2)*(1+('main page'!$K$35/100))^A408,E409-$AG$5)</f>
        <v>0</v>
      </c>
      <c r="Z409" s="49">
        <f ca="1">ABS(M409-(controls!$B$9/100)*100)</f>
        <v>0</v>
      </c>
      <c r="AI409" s="40"/>
      <c r="AJ409" s="40"/>
    </row>
    <row r="410" spans="1:36">
      <c r="A410" s="48">
        <v>407</v>
      </c>
      <c r="B410" s="75">
        <f ca="1">IF(controls!$B$6=2,AVERAGE(E406:E409)+B409*W410+hystere!$AG$9,AVERAGE(E406:E409)+B409*W410)</f>
        <v>100</v>
      </c>
      <c r="C410" s="80">
        <f t="shared" ca="1" si="37"/>
        <v>0</v>
      </c>
      <c r="D410" s="105">
        <f t="shared" ca="1" si="38"/>
        <v>0</v>
      </c>
      <c r="E410" s="77">
        <f t="shared" ca="1" si="39"/>
        <v>100</v>
      </c>
      <c r="F410" s="77">
        <f ca="1">IF('main page'!$K$34=1,hystere!H410,hystere!G410)</f>
        <v>100</v>
      </c>
      <c r="G410" s="94">
        <f ca="1">I410-'main page'!$K$27*hystere!N409</f>
        <v>100</v>
      </c>
      <c r="H410" s="75">
        <f ca="1">J410-'main page'!$K$27*N409</f>
        <v>100</v>
      </c>
      <c r="I410" s="75">
        <f t="shared" ca="1" si="40"/>
        <v>108</v>
      </c>
      <c r="J410" s="75">
        <f t="shared" ca="1" si="41"/>
        <v>108</v>
      </c>
      <c r="M410" s="75">
        <f ca="1">IF(ABS('main page'!$K$29*M409+(1-'main page'!$K$29)*(controls!$B$9/100)*100+'main page'!$K$25*(E410-B410)-M409)&lt;0.0000001,M409,'main page'!$K$29*M409+(1-'main page'!$K$29)*(controls!$B$9/100)*100+'main page'!$K$25*(E410-B410))</f>
        <v>2</v>
      </c>
      <c r="N410" s="75">
        <f ca="1">IF(controls!$B$10=1,N409,O410-'main page'!$K$29*M410-(1-'main page'!$K$29)*controls!$B$9)</f>
        <v>4</v>
      </c>
      <c r="O410" s="74">
        <f t="shared" ca="1" si="36"/>
        <v>6</v>
      </c>
      <c r="P410" s="76">
        <f ca="1">IF(controls!$B$10=1,hystere!N410+hystere!M410,hystere!Q410)</f>
        <v>6</v>
      </c>
      <c r="Q410" s="74">
        <f ca="1">IF('main page'!$Y$53=1,'choose m.p.'!$I$22*100,R410)</f>
        <v>6</v>
      </c>
      <c r="R410" s="100">
        <f ca="1">'main page'!$K$29*M410+(1-'main page'!$K$29)*controls!$B$9+S410+(('main page'!$K$25*'main page'!$U$13*'main page'!$K$29)/('main page'!$K$27*(1+('main page'!$K$25^2)*'main page'!$U$13)))*(M410-(controls!$B$9/100)*100)</f>
        <v>6</v>
      </c>
      <c r="S410" s="98">
        <f ca="1">IF(controls!$B$33=1,(J411-E410*X411-B410)/'main page'!$K$27,(I411-E410*X411-B410)/'main page'!$K$27)</f>
        <v>4</v>
      </c>
      <c r="U410" s="71">
        <f>IF(controls!$B$6=1,$AG$4*(1+('main page'!$K$35/100))^V410-$AG$4*(1+('main page'!$K$35/100))^V409,$AG$4*(1+('main page'!$G$8/100))*(1+('main page'!$K$35/100))^V410-$AG$4*(1+('main page'!$G$8/100))*(1+('main page'!$K$35/100))^V409)</f>
        <v>0</v>
      </c>
      <c r="V410" s="73">
        <v>402</v>
      </c>
      <c r="W410" s="40">
        <f>'normal case'!V409</f>
        <v>0</v>
      </c>
      <c r="X410" s="40">
        <f>'normal case'!W409</f>
        <v>0</v>
      </c>
      <c r="Y410" s="49">
        <f ca="1">IF(controls!$B$33=1,E410-($J$4-'main page'!$K$27*2)*(1+('main page'!$K$35/100))^A409,E410-$AG$5)</f>
        <v>0</v>
      </c>
      <c r="Z410" s="49">
        <f ca="1">ABS(M410-(controls!$B$9/100)*100)</f>
        <v>0</v>
      </c>
      <c r="AI410" s="40"/>
      <c r="AJ410" s="40"/>
    </row>
    <row r="411" spans="1:36">
      <c r="A411" s="48">
        <v>408</v>
      </c>
      <c r="B411" s="75">
        <f ca="1">IF(controls!$B$6=2,AVERAGE(E407:E410)+B410*W411+hystere!$AG$9,AVERAGE(E407:E410)+B410*W411)</f>
        <v>100</v>
      </c>
      <c r="C411" s="80">
        <f t="shared" ca="1" si="37"/>
        <v>0</v>
      </c>
      <c r="D411" s="105">
        <f t="shared" ca="1" si="38"/>
        <v>0</v>
      </c>
      <c r="E411" s="77">
        <f t="shared" ca="1" si="39"/>
        <v>100</v>
      </c>
      <c r="F411" s="77">
        <f ca="1">IF('main page'!$K$34=1,hystere!H411,hystere!G411)</f>
        <v>100</v>
      </c>
      <c r="G411" s="94">
        <f ca="1">I411-'main page'!$K$27*hystere!N410</f>
        <v>100</v>
      </c>
      <c r="H411" s="75">
        <f ca="1">J411-'main page'!$K$27*N410</f>
        <v>100</v>
      </c>
      <c r="I411" s="75">
        <f t="shared" ca="1" si="40"/>
        <v>108</v>
      </c>
      <c r="J411" s="75">
        <f t="shared" ca="1" si="41"/>
        <v>108</v>
      </c>
      <c r="M411" s="75">
        <f ca="1">IF(ABS('main page'!$K$29*M410+(1-'main page'!$K$29)*(controls!$B$9/100)*100+'main page'!$K$25*(E411-B411)-M410)&lt;0.0000001,M410,'main page'!$K$29*M410+(1-'main page'!$K$29)*(controls!$B$9/100)*100+'main page'!$K$25*(E411-B411))</f>
        <v>2</v>
      </c>
      <c r="N411" s="75">
        <f ca="1">IF(controls!$B$10=1,N410,O411-'main page'!$K$29*M411-(1-'main page'!$K$29)*controls!$B$9)</f>
        <v>4</v>
      </c>
      <c r="O411" s="74">
        <f t="shared" ca="1" si="36"/>
        <v>6</v>
      </c>
      <c r="P411" s="76">
        <f ca="1">IF(controls!$B$10=1,hystere!N411+hystere!M411,hystere!Q411)</f>
        <v>6</v>
      </c>
      <c r="Q411" s="74">
        <f ca="1">IF('main page'!$Y$53=1,'choose m.p.'!$I$22*100,R411)</f>
        <v>6</v>
      </c>
      <c r="R411" s="100">
        <f ca="1">'main page'!$K$29*M411+(1-'main page'!$K$29)*controls!$B$9+S411+(('main page'!$K$25*'main page'!$U$13*'main page'!$K$29)/('main page'!$K$27*(1+('main page'!$K$25^2)*'main page'!$U$13)))*(M411-(controls!$B$9/100)*100)</f>
        <v>6</v>
      </c>
      <c r="S411" s="98">
        <f ca="1">IF(controls!$B$33=1,(J412-E411*X412-B411)/'main page'!$K$27,(I412-E411*X412-B411)/'main page'!$K$27)</f>
        <v>4</v>
      </c>
      <c r="U411" s="71">
        <f>IF(controls!$B$6=1,$AG$4*(1+('main page'!$K$35/100))^V411-$AG$4*(1+('main page'!$K$35/100))^V410,$AG$4*(1+('main page'!$G$8/100))*(1+('main page'!$K$35/100))^V411-$AG$4*(1+('main page'!$G$8/100))*(1+('main page'!$K$35/100))^V410)</f>
        <v>0</v>
      </c>
      <c r="V411" s="73">
        <v>403</v>
      </c>
      <c r="W411" s="40">
        <f ca="1">'normal case'!V410</f>
        <v>0</v>
      </c>
      <c r="X411" s="40">
        <f ca="1">'normal case'!W410</f>
        <v>0</v>
      </c>
      <c r="Y411" s="49">
        <f ca="1">IF(controls!$B$33=1,E411-($J$4-'main page'!$K$27*2)*(1+('main page'!$K$35/100))^A410,E411-$AG$5)</f>
        <v>0</v>
      </c>
      <c r="Z411" s="49">
        <f ca="1">ABS(M411-(controls!$B$9/100)*100)</f>
        <v>0</v>
      </c>
      <c r="AI411" s="40"/>
      <c r="AJ411" s="40"/>
    </row>
    <row r="412" spans="1:36">
      <c r="A412" s="48">
        <v>409</v>
      </c>
      <c r="B412" s="75">
        <f ca="1">IF(controls!$B$6=2,AVERAGE(E408:E411)+B411*W412+hystere!$AG$9,AVERAGE(E408:E411)+B411*W412)</f>
        <v>100</v>
      </c>
      <c r="C412" s="80">
        <f t="shared" ca="1" si="37"/>
        <v>0</v>
      </c>
      <c r="D412" s="105">
        <f t="shared" ca="1" si="38"/>
        <v>0</v>
      </c>
      <c r="E412" s="77">
        <f t="shared" ca="1" si="39"/>
        <v>100</v>
      </c>
      <c r="F412" s="77">
        <f ca="1">IF('main page'!$K$34=1,hystere!H412,hystere!G412)</f>
        <v>100</v>
      </c>
      <c r="G412" s="94">
        <f ca="1">I412-'main page'!$K$27*hystere!N411</f>
        <v>100</v>
      </c>
      <c r="H412" s="75">
        <f ca="1">J412-'main page'!$K$27*N411</f>
        <v>100</v>
      </c>
      <c r="I412" s="75">
        <f t="shared" ca="1" si="40"/>
        <v>108</v>
      </c>
      <c r="J412" s="75">
        <f t="shared" ca="1" si="41"/>
        <v>108</v>
      </c>
      <c r="M412" s="75">
        <f ca="1">IF(ABS('main page'!$K$29*M411+(1-'main page'!$K$29)*(controls!$B$9/100)*100+'main page'!$K$25*(E412-B412)-M411)&lt;0.0000001,M411,'main page'!$K$29*M411+(1-'main page'!$K$29)*(controls!$B$9/100)*100+'main page'!$K$25*(E412-B412))</f>
        <v>2</v>
      </c>
      <c r="N412" s="75">
        <f ca="1">IF(controls!$B$10=1,N411,O412-'main page'!$K$29*M412-(1-'main page'!$K$29)*controls!$B$9)</f>
        <v>4</v>
      </c>
      <c r="O412" s="74">
        <f t="shared" ca="1" si="36"/>
        <v>6</v>
      </c>
      <c r="P412" s="76">
        <f ca="1">IF(controls!$B$10=1,hystere!N412+hystere!M412,hystere!Q412)</f>
        <v>6</v>
      </c>
      <c r="Q412" s="74">
        <f ca="1">IF('main page'!$Y$53=1,'choose m.p.'!$I$22*100,R412)</f>
        <v>6</v>
      </c>
      <c r="R412" s="100">
        <f ca="1">'main page'!$K$29*M412+(1-'main page'!$K$29)*controls!$B$9+S412+(('main page'!$K$25*'main page'!$U$13*'main page'!$K$29)/('main page'!$K$27*(1+('main page'!$K$25^2)*'main page'!$U$13)))*(M412-(controls!$B$9/100)*100)</f>
        <v>6</v>
      </c>
      <c r="S412" s="98">
        <f ca="1">IF(controls!$B$33=1,(J413-E412*X413-B412)/'main page'!$K$27,(I413-E412*X413-B412)/'main page'!$K$27)</f>
        <v>4</v>
      </c>
      <c r="U412" s="71">
        <f>IF(controls!$B$6=1,$AG$4*(1+('main page'!$K$35/100))^V412-$AG$4*(1+('main page'!$K$35/100))^V411,$AG$4*(1+('main page'!$G$8/100))*(1+('main page'!$K$35/100))^V412-$AG$4*(1+('main page'!$G$8/100))*(1+('main page'!$K$35/100))^V411)</f>
        <v>0</v>
      </c>
      <c r="V412" s="73">
        <v>404</v>
      </c>
      <c r="W412" s="40">
        <f>'normal case'!V411</f>
        <v>0</v>
      </c>
      <c r="X412" s="40">
        <f>'normal case'!W411</f>
        <v>0</v>
      </c>
      <c r="Y412" s="49">
        <f ca="1">IF(controls!$B$33=1,E412-($J$4-'main page'!$K$27*2)*(1+('main page'!$K$35/100))^A411,E412-$AG$5)</f>
        <v>0</v>
      </c>
      <c r="Z412" s="49">
        <f ca="1">ABS(M412-(controls!$B$9/100)*100)</f>
        <v>0</v>
      </c>
      <c r="AI412" s="40"/>
      <c r="AJ412" s="40"/>
    </row>
    <row r="413" spans="1:36">
      <c r="A413" s="48">
        <v>410</v>
      </c>
      <c r="B413" s="75">
        <f ca="1">IF(controls!$B$6=2,AVERAGE(E409:E412)+B412*W413+hystere!$AG$9,AVERAGE(E409:E412)+B412*W413)</f>
        <v>100</v>
      </c>
      <c r="C413" s="80">
        <f t="shared" ca="1" si="37"/>
        <v>0</v>
      </c>
      <c r="D413" s="105">
        <f t="shared" ca="1" si="38"/>
        <v>0</v>
      </c>
      <c r="E413" s="77">
        <f t="shared" ca="1" si="39"/>
        <v>100</v>
      </c>
      <c r="F413" s="77">
        <f ca="1">IF('main page'!$K$34=1,hystere!H413,hystere!G413)</f>
        <v>100</v>
      </c>
      <c r="G413" s="94">
        <f ca="1">I413-'main page'!$K$27*hystere!N412</f>
        <v>100</v>
      </c>
      <c r="H413" s="75">
        <f ca="1">J413-'main page'!$K$27*N412</f>
        <v>100</v>
      </c>
      <c r="I413" s="75">
        <f t="shared" ca="1" si="40"/>
        <v>108</v>
      </c>
      <c r="J413" s="75">
        <f t="shared" ca="1" si="41"/>
        <v>108</v>
      </c>
      <c r="M413" s="75">
        <f ca="1">IF(ABS('main page'!$K$29*M412+(1-'main page'!$K$29)*(controls!$B$9/100)*100+'main page'!$K$25*(E413-B413)-M412)&lt;0.0000001,M412,'main page'!$K$29*M412+(1-'main page'!$K$29)*(controls!$B$9/100)*100+'main page'!$K$25*(E413-B413))</f>
        <v>2</v>
      </c>
      <c r="N413" s="75">
        <f ca="1">IF(controls!$B$10=1,N412,O413-'main page'!$K$29*M413-(1-'main page'!$K$29)*controls!$B$9)</f>
        <v>4</v>
      </c>
      <c r="O413" s="74">
        <f t="shared" ca="1" si="36"/>
        <v>6</v>
      </c>
      <c r="P413" s="76">
        <f ca="1">IF(controls!$B$10=1,hystere!N413+hystere!M413,hystere!Q413)</f>
        <v>6</v>
      </c>
      <c r="Q413" s="74">
        <f ca="1">IF('main page'!$Y$53=1,'choose m.p.'!$I$22*100,R413)</f>
        <v>6</v>
      </c>
      <c r="R413" s="100">
        <f ca="1">'main page'!$K$29*M413+(1-'main page'!$K$29)*controls!$B$9+S413+(('main page'!$K$25*'main page'!$U$13*'main page'!$K$29)/('main page'!$K$27*(1+('main page'!$K$25^2)*'main page'!$U$13)))*(M413-(controls!$B$9/100)*100)</f>
        <v>6</v>
      </c>
      <c r="S413" s="98">
        <f ca="1">IF(controls!$B$33=1,(J414-E413*X414-B413)/'main page'!$K$27,(I414-E413*X414-B413)/'main page'!$K$27)</f>
        <v>4</v>
      </c>
      <c r="U413" s="71">
        <f>IF(controls!$B$6=1,$AG$4*(1+('main page'!$K$35/100))^V413-$AG$4*(1+('main page'!$K$35/100))^V412,$AG$4*(1+('main page'!$G$8/100))*(1+('main page'!$K$35/100))^V413-$AG$4*(1+('main page'!$G$8/100))*(1+('main page'!$K$35/100))^V412)</f>
        <v>0</v>
      </c>
      <c r="V413" s="73">
        <v>405</v>
      </c>
      <c r="W413" s="40">
        <f>'normal case'!V412</f>
        <v>0</v>
      </c>
      <c r="X413" s="40">
        <f>'normal case'!W412</f>
        <v>0</v>
      </c>
      <c r="Y413" s="49">
        <f ca="1">IF(controls!$B$33=1,E413-($J$4-'main page'!$K$27*2)*(1+('main page'!$K$35/100))^A412,E413-$AG$5)</f>
        <v>0</v>
      </c>
      <c r="Z413" s="49">
        <f ca="1">ABS(M413-(controls!$B$9/100)*100)</f>
        <v>0</v>
      </c>
      <c r="AI413" s="40"/>
      <c r="AJ413" s="40"/>
    </row>
    <row r="414" spans="1:36">
      <c r="A414" s="48">
        <v>411</v>
      </c>
      <c r="B414" s="75">
        <f ca="1">IF(controls!$B$6=2,AVERAGE(E410:E413)+B413*W414+hystere!$AG$9,AVERAGE(E410:E413)+B413*W414)</f>
        <v>100</v>
      </c>
      <c r="C414" s="80">
        <f t="shared" ca="1" si="37"/>
        <v>0</v>
      </c>
      <c r="D414" s="105">
        <f t="shared" ca="1" si="38"/>
        <v>0</v>
      </c>
      <c r="E414" s="77">
        <f t="shared" ca="1" si="39"/>
        <v>100</v>
      </c>
      <c r="F414" s="77">
        <f ca="1">IF('main page'!$K$34=1,hystere!H414,hystere!G414)</f>
        <v>100</v>
      </c>
      <c r="G414" s="94">
        <f ca="1">I414-'main page'!$K$27*hystere!N413</f>
        <v>100</v>
      </c>
      <c r="H414" s="75">
        <f ca="1">J414-'main page'!$K$27*N413</f>
        <v>100</v>
      </c>
      <c r="I414" s="75">
        <f t="shared" ca="1" si="40"/>
        <v>108</v>
      </c>
      <c r="J414" s="75">
        <f t="shared" ca="1" si="41"/>
        <v>108</v>
      </c>
      <c r="M414" s="75">
        <f ca="1">IF(ABS('main page'!$K$29*M413+(1-'main page'!$K$29)*(controls!$B$9/100)*100+'main page'!$K$25*(E414-B414)-M413)&lt;0.0000001,M413,'main page'!$K$29*M413+(1-'main page'!$K$29)*(controls!$B$9/100)*100+'main page'!$K$25*(E414-B414))</f>
        <v>2</v>
      </c>
      <c r="N414" s="75">
        <f ca="1">IF(controls!$B$10=1,N413,O414-'main page'!$K$29*M414-(1-'main page'!$K$29)*controls!$B$9)</f>
        <v>4</v>
      </c>
      <c r="O414" s="74">
        <f t="shared" ca="1" si="36"/>
        <v>6</v>
      </c>
      <c r="P414" s="76">
        <f ca="1">IF(controls!$B$10=1,hystere!N414+hystere!M414,hystere!Q414)</f>
        <v>6</v>
      </c>
      <c r="Q414" s="74">
        <f ca="1">IF('main page'!$Y$53=1,'choose m.p.'!$I$22*100,R414)</f>
        <v>6</v>
      </c>
      <c r="R414" s="100">
        <f ca="1">'main page'!$K$29*M414+(1-'main page'!$K$29)*controls!$B$9+S414+(('main page'!$K$25*'main page'!$U$13*'main page'!$K$29)/('main page'!$K$27*(1+('main page'!$K$25^2)*'main page'!$U$13)))*(M414-(controls!$B$9/100)*100)</f>
        <v>6</v>
      </c>
      <c r="S414" s="98">
        <f ca="1">IF(controls!$B$33=1,(J415-E414*X415-B414)/'main page'!$K$27,(I415-E414*X415-B414)/'main page'!$K$27)</f>
        <v>4</v>
      </c>
      <c r="U414" s="71">
        <f>IF(controls!$B$6=1,$AG$4*(1+('main page'!$K$35/100))^V414-$AG$4*(1+('main page'!$K$35/100))^V413,$AG$4*(1+('main page'!$G$8/100))*(1+('main page'!$K$35/100))^V414-$AG$4*(1+('main page'!$G$8/100))*(1+('main page'!$K$35/100))^V413)</f>
        <v>0</v>
      </c>
      <c r="V414" s="73">
        <v>406</v>
      </c>
      <c r="W414" s="40">
        <f ca="1">'normal case'!V413</f>
        <v>0</v>
      </c>
      <c r="X414" s="40">
        <f ca="1">'normal case'!W413</f>
        <v>0</v>
      </c>
      <c r="Y414" s="49">
        <f ca="1">IF(controls!$B$33=1,E414-($J$4-'main page'!$K$27*2)*(1+('main page'!$K$35/100))^A413,E414-$AG$5)</f>
        <v>0</v>
      </c>
      <c r="Z414" s="49">
        <f ca="1">ABS(M414-(controls!$B$9/100)*100)</f>
        <v>0</v>
      </c>
      <c r="AI414" s="40"/>
      <c r="AJ414" s="40"/>
    </row>
    <row r="415" spans="1:36">
      <c r="A415" s="48">
        <v>412</v>
      </c>
      <c r="B415" s="75">
        <f ca="1">IF(controls!$B$6=2,AVERAGE(E411:E414)+B414*W415+hystere!$AG$9,AVERAGE(E411:E414)+B414*W415)</f>
        <v>100</v>
      </c>
      <c r="C415" s="80">
        <f t="shared" ca="1" si="37"/>
        <v>0</v>
      </c>
      <c r="D415" s="105">
        <f t="shared" ca="1" si="38"/>
        <v>0</v>
      </c>
      <c r="E415" s="77">
        <f t="shared" ca="1" si="39"/>
        <v>100</v>
      </c>
      <c r="F415" s="77">
        <f ca="1">IF('main page'!$K$34=1,hystere!H415,hystere!G415)</f>
        <v>100</v>
      </c>
      <c r="G415" s="94">
        <f ca="1">I415-'main page'!$K$27*hystere!N414</f>
        <v>100</v>
      </c>
      <c r="H415" s="75">
        <f ca="1">J415-'main page'!$K$27*N414</f>
        <v>100</v>
      </c>
      <c r="I415" s="75">
        <f t="shared" ca="1" si="40"/>
        <v>108</v>
      </c>
      <c r="J415" s="75">
        <f t="shared" ca="1" si="41"/>
        <v>108</v>
      </c>
      <c r="M415" s="75">
        <f ca="1">IF(ABS('main page'!$K$29*M414+(1-'main page'!$K$29)*(controls!$B$9/100)*100+'main page'!$K$25*(E415-B415)-M414)&lt;0.0000001,M414,'main page'!$K$29*M414+(1-'main page'!$K$29)*(controls!$B$9/100)*100+'main page'!$K$25*(E415-B415))</f>
        <v>2</v>
      </c>
      <c r="N415" s="75">
        <f ca="1">IF(controls!$B$10=1,N414,O415-'main page'!$K$29*M415-(1-'main page'!$K$29)*controls!$B$9)</f>
        <v>4</v>
      </c>
      <c r="O415" s="74">
        <f t="shared" ca="1" si="36"/>
        <v>6</v>
      </c>
      <c r="P415" s="76">
        <f ca="1">IF(controls!$B$10=1,hystere!N415+hystere!M415,hystere!Q415)</f>
        <v>6</v>
      </c>
      <c r="Q415" s="74">
        <f ca="1">IF('main page'!$Y$53=1,'choose m.p.'!$I$22*100,R415)</f>
        <v>6</v>
      </c>
      <c r="R415" s="100">
        <f ca="1">'main page'!$K$29*M415+(1-'main page'!$K$29)*controls!$B$9+S415+(('main page'!$K$25*'main page'!$U$13*'main page'!$K$29)/('main page'!$K$27*(1+('main page'!$K$25^2)*'main page'!$U$13)))*(M415-(controls!$B$9/100)*100)</f>
        <v>6</v>
      </c>
      <c r="S415" s="98">
        <f ca="1">IF(controls!$B$33=1,(J416-E415*X416-B415)/'main page'!$K$27,(I416-E415*X416-B415)/'main page'!$K$27)</f>
        <v>4</v>
      </c>
      <c r="U415" s="71">
        <f>IF(controls!$B$6=1,$AG$4*(1+('main page'!$K$35/100))^V415-$AG$4*(1+('main page'!$K$35/100))^V414,$AG$4*(1+('main page'!$G$8/100))*(1+('main page'!$K$35/100))^V415-$AG$4*(1+('main page'!$G$8/100))*(1+('main page'!$K$35/100))^V414)</f>
        <v>0</v>
      </c>
      <c r="V415" s="73">
        <v>407</v>
      </c>
      <c r="W415" s="40">
        <f>'normal case'!V414</f>
        <v>0</v>
      </c>
      <c r="X415" s="40">
        <f>'normal case'!W414</f>
        <v>0</v>
      </c>
      <c r="Y415" s="49">
        <f ca="1">IF(controls!$B$33=1,E415-($J$4-'main page'!$K$27*2)*(1+('main page'!$K$35/100))^A414,E415-$AG$5)</f>
        <v>0</v>
      </c>
      <c r="Z415" s="49">
        <f ca="1">ABS(M415-(controls!$B$9/100)*100)</f>
        <v>0</v>
      </c>
      <c r="AI415" s="40"/>
      <c r="AJ415" s="40"/>
    </row>
    <row r="416" spans="1:36">
      <c r="A416" s="48">
        <v>413</v>
      </c>
      <c r="B416" s="75">
        <f ca="1">IF(controls!$B$6=2,AVERAGE(E412:E415)+B415*W416+hystere!$AG$9,AVERAGE(E412:E415)+B415*W416)</f>
        <v>100</v>
      </c>
      <c r="C416" s="80">
        <f t="shared" ca="1" si="37"/>
        <v>0</v>
      </c>
      <c r="D416" s="105">
        <f t="shared" ca="1" si="38"/>
        <v>0</v>
      </c>
      <c r="E416" s="77">
        <f t="shared" ca="1" si="39"/>
        <v>100</v>
      </c>
      <c r="F416" s="77">
        <f ca="1">IF('main page'!$K$34=1,hystere!H416,hystere!G416)</f>
        <v>100</v>
      </c>
      <c r="G416" s="94">
        <f ca="1">I416-'main page'!$K$27*hystere!N415</f>
        <v>100</v>
      </c>
      <c r="H416" s="75">
        <f ca="1">J416-'main page'!$K$27*N415</f>
        <v>100</v>
      </c>
      <c r="I416" s="75">
        <f t="shared" ca="1" si="40"/>
        <v>108</v>
      </c>
      <c r="J416" s="75">
        <f t="shared" ca="1" si="41"/>
        <v>108</v>
      </c>
      <c r="M416" s="75">
        <f ca="1">IF(ABS('main page'!$K$29*M415+(1-'main page'!$K$29)*(controls!$B$9/100)*100+'main page'!$K$25*(E416-B416)-M415)&lt;0.0000001,M415,'main page'!$K$29*M415+(1-'main page'!$K$29)*(controls!$B$9/100)*100+'main page'!$K$25*(E416-B416))</f>
        <v>2</v>
      </c>
      <c r="N416" s="75">
        <f ca="1">IF(controls!$B$10=1,N415,O416-'main page'!$K$29*M416-(1-'main page'!$K$29)*controls!$B$9)</f>
        <v>4</v>
      </c>
      <c r="O416" s="74">
        <f t="shared" ca="1" si="36"/>
        <v>6</v>
      </c>
      <c r="P416" s="76">
        <f ca="1">IF(controls!$B$10=1,hystere!N416+hystere!M416,hystere!Q416)</f>
        <v>6</v>
      </c>
      <c r="Q416" s="74">
        <f ca="1">IF('main page'!$Y$53=1,'choose m.p.'!$I$22*100,R416)</f>
        <v>6</v>
      </c>
      <c r="R416" s="100">
        <f ca="1">'main page'!$K$29*M416+(1-'main page'!$K$29)*controls!$B$9+S416+(('main page'!$K$25*'main page'!$U$13*'main page'!$K$29)/('main page'!$K$27*(1+('main page'!$K$25^2)*'main page'!$U$13)))*(M416-(controls!$B$9/100)*100)</f>
        <v>6</v>
      </c>
      <c r="S416" s="98">
        <f ca="1">IF(controls!$B$33=1,(J417-E416*X417-B416)/'main page'!$K$27,(I417-E416*X417-B416)/'main page'!$K$27)</f>
        <v>4</v>
      </c>
      <c r="U416" s="71">
        <f>IF(controls!$B$6=1,$AG$4*(1+('main page'!$K$35/100))^V416-$AG$4*(1+('main page'!$K$35/100))^V415,$AG$4*(1+('main page'!$G$8/100))*(1+('main page'!$K$35/100))^V416-$AG$4*(1+('main page'!$G$8/100))*(1+('main page'!$K$35/100))^V415)</f>
        <v>0</v>
      </c>
      <c r="V416" s="73">
        <v>408</v>
      </c>
      <c r="W416" s="40">
        <f>'normal case'!V415</f>
        <v>0</v>
      </c>
      <c r="X416" s="40">
        <f>'normal case'!W415</f>
        <v>0</v>
      </c>
      <c r="Y416" s="49">
        <f ca="1">IF(controls!$B$33=1,E416-($J$4-'main page'!$K$27*2)*(1+('main page'!$K$35/100))^A415,E416-$AG$5)</f>
        <v>0</v>
      </c>
      <c r="Z416" s="49">
        <f ca="1">ABS(M416-(controls!$B$9/100)*100)</f>
        <v>0</v>
      </c>
      <c r="AI416" s="40"/>
      <c r="AJ416" s="40"/>
    </row>
    <row r="417" spans="1:36">
      <c r="A417" s="48">
        <v>414</v>
      </c>
      <c r="B417" s="75">
        <f ca="1">IF(controls!$B$6=2,AVERAGE(E413:E416)+B416*W417+hystere!$AG$9,AVERAGE(E413:E416)+B416*W417)</f>
        <v>100</v>
      </c>
      <c r="C417" s="80">
        <f t="shared" ca="1" si="37"/>
        <v>0</v>
      </c>
      <c r="D417" s="105">
        <f t="shared" ca="1" si="38"/>
        <v>0</v>
      </c>
      <c r="E417" s="77">
        <f t="shared" ca="1" si="39"/>
        <v>100</v>
      </c>
      <c r="F417" s="77">
        <f ca="1">IF('main page'!$K$34=1,hystere!H417,hystere!G417)</f>
        <v>100</v>
      </c>
      <c r="G417" s="94">
        <f ca="1">I417-'main page'!$K$27*hystere!N416</f>
        <v>100</v>
      </c>
      <c r="H417" s="75">
        <f ca="1">J417-'main page'!$K$27*N416</f>
        <v>100</v>
      </c>
      <c r="I417" s="75">
        <f t="shared" ca="1" si="40"/>
        <v>108</v>
      </c>
      <c r="J417" s="75">
        <f t="shared" ca="1" si="41"/>
        <v>108</v>
      </c>
      <c r="M417" s="75">
        <f ca="1">IF(ABS('main page'!$K$29*M416+(1-'main page'!$K$29)*(controls!$B$9/100)*100+'main page'!$K$25*(E417-B417)-M416)&lt;0.0000001,M416,'main page'!$K$29*M416+(1-'main page'!$K$29)*(controls!$B$9/100)*100+'main page'!$K$25*(E417-B417))</f>
        <v>2</v>
      </c>
      <c r="N417" s="75">
        <f ca="1">IF(controls!$B$10=1,N416,O417-'main page'!$K$29*M417-(1-'main page'!$K$29)*controls!$B$9)</f>
        <v>4</v>
      </c>
      <c r="O417" s="74">
        <f t="shared" ca="1" si="36"/>
        <v>6</v>
      </c>
      <c r="P417" s="76">
        <f ca="1">IF(controls!$B$10=1,hystere!N417+hystere!M417,hystere!Q417)</f>
        <v>6</v>
      </c>
      <c r="Q417" s="74">
        <f ca="1">IF('main page'!$Y$53=1,'choose m.p.'!$I$22*100,R417)</f>
        <v>6</v>
      </c>
      <c r="R417" s="100">
        <f ca="1">'main page'!$K$29*M417+(1-'main page'!$K$29)*controls!$B$9+S417+(('main page'!$K$25*'main page'!$U$13*'main page'!$K$29)/('main page'!$K$27*(1+('main page'!$K$25^2)*'main page'!$U$13)))*(M417-(controls!$B$9/100)*100)</f>
        <v>6</v>
      </c>
      <c r="S417" s="98">
        <f ca="1">IF(controls!$B$33=1,(J418-E417*X418-B417)/'main page'!$K$27,(I418-E417*X418-B417)/'main page'!$K$27)</f>
        <v>4</v>
      </c>
      <c r="U417" s="71">
        <f>IF(controls!$B$6=1,$AG$4*(1+('main page'!$K$35/100))^V417-$AG$4*(1+('main page'!$K$35/100))^V416,$AG$4*(1+('main page'!$G$8/100))*(1+('main page'!$K$35/100))^V417-$AG$4*(1+('main page'!$G$8/100))*(1+('main page'!$K$35/100))^V416)</f>
        <v>0</v>
      </c>
      <c r="V417" s="73">
        <v>409</v>
      </c>
      <c r="W417" s="40">
        <f ca="1">'normal case'!V416</f>
        <v>0</v>
      </c>
      <c r="X417" s="40">
        <f ca="1">'normal case'!W416</f>
        <v>0</v>
      </c>
      <c r="Y417" s="49">
        <f ca="1">IF(controls!$B$33=1,E417-($J$4-'main page'!$K$27*2)*(1+('main page'!$K$35/100))^A416,E417-$AG$5)</f>
        <v>0</v>
      </c>
      <c r="Z417" s="49">
        <f ca="1">ABS(M417-(controls!$B$9/100)*100)</f>
        <v>0</v>
      </c>
      <c r="AI417" s="40"/>
      <c r="AJ417" s="40"/>
    </row>
    <row r="418" spans="1:36">
      <c r="A418" s="48">
        <v>415</v>
      </c>
      <c r="B418" s="75">
        <f ca="1">IF(controls!$B$6=2,AVERAGE(E414:E417)+B417*W418+hystere!$AG$9,AVERAGE(E414:E417)+B417*W418)</f>
        <v>100</v>
      </c>
      <c r="C418" s="80">
        <f t="shared" ca="1" si="37"/>
        <v>0</v>
      </c>
      <c r="D418" s="105">
        <f t="shared" ca="1" si="38"/>
        <v>0</v>
      </c>
      <c r="E418" s="77">
        <f t="shared" ca="1" si="39"/>
        <v>100</v>
      </c>
      <c r="F418" s="77">
        <f ca="1">IF('main page'!$K$34=1,hystere!H418,hystere!G418)</f>
        <v>100</v>
      </c>
      <c r="G418" s="94">
        <f ca="1">I418-'main page'!$K$27*hystere!N417</f>
        <v>100</v>
      </c>
      <c r="H418" s="75">
        <f ca="1">J418-'main page'!$K$27*N417</f>
        <v>100</v>
      </c>
      <c r="I418" s="75">
        <f t="shared" ca="1" si="40"/>
        <v>108</v>
      </c>
      <c r="J418" s="75">
        <f t="shared" ca="1" si="41"/>
        <v>108</v>
      </c>
      <c r="M418" s="75">
        <f ca="1">IF(ABS('main page'!$K$29*M417+(1-'main page'!$K$29)*(controls!$B$9/100)*100+'main page'!$K$25*(E418-B418)-M417)&lt;0.0000001,M417,'main page'!$K$29*M417+(1-'main page'!$K$29)*(controls!$B$9/100)*100+'main page'!$K$25*(E418-B418))</f>
        <v>2</v>
      </c>
      <c r="N418" s="75">
        <f ca="1">IF(controls!$B$10=1,N417,O418-'main page'!$K$29*M418-(1-'main page'!$K$29)*controls!$B$9)</f>
        <v>4</v>
      </c>
      <c r="O418" s="74">
        <f t="shared" ca="1" si="36"/>
        <v>6</v>
      </c>
      <c r="P418" s="76">
        <f ca="1">IF(controls!$B$10=1,hystere!N418+hystere!M418,hystere!Q418)</f>
        <v>6</v>
      </c>
      <c r="Q418" s="74">
        <f ca="1">IF('main page'!$Y$53=1,'choose m.p.'!$I$22*100,R418)</f>
        <v>6</v>
      </c>
      <c r="R418" s="100">
        <f ca="1">'main page'!$K$29*M418+(1-'main page'!$K$29)*controls!$B$9+S418+(('main page'!$K$25*'main page'!$U$13*'main page'!$K$29)/('main page'!$K$27*(1+('main page'!$K$25^2)*'main page'!$U$13)))*(M418-(controls!$B$9/100)*100)</f>
        <v>6</v>
      </c>
      <c r="S418" s="98">
        <f ca="1">IF(controls!$B$33=1,(J419-E418*X419-B418)/'main page'!$K$27,(I419-E418*X419-B418)/'main page'!$K$27)</f>
        <v>4</v>
      </c>
      <c r="U418" s="71">
        <f>IF(controls!$B$6=1,$AG$4*(1+('main page'!$K$35/100))^V418-$AG$4*(1+('main page'!$K$35/100))^V417,$AG$4*(1+('main page'!$G$8/100))*(1+('main page'!$K$35/100))^V418-$AG$4*(1+('main page'!$G$8/100))*(1+('main page'!$K$35/100))^V417)</f>
        <v>0</v>
      </c>
      <c r="V418" s="73">
        <v>410</v>
      </c>
      <c r="W418" s="40">
        <f>'normal case'!V417</f>
        <v>0</v>
      </c>
      <c r="X418" s="40">
        <f>'normal case'!W417</f>
        <v>0</v>
      </c>
      <c r="Y418" s="49">
        <f ca="1">IF(controls!$B$33=1,E418-($J$4-'main page'!$K$27*2)*(1+('main page'!$K$35/100))^A417,E418-$AG$5)</f>
        <v>0</v>
      </c>
      <c r="Z418" s="49">
        <f ca="1">ABS(M418-(controls!$B$9/100)*100)</f>
        <v>0</v>
      </c>
      <c r="AI418" s="40"/>
      <c r="AJ418" s="40"/>
    </row>
    <row r="419" spans="1:36">
      <c r="A419" s="48">
        <v>416</v>
      </c>
      <c r="B419" s="75">
        <f ca="1">IF(controls!$B$6=2,AVERAGE(E415:E418)+B418*W419+hystere!$AG$9,AVERAGE(E415:E418)+B418*W419)</f>
        <v>100</v>
      </c>
      <c r="C419" s="80">
        <f t="shared" ca="1" si="37"/>
        <v>0</v>
      </c>
      <c r="D419" s="105">
        <f t="shared" ca="1" si="38"/>
        <v>0</v>
      </c>
      <c r="E419" s="77">
        <f t="shared" ca="1" si="39"/>
        <v>100</v>
      </c>
      <c r="F419" s="77">
        <f ca="1">IF('main page'!$K$34=1,hystere!H419,hystere!G419)</f>
        <v>100</v>
      </c>
      <c r="G419" s="94">
        <f ca="1">I419-'main page'!$K$27*hystere!N418</f>
        <v>100</v>
      </c>
      <c r="H419" s="75">
        <f ca="1">J419-'main page'!$K$27*N418</f>
        <v>100</v>
      </c>
      <c r="I419" s="75">
        <f t="shared" ca="1" si="40"/>
        <v>108</v>
      </c>
      <c r="J419" s="75">
        <f t="shared" ca="1" si="41"/>
        <v>108</v>
      </c>
      <c r="M419" s="75">
        <f ca="1">IF(ABS('main page'!$K$29*M418+(1-'main page'!$K$29)*(controls!$B$9/100)*100+'main page'!$K$25*(E419-B419)-M418)&lt;0.0000001,M418,'main page'!$K$29*M418+(1-'main page'!$K$29)*(controls!$B$9/100)*100+'main page'!$K$25*(E419-B419))</f>
        <v>2</v>
      </c>
      <c r="N419" s="75">
        <f ca="1">IF(controls!$B$10=1,N418,O419-'main page'!$K$29*M419-(1-'main page'!$K$29)*controls!$B$9)</f>
        <v>4</v>
      </c>
      <c r="O419" s="74">
        <f t="shared" ca="1" si="36"/>
        <v>6</v>
      </c>
      <c r="P419" s="76">
        <f ca="1">IF(controls!$B$10=1,hystere!N419+hystere!M419,hystere!Q419)</f>
        <v>6</v>
      </c>
      <c r="Q419" s="74">
        <f ca="1">IF('main page'!$Y$53=1,'choose m.p.'!$I$22*100,R419)</f>
        <v>6</v>
      </c>
      <c r="R419" s="100">
        <f ca="1">'main page'!$K$29*M419+(1-'main page'!$K$29)*controls!$B$9+S419+(('main page'!$K$25*'main page'!$U$13*'main page'!$K$29)/('main page'!$K$27*(1+('main page'!$K$25^2)*'main page'!$U$13)))*(M419-(controls!$B$9/100)*100)</f>
        <v>6</v>
      </c>
      <c r="S419" s="98">
        <f ca="1">IF(controls!$B$33=1,(J420-E419*X420-B419)/'main page'!$K$27,(I420-E419*X420-B419)/'main page'!$K$27)</f>
        <v>4</v>
      </c>
      <c r="U419" s="71">
        <f>IF(controls!$B$6=1,$AG$4*(1+('main page'!$K$35/100))^V419-$AG$4*(1+('main page'!$K$35/100))^V418,$AG$4*(1+('main page'!$G$8/100))*(1+('main page'!$K$35/100))^V419-$AG$4*(1+('main page'!$G$8/100))*(1+('main page'!$K$35/100))^V418)</f>
        <v>0</v>
      </c>
      <c r="V419" s="73">
        <v>411</v>
      </c>
      <c r="W419" s="40">
        <f>'normal case'!V418</f>
        <v>0</v>
      </c>
      <c r="X419" s="40">
        <f>'normal case'!W418</f>
        <v>0</v>
      </c>
      <c r="Y419" s="49">
        <f ca="1">IF(controls!$B$33=1,E419-($J$4-'main page'!$K$27*2)*(1+('main page'!$K$35/100))^A418,E419-$AG$5)</f>
        <v>0</v>
      </c>
      <c r="Z419" s="49">
        <f ca="1">ABS(M419-(controls!$B$9/100)*100)</f>
        <v>0</v>
      </c>
      <c r="AI419" s="40"/>
      <c r="AJ419" s="40"/>
    </row>
    <row r="420" spans="1:36">
      <c r="A420" s="48">
        <v>417</v>
      </c>
      <c r="B420" s="75">
        <f ca="1">IF(controls!$B$6=2,AVERAGE(E416:E419)+B419*W420+hystere!$AG$9,AVERAGE(E416:E419)+B419*W420)</f>
        <v>100</v>
      </c>
      <c r="C420" s="80">
        <f t="shared" ca="1" si="37"/>
        <v>0</v>
      </c>
      <c r="D420" s="105">
        <f t="shared" ca="1" si="38"/>
        <v>0</v>
      </c>
      <c r="E420" s="77">
        <f t="shared" ca="1" si="39"/>
        <v>100</v>
      </c>
      <c r="F420" s="77">
        <f ca="1">IF('main page'!$K$34=1,hystere!H420,hystere!G420)</f>
        <v>100</v>
      </c>
      <c r="G420" s="94">
        <f ca="1">I420-'main page'!$K$27*hystere!N419</f>
        <v>100</v>
      </c>
      <c r="H420" s="75">
        <f ca="1">J420-'main page'!$K$27*N419</f>
        <v>100</v>
      </c>
      <c r="I420" s="75">
        <f t="shared" ca="1" si="40"/>
        <v>108</v>
      </c>
      <c r="J420" s="75">
        <f t="shared" ca="1" si="41"/>
        <v>108</v>
      </c>
      <c r="M420" s="75">
        <f ca="1">IF(ABS('main page'!$K$29*M419+(1-'main page'!$K$29)*(controls!$B$9/100)*100+'main page'!$K$25*(E420-B420)-M419)&lt;0.0000001,M419,'main page'!$K$29*M419+(1-'main page'!$K$29)*(controls!$B$9/100)*100+'main page'!$K$25*(E420-B420))</f>
        <v>2</v>
      </c>
      <c r="N420" s="75">
        <f ca="1">IF(controls!$B$10=1,N419,O420-'main page'!$K$29*M420-(1-'main page'!$K$29)*controls!$B$9)</f>
        <v>4</v>
      </c>
      <c r="O420" s="74">
        <f t="shared" ca="1" si="36"/>
        <v>6</v>
      </c>
      <c r="P420" s="76">
        <f ca="1">IF(controls!$B$10=1,hystere!N420+hystere!M420,hystere!Q420)</f>
        <v>6</v>
      </c>
      <c r="Q420" s="74">
        <f ca="1">IF('main page'!$Y$53=1,'choose m.p.'!$I$22*100,R420)</f>
        <v>6</v>
      </c>
      <c r="R420" s="100">
        <f ca="1">'main page'!$K$29*M420+(1-'main page'!$K$29)*controls!$B$9+S420+(('main page'!$K$25*'main page'!$U$13*'main page'!$K$29)/('main page'!$K$27*(1+('main page'!$K$25^2)*'main page'!$U$13)))*(M420-(controls!$B$9/100)*100)</f>
        <v>6</v>
      </c>
      <c r="S420" s="98">
        <f ca="1">IF(controls!$B$33=1,(J421-E420*X421-B420)/'main page'!$K$27,(I421-E420*X421-B420)/'main page'!$K$27)</f>
        <v>4</v>
      </c>
      <c r="U420" s="71">
        <f>IF(controls!$B$6=1,$AG$4*(1+('main page'!$K$35/100))^V420-$AG$4*(1+('main page'!$K$35/100))^V419,$AG$4*(1+('main page'!$G$8/100))*(1+('main page'!$K$35/100))^V420-$AG$4*(1+('main page'!$G$8/100))*(1+('main page'!$K$35/100))^V419)</f>
        <v>0</v>
      </c>
      <c r="V420" s="73">
        <v>412</v>
      </c>
      <c r="W420" s="40">
        <f ca="1">'normal case'!V419</f>
        <v>0</v>
      </c>
      <c r="X420" s="40">
        <f ca="1">'normal case'!W419</f>
        <v>0</v>
      </c>
      <c r="Y420" s="49">
        <f ca="1">IF(controls!$B$33=1,E420-($J$4-'main page'!$K$27*2)*(1+('main page'!$K$35/100))^A419,E420-$AG$5)</f>
        <v>0</v>
      </c>
      <c r="Z420" s="49">
        <f ca="1">ABS(M420-(controls!$B$9/100)*100)</f>
        <v>0</v>
      </c>
      <c r="AI420" s="40"/>
      <c r="AJ420" s="40"/>
    </row>
    <row r="421" spans="1:36">
      <c r="A421" s="48">
        <v>418</v>
      </c>
      <c r="B421" s="75">
        <f ca="1">IF(controls!$B$6=2,AVERAGE(E417:E420)+B420*W421+hystere!$AG$9,AVERAGE(E417:E420)+B420*W421)</f>
        <v>100</v>
      </c>
      <c r="C421" s="80">
        <f t="shared" ca="1" si="37"/>
        <v>0</v>
      </c>
      <c r="D421" s="105">
        <f t="shared" ca="1" si="38"/>
        <v>0</v>
      </c>
      <c r="E421" s="77">
        <f t="shared" ca="1" si="39"/>
        <v>100</v>
      </c>
      <c r="F421" s="77">
        <f ca="1">IF('main page'!$K$34=1,hystere!H421,hystere!G421)</f>
        <v>100</v>
      </c>
      <c r="G421" s="94">
        <f ca="1">I421-'main page'!$K$27*hystere!N420</f>
        <v>100</v>
      </c>
      <c r="H421" s="75">
        <f ca="1">J421-'main page'!$K$27*N420</f>
        <v>100</v>
      </c>
      <c r="I421" s="75">
        <f t="shared" ca="1" si="40"/>
        <v>108</v>
      </c>
      <c r="J421" s="75">
        <f t="shared" ca="1" si="41"/>
        <v>108</v>
      </c>
      <c r="M421" s="75">
        <f ca="1">IF(ABS('main page'!$K$29*M420+(1-'main page'!$K$29)*(controls!$B$9/100)*100+'main page'!$K$25*(E421-B421)-M420)&lt;0.0000001,M420,'main page'!$K$29*M420+(1-'main page'!$K$29)*(controls!$B$9/100)*100+'main page'!$K$25*(E421-B421))</f>
        <v>2</v>
      </c>
      <c r="N421" s="75">
        <f ca="1">IF(controls!$B$10=1,N420,O421-'main page'!$K$29*M421-(1-'main page'!$K$29)*controls!$B$9)</f>
        <v>4</v>
      </c>
      <c r="O421" s="74">
        <f t="shared" ca="1" si="36"/>
        <v>6</v>
      </c>
      <c r="P421" s="76">
        <f ca="1">IF(controls!$B$10=1,hystere!N421+hystere!M421,hystere!Q421)</f>
        <v>6</v>
      </c>
      <c r="Q421" s="74">
        <f ca="1">IF('main page'!$Y$53=1,'choose m.p.'!$I$22*100,R421)</f>
        <v>6</v>
      </c>
      <c r="R421" s="100">
        <f ca="1">'main page'!$K$29*M421+(1-'main page'!$K$29)*controls!$B$9+S421+(('main page'!$K$25*'main page'!$U$13*'main page'!$K$29)/('main page'!$K$27*(1+('main page'!$K$25^2)*'main page'!$U$13)))*(M421-(controls!$B$9/100)*100)</f>
        <v>6</v>
      </c>
      <c r="S421" s="98">
        <f ca="1">IF(controls!$B$33=1,(J422-E421*X422-B421)/'main page'!$K$27,(I422-E421*X422-B421)/'main page'!$K$27)</f>
        <v>4</v>
      </c>
      <c r="U421" s="71">
        <f>IF(controls!$B$6=1,$AG$4*(1+('main page'!$K$35/100))^V421-$AG$4*(1+('main page'!$K$35/100))^V420,$AG$4*(1+('main page'!$G$8/100))*(1+('main page'!$K$35/100))^V421-$AG$4*(1+('main page'!$G$8/100))*(1+('main page'!$K$35/100))^V420)</f>
        <v>0</v>
      </c>
      <c r="V421" s="73">
        <v>413</v>
      </c>
      <c r="W421" s="40">
        <f>'normal case'!V420</f>
        <v>0</v>
      </c>
      <c r="X421" s="40">
        <f>'normal case'!W420</f>
        <v>0</v>
      </c>
      <c r="Y421" s="49">
        <f ca="1">IF(controls!$B$33=1,E421-($J$4-'main page'!$K$27*2)*(1+('main page'!$K$35/100))^A420,E421-$AG$5)</f>
        <v>0</v>
      </c>
      <c r="Z421" s="49">
        <f ca="1">ABS(M421-(controls!$B$9/100)*100)</f>
        <v>0</v>
      </c>
      <c r="AI421" s="40"/>
      <c r="AJ421" s="40"/>
    </row>
    <row r="422" spans="1:36">
      <c r="A422" s="48">
        <v>419</v>
      </c>
      <c r="B422" s="75">
        <f ca="1">IF(controls!$B$6=2,AVERAGE(E418:E421)+B421*W422+hystere!$AG$9,AVERAGE(E418:E421)+B421*W422)</f>
        <v>100</v>
      </c>
      <c r="C422" s="80">
        <f t="shared" ca="1" si="37"/>
        <v>0</v>
      </c>
      <c r="D422" s="105">
        <f t="shared" ca="1" si="38"/>
        <v>0</v>
      </c>
      <c r="E422" s="77">
        <f t="shared" ca="1" si="39"/>
        <v>100</v>
      </c>
      <c r="F422" s="77">
        <f ca="1">IF('main page'!$K$34=1,hystere!H422,hystere!G422)</f>
        <v>100</v>
      </c>
      <c r="G422" s="94">
        <f ca="1">I422-'main page'!$K$27*hystere!N421</f>
        <v>100</v>
      </c>
      <c r="H422" s="75">
        <f ca="1">J422-'main page'!$K$27*N421</f>
        <v>100</v>
      </c>
      <c r="I422" s="75">
        <f t="shared" ca="1" si="40"/>
        <v>108</v>
      </c>
      <c r="J422" s="75">
        <f t="shared" ca="1" si="41"/>
        <v>108</v>
      </c>
      <c r="M422" s="75">
        <f ca="1">IF(ABS('main page'!$K$29*M421+(1-'main page'!$K$29)*(controls!$B$9/100)*100+'main page'!$K$25*(E422-B422)-M421)&lt;0.0000001,M421,'main page'!$K$29*M421+(1-'main page'!$K$29)*(controls!$B$9/100)*100+'main page'!$K$25*(E422-B422))</f>
        <v>2</v>
      </c>
      <c r="N422" s="75">
        <f ca="1">IF(controls!$B$10=1,N421,O422-'main page'!$K$29*M422-(1-'main page'!$K$29)*controls!$B$9)</f>
        <v>4</v>
      </c>
      <c r="O422" s="74">
        <f t="shared" ca="1" si="36"/>
        <v>6</v>
      </c>
      <c r="P422" s="76">
        <f ca="1">IF(controls!$B$10=1,hystere!N422+hystere!M422,hystere!Q422)</f>
        <v>6</v>
      </c>
      <c r="Q422" s="74">
        <f ca="1">IF('main page'!$Y$53=1,'choose m.p.'!$I$22*100,R422)</f>
        <v>6</v>
      </c>
      <c r="R422" s="100">
        <f ca="1">'main page'!$K$29*M422+(1-'main page'!$K$29)*controls!$B$9+S422+(('main page'!$K$25*'main page'!$U$13*'main page'!$K$29)/('main page'!$K$27*(1+('main page'!$K$25^2)*'main page'!$U$13)))*(M422-(controls!$B$9/100)*100)</f>
        <v>6</v>
      </c>
      <c r="S422" s="98">
        <f ca="1">IF(controls!$B$33=1,(J423-E422*X423-B422)/'main page'!$K$27,(I423-E422*X423-B422)/'main page'!$K$27)</f>
        <v>4</v>
      </c>
      <c r="U422" s="71">
        <f>IF(controls!$B$6=1,$AG$4*(1+('main page'!$K$35/100))^V422-$AG$4*(1+('main page'!$K$35/100))^V421,$AG$4*(1+('main page'!$G$8/100))*(1+('main page'!$K$35/100))^V422-$AG$4*(1+('main page'!$G$8/100))*(1+('main page'!$K$35/100))^V421)</f>
        <v>0</v>
      </c>
      <c r="V422" s="73">
        <v>414</v>
      </c>
      <c r="W422" s="40">
        <f>'normal case'!V421</f>
        <v>0</v>
      </c>
      <c r="X422" s="40">
        <f>'normal case'!W421</f>
        <v>0</v>
      </c>
      <c r="Y422" s="49">
        <f ca="1">IF(controls!$B$33=1,E422-($J$4-'main page'!$K$27*2)*(1+('main page'!$K$35/100))^A421,E422-$AG$5)</f>
        <v>0</v>
      </c>
      <c r="Z422" s="49">
        <f ca="1">ABS(M422-(controls!$B$9/100)*100)</f>
        <v>0</v>
      </c>
      <c r="AI422" s="40"/>
      <c r="AJ422" s="40"/>
    </row>
    <row r="423" spans="1:36">
      <c r="A423" s="48">
        <v>420</v>
      </c>
      <c r="B423" s="75">
        <f ca="1">IF(controls!$B$6=2,AVERAGE(E419:E422)+B422*W423+hystere!$AG$9,AVERAGE(E419:E422)+B422*W423)</f>
        <v>100</v>
      </c>
      <c r="C423" s="80">
        <f t="shared" ca="1" si="37"/>
        <v>0</v>
      </c>
      <c r="D423" s="105">
        <f t="shared" ca="1" si="38"/>
        <v>0</v>
      </c>
      <c r="E423" s="77">
        <f t="shared" ca="1" si="39"/>
        <v>100</v>
      </c>
      <c r="F423" s="77">
        <f ca="1">IF('main page'!$K$34=1,hystere!H423,hystere!G423)</f>
        <v>100</v>
      </c>
      <c r="G423" s="94">
        <f ca="1">I423-'main page'!$K$27*hystere!N422</f>
        <v>100</v>
      </c>
      <c r="H423" s="75">
        <f ca="1">J423-'main page'!$K$27*N422</f>
        <v>100</v>
      </c>
      <c r="I423" s="75">
        <f t="shared" ca="1" si="40"/>
        <v>108</v>
      </c>
      <c r="J423" s="75">
        <f t="shared" ca="1" si="41"/>
        <v>108</v>
      </c>
      <c r="M423" s="75">
        <f ca="1">IF(ABS('main page'!$K$29*M422+(1-'main page'!$K$29)*(controls!$B$9/100)*100+'main page'!$K$25*(E423-B423)-M422)&lt;0.0000001,M422,'main page'!$K$29*M422+(1-'main page'!$K$29)*(controls!$B$9/100)*100+'main page'!$K$25*(E423-B423))</f>
        <v>2</v>
      </c>
      <c r="N423" s="75">
        <f ca="1">IF(controls!$B$10=1,N422,O423-'main page'!$K$29*M423-(1-'main page'!$K$29)*controls!$B$9)</f>
        <v>4</v>
      </c>
      <c r="O423" s="74">
        <f t="shared" ca="1" si="36"/>
        <v>6</v>
      </c>
      <c r="P423" s="76">
        <f ca="1">IF(controls!$B$10=1,hystere!N423+hystere!M423,hystere!Q423)</f>
        <v>6</v>
      </c>
      <c r="Q423" s="74">
        <f ca="1">IF('main page'!$Y$53=1,'choose m.p.'!$I$22*100,R423)</f>
        <v>6</v>
      </c>
      <c r="R423" s="100">
        <f ca="1">'main page'!$K$29*M423+(1-'main page'!$K$29)*controls!$B$9+S423+(('main page'!$K$25*'main page'!$U$13*'main page'!$K$29)/('main page'!$K$27*(1+('main page'!$K$25^2)*'main page'!$U$13)))*(M423-(controls!$B$9/100)*100)</f>
        <v>6</v>
      </c>
      <c r="S423" s="98">
        <f ca="1">IF(controls!$B$33=1,(J424-E423*X424-B423)/'main page'!$K$27,(I424-E423*X424-B423)/'main page'!$K$27)</f>
        <v>4</v>
      </c>
      <c r="U423" s="71">
        <f>IF(controls!$B$6=1,$AG$4*(1+('main page'!$K$35/100))^V423-$AG$4*(1+('main page'!$K$35/100))^V422,$AG$4*(1+('main page'!$G$8/100))*(1+('main page'!$K$35/100))^V423-$AG$4*(1+('main page'!$G$8/100))*(1+('main page'!$K$35/100))^V422)</f>
        <v>0</v>
      </c>
      <c r="V423" s="73">
        <v>415</v>
      </c>
      <c r="W423" s="40">
        <f ca="1">'normal case'!V422</f>
        <v>0</v>
      </c>
      <c r="X423" s="40">
        <f ca="1">'normal case'!W422</f>
        <v>0</v>
      </c>
      <c r="Y423" s="49">
        <f ca="1">IF(controls!$B$33=1,E423-($J$4-'main page'!$K$27*2)*(1+('main page'!$K$35/100))^A422,E423-$AG$5)</f>
        <v>0</v>
      </c>
      <c r="Z423" s="49">
        <f ca="1">ABS(M423-(controls!$B$9/100)*100)</f>
        <v>0</v>
      </c>
      <c r="AI423" s="40"/>
      <c r="AJ423" s="40"/>
    </row>
    <row r="424" spans="1:36">
      <c r="A424" s="48">
        <v>421</v>
      </c>
      <c r="B424" s="75">
        <f ca="1">IF(controls!$B$6=2,AVERAGE(E420:E423)+B423*W424+hystere!$AG$9,AVERAGE(E420:E423)+B423*W424)</f>
        <v>100</v>
      </c>
      <c r="C424" s="80">
        <f t="shared" ca="1" si="37"/>
        <v>0</v>
      </c>
      <c r="D424" s="105">
        <f t="shared" ca="1" si="38"/>
        <v>0</v>
      </c>
      <c r="E424" s="77">
        <f t="shared" ca="1" si="39"/>
        <v>100</v>
      </c>
      <c r="F424" s="77">
        <f ca="1">IF('main page'!$K$34=1,hystere!H424,hystere!G424)</f>
        <v>100</v>
      </c>
      <c r="G424" s="94">
        <f ca="1">I424-'main page'!$K$27*hystere!N423</f>
        <v>100</v>
      </c>
      <c r="H424" s="75">
        <f ca="1">J424-'main page'!$K$27*N423</f>
        <v>100</v>
      </c>
      <c r="I424" s="75">
        <f t="shared" ca="1" si="40"/>
        <v>108</v>
      </c>
      <c r="J424" s="75">
        <f t="shared" ca="1" si="41"/>
        <v>108</v>
      </c>
      <c r="M424" s="75">
        <f ca="1">IF(ABS('main page'!$K$29*M423+(1-'main page'!$K$29)*(controls!$B$9/100)*100+'main page'!$K$25*(E424-B424)-M423)&lt;0.0000001,M423,'main page'!$K$29*M423+(1-'main page'!$K$29)*(controls!$B$9/100)*100+'main page'!$K$25*(E424-B424))</f>
        <v>2</v>
      </c>
      <c r="N424" s="75">
        <f ca="1">IF(controls!$B$10=1,N423,O424-'main page'!$K$29*M424-(1-'main page'!$K$29)*controls!$B$9)</f>
        <v>4</v>
      </c>
      <c r="O424" s="74">
        <f t="shared" ca="1" si="36"/>
        <v>6</v>
      </c>
      <c r="P424" s="76">
        <f ca="1">IF(controls!$B$10=1,hystere!N424+hystere!M424,hystere!Q424)</f>
        <v>6</v>
      </c>
      <c r="Q424" s="74">
        <f ca="1">IF('main page'!$Y$53=1,'choose m.p.'!$I$22*100,R424)</f>
        <v>6</v>
      </c>
      <c r="R424" s="100">
        <f ca="1">'main page'!$K$29*M424+(1-'main page'!$K$29)*controls!$B$9+S424+(('main page'!$K$25*'main page'!$U$13*'main page'!$K$29)/('main page'!$K$27*(1+('main page'!$K$25^2)*'main page'!$U$13)))*(M424-(controls!$B$9/100)*100)</f>
        <v>6</v>
      </c>
      <c r="S424" s="98">
        <f ca="1">IF(controls!$B$33=1,(J425-E424*X425-B424)/'main page'!$K$27,(I425-E424*X425-B424)/'main page'!$K$27)</f>
        <v>4</v>
      </c>
      <c r="U424" s="71">
        <f>IF(controls!$B$6=1,$AG$4*(1+('main page'!$K$35/100))^V424-$AG$4*(1+('main page'!$K$35/100))^V423,$AG$4*(1+('main page'!$G$8/100))*(1+('main page'!$K$35/100))^V424-$AG$4*(1+('main page'!$G$8/100))*(1+('main page'!$K$35/100))^V423)</f>
        <v>0</v>
      </c>
      <c r="V424" s="73">
        <v>416</v>
      </c>
      <c r="W424" s="40">
        <f>'normal case'!V423</f>
        <v>0</v>
      </c>
      <c r="X424" s="40">
        <f>'normal case'!W423</f>
        <v>0</v>
      </c>
      <c r="Y424" s="49">
        <f ca="1">IF(controls!$B$33=1,E424-($J$4-'main page'!$K$27*2)*(1+('main page'!$K$35/100))^A423,E424-$AG$5)</f>
        <v>0</v>
      </c>
      <c r="Z424" s="49">
        <f ca="1">ABS(M424-(controls!$B$9/100)*100)</f>
        <v>0</v>
      </c>
      <c r="AI424" s="40"/>
      <c r="AJ424" s="40"/>
    </row>
    <row r="425" spans="1:36">
      <c r="A425" s="48">
        <v>422</v>
      </c>
      <c r="B425" s="75">
        <f ca="1">IF(controls!$B$6=2,AVERAGE(E421:E424)+B424*W425+hystere!$AG$9,AVERAGE(E421:E424)+B424*W425)</f>
        <v>100</v>
      </c>
      <c r="C425" s="80">
        <f t="shared" ca="1" si="37"/>
        <v>0</v>
      </c>
      <c r="D425" s="105">
        <f t="shared" ca="1" si="38"/>
        <v>0</v>
      </c>
      <c r="E425" s="77">
        <f t="shared" ca="1" si="39"/>
        <v>100</v>
      </c>
      <c r="F425" s="77">
        <f ca="1">IF('main page'!$K$34=1,hystere!H425,hystere!G425)</f>
        <v>100</v>
      </c>
      <c r="G425" s="94">
        <f ca="1">I425-'main page'!$K$27*hystere!N424</f>
        <v>100</v>
      </c>
      <c r="H425" s="75">
        <f ca="1">J425-'main page'!$K$27*N424</f>
        <v>100</v>
      </c>
      <c r="I425" s="75">
        <f t="shared" ca="1" si="40"/>
        <v>108</v>
      </c>
      <c r="J425" s="75">
        <f t="shared" ca="1" si="41"/>
        <v>108</v>
      </c>
      <c r="M425" s="75">
        <f ca="1">IF(ABS('main page'!$K$29*M424+(1-'main page'!$K$29)*(controls!$B$9/100)*100+'main page'!$K$25*(E425-B425)-M424)&lt;0.0000001,M424,'main page'!$K$29*M424+(1-'main page'!$K$29)*(controls!$B$9/100)*100+'main page'!$K$25*(E425-B425))</f>
        <v>2</v>
      </c>
      <c r="N425" s="75">
        <f ca="1">IF(controls!$B$10=1,N424,O425-'main page'!$K$29*M425-(1-'main page'!$K$29)*controls!$B$9)</f>
        <v>4</v>
      </c>
      <c r="O425" s="74">
        <f t="shared" ca="1" si="36"/>
        <v>6</v>
      </c>
      <c r="P425" s="76">
        <f ca="1">IF(controls!$B$10=1,hystere!N425+hystere!M425,hystere!Q425)</f>
        <v>6</v>
      </c>
      <c r="Q425" s="74">
        <f ca="1">IF('main page'!$Y$53=1,'choose m.p.'!$I$22*100,R425)</f>
        <v>6</v>
      </c>
      <c r="R425" s="100">
        <f ca="1">'main page'!$K$29*M425+(1-'main page'!$K$29)*controls!$B$9+S425+(('main page'!$K$25*'main page'!$U$13*'main page'!$K$29)/('main page'!$K$27*(1+('main page'!$K$25^2)*'main page'!$U$13)))*(M425-(controls!$B$9/100)*100)</f>
        <v>6</v>
      </c>
      <c r="S425" s="98">
        <f ca="1">IF(controls!$B$33=1,(J426-E425*X426-B425)/'main page'!$K$27,(I426-E425*X426-B425)/'main page'!$K$27)</f>
        <v>4</v>
      </c>
      <c r="U425" s="71">
        <f>IF(controls!$B$6=1,$AG$4*(1+('main page'!$K$35/100))^V425-$AG$4*(1+('main page'!$K$35/100))^V424,$AG$4*(1+('main page'!$G$8/100))*(1+('main page'!$K$35/100))^V425-$AG$4*(1+('main page'!$G$8/100))*(1+('main page'!$K$35/100))^V424)</f>
        <v>0</v>
      </c>
      <c r="V425" s="73">
        <v>417</v>
      </c>
      <c r="W425" s="40">
        <f>'normal case'!V424</f>
        <v>0</v>
      </c>
      <c r="X425" s="40">
        <f>'normal case'!W424</f>
        <v>0</v>
      </c>
      <c r="Y425" s="49">
        <f ca="1">IF(controls!$B$33=1,E425-($J$4-'main page'!$K$27*2)*(1+('main page'!$K$35/100))^A424,E425-$AG$5)</f>
        <v>0</v>
      </c>
      <c r="Z425" s="49">
        <f ca="1">ABS(M425-(controls!$B$9/100)*100)</f>
        <v>0</v>
      </c>
      <c r="AI425" s="40"/>
      <c r="AJ425" s="40"/>
    </row>
    <row r="426" spans="1:36">
      <c r="A426" s="48">
        <v>423</v>
      </c>
      <c r="B426" s="75">
        <f ca="1">IF(controls!$B$6=2,AVERAGE(E422:E425)+B425*W426+hystere!$AG$9,AVERAGE(E422:E425)+B425*W426)</f>
        <v>100</v>
      </c>
      <c r="C426" s="80">
        <f t="shared" ca="1" si="37"/>
        <v>0</v>
      </c>
      <c r="D426" s="105">
        <f t="shared" ca="1" si="38"/>
        <v>0</v>
      </c>
      <c r="E426" s="77">
        <f t="shared" ca="1" si="39"/>
        <v>100</v>
      </c>
      <c r="F426" s="77">
        <f ca="1">IF('main page'!$K$34=1,hystere!H426,hystere!G426)</f>
        <v>100</v>
      </c>
      <c r="G426" s="94">
        <f ca="1">I426-'main page'!$K$27*hystere!N425</f>
        <v>100</v>
      </c>
      <c r="H426" s="75">
        <f ca="1">J426-'main page'!$K$27*N425</f>
        <v>100</v>
      </c>
      <c r="I426" s="75">
        <f t="shared" ca="1" si="40"/>
        <v>108</v>
      </c>
      <c r="J426" s="75">
        <f t="shared" ca="1" si="41"/>
        <v>108</v>
      </c>
      <c r="M426" s="75">
        <f ca="1">IF(ABS('main page'!$K$29*M425+(1-'main page'!$K$29)*(controls!$B$9/100)*100+'main page'!$K$25*(E426-B426)-M425)&lt;0.0000001,M425,'main page'!$K$29*M425+(1-'main page'!$K$29)*(controls!$B$9/100)*100+'main page'!$K$25*(E426-B426))</f>
        <v>2</v>
      </c>
      <c r="N426" s="75">
        <f ca="1">IF(controls!$B$10=1,N425,O426-'main page'!$K$29*M426-(1-'main page'!$K$29)*controls!$B$9)</f>
        <v>4</v>
      </c>
      <c r="O426" s="74">
        <f t="shared" ca="1" si="36"/>
        <v>6</v>
      </c>
      <c r="P426" s="76">
        <f ca="1">IF(controls!$B$10=1,hystere!N426+hystere!M426,hystere!Q426)</f>
        <v>6</v>
      </c>
      <c r="Q426" s="74">
        <f ca="1">IF('main page'!$Y$53=1,'choose m.p.'!$I$22*100,R426)</f>
        <v>6</v>
      </c>
      <c r="R426" s="100">
        <f ca="1">'main page'!$K$29*M426+(1-'main page'!$K$29)*controls!$B$9+S426+(('main page'!$K$25*'main page'!$U$13*'main page'!$K$29)/('main page'!$K$27*(1+('main page'!$K$25^2)*'main page'!$U$13)))*(M426-(controls!$B$9/100)*100)</f>
        <v>6</v>
      </c>
      <c r="S426" s="98">
        <f ca="1">IF(controls!$B$33=1,(J427-E426*X427-B426)/'main page'!$K$27,(I427-E426*X427-B426)/'main page'!$K$27)</f>
        <v>4</v>
      </c>
      <c r="U426" s="71">
        <f>IF(controls!$B$6=1,$AG$4*(1+('main page'!$K$35/100))^V426-$AG$4*(1+('main page'!$K$35/100))^V425,$AG$4*(1+('main page'!$G$8/100))*(1+('main page'!$K$35/100))^V426-$AG$4*(1+('main page'!$G$8/100))*(1+('main page'!$K$35/100))^V425)</f>
        <v>0</v>
      </c>
      <c r="V426" s="73">
        <v>418</v>
      </c>
      <c r="W426" s="40">
        <f ca="1">'normal case'!V425</f>
        <v>0</v>
      </c>
      <c r="X426" s="40">
        <f ca="1">'normal case'!W425</f>
        <v>0</v>
      </c>
      <c r="Y426" s="49">
        <f ca="1">IF(controls!$B$33=1,E426-($J$4-'main page'!$K$27*2)*(1+('main page'!$K$35/100))^A425,E426-$AG$5)</f>
        <v>0</v>
      </c>
      <c r="Z426" s="49">
        <f ca="1">ABS(M426-(controls!$B$9/100)*100)</f>
        <v>0</v>
      </c>
      <c r="AI426" s="40"/>
      <c r="AJ426" s="40"/>
    </row>
    <row r="427" spans="1:36">
      <c r="A427" s="48">
        <v>424</v>
      </c>
      <c r="B427" s="75">
        <f ca="1">IF(controls!$B$6=2,AVERAGE(E423:E426)+B426*W427+hystere!$AG$9,AVERAGE(E423:E426)+B426*W427)</f>
        <v>100</v>
      </c>
      <c r="C427" s="80">
        <f t="shared" ca="1" si="37"/>
        <v>0</v>
      </c>
      <c r="D427" s="105">
        <f t="shared" ca="1" si="38"/>
        <v>0</v>
      </c>
      <c r="E427" s="77">
        <f t="shared" ca="1" si="39"/>
        <v>100</v>
      </c>
      <c r="F427" s="77">
        <f ca="1">IF('main page'!$K$34=1,hystere!H427,hystere!G427)</f>
        <v>100</v>
      </c>
      <c r="G427" s="94">
        <f ca="1">I427-'main page'!$K$27*hystere!N426</f>
        <v>100</v>
      </c>
      <c r="H427" s="75">
        <f ca="1">J427-'main page'!$K$27*N426</f>
        <v>100</v>
      </c>
      <c r="I427" s="75">
        <f t="shared" ca="1" si="40"/>
        <v>108</v>
      </c>
      <c r="J427" s="75">
        <f t="shared" ca="1" si="41"/>
        <v>108</v>
      </c>
      <c r="M427" s="75">
        <f ca="1">IF(ABS('main page'!$K$29*M426+(1-'main page'!$K$29)*(controls!$B$9/100)*100+'main page'!$K$25*(E427-B427)-M426)&lt;0.0000001,M426,'main page'!$K$29*M426+(1-'main page'!$K$29)*(controls!$B$9/100)*100+'main page'!$K$25*(E427-B427))</f>
        <v>2</v>
      </c>
      <c r="N427" s="75">
        <f ca="1">IF(controls!$B$10=1,N426,O427-'main page'!$K$29*M427-(1-'main page'!$K$29)*controls!$B$9)</f>
        <v>4</v>
      </c>
      <c r="O427" s="74">
        <f t="shared" ca="1" si="36"/>
        <v>6</v>
      </c>
      <c r="P427" s="76">
        <f ca="1">IF(controls!$B$10=1,hystere!N427+hystere!M427,hystere!Q427)</f>
        <v>6</v>
      </c>
      <c r="Q427" s="74">
        <f ca="1">IF('main page'!$Y$53=1,'choose m.p.'!$I$22*100,R427)</f>
        <v>6</v>
      </c>
      <c r="R427" s="100">
        <f ca="1">'main page'!$K$29*M427+(1-'main page'!$K$29)*controls!$B$9+S427+(('main page'!$K$25*'main page'!$U$13*'main page'!$K$29)/('main page'!$K$27*(1+('main page'!$K$25^2)*'main page'!$U$13)))*(M427-(controls!$B$9/100)*100)</f>
        <v>6</v>
      </c>
      <c r="S427" s="98">
        <f ca="1">IF(controls!$B$33=1,(J428-E427*X428-B427)/'main page'!$K$27,(I428-E427*X428-B427)/'main page'!$K$27)</f>
        <v>4</v>
      </c>
      <c r="U427" s="71">
        <f>IF(controls!$B$6=1,$AG$4*(1+('main page'!$K$35/100))^V427-$AG$4*(1+('main page'!$K$35/100))^V426,$AG$4*(1+('main page'!$G$8/100))*(1+('main page'!$K$35/100))^V427-$AG$4*(1+('main page'!$G$8/100))*(1+('main page'!$K$35/100))^V426)</f>
        <v>0</v>
      </c>
      <c r="V427" s="73">
        <v>419</v>
      </c>
      <c r="W427" s="40">
        <f>'normal case'!V426</f>
        <v>0</v>
      </c>
      <c r="X427" s="40">
        <f>'normal case'!W426</f>
        <v>0</v>
      </c>
      <c r="Y427" s="49">
        <f ca="1">IF(controls!$B$33=1,E427-($J$4-'main page'!$K$27*2)*(1+('main page'!$K$35/100))^A426,E427-$AG$5)</f>
        <v>0</v>
      </c>
      <c r="Z427" s="49">
        <f ca="1">ABS(M427-(controls!$B$9/100)*100)</f>
        <v>0</v>
      </c>
      <c r="AI427" s="40"/>
      <c r="AJ427" s="40"/>
    </row>
    <row r="428" spans="1:36">
      <c r="A428" s="48">
        <v>425</v>
      </c>
      <c r="B428" s="75">
        <f ca="1">IF(controls!$B$6=2,AVERAGE(E424:E427)+B427*W428+hystere!$AG$9,AVERAGE(E424:E427)+B427*W428)</f>
        <v>100</v>
      </c>
      <c r="C428" s="80">
        <f t="shared" ca="1" si="37"/>
        <v>0</v>
      </c>
      <c r="D428" s="105">
        <f t="shared" ca="1" si="38"/>
        <v>0</v>
      </c>
      <c r="E428" s="77">
        <f t="shared" ca="1" si="39"/>
        <v>100</v>
      </c>
      <c r="F428" s="77">
        <f ca="1">IF('main page'!$K$34=1,hystere!H428,hystere!G428)</f>
        <v>100</v>
      </c>
      <c r="G428" s="94">
        <f ca="1">I428-'main page'!$K$27*hystere!N427</f>
        <v>100</v>
      </c>
      <c r="H428" s="75">
        <f ca="1">J428-'main page'!$K$27*N427</f>
        <v>100</v>
      </c>
      <c r="I428" s="75">
        <f t="shared" ca="1" si="40"/>
        <v>108</v>
      </c>
      <c r="J428" s="75">
        <f t="shared" ca="1" si="41"/>
        <v>108</v>
      </c>
      <c r="M428" s="75">
        <f ca="1">IF(ABS('main page'!$K$29*M427+(1-'main page'!$K$29)*(controls!$B$9/100)*100+'main page'!$K$25*(E428-B428)-M427)&lt;0.0000001,M427,'main page'!$K$29*M427+(1-'main page'!$K$29)*(controls!$B$9/100)*100+'main page'!$K$25*(E428-B428))</f>
        <v>2</v>
      </c>
      <c r="N428" s="75">
        <f ca="1">IF(controls!$B$10=1,N427,O428-'main page'!$K$29*M428-(1-'main page'!$K$29)*controls!$B$9)</f>
        <v>4</v>
      </c>
      <c r="O428" s="74">
        <f t="shared" ca="1" si="36"/>
        <v>6</v>
      </c>
      <c r="P428" s="76">
        <f ca="1">IF(controls!$B$10=1,hystere!N428+hystere!M428,hystere!Q428)</f>
        <v>6</v>
      </c>
      <c r="Q428" s="74">
        <f ca="1">IF('main page'!$Y$53=1,'choose m.p.'!$I$22*100,R428)</f>
        <v>6</v>
      </c>
      <c r="R428" s="100">
        <f ca="1">'main page'!$K$29*M428+(1-'main page'!$K$29)*controls!$B$9+S428+(('main page'!$K$25*'main page'!$U$13*'main page'!$K$29)/('main page'!$K$27*(1+('main page'!$K$25^2)*'main page'!$U$13)))*(M428-(controls!$B$9/100)*100)</f>
        <v>6</v>
      </c>
      <c r="S428" s="98">
        <f ca="1">IF(controls!$B$33=1,(J429-E428*X429-B428)/'main page'!$K$27,(I429-E428*X429-B428)/'main page'!$K$27)</f>
        <v>4</v>
      </c>
      <c r="U428" s="71">
        <f>IF(controls!$B$6=1,$AG$4*(1+('main page'!$K$35/100))^V428-$AG$4*(1+('main page'!$K$35/100))^V427,$AG$4*(1+('main page'!$G$8/100))*(1+('main page'!$K$35/100))^V428-$AG$4*(1+('main page'!$G$8/100))*(1+('main page'!$K$35/100))^V427)</f>
        <v>0</v>
      </c>
      <c r="V428" s="73">
        <v>420</v>
      </c>
      <c r="W428" s="40">
        <f>'normal case'!V427</f>
        <v>0</v>
      </c>
      <c r="X428" s="40">
        <f>'normal case'!W427</f>
        <v>0</v>
      </c>
      <c r="Y428" s="49">
        <f ca="1">IF(controls!$B$33=1,E428-($J$4-'main page'!$K$27*2)*(1+('main page'!$K$35/100))^A427,E428-$AG$5)</f>
        <v>0</v>
      </c>
      <c r="Z428" s="49">
        <f ca="1">ABS(M428-(controls!$B$9/100)*100)</f>
        <v>0</v>
      </c>
      <c r="AI428" s="40"/>
      <c r="AJ428" s="40"/>
    </row>
    <row r="429" spans="1:36">
      <c r="A429" s="48">
        <v>426</v>
      </c>
      <c r="B429" s="75">
        <f ca="1">IF(controls!$B$6=2,AVERAGE(E425:E428)+B428*W429+hystere!$AG$9,AVERAGE(E425:E428)+B428*W429)</f>
        <v>100</v>
      </c>
      <c r="C429" s="80">
        <f t="shared" ca="1" si="37"/>
        <v>0</v>
      </c>
      <c r="D429" s="105">
        <f t="shared" ca="1" si="38"/>
        <v>0</v>
      </c>
      <c r="E429" s="77">
        <f t="shared" ca="1" si="39"/>
        <v>100</v>
      </c>
      <c r="F429" s="77">
        <f ca="1">IF('main page'!$K$34=1,hystere!H429,hystere!G429)</f>
        <v>100</v>
      </c>
      <c r="G429" s="94">
        <f ca="1">I429-'main page'!$K$27*hystere!N428</f>
        <v>100</v>
      </c>
      <c r="H429" s="75">
        <f ca="1">J429-'main page'!$K$27*N428</f>
        <v>100</v>
      </c>
      <c r="I429" s="75">
        <f t="shared" ca="1" si="40"/>
        <v>108</v>
      </c>
      <c r="J429" s="75">
        <f t="shared" ca="1" si="41"/>
        <v>108</v>
      </c>
      <c r="M429" s="75">
        <f ca="1">IF(ABS('main page'!$K$29*M428+(1-'main page'!$K$29)*(controls!$B$9/100)*100+'main page'!$K$25*(E429-B429)-M428)&lt;0.0000001,M428,'main page'!$K$29*M428+(1-'main page'!$K$29)*(controls!$B$9/100)*100+'main page'!$K$25*(E429-B429))</f>
        <v>2</v>
      </c>
      <c r="N429" s="75">
        <f ca="1">IF(controls!$B$10=1,N428,O429-'main page'!$K$29*M429-(1-'main page'!$K$29)*controls!$B$9)</f>
        <v>4</v>
      </c>
      <c r="O429" s="74">
        <f t="shared" ca="1" si="36"/>
        <v>6</v>
      </c>
      <c r="P429" s="76">
        <f ca="1">IF(controls!$B$10=1,hystere!N429+hystere!M429,hystere!Q429)</f>
        <v>6</v>
      </c>
      <c r="Q429" s="74">
        <f ca="1">IF('main page'!$Y$53=1,'choose m.p.'!$I$22*100,R429)</f>
        <v>6</v>
      </c>
      <c r="R429" s="100">
        <f ca="1">'main page'!$K$29*M429+(1-'main page'!$K$29)*controls!$B$9+S429+(('main page'!$K$25*'main page'!$U$13*'main page'!$K$29)/('main page'!$K$27*(1+('main page'!$K$25^2)*'main page'!$U$13)))*(M429-(controls!$B$9/100)*100)</f>
        <v>6</v>
      </c>
      <c r="S429" s="98">
        <f ca="1">IF(controls!$B$33=1,(J430-E429*X430-B429)/'main page'!$K$27,(I430-E429*X430-B429)/'main page'!$K$27)</f>
        <v>4</v>
      </c>
      <c r="U429" s="71">
        <f>IF(controls!$B$6=1,$AG$4*(1+('main page'!$K$35/100))^V429-$AG$4*(1+('main page'!$K$35/100))^V428,$AG$4*(1+('main page'!$G$8/100))*(1+('main page'!$K$35/100))^V429-$AG$4*(1+('main page'!$G$8/100))*(1+('main page'!$K$35/100))^V428)</f>
        <v>0</v>
      </c>
      <c r="V429" s="73">
        <v>421</v>
      </c>
      <c r="W429" s="40">
        <f ca="1">'normal case'!V428</f>
        <v>0</v>
      </c>
      <c r="X429" s="40">
        <f ca="1">'normal case'!W428</f>
        <v>0</v>
      </c>
      <c r="Y429" s="49">
        <f ca="1">IF(controls!$B$33=1,E429-($J$4-'main page'!$K$27*2)*(1+('main page'!$K$35/100))^A428,E429-$AG$5)</f>
        <v>0</v>
      </c>
      <c r="Z429" s="49">
        <f ca="1">ABS(M429-(controls!$B$9/100)*100)</f>
        <v>0</v>
      </c>
      <c r="AI429" s="40"/>
      <c r="AJ429" s="40"/>
    </row>
    <row r="430" spans="1:36">
      <c r="A430" s="48">
        <v>427</v>
      </c>
      <c r="B430" s="75">
        <f ca="1">IF(controls!$B$6=2,AVERAGE(E426:E429)+B429*W430+hystere!$AG$9,AVERAGE(E426:E429)+B429*W430)</f>
        <v>100</v>
      </c>
      <c r="C430" s="80">
        <f t="shared" ca="1" si="37"/>
        <v>0</v>
      </c>
      <c r="D430" s="105">
        <f t="shared" ca="1" si="38"/>
        <v>0</v>
      </c>
      <c r="E430" s="77">
        <f t="shared" ca="1" si="39"/>
        <v>100</v>
      </c>
      <c r="F430" s="77">
        <f ca="1">IF('main page'!$K$34=1,hystere!H430,hystere!G430)</f>
        <v>100</v>
      </c>
      <c r="G430" s="94">
        <f ca="1">I430-'main page'!$K$27*hystere!N429</f>
        <v>100</v>
      </c>
      <c r="H430" s="75">
        <f ca="1">J430-'main page'!$K$27*N429</f>
        <v>100</v>
      </c>
      <c r="I430" s="75">
        <f t="shared" ca="1" si="40"/>
        <v>108</v>
      </c>
      <c r="J430" s="75">
        <f t="shared" ca="1" si="41"/>
        <v>108</v>
      </c>
      <c r="M430" s="75">
        <f ca="1">IF(ABS('main page'!$K$29*M429+(1-'main page'!$K$29)*(controls!$B$9/100)*100+'main page'!$K$25*(E430-B430)-M429)&lt;0.0000001,M429,'main page'!$K$29*M429+(1-'main page'!$K$29)*(controls!$B$9/100)*100+'main page'!$K$25*(E430-B430))</f>
        <v>2</v>
      </c>
      <c r="N430" s="75">
        <f ca="1">IF(controls!$B$10=1,N429,O430-'main page'!$K$29*M430-(1-'main page'!$K$29)*controls!$B$9)</f>
        <v>4</v>
      </c>
      <c r="O430" s="74">
        <f t="shared" ca="1" si="36"/>
        <v>6</v>
      </c>
      <c r="P430" s="76">
        <f ca="1">IF(controls!$B$10=1,hystere!N430+hystere!M430,hystere!Q430)</f>
        <v>6</v>
      </c>
      <c r="Q430" s="74">
        <f ca="1">IF('main page'!$Y$53=1,'choose m.p.'!$I$22*100,R430)</f>
        <v>6</v>
      </c>
      <c r="R430" s="100">
        <f ca="1">'main page'!$K$29*M430+(1-'main page'!$K$29)*controls!$B$9+S430+(('main page'!$K$25*'main page'!$U$13*'main page'!$K$29)/('main page'!$K$27*(1+('main page'!$K$25^2)*'main page'!$U$13)))*(M430-(controls!$B$9/100)*100)</f>
        <v>6</v>
      </c>
      <c r="S430" s="98">
        <f ca="1">IF(controls!$B$33=1,(J431-E430*X431-B430)/'main page'!$K$27,(I431-E430*X431-B430)/'main page'!$K$27)</f>
        <v>4</v>
      </c>
      <c r="U430" s="71">
        <f>IF(controls!$B$6=1,$AG$4*(1+('main page'!$K$35/100))^V430-$AG$4*(1+('main page'!$K$35/100))^V429,$AG$4*(1+('main page'!$G$8/100))*(1+('main page'!$K$35/100))^V430-$AG$4*(1+('main page'!$G$8/100))*(1+('main page'!$K$35/100))^V429)</f>
        <v>0</v>
      </c>
      <c r="V430" s="73">
        <v>422</v>
      </c>
      <c r="W430" s="40">
        <f>'normal case'!V429</f>
        <v>0</v>
      </c>
      <c r="X430" s="40">
        <f>'normal case'!W429</f>
        <v>0</v>
      </c>
      <c r="Y430" s="49">
        <f ca="1">IF(controls!$B$33=1,E430-($J$4-'main page'!$K$27*2)*(1+('main page'!$K$35/100))^A429,E430-$AG$5)</f>
        <v>0</v>
      </c>
      <c r="Z430" s="49">
        <f ca="1">ABS(M430-(controls!$B$9/100)*100)</f>
        <v>0</v>
      </c>
      <c r="AI430" s="40"/>
      <c r="AJ430" s="40"/>
    </row>
    <row r="431" spans="1:36">
      <c r="A431" s="48">
        <v>428</v>
      </c>
      <c r="B431" s="75">
        <f ca="1">IF(controls!$B$6=2,AVERAGE(E427:E430)+B430*W431+hystere!$AG$9,AVERAGE(E427:E430)+B430*W431)</f>
        <v>100</v>
      </c>
      <c r="C431" s="80">
        <f t="shared" ca="1" si="37"/>
        <v>0</v>
      </c>
      <c r="D431" s="105">
        <f t="shared" ca="1" si="38"/>
        <v>0</v>
      </c>
      <c r="E431" s="77">
        <f t="shared" ca="1" si="39"/>
        <v>100</v>
      </c>
      <c r="F431" s="77">
        <f ca="1">IF('main page'!$K$34=1,hystere!H431,hystere!G431)</f>
        <v>100</v>
      </c>
      <c r="G431" s="94">
        <f ca="1">I431-'main page'!$K$27*hystere!N430</f>
        <v>100</v>
      </c>
      <c r="H431" s="75">
        <f ca="1">J431-'main page'!$K$27*N430</f>
        <v>100</v>
      </c>
      <c r="I431" s="75">
        <f t="shared" ca="1" si="40"/>
        <v>108</v>
      </c>
      <c r="J431" s="75">
        <f t="shared" ca="1" si="41"/>
        <v>108</v>
      </c>
      <c r="M431" s="75">
        <f ca="1">IF(ABS('main page'!$K$29*M430+(1-'main page'!$K$29)*(controls!$B$9/100)*100+'main page'!$K$25*(E431-B431)-M430)&lt;0.0000001,M430,'main page'!$K$29*M430+(1-'main page'!$K$29)*(controls!$B$9/100)*100+'main page'!$K$25*(E431-B431))</f>
        <v>2</v>
      </c>
      <c r="N431" s="75">
        <f ca="1">IF(controls!$B$10=1,N430,O431-'main page'!$K$29*M431-(1-'main page'!$K$29)*controls!$B$9)</f>
        <v>4</v>
      </c>
      <c r="O431" s="74">
        <f t="shared" ca="1" si="36"/>
        <v>6</v>
      </c>
      <c r="P431" s="76">
        <f ca="1">IF(controls!$B$10=1,hystere!N431+hystere!M431,hystere!Q431)</f>
        <v>6</v>
      </c>
      <c r="Q431" s="74">
        <f ca="1">IF('main page'!$Y$53=1,'choose m.p.'!$I$22*100,R431)</f>
        <v>6</v>
      </c>
      <c r="R431" s="100">
        <f ca="1">'main page'!$K$29*M431+(1-'main page'!$K$29)*controls!$B$9+S431+(('main page'!$K$25*'main page'!$U$13*'main page'!$K$29)/('main page'!$K$27*(1+('main page'!$K$25^2)*'main page'!$U$13)))*(M431-(controls!$B$9/100)*100)</f>
        <v>6</v>
      </c>
      <c r="S431" s="98">
        <f ca="1">IF(controls!$B$33=1,(J432-E431*X432-B431)/'main page'!$K$27,(I432-E431*X432-B431)/'main page'!$K$27)</f>
        <v>4</v>
      </c>
      <c r="U431" s="71">
        <f>IF(controls!$B$6=1,$AG$4*(1+('main page'!$K$35/100))^V431-$AG$4*(1+('main page'!$K$35/100))^V430,$AG$4*(1+('main page'!$G$8/100))*(1+('main page'!$K$35/100))^V431-$AG$4*(1+('main page'!$G$8/100))*(1+('main page'!$K$35/100))^V430)</f>
        <v>0</v>
      </c>
      <c r="V431" s="73">
        <v>423</v>
      </c>
      <c r="W431" s="40">
        <f>'normal case'!V430</f>
        <v>0</v>
      </c>
      <c r="X431" s="40">
        <f>'normal case'!W430</f>
        <v>0</v>
      </c>
      <c r="Y431" s="49">
        <f ca="1">IF(controls!$B$33=1,E431-($J$4-'main page'!$K$27*2)*(1+('main page'!$K$35/100))^A430,E431-$AG$5)</f>
        <v>0</v>
      </c>
      <c r="Z431" s="49">
        <f ca="1">ABS(M431-(controls!$B$9/100)*100)</f>
        <v>0</v>
      </c>
      <c r="AI431" s="40"/>
      <c r="AJ431" s="40"/>
    </row>
    <row r="432" spans="1:36">
      <c r="A432" s="48">
        <v>429</v>
      </c>
      <c r="B432" s="75">
        <f ca="1">IF(controls!$B$6=2,AVERAGE(E428:E431)+B431*W432+hystere!$AG$9,AVERAGE(E428:E431)+B431*W432)</f>
        <v>100</v>
      </c>
      <c r="C432" s="80">
        <f t="shared" ca="1" si="37"/>
        <v>0</v>
      </c>
      <c r="D432" s="105">
        <f t="shared" ca="1" si="38"/>
        <v>0</v>
      </c>
      <c r="E432" s="77">
        <f t="shared" ca="1" si="39"/>
        <v>100</v>
      </c>
      <c r="F432" s="77">
        <f ca="1">IF('main page'!$K$34=1,hystere!H432,hystere!G432)</f>
        <v>100</v>
      </c>
      <c r="G432" s="94">
        <f ca="1">I432-'main page'!$K$27*hystere!N431</f>
        <v>100</v>
      </c>
      <c r="H432" s="75">
        <f ca="1">J432-'main page'!$K$27*N431</f>
        <v>100</v>
      </c>
      <c r="I432" s="75">
        <f t="shared" ca="1" si="40"/>
        <v>108</v>
      </c>
      <c r="J432" s="75">
        <f t="shared" ca="1" si="41"/>
        <v>108</v>
      </c>
      <c r="M432" s="75">
        <f ca="1">IF(ABS('main page'!$K$29*M431+(1-'main page'!$K$29)*(controls!$B$9/100)*100+'main page'!$K$25*(E432-B432)-M431)&lt;0.0000001,M431,'main page'!$K$29*M431+(1-'main page'!$K$29)*(controls!$B$9/100)*100+'main page'!$K$25*(E432-B432))</f>
        <v>2</v>
      </c>
      <c r="N432" s="75">
        <f ca="1">IF(controls!$B$10=1,N431,O432-'main page'!$K$29*M432-(1-'main page'!$K$29)*controls!$B$9)</f>
        <v>4</v>
      </c>
      <c r="O432" s="74">
        <f t="shared" ca="1" si="36"/>
        <v>6</v>
      </c>
      <c r="P432" s="76">
        <f ca="1">IF(controls!$B$10=1,hystere!N432+hystere!M432,hystere!Q432)</f>
        <v>6</v>
      </c>
      <c r="Q432" s="74">
        <f ca="1">IF('main page'!$Y$53=1,'choose m.p.'!$I$22*100,R432)</f>
        <v>6</v>
      </c>
      <c r="R432" s="100">
        <f ca="1">'main page'!$K$29*M432+(1-'main page'!$K$29)*controls!$B$9+S432+(('main page'!$K$25*'main page'!$U$13*'main page'!$K$29)/('main page'!$K$27*(1+('main page'!$K$25^2)*'main page'!$U$13)))*(M432-(controls!$B$9/100)*100)</f>
        <v>6</v>
      </c>
      <c r="S432" s="98">
        <f ca="1">IF(controls!$B$33=1,(J433-E432*X433-B432)/'main page'!$K$27,(I433-E432*X433-B432)/'main page'!$K$27)</f>
        <v>4</v>
      </c>
      <c r="U432" s="71">
        <f>IF(controls!$B$6=1,$AG$4*(1+('main page'!$K$35/100))^V432-$AG$4*(1+('main page'!$K$35/100))^V431,$AG$4*(1+('main page'!$G$8/100))*(1+('main page'!$K$35/100))^V432-$AG$4*(1+('main page'!$G$8/100))*(1+('main page'!$K$35/100))^V431)</f>
        <v>0</v>
      </c>
      <c r="V432" s="73">
        <v>424</v>
      </c>
      <c r="W432" s="40">
        <f ca="1">'normal case'!V431</f>
        <v>0</v>
      </c>
      <c r="X432" s="40">
        <f ca="1">'normal case'!W431</f>
        <v>0</v>
      </c>
      <c r="Y432" s="49">
        <f ca="1">IF(controls!$B$33=1,E432-($J$4-'main page'!$K$27*2)*(1+('main page'!$K$35/100))^A431,E432-$AG$5)</f>
        <v>0</v>
      </c>
      <c r="Z432" s="49">
        <f ca="1">ABS(M432-(controls!$B$9/100)*100)</f>
        <v>0</v>
      </c>
      <c r="AI432" s="40"/>
      <c r="AJ432" s="40"/>
    </row>
    <row r="433" spans="1:36">
      <c r="A433" s="48">
        <v>430</v>
      </c>
      <c r="B433" s="75">
        <f ca="1">IF(controls!$B$6=2,AVERAGE(E429:E432)+B432*W433+hystere!$AG$9,AVERAGE(E429:E432)+B432*W433)</f>
        <v>100</v>
      </c>
      <c r="C433" s="80">
        <f t="shared" ca="1" si="37"/>
        <v>0</v>
      </c>
      <c r="D433" s="105">
        <f t="shared" ca="1" si="38"/>
        <v>0</v>
      </c>
      <c r="E433" s="77">
        <f t="shared" ca="1" si="39"/>
        <v>100</v>
      </c>
      <c r="F433" s="77">
        <f ca="1">IF('main page'!$K$34=1,hystere!H433,hystere!G433)</f>
        <v>100</v>
      </c>
      <c r="G433" s="94">
        <f ca="1">I433-'main page'!$K$27*hystere!N432</f>
        <v>100</v>
      </c>
      <c r="H433" s="75">
        <f ca="1">J433-'main page'!$K$27*N432</f>
        <v>100</v>
      </c>
      <c r="I433" s="75">
        <f t="shared" ca="1" si="40"/>
        <v>108</v>
      </c>
      <c r="J433" s="75">
        <f t="shared" ca="1" si="41"/>
        <v>108</v>
      </c>
      <c r="M433" s="75">
        <f ca="1">IF(ABS('main page'!$K$29*M432+(1-'main page'!$K$29)*(controls!$B$9/100)*100+'main page'!$K$25*(E433-B433)-M432)&lt;0.0000001,M432,'main page'!$K$29*M432+(1-'main page'!$K$29)*(controls!$B$9/100)*100+'main page'!$K$25*(E433-B433))</f>
        <v>2</v>
      </c>
      <c r="N433" s="75">
        <f ca="1">IF(controls!$B$10=1,N432,O433-'main page'!$K$29*M433-(1-'main page'!$K$29)*controls!$B$9)</f>
        <v>4</v>
      </c>
      <c r="O433" s="74">
        <f t="shared" ca="1" si="36"/>
        <v>6</v>
      </c>
      <c r="P433" s="76">
        <f ca="1">IF(controls!$B$10=1,hystere!N433+hystere!M433,hystere!Q433)</f>
        <v>6</v>
      </c>
      <c r="Q433" s="74">
        <f ca="1">IF('main page'!$Y$53=1,'choose m.p.'!$I$22*100,R433)</f>
        <v>6</v>
      </c>
      <c r="R433" s="100">
        <f ca="1">'main page'!$K$29*M433+(1-'main page'!$K$29)*controls!$B$9+S433+(('main page'!$K$25*'main page'!$U$13*'main page'!$K$29)/('main page'!$K$27*(1+('main page'!$K$25^2)*'main page'!$U$13)))*(M433-(controls!$B$9/100)*100)</f>
        <v>6</v>
      </c>
      <c r="S433" s="98">
        <f ca="1">IF(controls!$B$33=1,(J434-E433*X434-B433)/'main page'!$K$27,(I434-E433*X434-B433)/'main page'!$K$27)</f>
        <v>4</v>
      </c>
      <c r="U433" s="71">
        <f>IF(controls!$B$6=1,$AG$4*(1+('main page'!$K$35/100))^V433-$AG$4*(1+('main page'!$K$35/100))^V432,$AG$4*(1+('main page'!$G$8/100))*(1+('main page'!$K$35/100))^V433-$AG$4*(1+('main page'!$G$8/100))*(1+('main page'!$K$35/100))^V432)</f>
        <v>0</v>
      </c>
      <c r="V433" s="73">
        <v>425</v>
      </c>
      <c r="W433" s="40">
        <f>'normal case'!V432</f>
        <v>0</v>
      </c>
      <c r="X433" s="40">
        <f>'normal case'!W432</f>
        <v>0</v>
      </c>
      <c r="Y433" s="49">
        <f ca="1">IF(controls!$B$33=1,E433-($J$4-'main page'!$K$27*2)*(1+('main page'!$K$35/100))^A432,E433-$AG$5)</f>
        <v>0</v>
      </c>
      <c r="Z433" s="49">
        <f ca="1">ABS(M433-(controls!$B$9/100)*100)</f>
        <v>0</v>
      </c>
      <c r="AI433" s="40"/>
      <c r="AJ433" s="40"/>
    </row>
    <row r="434" spans="1:36">
      <c r="A434" s="48">
        <v>431</v>
      </c>
      <c r="B434" s="75">
        <f ca="1">IF(controls!$B$6=2,AVERAGE(E430:E433)+B433*W434+hystere!$AG$9,AVERAGE(E430:E433)+B433*W434)</f>
        <v>100</v>
      </c>
      <c r="C434" s="80">
        <f t="shared" ca="1" si="37"/>
        <v>0</v>
      </c>
      <c r="D434" s="105">
        <f t="shared" ca="1" si="38"/>
        <v>0</v>
      </c>
      <c r="E434" s="77">
        <f t="shared" ca="1" si="39"/>
        <v>100</v>
      </c>
      <c r="F434" s="77">
        <f ca="1">IF('main page'!$K$34=1,hystere!H434,hystere!G434)</f>
        <v>100</v>
      </c>
      <c r="G434" s="94">
        <f ca="1">I434-'main page'!$K$27*hystere!N433</f>
        <v>100</v>
      </c>
      <c r="H434" s="75">
        <f ca="1">J434-'main page'!$K$27*N433</f>
        <v>100</v>
      </c>
      <c r="I434" s="75">
        <f t="shared" ca="1" si="40"/>
        <v>108</v>
      </c>
      <c r="J434" s="75">
        <f t="shared" ca="1" si="41"/>
        <v>108</v>
      </c>
      <c r="M434" s="75">
        <f ca="1">IF(ABS('main page'!$K$29*M433+(1-'main page'!$K$29)*(controls!$B$9/100)*100+'main page'!$K$25*(E434-B434)-M433)&lt;0.0000001,M433,'main page'!$K$29*M433+(1-'main page'!$K$29)*(controls!$B$9/100)*100+'main page'!$K$25*(E434-B434))</f>
        <v>2</v>
      </c>
      <c r="N434" s="75">
        <f ca="1">IF(controls!$B$10=1,N433,O434-'main page'!$K$29*M434-(1-'main page'!$K$29)*controls!$B$9)</f>
        <v>4</v>
      </c>
      <c r="O434" s="74">
        <f t="shared" ca="1" si="36"/>
        <v>6</v>
      </c>
      <c r="P434" s="76">
        <f ca="1">IF(controls!$B$10=1,hystere!N434+hystere!M434,hystere!Q434)</f>
        <v>6</v>
      </c>
      <c r="Q434" s="74">
        <f ca="1">IF('main page'!$Y$53=1,'choose m.p.'!$I$22*100,R434)</f>
        <v>6</v>
      </c>
      <c r="R434" s="100">
        <f ca="1">'main page'!$K$29*M434+(1-'main page'!$K$29)*controls!$B$9+S434+(('main page'!$K$25*'main page'!$U$13*'main page'!$K$29)/('main page'!$K$27*(1+('main page'!$K$25^2)*'main page'!$U$13)))*(M434-(controls!$B$9/100)*100)</f>
        <v>6</v>
      </c>
      <c r="S434" s="98">
        <f ca="1">IF(controls!$B$33=1,(J435-E434*X435-B434)/'main page'!$K$27,(I435-E434*X435-B434)/'main page'!$K$27)</f>
        <v>4</v>
      </c>
      <c r="U434" s="71">
        <f>IF(controls!$B$6=1,$AG$4*(1+('main page'!$K$35/100))^V434-$AG$4*(1+('main page'!$K$35/100))^V433,$AG$4*(1+('main page'!$G$8/100))*(1+('main page'!$K$35/100))^V434-$AG$4*(1+('main page'!$G$8/100))*(1+('main page'!$K$35/100))^V433)</f>
        <v>0</v>
      </c>
      <c r="V434" s="73">
        <v>426</v>
      </c>
      <c r="W434" s="40">
        <f>'normal case'!V433</f>
        <v>0</v>
      </c>
      <c r="X434" s="40">
        <f>'normal case'!W433</f>
        <v>0</v>
      </c>
      <c r="Y434" s="49">
        <f ca="1">IF(controls!$B$33=1,E434-($J$4-'main page'!$K$27*2)*(1+('main page'!$K$35/100))^A433,E434-$AG$5)</f>
        <v>0</v>
      </c>
      <c r="Z434" s="49">
        <f ca="1">ABS(M434-(controls!$B$9/100)*100)</f>
        <v>0</v>
      </c>
      <c r="AI434" s="40"/>
      <c r="AJ434" s="40"/>
    </row>
    <row r="435" spans="1:36">
      <c r="A435" s="48">
        <v>432</v>
      </c>
      <c r="B435" s="75">
        <f ca="1">IF(controls!$B$6=2,AVERAGE(E431:E434)+B434*W435+hystere!$AG$9,AVERAGE(E431:E434)+B434*W435)</f>
        <v>100</v>
      </c>
      <c r="C435" s="80">
        <f t="shared" ca="1" si="37"/>
        <v>0</v>
      </c>
      <c r="D435" s="105">
        <f t="shared" ca="1" si="38"/>
        <v>0</v>
      </c>
      <c r="E435" s="77">
        <f t="shared" ca="1" si="39"/>
        <v>100</v>
      </c>
      <c r="F435" s="77">
        <f ca="1">IF('main page'!$K$34=1,hystere!H435,hystere!G435)</f>
        <v>100</v>
      </c>
      <c r="G435" s="94">
        <f ca="1">I435-'main page'!$K$27*hystere!N434</f>
        <v>100</v>
      </c>
      <c r="H435" s="75">
        <f ca="1">J435-'main page'!$K$27*N434</f>
        <v>100</v>
      </c>
      <c r="I435" s="75">
        <f t="shared" ca="1" si="40"/>
        <v>108</v>
      </c>
      <c r="J435" s="75">
        <f t="shared" ca="1" si="41"/>
        <v>108</v>
      </c>
      <c r="M435" s="75">
        <f ca="1">IF(ABS('main page'!$K$29*M434+(1-'main page'!$K$29)*(controls!$B$9/100)*100+'main page'!$K$25*(E435-B435)-M434)&lt;0.0000001,M434,'main page'!$K$29*M434+(1-'main page'!$K$29)*(controls!$B$9/100)*100+'main page'!$K$25*(E435-B435))</f>
        <v>2</v>
      </c>
      <c r="N435" s="75">
        <f ca="1">IF(controls!$B$10=1,N434,O435-'main page'!$K$29*M435-(1-'main page'!$K$29)*controls!$B$9)</f>
        <v>4</v>
      </c>
      <c r="O435" s="74">
        <f t="shared" ca="1" si="36"/>
        <v>6</v>
      </c>
      <c r="P435" s="76">
        <f ca="1">IF(controls!$B$10=1,hystere!N435+hystere!M435,hystere!Q435)</f>
        <v>6</v>
      </c>
      <c r="Q435" s="74">
        <f ca="1">IF('main page'!$Y$53=1,'choose m.p.'!$I$22*100,R435)</f>
        <v>6</v>
      </c>
      <c r="R435" s="100">
        <f ca="1">'main page'!$K$29*M435+(1-'main page'!$K$29)*controls!$B$9+S435+(('main page'!$K$25*'main page'!$U$13*'main page'!$K$29)/('main page'!$K$27*(1+('main page'!$K$25^2)*'main page'!$U$13)))*(M435-(controls!$B$9/100)*100)</f>
        <v>6</v>
      </c>
      <c r="S435" s="98">
        <f ca="1">IF(controls!$B$33=1,(J436-E435*X436-B435)/'main page'!$K$27,(I436-E435*X436-B435)/'main page'!$K$27)</f>
        <v>4</v>
      </c>
      <c r="U435" s="71">
        <f>IF(controls!$B$6=1,$AG$4*(1+('main page'!$K$35/100))^V435-$AG$4*(1+('main page'!$K$35/100))^V434,$AG$4*(1+('main page'!$G$8/100))*(1+('main page'!$K$35/100))^V435-$AG$4*(1+('main page'!$G$8/100))*(1+('main page'!$K$35/100))^V434)</f>
        <v>0</v>
      </c>
      <c r="V435" s="73">
        <v>427</v>
      </c>
      <c r="W435" s="40">
        <f ca="1">'normal case'!V434</f>
        <v>0</v>
      </c>
      <c r="X435" s="40">
        <f ca="1">'normal case'!W434</f>
        <v>0</v>
      </c>
      <c r="Y435" s="49">
        <f ca="1">IF(controls!$B$33=1,E435-($J$4-'main page'!$K$27*2)*(1+('main page'!$K$35/100))^A434,E435-$AG$5)</f>
        <v>0</v>
      </c>
      <c r="Z435" s="49">
        <f ca="1">ABS(M435-(controls!$B$9/100)*100)</f>
        <v>0</v>
      </c>
      <c r="AI435" s="40"/>
      <c r="AJ435" s="40"/>
    </row>
    <row r="436" spans="1:36">
      <c r="A436" s="48">
        <v>433</v>
      </c>
      <c r="B436" s="75">
        <f ca="1">IF(controls!$B$6=2,AVERAGE(E432:E435)+B435*W436+hystere!$AG$9,AVERAGE(E432:E435)+B435*W436)</f>
        <v>100</v>
      </c>
      <c r="C436" s="80">
        <f t="shared" ca="1" si="37"/>
        <v>0</v>
      </c>
      <c r="D436" s="105">
        <f t="shared" ca="1" si="38"/>
        <v>0</v>
      </c>
      <c r="E436" s="77">
        <f t="shared" ca="1" si="39"/>
        <v>100</v>
      </c>
      <c r="F436" s="77">
        <f ca="1">IF('main page'!$K$34=1,hystere!H436,hystere!G436)</f>
        <v>100</v>
      </c>
      <c r="G436" s="94">
        <f ca="1">I436-'main page'!$K$27*hystere!N435</f>
        <v>100</v>
      </c>
      <c r="H436" s="75">
        <f ca="1">J436-'main page'!$K$27*N435</f>
        <v>100</v>
      </c>
      <c r="I436" s="75">
        <f t="shared" ca="1" si="40"/>
        <v>108</v>
      </c>
      <c r="J436" s="75">
        <f t="shared" ca="1" si="41"/>
        <v>108</v>
      </c>
      <c r="M436" s="75">
        <f ca="1">IF(ABS('main page'!$K$29*M435+(1-'main page'!$K$29)*(controls!$B$9/100)*100+'main page'!$K$25*(E436-B436)-M435)&lt;0.0000001,M435,'main page'!$K$29*M435+(1-'main page'!$K$29)*(controls!$B$9/100)*100+'main page'!$K$25*(E436-B436))</f>
        <v>2</v>
      </c>
      <c r="N436" s="75">
        <f ca="1">IF(controls!$B$10=1,N435,O436-'main page'!$K$29*M436-(1-'main page'!$K$29)*controls!$B$9)</f>
        <v>4</v>
      </c>
      <c r="O436" s="74">
        <f t="shared" ca="1" si="36"/>
        <v>6</v>
      </c>
      <c r="P436" s="76">
        <f ca="1">IF(controls!$B$10=1,hystere!N436+hystere!M436,hystere!Q436)</f>
        <v>6</v>
      </c>
      <c r="Q436" s="74">
        <f ca="1">IF('main page'!$Y$53=1,'choose m.p.'!$I$22*100,R436)</f>
        <v>6</v>
      </c>
      <c r="R436" s="100">
        <f ca="1">'main page'!$K$29*M436+(1-'main page'!$K$29)*controls!$B$9+S436+(('main page'!$K$25*'main page'!$U$13*'main page'!$K$29)/('main page'!$K$27*(1+('main page'!$K$25^2)*'main page'!$U$13)))*(M436-(controls!$B$9/100)*100)</f>
        <v>6</v>
      </c>
      <c r="S436" s="98">
        <f ca="1">IF(controls!$B$33=1,(J437-E436*X437-B436)/'main page'!$K$27,(I437-E436*X437-B436)/'main page'!$K$27)</f>
        <v>4</v>
      </c>
      <c r="U436" s="71">
        <f>IF(controls!$B$6=1,$AG$4*(1+('main page'!$K$35/100))^V436-$AG$4*(1+('main page'!$K$35/100))^V435,$AG$4*(1+('main page'!$G$8/100))*(1+('main page'!$K$35/100))^V436-$AG$4*(1+('main page'!$G$8/100))*(1+('main page'!$K$35/100))^V435)</f>
        <v>0</v>
      </c>
      <c r="V436" s="73">
        <v>428</v>
      </c>
      <c r="W436" s="40">
        <f>'normal case'!V435</f>
        <v>0</v>
      </c>
      <c r="X436" s="40">
        <f>'normal case'!W435</f>
        <v>0</v>
      </c>
      <c r="Y436" s="49">
        <f ca="1">IF(controls!$B$33=1,E436-($J$4-'main page'!$K$27*2)*(1+('main page'!$K$35/100))^A435,E436-$AG$5)</f>
        <v>0</v>
      </c>
      <c r="Z436" s="49">
        <f ca="1">ABS(M436-(controls!$B$9/100)*100)</f>
        <v>0</v>
      </c>
      <c r="AI436" s="40"/>
      <c r="AJ436" s="40"/>
    </row>
    <row r="437" spans="1:36">
      <c r="A437" s="48">
        <v>434</v>
      </c>
      <c r="B437" s="75">
        <f ca="1">IF(controls!$B$6=2,AVERAGE(E433:E436)+B436*W437+hystere!$AG$9,AVERAGE(E433:E436)+B436*W437)</f>
        <v>100</v>
      </c>
      <c r="C437" s="80">
        <f t="shared" ca="1" si="37"/>
        <v>0</v>
      </c>
      <c r="D437" s="105">
        <f t="shared" ca="1" si="38"/>
        <v>0</v>
      </c>
      <c r="E437" s="77">
        <f t="shared" ca="1" si="39"/>
        <v>100</v>
      </c>
      <c r="F437" s="77">
        <f ca="1">IF('main page'!$K$34=1,hystere!H437,hystere!G437)</f>
        <v>100</v>
      </c>
      <c r="G437" s="94">
        <f ca="1">I437-'main page'!$K$27*hystere!N436</f>
        <v>100</v>
      </c>
      <c r="H437" s="75">
        <f ca="1">J437-'main page'!$K$27*N436</f>
        <v>100</v>
      </c>
      <c r="I437" s="75">
        <f t="shared" ca="1" si="40"/>
        <v>108</v>
      </c>
      <c r="J437" s="75">
        <f t="shared" ca="1" si="41"/>
        <v>108</v>
      </c>
      <c r="M437" s="75">
        <f ca="1">IF(ABS('main page'!$K$29*M436+(1-'main page'!$K$29)*(controls!$B$9/100)*100+'main page'!$K$25*(E437-B437)-M436)&lt;0.0000001,M436,'main page'!$K$29*M436+(1-'main page'!$K$29)*(controls!$B$9/100)*100+'main page'!$K$25*(E437-B437))</f>
        <v>2</v>
      </c>
      <c r="N437" s="75">
        <f ca="1">IF(controls!$B$10=1,N436,O437-'main page'!$K$29*M437-(1-'main page'!$K$29)*controls!$B$9)</f>
        <v>4</v>
      </c>
      <c r="O437" s="74">
        <f t="shared" ca="1" si="36"/>
        <v>6</v>
      </c>
      <c r="P437" s="76">
        <f ca="1">IF(controls!$B$10=1,hystere!N437+hystere!M437,hystere!Q437)</f>
        <v>6</v>
      </c>
      <c r="Q437" s="74">
        <f ca="1">IF('main page'!$Y$53=1,'choose m.p.'!$I$22*100,R437)</f>
        <v>6</v>
      </c>
      <c r="R437" s="100">
        <f ca="1">'main page'!$K$29*M437+(1-'main page'!$K$29)*controls!$B$9+S437+(('main page'!$K$25*'main page'!$U$13*'main page'!$K$29)/('main page'!$K$27*(1+('main page'!$K$25^2)*'main page'!$U$13)))*(M437-(controls!$B$9/100)*100)</f>
        <v>6</v>
      </c>
      <c r="S437" s="98">
        <f ca="1">IF(controls!$B$33=1,(J438-E437*X438-B437)/'main page'!$K$27,(I438-E437*X438-B437)/'main page'!$K$27)</f>
        <v>4</v>
      </c>
      <c r="U437" s="71">
        <f>IF(controls!$B$6=1,$AG$4*(1+('main page'!$K$35/100))^V437-$AG$4*(1+('main page'!$K$35/100))^V436,$AG$4*(1+('main page'!$G$8/100))*(1+('main page'!$K$35/100))^V437-$AG$4*(1+('main page'!$G$8/100))*(1+('main page'!$K$35/100))^V436)</f>
        <v>0</v>
      </c>
      <c r="V437" s="73">
        <v>429</v>
      </c>
      <c r="W437" s="40">
        <f>'normal case'!V436</f>
        <v>0</v>
      </c>
      <c r="X437" s="40">
        <f>'normal case'!W436</f>
        <v>0</v>
      </c>
      <c r="Y437" s="49">
        <f ca="1">IF(controls!$B$33=1,E437-($J$4-'main page'!$K$27*2)*(1+('main page'!$K$35/100))^A436,E437-$AG$5)</f>
        <v>0</v>
      </c>
      <c r="Z437" s="49">
        <f ca="1">ABS(M437-(controls!$B$9/100)*100)</f>
        <v>0</v>
      </c>
      <c r="AI437" s="40"/>
      <c r="AJ437" s="40"/>
    </row>
    <row r="438" spans="1:36">
      <c r="A438" s="48">
        <v>435</v>
      </c>
      <c r="B438" s="75">
        <f ca="1">IF(controls!$B$6=2,AVERAGE(E434:E437)+B437*W438+hystere!$AG$9,AVERAGE(E434:E437)+B437*W438)</f>
        <v>100</v>
      </c>
      <c r="C438" s="80">
        <f t="shared" ca="1" si="37"/>
        <v>0</v>
      </c>
      <c r="D438" s="105">
        <f t="shared" ca="1" si="38"/>
        <v>0</v>
      </c>
      <c r="E438" s="77">
        <f t="shared" ca="1" si="39"/>
        <v>100</v>
      </c>
      <c r="F438" s="77">
        <f ca="1">IF('main page'!$K$34=1,hystere!H438,hystere!G438)</f>
        <v>100</v>
      </c>
      <c r="G438" s="94">
        <f ca="1">I438-'main page'!$K$27*hystere!N437</f>
        <v>100</v>
      </c>
      <c r="H438" s="75">
        <f ca="1">J438-'main page'!$K$27*N437</f>
        <v>100</v>
      </c>
      <c r="I438" s="75">
        <f t="shared" ca="1" si="40"/>
        <v>108</v>
      </c>
      <c r="J438" s="75">
        <f t="shared" ca="1" si="41"/>
        <v>108</v>
      </c>
      <c r="M438" s="75">
        <f ca="1">IF(ABS('main page'!$K$29*M437+(1-'main page'!$K$29)*(controls!$B$9/100)*100+'main page'!$K$25*(E438-B438)-M437)&lt;0.0000001,M437,'main page'!$K$29*M437+(1-'main page'!$K$29)*(controls!$B$9/100)*100+'main page'!$K$25*(E438-B438))</f>
        <v>2</v>
      </c>
      <c r="N438" s="75">
        <f ca="1">IF(controls!$B$10=1,N437,O438-'main page'!$K$29*M438-(1-'main page'!$K$29)*controls!$B$9)</f>
        <v>4</v>
      </c>
      <c r="O438" s="74">
        <f t="shared" ca="1" si="36"/>
        <v>6</v>
      </c>
      <c r="P438" s="76">
        <f ca="1">IF(controls!$B$10=1,hystere!N438+hystere!M438,hystere!Q438)</f>
        <v>6</v>
      </c>
      <c r="Q438" s="74">
        <f ca="1">IF('main page'!$Y$53=1,'choose m.p.'!$I$22*100,R438)</f>
        <v>6</v>
      </c>
      <c r="R438" s="100">
        <f ca="1">'main page'!$K$29*M438+(1-'main page'!$K$29)*controls!$B$9+S438+(('main page'!$K$25*'main page'!$U$13*'main page'!$K$29)/('main page'!$K$27*(1+('main page'!$K$25^2)*'main page'!$U$13)))*(M438-(controls!$B$9/100)*100)</f>
        <v>6</v>
      </c>
      <c r="S438" s="98">
        <f ca="1">IF(controls!$B$33=1,(J439-E438*X439-B438)/'main page'!$K$27,(I439-E438*X439-B438)/'main page'!$K$27)</f>
        <v>4</v>
      </c>
      <c r="U438" s="71">
        <f>IF(controls!$B$6=1,$AG$4*(1+('main page'!$K$35/100))^V438-$AG$4*(1+('main page'!$K$35/100))^V437,$AG$4*(1+('main page'!$G$8/100))*(1+('main page'!$K$35/100))^V438-$AG$4*(1+('main page'!$G$8/100))*(1+('main page'!$K$35/100))^V437)</f>
        <v>0</v>
      </c>
      <c r="V438" s="73">
        <v>430</v>
      </c>
      <c r="W438" s="40">
        <f ca="1">'normal case'!V437</f>
        <v>0</v>
      </c>
      <c r="X438" s="40">
        <f ca="1">'normal case'!W437</f>
        <v>0</v>
      </c>
      <c r="Y438" s="49">
        <f ca="1">IF(controls!$B$33=1,E438-($J$4-'main page'!$K$27*2)*(1+('main page'!$K$35/100))^A437,E438-$AG$5)</f>
        <v>0</v>
      </c>
      <c r="Z438" s="49">
        <f ca="1">ABS(M438-(controls!$B$9/100)*100)</f>
        <v>0</v>
      </c>
      <c r="AI438" s="40"/>
      <c r="AJ438" s="40"/>
    </row>
    <row r="439" spans="1:36">
      <c r="A439" s="48">
        <v>436</v>
      </c>
      <c r="B439" s="75">
        <f ca="1">IF(controls!$B$6=2,AVERAGE(E435:E438)+B438*W439+hystere!$AG$9,AVERAGE(E435:E438)+B438*W439)</f>
        <v>100</v>
      </c>
      <c r="C439" s="80">
        <f t="shared" ca="1" si="37"/>
        <v>0</v>
      </c>
      <c r="D439" s="105">
        <f t="shared" ca="1" si="38"/>
        <v>0</v>
      </c>
      <c r="E439" s="77">
        <f t="shared" ca="1" si="39"/>
        <v>100</v>
      </c>
      <c r="F439" s="77">
        <f ca="1">IF('main page'!$K$34=1,hystere!H439,hystere!G439)</f>
        <v>100</v>
      </c>
      <c r="G439" s="94">
        <f ca="1">I439-'main page'!$K$27*hystere!N438</f>
        <v>100</v>
      </c>
      <c r="H439" s="75">
        <f ca="1">J439-'main page'!$K$27*N438</f>
        <v>100</v>
      </c>
      <c r="I439" s="75">
        <f t="shared" ca="1" si="40"/>
        <v>108</v>
      </c>
      <c r="J439" s="75">
        <f t="shared" ca="1" si="41"/>
        <v>108</v>
      </c>
      <c r="M439" s="75">
        <f ca="1">IF(ABS('main page'!$K$29*M438+(1-'main page'!$K$29)*(controls!$B$9/100)*100+'main page'!$K$25*(E439-B439)-M438)&lt;0.0000001,M438,'main page'!$K$29*M438+(1-'main page'!$K$29)*(controls!$B$9/100)*100+'main page'!$K$25*(E439-B439))</f>
        <v>2</v>
      </c>
      <c r="N439" s="75">
        <f ca="1">IF(controls!$B$10=1,N438,O439-'main page'!$K$29*M439-(1-'main page'!$K$29)*controls!$B$9)</f>
        <v>4</v>
      </c>
      <c r="O439" s="74">
        <f t="shared" ca="1" si="36"/>
        <v>6</v>
      </c>
      <c r="P439" s="76">
        <f ca="1">IF(controls!$B$10=1,hystere!N439+hystere!M439,hystere!Q439)</f>
        <v>6</v>
      </c>
      <c r="Q439" s="74">
        <f ca="1">IF('main page'!$Y$53=1,'choose m.p.'!$I$22*100,R439)</f>
        <v>6</v>
      </c>
      <c r="R439" s="100">
        <f ca="1">'main page'!$K$29*M439+(1-'main page'!$K$29)*controls!$B$9+S439+(('main page'!$K$25*'main page'!$U$13*'main page'!$K$29)/('main page'!$K$27*(1+('main page'!$K$25^2)*'main page'!$U$13)))*(M439-(controls!$B$9/100)*100)</f>
        <v>6</v>
      </c>
      <c r="S439" s="98">
        <f ca="1">IF(controls!$B$33=1,(J440-E439*X440-B439)/'main page'!$K$27,(I440-E439*X440-B439)/'main page'!$K$27)</f>
        <v>4</v>
      </c>
      <c r="U439" s="71">
        <f>IF(controls!$B$6=1,$AG$4*(1+('main page'!$K$35/100))^V439-$AG$4*(1+('main page'!$K$35/100))^V438,$AG$4*(1+('main page'!$G$8/100))*(1+('main page'!$K$35/100))^V439-$AG$4*(1+('main page'!$G$8/100))*(1+('main page'!$K$35/100))^V438)</f>
        <v>0</v>
      </c>
      <c r="V439" s="73">
        <v>431</v>
      </c>
      <c r="W439" s="40">
        <f>'normal case'!V438</f>
        <v>0</v>
      </c>
      <c r="X439" s="40">
        <f>'normal case'!W438</f>
        <v>0</v>
      </c>
      <c r="Y439" s="49">
        <f ca="1">IF(controls!$B$33=1,E439-($J$4-'main page'!$K$27*2)*(1+('main page'!$K$35/100))^A438,E439-$AG$5)</f>
        <v>0</v>
      </c>
      <c r="Z439" s="49">
        <f ca="1">ABS(M439-(controls!$B$9/100)*100)</f>
        <v>0</v>
      </c>
      <c r="AI439" s="40"/>
      <c r="AJ439" s="40"/>
    </row>
    <row r="440" spans="1:36">
      <c r="A440" s="48">
        <v>437</v>
      </c>
      <c r="B440" s="75">
        <f ca="1">IF(controls!$B$6=2,AVERAGE(E436:E439)+B439*W440+hystere!$AG$9,AVERAGE(E436:E439)+B439*W440)</f>
        <v>100</v>
      </c>
      <c r="C440" s="80">
        <f t="shared" ca="1" si="37"/>
        <v>0</v>
      </c>
      <c r="D440" s="105">
        <f t="shared" ca="1" si="38"/>
        <v>0</v>
      </c>
      <c r="E440" s="77">
        <f t="shared" ca="1" si="39"/>
        <v>100</v>
      </c>
      <c r="F440" s="77">
        <f ca="1">IF('main page'!$K$34=1,hystere!H440,hystere!G440)</f>
        <v>100</v>
      </c>
      <c r="G440" s="94">
        <f ca="1">I440-'main page'!$K$27*hystere!N439</f>
        <v>100</v>
      </c>
      <c r="H440" s="75">
        <f ca="1">J440-'main page'!$K$27*N439</f>
        <v>100</v>
      </c>
      <c r="I440" s="75">
        <f t="shared" ca="1" si="40"/>
        <v>108</v>
      </c>
      <c r="J440" s="75">
        <f t="shared" ca="1" si="41"/>
        <v>108</v>
      </c>
      <c r="M440" s="75">
        <f ca="1">IF(ABS('main page'!$K$29*M439+(1-'main page'!$K$29)*(controls!$B$9/100)*100+'main page'!$K$25*(E440-B440)-M439)&lt;0.0000001,M439,'main page'!$K$29*M439+(1-'main page'!$K$29)*(controls!$B$9/100)*100+'main page'!$K$25*(E440-B440))</f>
        <v>2</v>
      </c>
      <c r="N440" s="75">
        <f ca="1">IF(controls!$B$10=1,N439,O440-'main page'!$K$29*M440-(1-'main page'!$K$29)*controls!$B$9)</f>
        <v>4</v>
      </c>
      <c r="O440" s="74">
        <f t="shared" ca="1" si="36"/>
        <v>6</v>
      </c>
      <c r="P440" s="76">
        <f ca="1">IF(controls!$B$10=1,hystere!N440+hystere!M440,hystere!Q440)</f>
        <v>6</v>
      </c>
      <c r="Q440" s="74">
        <f ca="1">IF('main page'!$Y$53=1,'choose m.p.'!$I$22*100,R440)</f>
        <v>6</v>
      </c>
      <c r="R440" s="100">
        <f ca="1">'main page'!$K$29*M440+(1-'main page'!$K$29)*controls!$B$9+S440+(('main page'!$K$25*'main page'!$U$13*'main page'!$K$29)/('main page'!$K$27*(1+('main page'!$K$25^2)*'main page'!$U$13)))*(M440-(controls!$B$9/100)*100)</f>
        <v>6</v>
      </c>
      <c r="S440" s="98">
        <f ca="1">IF(controls!$B$33=1,(J441-E440*X441-B440)/'main page'!$K$27,(I441-E440*X441-B440)/'main page'!$K$27)</f>
        <v>4</v>
      </c>
      <c r="U440" s="71">
        <f>IF(controls!$B$6=1,$AG$4*(1+('main page'!$K$35/100))^V440-$AG$4*(1+('main page'!$K$35/100))^V439,$AG$4*(1+('main page'!$G$8/100))*(1+('main page'!$K$35/100))^V440-$AG$4*(1+('main page'!$G$8/100))*(1+('main page'!$K$35/100))^V439)</f>
        <v>0</v>
      </c>
      <c r="V440" s="73">
        <v>432</v>
      </c>
      <c r="W440" s="40">
        <f>'normal case'!V439</f>
        <v>0</v>
      </c>
      <c r="X440" s="40">
        <f>'normal case'!W439</f>
        <v>0</v>
      </c>
      <c r="Y440" s="49">
        <f ca="1">IF(controls!$B$33=1,E440-($J$4-'main page'!$K$27*2)*(1+('main page'!$K$35/100))^A439,E440-$AG$5)</f>
        <v>0</v>
      </c>
      <c r="Z440" s="49">
        <f ca="1">ABS(M440-(controls!$B$9/100)*100)</f>
        <v>0</v>
      </c>
      <c r="AI440" s="40"/>
      <c r="AJ440" s="40"/>
    </row>
    <row r="441" spans="1:36">
      <c r="A441" s="48">
        <v>438</v>
      </c>
      <c r="B441" s="75">
        <f ca="1">IF(controls!$B$6=2,AVERAGE(E437:E440)+B440*W441+hystere!$AG$9,AVERAGE(E437:E440)+B440*W441)</f>
        <v>100</v>
      </c>
      <c r="C441" s="80">
        <f t="shared" ca="1" si="37"/>
        <v>0</v>
      </c>
      <c r="D441" s="105">
        <f t="shared" ca="1" si="38"/>
        <v>0</v>
      </c>
      <c r="E441" s="77">
        <f t="shared" ca="1" si="39"/>
        <v>100</v>
      </c>
      <c r="F441" s="77">
        <f ca="1">IF('main page'!$K$34=1,hystere!H441,hystere!G441)</f>
        <v>100</v>
      </c>
      <c r="G441" s="94">
        <f ca="1">I441-'main page'!$K$27*hystere!N440</f>
        <v>100</v>
      </c>
      <c r="H441" s="75">
        <f ca="1">J441-'main page'!$K$27*N440</f>
        <v>100</v>
      </c>
      <c r="I441" s="75">
        <f t="shared" ca="1" si="40"/>
        <v>108</v>
      </c>
      <c r="J441" s="75">
        <f t="shared" ca="1" si="41"/>
        <v>108</v>
      </c>
      <c r="M441" s="75">
        <f ca="1">IF(ABS('main page'!$K$29*M440+(1-'main page'!$K$29)*(controls!$B$9/100)*100+'main page'!$K$25*(E441-B441)-M440)&lt;0.0000001,M440,'main page'!$K$29*M440+(1-'main page'!$K$29)*(controls!$B$9/100)*100+'main page'!$K$25*(E441-B441))</f>
        <v>2</v>
      </c>
      <c r="N441" s="75">
        <f ca="1">IF(controls!$B$10=1,N440,O441-'main page'!$K$29*M441-(1-'main page'!$K$29)*controls!$B$9)</f>
        <v>4</v>
      </c>
      <c r="O441" s="74">
        <f t="shared" ca="1" si="36"/>
        <v>6</v>
      </c>
      <c r="P441" s="76">
        <f ca="1">IF(controls!$B$10=1,hystere!N441+hystere!M441,hystere!Q441)</f>
        <v>6</v>
      </c>
      <c r="Q441" s="74">
        <f ca="1">IF('main page'!$Y$53=1,'choose m.p.'!$I$22*100,R441)</f>
        <v>6</v>
      </c>
      <c r="R441" s="100">
        <f ca="1">'main page'!$K$29*M441+(1-'main page'!$K$29)*controls!$B$9+S441+(('main page'!$K$25*'main page'!$U$13*'main page'!$K$29)/('main page'!$K$27*(1+('main page'!$K$25^2)*'main page'!$U$13)))*(M441-(controls!$B$9/100)*100)</f>
        <v>6</v>
      </c>
      <c r="S441" s="98">
        <f ca="1">IF(controls!$B$33=1,(J442-E441*X442-B441)/'main page'!$K$27,(I442-E441*X442-B441)/'main page'!$K$27)</f>
        <v>4</v>
      </c>
      <c r="U441" s="71">
        <f>IF(controls!$B$6=1,$AG$4*(1+('main page'!$K$35/100))^V441-$AG$4*(1+('main page'!$K$35/100))^V440,$AG$4*(1+('main page'!$G$8/100))*(1+('main page'!$K$35/100))^V441-$AG$4*(1+('main page'!$G$8/100))*(1+('main page'!$K$35/100))^V440)</f>
        <v>0</v>
      </c>
      <c r="V441" s="73">
        <v>433</v>
      </c>
      <c r="W441" s="40">
        <f ca="1">'normal case'!V440</f>
        <v>0</v>
      </c>
      <c r="X441" s="40">
        <f ca="1">'normal case'!W440</f>
        <v>0</v>
      </c>
      <c r="Y441" s="49">
        <f ca="1">IF(controls!$B$33=1,E441-($J$4-'main page'!$K$27*2)*(1+('main page'!$K$35/100))^A440,E441-$AG$5)</f>
        <v>0</v>
      </c>
      <c r="Z441" s="49">
        <f ca="1">ABS(M441-(controls!$B$9/100)*100)</f>
        <v>0</v>
      </c>
      <c r="AI441" s="40"/>
      <c r="AJ441" s="40"/>
    </row>
    <row r="442" spans="1:36">
      <c r="A442" s="48">
        <v>439</v>
      </c>
      <c r="B442" s="75">
        <f ca="1">IF(controls!$B$6=2,AVERAGE(E438:E441)+B441*W442+hystere!$AG$9,AVERAGE(E438:E441)+B441*W442)</f>
        <v>100</v>
      </c>
      <c r="C442" s="80">
        <f t="shared" ca="1" si="37"/>
        <v>0</v>
      </c>
      <c r="D442" s="105">
        <f t="shared" ca="1" si="38"/>
        <v>0</v>
      </c>
      <c r="E442" s="77">
        <f t="shared" ca="1" si="39"/>
        <v>100</v>
      </c>
      <c r="F442" s="77">
        <f ca="1">IF('main page'!$K$34=1,hystere!H442,hystere!G442)</f>
        <v>100</v>
      </c>
      <c r="G442" s="94">
        <f ca="1">I442-'main page'!$K$27*hystere!N441</f>
        <v>100</v>
      </c>
      <c r="H442" s="75">
        <f ca="1">J442-'main page'!$K$27*N441</f>
        <v>100</v>
      </c>
      <c r="I442" s="75">
        <f t="shared" ca="1" si="40"/>
        <v>108</v>
      </c>
      <c r="J442" s="75">
        <f t="shared" ca="1" si="41"/>
        <v>108</v>
      </c>
      <c r="M442" s="75">
        <f ca="1">IF(ABS('main page'!$K$29*M441+(1-'main page'!$K$29)*(controls!$B$9/100)*100+'main page'!$K$25*(E442-B442)-M441)&lt;0.0000001,M441,'main page'!$K$29*M441+(1-'main page'!$K$29)*(controls!$B$9/100)*100+'main page'!$K$25*(E442-B442))</f>
        <v>2</v>
      </c>
      <c r="N442" s="75">
        <f ca="1">IF(controls!$B$10=1,N441,O442-'main page'!$K$29*M442-(1-'main page'!$K$29)*controls!$B$9)</f>
        <v>4</v>
      </c>
      <c r="O442" s="74">
        <f t="shared" ca="1" si="36"/>
        <v>6</v>
      </c>
      <c r="P442" s="76">
        <f ca="1">IF(controls!$B$10=1,hystere!N442+hystere!M442,hystere!Q442)</f>
        <v>6</v>
      </c>
      <c r="Q442" s="74">
        <f ca="1">IF('main page'!$Y$53=1,'choose m.p.'!$I$22*100,R442)</f>
        <v>6</v>
      </c>
      <c r="R442" s="100">
        <f ca="1">'main page'!$K$29*M442+(1-'main page'!$K$29)*controls!$B$9+S442+(('main page'!$K$25*'main page'!$U$13*'main page'!$K$29)/('main page'!$K$27*(1+('main page'!$K$25^2)*'main page'!$U$13)))*(M442-(controls!$B$9/100)*100)</f>
        <v>6</v>
      </c>
      <c r="S442" s="98">
        <f ca="1">IF(controls!$B$33=1,(J443-E442*X443-B442)/'main page'!$K$27,(I443-E442*X443-B442)/'main page'!$K$27)</f>
        <v>4</v>
      </c>
      <c r="U442" s="71">
        <f>IF(controls!$B$6=1,$AG$4*(1+('main page'!$K$35/100))^V442-$AG$4*(1+('main page'!$K$35/100))^V441,$AG$4*(1+('main page'!$G$8/100))*(1+('main page'!$K$35/100))^V442-$AG$4*(1+('main page'!$G$8/100))*(1+('main page'!$K$35/100))^V441)</f>
        <v>0</v>
      </c>
      <c r="V442" s="73">
        <v>434</v>
      </c>
      <c r="W442" s="40">
        <f>'normal case'!V441</f>
        <v>0</v>
      </c>
      <c r="X442" s="40">
        <f>'normal case'!W441</f>
        <v>0</v>
      </c>
      <c r="Y442" s="49">
        <f ca="1">IF(controls!$B$33=1,E442-($J$4-'main page'!$K$27*2)*(1+('main page'!$K$35/100))^A441,E442-$AG$5)</f>
        <v>0</v>
      </c>
      <c r="Z442" s="49">
        <f ca="1">ABS(M442-(controls!$B$9/100)*100)</f>
        <v>0</v>
      </c>
      <c r="AI442" s="40"/>
      <c r="AJ442" s="40"/>
    </row>
    <row r="443" spans="1:36">
      <c r="A443" s="48">
        <v>440</v>
      </c>
      <c r="B443" s="75">
        <f ca="1">IF(controls!$B$6=2,AVERAGE(E439:E442)+B442*W443+hystere!$AG$9,AVERAGE(E439:E442)+B442*W443)</f>
        <v>100</v>
      </c>
      <c r="C443" s="80">
        <f t="shared" ca="1" si="37"/>
        <v>0</v>
      </c>
      <c r="D443" s="105">
        <f t="shared" ca="1" si="38"/>
        <v>0</v>
      </c>
      <c r="E443" s="77">
        <f t="shared" ca="1" si="39"/>
        <v>100</v>
      </c>
      <c r="F443" s="77">
        <f ca="1">IF('main page'!$K$34=1,hystere!H443,hystere!G443)</f>
        <v>100</v>
      </c>
      <c r="G443" s="94">
        <f ca="1">I443-'main page'!$K$27*hystere!N442</f>
        <v>100</v>
      </c>
      <c r="H443" s="75">
        <f ca="1">J443-'main page'!$K$27*N442</f>
        <v>100</v>
      </c>
      <c r="I443" s="75">
        <f t="shared" ca="1" si="40"/>
        <v>108</v>
      </c>
      <c r="J443" s="75">
        <f t="shared" ca="1" si="41"/>
        <v>108</v>
      </c>
      <c r="M443" s="75">
        <f ca="1">IF(ABS('main page'!$K$29*M442+(1-'main page'!$K$29)*(controls!$B$9/100)*100+'main page'!$K$25*(E443-B443)-M442)&lt;0.0000001,M442,'main page'!$K$29*M442+(1-'main page'!$K$29)*(controls!$B$9/100)*100+'main page'!$K$25*(E443-B443))</f>
        <v>2</v>
      </c>
      <c r="N443" s="75">
        <f ca="1">IF(controls!$B$10=1,N442,O443-'main page'!$K$29*M443-(1-'main page'!$K$29)*controls!$B$9)</f>
        <v>4</v>
      </c>
      <c r="O443" s="74">
        <f t="shared" ca="1" si="36"/>
        <v>6</v>
      </c>
      <c r="P443" s="76">
        <f ca="1">IF(controls!$B$10=1,hystere!N443+hystere!M443,hystere!Q443)</f>
        <v>6</v>
      </c>
      <c r="Q443" s="74">
        <f ca="1">IF('main page'!$Y$53=1,'choose m.p.'!$I$22*100,R443)</f>
        <v>6</v>
      </c>
      <c r="R443" s="100">
        <f ca="1">'main page'!$K$29*M443+(1-'main page'!$K$29)*controls!$B$9+S443+(('main page'!$K$25*'main page'!$U$13*'main page'!$K$29)/('main page'!$K$27*(1+('main page'!$K$25^2)*'main page'!$U$13)))*(M443-(controls!$B$9/100)*100)</f>
        <v>6</v>
      </c>
      <c r="S443" s="98">
        <f ca="1">IF(controls!$B$33=1,(J444-E443*X444-B443)/'main page'!$K$27,(I444-E443*X444-B443)/'main page'!$K$27)</f>
        <v>4</v>
      </c>
      <c r="U443" s="71">
        <f>IF(controls!$B$6=1,$AG$4*(1+('main page'!$K$35/100))^V443-$AG$4*(1+('main page'!$K$35/100))^V442,$AG$4*(1+('main page'!$G$8/100))*(1+('main page'!$K$35/100))^V443-$AG$4*(1+('main page'!$G$8/100))*(1+('main page'!$K$35/100))^V442)</f>
        <v>0</v>
      </c>
      <c r="V443" s="73">
        <v>435</v>
      </c>
      <c r="W443" s="40">
        <f>'normal case'!V442</f>
        <v>0</v>
      </c>
      <c r="X443" s="40">
        <f>'normal case'!W442</f>
        <v>0</v>
      </c>
      <c r="Y443" s="49">
        <f ca="1">IF(controls!$B$33=1,E443-($J$4-'main page'!$K$27*2)*(1+('main page'!$K$35/100))^A442,E443-$AG$5)</f>
        <v>0</v>
      </c>
      <c r="Z443" s="49">
        <f ca="1">ABS(M443-(controls!$B$9/100)*100)</f>
        <v>0</v>
      </c>
      <c r="AI443" s="40"/>
      <c r="AJ443" s="40"/>
    </row>
    <row r="444" spans="1:36">
      <c r="A444" s="48">
        <v>441</v>
      </c>
      <c r="B444" s="75">
        <f ca="1">IF(controls!$B$6=2,AVERAGE(E440:E443)+B443*W444+hystere!$AG$9,AVERAGE(E440:E443)+B443*W444)</f>
        <v>100</v>
      </c>
      <c r="C444" s="80">
        <f t="shared" ca="1" si="37"/>
        <v>0</v>
      </c>
      <c r="D444" s="105">
        <f t="shared" ca="1" si="38"/>
        <v>0</v>
      </c>
      <c r="E444" s="77">
        <f t="shared" ca="1" si="39"/>
        <v>100</v>
      </c>
      <c r="F444" s="77">
        <f ca="1">IF('main page'!$K$34=1,hystere!H444,hystere!G444)</f>
        <v>100</v>
      </c>
      <c r="G444" s="94">
        <f ca="1">I444-'main page'!$K$27*hystere!N443</f>
        <v>100</v>
      </c>
      <c r="H444" s="75">
        <f ca="1">J444-'main page'!$K$27*N443</f>
        <v>100</v>
      </c>
      <c r="I444" s="75">
        <f t="shared" ca="1" si="40"/>
        <v>108</v>
      </c>
      <c r="J444" s="75">
        <f t="shared" ca="1" si="41"/>
        <v>108</v>
      </c>
      <c r="M444" s="75">
        <f ca="1">IF(ABS('main page'!$K$29*M443+(1-'main page'!$K$29)*(controls!$B$9/100)*100+'main page'!$K$25*(E444-B444)-M443)&lt;0.0000001,M443,'main page'!$K$29*M443+(1-'main page'!$K$29)*(controls!$B$9/100)*100+'main page'!$K$25*(E444-B444))</f>
        <v>2</v>
      </c>
      <c r="N444" s="75">
        <f ca="1">IF(controls!$B$10=1,N443,O444-'main page'!$K$29*M444-(1-'main page'!$K$29)*controls!$B$9)</f>
        <v>4</v>
      </c>
      <c r="O444" s="74">
        <f t="shared" ca="1" si="36"/>
        <v>6</v>
      </c>
      <c r="P444" s="76">
        <f ca="1">IF(controls!$B$10=1,hystere!N444+hystere!M444,hystere!Q444)</f>
        <v>6</v>
      </c>
      <c r="Q444" s="74">
        <f ca="1">IF('main page'!$Y$53=1,'choose m.p.'!$I$22*100,R444)</f>
        <v>6</v>
      </c>
      <c r="R444" s="100">
        <f ca="1">'main page'!$K$29*M444+(1-'main page'!$K$29)*controls!$B$9+S444+(('main page'!$K$25*'main page'!$U$13*'main page'!$K$29)/('main page'!$K$27*(1+('main page'!$K$25^2)*'main page'!$U$13)))*(M444-(controls!$B$9/100)*100)</f>
        <v>6</v>
      </c>
      <c r="S444" s="98">
        <f ca="1">IF(controls!$B$33=1,(J445-E444*X445-B444)/'main page'!$K$27,(I445-E444*X445-B444)/'main page'!$K$27)</f>
        <v>4</v>
      </c>
      <c r="U444" s="71">
        <f>IF(controls!$B$6=1,$AG$4*(1+('main page'!$K$35/100))^V444-$AG$4*(1+('main page'!$K$35/100))^V443,$AG$4*(1+('main page'!$G$8/100))*(1+('main page'!$K$35/100))^V444-$AG$4*(1+('main page'!$G$8/100))*(1+('main page'!$K$35/100))^V443)</f>
        <v>0</v>
      </c>
      <c r="V444" s="73">
        <v>436</v>
      </c>
      <c r="W444" s="40">
        <f ca="1">'normal case'!V443</f>
        <v>0</v>
      </c>
      <c r="X444" s="40">
        <f ca="1">'normal case'!W443</f>
        <v>0</v>
      </c>
      <c r="Y444" s="49">
        <f ca="1">IF(controls!$B$33=1,E444-($J$4-'main page'!$K$27*2)*(1+('main page'!$K$35/100))^A443,E444-$AG$5)</f>
        <v>0</v>
      </c>
      <c r="Z444" s="49">
        <f ca="1">ABS(M444-(controls!$B$9/100)*100)</f>
        <v>0</v>
      </c>
      <c r="AI444" s="40"/>
      <c r="AJ444" s="40"/>
    </row>
    <row r="445" spans="1:36">
      <c r="A445" s="48">
        <v>442</v>
      </c>
      <c r="B445" s="75">
        <f ca="1">IF(controls!$B$6=2,AVERAGE(E441:E444)+B444*W445+hystere!$AG$9,AVERAGE(E441:E444)+B444*W445)</f>
        <v>100</v>
      </c>
      <c r="C445" s="80">
        <f t="shared" ca="1" si="37"/>
        <v>0</v>
      </c>
      <c r="D445" s="105">
        <f t="shared" ca="1" si="38"/>
        <v>0</v>
      </c>
      <c r="E445" s="77">
        <f t="shared" ca="1" si="39"/>
        <v>100</v>
      </c>
      <c r="F445" s="77">
        <f ca="1">IF('main page'!$K$34=1,hystere!H445,hystere!G445)</f>
        <v>100</v>
      </c>
      <c r="G445" s="94">
        <f ca="1">I445-'main page'!$K$27*hystere!N444</f>
        <v>100</v>
      </c>
      <c r="H445" s="75">
        <f ca="1">J445-'main page'!$K$27*N444</f>
        <v>100</v>
      </c>
      <c r="I445" s="75">
        <f t="shared" ca="1" si="40"/>
        <v>108</v>
      </c>
      <c r="J445" s="75">
        <f t="shared" ca="1" si="41"/>
        <v>108</v>
      </c>
      <c r="M445" s="75">
        <f ca="1">IF(ABS('main page'!$K$29*M444+(1-'main page'!$K$29)*(controls!$B$9/100)*100+'main page'!$K$25*(E445-B445)-M444)&lt;0.0000001,M444,'main page'!$K$29*M444+(1-'main page'!$K$29)*(controls!$B$9/100)*100+'main page'!$K$25*(E445-B445))</f>
        <v>2</v>
      </c>
      <c r="N445" s="75">
        <f ca="1">IF(controls!$B$10=1,N444,O445-'main page'!$K$29*M445-(1-'main page'!$K$29)*controls!$B$9)</f>
        <v>4</v>
      </c>
      <c r="O445" s="74">
        <f t="shared" ca="1" si="36"/>
        <v>6</v>
      </c>
      <c r="P445" s="76">
        <f ca="1">IF(controls!$B$10=1,hystere!N445+hystere!M445,hystere!Q445)</f>
        <v>6</v>
      </c>
      <c r="Q445" s="74">
        <f ca="1">IF('main page'!$Y$53=1,'choose m.p.'!$I$22*100,R445)</f>
        <v>6</v>
      </c>
      <c r="R445" s="100">
        <f ca="1">'main page'!$K$29*M445+(1-'main page'!$K$29)*controls!$B$9+S445+(('main page'!$K$25*'main page'!$U$13*'main page'!$K$29)/('main page'!$K$27*(1+('main page'!$K$25^2)*'main page'!$U$13)))*(M445-(controls!$B$9/100)*100)</f>
        <v>6</v>
      </c>
      <c r="S445" s="98">
        <f ca="1">IF(controls!$B$33=1,(J446-E445*X446-B445)/'main page'!$K$27,(I446-E445*X446-B445)/'main page'!$K$27)</f>
        <v>4</v>
      </c>
      <c r="U445" s="71">
        <f>IF(controls!$B$6=1,$AG$4*(1+('main page'!$K$35/100))^V445-$AG$4*(1+('main page'!$K$35/100))^V444,$AG$4*(1+('main page'!$G$8/100))*(1+('main page'!$K$35/100))^V445-$AG$4*(1+('main page'!$G$8/100))*(1+('main page'!$K$35/100))^V444)</f>
        <v>0</v>
      </c>
      <c r="V445" s="73">
        <v>437</v>
      </c>
      <c r="W445" s="40">
        <f>'normal case'!V444</f>
        <v>0</v>
      </c>
      <c r="X445" s="40">
        <f>'normal case'!W444</f>
        <v>0</v>
      </c>
      <c r="Y445" s="49">
        <f ca="1">IF(controls!$B$33=1,E445-($J$4-'main page'!$K$27*2)*(1+('main page'!$K$35/100))^A444,E445-$AG$5)</f>
        <v>0</v>
      </c>
      <c r="Z445" s="49">
        <f ca="1">ABS(M445-(controls!$B$9/100)*100)</f>
        <v>0</v>
      </c>
      <c r="AI445" s="40"/>
      <c r="AJ445" s="40"/>
    </row>
    <row r="446" spans="1:36">
      <c r="A446" s="48">
        <v>443</v>
      </c>
      <c r="B446" s="75">
        <f ca="1">IF(controls!$B$6=2,AVERAGE(E442:E445)+B445*W446+hystere!$AG$9,AVERAGE(E442:E445)+B445*W446)</f>
        <v>100</v>
      </c>
      <c r="C446" s="80">
        <f t="shared" ca="1" si="37"/>
        <v>0</v>
      </c>
      <c r="D446" s="105">
        <f t="shared" ca="1" si="38"/>
        <v>0</v>
      </c>
      <c r="E446" s="77">
        <f t="shared" ca="1" si="39"/>
        <v>100</v>
      </c>
      <c r="F446" s="77">
        <f ca="1">IF('main page'!$K$34=1,hystere!H446,hystere!G446)</f>
        <v>100</v>
      </c>
      <c r="G446" s="94">
        <f ca="1">I446-'main page'!$K$27*hystere!N445</f>
        <v>100</v>
      </c>
      <c r="H446" s="75">
        <f ca="1">J446-'main page'!$K$27*N445</f>
        <v>100</v>
      </c>
      <c r="I446" s="75">
        <f t="shared" ca="1" si="40"/>
        <v>108</v>
      </c>
      <c r="J446" s="75">
        <f t="shared" ca="1" si="41"/>
        <v>108</v>
      </c>
      <c r="M446" s="75">
        <f ca="1">IF(ABS('main page'!$K$29*M445+(1-'main page'!$K$29)*(controls!$B$9/100)*100+'main page'!$K$25*(E446-B446)-M445)&lt;0.0000001,M445,'main page'!$K$29*M445+(1-'main page'!$K$29)*(controls!$B$9/100)*100+'main page'!$K$25*(E446-B446))</f>
        <v>2</v>
      </c>
      <c r="N446" s="75">
        <f ca="1">IF(controls!$B$10=1,N445,O446-'main page'!$K$29*M446-(1-'main page'!$K$29)*controls!$B$9)</f>
        <v>4</v>
      </c>
      <c r="O446" s="74">
        <f t="shared" ca="1" si="36"/>
        <v>6</v>
      </c>
      <c r="P446" s="76">
        <f ca="1">IF(controls!$B$10=1,hystere!N446+hystere!M446,hystere!Q446)</f>
        <v>6</v>
      </c>
      <c r="Q446" s="74">
        <f ca="1">IF('main page'!$Y$53=1,'choose m.p.'!$I$22*100,R446)</f>
        <v>6</v>
      </c>
      <c r="R446" s="100">
        <f ca="1">'main page'!$K$29*M446+(1-'main page'!$K$29)*controls!$B$9+S446+(('main page'!$K$25*'main page'!$U$13*'main page'!$K$29)/('main page'!$K$27*(1+('main page'!$K$25^2)*'main page'!$U$13)))*(M446-(controls!$B$9/100)*100)</f>
        <v>6</v>
      </c>
      <c r="S446" s="98">
        <f ca="1">IF(controls!$B$33=1,(J447-E446*X447-B446)/'main page'!$K$27,(I447-E446*X447-B446)/'main page'!$K$27)</f>
        <v>4</v>
      </c>
      <c r="U446" s="71">
        <f>IF(controls!$B$6=1,$AG$4*(1+('main page'!$K$35/100))^V446-$AG$4*(1+('main page'!$K$35/100))^V445,$AG$4*(1+('main page'!$G$8/100))*(1+('main page'!$K$35/100))^V446-$AG$4*(1+('main page'!$G$8/100))*(1+('main page'!$K$35/100))^V445)</f>
        <v>0</v>
      </c>
      <c r="V446" s="73">
        <v>438</v>
      </c>
      <c r="W446" s="40">
        <f>'normal case'!V445</f>
        <v>0</v>
      </c>
      <c r="X446" s="40">
        <f>'normal case'!W445</f>
        <v>0</v>
      </c>
      <c r="Y446" s="49">
        <f ca="1">IF(controls!$B$33=1,E446-($J$4-'main page'!$K$27*2)*(1+('main page'!$K$35/100))^A445,E446-$AG$5)</f>
        <v>0</v>
      </c>
      <c r="Z446" s="49">
        <f ca="1">ABS(M446-(controls!$B$9/100)*100)</f>
        <v>0</v>
      </c>
      <c r="AI446" s="40"/>
      <c r="AJ446" s="40"/>
    </row>
    <row r="447" spans="1:36">
      <c r="A447" s="48">
        <v>444</v>
      </c>
      <c r="B447" s="75">
        <f ca="1">IF(controls!$B$6=2,AVERAGE(E443:E446)+B446*W447+hystere!$AG$9,AVERAGE(E443:E446)+B446*W447)</f>
        <v>100</v>
      </c>
      <c r="C447" s="80">
        <f t="shared" ca="1" si="37"/>
        <v>0</v>
      </c>
      <c r="D447" s="105">
        <f t="shared" ca="1" si="38"/>
        <v>0</v>
      </c>
      <c r="E447" s="77">
        <f t="shared" ca="1" si="39"/>
        <v>100</v>
      </c>
      <c r="F447" s="77">
        <f ca="1">IF('main page'!$K$34=1,hystere!H447,hystere!G447)</f>
        <v>100</v>
      </c>
      <c r="G447" s="94">
        <f ca="1">I447-'main page'!$K$27*hystere!N446</f>
        <v>100</v>
      </c>
      <c r="H447" s="75">
        <f ca="1">J447-'main page'!$K$27*N446</f>
        <v>100</v>
      </c>
      <c r="I447" s="75">
        <f t="shared" ca="1" si="40"/>
        <v>108</v>
      </c>
      <c r="J447" s="75">
        <f t="shared" ca="1" si="41"/>
        <v>108</v>
      </c>
      <c r="M447" s="75">
        <f ca="1">IF(ABS('main page'!$K$29*M446+(1-'main page'!$K$29)*(controls!$B$9/100)*100+'main page'!$K$25*(E447-B447)-M446)&lt;0.0000001,M446,'main page'!$K$29*M446+(1-'main page'!$K$29)*(controls!$B$9/100)*100+'main page'!$K$25*(E447-B447))</f>
        <v>2</v>
      </c>
      <c r="N447" s="75">
        <f ca="1">IF(controls!$B$10=1,N446,O447-'main page'!$K$29*M447-(1-'main page'!$K$29)*controls!$B$9)</f>
        <v>4</v>
      </c>
      <c r="O447" s="74">
        <f t="shared" ca="1" si="36"/>
        <v>6</v>
      </c>
      <c r="P447" s="76">
        <f ca="1">IF(controls!$B$10=1,hystere!N447+hystere!M447,hystere!Q447)</f>
        <v>6</v>
      </c>
      <c r="Q447" s="74">
        <f ca="1">IF('main page'!$Y$53=1,'choose m.p.'!$I$22*100,R447)</f>
        <v>6</v>
      </c>
      <c r="R447" s="100">
        <f ca="1">'main page'!$K$29*M447+(1-'main page'!$K$29)*controls!$B$9+S447+(('main page'!$K$25*'main page'!$U$13*'main page'!$K$29)/('main page'!$K$27*(1+('main page'!$K$25^2)*'main page'!$U$13)))*(M447-(controls!$B$9/100)*100)</f>
        <v>6</v>
      </c>
      <c r="S447" s="98">
        <f ca="1">IF(controls!$B$33=1,(J448-E447*X448-B447)/'main page'!$K$27,(I448-E447*X448-B447)/'main page'!$K$27)</f>
        <v>4</v>
      </c>
      <c r="U447" s="71">
        <f>IF(controls!$B$6=1,$AG$4*(1+('main page'!$K$35/100))^V447-$AG$4*(1+('main page'!$K$35/100))^V446,$AG$4*(1+('main page'!$G$8/100))*(1+('main page'!$K$35/100))^V447-$AG$4*(1+('main page'!$G$8/100))*(1+('main page'!$K$35/100))^V446)</f>
        <v>0</v>
      </c>
      <c r="V447" s="73">
        <v>439</v>
      </c>
      <c r="W447" s="40">
        <f ca="1">'normal case'!V446</f>
        <v>0</v>
      </c>
      <c r="X447" s="40">
        <f ca="1">'normal case'!W446</f>
        <v>0</v>
      </c>
      <c r="Y447" s="49">
        <f ca="1">IF(controls!$B$33=1,E447-($J$4-'main page'!$K$27*2)*(1+('main page'!$K$35/100))^A446,E447-$AG$5)</f>
        <v>0</v>
      </c>
      <c r="Z447" s="49">
        <f ca="1">ABS(M447-(controls!$B$9/100)*100)</f>
        <v>0</v>
      </c>
      <c r="AI447" s="40"/>
      <c r="AJ447" s="40"/>
    </row>
    <row r="448" spans="1:36">
      <c r="A448" s="48">
        <v>445</v>
      </c>
      <c r="B448" s="75">
        <f ca="1">IF(controls!$B$6=2,AVERAGE(E444:E447)+B447*W448+hystere!$AG$9,AVERAGE(E444:E447)+B447*W448)</f>
        <v>100</v>
      </c>
      <c r="C448" s="80">
        <f t="shared" ca="1" si="37"/>
        <v>0</v>
      </c>
      <c r="D448" s="105">
        <f t="shared" ca="1" si="38"/>
        <v>0</v>
      </c>
      <c r="E448" s="77">
        <f t="shared" ca="1" si="39"/>
        <v>100</v>
      </c>
      <c r="F448" s="77">
        <f ca="1">IF('main page'!$K$34=1,hystere!H448,hystere!G448)</f>
        <v>100</v>
      </c>
      <c r="G448" s="94">
        <f ca="1">I448-'main page'!$K$27*hystere!N447</f>
        <v>100</v>
      </c>
      <c r="H448" s="75">
        <f ca="1">J448-'main page'!$K$27*N447</f>
        <v>100</v>
      </c>
      <c r="I448" s="75">
        <f t="shared" ca="1" si="40"/>
        <v>108</v>
      </c>
      <c r="J448" s="75">
        <f t="shared" ca="1" si="41"/>
        <v>108</v>
      </c>
      <c r="M448" s="75">
        <f ca="1">IF(ABS('main page'!$K$29*M447+(1-'main page'!$K$29)*(controls!$B$9/100)*100+'main page'!$K$25*(E448-B448)-M447)&lt;0.0000001,M447,'main page'!$K$29*M447+(1-'main page'!$K$29)*(controls!$B$9/100)*100+'main page'!$K$25*(E448-B448))</f>
        <v>2</v>
      </c>
      <c r="N448" s="75">
        <f ca="1">IF(controls!$B$10=1,N447,O448-'main page'!$K$29*M448-(1-'main page'!$K$29)*controls!$B$9)</f>
        <v>4</v>
      </c>
      <c r="O448" s="74">
        <f t="shared" ca="1" si="36"/>
        <v>6</v>
      </c>
      <c r="P448" s="76">
        <f ca="1">IF(controls!$B$10=1,hystere!N448+hystere!M448,hystere!Q448)</f>
        <v>6</v>
      </c>
      <c r="Q448" s="74">
        <f ca="1">IF('main page'!$Y$53=1,'choose m.p.'!$I$22*100,R448)</f>
        <v>6</v>
      </c>
      <c r="R448" s="100">
        <f ca="1">'main page'!$K$29*M448+(1-'main page'!$K$29)*controls!$B$9+S448+(('main page'!$K$25*'main page'!$U$13*'main page'!$K$29)/('main page'!$K$27*(1+('main page'!$K$25^2)*'main page'!$U$13)))*(M448-(controls!$B$9/100)*100)</f>
        <v>6</v>
      </c>
      <c r="S448" s="98">
        <f ca="1">IF(controls!$B$33=1,(J449-E448*X449-B448)/'main page'!$K$27,(I449-E448*X449-B448)/'main page'!$K$27)</f>
        <v>4</v>
      </c>
      <c r="U448" s="71">
        <f>IF(controls!$B$6=1,$AG$4*(1+('main page'!$K$35/100))^V448-$AG$4*(1+('main page'!$K$35/100))^V447,$AG$4*(1+('main page'!$G$8/100))*(1+('main page'!$K$35/100))^V448-$AG$4*(1+('main page'!$G$8/100))*(1+('main page'!$K$35/100))^V447)</f>
        <v>0</v>
      </c>
      <c r="V448" s="73">
        <v>440</v>
      </c>
      <c r="W448" s="40">
        <f>'normal case'!V447</f>
        <v>0</v>
      </c>
      <c r="X448" s="40">
        <f>'normal case'!W447</f>
        <v>0</v>
      </c>
      <c r="Y448" s="49">
        <f ca="1">IF(controls!$B$33=1,E448-($J$4-'main page'!$K$27*2)*(1+('main page'!$K$35/100))^A447,E448-$AG$5)</f>
        <v>0</v>
      </c>
      <c r="Z448" s="49">
        <f ca="1">ABS(M448-(controls!$B$9/100)*100)</f>
        <v>0</v>
      </c>
      <c r="AI448" s="40"/>
      <c r="AJ448" s="40"/>
    </row>
    <row r="449" spans="1:36">
      <c r="A449" s="48">
        <v>446</v>
      </c>
      <c r="B449" s="75">
        <f ca="1">IF(controls!$B$6=2,AVERAGE(E445:E448)+B448*W449+hystere!$AG$9,AVERAGE(E445:E448)+B448*W449)</f>
        <v>100</v>
      </c>
      <c r="C449" s="80">
        <f t="shared" ca="1" si="37"/>
        <v>0</v>
      </c>
      <c r="D449" s="105">
        <f t="shared" ca="1" si="38"/>
        <v>0</v>
      </c>
      <c r="E449" s="77">
        <f t="shared" ca="1" si="39"/>
        <v>100</v>
      </c>
      <c r="F449" s="77">
        <f ca="1">IF('main page'!$K$34=1,hystere!H449,hystere!G449)</f>
        <v>100</v>
      </c>
      <c r="G449" s="94">
        <f ca="1">I449-'main page'!$K$27*hystere!N448</f>
        <v>100</v>
      </c>
      <c r="H449" s="75">
        <f ca="1">J449-'main page'!$K$27*N448</f>
        <v>100</v>
      </c>
      <c r="I449" s="75">
        <f t="shared" ca="1" si="40"/>
        <v>108</v>
      </c>
      <c r="J449" s="75">
        <f t="shared" ca="1" si="41"/>
        <v>108</v>
      </c>
      <c r="M449" s="75">
        <f ca="1">IF(ABS('main page'!$K$29*M448+(1-'main page'!$K$29)*(controls!$B$9/100)*100+'main page'!$K$25*(E449-B449)-M448)&lt;0.0000001,M448,'main page'!$K$29*M448+(1-'main page'!$K$29)*(controls!$B$9/100)*100+'main page'!$K$25*(E449-B449))</f>
        <v>2</v>
      </c>
      <c r="N449" s="75">
        <f ca="1">IF(controls!$B$10=1,N448,O449-'main page'!$K$29*M449-(1-'main page'!$K$29)*controls!$B$9)</f>
        <v>4</v>
      </c>
      <c r="O449" s="74">
        <f t="shared" ca="1" si="36"/>
        <v>6</v>
      </c>
      <c r="P449" s="76">
        <f ca="1">IF(controls!$B$10=1,hystere!N449+hystere!M449,hystere!Q449)</f>
        <v>6</v>
      </c>
      <c r="Q449" s="74">
        <f ca="1">IF('main page'!$Y$53=1,'choose m.p.'!$I$22*100,R449)</f>
        <v>6</v>
      </c>
      <c r="R449" s="100">
        <f ca="1">'main page'!$K$29*M449+(1-'main page'!$K$29)*controls!$B$9+S449+(('main page'!$K$25*'main page'!$U$13*'main page'!$K$29)/('main page'!$K$27*(1+('main page'!$K$25^2)*'main page'!$U$13)))*(M449-(controls!$B$9/100)*100)</f>
        <v>6</v>
      </c>
      <c r="S449" s="98">
        <f ca="1">IF(controls!$B$33=1,(J450-E449*X450-B449)/'main page'!$K$27,(I450-E449*X450-B449)/'main page'!$K$27)</f>
        <v>4</v>
      </c>
      <c r="U449" s="71">
        <f>IF(controls!$B$6=1,$AG$4*(1+('main page'!$K$35/100))^V449-$AG$4*(1+('main page'!$K$35/100))^V448,$AG$4*(1+('main page'!$G$8/100))*(1+('main page'!$K$35/100))^V449-$AG$4*(1+('main page'!$G$8/100))*(1+('main page'!$K$35/100))^V448)</f>
        <v>0</v>
      </c>
      <c r="V449" s="73">
        <v>441</v>
      </c>
      <c r="W449" s="40">
        <f>'normal case'!V448</f>
        <v>0</v>
      </c>
      <c r="X449" s="40">
        <f>'normal case'!W448</f>
        <v>0</v>
      </c>
      <c r="Y449" s="49">
        <f ca="1">IF(controls!$B$33=1,E449-($J$4-'main page'!$K$27*2)*(1+('main page'!$K$35/100))^A448,E449-$AG$5)</f>
        <v>0</v>
      </c>
      <c r="Z449" s="49">
        <f ca="1">ABS(M449-(controls!$B$9/100)*100)</f>
        <v>0</v>
      </c>
      <c r="AI449" s="40"/>
      <c r="AJ449" s="40"/>
    </row>
    <row r="450" spans="1:36">
      <c r="A450" s="48">
        <v>447</v>
      </c>
      <c r="B450" s="75">
        <f ca="1">IF(controls!$B$6=2,AVERAGE(E446:E449)+B449*W450+hystere!$AG$9,AVERAGE(E446:E449)+B449*W450)</f>
        <v>100</v>
      </c>
      <c r="C450" s="80">
        <f t="shared" ca="1" si="37"/>
        <v>0</v>
      </c>
      <c r="D450" s="105">
        <f t="shared" ca="1" si="38"/>
        <v>0</v>
      </c>
      <c r="E450" s="77">
        <f t="shared" ca="1" si="39"/>
        <v>100</v>
      </c>
      <c r="F450" s="77">
        <f ca="1">IF('main page'!$K$34=1,hystere!H450,hystere!G450)</f>
        <v>100</v>
      </c>
      <c r="G450" s="94">
        <f ca="1">I450-'main page'!$K$27*hystere!N449</f>
        <v>100</v>
      </c>
      <c r="H450" s="75">
        <f ca="1">J450-'main page'!$K$27*N449</f>
        <v>100</v>
      </c>
      <c r="I450" s="75">
        <f t="shared" ca="1" si="40"/>
        <v>108</v>
      </c>
      <c r="J450" s="75">
        <f t="shared" ca="1" si="41"/>
        <v>108</v>
      </c>
      <c r="M450" s="75">
        <f ca="1">IF(ABS('main page'!$K$29*M449+(1-'main page'!$K$29)*(controls!$B$9/100)*100+'main page'!$K$25*(E450-B450)-M449)&lt;0.0000001,M449,'main page'!$K$29*M449+(1-'main page'!$K$29)*(controls!$B$9/100)*100+'main page'!$K$25*(E450-B450))</f>
        <v>2</v>
      </c>
      <c r="N450" s="75">
        <f ca="1">IF(controls!$B$10=1,N449,O450-'main page'!$K$29*M450-(1-'main page'!$K$29)*controls!$B$9)</f>
        <v>4</v>
      </c>
      <c r="O450" s="74">
        <f t="shared" ca="1" si="36"/>
        <v>6</v>
      </c>
      <c r="P450" s="76">
        <f ca="1">IF(controls!$B$10=1,hystere!N450+hystere!M450,hystere!Q450)</f>
        <v>6</v>
      </c>
      <c r="Q450" s="74">
        <f ca="1">IF('main page'!$Y$53=1,'choose m.p.'!$I$22*100,R450)</f>
        <v>6</v>
      </c>
      <c r="R450" s="100">
        <f ca="1">'main page'!$K$29*M450+(1-'main page'!$K$29)*controls!$B$9+S450+(('main page'!$K$25*'main page'!$U$13*'main page'!$K$29)/('main page'!$K$27*(1+('main page'!$K$25^2)*'main page'!$U$13)))*(M450-(controls!$B$9/100)*100)</f>
        <v>6</v>
      </c>
      <c r="S450" s="98">
        <f ca="1">IF(controls!$B$33=1,(J451-E450*X451-B450)/'main page'!$K$27,(I451-E450*X451-B450)/'main page'!$K$27)</f>
        <v>4</v>
      </c>
      <c r="U450" s="71">
        <f>IF(controls!$B$6=1,$AG$4*(1+('main page'!$K$35/100))^V450-$AG$4*(1+('main page'!$K$35/100))^V449,$AG$4*(1+('main page'!$G$8/100))*(1+('main page'!$K$35/100))^V450-$AG$4*(1+('main page'!$G$8/100))*(1+('main page'!$K$35/100))^V449)</f>
        <v>0</v>
      </c>
      <c r="V450" s="73">
        <v>442</v>
      </c>
      <c r="W450" s="40">
        <f ca="1">'normal case'!V449</f>
        <v>0</v>
      </c>
      <c r="X450" s="40">
        <f ca="1">'normal case'!W449</f>
        <v>0</v>
      </c>
      <c r="Y450" s="49">
        <f ca="1">IF(controls!$B$33=1,E450-($J$4-'main page'!$K$27*2)*(1+('main page'!$K$35/100))^A449,E450-$AG$5)</f>
        <v>0</v>
      </c>
      <c r="Z450" s="49">
        <f ca="1">ABS(M450-(controls!$B$9/100)*100)</f>
        <v>0</v>
      </c>
      <c r="AI450" s="40"/>
      <c r="AJ450" s="40"/>
    </row>
    <row r="451" spans="1:36">
      <c r="A451" s="48">
        <v>448</v>
      </c>
      <c r="B451" s="75">
        <f ca="1">IF(controls!$B$6=2,AVERAGE(E447:E450)+B450*W451+hystere!$AG$9,AVERAGE(E447:E450)+B450*W451)</f>
        <v>100</v>
      </c>
      <c r="C451" s="80">
        <f t="shared" ca="1" si="37"/>
        <v>0</v>
      </c>
      <c r="D451" s="105">
        <f t="shared" ca="1" si="38"/>
        <v>0</v>
      </c>
      <c r="E451" s="77">
        <f t="shared" ca="1" si="39"/>
        <v>100</v>
      </c>
      <c r="F451" s="77">
        <f ca="1">IF('main page'!$K$34=1,hystere!H451,hystere!G451)</f>
        <v>100</v>
      </c>
      <c r="G451" s="94">
        <f ca="1">I451-'main page'!$K$27*hystere!N450</f>
        <v>100</v>
      </c>
      <c r="H451" s="75">
        <f ca="1">J451-'main page'!$K$27*N450</f>
        <v>100</v>
      </c>
      <c r="I451" s="75">
        <f t="shared" ca="1" si="40"/>
        <v>108</v>
      </c>
      <c r="J451" s="75">
        <f t="shared" ca="1" si="41"/>
        <v>108</v>
      </c>
      <c r="M451" s="75">
        <f ca="1">IF(ABS('main page'!$K$29*M450+(1-'main page'!$K$29)*(controls!$B$9/100)*100+'main page'!$K$25*(E451-B451)-M450)&lt;0.0000001,M450,'main page'!$K$29*M450+(1-'main page'!$K$29)*(controls!$B$9/100)*100+'main page'!$K$25*(E451-B451))</f>
        <v>2</v>
      </c>
      <c r="N451" s="75">
        <f ca="1">IF(controls!$B$10=1,N450,O451-'main page'!$K$29*M451-(1-'main page'!$K$29)*controls!$B$9)</f>
        <v>4</v>
      </c>
      <c r="O451" s="74">
        <f t="shared" ca="1" si="36"/>
        <v>6</v>
      </c>
      <c r="P451" s="76">
        <f ca="1">IF(controls!$B$10=1,hystere!N451+hystere!M451,hystere!Q451)</f>
        <v>6</v>
      </c>
      <c r="Q451" s="74">
        <f ca="1">IF('main page'!$Y$53=1,'choose m.p.'!$I$22*100,R451)</f>
        <v>6</v>
      </c>
      <c r="R451" s="100">
        <f ca="1">'main page'!$K$29*M451+(1-'main page'!$K$29)*controls!$B$9+S451+(('main page'!$K$25*'main page'!$U$13*'main page'!$K$29)/('main page'!$K$27*(1+('main page'!$K$25^2)*'main page'!$U$13)))*(M451-(controls!$B$9/100)*100)</f>
        <v>6</v>
      </c>
      <c r="S451" s="98">
        <f ca="1">IF(controls!$B$33=1,(J452-E451*X452-B451)/'main page'!$K$27,(I452-E451*X452-B451)/'main page'!$K$27)</f>
        <v>4</v>
      </c>
      <c r="U451" s="71">
        <f>IF(controls!$B$6=1,$AG$4*(1+('main page'!$K$35/100))^V451-$AG$4*(1+('main page'!$K$35/100))^V450,$AG$4*(1+('main page'!$G$8/100))*(1+('main page'!$K$35/100))^V451-$AG$4*(1+('main page'!$G$8/100))*(1+('main page'!$K$35/100))^V450)</f>
        <v>0</v>
      </c>
      <c r="V451" s="73">
        <v>443</v>
      </c>
      <c r="W451" s="40">
        <f>'normal case'!V450</f>
        <v>0</v>
      </c>
      <c r="X451" s="40">
        <f>'normal case'!W450</f>
        <v>0</v>
      </c>
      <c r="Y451" s="49">
        <f ca="1">IF(controls!$B$33=1,E451-($J$4-'main page'!$K$27*2)*(1+('main page'!$K$35/100))^A450,E451-$AG$5)</f>
        <v>0</v>
      </c>
      <c r="Z451" s="49">
        <f ca="1">ABS(M451-(controls!$B$9/100)*100)</f>
        <v>0</v>
      </c>
      <c r="AI451" s="40"/>
      <c r="AJ451" s="40"/>
    </row>
    <row r="452" spans="1:36">
      <c r="A452" s="48">
        <v>449</v>
      </c>
      <c r="B452" s="75">
        <f ca="1">IF(controls!$B$6=2,AVERAGE(E448:E451)+B451*W452+hystere!$AG$9,AVERAGE(E448:E451)+B451*W452)</f>
        <v>100</v>
      </c>
      <c r="C452" s="80">
        <f t="shared" ca="1" si="37"/>
        <v>0</v>
      </c>
      <c r="D452" s="105">
        <f t="shared" ca="1" si="38"/>
        <v>0</v>
      </c>
      <c r="E452" s="77">
        <f t="shared" ca="1" si="39"/>
        <v>100</v>
      </c>
      <c r="F452" s="77">
        <f ca="1">IF('main page'!$K$34=1,hystere!H452,hystere!G452)</f>
        <v>100</v>
      </c>
      <c r="G452" s="94">
        <f ca="1">I452-'main page'!$K$27*hystere!N451</f>
        <v>100</v>
      </c>
      <c r="H452" s="75">
        <f ca="1">J452-'main page'!$K$27*N451</f>
        <v>100</v>
      </c>
      <c r="I452" s="75">
        <f t="shared" ca="1" si="40"/>
        <v>108</v>
      </c>
      <c r="J452" s="75">
        <f t="shared" ca="1" si="41"/>
        <v>108</v>
      </c>
      <c r="M452" s="75">
        <f ca="1">IF(ABS('main page'!$K$29*M451+(1-'main page'!$K$29)*(controls!$B$9/100)*100+'main page'!$K$25*(E452-B452)-M451)&lt;0.0000001,M451,'main page'!$K$29*M451+(1-'main page'!$K$29)*(controls!$B$9/100)*100+'main page'!$K$25*(E452-B452))</f>
        <v>2</v>
      </c>
      <c r="N452" s="75">
        <f ca="1">IF(controls!$B$10=1,N451,O452-'main page'!$K$29*M452-(1-'main page'!$K$29)*controls!$B$9)</f>
        <v>4</v>
      </c>
      <c r="O452" s="74">
        <f t="shared" ref="O452:O503" ca="1" si="42">IF(P452&lt;0,0,P452)</f>
        <v>6</v>
      </c>
      <c r="P452" s="76">
        <f ca="1">IF(controls!$B$10=1,hystere!N452+hystere!M452,hystere!Q452)</f>
        <v>6</v>
      </c>
      <c r="Q452" s="74">
        <f ca="1">IF('main page'!$Y$53=1,'choose m.p.'!$I$22*100,R452)</f>
        <v>6</v>
      </c>
      <c r="R452" s="100">
        <f ca="1">'main page'!$K$29*M452+(1-'main page'!$K$29)*controls!$B$9+S452+(('main page'!$K$25*'main page'!$U$13*'main page'!$K$29)/('main page'!$K$27*(1+('main page'!$K$25^2)*'main page'!$U$13)))*(M452-(controls!$B$9/100)*100)</f>
        <v>6</v>
      </c>
      <c r="S452" s="98">
        <f ca="1">IF(controls!$B$33=1,(J453-E452*X453-B452)/'main page'!$K$27,(I453-E452*X453-B452)/'main page'!$K$27)</f>
        <v>4</v>
      </c>
      <c r="U452" s="71">
        <f>IF(controls!$B$6=1,$AG$4*(1+('main page'!$K$35/100))^V452-$AG$4*(1+('main page'!$K$35/100))^V451,$AG$4*(1+('main page'!$G$8/100))*(1+('main page'!$K$35/100))^V452-$AG$4*(1+('main page'!$G$8/100))*(1+('main page'!$K$35/100))^V451)</f>
        <v>0</v>
      </c>
      <c r="V452" s="73">
        <v>444</v>
      </c>
      <c r="W452" s="40">
        <f>'normal case'!V451</f>
        <v>0</v>
      </c>
      <c r="X452" s="40">
        <f>'normal case'!W451</f>
        <v>0</v>
      </c>
      <c r="Y452" s="49">
        <f ca="1">IF(controls!$B$33=1,E452-($J$4-'main page'!$K$27*2)*(1+('main page'!$K$35/100))^A451,E452-$AG$5)</f>
        <v>0</v>
      </c>
      <c r="Z452" s="49">
        <f ca="1">ABS(M452-(controls!$B$9/100)*100)</f>
        <v>0</v>
      </c>
      <c r="AI452" s="40"/>
      <c r="AJ452" s="40"/>
    </row>
    <row r="453" spans="1:36">
      <c r="A453" s="48">
        <v>450</v>
      </c>
      <c r="B453" s="75">
        <f ca="1">IF(controls!$B$6=2,AVERAGE(E449:E452)+B452*W453+hystere!$AG$9,AVERAGE(E449:E452)+B452*W453)</f>
        <v>100</v>
      </c>
      <c r="C453" s="80">
        <f t="shared" ref="C453:C503" ca="1" si="43">E453/E452-1</f>
        <v>0</v>
      </c>
      <c r="D453" s="105">
        <f t="shared" ref="D453:D503" ca="1" si="44">E453-B453</f>
        <v>0</v>
      </c>
      <c r="E453" s="77">
        <f t="shared" ref="E453:E503" ca="1" si="45">IF(F453&gt;0,F453,0.1)</f>
        <v>100</v>
      </c>
      <c r="F453" s="77">
        <f ca="1">IF('main page'!$K$34=1,hystere!H453,hystere!G453)</f>
        <v>100</v>
      </c>
      <c r="G453" s="94">
        <f ca="1">I453-'main page'!$K$27*hystere!N452</f>
        <v>100</v>
      </c>
      <c r="H453" s="75">
        <f ca="1">J453-'main page'!$K$27*N452</f>
        <v>100</v>
      </c>
      <c r="I453" s="75">
        <f t="shared" ca="1" si="40"/>
        <v>108</v>
      </c>
      <c r="J453" s="75">
        <f t="shared" ca="1" si="41"/>
        <v>108</v>
      </c>
      <c r="M453" s="75">
        <f ca="1">IF(ABS('main page'!$K$29*M452+(1-'main page'!$K$29)*(controls!$B$9/100)*100+'main page'!$K$25*(E453-B453)-M452)&lt;0.0000001,M452,'main page'!$K$29*M452+(1-'main page'!$K$29)*(controls!$B$9/100)*100+'main page'!$K$25*(E453-B453))</f>
        <v>2</v>
      </c>
      <c r="N453" s="75">
        <f ca="1">IF(controls!$B$10=1,N452,O453-'main page'!$K$29*M453-(1-'main page'!$K$29)*controls!$B$9)</f>
        <v>4</v>
      </c>
      <c r="O453" s="74">
        <f t="shared" ca="1" si="42"/>
        <v>6</v>
      </c>
      <c r="P453" s="76">
        <f ca="1">IF(controls!$B$10=1,hystere!N453+hystere!M453,hystere!Q453)</f>
        <v>6</v>
      </c>
      <c r="Q453" s="74">
        <f ca="1">IF('main page'!$Y$53=1,'choose m.p.'!$I$22*100,R453)</f>
        <v>6</v>
      </c>
      <c r="R453" s="100">
        <f ca="1">'main page'!$K$29*M453+(1-'main page'!$K$29)*controls!$B$9+S453+(('main page'!$K$25*'main page'!$U$13*'main page'!$K$29)/('main page'!$K$27*(1+('main page'!$K$25^2)*'main page'!$U$13)))*(M453-(controls!$B$9/100)*100)</f>
        <v>6</v>
      </c>
      <c r="S453" s="98">
        <f ca="1">IF(controls!$B$33=1,(J454-E453*X454-B453)/'main page'!$K$27,(I454-E453*X454-B453)/'main page'!$K$27)</f>
        <v>4</v>
      </c>
      <c r="U453" s="71">
        <f>IF(controls!$B$6=1,$AG$4*(1+('main page'!$K$35/100))^V453-$AG$4*(1+('main page'!$K$35/100))^V452,$AG$4*(1+('main page'!$G$8/100))*(1+('main page'!$K$35/100))^V453-$AG$4*(1+('main page'!$G$8/100))*(1+('main page'!$K$35/100))^V452)</f>
        <v>0</v>
      </c>
      <c r="V453" s="73">
        <v>445</v>
      </c>
      <c r="W453" s="40">
        <f ca="1">'normal case'!V452</f>
        <v>0</v>
      </c>
      <c r="X453" s="40">
        <f ca="1">'normal case'!W452</f>
        <v>0</v>
      </c>
      <c r="Y453" s="49">
        <f ca="1">IF(controls!$B$33=1,E453-($J$4-'main page'!$K$27*2)*(1+('main page'!$K$35/100))^A452,E453-$AG$5)</f>
        <v>0</v>
      </c>
      <c r="Z453" s="49">
        <f ca="1">ABS(M453-(controls!$B$9/100)*100)</f>
        <v>0</v>
      </c>
      <c r="AI453" s="40"/>
      <c r="AJ453" s="40"/>
    </row>
    <row r="454" spans="1:36">
      <c r="A454" s="48">
        <v>451</v>
      </c>
      <c r="B454" s="75">
        <f ca="1">IF(controls!$B$6=2,AVERAGE(E450:E453)+B453*W454+hystere!$AG$9,AVERAGE(E450:E453)+B453*W454)</f>
        <v>100</v>
      </c>
      <c r="C454" s="80">
        <f t="shared" ca="1" si="43"/>
        <v>0</v>
      </c>
      <c r="D454" s="105">
        <f t="shared" ca="1" si="44"/>
        <v>0</v>
      </c>
      <c r="E454" s="77">
        <f t="shared" ca="1" si="45"/>
        <v>100</v>
      </c>
      <c r="F454" s="77">
        <f ca="1">IF('main page'!$K$34=1,hystere!H454,hystere!G454)</f>
        <v>100</v>
      </c>
      <c r="G454" s="94">
        <f ca="1">I454-'main page'!$K$27*hystere!N453</f>
        <v>100</v>
      </c>
      <c r="H454" s="75">
        <f ca="1">J454-'main page'!$K$27*N453</f>
        <v>100</v>
      </c>
      <c r="I454" s="75">
        <f t="shared" ca="1" si="40"/>
        <v>108</v>
      </c>
      <c r="J454" s="75">
        <f t="shared" ca="1" si="41"/>
        <v>108</v>
      </c>
      <c r="M454" s="75">
        <f ca="1">IF(ABS('main page'!$K$29*M453+(1-'main page'!$K$29)*(controls!$B$9/100)*100+'main page'!$K$25*(E454-B454)-M453)&lt;0.0000001,M453,'main page'!$K$29*M453+(1-'main page'!$K$29)*(controls!$B$9/100)*100+'main page'!$K$25*(E454-B454))</f>
        <v>2</v>
      </c>
      <c r="N454" s="75">
        <f ca="1">IF(controls!$B$10=1,N453,O454-'main page'!$K$29*M454-(1-'main page'!$K$29)*controls!$B$9)</f>
        <v>4</v>
      </c>
      <c r="O454" s="74">
        <f t="shared" ca="1" si="42"/>
        <v>6</v>
      </c>
      <c r="P454" s="76">
        <f ca="1">IF(controls!$B$10=1,hystere!N454+hystere!M454,hystere!Q454)</f>
        <v>6</v>
      </c>
      <c r="Q454" s="74">
        <f ca="1">IF('main page'!$Y$53=1,'choose m.p.'!$I$22*100,R454)</f>
        <v>6</v>
      </c>
      <c r="R454" s="100">
        <f ca="1">'main page'!$K$29*M454+(1-'main page'!$K$29)*controls!$B$9+S454+(('main page'!$K$25*'main page'!$U$13*'main page'!$K$29)/('main page'!$K$27*(1+('main page'!$K$25^2)*'main page'!$U$13)))*(M454-(controls!$B$9/100)*100)</f>
        <v>6</v>
      </c>
      <c r="S454" s="98">
        <f ca="1">IF(controls!$B$33=1,(J455-E454*X455-B454)/'main page'!$K$27,(I455-E454*X455-B454)/'main page'!$K$27)</f>
        <v>4</v>
      </c>
      <c r="U454" s="71">
        <f>IF(controls!$B$6=1,$AG$4*(1+('main page'!$K$35/100))^V454-$AG$4*(1+('main page'!$K$35/100))^V453,$AG$4*(1+('main page'!$G$8/100))*(1+('main page'!$K$35/100))^V454-$AG$4*(1+('main page'!$G$8/100))*(1+('main page'!$K$35/100))^V453)</f>
        <v>0</v>
      </c>
      <c r="V454" s="73">
        <v>446</v>
      </c>
      <c r="W454" s="40">
        <f>'normal case'!V453</f>
        <v>0</v>
      </c>
      <c r="X454" s="40">
        <f>'normal case'!W453</f>
        <v>0</v>
      </c>
      <c r="Y454" s="49">
        <f ca="1">IF(controls!$B$33=1,E454-($J$4-'main page'!$K$27*2)*(1+('main page'!$K$35/100))^A453,E454-$AG$5)</f>
        <v>0</v>
      </c>
      <c r="Z454" s="49">
        <f ca="1">ABS(M454-(controls!$B$9/100)*100)</f>
        <v>0</v>
      </c>
      <c r="AI454" s="40"/>
      <c r="AJ454" s="40"/>
    </row>
    <row r="455" spans="1:36">
      <c r="A455" s="48">
        <v>452</v>
      </c>
      <c r="B455" s="75">
        <f ca="1">IF(controls!$B$6=2,AVERAGE(E451:E454)+B454*W455+hystere!$AG$9,AVERAGE(E451:E454)+B454*W455)</f>
        <v>100</v>
      </c>
      <c r="C455" s="80">
        <f t="shared" ca="1" si="43"/>
        <v>0</v>
      </c>
      <c r="D455" s="105">
        <f t="shared" ca="1" si="44"/>
        <v>0</v>
      </c>
      <c r="E455" s="77">
        <f t="shared" ca="1" si="45"/>
        <v>100</v>
      </c>
      <c r="F455" s="77">
        <f ca="1">IF('main page'!$K$34=1,hystere!H455,hystere!G455)</f>
        <v>100</v>
      </c>
      <c r="G455" s="94">
        <f ca="1">I455-'main page'!$K$27*hystere!N454</f>
        <v>100</v>
      </c>
      <c r="H455" s="75">
        <f ca="1">J455-'main page'!$K$27*N454</f>
        <v>100</v>
      </c>
      <c r="I455" s="75">
        <f t="shared" ca="1" si="40"/>
        <v>108</v>
      </c>
      <c r="J455" s="75">
        <f t="shared" ca="1" si="41"/>
        <v>108</v>
      </c>
      <c r="M455" s="75">
        <f ca="1">IF(ABS('main page'!$K$29*M454+(1-'main page'!$K$29)*(controls!$B$9/100)*100+'main page'!$K$25*(E455-B455)-M454)&lt;0.0000001,M454,'main page'!$K$29*M454+(1-'main page'!$K$29)*(controls!$B$9/100)*100+'main page'!$K$25*(E455-B455))</f>
        <v>2</v>
      </c>
      <c r="N455" s="75">
        <f ca="1">IF(controls!$B$10=1,N454,O455-'main page'!$K$29*M455-(1-'main page'!$K$29)*controls!$B$9)</f>
        <v>4</v>
      </c>
      <c r="O455" s="74">
        <f t="shared" ca="1" si="42"/>
        <v>6</v>
      </c>
      <c r="P455" s="76">
        <f ca="1">IF(controls!$B$10=1,hystere!N455+hystere!M455,hystere!Q455)</f>
        <v>6</v>
      </c>
      <c r="Q455" s="74">
        <f ca="1">IF('main page'!$Y$53=1,'choose m.p.'!$I$22*100,R455)</f>
        <v>6</v>
      </c>
      <c r="R455" s="100">
        <f ca="1">'main page'!$K$29*M455+(1-'main page'!$K$29)*controls!$B$9+S455+(('main page'!$K$25*'main page'!$U$13*'main page'!$K$29)/('main page'!$K$27*(1+('main page'!$K$25^2)*'main page'!$U$13)))*(M455-(controls!$B$9/100)*100)</f>
        <v>6</v>
      </c>
      <c r="S455" s="98">
        <f ca="1">IF(controls!$B$33=1,(J456-E455*X456-B455)/'main page'!$K$27,(I456-E455*X456-B455)/'main page'!$K$27)</f>
        <v>4</v>
      </c>
      <c r="U455" s="71">
        <f>IF(controls!$B$6=1,$AG$4*(1+('main page'!$K$35/100))^V455-$AG$4*(1+('main page'!$K$35/100))^V454,$AG$4*(1+('main page'!$G$8/100))*(1+('main page'!$K$35/100))^V455-$AG$4*(1+('main page'!$G$8/100))*(1+('main page'!$K$35/100))^V454)</f>
        <v>0</v>
      </c>
      <c r="V455" s="73">
        <v>447</v>
      </c>
      <c r="W455" s="40">
        <f>'normal case'!V454</f>
        <v>0</v>
      </c>
      <c r="X455" s="40">
        <f>'normal case'!W454</f>
        <v>0</v>
      </c>
      <c r="Y455" s="49">
        <f ca="1">IF(controls!$B$33=1,E455-($J$4-'main page'!$K$27*2)*(1+('main page'!$K$35/100))^A454,E455-$AG$5)</f>
        <v>0</v>
      </c>
      <c r="Z455" s="49">
        <f ca="1">ABS(M455-(controls!$B$9/100)*100)</f>
        <v>0</v>
      </c>
      <c r="AI455" s="40"/>
      <c r="AJ455" s="40"/>
    </row>
    <row r="456" spans="1:36">
      <c r="A456" s="48">
        <v>453</v>
      </c>
      <c r="B456" s="75">
        <f ca="1">IF(controls!$B$6=2,AVERAGE(E452:E455)+B455*W456+hystere!$AG$9,AVERAGE(E452:E455)+B455*W456)</f>
        <v>100</v>
      </c>
      <c r="C456" s="80">
        <f t="shared" ca="1" si="43"/>
        <v>0</v>
      </c>
      <c r="D456" s="105">
        <f t="shared" ca="1" si="44"/>
        <v>0</v>
      </c>
      <c r="E456" s="77">
        <f t="shared" ca="1" si="45"/>
        <v>100</v>
      </c>
      <c r="F456" s="77">
        <f ca="1">IF('main page'!$K$34=1,hystere!H456,hystere!G456)</f>
        <v>100</v>
      </c>
      <c r="G456" s="94">
        <f ca="1">I456-'main page'!$K$27*hystere!N455</f>
        <v>100</v>
      </c>
      <c r="H456" s="75">
        <f ca="1">J456-'main page'!$K$27*N455</f>
        <v>100</v>
      </c>
      <c r="I456" s="75">
        <f t="shared" ca="1" si="40"/>
        <v>108</v>
      </c>
      <c r="J456" s="75">
        <f t="shared" ca="1" si="41"/>
        <v>108</v>
      </c>
      <c r="M456" s="75">
        <f ca="1">IF(ABS('main page'!$K$29*M455+(1-'main page'!$K$29)*(controls!$B$9/100)*100+'main page'!$K$25*(E456-B456)-M455)&lt;0.0000001,M455,'main page'!$K$29*M455+(1-'main page'!$K$29)*(controls!$B$9/100)*100+'main page'!$K$25*(E456-B456))</f>
        <v>2</v>
      </c>
      <c r="N456" s="75">
        <f ca="1">IF(controls!$B$10=1,N455,O456-'main page'!$K$29*M456-(1-'main page'!$K$29)*controls!$B$9)</f>
        <v>4</v>
      </c>
      <c r="O456" s="74">
        <f t="shared" ca="1" si="42"/>
        <v>6</v>
      </c>
      <c r="P456" s="76">
        <f ca="1">IF(controls!$B$10=1,hystere!N456+hystere!M456,hystere!Q456)</f>
        <v>6</v>
      </c>
      <c r="Q456" s="74">
        <f ca="1">IF('main page'!$Y$53=1,'choose m.p.'!$I$22*100,R456)</f>
        <v>6</v>
      </c>
      <c r="R456" s="100">
        <f ca="1">'main page'!$K$29*M456+(1-'main page'!$K$29)*controls!$B$9+S456+(('main page'!$K$25*'main page'!$U$13*'main page'!$K$29)/('main page'!$K$27*(1+('main page'!$K$25^2)*'main page'!$U$13)))*(M456-(controls!$B$9/100)*100)</f>
        <v>6</v>
      </c>
      <c r="S456" s="98">
        <f ca="1">IF(controls!$B$33=1,(J457-E456*X457-B456)/'main page'!$K$27,(I457-E456*X457-B456)/'main page'!$K$27)</f>
        <v>4</v>
      </c>
      <c r="U456" s="71">
        <f>IF(controls!$B$6=1,$AG$4*(1+('main page'!$K$35/100))^V456-$AG$4*(1+('main page'!$K$35/100))^V455,$AG$4*(1+('main page'!$G$8/100))*(1+('main page'!$K$35/100))^V456-$AG$4*(1+('main page'!$G$8/100))*(1+('main page'!$K$35/100))^V455)</f>
        <v>0</v>
      </c>
      <c r="V456" s="73">
        <v>448</v>
      </c>
      <c r="W456" s="40">
        <f ca="1">'normal case'!V455</f>
        <v>0</v>
      </c>
      <c r="X456" s="40">
        <f ca="1">'normal case'!W455</f>
        <v>0</v>
      </c>
      <c r="Y456" s="49">
        <f ca="1">IF(controls!$B$33=1,E456-($J$4-'main page'!$K$27*2)*(1+('main page'!$K$35/100))^A455,E456-$AG$5)</f>
        <v>0</v>
      </c>
      <c r="Z456" s="49">
        <f ca="1">ABS(M456-(controls!$B$9/100)*100)</f>
        <v>0</v>
      </c>
      <c r="AI456" s="40"/>
      <c r="AJ456" s="40"/>
    </row>
    <row r="457" spans="1:36">
      <c r="A457" s="48">
        <v>454</v>
      </c>
      <c r="B457" s="75">
        <f ca="1">IF(controls!$B$6=2,AVERAGE(E453:E456)+B456*W457+hystere!$AG$9,AVERAGE(E453:E456)+B456*W457)</f>
        <v>100</v>
      </c>
      <c r="C457" s="80">
        <f t="shared" ca="1" si="43"/>
        <v>0</v>
      </c>
      <c r="D457" s="105">
        <f t="shared" ca="1" si="44"/>
        <v>0</v>
      </c>
      <c r="E457" s="77">
        <f t="shared" ca="1" si="45"/>
        <v>100</v>
      </c>
      <c r="F457" s="77">
        <f ca="1">IF('main page'!$K$34=1,hystere!H457,hystere!G457)</f>
        <v>100</v>
      </c>
      <c r="G457" s="94">
        <f ca="1">I457-'main page'!$K$27*hystere!N456</f>
        <v>100</v>
      </c>
      <c r="H457" s="75">
        <f ca="1">J457-'main page'!$K$27*N456</f>
        <v>100</v>
      </c>
      <c r="I457" s="75">
        <f t="shared" ca="1" si="40"/>
        <v>108</v>
      </c>
      <c r="J457" s="75">
        <f t="shared" ca="1" si="41"/>
        <v>108</v>
      </c>
      <c r="M457" s="75">
        <f ca="1">IF(ABS('main page'!$K$29*M456+(1-'main page'!$K$29)*(controls!$B$9/100)*100+'main page'!$K$25*(E457-B457)-M456)&lt;0.0000001,M456,'main page'!$K$29*M456+(1-'main page'!$K$29)*(controls!$B$9/100)*100+'main page'!$K$25*(E457-B457))</f>
        <v>2</v>
      </c>
      <c r="N457" s="75">
        <f ca="1">IF(controls!$B$10=1,N456,O457-'main page'!$K$29*M457-(1-'main page'!$K$29)*controls!$B$9)</f>
        <v>4</v>
      </c>
      <c r="O457" s="74">
        <f t="shared" ca="1" si="42"/>
        <v>6</v>
      </c>
      <c r="P457" s="76">
        <f ca="1">IF(controls!$B$10=1,hystere!N457+hystere!M457,hystere!Q457)</f>
        <v>6</v>
      </c>
      <c r="Q457" s="74">
        <f ca="1">IF('main page'!$Y$53=1,'choose m.p.'!$I$22*100,R457)</f>
        <v>6</v>
      </c>
      <c r="R457" s="100">
        <f ca="1">'main page'!$K$29*M457+(1-'main page'!$K$29)*controls!$B$9+S457+(('main page'!$K$25*'main page'!$U$13*'main page'!$K$29)/('main page'!$K$27*(1+('main page'!$K$25^2)*'main page'!$U$13)))*(M457-(controls!$B$9/100)*100)</f>
        <v>6</v>
      </c>
      <c r="S457" s="98">
        <f ca="1">IF(controls!$B$33=1,(J458-E457*X458-B457)/'main page'!$K$27,(I458-E457*X458-B457)/'main page'!$K$27)</f>
        <v>4</v>
      </c>
      <c r="U457" s="71">
        <f>IF(controls!$B$6=1,$AG$4*(1+('main page'!$K$35/100))^V457-$AG$4*(1+('main page'!$K$35/100))^V456,$AG$4*(1+('main page'!$G$8/100))*(1+('main page'!$K$35/100))^V457-$AG$4*(1+('main page'!$G$8/100))*(1+('main page'!$K$35/100))^V456)</f>
        <v>0</v>
      </c>
      <c r="V457" s="73">
        <v>449</v>
      </c>
      <c r="W457" s="40">
        <f>'normal case'!V456</f>
        <v>0</v>
      </c>
      <c r="X457" s="40">
        <f>'normal case'!W456</f>
        <v>0</v>
      </c>
      <c r="Y457" s="49">
        <f ca="1">IF(controls!$B$33=1,E457-($J$4-'main page'!$K$27*2)*(1+('main page'!$K$35/100))^A456,E457-$AG$5)</f>
        <v>0</v>
      </c>
      <c r="Z457" s="49">
        <f ca="1">ABS(M457-(controls!$B$9/100)*100)</f>
        <v>0</v>
      </c>
      <c r="AI457" s="40"/>
      <c r="AJ457" s="40"/>
    </row>
    <row r="458" spans="1:36">
      <c r="A458" s="48">
        <v>455</v>
      </c>
      <c r="B458" s="75">
        <f ca="1">IF(controls!$B$6=2,AVERAGE(E454:E457)+B457*W458+hystere!$AG$9,AVERAGE(E454:E457)+B457*W458)</f>
        <v>100</v>
      </c>
      <c r="C458" s="80">
        <f t="shared" ca="1" si="43"/>
        <v>0</v>
      </c>
      <c r="D458" s="105">
        <f t="shared" ca="1" si="44"/>
        <v>0</v>
      </c>
      <c r="E458" s="77">
        <f t="shared" ca="1" si="45"/>
        <v>100</v>
      </c>
      <c r="F458" s="77">
        <f ca="1">IF('main page'!$K$34=1,hystere!H458,hystere!G458)</f>
        <v>100</v>
      </c>
      <c r="G458" s="94">
        <f ca="1">I458-'main page'!$K$27*hystere!N457</f>
        <v>100</v>
      </c>
      <c r="H458" s="75">
        <f ca="1">J458-'main page'!$K$27*N457</f>
        <v>100</v>
      </c>
      <c r="I458" s="75">
        <f t="shared" ca="1" si="40"/>
        <v>108</v>
      </c>
      <c r="J458" s="75">
        <f t="shared" ca="1" si="41"/>
        <v>108</v>
      </c>
      <c r="M458" s="75">
        <f ca="1">IF(ABS('main page'!$K$29*M457+(1-'main page'!$K$29)*(controls!$B$9/100)*100+'main page'!$K$25*(E458-B458)-M457)&lt;0.0000001,M457,'main page'!$K$29*M457+(1-'main page'!$K$29)*(controls!$B$9/100)*100+'main page'!$K$25*(E458-B458))</f>
        <v>2</v>
      </c>
      <c r="N458" s="75">
        <f ca="1">IF(controls!$B$10=1,N457,O458-'main page'!$K$29*M458-(1-'main page'!$K$29)*controls!$B$9)</f>
        <v>4</v>
      </c>
      <c r="O458" s="74">
        <f t="shared" ca="1" si="42"/>
        <v>6</v>
      </c>
      <c r="P458" s="76">
        <f ca="1">IF(controls!$B$10=1,hystere!N458+hystere!M458,hystere!Q458)</f>
        <v>6</v>
      </c>
      <c r="Q458" s="74">
        <f ca="1">IF('main page'!$Y$53=1,'choose m.p.'!$I$22*100,R458)</f>
        <v>6</v>
      </c>
      <c r="R458" s="100">
        <f ca="1">'main page'!$K$29*M458+(1-'main page'!$K$29)*controls!$B$9+S458+(('main page'!$K$25*'main page'!$U$13*'main page'!$K$29)/('main page'!$K$27*(1+('main page'!$K$25^2)*'main page'!$U$13)))*(M458-(controls!$B$9/100)*100)</f>
        <v>6</v>
      </c>
      <c r="S458" s="98">
        <f ca="1">IF(controls!$B$33=1,(J459-E458*X459-B458)/'main page'!$K$27,(I459-E458*X459-B458)/'main page'!$K$27)</f>
        <v>4</v>
      </c>
      <c r="U458" s="71">
        <f>IF(controls!$B$6=1,$AG$4*(1+('main page'!$K$35/100))^V458-$AG$4*(1+('main page'!$K$35/100))^V457,$AG$4*(1+('main page'!$G$8/100))*(1+('main page'!$K$35/100))^V458-$AG$4*(1+('main page'!$G$8/100))*(1+('main page'!$K$35/100))^V457)</f>
        <v>0</v>
      </c>
      <c r="V458" s="73">
        <v>450</v>
      </c>
      <c r="W458" s="40">
        <f>'normal case'!V457</f>
        <v>0</v>
      </c>
      <c r="X458" s="40">
        <f>'normal case'!W457</f>
        <v>0</v>
      </c>
      <c r="Y458" s="49">
        <f ca="1">IF(controls!$B$33=1,E458-($J$4-'main page'!$K$27*2)*(1+('main page'!$K$35/100))^A457,E458-$AG$5)</f>
        <v>0</v>
      </c>
      <c r="Z458" s="49">
        <f ca="1">ABS(M458-(controls!$B$9/100)*100)</f>
        <v>0</v>
      </c>
      <c r="AI458" s="40"/>
      <c r="AJ458" s="40"/>
    </row>
    <row r="459" spans="1:36">
      <c r="A459" s="48">
        <v>456</v>
      </c>
      <c r="B459" s="75">
        <f ca="1">IF(controls!$B$6=2,AVERAGE(E455:E458)+B458*W459+hystere!$AG$9,AVERAGE(E455:E458)+B458*W459)</f>
        <v>100</v>
      </c>
      <c r="C459" s="80">
        <f t="shared" ca="1" si="43"/>
        <v>0</v>
      </c>
      <c r="D459" s="105">
        <f t="shared" ca="1" si="44"/>
        <v>0</v>
      </c>
      <c r="E459" s="77">
        <f t="shared" ca="1" si="45"/>
        <v>100</v>
      </c>
      <c r="F459" s="77">
        <f ca="1">IF('main page'!$K$34=1,hystere!H459,hystere!G459)</f>
        <v>100</v>
      </c>
      <c r="G459" s="94">
        <f ca="1">I459-'main page'!$K$27*hystere!N458</f>
        <v>100</v>
      </c>
      <c r="H459" s="75">
        <f ca="1">J459-'main page'!$K$27*N458</f>
        <v>100</v>
      </c>
      <c r="I459" s="75">
        <f t="shared" ca="1" si="40"/>
        <v>108</v>
      </c>
      <c r="J459" s="75">
        <f t="shared" ca="1" si="41"/>
        <v>108</v>
      </c>
      <c r="M459" s="75">
        <f ca="1">IF(ABS('main page'!$K$29*M458+(1-'main page'!$K$29)*(controls!$B$9/100)*100+'main page'!$K$25*(E459-B459)-M458)&lt;0.0000001,M458,'main page'!$K$29*M458+(1-'main page'!$K$29)*(controls!$B$9/100)*100+'main page'!$K$25*(E459-B459))</f>
        <v>2</v>
      </c>
      <c r="N459" s="75">
        <f ca="1">IF(controls!$B$10=1,N458,O459-'main page'!$K$29*M459-(1-'main page'!$K$29)*controls!$B$9)</f>
        <v>4</v>
      </c>
      <c r="O459" s="74">
        <f t="shared" ca="1" si="42"/>
        <v>6</v>
      </c>
      <c r="P459" s="76">
        <f ca="1">IF(controls!$B$10=1,hystere!N459+hystere!M459,hystere!Q459)</f>
        <v>6</v>
      </c>
      <c r="Q459" s="74">
        <f ca="1">IF('main page'!$Y$53=1,'choose m.p.'!$I$22*100,R459)</f>
        <v>6</v>
      </c>
      <c r="R459" s="100">
        <f ca="1">'main page'!$K$29*M459+(1-'main page'!$K$29)*controls!$B$9+S459+(('main page'!$K$25*'main page'!$U$13*'main page'!$K$29)/('main page'!$K$27*(1+('main page'!$K$25^2)*'main page'!$U$13)))*(M459-(controls!$B$9/100)*100)</f>
        <v>6</v>
      </c>
      <c r="S459" s="98">
        <f ca="1">IF(controls!$B$33=1,(J460-E459*X460-B459)/'main page'!$K$27,(I460-E459*X460-B459)/'main page'!$K$27)</f>
        <v>4</v>
      </c>
      <c r="U459" s="71">
        <f>IF(controls!$B$6=1,$AG$4*(1+('main page'!$K$35/100))^V459-$AG$4*(1+('main page'!$K$35/100))^V458,$AG$4*(1+('main page'!$G$8/100))*(1+('main page'!$K$35/100))^V459-$AG$4*(1+('main page'!$G$8/100))*(1+('main page'!$K$35/100))^V458)</f>
        <v>0</v>
      </c>
      <c r="V459" s="73">
        <v>451</v>
      </c>
      <c r="W459" s="40">
        <f ca="1">'normal case'!V458</f>
        <v>0</v>
      </c>
      <c r="X459" s="40">
        <f ca="1">'normal case'!W458</f>
        <v>0</v>
      </c>
      <c r="Y459" s="49">
        <f ca="1">IF(controls!$B$33=1,E459-($J$4-'main page'!$K$27*2)*(1+('main page'!$K$35/100))^A458,E459-$AG$5)</f>
        <v>0</v>
      </c>
      <c r="Z459" s="49">
        <f ca="1">ABS(M459-(controls!$B$9/100)*100)</f>
        <v>0</v>
      </c>
      <c r="AI459" s="40"/>
      <c r="AJ459" s="40"/>
    </row>
    <row r="460" spans="1:36">
      <c r="A460" s="48">
        <v>457</v>
      </c>
      <c r="B460" s="75">
        <f ca="1">IF(controls!$B$6=2,AVERAGE(E456:E459)+B459*W460+hystere!$AG$9,AVERAGE(E456:E459)+B459*W460)</f>
        <v>100</v>
      </c>
      <c r="C460" s="80">
        <f t="shared" ca="1" si="43"/>
        <v>0</v>
      </c>
      <c r="D460" s="105">
        <f t="shared" ca="1" si="44"/>
        <v>0</v>
      </c>
      <c r="E460" s="77">
        <f t="shared" ca="1" si="45"/>
        <v>100</v>
      </c>
      <c r="F460" s="77">
        <f ca="1">IF('main page'!$K$34=1,hystere!H460,hystere!G460)</f>
        <v>100</v>
      </c>
      <c r="G460" s="94">
        <f ca="1">I460-'main page'!$K$27*hystere!N459</f>
        <v>100</v>
      </c>
      <c r="H460" s="75">
        <f ca="1">J460-'main page'!$K$27*N459</f>
        <v>100</v>
      </c>
      <c r="I460" s="75">
        <f t="shared" ca="1" si="40"/>
        <v>108</v>
      </c>
      <c r="J460" s="75">
        <f t="shared" ca="1" si="41"/>
        <v>108</v>
      </c>
      <c r="M460" s="75">
        <f ca="1">IF(ABS('main page'!$K$29*M459+(1-'main page'!$K$29)*(controls!$B$9/100)*100+'main page'!$K$25*(E460-B460)-M459)&lt;0.0000001,M459,'main page'!$K$29*M459+(1-'main page'!$K$29)*(controls!$B$9/100)*100+'main page'!$K$25*(E460-B460))</f>
        <v>2</v>
      </c>
      <c r="N460" s="75">
        <f ca="1">IF(controls!$B$10=1,N459,O460-'main page'!$K$29*M460-(1-'main page'!$K$29)*controls!$B$9)</f>
        <v>4</v>
      </c>
      <c r="O460" s="74">
        <f t="shared" ca="1" si="42"/>
        <v>6</v>
      </c>
      <c r="P460" s="76">
        <f ca="1">IF(controls!$B$10=1,hystere!N460+hystere!M460,hystere!Q460)</f>
        <v>6</v>
      </c>
      <c r="Q460" s="74">
        <f ca="1">IF('main page'!$Y$53=1,'choose m.p.'!$I$22*100,R460)</f>
        <v>6</v>
      </c>
      <c r="R460" s="100">
        <f ca="1">'main page'!$K$29*M460+(1-'main page'!$K$29)*controls!$B$9+S460+(('main page'!$K$25*'main page'!$U$13*'main page'!$K$29)/('main page'!$K$27*(1+('main page'!$K$25^2)*'main page'!$U$13)))*(M460-(controls!$B$9/100)*100)</f>
        <v>6</v>
      </c>
      <c r="S460" s="98">
        <f ca="1">IF(controls!$B$33=1,(J461-E460*X461-B460)/'main page'!$K$27,(I461-E460*X461-B460)/'main page'!$K$27)</f>
        <v>4</v>
      </c>
      <c r="U460" s="71">
        <f>IF(controls!$B$6=1,$AG$4*(1+('main page'!$K$35/100))^V460-$AG$4*(1+('main page'!$K$35/100))^V459,$AG$4*(1+('main page'!$G$8/100))*(1+('main page'!$K$35/100))^V460-$AG$4*(1+('main page'!$G$8/100))*(1+('main page'!$K$35/100))^V459)</f>
        <v>0</v>
      </c>
      <c r="V460" s="73">
        <v>452</v>
      </c>
      <c r="W460" s="40">
        <f>'normal case'!V459</f>
        <v>0</v>
      </c>
      <c r="X460" s="40">
        <f>'normal case'!W459</f>
        <v>0</v>
      </c>
      <c r="Y460" s="49">
        <f ca="1">IF(controls!$B$33=1,E460-($J$4-'main page'!$K$27*2)*(1+('main page'!$K$35/100))^A459,E460-$AG$5)</f>
        <v>0</v>
      </c>
      <c r="Z460" s="49">
        <f ca="1">ABS(M460-(controls!$B$9/100)*100)</f>
        <v>0</v>
      </c>
      <c r="AI460" s="40"/>
      <c r="AJ460" s="40"/>
    </row>
    <row r="461" spans="1:36">
      <c r="A461" s="48">
        <v>458</v>
      </c>
      <c r="B461" s="75">
        <f ca="1">IF(controls!$B$6=2,AVERAGE(E457:E460)+B460*W461+hystere!$AG$9,AVERAGE(E457:E460)+B460*W461)</f>
        <v>100</v>
      </c>
      <c r="C461" s="80">
        <f t="shared" ca="1" si="43"/>
        <v>0</v>
      </c>
      <c r="D461" s="105">
        <f t="shared" ca="1" si="44"/>
        <v>0</v>
      </c>
      <c r="E461" s="77">
        <f t="shared" ca="1" si="45"/>
        <v>100</v>
      </c>
      <c r="F461" s="77">
        <f ca="1">IF('main page'!$K$34=1,hystere!H461,hystere!G461)</f>
        <v>100</v>
      </c>
      <c r="G461" s="94">
        <f ca="1">I461-'main page'!$K$27*hystere!N460</f>
        <v>100</v>
      </c>
      <c r="H461" s="75">
        <f ca="1">J461-'main page'!$K$27*N460</f>
        <v>100</v>
      </c>
      <c r="I461" s="75">
        <f t="shared" ca="1" si="40"/>
        <v>108</v>
      </c>
      <c r="J461" s="75">
        <f t="shared" ca="1" si="41"/>
        <v>108</v>
      </c>
      <c r="M461" s="75">
        <f ca="1">IF(ABS('main page'!$K$29*M460+(1-'main page'!$K$29)*(controls!$B$9/100)*100+'main page'!$K$25*(E461-B461)-M460)&lt;0.0000001,M460,'main page'!$K$29*M460+(1-'main page'!$K$29)*(controls!$B$9/100)*100+'main page'!$K$25*(E461-B461))</f>
        <v>2</v>
      </c>
      <c r="N461" s="75">
        <f ca="1">IF(controls!$B$10=1,N460,O461-'main page'!$K$29*M461-(1-'main page'!$K$29)*controls!$B$9)</f>
        <v>4</v>
      </c>
      <c r="O461" s="74">
        <f t="shared" ca="1" si="42"/>
        <v>6</v>
      </c>
      <c r="P461" s="76">
        <f ca="1">IF(controls!$B$10=1,hystere!N461+hystere!M461,hystere!Q461)</f>
        <v>6</v>
      </c>
      <c r="Q461" s="74">
        <f ca="1">IF('main page'!$Y$53=1,'choose m.p.'!$I$22*100,R461)</f>
        <v>6</v>
      </c>
      <c r="R461" s="100">
        <f ca="1">'main page'!$K$29*M461+(1-'main page'!$K$29)*controls!$B$9+S461+(('main page'!$K$25*'main page'!$U$13*'main page'!$K$29)/('main page'!$K$27*(1+('main page'!$K$25^2)*'main page'!$U$13)))*(M461-(controls!$B$9/100)*100)</f>
        <v>6</v>
      </c>
      <c r="S461" s="98">
        <f ca="1">IF(controls!$B$33=1,(J462-E461*X462-B461)/'main page'!$K$27,(I462-E461*X462-B461)/'main page'!$K$27)</f>
        <v>4</v>
      </c>
      <c r="U461" s="71">
        <f>IF(controls!$B$6=1,$AG$4*(1+('main page'!$K$35/100))^V461-$AG$4*(1+('main page'!$K$35/100))^V460,$AG$4*(1+('main page'!$G$8/100))*(1+('main page'!$K$35/100))^V461-$AG$4*(1+('main page'!$G$8/100))*(1+('main page'!$K$35/100))^V460)</f>
        <v>0</v>
      </c>
      <c r="V461" s="73">
        <v>453</v>
      </c>
      <c r="W461" s="40">
        <f>'normal case'!V460</f>
        <v>0</v>
      </c>
      <c r="X461" s="40">
        <f>'normal case'!W460</f>
        <v>0</v>
      </c>
      <c r="Y461" s="49">
        <f ca="1">IF(controls!$B$33=1,E461-($J$4-'main page'!$K$27*2)*(1+('main page'!$K$35/100))^A460,E461-$AG$5)</f>
        <v>0</v>
      </c>
      <c r="Z461" s="49">
        <f ca="1">ABS(M461-(controls!$B$9/100)*100)</f>
        <v>0</v>
      </c>
      <c r="AI461" s="40"/>
      <c r="AJ461" s="40"/>
    </row>
    <row r="462" spans="1:36">
      <c r="A462" s="48">
        <v>459</v>
      </c>
      <c r="B462" s="75">
        <f ca="1">IF(controls!$B$6=2,AVERAGE(E458:E461)+B461*W462+hystere!$AG$9,AVERAGE(E458:E461)+B461*W462)</f>
        <v>100</v>
      </c>
      <c r="C462" s="80">
        <f t="shared" ca="1" si="43"/>
        <v>0</v>
      </c>
      <c r="D462" s="105">
        <f t="shared" ca="1" si="44"/>
        <v>0</v>
      </c>
      <c r="E462" s="77">
        <f t="shared" ca="1" si="45"/>
        <v>100</v>
      </c>
      <c r="F462" s="77">
        <f ca="1">IF('main page'!$K$34=1,hystere!H462,hystere!G462)</f>
        <v>100</v>
      </c>
      <c r="G462" s="94">
        <f ca="1">I462-'main page'!$K$27*hystere!N461</f>
        <v>100</v>
      </c>
      <c r="H462" s="75">
        <f ca="1">J462-'main page'!$K$27*N461</f>
        <v>100</v>
      </c>
      <c r="I462" s="75">
        <f t="shared" ca="1" si="40"/>
        <v>108</v>
      </c>
      <c r="J462" s="75">
        <f t="shared" ca="1" si="41"/>
        <v>108</v>
      </c>
      <c r="M462" s="75">
        <f ca="1">IF(ABS('main page'!$K$29*M461+(1-'main page'!$K$29)*(controls!$B$9/100)*100+'main page'!$K$25*(E462-B462)-M461)&lt;0.0000001,M461,'main page'!$K$29*M461+(1-'main page'!$K$29)*(controls!$B$9/100)*100+'main page'!$K$25*(E462-B462))</f>
        <v>2</v>
      </c>
      <c r="N462" s="75">
        <f ca="1">IF(controls!$B$10=1,N461,O462-'main page'!$K$29*M462-(1-'main page'!$K$29)*controls!$B$9)</f>
        <v>4</v>
      </c>
      <c r="O462" s="74">
        <f t="shared" ca="1" si="42"/>
        <v>6</v>
      </c>
      <c r="P462" s="76">
        <f ca="1">IF(controls!$B$10=1,hystere!N462+hystere!M462,hystere!Q462)</f>
        <v>6</v>
      </c>
      <c r="Q462" s="74">
        <f ca="1">IF('main page'!$Y$53=1,'choose m.p.'!$I$22*100,R462)</f>
        <v>6</v>
      </c>
      <c r="R462" s="100">
        <f ca="1">'main page'!$K$29*M462+(1-'main page'!$K$29)*controls!$B$9+S462+(('main page'!$K$25*'main page'!$U$13*'main page'!$K$29)/('main page'!$K$27*(1+('main page'!$K$25^2)*'main page'!$U$13)))*(M462-(controls!$B$9/100)*100)</f>
        <v>6</v>
      </c>
      <c r="S462" s="98">
        <f ca="1">IF(controls!$B$33=1,(J463-E462*X463-B462)/'main page'!$K$27,(I463-E462*X463-B462)/'main page'!$K$27)</f>
        <v>4</v>
      </c>
      <c r="U462" s="71">
        <f>IF(controls!$B$6=1,$AG$4*(1+('main page'!$K$35/100))^V462-$AG$4*(1+('main page'!$K$35/100))^V461,$AG$4*(1+('main page'!$G$8/100))*(1+('main page'!$K$35/100))^V462-$AG$4*(1+('main page'!$G$8/100))*(1+('main page'!$K$35/100))^V461)</f>
        <v>0</v>
      </c>
      <c r="V462" s="73">
        <v>454</v>
      </c>
      <c r="W462" s="40">
        <f ca="1">'normal case'!V461</f>
        <v>0</v>
      </c>
      <c r="X462" s="40">
        <f ca="1">'normal case'!W461</f>
        <v>0</v>
      </c>
      <c r="Y462" s="49">
        <f ca="1">IF(controls!$B$33=1,E462-($J$4-'main page'!$K$27*2)*(1+('main page'!$K$35/100))^A461,E462-$AG$5)</f>
        <v>0</v>
      </c>
      <c r="Z462" s="49">
        <f ca="1">ABS(M462-(controls!$B$9/100)*100)</f>
        <v>0</v>
      </c>
      <c r="AI462" s="40"/>
      <c r="AJ462" s="40"/>
    </row>
    <row r="463" spans="1:36">
      <c r="A463" s="48">
        <v>460</v>
      </c>
      <c r="B463" s="75">
        <f ca="1">IF(controls!$B$6=2,AVERAGE(E459:E462)+B462*W463+hystere!$AG$9,AVERAGE(E459:E462)+B462*W463)</f>
        <v>100</v>
      </c>
      <c r="C463" s="80">
        <f t="shared" ca="1" si="43"/>
        <v>0</v>
      </c>
      <c r="D463" s="105">
        <f t="shared" ca="1" si="44"/>
        <v>0</v>
      </c>
      <c r="E463" s="77">
        <f t="shared" ca="1" si="45"/>
        <v>100</v>
      </c>
      <c r="F463" s="77">
        <f ca="1">IF('main page'!$K$34=1,hystere!H463,hystere!G463)</f>
        <v>100</v>
      </c>
      <c r="G463" s="94">
        <f ca="1">I463-'main page'!$K$27*hystere!N462</f>
        <v>100</v>
      </c>
      <c r="H463" s="75">
        <f ca="1">J463-'main page'!$K$27*N462</f>
        <v>100</v>
      </c>
      <c r="I463" s="75">
        <f t="shared" ca="1" si="40"/>
        <v>108</v>
      </c>
      <c r="J463" s="75">
        <f t="shared" ca="1" si="41"/>
        <v>108</v>
      </c>
      <c r="M463" s="75">
        <f ca="1">IF(ABS('main page'!$K$29*M462+(1-'main page'!$K$29)*(controls!$B$9/100)*100+'main page'!$K$25*(E463-B463)-M462)&lt;0.0000001,M462,'main page'!$K$29*M462+(1-'main page'!$K$29)*(controls!$B$9/100)*100+'main page'!$K$25*(E463-B463))</f>
        <v>2</v>
      </c>
      <c r="N463" s="75">
        <f ca="1">IF(controls!$B$10=1,N462,O463-'main page'!$K$29*M463-(1-'main page'!$K$29)*controls!$B$9)</f>
        <v>4</v>
      </c>
      <c r="O463" s="74">
        <f t="shared" ca="1" si="42"/>
        <v>6</v>
      </c>
      <c r="P463" s="76">
        <f ca="1">IF(controls!$B$10=1,hystere!N463+hystere!M463,hystere!Q463)</f>
        <v>6</v>
      </c>
      <c r="Q463" s="74">
        <f ca="1">IF('main page'!$Y$53=1,'choose m.p.'!$I$22*100,R463)</f>
        <v>6</v>
      </c>
      <c r="R463" s="100">
        <f ca="1">'main page'!$K$29*M463+(1-'main page'!$K$29)*controls!$B$9+S463+(('main page'!$K$25*'main page'!$U$13*'main page'!$K$29)/('main page'!$K$27*(1+('main page'!$K$25^2)*'main page'!$U$13)))*(M463-(controls!$B$9/100)*100)</f>
        <v>6</v>
      </c>
      <c r="S463" s="98">
        <f ca="1">IF(controls!$B$33=1,(J464-E463*X464-B463)/'main page'!$K$27,(I464-E463*X464-B463)/'main page'!$K$27)</f>
        <v>4</v>
      </c>
      <c r="U463" s="71">
        <f>IF(controls!$B$6=1,$AG$4*(1+('main page'!$K$35/100))^V463-$AG$4*(1+('main page'!$K$35/100))^V462,$AG$4*(1+('main page'!$G$8/100))*(1+('main page'!$K$35/100))^V463-$AG$4*(1+('main page'!$G$8/100))*(1+('main page'!$K$35/100))^V462)</f>
        <v>0</v>
      </c>
      <c r="V463" s="73">
        <v>455</v>
      </c>
      <c r="W463" s="40">
        <f>'normal case'!V462</f>
        <v>0</v>
      </c>
      <c r="X463" s="40">
        <f>'normal case'!W462</f>
        <v>0</v>
      </c>
      <c r="Y463" s="49">
        <f ca="1">IF(controls!$B$33=1,E463-($J$4-'main page'!$K$27*2)*(1+('main page'!$K$35/100))^A462,E463-$AG$5)</f>
        <v>0</v>
      </c>
      <c r="Z463" s="49">
        <f ca="1">ABS(M463-(controls!$B$9/100)*100)</f>
        <v>0</v>
      </c>
      <c r="AI463" s="40"/>
      <c r="AJ463" s="40"/>
    </row>
    <row r="464" spans="1:36">
      <c r="A464" s="48">
        <v>461</v>
      </c>
      <c r="B464" s="75">
        <f ca="1">IF(controls!$B$6=2,AVERAGE(E460:E463)+B463*W464+hystere!$AG$9,AVERAGE(E460:E463)+B463*W464)</f>
        <v>100</v>
      </c>
      <c r="C464" s="80">
        <f t="shared" ca="1" si="43"/>
        <v>0</v>
      </c>
      <c r="D464" s="105">
        <f t="shared" ca="1" si="44"/>
        <v>0</v>
      </c>
      <c r="E464" s="77">
        <f t="shared" ca="1" si="45"/>
        <v>100</v>
      </c>
      <c r="F464" s="77">
        <f ca="1">IF('main page'!$K$34=1,hystere!H464,hystere!G464)</f>
        <v>100</v>
      </c>
      <c r="G464" s="94">
        <f ca="1">I464-'main page'!$K$27*hystere!N463</f>
        <v>100</v>
      </c>
      <c r="H464" s="75">
        <f ca="1">J464-'main page'!$K$27*N463</f>
        <v>100</v>
      </c>
      <c r="I464" s="75">
        <f t="shared" ca="1" si="40"/>
        <v>108</v>
      </c>
      <c r="J464" s="75">
        <f t="shared" ca="1" si="41"/>
        <v>108</v>
      </c>
      <c r="M464" s="75">
        <f ca="1">IF(ABS('main page'!$K$29*M463+(1-'main page'!$K$29)*(controls!$B$9/100)*100+'main page'!$K$25*(E464-B464)-M463)&lt;0.0000001,M463,'main page'!$K$29*M463+(1-'main page'!$K$29)*(controls!$B$9/100)*100+'main page'!$K$25*(E464-B464))</f>
        <v>2</v>
      </c>
      <c r="N464" s="75">
        <f ca="1">IF(controls!$B$10=1,N463,O464-'main page'!$K$29*M464-(1-'main page'!$K$29)*controls!$B$9)</f>
        <v>4</v>
      </c>
      <c r="O464" s="74">
        <f t="shared" ca="1" si="42"/>
        <v>6</v>
      </c>
      <c r="P464" s="76">
        <f ca="1">IF(controls!$B$10=1,hystere!N464+hystere!M464,hystere!Q464)</f>
        <v>6</v>
      </c>
      <c r="Q464" s="74">
        <f ca="1">IF('main page'!$Y$53=1,'choose m.p.'!$I$22*100,R464)</f>
        <v>6</v>
      </c>
      <c r="R464" s="100">
        <f ca="1">'main page'!$K$29*M464+(1-'main page'!$K$29)*controls!$B$9+S464+(('main page'!$K$25*'main page'!$U$13*'main page'!$K$29)/('main page'!$K$27*(1+('main page'!$K$25^2)*'main page'!$U$13)))*(M464-(controls!$B$9/100)*100)</f>
        <v>6</v>
      </c>
      <c r="S464" s="98">
        <f ca="1">IF(controls!$B$33=1,(J465-E464*X465-B464)/'main page'!$K$27,(I465-E464*X465-B464)/'main page'!$K$27)</f>
        <v>4</v>
      </c>
      <c r="U464" s="71">
        <f>IF(controls!$B$6=1,$AG$4*(1+('main page'!$K$35/100))^V464-$AG$4*(1+('main page'!$K$35/100))^V463,$AG$4*(1+('main page'!$G$8/100))*(1+('main page'!$K$35/100))^V464-$AG$4*(1+('main page'!$G$8/100))*(1+('main page'!$K$35/100))^V463)</f>
        <v>0</v>
      </c>
      <c r="V464" s="73">
        <v>456</v>
      </c>
      <c r="W464" s="40">
        <f>'normal case'!V463</f>
        <v>0</v>
      </c>
      <c r="X464" s="40">
        <f>'normal case'!W463</f>
        <v>0</v>
      </c>
      <c r="Y464" s="49">
        <f ca="1">IF(controls!$B$33=1,E464-($J$4-'main page'!$K$27*2)*(1+('main page'!$K$35/100))^A463,E464-$AG$5)</f>
        <v>0</v>
      </c>
      <c r="Z464" s="49">
        <f ca="1">ABS(M464-(controls!$B$9/100)*100)</f>
        <v>0</v>
      </c>
      <c r="AI464" s="40"/>
      <c r="AJ464" s="40"/>
    </row>
    <row r="465" spans="1:36">
      <c r="A465" s="48">
        <v>462</v>
      </c>
      <c r="B465" s="75">
        <f ca="1">IF(controls!$B$6=2,AVERAGE(E461:E464)+B464*W465+hystere!$AG$9,AVERAGE(E461:E464)+B464*W465)</f>
        <v>100</v>
      </c>
      <c r="C465" s="80">
        <f t="shared" ca="1" si="43"/>
        <v>0</v>
      </c>
      <c r="D465" s="105">
        <f t="shared" ca="1" si="44"/>
        <v>0</v>
      </c>
      <c r="E465" s="77">
        <f t="shared" ca="1" si="45"/>
        <v>100</v>
      </c>
      <c r="F465" s="77">
        <f ca="1">IF('main page'!$K$34=1,hystere!H465,hystere!G465)</f>
        <v>100</v>
      </c>
      <c r="G465" s="94">
        <f ca="1">I465-'main page'!$K$27*hystere!N464</f>
        <v>100</v>
      </c>
      <c r="H465" s="75">
        <f ca="1">J465-'main page'!$K$27*N464</f>
        <v>100</v>
      </c>
      <c r="I465" s="75">
        <f t="shared" ca="1" si="40"/>
        <v>108</v>
      </c>
      <c r="J465" s="75">
        <f t="shared" ca="1" si="41"/>
        <v>108</v>
      </c>
      <c r="M465" s="75">
        <f ca="1">IF(ABS('main page'!$K$29*M464+(1-'main page'!$K$29)*(controls!$B$9/100)*100+'main page'!$K$25*(E465-B465)-M464)&lt;0.0000001,M464,'main page'!$K$29*M464+(1-'main page'!$K$29)*(controls!$B$9/100)*100+'main page'!$K$25*(E465-B465))</f>
        <v>2</v>
      </c>
      <c r="N465" s="75">
        <f ca="1">IF(controls!$B$10=1,N464,O465-'main page'!$K$29*M465-(1-'main page'!$K$29)*controls!$B$9)</f>
        <v>4</v>
      </c>
      <c r="O465" s="74">
        <f t="shared" ca="1" si="42"/>
        <v>6</v>
      </c>
      <c r="P465" s="76">
        <f ca="1">IF(controls!$B$10=1,hystere!N465+hystere!M465,hystere!Q465)</f>
        <v>6</v>
      </c>
      <c r="Q465" s="74">
        <f ca="1">IF('main page'!$Y$53=1,'choose m.p.'!$I$22*100,R465)</f>
        <v>6</v>
      </c>
      <c r="R465" s="100">
        <f ca="1">'main page'!$K$29*M465+(1-'main page'!$K$29)*controls!$B$9+S465+(('main page'!$K$25*'main page'!$U$13*'main page'!$K$29)/('main page'!$K$27*(1+('main page'!$K$25^2)*'main page'!$U$13)))*(M465-(controls!$B$9/100)*100)</f>
        <v>6</v>
      </c>
      <c r="S465" s="98">
        <f ca="1">IF(controls!$B$33=1,(J466-E465*X466-B465)/'main page'!$K$27,(I466-E465*X466-B465)/'main page'!$K$27)</f>
        <v>4</v>
      </c>
      <c r="U465" s="71">
        <f>IF(controls!$B$6=1,$AG$4*(1+('main page'!$K$35/100))^V465-$AG$4*(1+('main page'!$K$35/100))^V464,$AG$4*(1+('main page'!$G$8/100))*(1+('main page'!$K$35/100))^V465-$AG$4*(1+('main page'!$G$8/100))*(1+('main page'!$K$35/100))^V464)</f>
        <v>0</v>
      </c>
      <c r="V465" s="73">
        <v>457</v>
      </c>
      <c r="W465" s="40">
        <f ca="1">'normal case'!V464</f>
        <v>0</v>
      </c>
      <c r="X465" s="40">
        <f ca="1">'normal case'!W464</f>
        <v>0</v>
      </c>
      <c r="Y465" s="49">
        <f ca="1">IF(controls!$B$33=1,E465-($J$4-'main page'!$K$27*2)*(1+('main page'!$K$35/100))^A464,E465-$AG$5)</f>
        <v>0</v>
      </c>
      <c r="Z465" s="49">
        <f ca="1">ABS(M465-(controls!$B$9/100)*100)</f>
        <v>0</v>
      </c>
      <c r="AI465" s="40"/>
      <c r="AJ465" s="40"/>
    </row>
    <row r="466" spans="1:36">
      <c r="A466" s="48">
        <v>463</v>
      </c>
      <c r="B466" s="75">
        <f ca="1">IF(controls!$B$6=2,AVERAGE(E462:E465)+B465*W466+hystere!$AG$9,AVERAGE(E462:E465)+B465*W466)</f>
        <v>100</v>
      </c>
      <c r="C466" s="80">
        <f t="shared" ca="1" si="43"/>
        <v>0</v>
      </c>
      <c r="D466" s="105">
        <f t="shared" ca="1" si="44"/>
        <v>0</v>
      </c>
      <c r="E466" s="77">
        <f t="shared" ca="1" si="45"/>
        <v>100</v>
      </c>
      <c r="F466" s="77">
        <f ca="1">IF('main page'!$K$34=1,hystere!H466,hystere!G466)</f>
        <v>100</v>
      </c>
      <c r="G466" s="94">
        <f ca="1">I466-'main page'!$K$27*hystere!N465</f>
        <v>100</v>
      </c>
      <c r="H466" s="75">
        <f ca="1">J466-'main page'!$K$27*N465</f>
        <v>100</v>
      </c>
      <c r="I466" s="75">
        <f t="shared" ca="1" si="40"/>
        <v>108</v>
      </c>
      <c r="J466" s="75">
        <f t="shared" ca="1" si="41"/>
        <v>108</v>
      </c>
      <c r="M466" s="75">
        <f ca="1">IF(ABS('main page'!$K$29*M465+(1-'main page'!$K$29)*(controls!$B$9/100)*100+'main page'!$K$25*(E466-B466)-M465)&lt;0.0000001,M465,'main page'!$K$29*M465+(1-'main page'!$K$29)*(controls!$B$9/100)*100+'main page'!$K$25*(E466-B466))</f>
        <v>2</v>
      </c>
      <c r="N466" s="75">
        <f ca="1">IF(controls!$B$10=1,N465,O466-'main page'!$K$29*M466-(1-'main page'!$K$29)*controls!$B$9)</f>
        <v>4</v>
      </c>
      <c r="O466" s="74">
        <f t="shared" ca="1" si="42"/>
        <v>6</v>
      </c>
      <c r="P466" s="76">
        <f ca="1">IF(controls!$B$10=1,hystere!N466+hystere!M466,hystere!Q466)</f>
        <v>6</v>
      </c>
      <c r="Q466" s="74">
        <f ca="1">IF('main page'!$Y$53=1,'choose m.p.'!$I$22*100,R466)</f>
        <v>6</v>
      </c>
      <c r="R466" s="100">
        <f ca="1">'main page'!$K$29*M466+(1-'main page'!$K$29)*controls!$B$9+S466+(('main page'!$K$25*'main page'!$U$13*'main page'!$K$29)/('main page'!$K$27*(1+('main page'!$K$25^2)*'main page'!$U$13)))*(M466-(controls!$B$9/100)*100)</f>
        <v>6</v>
      </c>
      <c r="S466" s="98">
        <f ca="1">IF(controls!$B$33=1,(J467-E466*X467-B466)/'main page'!$K$27,(I467-E466*X467-B466)/'main page'!$K$27)</f>
        <v>4</v>
      </c>
      <c r="U466" s="71">
        <f>IF(controls!$B$6=1,$AG$4*(1+('main page'!$K$35/100))^V466-$AG$4*(1+('main page'!$K$35/100))^V465,$AG$4*(1+('main page'!$G$8/100))*(1+('main page'!$K$35/100))^V466-$AG$4*(1+('main page'!$G$8/100))*(1+('main page'!$K$35/100))^V465)</f>
        <v>0</v>
      </c>
      <c r="V466" s="73">
        <v>458</v>
      </c>
      <c r="W466" s="40">
        <f>'normal case'!V465</f>
        <v>0</v>
      </c>
      <c r="X466" s="40">
        <f>'normal case'!W465</f>
        <v>0</v>
      </c>
      <c r="Y466" s="49">
        <f ca="1">IF(controls!$B$33=1,E466-($J$4-'main page'!$K$27*2)*(1+('main page'!$K$35/100))^A465,E466-$AG$5)</f>
        <v>0</v>
      </c>
      <c r="Z466" s="49">
        <f ca="1">ABS(M466-(controls!$B$9/100)*100)</f>
        <v>0</v>
      </c>
      <c r="AI466" s="40"/>
      <c r="AJ466" s="40"/>
    </row>
    <row r="467" spans="1:36">
      <c r="A467" s="48">
        <v>464</v>
      </c>
      <c r="B467" s="75">
        <f ca="1">IF(controls!$B$6=2,AVERAGE(E463:E466)+B466*W467+hystere!$AG$9,AVERAGE(E463:E466)+B466*W467)</f>
        <v>100</v>
      </c>
      <c r="C467" s="80">
        <f t="shared" ca="1" si="43"/>
        <v>0</v>
      </c>
      <c r="D467" s="105">
        <f t="shared" ca="1" si="44"/>
        <v>0</v>
      </c>
      <c r="E467" s="77">
        <f t="shared" ca="1" si="45"/>
        <v>100</v>
      </c>
      <c r="F467" s="77">
        <f ca="1">IF('main page'!$K$34=1,hystere!H467,hystere!G467)</f>
        <v>100</v>
      </c>
      <c r="G467" s="94">
        <f ca="1">I467-'main page'!$K$27*hystere!N466</f>
        <v>100</v>
      </c>
      <c r="H467" s="75">
        <f ca="1">J467-'main page'!$K$27*N466</f>
        <v>100</v>
      </c>
      <c r="I467" s="75">
        <f t="shared" ca="1" si="40"/>
        <v>108</v>
      </c>
      <c r="J467" s="75">
        <f t="shared" ca="1" si="41"/>
        <v>108</v>
      </c>
      <c r="M467" s="75">
        <f ca="1">IF(ABS('main page'!$K$29*M466+(1-'main page'!$K$29)*(controls!$B$9/100)*100+'main page'!$K$25*(E467-B467)-M466)&lt;0.0000001,M466,'main page'!$K$29*M466+(1-'main page'!$K$29)*(controls!$B$9/100)*100+'main page'!$K$25*(E467-B467))</f>
        <v>2</v>
      </c>
      <c r="N467" s="75">
        <f ca="1">IF(controls!$B$10=1,N466,O467-'main page'!$K$29*M467-(1-'main page'!$K$29)*controls!$B$9)</f>
        <v>4</v>
      </c>
      <c r="O467" s="74">
        <f t="shared" ca="1" si="42"/>
        <v>6</v>
      </c>
      <c r="P467" s="76">
        <f ca="1">IF(controls!$B$10=1,hystere!N467+hystere!M467,hystere!Q467)</f>
        <v>6</v>
      </c>
      <c r="Q467" s="74">
        <f ca="1">IF('main page'!$Y$53=1,'choose m.p.'!$I$22*100,R467)</f>
        <v>6</v>
      </c>
      <c r="R467" s="100">
        <f ca="1">'main page'!$K$29*M467+(1-'main page'!$K$29)*controls!$B$9+S467+(('main page'!$K$25*'main page'!$U$13*'main page'!$K$29)/('main page'!$K$27*(1+('main page'!$K$25^2)*'main page'!$U$13)))*(M467-(controls!$B$9/100)*100)</f>
        <v>6</v>
      </c>
      <c r="S467" s="98">
        <f ca="1">IF(controls!$B$33=1,(J468-E467*X468-B467)/'main page'!$K$27,(I468-E467*X468-B467)/'main page'!$K$27)</f>
        <v>4</v>
      </c>
      <c r="U467" s="71">
        <f>IF(controls!$B$6=1,$AG$4*(1+('main page'!$K$35/100))^V467-$AG$4*(1+('main page'!$K$35/100))^V466,$AG$4*(1+('main page'!$G$8/100))*(1+('main page'!$K$35/100))^V467-$AG$4*(1+('main page'!$G$8/100))*(1+('main page'!$K$35/100))^V466)</f>
        <v>0</v>
      </c>
      <c r="V467" s="73">
        <v>459</v>
      </c>
      <c r="W467" s="40">
        <f>'normal case'!V466</f>
        <v>0</v>
      </c>
      <c r="X467" s="40">
        <f>'normal case'!W466</f>
        <v>0</v>
      </c>
      <c r="Y467" s="49">
        <f ca="1">IF(controls!$B$33=1,E467-($J$4-'main page'!$K$27*2)*(1+('main page'!$K$35/100))^A466,E467-$AG$5)</f>
        <v>0</v>
      </c>
      <c r="Z467" s="49">
        <f ca="1">ABS(M467-(controls!$B$9/100)*100)</f>
        <v>0</v>
      </c>
      <c r="AI467" s="40"/>
      <c r="AJ467" s="40"/>
    </row>
    <row r="468" spans="1:36">
      <c r="A468" s="48">
        <v>465</v>
      </c>
      <c r="B468" s="75">
        <f ca="1">IF(controls!$B$6=2,AVERAGE(E464:E467)+B467*W468+hystere!$AG$9,AVERAGE(E464:E467)+B467*W468)</f>
        <v>100</v>
      </c>
      <c r="C468" s="80">
        <f t="shared" ca="1" si="43"/>
        <v>0</v>
      </c>
      <c r="D468" s="105">
        <f t="shared" ca="1" si="44"/>
        <v>0</v>
      </c>
      <c r="E468" s="77">
        <f t="shared" ca="1" si="45"/>
        <v>100</v>
      </c>
      <c r="F468" s="77">
        <f ca="1">IF('main page'!$K$34=1,hystere!H468,hystere!G468)</f>
        <v>100</v>
      </c>
      <c r="G468" s="94">
        <f ca="1">I468-'main page'!$K$27*hystere!N467</f>
        <v>100</v>
      </c>
      <c r="H468" s="75">
        <f ca="1">J468-'main page'!$K$27*N467</f>
        <v>100</v>
      </c>
      <c r="I468" s="75">
        <f t="shared" ca="1" si="40"/>
        <v>108</v>
      </c>
      <c r="J468" s="75">
        <f t="shared" ca="1" si="41"/>
        <v>108</v>
      </c>
      <c r="M468" s="75">
        <f ca="1">IF(ABS('main page'!$K$29*M467+(1-'main page'!$K$29)*(controls!$B$9/100)*100+'main page'!$K$25*(E468-B468)-M467)&lt;0.0000001,M467,'main page'!$K$29*M467+(1-'main page'!$K$29)*(controls!$B$9/100)*100+'main page'!$K$25*(E468-B468))</f>
        <v>2</v>
      </c>
      <c r="N468" s="75">
        <f ca="1">IF(controls!$B$10=1,N467,O468-'main page'!$K$29*M468-(1-'main page'!$K$29)*controls!$B$9)</f>
        <v>4</v>
      </c>
      <c r="O468" s="74">
        <f t="shared" ca="1" si="42"/>
        <v>6</v>
      </c>
      <c r="P468" s="76">
        <f ca="1">IF(controls!$B$10=1,hystere!N468+hystere!M468,hystere!Q468)</f>
        <v>6</v>
      </c>
      <c r="Q468" s="74">
        <f ca="1">IF('main page'!$Y$53=1,'choose m.p.'!$I$22*100,R468)</f>
        <v>6</v>
      </c>
      <c r="R468" s="100">
        <f ca="1">'main page'!$K$29*M468+(1-'main page'!$K$29)*controls!$B$9+S468+(('main page'!$K$25*'main page'!$U$13*'main page'!$K$29)/('main page'!$K$27*(1+('main page'!$K$25^2)*'main page'!$U$13)))*(M468-(controls!$B$9/100)*100)</f>
        <v>6</v>
      </c>
      <c r="S468" s="98">
        <f ca="1">IF(controls!$B$33=1,(J469-E468*X469-B468)/'main page'!$K$27,(I469-E468*X469-B468)/'main page'!$K$27)</f>
        <v>4</v>
      </c>
      <c r="U468" s="71">
        <f>IF(controls!$B$6=1,$AG$4*(1+('main page'!$K$35/100))^V468-$AG$4*(1+('main page'!$K$35/100))^V467,$AG$4*(1+('main page'!$G$8/100))*(1+('main page'!$K$35/100))^V468-$AG$4*(1+('main page'!$G$8/100))*(1+('main page'!$K$35/100))^V467)</f>
        <v>0</v>
      </c>
      <c r="V468" s="73">
        <v>460</v>
      </c>
      <c r="W468" s="40">
        <f ca="1">'normal case'!V467</f>
        <v>0</v>
      </c>
      <c r="X468" s="40">
        <f ca="1">'normal case'!W467</f>
        <v>0</v>
      </c>
      <c r="Y468" s="49">
        <f ca="1">IF(controls!$B$33=1,E468-($J$4-'main page'!$K$27*2)*(1+('main page'!$K$35/100))^A467,E468-$AG$5)</f>
        <v>0</v>
      </c>
      <c r="Z468" s="49">
        <f ca="1">ABS(M468-(controls!$B$9/100)*100)</f>
        <v>0</v>
      </c>
      <c r="AI468" s="40"/>
      <c r="AJ468" s="40"/>
    </row>
    <row r="469" spans="1:36">
      <c r="A469" s="48">
        <v>466</v>
      </c>
      <c r="B469" s="75">
        <f ca="1">IF(controls!$B$6=2,AVERAGE(E465:E468)+B468*W469+hystere!$AG$9,AVERAGE(E465:E468)+B468*W469)</f>
        <v>100</v>
      </c>
      <c r="C469" s="80">
        <f t="shared" ca="1" si="43"/>
        <v>0</v>
      </c>
      <c r="D469" s="105">
        <f t="shared" ca="1" si="44"/>
        <v>0</v>
      </c>
      <c r="E469" s="77">
        <f t="shared" ca="1" si="45"/>
        <v>100</v>
      </c>
      <c r="F469" s="77">
        <f ca="1">IF('main page'!$K$34=1,hystere!H469,hystere!G469)</f>
        <v>100</v>
      </c>
      <c r="G469" s="94">
        <f ca="1">I469-'main page'!$K$27*hystere!N468</f>
        <v>100</v>
      </c>
      <c r="H469" s="75">
        <f ca="1">J469-'main page'!$K$27*N468</f>
        <v>100</v>
      </c>
      <c r="I469" s="75">
        <f t="shared" ca="1" si="40"/>
        <v>108</v>
      </c>
      <c r="J469" s="75">
        <f t="shared" ca="1" si="41"/>
        <v>108</v>
      </c>
      <c r="M469" s="75">
        <f ca="1">IF(ABS('main page'!$K$29*M468+(1-'main page'!$K$29)*(controls!$B$9/100)*100+'main page'!$K$25*(E469-B469)-M468)&lt;0.0000001,M468,'main page'!$K$29*M468+(1-'main page'!$K$29)*(controls!$B$9/100)*100+'main page'!$K$25*(E469-B469))</f>
        <v>2</v>
      </c>
      <c r="N469" s="75">
        <f ca="1">IF(controls!$B$10=1,N468,O469-'main page'!$K$29*M469-(1-'main page'!$K$29)*controls!$B$9)</f>
        <v>4</v>
      </c>
      <c r="O469" s="74">
        <f t="shared" ca="1" si="42"/>
        <v>6</v>
      </c>
      <c r="P469" s="76">
        <f ca="1">IF(controls!$B$10=1,hystere!N469+hystere!M469,hystere!Q469)</f>
        <v>6</v>
      </c>
      <c r="Q469" s="74">
        <f ca="1">IF('main page'!$Y$53=1,'choose m.p.'!$I$22*100,R469)</f>
        <v>6</v>
      </c>
      <c r="R469" s="100">
        <f ca="1">'main page'!$K$29*M469+(1-'main page'!$K$29)*controls!$B$9+S469+(('main page'!$K$25*'main page'!$U$13*'main page'!$K$29)/('main page'!$K$27*(1+('main page'!$K$25^2)*'main page'!$U$13)))*(M469-(controls!$B$9/100)*100)</f>
        <v>6</v>
      </c>
      <c r="S469" s="98">
        <f ca="1">IF(controls!$B$33=1,(J470-E469*X470-B469)/'main page'!$K$27,(I470-E469*X470-B469)/'main page'!$K$27)</f>
        <v>4</v>
      </c>
      <c r="U469" s="71">
        <f>IF(controls!$B$6=1,$AG$4*(1+('main page'!$K$35/100))^V469-$AG$4*(1+('main page'!$K$35/100))^V468,$AG$4*(1+('main page'!$G$8/100))*(1+('main page'!$K$35/100))^V469-$AG$4*(1+('main page'!$G$8/100))*(1+('main page'!$K$35/100))^V468)</f>
        <v>0</v>
      </c>
      <c r="V469" s="73">
        <v>461</v>
      </c>
      <c r="W469" s="40">
        <f>'normal case'!V468</f>
        <v>0</v>
      </c>
      <c r="X469" s="40">
        <f>'normal case'!W468</f>
        <v>0</v>
      </c>
      <c r="Y469" s="49">
        <f ca="1">IF(controls!$B$33=1,E469-($J$4-'main page'!$K$27*2)*(1+('main page'!$K$35/100))^A468,E469-$AG$5)</f>
        <v>0</v>
      </c>
      <c r="Z469" s="49">
        <f ca="1">ABS(M469-(controls!$B$9/100)*100)</f>
        <v>0</v>
      </c>
      <c r="AI469" s="40"/>
      <c r="AJ469" s="40"/>
    </row>
    <row r="470" spans="1:36">
      <c r="A470" s="48">
        <v>467</v>
      </c>
      <c r="B470" s="75">
        <f ca="1">IF(controls!$B$6=2,AVERAGE(E466:E469)+B469*W470+hystere!$AG$9,AVERAGE(E466:E469)+B469*W470)</f>
        <v>100</v>
      </c>
      <c r="C470" s="80">
        <f t="shared" ca="1" si="43"/>
        <v>0</v>
      </c>
      <c r="D470" s="105">
        <f t="shared" ca="1" si="44"/>
        <v>0</v>
      </c>
      <c r="E470" s="77">
        <f t="shared" ca="1" si="45"/>
        <v>100</v>
      </c>
      <c r="F470" s="77">
        <f ca="1">IF('main page'!$K$34=1,hystere!H470,hystere!G470)</f>
        <v>100</v>
      </c>
      <c r="G470" s="94">
        <f ca="1">I470-'main page'!$K$27*hystere!N469</f>
        <v>100</v>
      </c>
      <c r="H470" s="75">
        <f ca="1">J470-'main page'!$K$27*N469</f>
        <v>100</v>
      </c>
      <c r="I470" s="75">
        <f t="shared" ca="1" si="40"/>
        <v>108</v>
      </c>
      <c r="J470" s="75">
        <f t="shared" ca="1" si="41"/>
        <v>108</v>
      </c>
      <c r="M470" s="75">
        <f ca="1">IF(ABS('main page'!$K$29*M469+(1-'main page'!$K$29)*(controls!$B$9/100)*100+'main page'!$K$25*(E470-B470)-M469)&lt;0.0000001,M469,'main page'!$K$29*M469+(1-'main page'!$K$29)*(controls!$B$9/100)*100+'main page'!$K$25*(E470-B470))</f>
        <v>2</v>
      </c>
      <c r="N470" s="75">
        <f ca="1">IF(controls!$B$10=1,N469,O470-'main page'!$K$29*M470-(1-'main page'!$K$29)*controls!$B$9)</f>
        <v>4</v>
      </c>
      <c r="O470" s="74">
        <f t="shared" ca="1" si="42"/>
        <v>6</v>
      </c>
      <c r="P470" s="76">
        <f ca="1">IF(controls!$B$10=1,hystere!N470+hystere!M470,hystere!Q470)</f>
        <v>6</v>
      </c>
      <c r="Q470" s="74">
        <f ca="1">IF('main page'!$Y$53=1,'choose m.p.'!$I$22*100,R470)</f>
        <v>6</v>
      </c>
      <c r="R470" s="100">
        <f ca="1">'main page'!$K$29*M470+(1-'main page'!$K$29)*controls!$B$9+S470+(('main page'!$K$25*'main page'!$U$13*'main page'!$K$29)/('main page'!$K$27*(1+('main page'!$K$25^2)*'main page'!$U$13)))*(M470-(controls!$B$9/100)*100)</f>
        <v>6</v>
      </c>
      <c r="S470" s="98">
        <f ca="1">IF(controls!$B$33=1,(J471-E470*X471-B470)/'main page'!$K$27,(I471-E470*X471-B470)/'main page'!$K$27)</f>
        <v>4</v>
      </c>
      <c r="U470" s="71">
        <f>IF(controls!$B$6=1,$AG$4*(1+('main page'!$K$35/100))^V470-$AG$4*(1+('main page'!$K$35/100))^V469,$AG$4*(1+('main page'!$G$8/100))*(1+('main page'!$K$35/100))^V470-$AG$4*(1+('main page'!$G$8/100))*(1+('main page'!$K$35/100))^V469)</f>
        <v>0</v>
      </c>
      <c r="V470" s="73">
        <v>462</v>
      </c>
      <c r="W470" s="40">
        <f>'normal case'!V469</f>
        <v>0</v>
      </c>
      <c r="X470" s="40">
        <f>'normal case'!W469</f>
        <v>0</v>
      </c>
      <c r="Y470" s="49">
        <f ca="1">IF(controls!$B$33=1,E470-($J$4-'main page'!$K$27*2)*(1+('main page'!$K$35/100))^A469,E470-$AG$5)</f>
        <v>0</v>
      </c>
      <c r="Z470" s="49">
        <f ca="1">ABS(M470-(controls!$B$9/100)*100)</f>
        <v>0</v>
      </c>
      <c r="AI470" s="40"/>
      <c r="AJ470" s="40"/>
    </row>
    <row r="471" spans="1:36">
      <c r="A471" s="48">
        <v>468</v>
      </c>
      <c r="B471" s="75">
        <f ca="1">IF(controls!$B$6=2,AVERAGE(E467:E470)+B470*W471+hystere!$AG$9,AVERAGE(E467:E470)+B470*W471)</f>
        <v>100</v>
      </c>
      <c r="C471" s="80">
        <f t="shared" ca="1" si="43"/>
        <v>0</v>
      </c>
      <c r="D471" s="105">
        <f t="shared" ca="1" si="44"/>
        <v>0</v>
      </c>
      <c r="E471" s="77">
        <f t="shared" ca="1" si="45"/>
        <v>100</v>
      </c>
      <c r="F471" s="77">
        <f ca="1">IF('main page'!$K$34=1,hystere!H471,hystere!G471)</f>
        <v>100</v>
      </c>
      <c r="G471" s="94">
        <f ca="1">I471-'main page'!$K$27*hystere!N470</f>
        <v>100</v>
      </c>
      <c r="H471" s="75">
        <f ca="1">J471-'main page'!$K$27*N470</f>
        <v>100</v>
      </c>
      <c r="I471" s="75">
        <f t="shared" ca="1" si="40"/>
        <v>108</v>
      </c>
      <c r="J471" s="75">
        <f t="shared" ca="1" si="41"/>
        <v>108</v>
      </c>
      <c r="M471" s="75">
        <f ca="1">IF(ABS('main page'!$K$29*M470+(1-'main page'!$K$29)*(controls!$B$9/100)*100+'main page'!$K$25*(E471-B471)-M470)&lt;0.0000001,M470,'main page'!$K$29*M470+(1-'main page'!$K$29)*(controls!$B$9/100)*100+'main page'!$K$25*(E471-B471))</f>
        <v>2</v>
      </c>
      <c r="N471" s="75">
        <f ca="1">IF(controls!$B$10=1,N470,O471-'main page'!$K$29*M471-(1-'main page'!$K$29)*controls!$B$9)</f>
        <v>4</v>
      </c>
      <c r="O471" s="74">
        <f t="shared" ca="1" si="42"/>
        <v>6</v>
      </c>
      <c r="P471" s="76">
        <f ca="1">IF(controls!$B$10=1,hystere!N471+hystere!M471,hystere!Q471)</f>
        <v>6</v>
      </c>
      <c r="Q471" s="74">
        <f ca="1">IF('main page'!$Y$53=1,'choose m.p.'!$I$22*100,R471)</f>
        <v>6</v>
      </c>
      <c r="R471" s="100">
        <f ca="1">'main page'!$K$29*M471+(1-'main page'!$K$29)*controls!$B$9+S471+(('main page'!$K$25*'main page'!$U$13*'main page'!$K$29)/('main page'!$K$27*(1+('main page'!$K$25^2)*'main page'!$U$13)))*(M471-(controls!$B$9/100)*100)</f>
        <v>6</v>
      </c>
      <c r="S471" s="98">
        <f ca="1">IF(controls!$B$33=1,(J472-E471*X472-B471)/'main page'!$K$27,(I472-E471*X472-B471)/'main page'!$K$27)</f>
        <v>4</v>
      </c>
      <c r="U471" s="71">
        <f>IF(controls!$B$6=1,$AG$4*(1+('main page'!$K$35/100))^V471-$AG$4*(1+('main page'!$K$35/100))^V470,$AG$4*(1+('main page'!$G$8/100))*(1+('main page'!$K$35/100))^V471-$AG$4*(1+('main page'!$G$8/100))*(1+('main page'!$K$35/100))^V470)</f>
        <v>0</v>
      </c>
      <c r="V471" s="73">
        <v>463</v>
      </c>
      <c r="W471" s="40">
        <f ca="1">'normal case'!V470</f>
        <v>0</v>
      </c>
      <c r="X471" s="40">
        <f ca="1">'normal case'!W470</f>
        <v>0</v>
      </c>
      <c r="Y471" s="49">
        <f ca="1">IF(controls!$B$33=1,E471-($J$4-'main page'!$K$27*2)*(1+('main page'!$K$35/100))^A470,E471-$AG$5)</f>
        <v>0</v>
      </c>
      <c r="Z471" s="49">
        <f ca="1">ABS(M471-(controls!$B$9/100)*100)</f>
        <v>0</v>
      </c>
      <c r="AI471" s="40"/>
      <c r="AJ471" s="40"/>
    </row>
    <row r="472" spans="1:36">
      <c r="A472" s="48">
        <v>469</v>
      </c>
      <c r="B472" s="75">
        <f ca="1">IF(controls!$B$6=2,AVERAGE(E468:E471)+B471*W472+hystere!$AG$9,AVERAGE(E468:E471)+B471*W472)</f>
        <v>100</v>
      </c>
      <c r="C472" s="80">
        <f t="shared" ca="1" si="43"/>
        <v>0</v>
      </c>
      <c r="D472" s="105">
        <f t="shared" ca="1" si="44"/>
        <v>0</v>
      </c>
      <c r="E472" s="77">
        <f t="shared" ca="1" si="45"/>
        <v>100</v>
      </c>
      <c r="F472" s="77">
        <f ca="1">IF('main page'!$K$34=1,hystere!H472,hystere!G472)</f>
        <v>100</v>
      </c>
      <c r="G472" s="94">
        <f ca="1">I472-'main page'!$K$27*hystere!N471</f>
        <v>100</v>
      </c>
      <c r="H472" s="75">
        <f ca="1">J472-'main page'!$K$27*N471</f>
        <v>100</v>
      </c>
      <c r="I472" s="75">
        <f t="shared" ca="1" si="40"/>
        <v>108</v>
      </c>
      <c r="J472" s="75">
        <f t="shared" ca="1" si="41"/>
        <v>108</v>
      </c>
      <c r="M472" s="75">
        <f ca="1">IF(ABS('main page'!$K$29*M471+(1-'main page'!$K$29)*(controls!$B$9/100)*100+'main page'!$K$25*(E472-B472)-M471)&lt;0.0000001,M471,'main page'!$K$29*M471+(1-'main page'!$K$29)*(controls!$B$9/100)*100+'main page'!$K$25*(E472-B472))</f>
        <v>2</v>
      </c>
      <c r="N472" s="75">
        <f ca="1">IF(controls!$B$10=1,N471,O472-'main page'!$K$29*M472-(1-'main page'!$K$29)*controls!$B$9)</f>
        <v>4</v>
      </c>
      <c r="O472" s="74">
        <f t="shared" ca="1" si="42"/>
        <v>6</v>
      </c>
      <c r="P472" s="76">
        <f ca="1">IF(controls!$B$10=1,hystere!N472+hystere!M472,hystere!Q472)</f>
        <v>6</v>
      </c>
      <c r="Q472" s="74">
        <f ca="1">IF('main page'!$Y$53=1,'choose m.p.'!$I$22*100,R472)</f>
        <v>6</v>
      </c>
      <c r="R472" s="100">
        <f ca="1">'main page'!$K$29*M472+(1-'main page'!$K$29)*controls!$B$9+S472+(('main page'!$K$25*'main page'!$U$13*'main page'!$K$29)/('main page'!$K$27*(1+('main page'!$K$25^2)*'main page'!$U$13)))*(M472-(controls!$B$9/100)*100)</f>
        <v>6</v>
      </c>
      <c r="S472" s="98">
        <f ca="1">IF(controls!$B$33=1,(J473-E472*X473-B472)/'main page'!$K$27,(I473-E472*X473-B472)/'main page'!$K$27)</f>
        <v>4</v>
      </c>
      <c r="U472" s="71">
        <f>IF(controls!$B$6=1,$AG$4*(1+('main page'!$K$35/100))^V472-$AG$4*(1+('main page'!$K$35/100))^V471,$AG$4*(1+('main page'!$G$8/100))*(1+('main page'!$K$35/100))^V472-$AG$4*(1+('main page'!$G$8/100))*(1+('main page'!$K$35/100))^V471)</f>
        <v>0</v>
      </c>
      <c r="V472" s="73">
        <v>464</v>
      </c>
      <c r="W472" s="40">
        <f>'normal case'!V471</f>
        <v>0</v>
      </c>
      <c r="X472" s="40">
        <f>'normal case'!W471</f>
        <v>0</v>
      </c>
      <c r="Y472" s="49">
        <f ca="1">IF(controls!$B$33=1,E472-($J$4-'main page'!$K$27*2)*(1+('main page'!$K$35/100))^A471,E472-$AG$5)</f>
        <v>0</v>
      </c>
      <c r="Z472" s="49">
        <f ca="1">ABS(M472-(controls!$B$9/100)*100)</f>
        <v>0</v>
      </c>
      <c r="AI472" s="40"/>
      <c r="AJ472" s="40"/>
    </row>
    <row r="473" spans="1:36">
      <c r="A473" s="48">
        <v>470</v>
      </c>
      <c r="B473" s="75">
        <f ca="1">IF(controls!$B$6=2,AVERAGE(E469:E472)+B472*W473+hystere!$AG$9,AVERAGE(E469:E472)+B472*W473)</f>
        <v>100</v>
      </c>
      <c r="C473" s="80">
        <f t="shared" ca="1" si="43"/>
        <v>0</v>
      </c>
      <c r="D473" s="105">
        <f t="shared" ca="1" si="44"/>
        <v>0</v>
      </c>
      <c r="E473" s="77">
        <f t="shared" ca="1" si="45"/>
        <v>100</v>
      </c>
      <c r="F473" s="77">
        <f ca="1">IF('main page'!$K$34=1,hystere!H473,hystere!G473)</f>
        <v>100</v>
      </c>
      <c r="G473" s="94">
        <f ca="1">I473-'main page'!$K$27*hystere!N472</f>
        <v>100</v>
      </c>
      <c r="H473" s="75">
        <f ca="1">J473-'main page'!$K$27*N472</f>
        <v>100</v>
      </c>
      <c r="I473" s="75">
        <f t="shared" ref="I473:I503" ca="1" si="46">I472+E472*X473</f>
        <v>108</v>
      </c>
      <c r="J473" s="75">
        <f t="shared" ref="J473:J503" ca="1" si="47">J472+E472*X473+U473</f>
        <v>108</v>
      </c>
      <c r="M473" s="75">
        <f ca="1">IF(ABS('main page'!$K$29*M472+(1-'main page'!$K$29)*(controls!$B$9/100)*100+'main page'!$K$25*(E473-B473)-M472)&lt;0.0000001,M472,'main page'!$K$29*M472+(1-'main page'!$K$29)*(controls!$B$9/100)*100+'main page'!$K$25*(E473-B473))</f>
        <v>2</v>
      </c>
      <c r="N473" s="75">
        <f ca="1">IF(controls!$B$10=1,N472,O473-'main page'!$K$29*M473-(1-'main page'!$K$29)*controls!$B$9)</f>
        <v>4</v>
      </c>
      <c r="O473" s="74">
        <f t="shared" ca="1" si="42"/>
        <v>6</v>
      </c>
      <c r="P473" s="76">
        <f ca="1">IF(controls!$B$10=1,hystere!N473+hystere!M473,hystere!Q473)</f>
        <v>6</v>
      </c>
      <c r="Q473" s="74">
        <f ca="1">IF('main page'!$Y$53=1,'choose m.p.'!$I$22*100,R473)</f>
        <v>6</v>
      </c>
      <c r="R473" s="100">
        <f ca="1">'main page'!$K$29*M473+(1-'main page'!$K$29)*controls!$B$9+S473+(('main page'!$K$25*'main page'!$U$13*'main page'!$K$29)/('main page'!$K$27*(1+('main page'!$K$25^2)*'main page'!$U$13)))*(M473-(controls!$B$9/100)*100)</f>
        <v>6</v>
      </c>
      <c r="S473" s="98">
        <f ca="1">IF(controls!$B$33=1,(J474-E473*X474-B473)/'main page'!$K$27,(I474-E473*X474-B473)/'main page'!$K$27)</f>
        <v>4</v>
      </c>
      <c r="U473" s="71">
        <f>IF(controls!$B$6=1,$AG$4*(1+('main page'!$K$35/100))^V473-$AG$4*(1+('main page'!$K$35/100))^V472,$AG$4*(1+('main page'!$G$8/100))*(1+('main page'!$K$35/100))^V473-$AG$4*(1+('main page'!$G$8/100))*(1+('main page'!$K$35/100))^V472)</f>
        <v>0</v>
      </c>
      <c r="V473" s="73">
        <v>465</v>
      </c>
      <c r="W473" s="40">
        <f>'normal case'!V472</f>
        <v>0</v>
      </c>
      <c r="X473" s="40">
        <f>'normal case'!W472</f>
        <v>0</v>
      </c>
      <c r="Y473" s="49">
        <f ca="1">IF(controls!$B$33=1,E473-($J$4-'main page'!$K$27*2)*(1+('main page'!$K$35/100))^A472,E473-$AG$5)</f>
        <v>0</v>
      </c>
      <c r="Z473" s="49">
        <f ca="1">ABS(M473-(controls!$B$9/100)*100)</f>
        <v>0</v>
      </c>
      <c r="AI473" s="40"/>
      <c r="AJ473" s="40"/>
    </row>
    <row r="474" spans="1:36">
      <c r="A474" s="48">
        <v>471</v>
      </c>
      <c r="B474" s="75">
        <f ca="1">IF(controls!$B$6=2,AVERAGE(E470:E473)+B473*W474+hystere!$AG$9,AVERAGE(E470:E473)+B473*W474)</f>
        <v>100</v>
      </c>
      <c r="C474" s="80">
        <f t="shared" ca="1" si="43"/>
        <v>0</v>
      </c>
      <c r="D474" s="105">
        <f t="shared" ca="1" si="44"/>
        <v>0</v>
      </c>
      <c r="E474" s="77">
        <f t="shared" ca="1" si="45"/>
        <v>100</v>
      </c>
      <c r="F474" s="77">
        <f ca="1">IF('main page'!$K$34=1,hystere!H474,hystere!G474)</f>
        <v>100</v>
      </c>
      <c r="G474" s="94">
        <f ca="1">I474-'main page'!$K$27*hystere!N473</f>
        <v>100</v>
      </c>
      <c r="H474" s="75">
        <f ca="1">J474-'main page'!$K$27*N473</f>
        <v>100</v>
      </c>
      <c r="I474" s="75">
        <f t="shared" ca="1" si="46"/>
        <v>108</v>
      </c>
      <c r="J474" s="75">
        <f t="shared" ca="1" si="47"/>
        <v>108</v>
      </c>
      <c r="M474" s="75">
        <f ca="1">IF(ABS('main page'!$K$29*M473+(1-'main page'!$K$29)*(controls!$B$9/100)*100+'main page'!$K$25*(E474-B474)-M473)&lt;0.0000001,M473,'main page'!$K$29*M473+(1-'main page'!$K$29)*(controls!$B$9/100)*100+'main page'!$K$25*(E474-B474))</f>
        <v>2</v>
      </c>
      <c r="N474" s="75">
        <f ca="1">IF(controls!$B$10=1,N473,O474-'main page'!$K$29*M474-(1-'main page'!$K$29)*controls!$B$9)</f>
        <v>4</v>
      </c>
      <c r="O474" s="74">
        <f t="shared" ca="1" si="42"/>
        <v>6</v>
      </c>
      <c r="P474" s="76">
        <f ca="1">IF(controls!$B$10=1,hystere!N474+hystere!M474,hystere!Q474)</f>
        <v>6</v>
      </c>
      <c r="Q474" s="74">
        <f ca="1">IF('main page'!$Y$53=1,'choose m.p.'!$I$22*100,R474)</f>
        <v>6</v>
      </c>
      <c r="R474" s="100">
        <f ca="1">'main page'!$K$29*M474+(1-'main page'!$K$29)*controls!$B$9+S474+(('main page'!$K$25*'main page'!$U$13*'main page'!$K$29)/('main page'!$K$27*(1+('main page'!$K$25^2)*'main page'!$U$13)))*(M474-(controls!$B$9/100)*100)</f>
        <v>6</v>
      </c>
      <c r="S474" s="98">
        <f ca="1">IF(controls!$B$33=1,(J475-E474*X475-B474)/'main page'!$K$27,(I475-E474*X475-B474)/'main page'!$K$27)</f>
        <v>4</v>
      </c>
      <c r="U474" s="71">
        <f>IF(controls!$B$6=1,$AG$4*(1+('main page'!$K$35/100))^V474-$AG$4*(1+('main page'!$K$35/100))^V473,$AG$4*(1+('main page'!$G$8/100))*(1+('main page'!$K$35/100))^V474-$AG$4*(1+('main page'!$G$8/100))*(1+('main page'!$K$35/100))^V473)</f>
        <v>0</v>
      </c>
      <c r="V474" s="73">
        <v>466</v>
      </c>
      <c r="W474" s="40">
        <f ca="1">'normal case'!V473</f>
        <v>0</v>
      </c>
      <c r="X474" s="40">
        <f ca="1">'normal case'!W473</f>
        <v>0</v>
      </c>
      <c r="Y474" s="49">
        <f ca="1">IF(controls!$B$33=1,E474-($J$4-'main page'!$K$27*2)*(1+('main page'!$K$35/100))^A473,E474-$AG$5)</f>
        <v>0</v>
      </c>
      <c r="Z474" s="49">
        <f ca="1">ABS(M474-(controls!$B$9/100)*100)</f>
        <v>0</v>
      </c>
      <c r="AI474" s="40"/>
      <c r="AJ474" s="40"/>
    </row>
    <row r="475" spans="1:36">
      <c r="A475" s="48">
        <v>472</v>
      </c>
      <c r="B475" s="75">
        <f ca="1">IF(controls!$B$6=2,AVERAGE(E471:E474)+B474*W475+hystere!$AG$9,AVERAGE(E471:E474)+B474*W475)</f>
        <v>100</v>
      </c>
      <c r="C475" s="80">
        <f t="shared" ca="1" si="43"/>
        <v>0</v>
      </c>
      <c r="D475" s="105">
        <f t="shared" ca="1" si="44"/>
        <v>0</v>
      </c>
      <c r="E475" s="77">
        <f t="shared" ca="1" si="45"/>
        <v>100</v>
      </c>
      <c r="F475" s="77">
        <f ca="1">IF('main page'!$K$34=1,hystere!H475,hystere!G475)</f>
        <v>100</v>
      </c>
      <c r="G475" s="94">
        <f ca="1">I475-'main page'!$K$27*hystere!N474</f>
        <v>100</v>
      </c>
      <c r="H475" s="75">
        <f ca="1">J475-'main page'!$K$27*N474</f>
        <v>100</v>
      </c>
      <c r="I475" s="75">
        <f t="shared" ca="1" si="46"/>
        <v>108</v>
      </c>
      <c r="J475" s="75">
        <f t="shared" ca="1" si="47"/>
        <v>108</v>
      </c>
      <c r="M475" s="75">
        <f ca="1">IF(ABS('main page'!$K$29*M474+(1-'main page'!$K$29)*(controls!$B$9/100)*100+'main page'!$K$25*(E475-B475)-M474)&lt;0.0000001,M474,'main page'!$K$29*M474+(1-'main page'!$K$29)*(controls!$B$9/100)*100+'main page'!$K$25*(E475-B475))</f>
        <v>2</v>
      </c>
      <c r="N475" s="75">
        <f ca="1">IF(controls!$B$10=1,N474,O475-'main page'!$K$29*M475-(1-'main page'!$K$29)*controls!$B$9)</f>
        <v>4</v>
      </c>
      <c r="O475" s="74">
        <f t="shared" ca="1" si="42"/>
        <v>6</v>
      </c>
      <c r="P475" s="76">
        <f ca="1">IF(controls!$B$10=1,hystere!N475+hystere!M475,hystere!Q475)</f>
        <v>6</v>
      </c>
      <c r="Q475" s="74">
        <f ca="1">IF('main page'!$Y$53=1,'choose m.p.'!$I$22*100,R475)</f>
        <v>6</v>
      </c>
      <c r="R475" s="100">
        <f ca="1">'main page'!$K$29*M475+(1-'main page'!$K$29)*controls!$B$9+S475+(('main page'!$K$25*'main page'!$U$13*'main page'!$K$29)/('main page'!$K$27*(1+('main page'!$K$25^2)*'main page'!$U$13)))*(M475-(controls!$B$9/100)*100)</f>
        <v>6</v>
      </c>
      <c r="S475" s="98">
        <f ca="1">IF(controls!$B$33=1,(J476-E475*X476-B475)/'main page'!$K$27,(I476-E475*X476-B475)/'main page'!$K$27)</f>
        <v>4</v>
      </c>
      <c r="U475" s="71">
        <f>IF(controls!$B$6=1,$AG$4*(1+('main page'!$K$35/100))^V475-$AG$4*(1+('main page'!$K$35/100))^V474,$AG$4*(1+('main page'!$G$8/100))*(1+('main page'!$K$35/100))^V475-$AG$4*(1+('main page'!$G$8/100))*(1+('main page'!$K$35/100))^V474)</f>
        <v>0</v>
      </c>
      <c r="V475" s="73">
        <v>467</v>
      </c>
      <c r="W475" s="40">
        <f>'normal case'!V474</f>
        <v>0</v>
      </c>
      <c r="X475" s="40">
        <f>'normal case'!W474</f>
        <v>0</v>
      </c>
      <c r="Y475" s="49">
        <f ca="1">IF(controls!$B$33=1,E475-($J$4-'main page'!$K$27*2)*(1+('main page'!$K$35/100))^A474,E475-$AG$5)</f>
        <v>0</v>
      </c>
      <c r="Z475" s="49">
        <f ca="1">ABS(M475-(controls!$B$9/100)*100)</f>
        <v>0</v>
      </c>
      <c r="AI475" s="40"/>
      <c r="AJ475" s="40"/>
    </row>
    <row r="476" spans="1:36">
      <c r="A476" s="48">
        <v>473</v>
      </c>
      <c r="B476" s="75">
        <f ca="1">IF(controls!$B$6=2,AVERAGE(E472:E475)+B475*W476+hystere!$AG$9,AVERAGE(E472:E475)+B475*W476)</f>
        <v>100</v>
      </c>
      <c r="C476" s="80">
        <f t="shared" ca="1" si="43"/>
        <v>0</v>
      </c>
      <c r="D476" s="105">
        <f t="shared" ca="1" si="44"/>
        <v>0</v>
      </c>
      <c r="E476" s="77">
        <f t="shared" ca="1" si="45"/>
        <v>100</v>
      </c>
      <c r="F476" s="77">
        <f ca="1">IF('main page'!$K$34=1,hystere!H476,hystere!G476)</f>
        <v>100</v>
      </c>
      <c r="G476" s="94">
        <f ca="1">I476-'main page'!$K$27*hystere!N475</f>
        <v>100</v>
      </c>
      <c r="H476" s="75">
        <f ca="1">J476-'main page'!$K$27*N475</f>
        <v>100</v>
      </c>
      <c r="I476" s="75">
        <f t="shared" ca="1" si="46"/>
        <v>108</v>
      </c>
      <c r="J476" s="75">
        <f t="shared" ca="1" si="47"/>
        <v>108</v>
      </c>
      <c r="M476" s="75">
        <f ca="1">IF(ABS('main page'!$K$29*M475+(1-'main page'!$K$29)*(controls!$B$9/100)*100+'main page'!$K$25*(E476-B476)-M475)&lt;0.0000001,M475,'main page'!$K$29*M475+(1-'main page'!$K$29)*(controls!$B$9/100)*100+'main page'!$K$25*(E476-B476))</f>
        <v>2</v>
      </c>
      <c r="N476" s="75">
        <f ca="1">IF(controls!$B$10=1,N475,O476-'main page'!$K$29*M476-(1-'main page'!$K$29)*controls!$B$9)</f>
        <v>4</v>
      </c>
      <c r="O476" s="74">
        <f t="shared" ca="1" si="42"/>
        <v>6</v>
      </c>
      <c r="P476" s="76">
        <f ca="1">IF(controls!$B$10=1,hystere!N476+hystere!M476,hystere!Q476)</f>
        <v>6</v>
      </c>
      <c r="Q476" s="74">
        <f ca="1">IF('main page'!$Y$53=1,'choose m.p.'!$I$22*100,R476)</f>
        <v>6</v>
      </c>
      <c r="R476" s="100">
        <f ca="1">'main page'!$K$29*M476+(1-'main page'!$K$29)*controls!$B$9+S476+(('main page'!$K$25*'main page'!$U$13*'main page'!$K$29)/('main page'!$K$27*(1+('main page'!$K$25^2)*'main page'!$U$13)))*(M476-(controls!$B$9/100)*100)</f>
        <v>6</v>
      </c>
      <c r="S476" s="98">
        <f ca="1">IF(controls!$B$33=1,(J477-E476*X477-B476)/'main page'!$K$27,(I477-E476*X477-B476)/'main page'!$K$27)</f>
        <v>4</v>
      </c>
      <c r="U476" s="71">
        <f>IF(controls!$B$6=1,$AG$4*(1+('main page'!$K$35/100))^V476-$AG$4*(1+('main page'!$K$35/100))^V475,$AG$4*(1+('main page'!$G$8/100))*(1+('main page'!$K$35/100))^V476-$AG$4*(1+('main page'!$G$8/100))*(1+('main page'!$K$35/100))^V475)</f>
        <v>0</v>
      </c>
      <c r="V476" s="73">
        <v>468</v>
      </c>
      <c r="W476" s="40">
        <f>'normal case'!V475</f>
        <v>0</v>
      </c>
      <c r="X476" s="40">
        <f>'normal case'!W475</f>
        <v>0</v>
      </c>
      <c r="Y476" s="49">
        <f ca="1">IF(controls!$B$33=1,E476-($J$4-'main page'!$K$27*2)*(1+('main page'!$K$35/100))^A475,E476-$AG$5)</f>
        <v>0</v>
      </c>
      <c r="Z476" s="49">
        <f ca="1">ABS(M476-(controls!$B$9/100)*100)</f>
        <v>0</v>
      </c>
      <c r="AI476" s="40"/>
      <c r="AJ476" s="40"/>
    </row>
    <row r="477" spans="1:36">
      <c r="A477" s="48">
        <v>474</v>
      </c>
      <c r="B477" s="75">
        <f ca="1">IF(controls!$B$6=2,AVERAGE(E473:E476)+B476*W477+hystere!$AG$9,AVERAGE(E473:E476)+B476*W477)</f>
        <v>100</v>
      </c>
      <c r="C477" s="80">
        <f t="shared" ca="1" si="43"/>
        <v>0</v>
      </c>
      <c r="D477" s="105">
        <f t="shared" ca="1" si="44"/>
        <v>0</v>
      </c>
      <c r="E477" s="77">
        <f t="shared" ca="1" si="45"/>
        <v>100</v>
      </c>
      <c r="F477" s="77">
        <f ca="1">IF('main page'!$K$34=1,hystere!H477,hystere!G477)</f>
        <v>100</v>
      </c>
      <c r="G477" s="94">
        <f ca="1">I477-'main page'!$K$27*hystere!N476</f>
        <v>100</v>
      </c>
      <c r="H477" s="75">
        <f ca="1">J477-'main page'!$K$27*N476</f>
        <v>100</v>
      </c>
      <c r="I477" s="75">
        <f t="shared" ca="1" si="46"/>
        <v>108</v>
      </c>
      <c r="J477" s="75">
        <f t="shared" ca="1" si="47"/>
        <v>108</v>
      </c>
      <c r="M477" s="75">
        <f ca="1">IF(ABS('main page'!$K$29*M476+(1-'main page'!$K$29)*(controls!$B$9/100)*100+'main page'!$K$25*(E477-B477)-M476)&lt;0.0000001,M476,'main page'!$K$29*M476+(1-'main page'!$K$29)*(controls!$B$9/100)*100+'main page'!$K$25*(E477-B477))</f>
        <v>2</v>
      </c>
      <c r="N477" s="75">
        <f ca="1">IF(controls!$B$10=1,N476,O477-'main page'!$K$29*M477-(1-'main page'!$K$29)*controls!$B$9)</f>
        <v>4</v>
      </c>
      <c r="O477" s="74">
        <f t="shared" ca="1" si="42"/>
        <v>6</v>
      </c>
      <c r="P477" s="76">
        <f ca="1">IF(controls!$B$10=1,hystere!N477+hystere!M477,hystere!Q477)</f>
        <v>6</v>
      </c>
      <c r="Q477" s="74">
        <f ca="1">IF('main page'!$Y$53=1,'choose m.p.'!$I$22*100,R477)</f>
        <v>6</v>
      </c>
      <c r="R477" s="100">
        <f ca="1">'main page'!$K$29*M477+(1-'main page'!$K$29)*controls!$B$9+S477+(('main page'!$K$25*'main page'!$U$13*'main page'!$K$29)/('main page'!$K$27*(1+('main page'!$K$25^2)*'main page'!$U$13)))*(M477-(controls!$B$9/100)*100)</f>
        <v>6</v>
      </c>
      <c r="S477" s="98">
        <f ca="1">IF(controls!$B$33=1,(J478-E477*X478-B477)/'main page'!$K$27,(I478-E477*X478-B477)/'main page'!$K$27)</f>
        <v>4</v>
      </c>
      <c r="U477" s="71">
        <f>IF(controls!$B$6=1,$AG$4*(1+('main page'!$K$35/100))^V477-$AG$4*(1+('main page'!$K$35/100))^V476,$AG$4*(1+('main page'!$G$8/100))*(1+('main page'!$K$35/100))^V477-$AG$4*(1+('main page'!$G$8/100))*(1+('main page'!$K$35/100))^V476)</f>
        <v>0</v>
      </c>
      <c r="V477" s="73">
        <v>469</v>
      </c>
      <c r="W477" s="40">
        <f ca="1">'normal case'!V476</f>
        <v>0</v>
      </c>
      <c r="X477" s="40">
        <f ca="1">'normal case'!W476</f>
        <v>0</v>
      </c>
      <c r="Y477" s="49">
        <f ca="1">IF(controls!$B$33=1,E477-($J$4-'main page'!$K$27*2)*(1+('main page'!$K$35/100))^A476,E477-$AG$5)</f>
        <v>0</v>
      </c>
      <c r="Z477" s="49">
        <f ca="1">ABS(M477-(controls!$B$9/100)*100)</f>
        <v>0</v>
      </c>
      <c r="AI477" s="40"/>
      <c r="AJ477" s="40"/>
    </row>
    <row r="478" spans="1:36">
      <c r="A478" s="48">
        <v>475</v>
      </c>
      <c r="B478" s="75">
        <f ca="1">IF(controls!$B$6=2,AVERAGE(E474:E477)+B477*W478+hystere!$AG$9,AVERAGE(E474:E477)+B477*W478)</f>
        <v>100</v>
      </c>
      <c r="C478" s="80">
        <f t="shared" ca="1" si="43"/>
        <v>0</v>
      </c>
      <c r="D478" s="105">
        <f t="shared" ca="1" si="44"/>
        <v>0</v>
      </c>
      <c r="E478" s="77">
        <f t="shared" ca="1" si="45"/>
        <v>100</v>
      </c>
      <c r="F478" s="77">
        <f ca="1">IF('main page'!$K$34=1,hystere!H478,hystere!G478)</f>
        <v>100</v>
      </c>
      <c r="G478" s="94">
        <f ca="1">I478-'main page'!$K$27*hystere!N477</f>
        <v>100</v>
      </c>
      <c r="H478" s="75">
        <f ca="1">J478-'main page'!$K$27*N477</f>
        <v>100</v>
      </c>
      <c r="I478" s="75">
        <f t="shared" ca="1" si="46"/>
        <v>108</v>
      </c>
      <c r="J478" s="75">
        <f t="shared" ca="1" si="47"/>
        <v>108</v>
      </c>
      <c r="M478" s="75">
        <f ca="1">IF(ABS('main page'!$K$29*M477+(1-'main page'!$K$29)*(controls!$B$9/100)*100+'main page'!$K$25*(E478-B478)-M477)&lt;0.0000001,M477,'main page'!$K$29*M477+(1-'main page'!$K$29)*(controls!$B$9/100)*100+'main page'!$K$25*(E478-B478))</f>
        <v>2</v>
      </c>
      <c r="N478" s="75">
        <f ca="1">IF(controls!$B$10=1,N477,O478-'main page'!$K$29*M478-(1-'main page'!$K$29)*controls!$B$9)</f>
        <v>4</v>
      </c>
      <c r="O478" s="74">
        <f t="shared" ca="1" si="42"/>
        <v>6</v>
      </c>
      <c r="P478" s="76">
        <f ca="1">IF(controls!$B$10=1,hystere!N478+hystere!M478,hystere!Q478)</f>
        <v>6</v>
      </c>
      <c r="Q478" s="74">
        <f ca="1">IF('main page'!$Y$53=1,'choose m.p.'!$I$22*100,R478)</f>
        <v>6</v>
      </c>
      <c r="R478" s="100">
        <f ca="1">'main page'!$K$29*M478+(1-'main page'!$K$29)*controls!$B$9+S478+(('main page'!$K$25*'main page'!$U$13*'main page'!$K$29)/('main page'!$K$27*(1+('main page'!$K$25^2)*'main page'!$U$13)))*(M478-(controls!$B$9/100)*100)</f>
        <v>6</v>
      </c>
      <c r="S478" s="98">
        <f ca="1">IF(controls!$B$33=1,(J479-E478*X479-B478)/'main page'!$K$27,(I479-E478*X479-B478)/'main page'!$K$27)</f>
        <v>4</v>
      </c>
      <c r="U478" s="71">
        <f>IF(controls!$B$6=1,$AG$4*(1+('main page'!$K$35/100))^V478-$AG$4*(1+('main page'!$K$35/100))^V477,$AG$4*(1+('main page'!$G$8/100))*(1+('main page'!$K$35/100))^V478-$AG$4*(1+('main page'!$G$8/100))*(1+('main page'!$K$35/100))^V477)</f>
        <v>0</v>
      </c>
      <c r="V478" s="73">
        <v>470</v>
      </c>
      <c r="W478" s="40">
        <f>'normal case'!V477</f>
        <v>0</v>
      </c>
      <c r="X478" s="40">
        <f>'normal case'!W477</f>
        <v>0</v>
      </c>
      <c r="Y478" s="49">
        <f ca="1">IF(controls!$B$33=1,E478-($J$4-'main page'!$K$27*2)*(1+('main page'!$K$35/100))^A477,E478-$AG$5)</f>
        <v>0</v>
      </c>
      <c r="Z478" s="49">
        <f ca="1">ABS(M478-(controls!$B$9/100)*100)</f>
        <v>0</v>
      </c>
      <c r="AI478" s="40"/>
      <c r="AJ478" s="40"/>
    </row>
    <row r="479" spans="1:36">
      <c r="A479" s="48">
        <v>476</v>
      </c>
      <c r="B479" s="75">
        <f ca="1">IF(controls!$B$6=2,AVERAGE(E475:E478)+B478*W479+hystere!$AG$9,AVERAGE(E475:E478)+B478*W479)</f>
        <v>100</v>
      </c>
      <c r="C479" s="80">
        <f t="shared" ca="1" si="43"/>
        <v>0</v>
      </c>
      <c r="D479" s="105">
        <f t="shared" ca="1" si="44"/>
        <v>0</v>
      </c>
      <c r="E479" s="77">
        <f t="shared" ca="1" si="45"/>
        <v>100</v>
      </c>
      <c r="F479" s="77">
        <f ca="1">IF('main page'!$K$34=1,hystere!H479,hystere!G479)</f>
        <v>100</v>
      </c>
      <c r="G479" s="94">
        <f ca="1">I479-'main page'!$K$27*hystere!N478</f>
        <v>100</v>
      </c>
      <c r="H479" s="75">
        <f ca="1">J479-'main page'!$K$27*N478</f>
        <v>100</v>
      </c>
      <c r="I479" s="75">
        <f t="shared" ca="1" si="46"/>
        <v>108</v>
      </c>
      <c r="J479" s="75">
        <f t="shared" ca="1" si="47"/>
        <v>108</v>
      </c>
      <c r="M479" s="75">
        <f ca="1">IF(ABS('main page'!$K$29*M478+(1-'main page'!$K$29)*(controls!$B$9/100)*100+'main page'!$K$25*(E479-B479)-M478)&lt;0.0000001,M478,'main page'!$K$29*M478+(1-'main page'!$K$29)*(controls!$B$9/100)*100+'main page'!$K$25*(E479-B479))</f>
        <v>2</v>
      </c>
      <c r="N479" s="75">
        <f ca="1">IF(controls!$B$10=1,N478,O479-'main page'!$K$29*M479-(1-'main page'!$K$29)*controls!$B$9)</f>
        <v>4</v>
      </c>
      <c r="O479" s="74">
        <f t="shared" ca="1" si="42"/>
        <v>6</v>
      </c>
      <c r="P479" s="76">
        <f ca="1">IF(controls!$B$10=1,hystere!N479+hystere!M479,hystere!Q479)</f>
        <v>6</v>
      </c>
      <c r="Q479" s="74">
        <f ca="1">IF('main page'!$Y$53=1,'choose m.p.'!$I$22*100,R479)</f>
        <v>6</v>
      </c>
      <c r="R479" s="100">
        <f ca="1">'main page'!$K$29*M479+(1-'main page'!$K$29)*controls!$B$9+S479+(('main page'!$K$25*'main page'!$U$13*'main page'!$K$29)/('main page'!$K$27*(1+('main page'!$K$25^2)*'main page'!$U$13)))*(M479-(controls!$B$9/100)*100)</f>
        <v>6</v>
      </c>
      <c r="S479" s="98">
        <f ca="1">IF(controls!$B$33=1,(J480-E479*X480-B479)/'main page'!$K$27,(I480-E479*X480-B479)/'main page'!$K$27)</f>
        <v>4</v>
      </c>
      <c r="U479" s="71">
        <f>IF(controls!$B$6=1,$AG$4*(1+('main page'!$K$35/100))^V479-$AG$4*(1+('main page'!$K$35/100))^V478,$AG$4*(1+('main page'!$G$8/100))*(1+('main page'!$K$35/100))^V479-$AG$4*(1+('main page'!$G$8/100))*(1+('main page'!$K$35/100))^V478)</f>
        <v>0</v>
      </c>
      <c r="V479" s="73">
        <v>471</v>
      </c>
      <c r="W479" s="40">
        <f>'normal case'!V478</f>
        <v>0</v>
      </c>
      <c r="X479" s="40">
        <f>'normal case'!W478</f>
        <v>0</v>
      </c>
      <c r="Y479" s="49">
        <f ca="1">IF(controls!$B$33=1,E479-($J$4-'main page'!$K$27*2)*(1+('main page'!$K$35/100))^A478,E479-$AG$5)</f>
        <v>0</v>
      </c>
      <c r="Z479" s="49">
        <f ca="1">ABS(M479-(controls!$B$9/100)*100)</f>
        <v>0</v>
      </c>
      <c r="AI479" s="40"/>
      <c r="AJ479" s="40"/>
    </row>
    <row r="480" spans="1:36">
      <c r="A480" s="48">
        <v>477</v>
      </c>
      <c r="B480" s="75">
        <f ca="1">IF(controls!$B$6=2,AVERAGE(E476:E479)+B479*W480+hystere!$AG$9,AVERAGE(E476:E479)+B479*W480)</f>
        <v>100</v>
      </c>
      <c r="C480" s="80">
        <f t="shared" ca="1" si="43"/>
        <v>0</v>
      </c>
      <c r="D480" s="105">
        <f t="shared" ca="1" si="44"/>
        <v>0</v>
      </c>
      <c r="E480" s="77">
        <f t="shared" ca="1" si="45"/>
        <v>100</v>
      </c>
      <c r="F480" s="77">
        <f ca="1">IF('main page'!$K$34=1,hystere!H480,hystere!G480)</f>
        <v>100</v>
      </c>
      <c r="G480" s="94">
        <f ca="1">I480-'main page'!$K$27*hystere!N479</f>
        <v>100</v>
      </c>
      <c r="H480" s="75">
        <f ca="1">J480-'main page'!$K$27*N479</f>
        <v>100</v>
      </c>
      <c r="I480" s="75">
        <f t="shared" ca="1" si="46"/>
        <v>108</v>
      </c>
      <c r="J480" s="75">
        <f t="shared" ca="1" si="47"/>
        <v>108</v>
      </c>
      <c r="M480" s="75">
        <f ca="1">IF(ABS('main page'!$K$29*M479+(1-'main page'!$K$29)*(controls!$B$9/100)*100+'main page'!$K$25*(E480-B480)-M479)&lt;0.0000001,M479,'main page'!$K$29*M479+(1-'main page'!$K$29)*(controls!$B$9/100)*100+'main page'!$K$25*(E480-B480))</f>
        <v>2</v>
      </c>
      <c r="N480" s="75">
        <f ca="1">IF(controls!$B$10=1,N479,O480-'main page'!$K$29*M480-(1-'main page'!$K$29)*controls!$B$9)</f>
        <v>4</v>
      </c>
      <c r="O480" s="74">
        <f t="shared" ca="1" si="42"/>
        <v>6</v>
      </c>
      <c r="P480" s="76">
        <f ca="1">IF(controls!$B$10=1,hystere!N480+hystere!M480,hystere!Q480)</f>
        <v>6</v>
      </c>
      <c r="Q480" s="74">
        <f ca="1">IF('main page'!$Y$53=1,'choose m.p.'!$I$22*100,R480)</f>
        <v>6</v>
      </c>
      <c r="R480" s="100">
        <f ca="1">'main page'!$K$29*M480+(1-'main page'!$K$29)*controls!$B$9+S480+(('main page'!$K$25*'main page'!$U$13*'main page'!$K$29)/('main page'!$K$27*(1+('main page'!$K$25^2)*'main page'!$U$13)))*(M480-(controls!$B$9/100)*100)</f>
        <v>6</v>
      </c>
      <c r="S480" s="98">
        <f ca="1">IF(controls!$B$33=1,(J481-E480*X481-B480)/'main page'!$K$27,(I481-E480*X481-B480)/'main page'!$K$27)</f>
        <v>4</v>
      </c>
      <c r="U480" s="71">
        <f>IF(controls!$B$6=1,$AG$4*(1+('main page'!$K$35/100))^V480-$AG$4*(1+('main page'!$K$35/100))^V479,$AG$4*(1+('main page'!$G$8/100))*(1+('main page'!$K$35/100))^V480-$AG$4*(1+('main page'!$G$8/100))*(1+('main page'!$K$35/100))^V479)</f>
        <v>0</v>
      </c>
      <c r="V480" s="73">
        <v>472</v>
      </c>
      <c r="W480" s="40">
        <f ca="1">'normal case'!V479</f>
        <v>0</v>
      </c>
      <c r="X480" s="40">
        <f ca="1">'normal case'!W479</f>
        <v>0</v>
      </c>
      <c r="Y480" s="49">
        <f ca="1">IF(controls!$B$33=1,E480-($J$4-'main page'!$K$27*2)*(1+('main page'!$K$35/100))^A479,E480-$AG$5)</f>
        <v>0</v>
      </c>
      <c r="Z480" s="49">
        <f ca="1">ABS(M480-(controls!$B$9/100)*100)</f>
        <v>0</v>
      </c>
      <c r="AI480" s="40"/>
      <c r="AJ480" s="40"/>
    </row>
    <row r="481" spans="1:36">
      <c r="A481" s="48">
        <v>478</v>
      </c>
      <c r="B481" s="75">
        <f ca="1">IF(controls!$B$6=2,AVERAGE(E477:E480)+B480*W481+hystere!$AG$9,AVERAGE(E477:E480)+B480*W481)</f>
        <v>100</v>
      </c>
      <c r="C481" s="80">
        <f t="shared" ca="1" si="43"/>
        <v>0</v>
      </c>
      <c r="D481" s="105">
        <f t="shared" ca="1" si="44"/>
        <v>0</v>
      </c>
      <c r="E481" s="77">
        <f t="shared" ca="1" si="45"/>
        <v>100</v>
      </c>
      <c r="F481" s="77">
        <f ca="1">IF('main page'!$K$34=1,hystere!H481,hystere!G481)</f>
        <v>100</v>
      </c>
      <c r="G481" s="94">
        <f ca="1">I481-'main page'!$K$27*hystere!N480</f>
        <v>100</v>
      </c>
      <c r="H481" s="75">
        <f ca="1">J481-'main page'!$K$27*N480</f>
        <v>100</v>
      </c>
      <c r="I481" s="75">
        <f t="shared" ca="1" si="46"/>
        <v>108</v>
      </c>
      <c r="J481" s="75">
        <f t="shared" ca="1" si="47"/>
        <v>108</v>
      </c>
      <c r="M481" s="75">
        <f ca="1">IF(ABS('main page'!$K$29*M480+(1-'main page'!$K$29)*(controls!$B$9/100)*100+'main page'!$K$25*(E481-B481)-M480)&lt;0.0000001,M480,'main page'!$K$29*M480+(1-'main page'!$K$29)*(controls!$B$9/100)*100+'main page'!$K$25*(E481-B481))</f>
        <v>2</v>
      </c>
      <c r="N481" s="75">
        <f ca="1">IF(controls!$B$10=1,N480,O481-'main page'!$K$29*M481-(1-'main page'!$K$29)*controls!$B$9)</f>
        <v>4</v>
      </c>
      <c r="O481" s="74">
        <f t="shared" ca="1" si="42"/>
        <v>6</v>
      </c>
      <c r="P481" s="76">
        <f ca="1">IF(controls!$B$10=1,hystere!N481+hystere!M481,hystere!Q481)</f>
        <v>6</v>
      </c>
      <c r="Q481" s="74">
        <f ca="1">IF('main page'!$Y$53=1,'choose m.p.'!$I$22*100,R481)</f>
        <v>6</v>
      </c>
      <c r="R481" s="100">
        <f ca="1">'main page'!$K$29*M481+(1-'main page'!$K$29)*controls!$B$9+S481+(('main page'!$K$25*'main page'!$U$13*'main page'!$K$29)/('main page'!$K$27*(1+('main page'!$K$25^2)*'main page'!$U$13)))*(M481-(controls!$B$9/100)*100)</f>
        <v>6</v>
      </c>
      <c r="S481" s="98">
        <f ca="1">IF(controls!$B$33=1,(J482-E481*X482-B481)/'main page'!$K$27,(I482-E481*X482-B481)/'main page'!$K$27)</f>
        <v>4</v>
      </c>
      <c r="U481" s="71">
        <f>IF(controls!$B$6=1,$AG$4*(1+('main page'!$K$35/100))^V481-$AG$4*(1+('main page'!$K$35/100))^V480,$AG$4*(1+('main page'!$G$8/100))*(1+('main page'!$K$35/100))^V481-$AG$4*(1+('main page'!$G$8/100))*(1+('main page'!$K$35/100))^V480)</f>
        <v>0</v>
      </c>
      <c r="V481" s="73">
        <v>473</v>
      </c>
      <c r="W481" s="40">
        <f>'normal case'!V480</f>
        <v>0</v>
      </c>
      <c r="X481" s="40">
        <f>'normal case'!W480</f>
        <v>0</v>
      </c>
      <c r="Y481" s="49">
        <f ca="1">IF(controls!$B$33=1,E481-($J$4-'main page'!$K$27*2)*(1+('main page'!$K$35/100))^A480,E481-$AG$5)</f>
        <v>0</v>
      </c>
      <c r="Z481" s="49">
        <f ca="1">ABS(M481-(controls!$B$9/100)*100)</f>
        <v>0</v>
      </c>
      <c r="AI481" s="40"/>
      <c r="AJ481" s="40"/>
    </row>
    <row r="482" spans="1:36">
      <c r="A482" s="48">
        <v>479</v>
      </c>
      <c r="B482" s="75">
        <f ca="1">IF(controls!$B$6=2,AVERAGE(E478:E481)+B481*W482+hystere!$AG$9,AVERAGE(E478:E481)+B481*W482)</f>
        <v>100</v>
      </c>
      <c r="C482" s="80">
        <f t="shared" ca="1" si="43"/>
        <v>0</v>
      </c>
      <c r="D482" s="105">
        <f t="shared" ca="1" si="44"/>
        <v>0</v>
      </c>
      <c r="E482" s="77">
        <f t="shared" ca="1" si="45"/>
        <v>100</v>
      </c>
      <c r="F482" s="77">
        <f ca="1">IF('main page'!$K$34=1,hystere!H482,hystere!G482)</f>
        <v>100</v>
      </c>
      <c r="G482" s="94">
        <f ca="1">I482-'main page'!$K$27*hystere!N481</f>
        <v>100</v>
      </c>
      <c r="H482" s="75">
        <f ca="1">J482-'main page'!$K$27*N481</f>
        <v>100</v>
      </c>
      <c r="I482" s="75">
        <f t="shared" ca="1" si="46"/>
        <v>108</v>
      </c>
      <c r="J482" s="75">
        <f t="shared" ca="1" si="47"/>
        <v>108</v>
      </c>
      <c r="M482" s="75">
        <f ca="1">IF(ABS('main page'!$K$29*M481+(1-'main page'!$K$29)*(controls!$B$9/100)*100+'main page'!$K$25*(E482-B482)-M481)&lt;0.0000001,M481,'main page'!$K$29*M481+(1-'main page'!$K$29)*(controls!$B$9/100)*100+'main page'!$K$25*(E482-B482))</f>
        <v>2</v>
      </c>
      <c r="N482" s="75">
        <f ca="1">IF(controls!$B$10=1,N481,O482-'main page'!$K$29*M482-(1-'main page'!$K$29)*controls!$B$9)</f>
        <v>4</v>
      </c>
      <c r="O482" s="74">
        <f t="shared" ca="1" si="42"/>
        <v>6</v>
      </c>
      <c r="P482" s="76">
        <f ca="1">IF(controls!$B$10=1,hystere!N482+hystere!M482,hystere!Q482)</f>
        <v>6</v>
      </c>
      <c r="Q482" s="74">
        <f ca="1">IF('main page'!$Y$53=1,'choose m.p.'!$I$22*100,R482)</f>
        <v>6</v>
      </c>
      <c r="R482" s="100">
        <f ca="1">'main page'!$K$29*M482+(1-'main page'!$K$29)*controls!$B$9+S482+(('main page'!$K$25*'main page'!$U$13*'main page'!$K$29)/('main page'!$K$27*(1+('main page'!$K$25^2)*'main page'!$U$13)))*(M482-(controls!$B$9/100)*100)</f>
        <v>6</v>
      </c>
      <c r="S482" s="98">
        <f ca="1">IF(controls!$B$33=1,(J483-E482*X483-B482)/'main page'!$K$27,(I483-E482*X483-B482)/'main page'!$K$27)</f>
        <v>4</v>
      </c>
      <c r="U482" s="71">
        <f>IF(controls!$B$6=1,$AG$4*(1+('main page'!$K$35/100))^V482-$AG$4*(1+('main page'!$K$35/100))^V481,$AG$4*(1+('main page'!$G$8/100))*(1+('main page'!$K$35/100))^V482-$AG$4*(1+('main page'!$G$8/100))*(1+('main page'!$K$35/100))^V481)</f>
        <v>0</v>
      </c>
      <c r="V482" s="73">
        <v>474</v>
      </c>
      <c r="W482" s="40">
        <f>'normal case'!V481</f>
        <v>0</v>
      </c>
      <c r="X482" s="40">
        <f>'normal case'!W481</f>
        <v>0</v>
      </c>
      <c r="Y482" s="49">
        <f ca="1">IF(controls!$B$33=1,E482-($J$4-'main page'!$K$27*2)*(1+('main page'!$K$35/100))^A481,E482-$AG$5)</f>
        <v>0</v>
      </c>
      <c r="Z482" s="49">
        <f ca="1">ABS(M482-(controls!$B$9/100)*100)</f>
        <v>0</v>
      </c>
      <c r="AI482" s="40"/>
      <c r="AJ482" s="40"/>
    </row>
    <row r="483" spans="1:36">
      <c r="A483" s="48">
        <v>480</v>
      </c>
      <c r="B483" s="75">
        <f ca="1">IF(controls!$B$6=2,AVERAGE(E479:E482)+B482*W483+hystere!$AG$9,AVERAGE(E479:E482)+B482*W483)</f>
        <v>100</v>
      </c>
      <c r="C483" s="80">
        <f t="shared" ca="1" si="43"/>
        <v>0</v>
      </c>
      <c r="D483" s="105">
        <f t="shared" ca="1" si="44"/>
        <v>0</v>
      </c>
      <c r="E483" s="77">
        <f t="shared" ca="1" si="45"/>
        <v>100</v>
      </c>
      <c r="F483" s="77">
        <f ca="1">IF('main page'!$K$34=1,hystere!H483,hystere!G483)</f>
        <v>100</v>
      </c>
      <c r="G483" s="94">
        <f ca="1">I483-'main page'!$K$27*hystere!N482</f>
        <v>100</v>
      </c>
      <c r="H483" s="75">
        <f ca="1">J483-'main page'!$K$27*N482</f>
        <v>100</v>
      </c>
      <c r="I483" s="75">
        <f t="shared" ca="1" si="46"/>
        <v>108</v>
      </c>
      <c r="J483" s="75">
        <f t="shared" ca="1" si="47"/>
        <v>108</v>
      </c>
      <c r="M483" s="75">
        <f ca="1">IF(ABS('main page'!$K$29*M482+(1-'main page'!$K$29)*(controls!$B$9/100)*100+'main page'!$K$25*(E483-B483)-M482)&lt;0.0000001,M482,'main page'!$K$29*M482+(1-'main page'!$K$29)*(controls!$B$9/100)*100+'main page'!$K$25*(E483-B483))</f>
        <v>2</v>
      </c>
      <c r="N483" s="75">
        <f ca="1">IF(controls!$B$10=1,N482,O483-'main page'!$K$29*M483-(1-'main page'!$K$29)*controls!$B$9)</f>
        <v>4</v>
      </c>
      <c r="O483" s="74">
        <f t="shared" ca="1" si="42"/>
        <v>6</v>
      </c>
      <c r="P483" s="76">
        <f ca="1">IF(controls!$B$10=1,hystere!N483+hystere!M483,hystere!Q483)</f>
        <v>6</v>
      </c>
      <c r="Q483" s="74">
        <f ca="1">IF('main page'!$Y$53=1,'choose m.p.'!$I$22*100,R483)</f>
        <v>6</v>
      </c>
      <c r="R483" s="100">
        <f ca="1">'main page'!$K$29*M483+(1-'main page'!$K$29)*controls!$B$9+S483+(('main page'!$K$25*'main page'!$U$13*'main page'!$K$29)/('main page'!$K$27*(1+('main page'!$K$25^2)*'main page'!$U$13)))*(M483-(controls!$B$9/100)*100)</f>
        <v>6</v>
      </c>
      <c r="S483" s="98">
        <f ca="1">IF(controls!$B$33=1,(J484-E483*X484-B483)/'main page'!$K$27,(I484-E483*X484-B483)/'main page'!$K$27)</f>
        <v>4</v>
      </c>
      <c r="U483" s="71">
        <f>IF(controls!$B$6=1,$AG$4*(1+('main page'!$K$35/100))^V483-$AG$4*(1+('main page'!$K$35/100))^V482,$AG$4*(1+('main page'!$G$8/100))*(1+('main page'!$K$35/100))^V483-$AG$4*(1+('main page'!$G$8/100))*(1+('main page'!$K$35/100))^V482)</f>
        <v>0</v>
      </c>
      <c r="V483" s="73">
        <v>475</v>
      </c>
      <c r="W483" s="40">
        <f ca="1">'normal case'!V482</f>
        <v>0</v>
      </c>
      <c r="X483" s="40">
        <f ca="1">'normal case'!W482</f>
        <v>0</v>
      </c>
      <c r="Y483" s="49">
        <f ca="1">IF(controls!$B$33=1,E483-($J$4-'main page'!$K$27*2)*(1+('main page'!$K$35/100))^A482,E483-$AG$5)</f>
        <v>0</v>
      </c>
      <c r="Z483" s="49">
        <f ca="1">ABS(M483-(controls!$B$9/100)*100)</f>
        <v>0</v>
      </c>
      <c r="AI483" s="40"/>
      <c r="AJ483" s="40"/>
    </row>
    <row r="484" spans="1:36">
      <c r="A484" s="48">
        <v>481</v>
      </c>
      <c r="B484" s="75">
        <f ca="1">IF(controls!$B$6=2,AVERAGE(E480:E483)+B483*W484+hystere!$AG$9,AVERAGE(E480:E483)+B483*W484)</f>
        <v>100</v>
      </c>
      <c r="C484" s="80">
        <f t="shared" ca="1" si="43"/>
        <v>0</v>
      </c>
      <c r="D484" s="105">
        <f t="shared" ca="1" si="44"/>
        <v>0</v>
      </c>
      <c r="E484" s="77">
        <f t="shared" ca="1" si="45"/>
        <v>100</v>
      </c>
      <c r="F484" s="77">
        <f ca="1">IF('main page'!$K$34=1,hystere!H484,hystere!G484)</f>
        <v>100</v>
      </c>
      <c r="G484" s="94">
        <f ca="1">I484-'main page'!$K$27*hystere!N483</f>
        <v>100</v>
      </c>
      <c r="H484" s="75">
        <f ca="1">J484-'main page'!$K$27*N483</f>
        <v>100</v>
      </c>
      <c r="I484" s="75">
        <f t="shared" ca="1" si="46"/>
        <v>108</v>
      </c>
      <c r="J484" s="75">
        <f t="shared" ca="1" si="47"/>
        <v>108</v>
      </c>
      <c r="M484" s="75">
        <f ca="1">IF(ABS('main page'!$K$29*M483+(1-'main page'!$K$29)*(controls!$B$9/100)*100+'main page'!$K$25*(E484-B484)-M483)&lt;0.0000001,M483,'main page'!$K$29*M483+(1-'main page'!$K$29)*(controls!$B$9/100)*100+'main page'!$K$25*(E484-B484))</f>
        <v>2</v>
      </c>
      <c r="N484" s="75">
        <f ca="1">IF(controls!$B$10=1,N483,O484-'main page'!$K$29*M484-(1-'main page'!$K$29)*controls!$B$9)</f>
        <v>4</v>
      </c>
      <c r="O484" s="74">
        <f t="shared" ca="1" si="42"/>
        <v>6</v>
      </c>
      <c r="P484" s="76">
        <f ca="1">IF(controls!$B$10=1,hystere!N484+hystere!M484,hystere!Q484)</f>
        <v>6</v>
      </c>
      <c r="Q484" s="74">
        <f ca="1">IF('main page'!$Y$53=1,'choose m.p.'!$I$22*100,R484)</f>
        <v>6</v>
      </c>
      <c r="R484" s="100">
        <f ca="1">'main page'!$K$29*M484+(1-'main page'!$K$29)*controls!$B$9+S484+(('main page'!$K$25*'main page'!$U$13*'main page'!$K$29)/('main page'!$K$27*(1+('main page'!$K$25^2)*'main page'!$U$13)))*(M484-(controls!$B$9/100)*100)</f>
        <v>6</v>
      </c>
      <c r="S484" s="98">
        <f ca="1">IF(controls!$B$33=1,(J485-E484*X485-B484)/'main page'!$K$27,(I485-E484*X485-B484)/'main page'!$K$27)</f>
        <v>4</v>
      </c>
      <c r="U484" s="71">
        <f>IF(controls!$B$6=1,$AG$4*(1+('main page'!$K$35/100))^V484-$AG$4*(1+('main page'!$K$35/100))^V483,$AG$4*(1+('main page'!$G$8/100))*(1+('main page'!$K$35/100))^V484-$AG$4*(1+('main page'!$G$8/100))*(1+('main page'!$K$35/100))^V483)</f>
        <v>0</v>
      </c>
      <c r="V484" s="73">
        <v>476</v>
      </c>
      <c r="W484" s="40">
        <f>'normal case'!V483</f>
        <v>0</v>
      </c>
      <c r="X484" s="40">
        <f>'normal case'!W483</f>
        <v>0</v>
      </c>
      <c r="Y484" s="49">
        <f ca="1">IF(controls!$B$33=1,E484-($J$4-'main page'!$K$27*2)*(1+('main page'!$K$35/100))^A483,E484-$AG$5)</f>
        <v>0</v>
      </c>
      <c r="Z484" s="49">
        <f ca="1">ABS(M484-(controls!$B$9/100)*100)</f>
        <v>0</v>
      </c>
      <c r="AI484" s="40"/>
      <c r="AJ484" s="40"/>
    </row>
    <row r="485" spans="1:36">
      <c r="A485" s="48">
        <v>482</v>
      </c>
      <c r="B485" s="75">
        <f ca="1">IF(controls!$B$6=2,AVERAGE(E481:E484)+B484*W485+hystere!$AG$9,AVERAGE(E481:E484)+B484*W485)</f>
        <v>100</v>
      </c>
      <c r="C485" s="80">
        <f t="shared" ca="1" si="43"/>
        <v>0</v>
      </c>
      <c r="D485" s="105">
        <f t="shared" ca="1" si="44"/>
        <v>0</v>
      </c>
      <c r="E485" s="77">
        <f t="shared" ca="1" si="45"/>
        <v>100</v>
      </c>
      <c r="F485" s="77">
        <f ca="1">IF('main page'!$K$34=1,hystere!H485,hystere!G485)</f>
        <v>100</v>
      </c>
      <c r="G485" s="94">
        <f ca="1">I485-'main page'!$K$27*hystere!N484</f>
        <v>100</v>
      </c>
      <c r="H485" s="75">
        <f ca="1">J485-'main page'!$K$27*N484</f>
        <v>100</v>
      </c>
      <c r="I485" s="75">
        <f t="shared" ca="1" si="46"/>
        <v>108</v>
      </c>
      <c r="J485" s="75">
        <f t="shared" ca="1" si="47"/>
        <v>108</v>
      </c>
      <c r="M485" s="75">
        <f ca="1">IF(ABS('main page'!$K$29*M484+(1-'main page'!$K$29)*(controls!$B$9/100)*100+'main page'!$K$25*(E485-B485)-M484)&lt;0.0000001,M484,'main page'!$K$29*M484+(1-'main page'!$K$29)*(controls!$B$9/100)*100+'main page'!$K$25*(E485-B485))</f>
        <v>2</v>
      </c>
      <c r="N485" s="75">
        <f ca="1">IF(controls!$B$10=1,N484,O485-'main page'!$K$29*M485-(1-'main page'!$K$29)*controls!$B$9)</f>
        <v>4</v>
      </c>
      <c r="O485" s="74">
        <f t="shared" ca="1" si="42"/>
        <v>6</v>
      </c>
      <c r="P485" s="76">
        <f ca="1">IF(controls!$B$10=1,hystere!N485+hystere!M485,hystere!Q485)</f>
        <v>6</v>
      </c>
      <c r="Q485" s="74">
        <f ca="1">IF('main page'!$Y$53=1,'choose m.p.'!$I$22*100,R485)</f>
        <v>6</v>
      </c>
      <c r="R485" s="100">
        <f ca="1">'main page'!$K$29*M485+(1-'main page'!$K$29)*controls!$B$9+S485+(('main page'!$K$25*'main page'!$U$13*'main page'!$K$29)/('main page'!$K$27*(1+('main page'!$K$25^2)*'main page'!$U$13)))*(M485-(controls!$B$9/100)*100)</f>
        <v>6</v>
      </c>
      <c r="S485" s="98">
        <f ca="1">IF(controls!$B$33=1,(J486-E485*X486-B485)/'main page'!$K$27,(I486-E485*X486-B485)/'main page'!$K$27)</f>
        <v>4</v>
      </c>
      <c r="U485" s="71">
        <f>IF(controls!$B$6=1,$AG$4*(1+('main page'!$K$35/100))^V485-$AG$4*(1+('main page'!$K$35/100))^V484,$AG$4*(1+('main page'!$G$8/100))*(1+('main page'!$K$35/100))^V485-$AG$4*(1+('main page'!$G$8/100))*(1+('main page'!$K$35/100))^V484)</f>
        <v>0</v>
      </c>
      <c r="V485" s="73">
        <v>477</v>
      </c>
      <c r="W485" s="40">
        <f>'normal case'!V484</f>
        <v>0</v>
      </c>
      <c r="X485" s="40">
        <f>'normal case'!W484</f>
        <v>0</v>
      </c>
      <c r="Y485" s="49">
        <f ca="1">IF(controls!$B$33=1,E485-($J$4-'main page'!$K$27*2)*(1+('main page'!$K$35/100))^A484,E485-$AG$5)</f>
        <v>0</v>
      </c>
      <c r="Z485" s="49">
        <f ca="1">ABS(M485-(controls!$B$9/100)*100)</f>
        <v>0</v>
      </c>
      <c r="AI485" s="40"/>
      <c r="AJ485" s="40"/>
    </row>
    <row r="486" spans="1:36">
      <c r="A486" s="48">
        <v>483</v>
      </c>
      <c r="B486" s="75">
        <f ca="1">IF(controls!$B$6=2,AVERAGE(E482:E485)+B485*W486+hystere!$AG$9,AVERAGE(E482:E485)+B485*W486)</f>
        <v>100</v>
      </c>
      <c r="C486" s="80">
        <f t="shared" ca="1" si="43"/>
        <v>0</v>
      </c>
      <c r="D486" s="105">
        <f t="shared" ca="1" si="44"/>
        <v>0</v>
      </c>
      <c r="E486" s="77">
        <f t="shared" ca="1" si="45"/>
        <v>100</v>
      </c>
      <c r="F486" s="77">
        <f ca="1">IF('main page'!$K$34=1,hystere!H486,hystere!G486)</f>
        <v>100</v>
      </c>
      <c r="G486" s="94">
        <f ca="1">I486-'main page'!$K$27*hystere!N485</f>
        <v>100</v>
      </c>
      <c r="H486" s="75">
        <f ca="1">J486-'main page'!$K$27*N485</f>
        <v>100</v>
      </c>
      <c r="I486" s="75">
        <f t="shared" ca="1" si="46"/>
        <v>108</v>
      </c>
      <c r="J486" s="75">
        <f t="shared" ca="1" si="47"/>
        <v>108</v>
      </c>
      <c r="M486" s="75">
        <f ca="1">IF(ABS('main page'!$K$29*M485+(1-'main page'!$K$29)*(controls!$B$9/100)*100+'main page'!$K$25*(E486-B486)-M485)&lt;0.0000001,M485,'main page'!$K$29*M485+(1-'main page'!$K$29)*(controls!$B$9/100)*100+'main page'!$K$25*(E486-B486))</f>
        <v>2</v>
      </c>
      <c r="N486" s="75">
        <f ca="1">IF(controls!$B$10=1,N485,O486-'main page'!$K$29*M486-(1-'main page'!$K$29)*controls!$B$9)</f>
        <v>4</v>
      </c>
      <c r="O486" s="74">
        <f t="shared" ca="1" si="42"/>
        <v>6</v>
      </c>
      <c r="P486" s="76">
        <f ca="1">IF(controls!$B$10=1,hystere!N486+hystere!M486,hystere!Q486)</f>
        <v>6</v>
      </c>
      <c r="Q486" s="74">
        <f ca="1">IF('main page'!$Y$53=1,'choose m.p.'!$I$22*100,R486)</f>
        <v>6</v>
      </c>
      <c r="R486" s="100">
        <f ca="1">'main page'!$K$29*M486+(1-'main page'!$K$29)*controls!$B$9+S486+(('main page'!$K$25*'main page'!$U$13*'main page'!$K$29)/('main page'!$K$27*(1+('main page'!$K$25^2)*'main page'!$U$13)))*(M486-(controls!$B$9/100)*100)</f>
        <v>6</v>
      </c>
      <c r="S486" s="98">
        <f ca="1">IF(controls!$B$33=1,(J487-E486*X487-B486)/'main page'!$K$27,(I487-E486*X487-B486)/'main page'!$K$27)</f>
        <v>4</v>
      </c>
      <c r="U486" s="71">
        <f>IF(controls!$B$6=1,$AG$4*(1+('main page'!$K$35/100))^V486-$AG$4*(1+('main page'!$K$35/100))^V485,$AG$4*(1+('main page'!$G$8/100))*(1+('main page'!$K$35/100))^V486-$AG$4*(1+('main page'!$G$8/100))*(1+('main page'!$K$35/100))^V485)</f>
        <v>0</v>
      </c>
      <c r="V486" s="73">
        <v>478</v>
      </c>
      <c r="W486" s="40">
        <f ca="1">'normal case'!V485</f>
        <v>0</v>
      </c>
      <c r="X486" s="40">
        <f ca="1">'normal case'!W485</f>
        <v>0</v>
      </c>
      <c r="Y486" s="49">
        <f ca="1">IF(controls!$B$33=1,E486-($J$4-'main page'!$K$27*2)*(1+('main page'!$K$35/100))^A485,E486-$AG$5)</f>
        <v>0</v>
      </c>
      <c r="Z486" s="49">
        <f ca="1">ABS(M486-(controls!$B$9/100)*100)</f>
        <v>0</v>
      </c>
      <c r="AI486" s="40"/>
      <c r="AJ486" s="40"/>
    </row>
    <row r="487" spans="1:36">
      <c r="A487" s="48">
        <v>484</v>
      </c>
      <c r="B487" s="75">
        <f ca="1">IF(controls!$B$6=2,AVERAGE(E483:E486)+B486*W487+hystere!$AG$9,AVERAGE(E483:E486)+B486*W487)</f>
        <v>100</v>
      </c>
      <c r="C487" s="80">
        <f t="shared" ca="1" si="43"/>
        <v>0</v>
      </c>
      <c r="D487" s="105">
        <f t="shared" ca="1" si="44"/>
        <v>0</v>
      </c>
      <c r="E487" s="77">
        <f t="shared" ca="1" si="45"/>
        <v>100</v>
      </c>
      <c r="F487" s="77">
        <f ca="1">IF('main page'!$K$34=1,hystere!H487,hystere!G487)</f>
        <v>100</v>
      </c>
      <c r="G487" s="94">
        <f ca="1">I487-'main page'!$K$27*hystere!N486</f>
        <v>100</v>
      </c>
      <c r="H487" s="75">
        <f ca="1">J487-'main page'!$K$27*N486</f>
        <v>100</v>
      </c>
      <c r="I487" s="75">
        <f t="shared" ca="1" si="46"/>
        <v>108</v>
      </c>
      <c r="J487" s="75">
        <f t="shared" ca="1" si="47"/>
        <v>108</v>
      </c>
      <c r="M487" s="75">
        <f ca="1">IF(ABS('main page'!$K$29*M486+(1-'main page'!$K$29)*(controls!$B$9/100)*100+'main page'!$K$25*(E487-B487)-M486)&lt;0.0000001,M486,'main page'!$K$29*M486+(1-'main page'!$K$29)*(controls!$B$9/100)*100+'main page'!$K$25*(E487-B487))</f>
        <v>2</v>
      </c>
      <c r="N487" s="75">
        <f ca="1">IF(controls!$B$10=1,N486,O487-'main page'!$K$29*M487-(1-'main page'!$K$29)*controls!$B$9)</f>
        <v>4</v>
      </c>
      <c r="O487" s="74">
        <f t="shared" ca="1" si="42"/>
        <v>6</v>
      </c>
      <c r="P487" s="76">
        <f ca="1">IF(controls!$B$10=1,hystere!N487+hystere!M487,hystere!Q487)</f>
        <v>6</v>
      </c>
      <c r="Q487" s="74">
        <f ca="1">IF('main page'!$Y$53=1,'choose m.p.'!$I$22*100,R487)</f>
        <v>6</v>
      </c>
      <c r="R487" s="100">
        <f ca="1">'main page'!$K$29*M487+(1-'main page'!$K$29)*controls!$B$9+S487+(('main page'!$K$25*'main page'!$U$13*'main page'!$K$29)/('main page'!$K$27*(1+('main page'!$K$25^2)*'main page'!$U$13)))*(M487-(controls!$B$9/100)*100)</f>
        <v>6</v>
      </c>
      <c r="S487" s="98">
        <f ca="1">IF(controls!$B$33=1,(J488-E487*X488-B487)/'main page'!$K$27,(I488-E487*X488-B487)/'main page'!$K$27)</f>
        <v>4</v>
      </c>
      <c r="U487" s="71">
        <f>IF(controls!$B$6=1,$AG$4*(1+('main page'!$K$35/100))^V487-$AG$4*(1+('main page'!$K$35/100))^V486,$AG$4*(1+('main page'!$G$8/100))*(1+('main page'!$K$35/100))^V487-$AG$4*(1+('main page'!$G$8/100))*(1+('main page'!$K$35/100))^V486)</f>
        <v>0</v>
      </c>
      <c r="V487" s="73">
        <v>479</v>
      </c>
      <c r="W487" s="40">
        <f>'normal case'!V486</f>
        <v>0</v>
      </c>
      <c r="X487" s="40">
        <f>'normal case'!W486</f>
        <v>0</v>
      </c>
      <c r="Y487" s="49">
        <f ca="1">IF(controls!$B$33=1,E487-($J$4-'main page'!$K$27*2)*(1+('main page'!$K$35/100))^A486,E487-$AG$5)</f>
        <v>0</v>
      </c>
      <c r="Z487" s="49">
        <f ca="1">ABS(M487-(controls!$B$9/100)*100)</f>
        <v>0</v>
      </c>
      <c r="AI487" s="40"/>
      <c r="AJ487" s="40"/>
    </row>
    <row r="488" spans="1:36">
      <c r="A488" s="48">
        <v>485</v>
      </c>
      <c r="B488" s="75">
        <f ca="1">IF(controls!$B$6=2,AVERAGE(E484:E487)+B487*W488+hystere!$AG$9,AVERAGE(E484:E487)+B487*W488)</f>
        <v>100</v>
      </c>
      <c r="C488" s="80">
        <f t="shared" ca="1" si="43"/>
        <v>0</v>
      </c>
      <c r="D488" s="105">
        <f t="shared" ca="1" si="44"/>
        <v>0</v>
      </c>
      <c r="E488" s="77">
        <f t="shared" ca="1" si="45"/>
        <v>100</v>
      </c>
      <c r="F488" s="77">
        <f ca="1">IF('main page'!$K$34=1,hystere!H488,hystere!G488)</f>
        <v>100</v>
      </c>
      <c r="G488" s="94">
        <f ca="1">I488-'main page'!$K$27*hystere!N487</f>
        <v>100</v>
      </c>
      <c r="H488" s="75">
        <f ca="1">J488-'main page'!$K$27*N487</f>
        <v>100</v>
      </c>
      <c r="I488" s="75">
        <f t="shared" ca="1" si="46"/>
        <v>108</v>
      </c>
      <c r="J488" s="75">
        <f t="shared" ca="1" si="47"/>
        <v>108</v>
      </c>
      <c r="M488" s="75">
        <f ca="1">IF(ABS('main page'!$K$29*M487+(1-'main page'!$K$29)*(controls!$B$9/100)*100+'main page'!$K$25*(E488-B488)-M487)&lt;0.0000001,M487,'main page'!$K$29*M487+(1-'main page'!$K$29)*(controls!$B$9/100)*100+'main page'!$K$25*(E488-B488))</f>
        <v>2</v>
      </c>
      <c r="N488" s="75">
        <f ca="1">IF(controls!$B$10=1,N487,O488-'main page'!$K$29*M488-(1-'main page'!$K$29)*controls!$B$9)</f>
        <v>4</v>
      </c>
      <c r="O488" s="74">
        <f t="shared" ca="1" si="42"/>
        <v>6</v>
      </c>
      <c r="P488" s="76">
        <f ca="1">IF(controls!$B$10=1,hystere!N488+hystere!M488,hystere!Q488)</f>
        <v>6</v>
      </c>
      <c r="Q488" s="74">
        <f ca="1">IF('main page'!$Y$53=1,'choose m.p.'!$I$22*100,R488)</f>
        <v>6</v>
      </c>
      <c r="R488" s="100">
        <f ca="1">'main page'!$K$29*M488+(1-'main page'!$K$29)*controls!$B$9+S488+(('main page'!$K$25*'main page'!$U$13*'main page'!$K$29)/('main page'!$K$27*(1+('main page'!$K$25^2)*'main page'!$U$13)))*(M488-(controls!$B$9/100)*100)</f>
        <v>6</v>
      </c>
      <c r="S488" s="98">
        <f ca="1">IF(controls!$B$33=1,(J489-E488*X489-B488)/'main page'!$K$27,(I489-E488*X489-B488)/'main page'!$K$27)</f>
        <v>4</v>
      </c>
      <c r="U488" s="71">
        <f>IF(controls!$B$6=1,$AG$4*(1+('main page'!$K$35/100))^V488-$AG$4*(1+('main page'!$K$35/100))^V487,$AG$4*(1+('main page'!$G$8/100))*(1+('main page'!$K$35/100))^V488-$AG$4*(1+('main page'!$G$8/100))*(1+('main page'!$K$35/100))^V487)</f>
        <v>0</v>
      </c>
      <c r="V488" s="73">
        <v>480</v>
      </c>
      <c r="W488" s="40">
        <f>'normal case'!V487</f>
        <v>0</v>
      </c>
      <c r="X488" s="40">
        <f>'normal case'!W487</f>
        <v>0</v>
      </c>
      <c r="Y488" s="49">
        <f ca="1">IF(controls!$B$33=1,E488-($J$4-'main page'!$K$27*2)*(1+('main page'!$K$35/100))^A487,E488-$AG$5)</f>
        <v>0</v>
      </c>
      <c r="Z488" s="49">
        <f ca="1">ABS(M488-(controls!$B$9/100)*100)</f>
        <v>0</v>
      </c>
      <c r="AI488" s="40"/>
      <c r="AJ488" s="40"/>
    </row>
    <row r="489" spans="1:36">
      <c r="A489" s="48">
        <v>486</v>
      </c>
      <c r="B489" s="75">
        <f ca="1">IF(controls!$B$6=2,AVERAGE(E485:E488)+B488*W489+hystere!$AG$9,AVERAGE(E485:E488)+B488*W489)</f>
        <v>100</v>
      </c>
      <c r="C489" s="80">
        <f t="shared" ca="1" si="43"/>
        <v>0</v>
      </c>
      <c r="D489" s="105">
        <f t="shared" ca="1" si="44"/>
        <v>0</v>
      </c>
      <c r="E489" s="77">
        <f t="shared" ca="1" si="45"/>
        <v>100</v>
      </c>
      <c r="F489" s="77">
        <f ca="1">IF('main page'!$K$34=1,hystere!H489,hystere!G489)</f>
        <v>100</v>
      </c>
      <c r="G489" s="94">
        <f ca="1">I489-'main page'!$K$27*hystere!N488</f>
        <v>100</v>
      </c>
      <c r="H489" s="75">
        <f ca="1">J489-'main page'!$K$27*N488</f>
        <v>100</v>
      </c>
      <c r="I489" s="75">
        <f t="shared" ca="1" si="46"/>
        <v>108</v>
      </c>
      <c r="J489" s="75">
        <f t="shared" ca="1" si="47"/>
        <v>108</v>
      </c>
      <c r="M489" s="75">
        <f ca="1">IF(ABS('main page'!$K$29*M488+(1-'main page'!$K$29)*(controls!$B$9/100)*100+'main page'!$K$25*(E489-B489)-M488)&lt;0.0000001,M488,'main page'!$K$29*M488+(1-'main page'!$K$29)*(controls!$B$9/100)*100+'main page'!$K$25*(E489-B489))</f>
        <v>2</v>
      </c>
      <c r="N489" s="75">
        <f ca="1">IF(controls!$B$10=1,N488,O489-'main page'!$K$29*M489-(1-'main page'!$K$29)*controls!$B$9)</f>
        <v>4</v>
      </c>
      <c r="O489" s="74">
        <f t="shared" ca="1" si="42"/>
        <v>6</v>
      </c>
      <c r="P489" s="76">
        <f ca="1">IF(controls!$B$10=1,hystere!N489+hystere!M489,hystere!Q489)</f>
        <v>6</v>
      </c>
      <c r="Q489" s="74">
        <f ca="1">IF('main page'!$Y$53=1,'choose m.p.'!$I$22*100,R489)</f>
        <v>6</v>
      </c>
      <c r="R489" s="100">
        <f ca="1">'main page'!$K$29*M489+(1-'main page'!$K$29)*controls!$B$9+S489+(('main page'!$K$25*'main page'!$U$13*'main page'!$K$29)/('main page'!$K$27*(1+('main page'!$K$25^2)*'main page'!$U$13)))*(M489-(controls!$B$9/100)*100)</f>
        <v>6</v>
      </c>
      <c r="S489" s="98">
        <f ca="1">IF(controls!$B$33=1,(J490-E489*X490-B489)/'main page'!$K$27,(I490-E489*X490-B489)/'main page'!$K$27)</f>
        <v>4</v>
      </c>
      <c r="U489" s="71">
        <f>IF(controls!$B$6=1,$AG$4*(1+('main page'!$K$35/100))^V489-$AG$4*(1+('main page'!$K$35/100))^V488,$AG$4*(1+('main page'!$G$8/100))*(1+('main page'!$K$35/100))^V489-$AG$4*(1+('main page'!$G$8/100))*(1+('main page'!$K$35/100))^V488)</f>
        <v>0</v>
      </c>
      <c r="V489" s="73">
        <v>481</v>
      </c>
      <c r="W489" s="40">
        <f ca="1">'normal case'!V488</f>
        <v>0</v>
      </c>
      <c r="X489" s="40">
        <f ca="1">'normal case'!W488</f>
        <v>0</v>
      </c>
      <c r="Y489" s="49">
        <f ca="1">IF(controls!$B$33=1,E489-($J$4-'main page'!$K$27*2)*(1+('main page'!$K$35/100))^A488,E489-$AG$5)</f>
        <v>0</v>
      </c>
      <c r="Z489" s="49">
        <f ca="1">ABS(M489-(controls!$B$9/100)*100)</f>
        <v>0</v>
      </c>
      <c r="AI489" s="40"/>
      <c r="AJ489" s="40"/>
    </row>
    <row r="490" spans="1:36">
      <c r="A490" s="48">
        <v>487</v>
      </c>
      <c r="B490" s="75">
        <f ca="1">IF(controls!$B$6=2,AVERAGE(E486:E489)+B489*W490+hystere!$AG$9,AVERAGE(E486:E489)+B489*W490)</f>
        <v>100</v>
      </c>
      <c r="C490" s="80">
        <f t="shared" ca="1" si="43"/>
        <v>0</v>
      </c>
      <c r="D490" s="105">
        <f t="shared" ca="1" si="44"/>
        <v>0</v>
      </c>
      <c r="E490" s="77">
        <f t="shared" ca="1" si="45"/>
        <v>100</v>
      </c>
      <c r="F490" s="77">
        <f ca="1">IF('main page'!$K$34=1,hystere!H490,hystere!G490)</f>
        <v>100</v>
      </c>
      <c r="G490" s="94">
        <f ca="1">I490-'main page'!$K$27*hystere!N489</f>
        <v>100</v>
      </c>
      <c r="H490" s="75">
        <f ca="1">J490-'main page'!$K$27*N489</f>
        <v>100</v>
      </c>
      <c r="I490" s="75">
        <f t="shared" ca="1" si="46"/>
        <v>108</v>
      </c>
      <c r="J490" s="75">
        <f t="shared" ca="1" si="47"/>
        <v>108</v>
      </c>
      <c r="M490" s="75">
        <f ca="1">IF(ABS('main page'!$K$29*M489+(1-'main page'!$K$29)*(controls!$B$9/100)*100+'main page'!$K$25*(E490-B490)-M489)&lt;0.0000001,M489,'main page'!$K$29*M489+(1-'main page'!$K$29)*(controls!$B$9/100)*100+'main page'!$K$25*(E490-B490))</f>
        <v>2</v>
      </c>
      <c r="N490" s="75">
        <f ca="1">IF(controls!$B$10=1,N489,O490-'main page'!$K$29*M490-(1-'main page'!$K$29)*controls!$B$9)</f>
        <v>4</v>
      </c>
      <c r="O490" s="74">
        <f t="shared" ca="1" si="42"/>
        <v>6</v>
      </c>
      <c r="P490" s="76">
        <f ca="1">IF(controls!$B$10=1,hystere!N490+hystere!M490,hystere!Q490)</f>
        <v>6</v>
      </c>
      <c r="Q490" s="74">
        <f ca="1">IF('main page'!$Y$53=1,'choose m.p.'!$I$22*100,R490)</f>
        <v>6</v>
      </c>
      <c r="R490" s="100">
        <f ca="1">'main page'!$K$29*M490+(1-'main page'!$K$29)*controls!$B$9+S490+(('main page'!$K$25*'main page'!$U$13*'main page'!$K$29)/('main page'!$K$27*(1+('main page'!$K$25^2)*'main page'!$U$13)))*(M490-(controls!$B$9/100)*100)</f>
        <v>6</v>
      </c>
      <c r="S490" s="98">
        <f ca="1">IF(controls!$B$33=1,(J491-E490*X491-B490)/'main page'!$K$27,(I491-E490*X491-B490)/'main page'!$K$27)</f>
        <v>4</v>
      </c>
      <c r="U490" s="71">
        <f>IF(controls!$B$6=1,$AG$4*(1+('main page'!$K$35/100))^V490-$AG$4*(1+('main page'!$K$35/100))^V489,$AG$4*(1+('main page'!$G$8/100))*(1+('main page'!$K$35/100))^V490-$AG$4*(1+('main page'!$G$8/100))*(1+('main page'!$K$35/100))^V489)</f>
        <v>0</v>
      </c>
      <c r="V490" s="73">
        <v>482</v>
      </c>
      <c r="W490" s="40">
        <f>'normal case'!V489</f>
        <v>0</v>
      </c>
      <c r="X490" s="40">
        <f>'normal case'!W489</f>
        <v>0</v>
      </c>
      <c r="Y490" s="49">
        <f ca="1">IF(controls!$B$33=1,E490-($J$4-'main page'!$K$27*2)*(1+('main page'!$K$35/100))^A489,E490-$AG$5)</f>
        <v>0</v>
      </c>
      <c r="Z490" s="49">
        <f ca="1">ABS(M490-(controls!$B$9/100)*100)</f>
        <v>0</v>
      </c>
      <c r="AI490" s="40"/>
      <c r="AJ490" s="40"/>
    </row>
    <row r="491" spans="1:36">
      <c r="A491" s="48">
        <v>488</v>
      </c>
      <c r="B491" s="75">
        <f ca="1">IF(controls!$B$6=2,AVERAGE(E487:E490)+B490*W491+hystere!$AG$9,AVERAGE(E487:E490)+B490*W491)</f>
        <v>100</v>
      </c>
      <c r="C491" s="80">
        <f t="shared" ca="1" si="43"/>
        <v>0</v>
      </c>
      <c r="D491" s="105">
        <f t="shared" ca="1" si="44"/>
        <v>0</v>
      </c>
      <c r="E491" s="77">
        <f t="shared" ca="1" si="45"/>
        <v>100</v>
      </c>
      <c r="F491" s="77">
        <f ca="1">IF('main page'!$K$34=1,hystere!H491,hystere!G491)</f>
        <v>100</v>
      </c>
      <c r="G491" s="94">
        <f ca="1">I491-'main page'!$K$27*hystere!N490</f>
        <v>100</v>
      </c>
      <c r="H491" s="75">
        <f ca="1">J491-'main page'!$K$27*N490</f>
        <v>100</v>
      </c>
      <c r="I491" s="75">
        <f t="shared" ca="1" si="46"/>
        <v>108</v>
      </c>
      <c r="J491" s="75">
        <f t="shared" ca="1" si="47"/>
        <v>108</v>
      </c>
      <c r="M491" s="75">
        <f ca="1">IF(ABS('main page'!$K$29*M490+(1-'main page'!$K$29)*(controls!$B$9/100)*100+'main page'!$K$25*(E491-B491)-M490)&lt;0.0000001,M490,'main page'!$K$29*M490+(1-'main page'!$K$29)*(controls!$B$9/100)*100+'main page'!$K$25*(E491-B491))</f>
        <v>2</v>
      </c>
      <c r="N491" s="75">
        <f ca="1">IF(controls!$B$10=1,N490,O491-'main page'!$K$29*M491-(1-'main page'!$K$29)*controls!$B$9)</f>
        <v>4</v>
      </c>
      <c r="O491" s="74">
        <f t="shared" ca="1" si="42"/>
        <v>6</v>
      </c>
      <c r="P491" s="76">
        <f ca="1">IF(controls!$B$10=1,hystere!N491+hystere!M491,hystere!Q491)</f>
        <v>6</v>
      </c>
      <c r="Q491" s="74">
        <f ca="1">IF('main page'!$Y$53=1,'choose m.p.'!$I$22*100,R491)</f>
        <v>6</v>
      </c>
      <c r="R491" s="100">
        <f ca="1">'main page'!$K$29*M491+(1-'main page'!$K$29)*controls!$B$9+S491+(('main page'!$K$25*'main page'!$U$13*'main page'!$K$29)/('main page'!$K$27*(1+('main page'!$K$25^2)*'main page'!$U$13)))*(M491-(controls!$B$9/100)*100)</f>
        <v>6</v>
      </c>
      <c r="S491" s="98">
        <f ca="1">IF(controls!$B$33=1,(J492-E491*X492-B491)/'main page'!$K$27,(I492-E491*X492-B491)/'main page'!$K$27)</f>
        <v>4</v>
      </c>
      <c r="U491" s="71">
        <f>IF(controls!$B$6=1,$AG$4*(1+('main page'!$K$35/100))^V491-$AG$4*(1+('main page'!$K$35/100))^V490,$AG$4*(1+('main page'!$G$8/100))*(1+('main page'!$K$35/100))^V491-$AG$4*(1+('main page'!$G$8/100))*(1+('main page'!$K$35/100))^V490)</f>
        <v>0</v>
      </c>
      <c r="V491" s="73">
        <v>483</v>
      </c>
      <c r="W491" s="40">
        <f>'normal case'!V490</f>
        <v>0</v>
      </c>
      <c r="X491" s="40">
        <f>'normal case'!W490</f>
        <v>0</v>
      </c>
      <c r="Y491" s="49">
        <f ca="1">IF(controls!$B$33=1,E491-($J$4-'main page'!$K$27*2)*(1+('main page'!$K$35/100))^A490,E491-$AG$5)</f>
        <v>0</v>
      </c>
      <c r="Z491" s="49">
        <f ca="1">ABS(M491-(controls!$B$9/100)*100)</f>
        <v>0</v>
      </c>
      <c r="AI491" s="40"/>
      <c r="AJ491" s="40"/>
    </row>
    <row r="492" spans="1:36">
      <c r="A492" s="48">
        <v>489</v>
      </c>
      <c r="B492" s="75">
        <f ca="1">IF(controls!$B$6=2,AVERAGE(E488:E491)+B491*W492+hystere!$AG$9,AVERAGE(E488:E491)+B491*W492)</f>
        <v>100</v>
      </c>
      <c r="C492" s="80">
        <f t="shared" ca="1" si="43"/>
        <v>0</v>
      </c>
      <c r="D492" s="105">
        <f t="shared" ca="1" si="44"/>
        <v>0</v>
      </c>
      <c r="E492" s="77">
        <f t="shared" ca="1" si="45"/>
        <v>100</v>
      </c>
      <c r="F492" s="77">
        <f ca="1">IF('main page'!$K$34=1,hystere!H492,hystere!G492)</f>
        <v>100</v>
      </c>
      <c r="G492" s="94">
        <f ca="1">I492-'main page'!$K$27*hystere!N491</f>
        <v>100</v>
      </c>
      <c r="H492" s="75">
        <f ca="1">J492-'main page'!$K$27*N491</f>
        <v>100</v>
      </c>
      <c r="I492" s="75">
        <f t="shared" ca="1" si="46"/>
        <v>108</v>
      </c>
      <c r="J492" s="75">
        <f t="shared" ca="1" si="47"/>
        <v>108</v>
      </c>
      <c r="M492" s="75">
        <f ca="1">IF(ABS('main page'!$K$29*M491+(1-'main page'!$K$29)*(controls!$B$9/100)*100+'main page'!$K$25*(E492-B492)-M491)&lt;0.0000001,M491,'main page'!$K$29*M491+(1-'main page'!$K$29)*(controls!$B$9/100)*100+'main page'!$K$25*(E492-B492))</f>
        <v>2</v>
      </c>
      <c r="N492" s="75">
        <f ca="1">IF(controls!$B$10=1,N491,O492-'main page'!$K$29*M492-(1-'main page'!$K$29)*controls!$B$9)</f>
        <v>4</v>
      </c>
      <c r="O492" s="74">
        <f t="shared" ca="1" si="42"/>
        <v>6</v>
      </c>
      <c r="P492" s="76">
        <f ca="1">IF(controls!$B$10=1,hystere!N492+hystere!M492,hystere!Q492)</f>
        <v>6</v>
      </c>
      <c r="Q492" s="74">
        <f ca="1">IF('main page'!$Y$53=1,'choose m.p.'!$I$22*100,R492)</f>
        <v>6</v>
      </c>
      <c r="R492" s="100">
        <f ca="1">'main page'!$K$29*M492+(1-'main page'!$K$29)*controls!$B$9+S492+(('main page'!$K$25*'main page'!$U$13*'main page'!$K$29)/('main page'!$K$27*(1+('main page'!$K$25^2)*'main page'!$U$13)))*(M492-(controls!$B$9/100)*100)</f>
        <v>6</v>
      </c>
      <c r="S492" s="98">
        <f ca="1">IF(controls!$B$33=1,(J493-E492*X493-B492)/'main page'!$K$27,(I493-E492*X493-B492)/'main page'!$K$27)</f>
        <v>4</v>
      </c>
      <c r="U492" s="71">
        <f>IF(controls!$B$6=1,$AG$4*(1+('main page'!$K$35/100))^V492-$AG$4*(1+('main page'!$K$35/100))^V491,$AG$4*(1+('main page'!$G$8/100))*(1+('main page'!$K$35/100))^V492-$AG$4*(1+('main page'!$G$8/100))*(1+('main page'!$K$35/100))^V491)</f>
        <v>0</v>
      </c>
      <c r="V492" s="73">
        <v>484</v>
      </c>
      <c r="W492" s="40">
        <f ca="1">'normal case'!V491</f>
        <v>0</v>
      </c>
      <c r="X492" s="40">
        <f ca="1">'normal case'!W491</f>
        <v>0</v>
      </c>
      <c r="Y492" s="49">
        <f ca="1">IF(controls!$B$33=1,E492-($J$4-'main page'!$K$27*2)*(1+('main page'!$K$35/100))^A491,E492-$AG$5)</f>
        <v>0</v>
      </c>
      <c r="Z492" s="49">
        <f ca="1">ABS(M492-(controls!$B$9/100)*100)</f>
        <v>0</v>
      </c>
      <c r="AI492" s="40"/>
      <c r="AJ492" s="40"/>
    </row>
    <row r="493" spans="1:36">
      <c r="A493" s="48">
        <v>490</v>
      </c>
      <c r="B493" s="75">
        <f ca="1">IF(controls!$B$6=2,AVERAGE(E489:E492)+B492*W493+hystere!$AG$9,AVERAGE(E489:E492)+B492*W493)</f>
        <v>100</v>
      </c>
      <c r="C493" s="80">
        <f t="shared" ca="1" si="43"/>
        <v>0</v>
      </c>
      <c r="D493" s="105">
        <f t="shared" ca="1" si="44"/>
        <v>0</v>
      </c>
      <c r="E493" s="77">
        <f t="shared" ca="1" si="45"/>
        <v>100</v>
      </c>
      <c r="F493" s="77">
        <f ca="1">IF('main page'!$K$34=1,hystere!H493,hystere!G493)</f>
        <v>100</v>
      </c>
      <c r="G493" s="94">
        <f ca="1">I493-'main page'!$K$27*hystere!N492</f>
        <v>100</v>
      </c>
      <c r="H493" s="75">
        <f ca="1">J493-'main page'!$K$27*N492</f>
        <v>100</v>
      </c>
      <c r="I493" s="75">
        <f t="shared" ca="1" si="46"/>
        <v>108</v>
      </c>
      <c r="J493" s="75">
        <f t="shared" ca="1" si="47"/>
        <v>108</v>
      </c>
      <c r="M493" s="75">
        <f ca="1">IF(ABS('main page'!$K$29*M492+(1-'main page'!$K$29)*(controls!$B$9/100)*100+'main page'!$K$25*(E493-B493)-M492)&lt;0.0000001,M492,'main page'!$K$29*M492+(1-'main page'!$K$29)*(controls!$B$9/100)*100+'main page'!$K$25*(E493-B493))</f>
        <v>2</v>
      </c>
      <c r="N493" s="75">
        <f ca="1">IF(controls!$B$10=1,N492,O493-'main page'!$K$29*M493-(1-'main page'!$K$29)*controls!$B$9)</f>
        <v>4</v>
      </c>
      <c r="O493" s="74">
        <f t="shared" ca="1" si="42"/>
        <v>6</v>
      </c>
      <c r="P493" s="76">
        <f ca="1">IF(controls!$B$10=1,hystere!N493+hystere!M493,hystere!Q493)</f>
        <v>6</v>
      </c>
      <c r="Q493" s="74">
        <f ca="1">IF('main page'!$Y$53=1,'choose m.p.'!$I$22*100,R493)</f>
        <v>6</v>
      </c>
      <c r="R493" s="100">
        <f ca="1">'main page'!$K$29*M493+(1-'main page'!$K$29)*controls!$B$9+S493+(('main page'!$K$25*'main page'!$U$13*'main page'!$K$29)/('main page'!$K$27*(1+('main page'!$K$25^2)*'main page'!$U$13)))*(M493-(controls!$B$9/100)*100)</f>
        <v>6</v>
      </c>
      <c r="S493" s="98">
        <f ca="1">IF(controls!$B$33=1,(J494-E493*X494-B493)/'main page'!$K$27,(I494-E493*X494-B493)/'main page'!$K$27)</f>
        <v>4</v>
      </c>
      <c r="U493" s="71">
        <f>IF(controls!$B$6=1,$AG$4*(1+('main page'!$K$35/100))^V493-$AG$4*(1+('main page'!$K$35/100))^V492,$AG$4*(1+('main page'!$G$8/100))*(1+('main page'!$K$35/100))^V493-$AG$4*(1+('main page'!$G$8/100))*(1+('main page'!$K$35/100))^V492)</f>
        <v>0</v>
      </c>
      <c r="V493" s="73">
        <v>485</v>
      </c>
      <c r="W493" s="40">
        <f>'normal case'!V492</f>
        <v>0</v>
      </c>
      <c r="X493" s="40">
        <f>'normal case'!W492</f>
        <v>0</v>
      </c>
      <c r="Y493" s="49">
        <f ca="1">IF(controls!$B$33=1,E493-($J$4-'main page'!$K$27*2)*(1+('main page'!$K$35/100))^A492,E493-$AG$5)</f>
        <v>0</v>
      </c>
      <c r="Z493" s="49">
        <f ca="1">ABS(M493-(controls!$B$9/100)*100)</f>
        <v>0</v>
      </c>
      <c r="AI493" s="40"/>
      <c r="AJ493" s="40"/>
    </row>
    <row r="494" spans="1:36">
      <c r="A494" s="48">
        <v>491</v>
      </c>
      <c r="B494" s="75">
        <f ca="1">IF(controls!$B$6=2,AVERAGE(E490:E493)+B493*W494+hystere!$AG$9,AVERAGE(E490:E493)+B493*W494)</f>
        <v>100</v>
      </c>
      <c r="C494" s="80">
        <f t="shared" ca="1" si="43"/>
        <v>0</v>
      </c>
      <c r="D494" s="105">
        <f t="shared" ca="1" si="44"/>
        <v>0</v>
      </c>
      <c r="E494" s="77">
        <f t="shared" ca="1" si="45"/>
        <v>100</v>
      </c>
      <c r="F494" s="77">
        <f ca="1">IF('main page'!$K$34=1,hystere!H494,hystere!G494)</f>
        <v>100</v>
      </c>
      <c r="G494" s="94">
        <f ca="1">I494-'main page'!$K$27*hystere!N493</f>
        <v>100</v>
      </c>
      <c r="H494" s="75">
        <f ca="1">J494-'main page'!$K$27*N493</f>
        <v>100</v>
      </c>
      <c r="I494" s="75">
        <f t="shared" ca="1" si="46"/>
        <v>108</v>
      </c>
      <c r="J494" s="75">
        <f t="shared" ca="1" si="47"/>
        <v>108</v>
      </c>
      <c r="M494" s="75">
        <f ca="1">IF(ABS('main page'!$K$29*M493+(1-'main page'!$K$29)*(controls!$B$9/100)*100+'main page'!$K$25*(E494-B494)-M493)&lt;0.0000001,M493,'main page'!$K$29*M493+(1-'main page'!$K$29)*(controls!$B$9/100)*100+'main page'!$K$25*(E494-B494))</f>
        <v>2</v>
      </c>
      <c r="N494" s="75">
        <f ca="1">IF(controls!$B$10=1,N493,O494-'main page'!$K$29*M494-(1-'main page'!$K$29)*controls!$B$9)</f>
        <v>4</v>
      </c>
      <c r="O494" s="74">
        <f t="shared" ca="1" si="42"/>
        <v>6</v>
      </c>
      <c r="P494" s="76">
        <f ca="1">IF(controls!$B$10=1,hystere!N494+hystere!M494,hystere!Q494)</f>
        <v>6</v>
      </c>
      <c r="Q494" s="74">
        <f ca="1">IF('main page'!$Y$53=1,'choose m.p.'!$I$22*100,R494)</f>
        <v>6</v>
      </c>
      <c r="R494" s="100">
        <f ca="1">'main page'!$K$29*M494+(1-'main page'!$K$29)*controls!$B$9+S494+(('main page'!$K$25*'main page'!$U$13*'main page'!$K$29)/('main page'!$K$27*(1+('main page'!$K$25^2)*'main page'!$U$13)))*(M494-(controls!$B$9/100)*100)</f>
        <v>6</v>
      </c>
      <c r="S494" s="98">
        <f ca="1">IF(controls!$B$33=1,(J495-E494*X495-B494)/'main page'!$K$27,(I495-E494*X495-B494)/'main page'!$K$27)</f>
        <v>4</v>
      </c>
      <c r="U494" s="71">
        <f>IF(controls!$B$6=1,$AG$4*(1+('main page'!$K$35/100))^V494-$AG$4*(1+('main page'!$K$35/100))^V493,$AG$4*(1+('main page'!$G$8/100))*(1+('main page'!$K$35/100))^V494-$AG$4*(1+('main page'!$G$8/100))*(1+('main page'!$K$35/100))^V493)</f>
        <v>0</v>
      </c>
      <c r="V494" s="73">
        <v>486</v>
      </c>
      <c r="W494" s="40">
        <f>'normal case'!V493</f>
        <v>0</v>
      </c>
      <c r="X494" s="40">
        <f>'normal case'!W493</f>
        <v>0</v>
      </c>
      <c r="Y494" s="49">
        <f ca="1">IF(controls!$B$33=1,E494-($J$4-'main page'!$K$27*2)*(1+('main page'!$K$35/100))^A493,E494-$AG$5)</f>
        <v>0</v>
      </c>
      <c r="Z494" s="49">
        <f ca="1">ABS(M494-(controls!$B$9/100)*100)</f>
        <v>0</v>
      </c>
      <c r="AI494" s="40"/>
      <c r="AJ494" s="40"/>
    </row>
    <row r="495" spans="1:36">
      <c r="A495" s="48">
        <v>492</v>
      </c>
      <c r="B495" s="75">
        <f ca="1">IF(controls!$B$6=2,AVERAGE(E491:E494)+B494*W495+hystere!$AG$9,AVERAGE(E491:E494)+B494*W495)</f>
        <v>100</v>
      </c>
      <c r="C495" s="80">
        <f t="shared" ca="1" si="43"/>
        <v>0</v>
      </c>
      <c r="D495" s="105">
        <f t="shared" ca="1" si="44"/>
        <v>0</v>
      </c>
      <c r="E495" s="77">
        <f t="shared" ca="1" si="45"/>
        <v>100</v>
      </c>
      <c r="F495" s="77">
        <f ca="1">IF('main page'!$K$34=1,hystere!H495,hystere!G495)</f>
        <v>100</v>
      </c>
      <c r="G495" s="94">
        <f ca="1">I495-'main page'!$K$27*hystere!N494</f>
        <v>100</v>
      </c>
      <c r="H495" s="75">
        <f ca="1">J495-'main page'!$K$27*N494</f>
        <v>100</v>
      </c>
      <c r="I495" s="75">
        <f t="shared" ca="1" si="46"/>
        <v>108</v>
      </c>
      <c r="J495" s="75">
        <f t="shared" ca="1" si="47"/>
        <v>108</v>
      </c>
      <c r="M495" s="75">
        <f ca="1">IF(ABS('main page'!$K$29*M494+(1-'main page'!$K$29)*(controls!$B$9/100)*100+'main page'!$K$25*(E495-B495)-M494)&lt;0.0000001,M494,'main page'!$K$29*M494+(1-'main page'!$K$29)*(controls!$B$9/100)*100+'main page'!$K$25*(E495-B495))</f>
        <v>2</v>
      </c>
      <c r="N495" s="75">
        <f ca="1">IF(controls!$B$10=1,N494,O495-'main page'!$K$29*M495-(1-'main page'!$K$29)*controls!$B$9)</f>
        <v>4</v>
      </c>
      <c r="O495" s="74">
        <f t="shared" ca="1" si="42"/>
        <v>6</v>
      </c>
      <c r="P495" s="76">
        <f ca="1">IF(controls!$B$10=1,hystere!N495+hystere!M495,hystere!Q495)</f>
        <v>6</v>
      </c>
      <c r="Q495" s="74">
        <f ca="1">IF('main page'!$Y$53=1,'choose m.p.'!$I$22*100,R495)</f>
        <v>6</v>
      </c>
      <c r="R495" s="100">
        <f ca="1">'main page'!$K$29*M495+(1-'main page'!$K$29)*controls!$B$9+S495+(('main page'!$K$25*'main page'!$U$13*'main page'!$K$29)/('main page'!$K$27*(1+('main page'!$K$25^2)*'main page'!$U$13)))*(M495-(controls!$B$9/100)*100)</f>
        <v>6</v>
      </c>
      <c r="S495" s="98">
        <f ca="1">IF(controls!$B$33=1,(J496-E495*X496-B495)/'main page'!$K$27,(I496-E495*X496-B495)/'main page'!$K$27)</f>
        <v>4</v>
      </c>
      <c r="U495" s="71">
        <f>IF(controls!$B$6=1,$AG$4*(1+('main page'!$K$35/100))^V495-$AG$4*(1+('main page'!$K$35/100))^V494,$AG$4*(1+('main page'!$G$8/100))*(1+('main page'!$K$35/100))^V495-$AG$4*(1+('main page'!$G$8/100))*(1+('main page'!$K$35/100))^V494)</f>
        <v>0</v>
      </c>
      <c r="V495" s="73">
        <v>487</v>
      </c>
      <c r="W495" s="40">
        <f ca="1">'normal case'!V494</f>
        <v>0</v>
      </c>
      <c r="X495" s="40">
        <f ca="1">'normal case'!W494</f>
        <v>0</v>
      </c>
      <c r="Y495" s="49">
        <f ca="1">IF(controls!$B$33=1,E495-($J$4-'main page'!$K$27*2)*(1+('main page'!$K$35/100))^A494,E495-$AG$5)</f>
        <v>0</v>
      </c>
      <c r="Z495" s="49">
        <f ca="1">ABS(M495-(controls!$B$9/100)*100)</f>
        <v>0</v>
      </c>
      <c r="AI495" s="40"/>
      <c r="AJ495" s="40"/>
    </row>
    <row r="496" spans="1:36">
      <c r="A496" s="48">
        <v>493</v>
      </c>
      <c r="B496" s="75">
        <f ca="1">IF(controls!$B$6=2,AVERAGE(E492:E495)+B495*W496+hystere!$AG$9,AVERAGE(E492:E495)+B495*W496)</f>
        <v>100</v>
      </c>
      <c r="C496" s="80">
        <f t="shared" ca="1" si="43"/>
        <v>0</v>
      </c>
      <c r="D496" s="105">
        <f t="shared" ca="1" si="44"/>
        <v>0</v>
      </c>
      <c r="E496" s="77">
        <f t="shared" ca="1" si="45"/>
        <v>100</v>
      </c>
      <c r="F496" s="77">
        <f ca="1">IF('main page'!$K$34=1,hystere!H496,hystere!G496)</f>
        <v>100</v>
      </c>
      <c r="G496" s="94">
        <f ca="1">I496-'main page'!$K$27*hystere!N495</f>
        <v>100</v>
      </c>
      <c r="H496" s="75">
        <f ca="1">J496-'main page'!$K$27*N495</f>
        <v>100</v>
      </c>
      <c r="I496" s="75">
        <f t="shared" ca="1" si="46"/>
        <v>108</v>
      </c>
      <c r="J496" s="75">
        <f t="shared" ca="1" si="47"/>
        <v>108</v>
      </c>
      <c r="M496" s="75">
        <f ca="1">IF(ABS('main page'!$K$29*M495+(1-'main page'!$K$29)*(controls!$B$9/100)*100+'main page'!$K$25*(E496-B496)-M495)&lt;0.0000001,M495,'main page'!$K$29*M495+(1-'main page'!$K$29)*(controls!$B$9/100)*100+'main page'!$K$25*(E496-B496))</f>
        <v>2</v>
      </c>
      <c r="N496" s="75">
        <f ca="1">IF(controls!$B$10=1,N495,O496-'main page'!$K$29*M496-(1-'main page'!$K$29)*controls!$B$9)</f>
        <v>4</v>
      </c>
      <c r="O496" s="74">
        <f t="shared" ca="1" si="42"/>
        <v>6</v>
      </c>
      <c r="P496" s="76">
        <f ca="1">IF(controls!$B$10=1,hystere!N496+hystere!M496,hystere!Q496)</f>
        <v>6</v>
      </c>
      <c r="Q496" s="74">
        <f ca="1">IF('main page'!$Y$53=1,'choose m.p.'!$I$22*100,R496)</f>
        <v>6</v>
      </c>
      <c r="R496" s="100">
        <f ca="1">'main page'!$K$29*M496+(1-'main page'!$K$29)*controls!$B$9+S496+(('main page'!$K$25*'main page'!$U$13*'main page'!$K$29)/('main page'!$K$27*(1+('main page'!$K$25^2)*'main page'!$U$13)))*(M496-(controls!$B$9/100)*100)</f>
        <v>6</v>
      </c>
      <c r="S496" s="98">
        <f ca="1">IF(controls!$B$33=1,(J497-E496*X497-B496)/'main page'!$K$27,(I497-E496*X497-B496)/'main page'!$K$27)</f>
        <v>4</v>
      </c>
      <c r="U496" s="71">
        <f>IF(controls!$B$6=1,$AG$4*(1+('main page'!$K$35/100))^V496-$AG$4*(1+('main page'!$K$35/100))^V495,$AG$4*(1+('main page'!$G$8/100))*(1+('main page'!$K$35/100))^V496-$AG$4*(1+('main page'!$G$8/100))*(1+('main page'!$K$35/100))^V495)</f>
        <v>0</v>
      </c>
      <c r="V496" s="73">
        <v>488</v>
      </c>
      <c r="W496" s="40">
        <f>'normal case'!V495</f>
        <v>0</v>
      </c>
      <c r="X496" s="40">
        <f>'normal case'!W495</f>
        <v>0</v>
      </c>
      <c r="Y496" s="49">
        <f ca="1">IF(controls!$B$33=1,E496-($J$4-'main page'!$K$27*2)*(1+('main page'!$K$35/100))^A495,E496-$AG$5)</f>
        <v>0</v>
      </c>
      <c r="Z496" s="49">
        <f ca="1">ABS(M496-(controls!$B$9/100)*100)</f>
        <v>0</v>
      </c>
      <c r="AI496" s="40"/>
      <c r="AJ496" s="40"/>
    </row>
    <row r="497" spans="1:36">
      <c r="A497" s="48">
        <v>494</v>
      </c>
      <c r="B497" s="75">
        <f ca="1">IF(controls!$B$6=2,AVERAGE(E493:E496)+B496*W497+hystere!$AG$9,AVERAGE(E493:E496)+B496*W497)</f>
        <v>100</v>
      </c>
      <c r="C497" s="80">
        <f t="shared" ca="1" si="43"/>
        <v>0</v>
      </c>
      <c r="D497" s="105">
        <f t="shared" ca="1" si="44"/>
        <v>0</v>
      </c>
      <c r="E497" s="77">
        <f t="shared" ca="1" si="45"/>
        <v>100</v>
      </c>
      <c r="F497" s="77">
        <f ca="1">IF('main page'!$K$34=1,hystere!H497,hystere!G497)</f>
        <v>100</v>
      </c>
      <c r="G497" s="94">
        <f ca="1">I497-'main page'!$K$27*hystere!N496</f>
        <v>100</v>
      </c>
      <c r="H497" s="75">
        <f ca="1">J497-'main page'!$K$27*N496</f>
        <v>100</v>
      </c>
      <c r="I497" s="75">
        <f t="shared" ca="1" si="46"/>
        <v>108</v>
      </c>
      <c r="J497" s="75">
        <f t="shared" ca="1" si="47"/>
        <v>108</v>
      </c>
      <c r="M497" s="75">
        <f ca="1">IF(ABS('main page'!$K$29*M496+(1-'main page'!$K$29)*(controls!$B$9/100)*100+'main page'!$K$25*(E497-B497)-M496)&lt;0.0000001,M496,'main page'!$K$29*M496+(1-'main page'!$K$29)*(controls!$B$9/100)*100+'main page'!$K$25*(E497-B497))</f>
        <v>2</v>
      </c>
      <c r="N497" s="75">
        <f ca="1">IF(controls!$B$10=1,N496,O497-'main page'!$K$29*M497-(1-'main page'!$K$29)*controls!$B$9)</f>
        <v>4</v>
      </c>
      <c r="O497" s="74">
        <f t="shared" ca="1" si="42"/>
        <v>6</v>
      </c>
      <c r="P497" s="76">
        <f ca="1">IF(controls!$B$10=1,hystere!N497+hystere!M497,hystere!Q497)</f>
        <v>6</v>
      </c>
      <c r="Q497" s="74">
        <f ca="1">IF('main page'!$Y$53=1,'choose m.p.'!$I$22*100,R497)</f>
        <v>6</v>
      </c>
      <c r="R497" s="100">
        <f ca="1">'main page'!$K$29*M497+(1-'main page'!$K$29)*controls!$B$9+S497+(('main page'!$K$25*'main page'!$U$13*'main page'!$K$29)/('main page'!$K$27*(1+('main page'!$K$25^2)*'main page'!$U$13)))*(M497-(controls!$B$9/100)*100)</f>
        <v>6</v>
      </c>
      <c r="S497" s="98">
        <f ca="1">IF(controls!$B$33=1,(J498-E497*X498-B497)/'main page'!$K$27,(I498-E497*X498-B497)/'main page'!$K$27)</f>
        <v>4</v>
      </c>
      <c r="U497" s="71">
        <f>IF(controls!$B$6=1,$AG$4*(1+('main page'!$K$35/100))^V497-$AG$4*(1+('main page'!$K$35/100))^V496,$AG$4*(1+('main page'!$G$8/100))*(1+('main page'!$K$35/100))^V497-$AG$4*(1+('main page'!$G$8/100))*(1+('main page'!$K$35/100))^V496)</f>
        <v>0</v>
      </c>
      <c r="V497" s="73">
        <v>489</v>
      </c>
      <c r="W497" s="40">
        <f>'normal case'!V496</f>
        <v>0</v>
      </c>
      <c r="X497" s="40">
        <f>'normal case'!W496</f>
        <v>0</v>
      </c>
      <c r="Y497" s="49">
        <f ca="1">IF(controls!$B$33=1,E497-($J$4-'main page'!$K$27*2)*(1+('main page'!$K$35/100))^A496,E497-$AG$5)</f>
        <v>0</v>
      </c>
      <c r="Z497" s="49">
        <f ca="1">ABS(M497-(controls!$B$9/100)*100)</f>
        <v>0</v>
      </c>
      <c r="AI497" s="40"/>
      <c r="AJ497" s="40"/>
    </row>
    <row r="498" spans="1:36">
      <c r="A498" s="48">
        <v>495</v>
      </c>
      <c r="B498" s="75">
        <f ca="1">IF(controls!$B$6=2,AVERAGE(E494:E497)+B497*W498+hystere!$AG$9,AVERAGE(E494:E497)+B497*W498)</f>
        <v>100</v>
      </c>
      <c r="C498" s="80">
        <f t="shared" ca="1" si="43"/>
        <v>0</v>
      </c>
      <c r="D498" s="105">
        <f t="shared" ca="1" si="44"/>
        <v>0</v>
      </c>
      <c r="E498" s="77">
        <f t="shared" ca="1" si="45"/>
        <v>100</v>
      </c>
      <c r="F498" s="77">
        <f ca="1">IF('main page'!$K$34=1,hystere!H498,hystere!G498)</f>
        <v>100</v>
      </c>
      <c r="G498" s="94">
        <f ca="1">I498-'main page'!$K$27*hystere!N497</f>
        <v>100</v>
      </c>
      <c r="H498" s="75">
        <f ca="1">J498-'main page'!$K$27*N497</f>
        <v>100</v>
      </c>
      <c r="I498" s="75">
        <f t="shared" ca="1" si="46"/>
        <v>108</v>
      </c>
      <c r="J498" s="75">
        <f t="shared" ca="1" si="47"/>
        <v>108</v>
      </c>
      <c r="M498" s="75">
        <f ca="1">IF(ABS('main page'!$K$29*M497+(1-'main page'!$K$29)*(controls!$B$9/100)*100+'main page'!$K$25*(E498-B498)-M497)&lt;0.0000001,M497,'main page'!$K$29*M497+(1-'main page'!$K$29)*(controls!$B$9/100)*100+'main page'!$K$25*(E498-B498))</f>
        <v>2</v>
      </c>
      <c r="N498" s="75">
        <f ca="1">IF(controls!$B$10=1,N497,O498-'main page'!$K$29*M498-(1-'main page'!$K$29)*controls!$B$9)</f>
        <v>4</v>
      </c>
      <c r="O498" s="74">
        <f t="shared" ca="1" si="42"/>
        <v>6</v>
      </c>
      <c r="P498" s="76">
        <f ca="1">IF(controls!$B$10=1,hystere!N498+hystere!M498,hystere!Q498)</f>
        <v>6</v>
      </c>
      <c r="Q498" s="74">
        <f ca="1">IF('main page'!$Y$53=1,'choose m.p.'!$I$22*100,R498)</f>
        <v>6</v>
      </c>
      <c r="R498" s="100">
        <f ca="1">'main page'!$K$29*M498+(1-'main page'!$K$29)*controls!$B$9+S498+(('main page'!$K$25*'main page'!$U$13*'main page'!$K$29)/('main page'!$K$27*(1+('main page'!$K$25^2)*'main page'!$U$13)))*(M498-(controls!$B$9/100)*100)</f>
        <v>6</v>
      </c>
      <c r="S498" s="98">
        <f ca="1">IF(controls!$B$33=1,(J499-E498*X499-B498)/'main page'!$K$27,(I499-E498*X499-B498)/'main page'!$K$27)</f>
        <v>4</v>
      </c>
      <c r="U498" s="71">
        <f>IF(controls!$B$6=1,$AG$4*(1+('main page'!$K$35/100))^V498-$AG$4*(1+('main page'!$K$35/100))^V497,$AG$4*(1+('main page'!$G$8/100))*(1+('main page'!$K$35/100))^V498-$AG$4*(1+('main page'!$G$8/100))*(1+('main page'!$K$35/100))^V497)</f>
        <v>0</v>
      </c>
      <c r="V498" s="73">
        <v>490</v>
      </c>
      <c r="W498" s="40">
        <f ca="1">'normal case'!V497</f>
        <v>0</v>
      </c>
      <c r="X498" s="40">
        <f ca="1">'normal case'!W497</f>
        <v>0</v>
      </c>
      <c r="Y498" s="49">
        <f ca="1">IF(controls!$B$33=1,E498-($J$4-'main page'!$K$27*2)*(1+('main page'!$K$35/100))^A497,E498-$AG$5)</f>
        <v>0</v>
      </c>
      <c r="Z498" s="49">
        <f ca="1">ABS(M498-(controls!$B$9/100)*100)</f>
        <v>0</v>
      </c>
      <c r="AI498" s="40"/>
      <c r="AJ498" s="40"/>
    </row>
    <row r="499" spans="1:36">
      <c r="A499" s="48">
        <v>496</v>
      </c>
      <c r="B499" s="75">
        <f ca="1">IF(controls!$B$6=2,AVERAGE(E495:E498)+B498*W499+hystere!$AG$9,AVERAGE(E495:E498)+B498*W499)</f>
        <v>100</v>
      </c>
      <c r="C499" s="80">
        <f t="shared" ca="1" si="43"/>
        <v>0</v>
      </c>
      <c r="D499" s="105">
        <f t="shared" ca="1" si="44"/>
        <v>0</v>
      </c>
      <c r="E499" s="77">
        <f t="shared" ca="1" si="45"/>
        <v>100</v>
      </c>
      <c r="F499" s="77">
        <f ca="1">IF('main page'!$K$34=1,hystere!H499,hystere!G499)</f>
        <v>100</v>
      </c>
      <c r="G499" s="94">
        <f ca="1">I499-'main page'!$K$27*hystere!N498</f>
        <v>100</v>
      </c>
      <c r="H499" s="75">
        <f ca="1">J499-'main page'!$K$27*N498</f>
        <v>100</v>
      </c>
      <c r="I499" s="75">
        <f t="shared" ca="1" si="46"/>
        <v>108</v>
      </c>
      <c r="J499" s="75">
        <f t="shared" ca="1" si="47"/>
        <v>108</v>
      </c>
      <c r="M499" s="75">
        <f ca="1">IF(ABS('main page'!$K$29*M498+(1-'main page'!$K$29)*(controls!$B$9/100)*100+'main page'!$K$25*(E499-B499)-M498)&lt;0.0000001,M498,'main page'!$K$29*M498+(1-'main page'!$K$29)*(controls!$B$9/100)*100+'main page'!$K$25*(E499-B499))</f>
        <v>2</v>
      </c>
      <c r="N499" s="75">
        <f ca="1">IF(controls!$B$10=1,N498,O499-'main page'!$K$29*M499-(1-'main page'!$K$29)*controls!$B$9)</f>
        <v>4</v>
      </c>
      <c r="O499" s="74">
        <f t="shared" ca="1" si="42"/>
        <v>6</v>
      </c>
      <c r="P499" s="76">
        <f ca="1">IF(controls!$B$10=1,hystere!N499+hystere!M499,hystere!Q499)</f>
        <v>6</v>
      </c>
      <c r="Q499" s="74">
        <f ca="1">IF('main page'!$Y$53=1,'choose m.p.'!$I$22*100,R499)</f>
        <v>6</v>
      </c>
      <c r="R499" s="100">
        <f ca="1">'main page'!$K$29*M499+(1-'main page'!$K$29)*controls!$B$9+S499+(('main page'!$K$25*'main page'!$U$13*'main page'!$K$29)/('main page'!$K$27*(1+('main page'!$K$25^2)*'main page'!$U$13)))*(M499-(controls!$B$9/100)*100)</f>
        <v>6</v>
      </c>
      <c r="S499" s="98">
        <f ca="1">IF(controls!$B$33=1,(J500-E499*X500-B499)/'main page'!$K$27,(I500-E499*X500-B499)/'main page'!$K$27)</f>
        <v>4</v>
      </c>
      <c r="U499" s="71">
        <f>IF(controls!$B$6=1,$AG$4*(1+('main page'!$K$35/100))^V499-$AG$4*(1+('main page'!$K$35/100))^V498,$AG$4*(1+('main page'!$G$8/100))*(1+('main page'!$K$35/100))^V499-$AG$4*(1+('main page'!$G$8/100))*(1+('main page'!$K$35/100))^V498)</f>
        <v>0</v>
      </c>
      <c r="V499" s="73">
        <v>491</v>
      </c>
      <c r="W499" s="40">
        <f>'normal case'!V498</f>
        <v>0</v>
      </c>
      <c r="X499" s="40">
        <f>'normal case'!W498</f>
        <v>0</v>
      </c>
      <c r="Y499" s="49">
        <f ca="1">IF(controls!$B$33=1,E499-($J$4-'main page'!$K$27*2)*(1+('main page'!$K$35/100))^A498,E499-$AG$5)</f>
        <v>0</v>
      </c>
      <c r="Z499" s="49">
        <f ca="1">ABS(M499-(controls!$B$9/100)*100)</f>
        <v>0</v>
      </c>
      <c r="AI499" s="40"/>
      <c r="AJ499" s="40"/>
    </row>
    <row r="500" spans="1:36">
      <c r="A500" s="48">
        <v>497</v>
      </c>
      <c r="B500" s="75">
        <f ca="1">IF(controls!$B$6=2,AVERAGE(E496:E499)+B499*W500+hystere!$AG$9,AVERAGE(E496:E499)+B499*W500)</f>
        <v>100</v>
      </c>
      <c r="C500" s="80">
        <f t="shared" ca="1" si="43"/>
        <v>0</v>
      </c>
      <c r="D500" s="105">
        <f t="shared" ca="1" si="44"/>
        <v>0</v>
      </c>
      <c r="E500" s="77">
        <f t="shared" ca="1" si="45"/>
        <v>100</v>
      </c>
      <c r="F500" s="77">
        <f ca="1">IF('main page'!$K$34=1,hystere!H500,hystere!G500)</f>
        <v>100</v>
      </c>
      <c r="G500" s="94">
        <f ca="1">I500-'main page'!$K$27*hystere!N499</f>
        <v>100</v>
      </c>
      <c r="H500" s="75">
        <f ca="1">J500-'main page'!$K$27*N499</f>
        <v>100</v>
      </c>
      <c r="I500" s="75">
        <f t="shared" ca="1" si="46"/>
        <v>108</v>
      </c>
      <c r="J500" s="75">
        <f t="shared" ca="1" si="47"/>
        <v>108</v>
      </c>
      <c r="M500" s="75">
        <f ca="1">IF(ABS('main page'!$K$29*M499+(1-'main page'!$K$29)*(controls!$B$9/100)*100+'main page'!$K$25*(E500-B500)-M499)&lt;0.0000001,M499,'main page'!$K$29*M499+(1-'main page'!$K$29)*(controls!$B$9/100)*100+'main page'!$K$25*(E500-B500))</f>
        <v>2</v>
      </c>
      <c r="N500" s="75">
        <f ca="1">IF(controls!$B$10=1,N499,O500-'main page'!$K$29*M500-(1-'main page'!$K$29)*controls!$B$9)</f>
        <v>4</v>
      </c>
      <c r="O500" s="74">
        <f t="shared" ca="1" si="42"/>
        <v>6</v>
      </c>
      <c r="P500" s="76">
        <f ca="1">IF(controls!$B$10=1,hystere!N500+hystere!M500,hystere!Q500)</f>
        <v>6</v>
      </c>
      <c r="Q500" s="74">
        <f ca="1">IF('main page'!$Y$53=1,'choose m.p.'!$I$22*100,R500)</f>
        <v>6</v>
      </c>
      <c r="R500" s="100">
        <f ca="1">'main page'!$K$29*M500+(1-'main page'!$K$29)*controls!$B$9+S500+(('main page'!$K$25*'main page'!$U$13*'main page'!$K$29)/('main page'!$K$27*(1+('main page'!$K$25^2)*'main page'!$U$13)))*(M500-(controls!$B$9/100)*100)</f>
        <v>6</v>
      </c>
      <c r="S500" s="98">
        <f ca="1">IF(controls!$B$33=1,(J501-E500*X501-B500)/'main page'!$K$27,(I501-E500*X501-B500)/'main page'!$K$27)</f>
        <v>4</v>
      </c>
      <c r="U500" s="71">
        <f>IF(controls!$B$6=1,$AG$4*(1+('main page'!$K$35/100))^V500-$AG$4*(1+('main page'!$K$35/100))^V499,$AG$4*(1+('main page'!$G$8/100))*(1+('main page'!$K$35/100))^V500-$AG$4*(1+('main page'!$G$8/100))*(1+('main page'!$K$35/100))^V499)</f>
        <v>0</v>
      </c>
      <c r="V500" s="73">
        <v>492</v>
      </c>
      <c r="W500" s="40">
        <f>'normal case'!V499</f>
        <v>0</v>
      </c>
      <c r="X500" s="40">
        <f>'normal case'!W499</f>
        <v>0</v>
      </c>
      <c r="Y500" s="49">
        <f ca="1">IF(controls!$B$33=1,E500-($J$4-'main page'!$K$27*2)*(1+('main page'!$K$35/100))^A499,E500-$AG$5)</f>
        <v>0</v>
      </c>
      <c r="Z500" s="49">
        <f ca="1">ABS(M500-(controls!$B$9/100)*100)</f>
        <v>0</v>
      </c>
      <c r="AI500" s="40"/>
      <c r="AJ500" s="40"/>
    </row>
    <row r="501" spans="1:36">
      <c r="A501" s="48">
        <v>498</v>
      </c>
      <c r="B501" s="75">
        <f ca="1">IF(controls!$B$6=2,AVERAGE(E497:E500)+B500*W501+hystere!$AG$9,AVERAGE(E497:E500)+B500*W501)</f>
        <v>100</v>
      </c>
      <c r="C501" s="80">
        <f t="shared" ca="1" si="43"/>
        <v>0</v>
      </c>
      <c r="D501" s="105">
        <f t="shared" ca="1" si="44"/>
        <v>0</v>
      </c>
      <c r="E501" s="77">
        <f t="shared" ca="1" si="45"/>
        <v>100</v>
      </c>
      <c r="F501" s="77">
        <f ca="1">IF('main page'!$K$34=1,hystere!H501,hystere!G501)</f>
        <v>100</v>
      </c>
      <c r="G501" s="94">
        <f ca="1">I501-'main page'!$K$27*hystere!N500</f>
        <v>100</v>
      </c>
      <c r="H501" s="75">
        <f ca="1">J501-'main page'!$K$27*N500</f>
        <v>100</v>
      </c>
      <c r="I501" s="75">
        <f t="shared" ca="1" si="46"/>
        <v>108</v>
      </c>
      <c r="J501" s="75">
        <f t="shared" ca="1" si="47"/>
        <v>108</v>
      </c>
      <c r="M501" s="75">
        <f ca="1">IF(ABS('main page'!$K$29*M500+(1-'main page'!$K$29)*(controls!$B$9/100)*100+'main page'!$K$25*(E501-B501)-M500)&lt;0.0000001,M500,'main page'!$K$29*M500+(1-'main page'!$K$29)*(controls!$B$9/100)*100+'main page'!$K$25*(E501-B501))</f>
        <v>2</v>
      </c>
      <c r="N501" s="75">
        <f ca="1">IF(controls!$B$10=1,N500,O501-'main page'!$K$29*M501-(1-'main page'!$K$29)*controls!$B$9)</f>
        <v>4</v>
      </c>
      <c r="O501" s="74">
        <f t="shared" ca="1" si="42"/>
        <v>6</v>
      </c>
      <c r="P501" s="76">
        <f ca="1">IF(controls!$B$10=1,hystere!N501+hystere!M501,hystere!Q501)</f>
        <v>6</v>
      </c>
      <c r="Q501" s="74">
        <f ca="1">IF('main page'!$Y$53=1,'choose m.p.'!$I$22*100,R501)</f>
        <v>6</v>
      </c>
      <c r="R501" s="100">
        <f ca="1">'main page'!$K$29*M501+(1-'main page'!$K$29)*controls!$B$9+S501+(('main page'!$K$25*'main page'!$U$13*'main page'!$K$29)/('main page'!$K$27*(1+('main page'!$K$25^2)*'main page'!$U$13)))*(M501-(controls!$B$9/100)*100)</f>
        <v>6</v>
      </c>
      <c r="S501" s="98">
        <f ca="1">IF(controls!$B$33=1,(J502-E501*X502-B501)/'main page'!$K$27,(I502-E501*X502-B501)/'main page'!$K$27)</f>
        <v>4</v>
      </c>
      <c r="U501" s="71">
        <f>IF(controls!$B$6=1,$AG$4*(1+('main page'!$K$35/100))^V501-$AG$4*(1+('main page'!$K$35/100))^V500,$AG$4*(1+('main page'!$G$8/100))*(1+('main page'!$K$35/100))^V501-$AG$4*(1+('main page'!$G$8/100))*(1+('main page'!$K$35/100))^V500)</f>
        <v>0</v>
      </c>
      <c r="V501" s="73">
        <v>493</v>
      </c>
      <c r="W501" s="40">
        <f ca="1">'normal case'!V500</f>
        <v>0</v>
      </c>
      <c r="X501" s="40">
        <f ca="1">'normal case'!W500</f>
        <v>0</v>
      </c>
      <c r="Y501" s="49">
        <f ca="1">IF(controls!$B$33=1,E501-($J$4-'main page'!$K$27*2)*(1+('main page'!$K$35/100))^A500,E501-$AG$5)</f>
        <v>0</v>
      </c>
      <c r="Z501" s="49">
        <f ca="1">ABS(M501-(controls!$B$9/100)*100)</f>
        <v>0</v>
      </c>
      <c r="AI501" s="40"/>
      <c r="AJ501" s="40"/>
    </row>
    <row r="502" spans="1:36">
      <c r="A502" s="48">
        <v>499</v>
      </c>
      <c r="B502" s="75">
        <f ca="1">IF(controls!$B$6=2,AVERAGE(E498:E501)+B501*W502+hystere!$AG$9,AVERAGE(E498:E501)+B501*W502)</f>
        <v>100</v>
      </c>
      <c r="C502" s="80">
        <f t="shared" ca="1" si="43"/>
        <v>0</v>
      </c>
      <c r="D502" s="105">
        <f t="shared" ca="1" si="44"/>
        <v>0</v>
      </c>
      <c r="E502" s="77">
        <f t="shared" ca="1" si="45"/>
        <v>100</v>
      </c>
      <c r="F502" s="77">
        <f ca="1">IF('main page'!$K$34=1,hystere!H502,hystere!G502)</f>
        <v>100</v>
      </c>
      <c r="G502" s="94">
        <f ca="1">I502-'main page'!$K$27*hystere!N501</f>
        <v>100</v>
      </c>
      <c r="H502" s="75">
        <f ca="1">J502-'main page'!$K$27*N501</f>
        <v>100</v>
      </c>
      <c r="I502" s="75">
        <f t="shared" ca="1" si="46"/>
        <v>108</v>
      </c>
      <c r="J502" s="75">
        <f t="shared" ca="1" si="47"/>
        <v>108</v>
      </c>
      <c r="M502" s="75">
        <f ca="1">IF(ABS('main page'!$K$29*M501+(1-'main page'!$K$29)*(controls!$B$9/100)*100+'main page'!$K$25*(E502-B502)-M501)&lt;0.0000001,M501,'main page'!$K$29*M501+(1-'main page'!$K$29)*(controls!$B$9/100)*100+'main page'!$K$25*(E502-B502))</f>
        <v>2</v>
      </c>
      <c r="N502" s="75">
        <f ca="1">IF(controls!$B$10=1,N501,O502-'main page'!$K$29*M502-(1-'main page'!$K$29)*controls!$B$9)</f>
        <v>4</v>
      </c>
      <c r="O502" s="74">
        <f t="shared" ca="1" si="42"/>
        <v>6</v>
      </c>
      <c r="P502" s="76">
        <f ca="1">IF(controls!$B$10=1,hystere!N502+hystere!M502,hystere!Q502)</f>
        <v>6</v>
      </c>
      <c r="Q502" s="74">
        <f ca="1">IF('main page'!$Y$53=1,'choose m.p.'!$I$22*100,R502)</f>
        <v>6</v>
      </c>
      <c r="R502" s="100">
        <f ca="1">'main page'!$K$29*M502+(1-'main page'!$K$29)*controls!$B$9+S502+(('main page'!$K$25*'main page'!$U$13*'main page'!$K$29)/('main page'!$K$27*(1+('main page'!$K$25^2)*'main page'!$U$13)))*(M502-(controls!$B$9/100)*100)</f>
        <v>6</v>
      </c>
      <c r="S502" s="98">
        <f ca="1">IF(controls!$B$33=1,(J503-E502*X503-B502)/'main page'!$K$27,(I503-E502*X503-B502)/'main page'!$K$27)</f>
        <v>4</v>
      </c>
      <c r="U502" s="71">
        <f>IF(controls!$B$6=1,$AG$4*(1+('main page'!$K$35/100))^V502-$AG$4*(1+('main page'!$K$35/100))^V501,$AG$4*(1+('main page'!$G$8/100))*(1+('main page'!$K$35/100))^V502-$AG$4*(1+('main page'!$G$8/100))*(1+('main page'!$K$35/100))^V501)</f>
        <v>0</v>
      </c>
      <c r="V502" s="73">
        <v>494</v>
      </c>
      <c r="W502" s="40">
        <f>'normal case'!V501</f>
        <v>0</v>
      </c>
      <c r="X502" s="40">
        <f>'normal case'!W501</f>
        <v>0</v>
      </c>
      <c r="Y502" s="49">
        <f ca="1">IF(controls!$B$33=1,E502-($J$4-'main page'!$K$27*2)*(1+('main page'!$K$35/100))^A501,E502-$AG$5)</f>
        <v>0</v>
      </c>
      <c r="Z502" s="49">
        <f ca="1">ABS(M502-(controls!$B$9/100)*100)</f>
        <v>0</v>
      </c>
      <c r="AI502" s="40"/>
      <c r="AJ502" s="40"/>
    </row>
    <row r="503" spans="1:36">
      <c r="A503" s="48">
        <v>500</v>
      </c>
      <c r="B503" s="75">
        <f ca="1">IF(controls!$B$6=2,AVERAGE(E499:E502)+B502*W503+hystere!$AG$9,AVERAGE(E499:E502)+B502*W503)</f>
        <v>100</v>
      </c>
      <c r="C503" s="80">
        <f t="shared" ca="1" si="43"/>
        <v>0</v>
      </c>
      <c r="D503" s="105">
        <f t="shared" ca="1" si="44"/>
        <v>0</v>
      </c>
      <c r="E503" s="77">
        <f t="shared" ca="1" si="45"/>
        <v>100</v>
      </c>
      <c r="F503" s="77">
        <f ca="1">IF('main page'!$K$34=1,hystere!H503,hystere!G503)</f>
        <v>100</v>
      </c>
      <c r="G503" s="94">
        <f ca="1">I503-'main page'!$K$27*hystere!N502</f>
        <v>100</v>
      </c>
      <c r="H503" s="75">
        <f ca="1">J503-'main page'!$K$27*N502</f>
        <v>100</v>
      </c>
      <c r="I503" s="75">
        <f t="shared" ca="1" si="46"/>
        <v>108</v>
      </c>
      <c r="J503" s="75">
        <f t="shared" ca="1" si="47"/>
        <v>108</v>
      </c>
      <c r="M503" s="75">
        <f ca="1">IF(ABS('main page'!$K$29*M502+(1-'main page'!$K$29)*(controls!$B$9/100)*100+'main page'!$K$25*(E503-B503)-M502)&lt;0.0000001,M502,'main page'!$K$29*M502+(1-'main page'!$K$29)*(controls!$B$9/100)*100+'main page'!$K$25*(E503-B503))</f>
        <v>2</v>
      </c>
      <c r="N503" s="75">
        <f ca="1">IF(controls!$B$10=1,N502,O503-'main page'!$K$29*M503-(1-'main page'!$K$29)*controls!$B$9)</f>
        <v>-2</v>
      </c>
      <c r="O503" s="74">
        <f t="shared" ca="1" si="42"/>
        <v>0</v>
      </c>
      <c r="P503" s="76">
        <f ca="1">IF(controls!$B$10=1,hystere!N503+hystere!M503,hystere!Q503)</f>
        <v>-48</v>
      </c>
      <c r="Q503" s="74">
        <f ca="1">IF('main page'!$Y$53=1,'choose m.p.'!$I$22*100,R503)</f>
        <v>-48</v>
      </c>
      <c r="R503" s="100">
        <f ca="1">'main page'!$K$29*M503+(1-'main page'!$K$29)*controls!$B$9+S503+(('main page'!$K$25*'main page'!$U$13*'main page'!$K$29)/('main page'!$K$27*(1+('main page'!$K$25^2)*'main page'!$U$13)))*(M503-(controls!$B$9/100)*100)</f>
        <v>-48</v>
      </c>
      <c r="S503" s="98">
        <f ca="1">IF(controls!$B$33=1,(J504-E503*X504-B503)/'main page'!$K$27,(I504-E503*X504-B503)/'main page'!$K$27)</f>
        <v>-50</v>
      </c>
      <c r="U503" s="71">
        <f>IF(controls!$B$6=1,$AG$4*(1+('main page'!$K$35/100))^V503-$AG$4*(1+('main page'!$K$35/100))^V502,$AG$4*(1+('main page'!$G$8/100))*(1+('main page'!$K$35/100))^V503-$AG$4*(1+('main page'!$G$8/100))*(1+('main page'!$K$35/100))^V502)</f>
        <v>0</v>
      </c>
      <c r="V503" s="73">
        <v>495</v>
      </c>
      <c r="W503" s="40">
        <f>'normal case'!V502</f>
        <v>0</v>
      </c>
      <c r="X503" s="40">
        <f>'normal case'!W502</f>
        <v>0</v>
      </c>
      <c r="Y503" s="49">
        <f ca="1">IF(controls!$B$33=1,E503-($J$4-'main page'!$K$27*2)*(1+('main page'!$K$35/100))^A502,E503-$AG$5)</f>
        <v>0</v>
      </c>
      <c r="Z503" s="49">
        <f ca="1">ABS(M503-(controls!$B$9/100)*100)</f>
        <v>0</v>
      </c>
      <c r="AI503" s="40"/>
      <c r="AJ503" s="40"/>
    </row>
  </sheetData>
  <sheetProtection selectLockedCells="1"/>
  <mergeCells count="8">
    <mergeCell ref="B2:B3"/>
    <mergeCell ref="C2:J2"/>
    <mergeCell ref="O2:R2"/>
    <mergeCell ref="Y2:Z2"/>
    <mergeCell ref="W2:X2"/>
    <mergeCell ref="L2:L3"/>
    <mergeCell ref="K2:K3"/>
    <mergeCell ref="U2:V3"/>
  </mergeCells>
  <phoneticPr fontId="3" type="noConversion"/>
  <pageMargins left="0.75" right="0.75" top="1" bottom="1" header="0" footer="0"/>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5"/>
  <dimension ref="A1:AC102"/>
  <sheetViews>
    <sheetView workbookViewId="0">
      <pane xSplit="1" ySplit="3" topLeftCell="J4" activePane="bottomRight" state="frozenSplit"/>
      <selection activeCell="C45" sqref="C45"/>
      <selection pane="topRight" activeCell="C45" sqref="C45"/>
      <selection pane="bottomLeft" activeCell="C45" sqref="C45"/>
      <selection pane="bottomRight" activeCell="O13" sqref="O13:O102"/>
    </sheetView>
  </sheetViews>
  <sheetFormatPr defaultColWidth="11.453125" defaultRowHeight="12.5"/>
  <cols>
    <col min="1" max="1" width="11.54296875" style="53" bestFit="1" customWidth="1"/>
    <col min="2" max="2" width="8.81640625" style="74" customWidth="1"/>
    <col min="3" max="3" width="13.81640625" style="74" customWidth="1"/>
    <col min="4" max="4" width="11.54296875" style="93" customWidth="1"/>
    <col min="5" max="5" width="36.1796875" style="74" customWidth="1"/>
    <col min="6" max="7" width="44" style="74" customWidth="1"/>
    <col min="8" max="8" width="36.1796875" style="74" customWidth="1"/>
    <col min="9" max="9" width="41.26953125" style="74" customWidth="1"/>
    <col min="10" max="10" width="38.7265625" style="74" customWidth="1"/>
    <col min="11" max="11" width="7.26953125" style="74" customWidth="1"/>
    <col min="12" max="12" width="14.453125" style="74" hidden="1" customWidth="1"/>
    <col min="13" max="13" width="20.453125" style="74" hidden="1" customWidth="1"/>
    <col min="14" max="14" width="17" style="74" customWidth="1"/>
    <col min="15" max="15" width="14.453125" style="104" bestFit="1" customWidth="1"/>
    <col min="16" max="16" width="19.81640625" style="98" bestFit="1" customWidth="1"/>
    <col min="17" max="17" width="10.90625"/>
    <col min="18" max="18" width="7.54296875" style="71" customWidth="1"/>
    <col min="19" max="19" width="3" style="73" bestFit="1" customWidth="1"/>
    <col min="20" max="20" width="11.54296875" style="71" bestFit="1" customWidth="1"/>
    <col min="21" max="21" width="15.1796875" style="71" bestFit="1" customWidth="1"/>
    <col min="22" max="22" width="11.54296875" style="53" bestFit="1" customWidth="1"/>
    <col min="23" max="24" width="11.453125" style="53"/>
    <col min="25" max="29" width="11.453125" style="50"/>
    <col min="30" max="16384" width="11.453125" style="53"/>
  </cols>
  <sheetData>
    <row r="1" spans="1:21">
      <c r="B1" s="468" t="str">
        <f>IF('inflation, income and interest'!$A$38=2,"FALSO","VERDADERO")</f>
        <v>FALSO</v>
      </c>
      <c r="C1" s="468" t="str">
        <f>IF('inflation, income and interest'!$A$38=2,"FALSO","VERDADERO")</f>
        <v>FALSO</v>
      </c>
      <c r="D1" s="468"/>
      <c r="E1" s="468"/>
      <c r="F1" s="468"/>
      <c r="G1" s="468"/>
      <c r="H1" s="468"/>
      <c r="I1" s="468"/>
      <c r="J1" s="468"/>
      <c r="K1" s="468"/>
      <c r="L1" s="468" t="str">
        <f>IF('inflation, income and interest'!$A$38=2,"FALSE","TRUE")</f>
        <v>FALSE</v>
      </c>
      <c r="M1" s="468" t="str">
        <f>IF('inflation, income and interest'!$A$38=2,"FALSO","VERDADERO")</f>
        <v>FALSO</v>
      </c>
      <c r="N1" s="468"/>
      <c r="O1" s="469"/>
      <c r="Q1" s="258"/>
      <c r="R1" s="470"/>
      <c r="S1" s="471"/>
      <c r="T1" s="470"/>
      <c r="U1" s="470"/>
    </row>
    <row r="2" spans="1:21">
      <c r="B2" s="716" t="s">
        <v>48</v>
      </c>
      <c r="C2" s="717"/>
      <c r="E2" s="680" t="s">
        <v>52</v>
      </c>
      <c r="F2" s="680"/>
      <c r="G2" s="680"/>
      <c r="H2" s="680"/>
      <c r="I2" s="680"/>
      <c r="J2" s="680"/>
      <c r="M2" s="680" t="s">
        <v>45</v>
      </c>
      <c r="N2" s="680"/>
      <c r="O2" s="680"/>
      <c r="P2" s="718" t="s">
        <v>88</v>
      </c>
      <c r="R2" s="685" t="s">
        <v>40</v>
      </c>
      <c r="S2" s="686"/>
      <c r="T2" s="682" t="s">
        <v>38</v>
      </c>
      <c r="U2" s="681"/>
    </row>
    <row r="3" spans="1:21">
      <c r="B3" s="78" t="s">
        <v>54</v>
      </c>
      <c r="C3" s="79" t="s">
        <v>55</v>
      </c>
      <c r="D3" s="80" t="s">
        <v>17</v>
      </c>
      <c r="E3" s="75" t="s">
        <v>44</v>
      </c>
      <c r="F3" s="75" t="s">
        <v>51</v>
      </c>
      <c r="G3" s="75" t="s">
        <v>92</v>
      </c>
      <c r="H3" s="75" t="s">
        <v>53</v>
      </c>
      <c r="I3" s="75" t="s">
        <v>78</v>
      </c>
      <c r="J3" s="75" t="s">
        <v>77</v>
      </c>
      <c r="K3" s="74" t="s">
        <v>12</v>
      </c>
      <c r="L3" s="74" t="s">
        <v>46</v>
      </c>
      <c r="M3" s="74" t="s">
        <v>44</v>
      </c>
      <c r="N3" s="75" t="s">
        <v>43</v>
      </c>
      <c r="O3" s="104" t="s">
        <v>41</v>
      </c>
      <c r="P3" s="719"/>
      <c r="R3" s="685"/>
      <c r="S3" s="686"/>
      <c r="T3" s="70" t="s">
        <v>1</v>
      </c>
      <c r="U3" s="70" t="s">
        <v>2</v>
      </c>
    </row>
    <row r="4" spans="1:21">
      <c r="A4" s="53">
        <v>1</v>
      </c>
      <c r="B4" s="74">
        <f>IF(controls!$B$33=1,('normal case'!$AL$3/(1+('main page'!$K$35/100))^4)*(1+T4),'normal case'!$AL$3*(1+T4))</f>
        <v>100</v>
      </c>
      <c r="C4" s="74">
        <f>IF(controls!$B$33=1,('normal case'!$AL$3/(1+('main page'!$K$35/100))^4)*(1+T4),'normal case'!$AL$3*(1+T4))</f>
        <v>100</v>
      </c>
      <c r="E4" s="74">
        <f>IF(F4&gt;0,F4,0.1)</f>
        <v>100</v>
      </c>
      <c r="F4" s="74">
        <f>IF(controls!$B$33=1,'delay in perception'!H4,G4)</f>
        <v>100</v>
      </c>
      <c r="G4" s="74">
        <f>I4-'main page'!$K$27*'normal case'!AL5</f>
        <v>100</v>
      </c>
      <c r="H4" s="74">
        <f ca="1">J4-'main page'!$K$27*'normal case'!$AL$5</f>
        <v>100</v>
      </c>
      <c r="I4" s="74">
        <f>'normal case'!AI3</f>
        <v>108</v>
      </c>
      <c r="J4" s="74">
        <f ca="1">(J5+'main page'!$K$27*'normal case'!$AL$5*('main page'!$K$35/100))/(1+('main page'!$K$35/100))+((J5+'main page'!$K$27*'normal case'!$AL$5*('main page'!$K$35/100))/(1+('main page'!$K$35/100))-1)*U4</f>
        <v>108</v>
      </c>
      <c r="K4" s="74">
        <f>('main page'!$U$8/100)*100</f>
        <v>2</v>
      </c>
      <c r="L4" s="74">
        <f>IF(controls!$B$33=1,(J4-B4)/'main page'!$K$27,'normal case'!AL5)</f>
        <v>4</v>
      </c>
      <c r="M4" s="74">
        <f>IF(N4&lt;0,0,N4)</f>
        <v>6</v>
      </c>
      <c r="N4" s="74">
        <f>IF(controls!$B$10=1,'delay in perception'!L4+'delay in perception'!K4,'delay in perception'!O4)</f>
        <v>6</v>
      </c>
      <c r="O4" s="104">
        <f>K4+P4+(('main page'!$K$25*'main page'!$U$13*'main page'!$K$29)/('main page'!$K$27*(1+('main page'!$K$25^2)*'main page'!$U$13)))*(K4-('main page'!$U$8/100)*100)</f>
        <v>6</v>
      </c>
      <c r="P4" s="98">
        <f>IF(controls!$B$33=1,(J5-E4*U5-C5+B4*T5)/'main page'!$K$27,(I5-E4*U5-C5+B4*T5)/'main page'!$K$27)</f>
        <v>4</v>
      </c>
      <c r="T4" s="71">
        <f>'normal case'!V3</f>
        <v>0</v>
      </c>
      <c r="U4" s="71">
        <f>'normal case'!W3</f>
        <v>0</v>
      </c>
    </row>
    <row r="5" spans="1:21">
      <c r="A5" s="53">
        <v>2</v>
      </c>
      <c r="B5" s="74">
        <f>IF(controls!$B$33=1,('normal case'!$AL$3/(1+('main page'!$K$35/100))^3)*(1+T5),B4*(1+T5))</f>
        <v>100</v>
      </c>
      <c r="C5" s="74">
        <f>IF(controls!$B$33=1,('normal case'!$AL$3/(1+('main page'!$K$35/100))^3)*(1+T5),C4*(1+T5))</f>
        <v>100</v>
      </c>
      <c r="D5" s="93">
        <f>E5/E4-1</f>
        <v>0</v>
      </c>
      <c r="E5" s="74">
        <f t="shared" ref="E5:E68" si="0">IF(F5&gt;0,F5,0.1)</f>
        <v>100</v>
      </c>
      <c r="F5" s="74">
        <f>IF(controls!$B$33=1,'delay in perception'!H5,G5)</f>
        <v>100</v>
      </c>
      <c r="G5" s="74">
        <f>I5-'main page'!$K$27*L4</f>
        <v>100</v>
      </c>
      <c r="H5" s="74">
        <f ca="1">J5-'main page'!$K$27*L4</f>
        <v>100</v>
      </c>
      <c r="I5" s="74">
        <f>I4+E4*U5</f>
        <v>108</v>
      </c>
      <c r="J5" s="74">
        <f ca="1">(J6+'main page'!$K$27*'normal case'!$AL$5*('main page'!$K$35/100))/(1+('main page'!$K$35/100))+((J6+'main page'!$K$27*'normal case'!$AL$5*('main page'!$K$35/100))/(1+('main page'!$K$35/100))-1)*U5</f>
        <v>108</v>
      </c>
      <c r="K5" s="74">
        <f>IF(ABS('main page'!$K$29*K4+(1-'main page'!$K$29)*('main page'!$U$8/100)*100+'main page'!$K$25*(E5-B5)-K4)&lt;0.0000001,K4,'main page'!$K$29*K4+(1-'main page'!$K$29)*('main page'!$U$8/100)*100+'main page'!$K$25*(E5-B5))</f>
        <v>2</v>
      </c>
      <c r="L5" s="74">
        <f ca="1">IF(controls!$B$10=1,L4,M5-'main page'!$K$29*K5-(1-'main page'!$K$29)*'main page'!$U$8)</f>
        <v>4</v>
      </c>
      <c r="M5" s="74">
        <f ca="1">IF(N5&lt;0,0,N5)</f>
        <v>6</v>
      </c>
      <c r="N5" s="74">
        <f ca="1">IF(controls!$B$10=1,'delay in perception'!L5+'delay in perception'!K5,'delay in perception'!O5)</f>
        <v>6</v>
      </c>
      <c r="O5" s="104">
        <f ca="1">'main page'!$K$29*K5+(1-'main page'!$K$29)*'main page'!$U$8+P5+(('main page'!$K$25*'main page'!$U$13*'main page'!$K$29)/('main page'!$K$27*(1+('main page'!$K$25^2)*'main page'!$U$13)))*(K5-('main page'!$U$8/100)*100)</f>
        <v>6</v>
      </c>
      <c r="P5" s="98">
        <f ca="1">IF(controls!$B$33=1,(J6-E5*U6-C6+B5*T6)/'main page'!$K$27,(I6-E5*U6-C6+B5*T6)/'main page'!$K$27)</f>
        <v>4</v>
      </c>
      <c r="T5" s="71">
        <f>'normal case'!V4</f>
        <v>0</v>
      </c>
      <c r="U5" s="71">
        <f>'normal case'!W4</f>
        <v>0</v>
      </c>
    </row>
    <row r="6" spans="1:21">
      <c r="A6" s="53">
        <v>3</v>
      </c>
      <c r="B6" s="74">
        <f ca="1">IF(controls!$B$33=1,('normal case'!$AL$3/(1+('main page'!$K$35/100))^2)*(1+T6),B5*(1+T6))</f>
        <v>100</v>
      </c>
      <c r="C6" s="74">
        <f ca="1">IF(controls!$B$33=1,('normal case'!$AL$3/(1+('main page'!$K$35/100))^2)*(1+T6),C5*(1+T6))</f>
        <v>100</v>
      </c>
      <c r="D6" s="93">
        <f ca="1">IF(ABS((E6/E5-1)-D5)&lt;0.000001,D5,E6/E5-1)</f>
        <v>0</v>
      </c>
      <c r="E6" s="74">
        <f t="shared" ca="1" si="0"/>
        <v>100</v>
      </c>
      <c r="F6" s="74">
        <f ca="1">IF(controls!$B$33=1,H6,G6)</f>
        <v>100</v>
      </c>
      <c r="G6" s="74">
        <f ca="1">I6-'main page'!$K$27*L5</f>
        <v>100</v>
      </c>
      <c r="H6" s="74">
        <f ca="1">J6-'main page'!$K$27*L5</f>
        <v>100</v>
      </c>
      <c r="I6" s="74">
        <f ca="1">I5+E5*U6</f>
        <v>108</v>
      </c>
      <c r="J6" s="74">
        <f ca="1">(J7+'main page'!$K$27*'normal case'!$AL$5*('main page'!$K$35/100))/(1+('main page'!$K$35/100))+((J7+'main page'!$K$27*'normal case'!$AL$5*('main page'!$K$35/100))/(1+('main page'!$K$35/100))-1)*U6</f>
        <v>108</v>
      </c>
      <c r="K6" s="74">
        <f ca="1">IF(ABS('main page'!$K$29*K5+(1-'main page'!$K$29)*('main page'!$U$8/100)*100+'main page'!$K$25*(E6-B6)-K5)&lt;0.0000001,K5,'main page'!$K$29*K5+(1-'main page'!$K$29)*('main page'!$U$8/100)*100+'main page'!$K$25*(E6-B6))</f>
        <v>2</v>
      </c>
      <c r="L6" s="74">
        <f ca="1">IF(controls!$B$10=1,L5,M6-'main page'!$K$29*K6-(1-'main page'!$K$29)*'main page'!$U$8)</f>
        <v>4</v>
      </c>
      <c r="M6" s="74">
        <f t="shared" ref="M6:M69" ca="1" si="1">IF(N6&lt;0,0,N6)</f>
        <v>6</v>
      </c>
      <c r="N6" s="74">
        <f ca="1">IF(controls!$B$10=1,'delay in perception'!L6+'delay in perception'!K6,'delay in perception'!O6)</f>
        <v>6</v>
      </c>
      <c r="O6" s="104">
        <f ca="1">'main page'!$K$29*K6+(1-'main page'!$K$29)*'main page'!$U$8+P6+(('main page'!$K$25*'main page'!$U$13*'main page'!$K$29)/('main page'!$K$27*(1+('main page'!$K$25^2)*'main page'!$U$13)))*(K6-('main page'!$U$8/100)*100)</f>
        <v>6</v>
      </c>
      <c r="P6" s="98">
        <f ca="1">IF(controls!$B$33=1,(J7-E6*U7-C7+B6*T7)/'main page'!$K$27,(I7-E6*U7-C7+B6*T7)/'main page'!$K$27)</f>
        <v>4</v>
      </c>
      <c r="S6" s="73">
        <v>-2</v>
      </c>
      <c r="T6" s="71">
        <f ca="1">'normal case'!V5</f>
        <v>0</v>
      </c>
      <c r="U6" s="71">
        <f ca="1">'normal case'!W5</f>
        <v>0</v>
      </c>
    </row>
    <row r="7" spans="1:21">
      <c r="A7" s="53">
        <v>4</v>
      </c>
      <c r="B7" s="74">
        <f ca="1">IF(controls!$B$33=1,('normal case'!$AL$3/(1+('main page'!$K$35/100)))*(1+T7),B6*(1+T7))</f>
        <v>100</v>
      </c>
      <c r="C7" s="74">
        <f ca="1">IF(controls!$B$33=1,('normal case'!$AL$3/(1+('main page'!$K$35/100)))*(1+T7),C6*(1+T7))</f>
        <v>100</v>
      </c>
      <c r="D7" s="93">
        <f t="shared" ref="D7:D70" ca="1" si="2">IF(ABS((E7/E6-1)-D6)&lt;0.000001,D6,E7/E6-1)</f>
        <v>0</v>
      </c>
      <c r="E7" s="74">
        <f t="shared" ca="1" si="0"/>
        <v>100</v>
      </c>
      <c r="F7" s="74">
        <f ca="1">IF(controls!$B$33=1,'delay in perception'!H7,G7)</f>
        <v>100</v>
      </c>
      <c r="G7" s="74">
        <f ca="1">I7-'main page'!$K$27*L6</f>
        <v>100</v>
      </c>
      <c r="H7" s="74">
        <f ca="1">J7-'main page'!$K$27*L6</f>
        <v>100</v>
      </c>
      <c r="I7" s="74">
        <f ca="1">I6+E6*U7</f>
        <v>108</v>
      </c>
      <c r="J7" s="74">
        <f>(('normal case'!$AI$3+'main page'!$K$27*'normal case'!$AL$5*('main page'!$K$35/100))/(1+('main page'!$K$35/100)))+((('normal case'!$AI$3+'main page'!$K$27*'normal case'!$AL$5*('main page'!$K$35/100))/(1+('main page'!$K$35/100)))-1)*U7</f>
        <v>108</v>
      </c>
      <c r="K7" s="74">
        <f ca="1">IF(ABS('main page'!$K$29*K6+(1-'main page'!$K$29)*('main page'!$U$8/100)*100+'main page'!$K$25*(E7-B7)-K6)&lt;0.0000001,K6,'main page'!$K$29*K6+(1-'main page'!$K$29)*('main page'!$U$8/100)*100+'main page'!$K$25*(E7-B7))</f>
        <v>2</v>
      </c>
      <c r="L7" s="74">
        <f ca="1">IF(controls!$B$10=1,L6,M7-'main page'!$K$29*K7-(1-'main page'!$K$29)*'main page'!$U$8)</f>
        <v>4</v>
      </c>
      <c r="M7" s="74">
        <f t="shared" ca="1" si="1"/>
        <v>6</v>
      </c>
      <c r="N7" s="74">
        <f ca="1">IF(controls!$B$10=1,'delay in perception'!L7+'delay in perception'!K7,'delay in perception'!O7)</f>
        <v>6</v>
      </c>
      <c r="O7" s="104">
        <f ca="1">'main page'!$K$29*K7+(1-'main page'!$K$29)*'main page'!$U$8+P7+(('main page'!$K$25*'main page'!$U$13*'main page'!$K$29)/('main page'!$K$27*(1+('main page'!$K$25^2)*'main page'!$U$13)))*(K7-('main page'!$U$8/100)*100)</f>
        <v>6</v>
      </c>
      <c r="P7" s="98">
        <f ca="1">IF(controls!$B$33=1,(J8-E7*U8-'normal case'!$AL$7-C8+B7*T8)/'main page'!$K$27,(I8-E7*U8-'normal case'!$AL$7-C8+B7*T8)/'main page'!$K$27)</f>
        <v>4</v>
      </c>
      <c r="R7" s="71">
        <f>'normal case'!$AL$3*(1+('main page'!$K$35/100))^S7-'normal case'!$AL$3*(1+('main page'!$K$35/100))^S6</f>
        <v>0</v>
      </c>
      <c r="S7" s="73">
        <v>-1</v>
      </c>
      <c r="T7" s="71">
        <f>'normal case'!V6</f>
        <v>0</v>
      </c>
      <c r="U7" s="71">
        <f>'normal case'!W6</f>
        <v>0</v>
      </c>
    </row>
    <row r="8" spans="1:21">
      <c r="A8" s="53">
        <v>5</v>
      </c>
      <c r="B8" s="74">
        <f ca="1">IF(controls!$B$33=1,'normal case'!$AL$3+'normal case'!AL8+T8*B7,'normal case'!$AL$3+'normal case'!AL8+T8*B7)</f>
        <v>100</v>
      </c>
      <c r="C8" s="74">
        <f ca="1">IF(controls!$B$33=1,'normal case'!$AL$3+C7*T8,'normal case'!$AL$3+C7*T8)</f>
        <v>100</v>
      </c>
      <c r="D8" s="93">
        <f t="shared" ca="1" si="2"/>
        <v>0</v>
      </c>
      <c r="E8" s="74">
        <f t="shared" ca="1" si="0"/>
        <v>100</v>
      </c>
      <c r="F8" s="74">
        <f ca="1">IF(controls!$B$33=1,'delay in perception'!H8,G8)</f>
        <v>100</v>
      </c>
      <c r="G8" s="74">
        <f ca="1">I8-'main page'!$K$27*L7</f>
        <v>100</v>
      </c>
      <c r="H8" s="74">
        <f ca="1">J8-'main page'!$K$27*L7</f>
        <v>100</v>
      </c>
      <c r="I8" s="74">
        <f ca="1">I7+E7*U8+'normal case'!AL7</f>
        <v>108</v>
      </c>
      <c r="J8" s="74">
        <f ca="1">'normal case'!$AI$3+E7*U8+'normal case'!AL7</f>
        <v>108</v>
      </c>
      <c r="K8" s="74">
        <f ca="1">IF(ABS('main page'!$K$29*K7+(1-'main page'!$K$29)*('main page'!$U$8/100)*100+'main page'!$K$25*(E8-B8)-K7)&lt;0.0000001,K7,'main page'!$K$29*K7+(1-'main page'!$K$29)*('main page'!$U$8/100)*100+'main page'!$K$25*(E8-B8))</f>
        <v>2</v>
      </c>
      <c r="L8" s="74">
        <f ca="1">IF(controls!$B$10=1,L7,M8-'main page'!$K$29*K8-(1-'main page'!$K$29)*'main page'!$U$8)</f>
        <v>4</v>
      </c>
      <c r="M8" s="74">
        <f t="shared" ca="1" si="1"/>
        <v>6</v>
      </c>
      <c r="N8" s="74">
        <f ca="1">IF(controls!$B$10=1,'delay in perception'!L8+'delay in perception'!K8,'delay in perception'!O8)</f>
        <v>6</v>
      </c>
      <c r="O8" s="104">
        <f ca="1">'main page'!$K$29*K8+(1-'main page'!$K$29)*'main page'!$U$8+P8+(('main page'!$K$25*'main page'!$U$13*'main page'!$K$29)/('main page'!$K$27*(1+('main page'!$K$25^2)*'main page'!$U$13)))*(K8-('main page'!$U$8/100)*100)</f>
        <v>6</v>
      </c>
      <c r="P8" s="98">
        <f ca="1">IF(controls!$B$33=1,(J9-E8*U9-C9+B8*T9)/'main page'!$K$27,(I9-E8*U9-C9+B8*T9)/'main page'!$K$27)</f>
        <v>4</v>
      </c>
      <c r="R8" s="71">
        <f>'normal case'!$AL$3*(1+('main page'!$K$35/100))^S8-'normal case'!$AL$3*(1+('main page'!$K$35/100))^S8</f>
        <v>0</v>
      </c>
      <c r="S8" s="73">
        <v>0</v>
      </c>
      <c r="T8" s="71">
        <f>'normal case'!V7</f>
        <v>0</v>
      </c>
      <c r="U8" s="71">
        <f>'normal case'!W7</f>
        <v>0</v>
      </c>
    </row>
    <row r="9" spans="1:21">
      <c r="A9" s="53">
        <v>6</v>
      </c>
      <c r="B9" s="74">
        <f ca="1">IF(controls!$B$33=1,IF(controls!$B$6=1,B8*(1+T9)+R9-'normal case'!$AL$8,B8*(1+T9)+R9),IF(controls!$B$6=1,B8*(1+T9)-'normal case'!AL8,B8*(1+T9)))</f>
        <v>100</v>
      </c>
      <c r="C9" s="74">
        <f ca="1">IF(controls!$B$33=1,C8*(1+T9)+R9,C8*(1+T9))</f>
        <v>100</v>
      </c>
      <c r="D9" s="93">
        <f t="shared" ca="1" si="2"/>
        <v>0</v>
      </c>
      <c r="E9" s="74">
        <f t="shared" ca="1" si="0"/>
        <v>100</v>
      </c>
      <c r="F9" s="74">
        <f ca="1">IF(controls!$B$33=1,'delay in perception'!H9,G9)</f>
        <v>100</v>
      </c>
      <c r="G9" s="74">
        <f ca="1">I9-'main page'!$K$27*L8</f>
        <v>100</v>
      </c>
      <c r="H9" s="74">
        <f ca="1">J9-'main page'!$K$27*L8</f>
        <v>100</v>
      </c>
      <c r="I9" s="74">
        <f ca="1">IF(controls!$B$7=2,I8+E8*U9+'normal case'!J8,I8+E8*U9-'normal case'!$AL$7+'normal case'!J8)</f>
        <v>108</v>
      </c>
      <c r="J9" s="74">
        <f ca="1">IF(controls!$B$7=1,J8+H8*U9+R9-'normal case'!AL7,J8+H8*U9+R9)</f>
        <v>108</v>
      </c>
      <c r="K9" s="74">
        <f ca="1">IF(ABS('main page'!$K$29*K8+(1-'main page'!$K$29)*('main page'!$U$8/100)*100+'main page'!$K$25*(E9-B9)-K8)&lt;0.0000001,K8,'main page'!$K$29*K8+(1-'main page'!$K$29)*('main page'!$U$8/100)*100+'main page'!$K$25*(E9-B9))</f>
        <v>2</v>
      </c>
      <c r="L9" s="74">
        <f ca="1">IF(controls!$B$10=1,L8,M9-'main page'!$K$29*K9-(1-'main page'!$K$29)*'main page'!$U$8)</f>
        <v>4</v>
      </c>
      <c r="M9" s="74">
        <f t="shared" ca="1" si="1"/>
        <v>6</v>
      </c>
      <c r="N9" s="74">
        <f ca="1">IF(controls!$B$10=1,'delay in perception'!L9+'delay in perception'!K9,'delay in perception'!O9)</f>
        <v>6</v>
      </c>
      <c r="O9" s="104">
        <f ca="1">'main page'!$K$29*K9+(1-'main page'!$K$29)*'main page'!$U$8+P9+(('main page'!$K$25*'main page'!$U$13*'main page'!$K$29)/('main page'!$K$27*(1+('main page'!$K$25^2)*'main page'!$U$13)))*(K9-('main page'!$U$8/100)*100)</f>
        <v>6</v>
      </c>
      <c r="P9" s="98">
        <f ca="1">IF(controls!$B$33=1,(J10-E9*U10-C10+B9*T10)/'main page'!$K$27,(I10-E9*U10-C10+B9*T10)/'main page'!$K$27)</f>
        <v>4</v>
      </c>
      <c r="R9" s="71">
        <f>IF(controls!$B$6=1,'normal case'!$AL$3*(1+('main page'!$K$35/100))^S9-'normal case'!$AL$3*(1+('main page'!$K$35/100))^S8,'normal case'!$AL$3*(1+('main page'!$G$8/100))*(1+('main page'!$K$35/100))^S9-'normal case'!$AL$3*(1+('main page'!$G$8/100))*(1+('main page'!$K$35/100))^S8)</f>
        <v>0</v>
      </c>
      <c r="S9" s="73">
        <v>1</v>
      </c>
      <c r="T9" s="71">
        <f ca="1">'normal case'!V8</f>
        <v>0</v>
      </c>
      <c r="U9" s="71">
        <f ca="1">'normal case'!W8</f>
        <v>0</v>
      </c>
    </row>
    <row r="10" spans="1:21">
      <c r="A10" s="53">
        <v>7</v>
      </c>
      <c r="B10" s="74">
        <f ca="1">IF(controls!$B$33=1,B9*(1+T10)+R10,B9*(1+T10))</f>
        <v>100</v>
      </c>
      <c r="C10" s="74">
        <f ca="1">IF(controls!$B$33=1,C9*(1+T10)+R10,C9*(1+T10))</f>
        <v>100</v>
      </c>
      <c r="D10" s="93">
        <f t="shared" ca="1" si="2"/>
        <v>0</v>
      </c>
      <c r="E10" s="74">
        <f t="shared" ca="1" si="0"/>
        <v>100</v>
      </c>
      <c r="F10" s="74">
        <f ca="1">IF(controls!$B$33=1,'delay in perception'!H10,G10)</f>
        <v>100</v>
      </c>
      <c r="G10" s="74">
        <f ca="1">I10-'main page'!$K$27*L9</f>
        <v>100</v>
      </c>
      <c r="H10" s="74">
        <f ca="1">J10-'main page'!$K$27*L9</f>
        <v>100</v>
      </c>
      <c r="I10" s="74">
        <f ca="1">IF(controls!$B$31=2,I9+E9*U10+'normal case'!J9,I9+E9*U10+'normal case'!J9-'normal case'!J8)</f>
        <v>108</v>
      </c>
      <c r="J10" s="74">
        <f ca="1">J9+H9*U10+R10</f>
        <v>108</v>
      </c>
      <c r="K10" s="74">
        <f ca="1">IF(ABS('main page'!$K$29*K9+(1-'main page'!$K$29)*('main page'!$U$8/100)*100+'main page'!$K$25*(E10-B10)-K9)&lt;0.0000001,K9,'main page'!$K$29*K9+(1-'main page'!$K$29)*('main page'!$U$8/100)*100+'main page'!$K$25*(E10-B10))</f>
        <v>2</v>
      </c>
      <c r="L10" s="74">
        <f ca="1">IF(controls!$B$10=1,L9,M10-'main page'!$K$29*K10-(1-'main page'!$K$29)*'main page'!$U$8)</f>
        <v>4</v>
      </c>
      <c r="M10" s="74">
        <f t="shared" ca="1" si="1"/>
        <v>6</v>
      </c>
      <c r="N10" s="74">
        <f ca="1">IF(controls!$B$10=1,'delay in perception'!L10+'delay in perception'!K10,'delay in perception'!O10)</f>
        <v>6</v>
      </c>
      <c r="O10" s="104">
        <f ca="1">'main page'!$K$29*K10+(1-'main page'!$K$29)*'main page'!$U$8+P10+(('main page'!$K$25*'main page'!$U$13*'main page'!$K$29)/('main page'!$K$27*(1+('main page'!$K$25^2)*'main page'!$U$13)))*(K10-('main page'!$U$8/100)*100)</f>
        <v>6</v>
      </c>
      <c r="P10" s="98">
        <f ca="1">IF(controls!$B$33=1,(J11-E10*U11-C11+B10*T11)/'main page'!$K$27,(I11-E10*U11-C11+B10*T11)/'main page'!$K$27)</f>
        <v>4</v>
      </c>
      <c r="R10" s="71">
        <f>IF(controls!$B$6=1,'normal case'!$AL$3*(1+('main page'!$K$35/100))^S10-'normal case'!$AL$3*(1+('main page'!$K$35/100))^S9,'normal case'!$AL$3*(1+('main page'!$G$8/100))*(1+('main page'!$K$35/100))^S10-'normal case'!$AL$3*(1+('main page'!$G$8/100))*(1+('main page'!$K$35/100))^S9)</f>
        <v>0</v>
      </c>
      <c r="S10" s="73">
        <v>2</v>
      </c>
      <c r="T10" s="71">
        <f>'normal case'!V9</f>
        <v>0</v>
      </c>
      <c r="U10" s="71">
        <f>'normal case'!W9</f>
        <v>0</v>
      </c>
    </row>
    <row r="11" spans="1:21">
      <c r="A11" s="53">
        <v>8</v>
      </c>
      <c r="B11" s="74">
        <f ca="1">IF(controls!$B$33=1,B10*(1+T11)+R11,B10*(1+T11))</f>
        <v>100</v>
      </c>
      <c r="C11" s="74">
        <f ca="1">IF(controls!$B$33=1,C10*(1+T11)+R11,C10*(1+T11))</f>
        <v>100</v>
      </c>
      <c r="D11" s="93">
        <f t="shared" ca="1" si="2"/>
        <v>0</v>
      </c>
      <c r="E11" s="74">
        <f t="shared" ca="1" si="0"/>
        <v>100</v>
      </c>
      <c r="F11" s="74">
        <f ca="1">IF(controls!$B$33=1,'delay in perception'!H11,G11)</f>
        <v>100</v>
      </c>
      <c r="G11" s="74">
        <f ca="1">I11-'main page'!$K$27*L10</f>
        <v>100</v>
      </c>
      <c r="H11" s="74">
        <f ca="1">J11-'main page'!$K$27*L10</f>
        <v>100</v>
      </c>
      <c r="I11" s="74">
        <f ca="1">IF(controls!$B$31=2,I10+E10*U11+'normal case'!J10,I10+E10*U11+'normal case'!J10-'normal case'!J9)</f>
        <v>108</v>
      </c>
      <c r="J11" s="74">
        <f ca="1">J10+H10*U11+R11</f>
        <v>108</v>
      </c>
      <c r="K11" s="74">
        <f ca="1">IF(ABS('main page'!$K$29*K10+(1-'main page'!$K$29)*('main page'!$U$8/100)*100+'main page'!$K$25*(E11-B11)-K10)&lt;0.0000001,K10,'main page'!$K$29*K10+(1-'main page'!$K$29)*('main page'!$U$8/100)*100+'main page'!$K$25*(E11-B11))</f>
        <v>2</v>
      </c>
      <c r="L11" s="74">
        <f ca="1">IF(controls!$B$10=1,L10,M11-'main page'!$K$29*K11-(1-'main page'!$K$29)*'main page'!$U$8)</f>
        <v>4</v>
      </c>
      <c r="M11" s="74">
        <f t="shared" ca="1" si="1"/>
        <v>6</v>
      </c>
      <c r="N11" s="74">
        <f ca="1">IF(controls!$B$10=1,'delay in perception'!L11+'delay in perception'!K11,'delay in perception'!O11)</f>
        <v>6</v>
      </c>
      <c r="O11" s="104">
        <f ca="1">'main page'!$K$29*K11+(1-'main page'!$K$29)*'main page'!$U$8+P11+(('main page'!$K$25*'main page'!$U$13*'main page'!$K$29)/('main page'!$K$27*(1+('main page'!$K$25^2)*'main page'!$U$13)))*(K11-('main page'!$U$8/100)*100)</f>
        <v>6</v>
      </c>
      <c r="P11" s="98">
        <f ca="1">IF(controls!$B$33=1,(J12-E11*U12-C12+B11*T12)/'main page'!$K$27,(I12-E11*U12-C12+B11*T12)/'main page'!$K$27)</f>
        <v>4</v>
      </c>
      <c r="R11" s="71">
        <f>IF(controls!$B$6=1,'normal case'!$AL$3*(1+('main page'!$K$35/100))^S11-'normal case'!$AL$3*(1+('main page'!$K$35/100))^S10,'normal case'!$AL$3*(1+('main page'!$G$8/100))*(1+('main page'!$K$35/100))^S11-'normal case'!$AL$3*(1+('main page'!$G$8/100))*(1+('main page'!$K$35/100))^S10)</f>
        <v>0</v>
      </c>
      <c r="S11" s="73">
        <v>3</v>
      </c>
      <c r="T11" s="71">
        <f>'normal case'!V10</f>
        <v>0</v>
      </c>
      <c r="U11" s="71">
        <f>'normal case'!W10</f>
        <v>0</v>
      </c>
    </row>
    <row r="12" spans="1:21">
      <c r="A12" s="53">
        <v>9</v>
      </c>
      <c r="B12" s="74">
        <f ca="1">IF(controls!$B$33=1,B11*(1+T12)+R12,B11*(1+T12))</f>
        <v>100</v>
      </c>
      <c r="C12" s="74">
        <f ca="1">IF(controls!$B$33=1,C11*(1+T12)+R12,C11*(1+T12))</f>
        <v>100</v>
      </c>
      <c r="D12" s="93">
        <f t="shared" ca="1" si="2"/>
        <v>0</v>
      </c>
      <c r="E12" s="74">
        <f t="shared" ca="1" si="0"/>
        <v>100</v>
      </c>
      <c r="F12" s="74">
        <f ca="1">IF(controls!$B$33=1,'delay in perception'!H12,G12)</f>
        <v>100</v>
      </c>
      <c r="G12" s="74">
        <f ca="1">I12-'main page'!$K$27*L11</f>
        <v>100</v>
      </c>
      <c r="H12" s="74">
        <f ca="1">J12-'main page'!$K$27*L11</f>
        <v>100</v>
      </c>
      <c r="I12" s="74">
        <f ca="1">IF(controls!$B$31=2,I11+E11*U12+'normal case'!J11,I11+E11*U12+'normal case'!J11-'normal case'!J10)</f>
        <v>108</v>
      </c>
      <c r="J12" s="74">
        <f ca="1">J11+H11*U12+R12</f>
        <v>108</v>
      </c>
      <c r="K12" s="74">
        <f ca="1">IF(ABS('main page'!$K$29*K11+(1-'main page'!$K$29)*('main page'!$U$8/100)*100+'main page'!$K$25*(E12-B12)-K11)&lt;0.0000001,K11,'main page'!$K$29*K11+(1-'main page'!$K$29)*('main page'!$U$8/100)*100+'main page'!$K$25*(E12-B12))</f>
        <v>2</v>
      </c>
      <c r="L12" s="74">
        <f ca="1">IF(controls!$B$10=1,L11,M12-'main page'!$K$29*K12-(1-'main page'!$K$29)*'main page'!$U$8)</f>
        <v>4</v>
      </c>
      <c r="M12" s="74">
        <f t="shared" ca="1" si="1"/>
        <v>6</v>
      </c>
      <c r="N12" s="74">
        <f ca="1">IF(controls!$B$10=1,'delay in perception'!L12+'delay in perception'!K12,'delay in perception'!O12)</f>
        <v>6</v>
      </c>
      <c r="O12" s="104">
        <f ca="1">'main page'!$K$29*K12+(1-'main page'!$K$29)*'main page'!$U$8+P12+(('main page'!$K$25*'main page'!$U$13*'main page'!$K$29)/('main page'!$K$27*(1+('main page'!$K$25^2)*'main page'!$U$13)))*(K12-('main page'!$U$8/100)*100)</f>
        <v>6</v>
      </c>
      <c r="P12" s="98">
        <f ca="1">IF(controls!$B$33=1,(J13-E12*U13-C13+B12*T13)/'main page'!$K$27,(I13-E12*U13-C13+B12*T13)/'main page'!$K$27)</f>
        <v>4</v>
      </c>
      <c r="R12" s="71">
        <f>IF(controls!$B$6=1,'normal case'!$AL$3*(1+('main page'!$K$35/100))^S12-'normal case'!$AL$3*(1+('main page'!$K$35/100))^S11,'normal case'!$AL$3*(1+('main page'!$G$8/100))*(1+('main page'!$K$35/100))^S12-'normal case'!$AL$3*(1+('main page'!$G$8/100))*(1+('main page'!$K$35/100))^S11)</f>
        <v>0</v>
      </c>
      <c r="S12" s="73">
        <v>4</v>
      </c>
      <c r="T12" s="71">
        <f ca="1">'normal case'!V11</f>
        <v>0</v>
      </c>
      <c r="U12" s="71">
        <f ca="1">'normal case'!W11</f>
        <v>0</v>
      </c>
    </row>
    <row r="13" spans="1:21">
      <c r="A13" s="53">
        <v>10</v>
      </c>
      <c r="B13" s="74">
        <f ca="1">IF(controls!$B$33=1,B12*(1+T13)+R13,B12*(1+T13))</f>
        <v>100</v>
      </c>
      <c r="C13" s="74">
        <f ca="1">B13</f>
        <v>100</v>
      </c>
      <c r="D13" s="93">
        <f t="shared" ca="1" si="2"/>
        <v>0</v>
      </c>
      <c r="E13" s="74">
        <f t="shared" ca="1" si="0"/>
        <v>100</v>
      </c>
      <c r="F13" s="74">
        <f ca="1">IF(controls!$B$33=1,'delay in perception'!H13,G13)</f>
        <v>100</v>
      </c>
      <c r="G13" s="74">
        <f ca="1">I13-'main page'!$K$27*L12</f>
        <v>100</v>
      </c>
      <c r="H13" s="74">
        <f ca="1">J13-'main page'!$K$27*L12</f>
        <v>100</v>
      </c>
      <c r="I13" s="74">
        <f ca="1">IF(controls!$B$31=2,I12+E12*U13+'normal case'!J12,I12+E12*U13+'normal case'!J12-'normal case'!J11)</f>
        <v>108</v>
      </c>
      <c r="J13" s="74">
        <f ca="1">J12*(1+('main page'!$U$22/100))+H12*U13+R13</f>
        <v>108</v>
      </c>
      <c r="K13" s="74">
        <f ca="1">IF(ABS('main page'!$K$29*K12+(1-'main page'!$K$29)*(controls!$B$9/100)*100+'main page'!$K$25*(E13-B13)-K12)&lt;0.0000001,K12,'main page'!$K$29*K12+(1-'main page'!$K$29)*(controls!$B$9/100)*100+'main page'!$K$25*(E13-B13))</f>
        <v>2</v>
      </c>
      <c r="L13" s="74">
        <f ca="1">IF(controls!$B$10=1,L12,M13-'main page'!$K$29*K13-(1-'main page'!$K$29)*controls!$B$9)</f>
        <v>4</v>
      </c>
      <c r="M13" s="74">
        <f t="shared" ca="1" si="1"/>
        <v>6</v>
      </c>
      <c r="N13" s="74">
        <f ca="1">IF(controls!$B$10=1,'delay in perception'!L13+'delay in perception'!K13,'delay in perception'!O13)</f>
        <v>6</v>
      </c>
      <c r="O13" s="104">
        <f ca="1">'main page'!$K$29*K13+(1-'main page'!$K$29)*controls!$B$9+P13+(('main page'!$K$25*'main page'!$U$13*'main page'!$K$29)/('main page'!$K$27*(1+('main page'!$K$25^2)*'main page'!$U$13)))*(K13-(controls!$B$9/100)*100)</f>
        <v>6</v>
      </c>
      <c r="P13" s="98">
        <f ca="1">IF(controls!$B$33=1,(J14-E13*U14-C14+B13*T14)/'main page'!$K$27,(I14-E13*U14-C14+B13*T14)/'main page'!$K$27)</f>
        <v>4</v>
      </c>
      <c r="R13" s="71">
        <f>IF(controls!$B$6=1,'normal case'!$AL$3*(1+('main page'!$K$35/100))^S13-'normal case'!$AL$3*(1+('main page'!$K$35/100))^S12,'normal case'!$AL$3*(1+('main page'!$G$8/100))*(1+('main page'!$K$35/100))^S13-'normal case'!$AL$3*(1+('main page'!$G$8/100))*(1+('main page'!$K$35/100))^S12)</f>
        <v>0</v>
      </c>
      <c r="S13" s="73">
        <v>5</v>
      </c>
      <c r="T13" s="71">
        <f>'normal case'!V12</f>
        <v>0</v>
      </c>
      <c r="U13" s="71">
        <f>'normal case'!W12</f>
        <v>0</v>
      </c>
    </row>
    <row r="14" spans="1:21">
      <c r="A14" s="53">
        <v>11</v>
      </c>
      <c r="B14" s="74">
        <f ca="1">IF(controls!$B$33=1,B13*(1+T14)+R14,B13*(1+T14))</f>
        <v>100</v>
      </c>
      <c r="C14" s="74">
        <f t="shared" ref="C14:C77" ca="1" si="3">B14</f>
        <v>100</v>
      </c>
      <c r="D14" s="93">
        <f t="shared" ca="1" si="2"/>
        <v>0</v>
      </c>
      <c r="E14" s="74">
        <f t="shared" ca="1" si="0"/>
        <v>100</v>
      </c>
      <c r="F14" s="74">
        <f ca="1">IF(controls!$B$33=1,'delay in perception'!H14,G14)</f>
        <v>100</v>
      </c>
      <c r="G14" s="74">
        <f ca="1">I14-'main page'!$K$27*L13</f>
        <v>100</v>
      </c>
      <c r="H14" s="74">
        <f ca="1">J14-'main page'!$K$27*L13</f>
        <v>100</v>
      </c>
      <c r="I14" s="74">
        <f ca="1">IF(controls!$B$31=2,I13+E13*U14+'normal case'!J13,I13+E13*U14+'normal case'!J13-'normal case'!J12)</f>
        <v>108</v>
      </c>
      <c r="J14" s="74">
        <f t="shared" ref="J14:J45" ca="1" si="4">J13+H13*U14+R14</f>
        <v>108</v>
      </c>
      <c r="K14" s="74">
        <f ca="1">IF(ABS('main page'!$K$29*K13+(1-'main page'!$K$29)*(controls!$B$9/100)*100+'main page'!$K$25*(E14-B14)-K13)&lt;0.0000001,K13,'main page'!$K$29*K13+(1-'main page'!$K$29)*(controls!$B$9/100)*100+'main page'!$K$25*(E14-B14))</f>
        <v>2</v>
      </c>
      <c r="L14" s="74">
        <f ca="1">IF(controls!$B$10=1,L13,M14-'main page'!$K$29*K14-(1-'main page'!$K$29)*controls!$B$9)</f>
        <v>4</v>
      </c>
      <c r="M14" s="74">
        <f t="shared" ca="1" si="1"/>
        <v>6</v>
      </c>
      <c r="N14" s="74">
        <f ca="1">IF(controls!$B$10=1,'delay in perception'!L14+'delay in perception'!K14,'delay in perception'!O14)</f>
        <v>6</v>
      </c>
      <c r="O14" s="104">
        <f ca="1">'main page'!$K$29*K14+(1-'main page'!$K$29)*controls!$B$9+P14+(('main page'!$K$25*'main page'!$U$13*'main page'!$K$29)/('main page'!$K$27*(1+('main page'!$K$25^2)*'main page'!$U$13)))*(K14-(controls!$B$9/100)*100)</f>
        <v>6</v>
      </c>
      <c r="P14" s="98">
        <f ca="1">IF(controls!$B$33=1,(J15-E14*U15-C15+B14*T15)/'main page'!$K$27,(I15-E14*U15-C15+B14*T15)/'main page'!$K$27)</f>
        <v>4</v>
      </c>
      <c r="R14" s="71">
        <f>IF(controls!$B$6=1,'normal case'!$AL$3*(1+('main page'!$K$35/100))^S14-'normal case'!$AL$3*(1+('main page'!$K$35/100))^S13,'normal case'!$AL$3*(1+('main page'!$G$8/100))*(1+('main page'!$K$35/100))^S14-'normal case'!$AL$3*(1+('main page'!$G$8/100))*(1+('main page'!$K$35/100))^S13)</f>
        <v>0</v>
      </c>
      <c r="S14" s="73">
        <v>6</v>
      </c>
      <c r="T14" s="71">
        <f>'normal case'!V13</f>
        <v>0</v>
      </c>
      <c r="U14" s="71">
        <f>'normal case'!W13</f>
        <v>0</v>
      </c>
    </row>
    <row r="15" spans="1:21">
      <c r="A15" s="53">
        <v>12</v>
      </c>
      <c r="B15" s="74">
        <f ca="1">IF(controls!$B$33=1,B14*(1+T15)+R15,B14*(1+T15))</f>
        <v>100</v>
      </c>
      <c r="C15" s="74">
        <f t="shared" ca="1" si="3"/>
        <v>100</v>
      </c>
      <c r="D15" s="93">
        <f t="shared" ca="1" si="2"/>
        <v>0</v>
      </c>
      <c r="E15" s="74">
        <f t="shared" ca="1" si="0"/>
        <v>100</v>
      </c>
      <c r="F15" s="74">
        <f ca="1">IF(controls!$B$33=1,'delay in perception'!H15,G15)</f>
        <v>100</v>
      </c>
      <c r="G15" s="74">
        <f ca="1">I15-'main page'!$K$27*L14</f>
        <v>100</v>
      </c>
      <c r="H15" s="74">
        <f ca="1">J15-'main page'!$K$27*L14</f>
        <v>100</v>
      </c>
      <c r="I15" s="74">
        <f ca="1">IF(controls!$B$31=2,I14+E14*U15+'normal case'!J14,I14+E14*U15+'normal case'!J14-'normal case'!J13)</f>
        <v>108</v>
      </c>
      <c r="J15" s="74">
        <f t="shared" ca="1" si="4"/>
        <v>108</v>
      </c>
      <c r="K15" s="74">
        <f ca="1">IF(ABS('main page'!$K$29*K14+(1-'main page'!$K$29)*(controls!$B$9/100)*100+'main page'!$K$25*(E15-B15)-K14)&lt;0.0000001,K14,'main page'!$K$29*K14+(1-'main page'!$K$29)*(controls!$B$9/100)*100+'main page'!$K$25*(E15-B15))</f>
        <v>2</v>
      </c>
      <c r="L15" s="74">
        <f ca="1">IF(controls!$B$10=1,L14,M15-'main page'!$K$29*K15-(1-'main page'!$K$29)*controls!$B$9)</f>
        <v>4</v>
      </c>
      <c r="M15" s="74">
        <f t="shared" ca="1" si="1"/>
        <v>6</v>
      </c>
      <c r="N15" s="74">
        <f ca="1">IF(controls!$B$10=1,'delay in perception'!L15+'delay in perception'!K15,'delay in perception'!O15)</f>
        <v>6</v>
      </c>
      <c r="O15" s="104">
        <f ca="1">'main page'!$K$29*K15+(1-'main page'!$K$29)*controls!$B$9+P15+(('main page'!$K$25*'main page'!$U$13*'main page'!$K$29)/('main page'!$K$27*(1+('main page'!$K$25^2)*'main page'!$U$13)))*(K15-(controls!$B$9/100)*100)</f>
        <v>6</v>
      </c>
      <c r="P15" s="98">
        <f ca="1">IF(controls!$B$33=1,(J16-E15*U16-C16+B15*T16)/'main page'!$K$27,(I16-E15*U16-C16+B15*T16)/'main page'!$K$27)</f>
        <v>4</v>
      </c>
      <c r="R15" s="71">
        <f>IF(controls!$B$6=1,'normal case'!$AL$3*(1+('main page'!$K$35/100))^S15-'normal case'!$AL$3*(1+('main page'!$K$35/100))^S14,'normal case'!$AL$3*(1+('main page'!$G$8/100))*(1+('main page'!$K$35/100))^S15-'normal case'!$AL$3*(1+('main page'!$G$8/100))*(1+('main page'!$K$35/100))^S14)</f>
        <v>0</v>
      </c>
      <c r="S15" s="73">
        <v>7</v>
      </c>
      <c r="T15" s="71">
        <f ca="1">'normal case'!V14</f>
        <v>0</v>
      </c>
      <c r="U15" s="71">
        <f ca="1">'normal case'!W14</f>
        <v>0</v>
      </c>
    </row>
    <row r="16" spans="1:21">
      <c r="A16" s="53">
        <v>13</v>
      </c>
      <c r="B16" s="74">
        <f ca="1">IF(controls!$B$33=1,B15*(1+T16)+R16,B15*(1+T16))</f>
        <v>100</v>
      </c>
      <c r="C16" s="74">
        <f t="shared" ca="1" si="3"/>
        <v>100</v>
      </c>
      <c r="D16" s="93">
        <f t="shared" ca="1" si="2"/>
        <v>0</v>
      </c>
      <c r="E16" s="74">
        <f t="shared" ca="1" si="0"/>
        <v>100</v>
      </c>
      <c r="F16" s="74">
        <f ca="1">IF(controls!$B$33=1,'delay in perception'!H16,G16)</f>
        <v>100</v>
      </c>
      <c r="G16" s="74">
        <f ca="1">I16-'main page'!$K$27*L15</f>
        <v>100</v>
      </c>
      <c r="H16" s="74">
        <f ca="1">J16-'main page'!$K$27*L15</f>
        <v>100</v>
      </c>
      <c r="I16" s="74">
        <f ca="1">IF(controls!$B$31=2,I15+E15*U16+'normal case'!J15,I15+E15*U16+'normal case'!J15-'normal case'!J14)</f>
        <v>108</v>
      </c>
      <c r="J16" s="74">
        <f t="shared" ca="1" si="4"/>
        <v>108</v>
      </c>
      <c r="K16" s="74">
        <f ca="1">IF(ABS('main page'!$K$29*K15+(1-'main page'!$K$29)*(controls!$B$9/100)*100+'main page'!$K$25*(E16-B16)-K15)&lt;0.0000001,K15,'main page'!$K$29*K15+(1-'main page'!$K$29)*(controls!$B$9/100)*100+'main page'!$K$25*(E16-B16))</f>
        <v>2</v>
      </c>
      <c r="L16" s="74">
        <f ca="1">IF(controls!$B$10=1,L15,M16-'main page'!$K$29*K16-(1-'main page'!$K$29)*controls!$B$9)</f>
        <v>4</v>
      </c>
      <c r="M16" s="74">
        <f t="shared" ca="1" si="1"/>
        <v>6</v>
      </c>
      <c r="N16" s="74">
        <f ca="1">IF(controls!$B$10=1,'delay in perception'!L16+'delay in perception'!K16,'delay in perception'!O16)</f>
        <v>6</v>
      </c>
      <c r="O16" s="104">
        <f ca="1">'main page'!$K$29*K16+(1-'main page'!$K$29)*controls!$B$9+P16+(('main page'!$K$25*'main page'!$U$13*'main page'!$K$29)/('main page'!$K$27*(1+('main page'!$K$25^2)*'main page'!$U$13)))*(K16-(controls!$B$9/100)*100)</f>
        <v>6</v>
      </c>
      <c r="P16" s="98">
        <f ca="1">IF(controls!$B$33=1,(J17-E16*U17-C17+B16*T17)/'main page'!$K$27,(I17-E16*U17-C17+B16*T17)/'main page'!$K$27)</f>
        <v>4</v>
      </c>
      <c r="R16" s="71">
        <f>IF(controls!$B$6=1,'normal case'!$AL$3*(1+('main page'!$K$35/100))^S16-'normal case'!$AL$3*(1+('main page'!$K$35/100))^S15,'normal case'!$AL$3*(1+('main page'!$G$8/100))*(1+('main page'!$K$35/100))^S16-'normal case'!$AL$3*(1+('main page'!$G$8/100))*(1+('main page'!$K$35/100))^S15)</f>
        <v>0</v>
      </c>
      <c r="S16" s="73">
        <v>8</v>
      </c>
      <c r="T16" s="71">
        <f>'normal case'!V15</f>
        <v>0</v>
      </c>
      <c r="U16" s="71">
        <f>'normal case'!W15</f>
        <v>0</v>
      </c>
    </row>
    <row r="17" spans="1:21">
      <c r="A17" s="53">
        <v>14</v>
      </c>
      <c r="B17" s="74">
        <f ca="1">IF(controls!$B$33=1,B16*(1+T17)+R17,B16*(1+T17))</f>
        <v>100</v>
      </c>
      <c r="C17" s="74">
        <f t="shared" ca="1" si="3"/>
        <v>100</v>
      </c>
      <c r="D17" s="93">
        <f t="shared" ca="1" si="2"/>
        <v>0</v>
      </c>
      <c r="E17" s="74">
        <f t="shared" ca="1" si="0"/>
        <v>100</v>
      </c>
      <c r="F17" s="74">
        <f ca="1">IF(controls!$B$33=1,'delay in perception'!H17,G17)</f>
        <v>100</v>
      </c>
      <c r="G17" s="74">
        <f ca="1">I17-'main page'!$K$27*L16</f>
        <v>100</v>
      </c>
      <c r="H17" s="74">
        <f ca="1">J17-'main page'!$K$27*L16</f>
        <v>100</v>
      </c>
      <c r="I17" s="74">
        <f ca="1">IF(controls!$B$31=2,I16+E16*U17+'normal case'!J16,I16+E16*U17+'normal case'!J16-'normal case'!J15)</f>
        <v>108</v>
      </c>
      <c r="J17" s="74">
        <f t="shared" ca="1" si="4"/>
        <v>108</v>
      </c>
      <c r="K17" s="74">
        <f ca="1">IF(ABS('main page'!$K$29*K16+(1-'main page'!$K$29)*(controls!$B$9/100)*100+'main page'!$K$25*(E17-B17)-K16)&lt;0.0000001,K16,'main page'!$K$29*K16+(1-'main page'!$K$29)*(controls!$B$9/100)*100+'main page'!$K$25*(E17-B17))</f>
        <v>2</v>
      </c>
      <c r="L17" s="74">
        <f ca="1">IF(controls!$B$10=1,L16,M17-'main page'!$K$29*K17-(1-'main page'!$K$29)*controls!$B$9)</f>
        <v>4</v>
      </c>
      <c r="M17" s="74">
        <f t="shared" ca="1" si="1"/>
        <v>6</v>
      </c>
      <c r="N17" s="74">
        <f ca="1">IF(controls!$B$10=1,'delay in perception'!L17+'delay in perception'!K17,'delay in perception'!O17)</f>
        <v>6</v>
      </c>
      <c r="O17" s="104">
        <f ca="1">'main page'!$K$29*K17+(1-'main page'!$K$29)*controls!$B$9+P17+(('main page'!$K$25*'main page'!$U$13*'main page'!$K$29)/('main page'!$K$27*(1+('main page'!$K$25^2)*'main page'!$U$13)))*(K17-(controls!$B$9/100)*100)</f>
        <v>6</v>
      </c>
      <c r="P17" s="98">
        <f ca="1">IF(controls!$B$33=1,(J18-E17*U18-C18+B17*T18)/'main page'!$K$27,(I18-E17*U18-C18+B17*T18)/'main page'!$K$27)</f>
        <v>4</v>
      </c>
      <c r="R17" s="71">
        <f>IF(controls!$B$6=1,'normal case'!$AL$3*(1+('main page'!$K$35/100))^S17-'normal case'!$AL$3*(1+('main page'!$K$35/100))^S16,'normal case'!$AL$3*(1+('main page'!$G$8/100))*(1+('main page'!$K$35/100))^S17-'normal case'!$AL$3*(1+('main page'!$G$8/100))*(1+('main page'!$K$35/100))^S16)</f>
        <v>0</v>
      </c>
      <c r="S17" s="73">
        <v>9</v>
      </c>
      <c r="T17" s="71">
        <f>'normal case'!V16</f>
        <v>0</v>
      </c>
      <c r="U17" s="71">
        <f>'normal case'!W16</f>
        <v>0</v>
      </c>
    </row>
    <row r="18" spans="1:21">
      <c r="A18" s="53">
        <v>15</v>
      </c>
      <c r="B18" s="74">
        <f ca="1">IF(controls!$B$33=1,B17*(1+T18)+R18,B17*(1+T18))</f>
        <v>100</v>
      </c>
      <c r="C18" s="74">
        <f t="shared" ca="1" si="3"/>
        <v>100</v>
      </c>
      <c r="D18" s="93">
        <f t="shared" ca="1" si="2"/>
        <v>0</v>
      </c>
      <c r="E18" s="74">
        <f t="shared" ca="1" si="0"/>
        <v>100</v>
      </c>
      <c r="F18" s="74">
        <f ca="1">IF(controls!$B$33=1,'delay in perception'!H18,G18)</f>
        <v>100</v>
      </c>
      <c r="G18" s="74">
        <f ca="1">I18-'main page'!$K$27*L17</f>
        <v>100</v>
      </c>
      <c r="H18" s="74">
        <f ca="1">J18-'main page'!$K$27*L17</f>
        <v>100</v>
      </c>
      <c r="I18" s="74">
        <f ca="1">IF(controls!$B$31=2,I17+E17*U18+'normal case'!J17,I17+E17*U18+'normal case'!J17-'normal case'!J16)</f>
        <v>108</v>
      </c>
      <c r="J18" s="74">
        <f t="shared" ca="1" si="4"/>
        <v>108</v>
      </c>
      <c r="K18" s="74">
        <f ca="1">IF(ABS('main page'!$K$29*K17+(1-'main page'!$K$29)*(controls!$B$9/100)*100+'main page'!$K$25*(E18-B18)-K17)&lt;0.0000001,K17,'main page'!$K$29*K17+(1-'main page'!$K$29)*(controls!$B$9/100)*100+'main page'!$K$25*(E18-B18))</f>
        <v>2</v>
      </c>
      <c r="L18" s="74">
        <f ca="1">IF(controls!$B$10=1,L17,M18-'main page'!$K$29*K18-(1-'main page'!$K$29)*controls!$B$9)</f>
        <v>4</v>
      </c>
      <c r="M18" s="74">
        <f t="shared" ca="1" si="1"/>
        <v>6</v>
      </c>
      <c r="N18" s="74">
        <f ca="1">IF(controls!$B$10=1,'delay in perception'!L18+'delay in perception'!K18,'delay in perception'!O18)</f>
        <v>6</v>
      </c>
      <c r="O18" s="104">
        <f ca="1">'main page'!$K$29*K18+(1-'main page'!$K$29)*controls!$B$9+P18+(('main page'!$K$25*'main page'!$U$13*'main page'!$K$29)/('main page'!$K$27*(1+('main page'!$K$25^2)*'main page'!$U$13)))*(K18-(controls!$B$9/100)*100)</f>
        <v>6</v>
      </c>
      <c r="P18" s="98">
        <f ca="1">IF(controls!$B$33=1,(J19-E18*U19-C19+B18*T19)/'main page'!$K$27,(I19-E18*U19-C19+B18*T19)/'main page'!$K$27)</f>
        <v>4</v>
      </c>
      <c r="R18" s="71">
        <f>IF(controls!$B$6=1,'normal case'!$AL$3*(1+('main page'!$K$35/100))^S18-'normal case'!$AL$3*(1+('main page'!$K$35/100))^S17,'normal case'!$AL$3*(1+('main page'!$G$8/100))*(1+('main page'!$K$35/100))^S18-'normal case'!$AL$3*(1+('main page'!$G$8/100))*(1+('main page'!$K$35/100))^S17)</f>
        <v>0</v>
      </c>
      <c r="S18" s="73">
        <v>10</v>
      </c>
      <c r="T18" s="71">
        <f ca="1">'normal case'!V17</f>
        <v>0</v>
      </c>
      <c r="U18" s="71">
        <f ca="1">'normal case'!W17</f>
        <v>0</v>
      </c>
    </row>
    <row r="19" spans="1:21">
      <c r="A19" s="53">
        <v>16</v>
      </c>
      <c r="B19" s="74">
        <f ca="1">IF(controls!$B$33=1,B18*(1+T19)+R19,B18*(1+T19))</f>
        <v>100</v>
      </c>
      <c r="C19" s="74">
        <f t="shared" ca="1" si="3"/>
        <v>100</v>
      </c>
      <c r="D19" s="93">
        <f t="shared" ca="1" si="2"/>
        <v>0</v>
      </c>
      <c r="E19" s="74">
        <f t="shared" ca="1" si="0"/>
        <v>100</v>
      </c>
      <c r="F19" s="74">
        <f ca="1">IF(controls!$B$33=1,'delay in perception'!H19,G19)</f>
        <v>100</v>
      </c>
      <c r="G19" s="74">
        <f ca="1">I19-'main page'!$K$27*L18</f>
        <v>100</v>
      </c>
      <c r="H19" s="74">
        <f ca="1">J19-'main page'!$K$27*L18</f>
        <v>100</v>
      </c>
      <c r="I19" s="74">
        <f ca="1">IF(controls!$B$31=2,I18+E18*U19+'normal case'!J18,I18+E18*U19+'normal case'!J18-'normal case'!J17)</f>
        <v>108</v>
      </c>
      <c r="J19" s="74">
        <f t="shared" ca="1" si="4"/>
        <v>108</v>
      </c>
      <c r="K19" s="74">
        <f ca="1">IF(ABS('main page'!$K$29*K18+(1-'main page'!$K$29)*(controls!$B$9/100)*100+'main page'!$K$25*(E19-B19)-K18)&lt;0.0000001,K18,'main page'!$K$29*K18+(1-'main page'!$K$29)*(controls!$B$9/100)*100+'main page'!$K$25*(E19-B19))</f>
        <v>2</v>
      </c>
      <c r="L19" s="74">
        <f ca="1">IF(controls!$B$10=1,L18,M19-'main page'!$K$29*K19-(1-'main page'!$K$29)*controls!$B$9)</f>
        <v>4</v>
      </c>
      <c r="M19" s="74">
        <f t="shared" ca="1" si="1"/>
        <v>6</v>
      </c>
      <c r="N19" s="74">
        <f ca="1">IF(controls!$B$10=1,'delay in perception'!L19+'delay in perception'!K19,'delay in perception'!O19)</f>
        <v>6</v>
      </c>
      <c r="O19" s="104">
        <f ca="1">'main page'!$K$29*K19+(1-'main page'!$K$29)*controls!$B$9+P19+(('main page'!$K$25*'main page'!$U$13*'main page'!$K$29)/('main page'!$K$27*(1+('main page'!$K$25^2)*'main page'!$U$13)))*(K19-(controls!$B$9/100)*100)</f>
        <v>6</v>
      </c>
      <c r="P19" s="98">
        <f ca="1">IF(controls!$B$33=1,(J20-E19*U20-C20+B19*T20)/'main page'!$K$27,(I20-E19*U20-C20+B19*T20)/'main page'!$K$27)</f>
        <v>4</v>
      </c>
      <c r="R19" s="71">
        <f>IF(controls!$B$6=1,'normal case'!$AL$3*(1+('main page'!$K$35/100))^S19-'normal case'!$AL$3*(1+('main page'!$K$35/100))^S18,'normal case'!$AL$3*(1+('main page'!$G$8/100))*(1+('main page'!$K$35/100))^S19-'normal case'!$AL$3*(1+('main page'!$G$8/100))*(1+('main page'!$K$35/100))^S18)</f>
        <v>0</v>
      </c>
      <c r="S19" s="73">
        <v>11</v>
      </c>
      <c r="T19" s="71">
        <f>'normal case'!V18</f>
        <v>0</v>
      </c>
      <c r="U19" s="71">
        <f>'normal case'!W18</f>
        <v>0</v>
      </c>
    </row>
    <row r="20" spans="1:21">
      <c r="A20" s="53">
        <v>17</v>
      </c>
      <c r="B20" s="74">
        <f ca="1">IF(controls!$B$33=1,B19*(1+T20)+R20,B19*(1+T20))</f>
        <v>100</v>
      </c>
      <c r="C20" s="74">
        <f t="shared" ca="1" si="3"/>
        <v>100</v>
      </c>
      <c r="D20" s="93">
        <f t="shared" ca="1" si="2"/>
        <v>0</v>
      </c>
      <c r="E20" s="74">
        <f t="shared" ca="1" si="0"/>
        <v>100</v>
      </c>
      <c r="F20" s="74">
        <f ca="1">IF(controls!$B$33=1,'delay in perception'!H20,G20)</f>
        <v>100</v>
      </c>
      <c r="G20" s="74">
        <f ca="1">I20-'main page'!$K$27*L19</f>
        <v>100</v>
      </c>
      <c r="H20" s="74">
        <f ca="1">J20-'main page'!$K$27*L19</f>
        <v>100</v>
      </c>
      <c r="I20" s="74">
        <f ca="1">IF(controls!$B$31=2,I19+E19*U20+'normal case'!J19,I19+E19*U20+'normal case'!J19-'normal case'!J18)</f>
        <v>108</v>
      </c>
      <c r="J20" s="74">
        <f t="shared" ca="1" si="4"/>
        <v>108</v>
      </c>
      <c r="K20" s="74">
        <f ca="1">IF(ABS('main page'!$K$29*K19+(1-'main page'!$K$29)*(controls!$B$9/100)*100+'main page'!$K$25*(E20-B20)-K19)&lt;0.0000001,K19,'main page'!$K$29*K19+(1-'main page'!$K$29)*(controls!$B$9/100)*100+'main page'!$K$25*(E20-B20))</f>
        <v>2</v>
      </c>
      <c r="L20" s="74">
        <f ca="1">IF(controls!$B$10=1,L19,M20-'main page'!$K$29*K20-(1-'main page'!$K$29)*controls!$B$9)</f>
        <v>4</v>
      </c>
      <c r="M20" s="74">
        <f t="shared" ca="1" si="1"/>
        <v>6</v>
      </c>
      <c r="N20" s="74">
        <f ca="1">IF(controls!$B$10=1,'delay in perception'!L20+'delay in perception'!K20,'delay in perception'!O20)</f>
        <v>6</v>
      </c>
      <c r="O20" s="104">
        <f ca="1">'main page'!$K$29*K20+(1-'main page'!$K$29)*controls!$B$9+P20+(('main page'!$K$25*'main page'!$U$13*'main page'!$K$29)/('main page'!$K$27*(1+('main page'!$K$25^2)*'main page'!$U$13)))*(K20-(controls!$B$9/100)*100)</f>
        <v>6</v>
      </c>
      <c r="P20" s="98">
        <f ca="1">IF(controls!$B$33=1,(J21-E20*U21-C21+B20*T21)/'main page'!$K$27,(I21-E20*U21-C21+B20*T21)/'main page'!$K$27)</f>
        <v>4</v>
      </c>
      <c r="R20" s="71">
        <f>IF(controls!$B$6=1,'normal case'!$AL$3*(1+('main page'!$K$35/100))^S20-'normal case'!$AL$3*(1+('main page'!$K$35/100))^S19,'normal case'!$AL$3*(1+('main page'!$G$8/100))*(1+('main page'!$K$35/100))^S20-'normal case'!$AL$3*(1+('main page'!$G$8/100))*(1+('main page'!$K$35/100))^S19)</f>
        <v>0</v>
      </c>
      <c r="S20" s="73">
        <v>12</v>
      </c>
      <c r="T20" s="71">
        <f>'normal case'!V19</f>
        <v>0</v>
      </c>
      <c r="U20" s="71">
        <f>'normal case'!W19</f>
        <v>0</v>
      </c>
    </row>
    <row r="21" spans="1:21">
      <c r="A21" s="53">
        <v>18</v>
      </c>
      <c r="B21" s="74">
        <f ca="1">IF(controls!$B$33=1,B20*(1+T21)+R21,B20*(1+T21))</f>
        <v>100</v>
      </c>
      <c r="C21" s="74">
        <f t="shared" ca="1" si="3"/>
        <v>100</v>
      </c>
      <c r="D21" s="93">
        <f t="shared" ca="1" si="2"/>
        <v>0</v>
      </c>
      <c r="E21" s="74">
        <f t="shared" ca="1" si="0"/>
        <v>100</v>
      </c>
      <c r="F21" s="74">
        <f ca="1">IF(controls!$B$33=1,'delay in perception'!H21,G21)</f>
        <v>100</v>
      </c>
      <c r="G21" s="74">
        <f ca="1">I21-'main page'!$K$27*L20</f>
        <v>100</v>
      </c>
      <c r="H21" s="74">
        <f ca="1">J21-'main page'!$K$27*L20</f>
        <v>100</v>
      </c>
      <c r="I21" s="74">
        <f ca="1">IF(controls!$B$31=2,I20+E20*U21+'normal case'!J20,I20+E20*U21+'normal case'!J20-'normal case'!J19)</f>
        <v>108</v>
      </c>
      <c r="J21" s="74">
        <f t="shared" ca="1" si="4"/>
        <v>108</v>
      </c>
      <c r="K21" s="74">
        <f ca="1">IF(ABS('main page'!$K$29*K20+(1-'main page'!$K$29)*(controls!$B$9/100)*100+'main page'!$K$25*(E21-B21)-K20)&lt;0.0000001,K20,'main page'!$K$29*K20+(1-'main page'!$K$29)*(controls!$B$9/100)*100+'main page'!$K$25*(E21-B21))</f>
        <v>2</v>
      </c>
      <c r="L21" s="74">
        <f ca="1">IF(controls!$B$10=1,L20,M21-'main page'!$K$29*K21-(1-'main page'!$K$29)*controls!$B$9)</f>
        <v>4</v>
      </c>
      <c r="M21" s="74">
        <f t="shared" ca="1" si="1"/>
        <v>6</v>
      </c>
      <c r="N21" s="74">
        <f ca="1">IF(controls!$B$10=1,'delay in perception'!L21+'delay in perception'!K21,'delay in perception'!O21)</f>
        <v>6</v>
      </c>
      <c r="O21" s="104">
        <f ca="1">'main page'!$K$29*K21+(1-'main page'!$K$29)*controls!$B$9+P21+(('main page'!$K$25*'main page'!$U$13*'main page'!$K$29)/('main page'!$K$27*(1+('main page'!$K$25^2)*'main page'!$U$13)))*(K21-(controls!$B$9/100)*100)</f>
        <v>6</v>
      </c>
      <c r="P21" s="98">
        <f ca="1">IF(controls!$B$33=1,(J22-E21*U22-C22+B21*T22)/'main page'!$K$27,(I22-E21*U22-C22+B21*T22)/'main page'!$K$27)</f>
        <v>4</v>
      </c>
      <c r="R21" s="71">
        <f>IF(controls!$B$6=1,'normal case'!$AL$3*(1+('main page'!$K$35/100))^S21-'normal case'!$AL$3*(1+('main page'!$K$35/100))^S20,'normal case'!$AL$3*(1+('main page'!$G$8/100))*(1+('main page'!$K$35/100))^S21-'normal case'!$AL$3*(1+('main page'!$G$8/100))*(1+('main page'!$K$35/100))^S20)</f>
        <v>0</v>
      </c>
      <c r="S21" s="73">
        <v>13</v>
      </c>
      <c r="T21" s="71">
        <f ca="1">'normal case'!V20</f>
        <v>0</v>
      </c>
      <c r="U21" s="71">
        <f ca="1">'normal case'!W20</f>
        <v>0</v>
      </c>
    </row>
    <row r="22" spans="1:21">
      <c r="A22" s="53">
        <v>19</v>
      </c>
      <c r="B22" s="74">
        <f ca="1">IF(controls!$B$33=1,B21*(1+T22)+R22,B21*(1+T22))</f>
        <v>100</v>
      </c>
      <c r="C22" s="74">
        <f t="shared" ca="1" si="3"/>
        <v>100</v>
      </c>
      <c r="D22" s="93">
        <f t="shared" ca="1" si="2"/>
        <v>0</v>
      </c>
      <c r="E22" s="74">
        <f t="shared" ca="1" si="0"/>
        <v>100</v>
      </c>
      <c r="F22" s="74">
        <f ca="1">IF(controls!$B$33=1,'delay in perception'!H22,G22)</f>
        <v>100</v>
      </c>
      <c r="G22" s="74">
        <f ca="1">I22-'main page'!$K$27*L21</f>
        <v>100</v>
      </c>
      <c r="H22" s="74">
        <f ca="1">J22-'main page'!$K$27*L21</f>
        <v>100</v>
      </c>
      <c r="I22" s="74">
        <f ca="1">IF(controls!$B$31=2,I21+E21*U22+'normal case'!J21,I21+E21*U22+'normal case'!J21-'normal case'!J20)</f>
        <v>108</v>
      </c>
      <c r="J22" s="74">
        <f t="shared" ca="1" si="4"/>
        <v>108</v>
      </c>
      <c r="K22" s="74">
        <f ca="1">IF(ABS('main page'!$K$29*K21+(1-'main page'!$K$29)*(controls!$B$9/100)*100+'main page'!$K$25*(E22-B22)-K21)&lt;0.0000001,K21,'main page'!$K$29*K21+(1-'main page'!$K$29)*(controls!$B$9/100)*100+'main page'!$K$25*(E22-B22))</f>
        <v>2</v>
      </c>
      <c r="L22" s="74">
        <f ca="1">IF(controls!$B$10=1,L21,M22-'main page'!$K$29*K22-(1-'main page'!$K$29)*controls!$B$9)</f>
        <v>4</v>
      </c>
      <c r="M22" s="74">
        <f t="shared" ca="1" si="1"/>
        <v>6</v>
      </c>
      <c r="N22" s="74">
        <f ca="1">IF(controls!$B$10=1,'delay in perception'!L22+'delay in perception'!K22,'delay in perception'!O22)</f>
        <v>6</v>
      </c>
      <c r="O22" s="104">
        <f ca="1">'main page'!$K$29*K22+(1-'main page'!$K$29)*controls!$B$9+P22+(('main page'!$K$25*'main page'!$U$13*'main page'!$K$29)/('main page'!$K$27*(1+('main page'!$K$25^2)*'main page'!$U$13)))*(K22-(controls!$B$9/100)*100)</f>
        <v>6</v>
      </c>
      <c r="P22" s="98">
        <f ca="1">IF(controls!$B$33=1,(J23-E22*U23-C23+B22*T23)/'main page'!$K$27,(I23-E22*U23-C23+B22*T23)/'main page'!$K$27)</f>
        <v>4</v>
      </c>
      <c r="R22" s="71">
        <f>IF(controls!$B$6=1,'normal case'!$AL$3*(1+('main page'!$K$35/100))^S22-'normal case'!$AL$3*(1+('main page'!$K$35/100))^S21,'normal case'!$AL$3*(1+('main page'!$G$8/100))*(1+('main page'!$K$35/100))^S22-'normal case'!$AL$3*(1+('main page'!$G$8/100))*(1+('main page'!$K$35/100))^S21)</f>
        <v>0</v>
      </c>
      <c r="S22" s="73">
        <v>14</v>
      </c>
      <c r="T22" s="71">
        <f>'normal case'!V21</f>
        <v>0</v>
      </c>
      <c r="U22" s="71">
        <f>'normal case'!W21</f>
        <v>0</v>
      </c>
    </row>
    <row r="23" spans="1:21">
      <c r="A23" s="53">
        <v>20</v>
      </c>
      <c r="B23" s="74">
        <f ca="1">IF(controls!$B$33=1,B22*(1+T23)+R23,B22*(1+T23))</f>
        <v>100</v>
      </c>
      <c r="C23" s="74">
        <f t="shared" ca="1" si="3"/>
        <v>100</v>
      </c>
      <c r="D23" s="93">
        <f t="shared" ca="1" si="2"/>
        <v>0</v>
      </c>
      <c r="E23" s="74">
        <f t="shared" ca="1" si="0"/>
        <v>100</v>
      </c>
      <c r="F23" s="74">
        <f ca="1">IF(controls!$B$33=1,'delay in perception'!H23,G23)</f>
        <v>100</v>
      </c>
      <c r="G23" s="74">
        <f ca="1">I23-'main page'!$K$27*L22</f>
        <v>100</v>
      </c>
      <c r="H23" s="74">
        <f ca="1">J23-'main page'!$K$27*L22</f>
        <v>100</v>
      </c>
      <c r="I23" s="74">
        <f ca="1">IF(controls!$B$31=2,I22+E22*U23+'normal case'!J22,I22+E22*U23+'normal case'!J22-'normal case'!J21)</f>
        <v>108</v>
      </c>
      <c r="J23" s="74">
        <f t="shared" ca="1" si="4"/>
        <v>108</v>
      </c>
      <c r="K23" s="74">
        <f ca="1">IF(ABS('main page'!$K$29*K22+(1-'main page'!$K$29)*(controls!$B$9/100)*100+'main page'!$K$25*(E23-B23)-K22)&lt;0.0000001,K22,'main page'!$K$29*K22+(1-'main page'!$K$29)*(controls!$B$9/100)*100+'main page'!$K$25*(E23-B23))</f>
        <v>2</v>
      </c>
      <c r="L23" s="74">
        <f ca="1">IF(controls!$B$10=1,L22,M23-'main page'!$K$29*K23-(1-'main page'!$K$29)*controls!$B$9)</f>
        <v>4</v>
      </c>
      <c r="M23" s="74">
        <f t="shared" ca="1" si="1"/>
        <v>6</v>
      </c>
      <c r="N23" s="74">
        <f ca="1">IF(controls!$B$10=1,'delay in perception'!L23+'delay in perception'!K23,'delay in perception'!O23)</f>
        <v>6</v>
      </c>
      <c r="O23" s="104">
        <f ca="1">'main page'!$K$29*K23+(1-'main page'!$K$29)*controls!$B$9+P23+(('main page'!$K$25*'main page'!$U$13*'main page'!$K$29)/('main page'!$K$27*(1+('main page'!$K$25^2)*'main page'!$U$13)))*(K23-(controls!$B$9/100)*100)</f>
        <v>6</v>
      </c>
      <c r="P23" s="98">
        <f ca="1">IF(controls!$B$33=1,(J24-E23*U24-C24+B23*T24)/'main page'!$K$27,(I24-E23*U24-C24+B23*T24)/'main page'!$K$27)</f>
        <v>4</v>
      </c>
      <c r="R23" s="71">
        <f>IF(controls!$B$6=1,'normal case'!$AL$3*(1+('main page'!$K$35/100))^S23-'normal case'!$AL$3*(1+('main page'!$K$35/100))^S22,'normal case'!$AL$3*(1+('main page'!$G$8/100))*(1+('main page'!$K$35/100))^S23-'normal case'!$AL$3*(1+('main page'!$G$8/100))*(1+('main page'!$K$35/100))^S22)</f>
        <v>0</v>
      </c>
      <c r="S23" s="73">
        <v>15</v>
      </c>
      <c r="T23" s="71">
        <f>'normal case'!V22</f>
        <v>0</v>
      </c>
      <c r="U23" s="71">
        <f>'normal case'!W22</f>
        <v>0</v>
      </c>
    </row>
    <row r="24" spans="1:21">
      <c r="A24" s="53">
        <v>21</v>
      </c>
      <c r="B24" s="74">
        <f ca="1">IF(controls!$B$33=1,B23*(1+T24)+R24,B23*(1+T24))</f>
        <v>100</v>
      </c>
      <c r="C24" s="74">
        <f t="shared" ca="1" si="3"/>
        <v>100</v>
      </c>
      <c r="D24" s="93">
        <f t="shared" ca="1" si="2"/>
        <v>0</v>
      </c>
      <c r="E24" s="74">
        <f t="shared" ca="1" si="0"/>
        <v>100</v>
      </c>
      <c r="F24" s="74">
        <f ca="1">IF(controls!$B$33=1,'delay in perception'!H24,G24)</f>
        <v>100</v>
      </c>
      <c r="G24" s="74">
        <f ca="1">I24-'main page'!$K$27*L23</f>
        <v>100</v>
      </c>
      <c r="H24" s="74">
        <f ca="1">J24-'main page'!$K$27*L23</f>
        <v>100</v>
      </c>
      <c r="I24" s="74">
        <f ca="1">IF(controls!$B$31=2,I23+E23*U24,I23+E23*U24-'normal case'!J22)</f>
        <v>108</v>
      </c>
      <c r="J24" s="74">
        <f t="shared" ca="1" si="4"/>
        <v>108</v>
      </c>
      <c r="K24" s="74">
        <f ca="1">IF(ABS('main page'!$K$29*K23+(1-'main page'!$K$29)*(controls!$B$9/100)*100+'main page'!$K$25*(E24-B24)-K23)&lt;0.0000001,K23,'main page'!$K$29*K23+(1-'main page'!$K$29)*(controls!$B$9/100)*100+'main page'!$K$25*(E24-B24))</f>
        <v>2</v>
      </c>
      <c r="L24" s="74">
        <f ca="1">IF(controls!$B$10=1,L23,M24-'main page'!$K$29*K24-(1-'main page'!$K$29)*controls!$B$9)</f>
        <v>4</v>
      </c>
      <c r="M24" s="74">
        <f t="shared" ca="1" si="1"/>
        <v>6</v>
      </c>
      <c r="N24" s="74">
        <f ca="1">IF(controls!$B$10=1,'delay in perception'!L24+'delay in perception'!K24,'delay in perception'!O24)</f>
        <v>6</v>
      </c>
      <c r="O24" s="104">
        <f ca="1">'main page'!$K$29*K24+(1-'main page'!$K$29)*controls!$B$9+P24+(('main page'!$K$25*'main page'!$U$13*'main page'!$K$29)/('main page'!$K$27*(1+('main page'!$K$25^2)*'main page'!$U$13)))*(K24-(controls!$B$9/100)*100)</f>
        <v>6</v>
      </c>
      <c r="P24" s="98">
        <f ca="1">IF(controls!$B$33=1,(J25-E24*U25-C25+B24*T25)/'main page'!$K$27,(I25-E24*U25-C25+B24*T25)/'main page'!$K$27)</f>
        <v>4</v>
      </c>
      <c r="R24" s="71">
        <f>IF(controls!$B$6=1,'normal case'!$AL$3*(1+('main page'!$K$35/100))^S24-'normal case'!$AL$3*(1+('main page'!$K$35/100))^S23,'normal case'!$AL$3*(1+('main page'!$G$8/100))*(1+('main page'!$K$35/100))^S24-'normal case'!$AL$3*(1+('main page'!$G$8/100))*(1+('main page'!$K$35/100))^S23)</f>
        <v>0</v>
      </c>
      <c r="S24" s="73">
        <v>16</v>
      </c>
      <c r="T24" s="71">
        <f ca="1">'normal case'!V23</f>
        <v>0</v>
      </c>
      <c r="U24" s="71">
        <f ca="1">'normal case'!W23</f>
        <v>0</v>
      </c>
    </row>
    <row r="25" spans="1:21">
      <c r="A25" s="53">
        <v>22</v>
      </c>
      <c r="B25" s="74">
        <f ca="1">IF(controls!$B$33=1,B24*(1+T25)+R25,B24*(1+T25))</f>
        <v>100</v>
      </c>
      <c r="C25" s="74">
        <f t="shared" ca="1" si="3"/>
        <v>100</v>
      </c>
      <c r="D25" s="93">
        <f t="shared" ca="1" si="2"/>
        <v>0</v>
      </c>
      <c r="E25" s="74">
        <f t="shared" ca="1" si="0"/>
        <v>100</v>
      </c>
      <c r="F25" s="74">
        <f ca="1">IF(controls!$B$33=1,'delay in perception'!H25,G25)</f>
        <v>100</v>
      </c>
      <c r="G25" s="74">
        <f ca="1">I25-'main page'!$K$27*L24</f>
        <v>100</v>
      </c>
      <c r="H25" s="74">
        <f ca="1">J25-'main page'!$K$27*L24</f>
        <v>100</v>
      </c>
      <c r="I25" s="74">
        <f ca="1">I24+E24*U25</f>
        <v>108</v>
      </c>
      <c r="J25" s="74">
        <f t="shared" ca="1" si="4"/>
        <v>108</v>
      </c>
      <c r="K25" s="74">
        <f ca="1">IF(ABS('main page'!$K$29*K24+(1-'main page'!$K$29)*(controls!$B$9/100)*100+'main page'!$K$25*(E25-B25)-K24)&lt;0.0000001,K24,'main page'!$K$29*K24+(1-'main page'!$K$29)*(controls!$B$9/100)*100+'main page'!$K$25*(E25-B25))</f>
        <v>2</v>
      </c>
      <c r="L25" s="74">
        <f ca="1">IF(controls!$B$10=1,L24,M25-'main page'!$K$29*K25-(1-'main page'!$K$29)*controls!$B$9)</f>
        <v>4</v>
      </c>
      <c r="M25" s="74">
        <f t="shared" ca="1" si="1"/>
        <v>6</v>
      </c>
      <c r="N25" s="74">
        <f ca="1">IF(controls!$B$10=1,'delay in perception'!L25+'delay in perception'!K25,'delay in perception'!O25)</f>
        <v>6</v>
      </c>
      <c r="O25" s="104">
        <f ca="1">'main page'!$K$29*K25+(1-'main page'!$K$29)*controls!$B$9+P25+(('main page'!$K$25*'main page'!$U$13*'main page'!$K$29)/('main page'!$K$27*(1+('main page'!$K$25^2)*'main page'!$U$13)))*(K25-(controls!$B$9/100)*100)</f>
        <v>6</v>
      </c>
      <c r="P25" s="98">
        <f ca="1">IF(controls!$B$33=1,(J26-E25*U26-C26+B25*T26)/'main page'!$K$27,(I26-E25*U26-C26+B25*T26)/'main page'!$K$27)</f>
        <v>4</v>
      </c>
      <c r="R25" s="71">
        <f>IF(controls!$B$6=1,'normal case'!$AL$3*(1+('main page'!$K$35/100))^S25-'normal case'!$AL$3*(1+('main page'!$K$35/100))^S24,'normal case'!$AL$3*(1+('main page'!$G$8/100))*(1+('main page'!$K$35/100))^S25-'normal case'!$AL$3*(1+('main page'!$G$8/100))*(1+('main page'!$K$35/100))^S24)</f>
        <v>0</v>
      </c>
      <c r="S25" s="73">
        <v>17</v>
      </c>
      <c r="T25" s="71">
        <f>'normal case'!V24</f>
        <v>0</v>
      </c>
      <c r="U25" s="71">
        <f>'normal case'!W24</f>
        <v>0</v>
      </c>
    </row>
    <row r="26" spans="1:21">
      <c r="A26" s="53">
        <v>23</v>
      </c>
      <c r="B26" s="74">
        <f ca="1">IF(controls!$B$33=1,B25*(1+T26)+R26,B25*(1+T26))</f>
        <v>100</v>
      </c>
      <c r="C26" s="74">
        <f t="shared" ca="1" si="3"/>
        <v>100</v>
      </c>
      <c r="D26" s="93">
        <f t="shared" ca="1" si="2"/>
        <v>0</v>
      </c>
      <c r="E26" s="74">
        <f t="shared" ca="1" si="0"/>
        <v>100</v>
      </c>
      <c r="F26" s="74">
        <f ca="1">IF(controls!$B$33=1,'delay in perception'!H26,G26)</f>
        <v>100</v>
      </c>
      <c r="G26" s="74">
        <f ca="1">I26-'main page'!$K$27*L25</f>
        <v>100</v>
      </c>
      <c r="H26" s="74">
        <f ca="1">J26-'main page'!$K$27*L25</f>
        <v>100</v>
      </c>
      <c r="I26" s="74">
        <f t="shared" ref="I26:I89" ca="1" si="5">I25+E25*U26</f>
        <v>108</v>
      </c>
      <c r="J26" s="74">
        <f t="shared" ca="1" si="4"/>
        <v>108</v>
      </c>
      <c r="K26" s="74">
        <f ca="1">IF(ABS('main page'!$K$29*K25+(1-'main page'!$K$29)*(controls!$B$9/100)*100+'main page'!$K$25*(E26-B26)-K25)&lt;0.0000001,K25,'main page'!$K$29*K25+(1-'main page'!$K$29)*(controls!$B$9/100)*100+'main page'!$K$25*(E26-B26))</f>
        <v>2</v>
      </c>
      <c r="L26" s="74">
        <f ca="1">IF(controls!$B$10=1,L25,M26-'main page'!$K$29*K26-(1-'main page'!$K$29)*controls!$B$9)</f>
        <v>4</v>
      </c>
      <c r="M26" s="74">
        <f t="shared" ca="1" si="1"/>
        <v>6</v>
      </c>
      <c r="N26" s="74">
        <f ca="1">IF(controls!$B$10=1,'delay in perception'!L26+'delay in perception'!K26,'delay in perception'!O26)</f>
        <v>6</v>
      </c>
      <c r="O26" s="104">
        <f ca="1">'main page'!$K$29*K26+(1-'main page'!$K$29)*controls!$B$9+P26+(('main page'!$K$25*'main page'!$U$13*'main page'!$K$29)/('main page'!$K$27*(1+('main page'!$K$25^2)*'main page'!$U$13)))*(K26-(controls!$B$9/100)*100)</f>
        <v>6</v>
      </c>
      <c r="P26" s="98">
        <f ca="1">IF(controls!$B$33=1,(J27-E26*U27-C27+B26*T27)/'main page'!$K$27,(I27-E26*U27-C27+B26*T27)/'main page'!$K$27)</f>
        <v>4</v>
      </c>
      <c r="R26" s="71">
        <f>IF(controls!$B$6=1,'normal case'!$AL$3*(1+('main page'!$K$35/100))^S26-'normal case'!$AL$3*(1+('main page'!$K$35/100))^S25,'normal case'!$AL$3*(1+('main page'!$G$8/100))*(1+('main page'!$K$35/100))^S26-'normal case'!$AL$3*(1+('main page'!$G$8/100))*(1+('main page'!$K$35/100))^S25)</f>
        <v>0</v>
      </c>
      <c r="S26" s="73">
        <v>18</v>
      </c>
      <c r="T26" s="71">
        <f>'normal case'!V25</f>
        <v>0</v>
      </c>
      <c r="U26" s="71">
        <f>'normal case'!W25</f>
        <v>0</v>
      </c>
    </row>
    <row r="27" spans="1:21">
      <c r="A27" s="53">
        <v>24</v>
      </c>
      <c r="B27" s="74">
        <f ca="1">IF(controls!$B$33=1,B26*(1+T27)+R27,B26*(1+T27))</f>
        <v>100</v>
      </c>
      <c r="C27" s="74">
        <f t="shared" ca="1" si="3"/>
        <v>100</v>
      </c>
      <c r="D27" s="93">
        <f t="shared" ca="1" si="2"/>
        <v>0</v>
      </c>
      <c r="E27" s="74">
        <f t="shared" ca="1" si="0"/>
        <v>100</v>
      </c>
      <c r="F27" s="74">
        <f ca="1">IF(controls!$B$33=1,'delay in perception'!H27,G27)</f>
        <v>100</v>
      </c>
      <c r="G27" s="74">
        <f ca="1">I27-'main page'!$K$27*L26</f>
        <v>100</v>
      </c>
      <c r="H27" s="74">
        <f ca="1">J27-'main page'!$K$27*L26</f>
        <v>100</v>
      </c>
      <c r="I27" s="74">
        <f t="shared" ca="1" si="5"/>
        <v>108</v>
      </c>
      <c r="J27" s="74">
        <f t="shared" ca="1" si="4"/>
        <v>108</v>
      </c>
      <c r="K27" s="74">
        <f ca="1">IF(ABS('main page'!$K$29*K26+(1-'main page'!$K$29)*(controls!$B$9/100)*100+'main page'!$K$25*(E27-B27)-K26)&lt;0.0000001,K26,'main page'!$K$29*K26+(1-'main page'!$K$29)*(controls!$B$9/100)*100+'main page'!$K$25*(E27-B27))</f>
        <v>2</v>
      </c>
      <c r="L27" s="74">
        <f ca="1">IF(controls!$B$10=1,L26,M27-'main page'!$K$29*K27-(1-'main page'!$K$29)*controls!$B$9)</f>
        <v>4</v>
      </c>
      <c r="M27" s="74">
        <f t="shared" ca="1" si="1"/>
        <v>6</v>
      </c>
      <c r="N27" s="74">
        <f ca="1">IF(controls!$B$10=1,'delay in perception'!L27+'delay in perception'!K27,'delay in perception'!O27)</f>
        <v>6</v>
      </c>
      <c r="O27" s="104">
        <f ca="1">'main page'!$K$29*K27+(1-'main page'!$K$29)*controls!$B$9+P27+(('main page'!$K$25*'main page'!$U$13*'main page'!$K$29)/('main page'!$K$27*(1+('main page'!$K$25^2)*'main page'!$U$13)))*(K27-(controls!$B$9/100)*100)</f>
        <v>6</v>
      </c>
      <c r="P27" s="98">
        <f ca="1">IF(controls!$B$33=1,(J28-E27*U28-C28+B27*T28)/'main page'!$K$27,(I28-E27*U28-C28+B27*T28)/'main page'!$K$27)</f>
        <v>4</v>
      </c>
      <c r="R27" s="71">
        <f>IF(controls!$B$6=1,'normal case'!$AL$3*(1+('main page'!$K$35/100))^S27-'normal case'!$AL$3*(1+('main page'!$K$35/100))^S26,'normal case'!$AL$3*(1+('main page'!$G$8/100))*(1+('main page'!$K$35/100))^S27-'normal case'!$AL$3*(1+('main page'!$G$8/100))*(1+('main page'!$K$35/100))^S26)</f>
        <v>0</v>
      </c>
      <c r="S27" s="73">
        <v>19</v>
      </c>
      <c r="T27" s="71">
        <f ca="1">'normal case'!V26</f>
        <v>0</v>
      </c>
      <c r="U27" s="71">
        <f ca="1">'normal case'!W26</f>
        <v>0</v>
      </c>
    </row>
    <row r="28" spans="1:21">
      <c r="A28" s="53">
        <v>25</v>
      </c>
      <c r="B28" s="74">
        <f ca="1">IF(controls!$B$33=1,B27*(1+T28)+R28,B27*(1+T28))</f>
        <v>100</v>
      </c>
      <c r="C28" s="74">
        <f t="shared" ca="1" si="3"/>
        <v>100</v>
      </c>
      <c r="D28" s="93">
        <f t="shared" ca="1" si="2"/>
        <v>0</v>
      </c>
      <c r="E28" s="74">
        <f t="shared" ca="1" si="0"/>
        <v>100</v>
      </c>
      <c r="F28" s="74">
        <f ca="1">IF(controls!$B$33=1,'delay in perception'!H28,G28)</f>
        <v>100</v>
      </c>
      <c r="G28" s="74">
        <f ca="1">I28-'main page'!$K$27*L27</f>
        <v>100</v>
      </c>
      <c r="H28" s="74">
        <f ca="1">J28-'main page'!$K$27*L27</f>
        <v>100</v>
      </c>
      <c r="I28" s="74">
        <f t="shared" ca="1" si="5"/>
        <v>108</v>
      </c>
      <c r="J28" s="74">
        <f t="shared" ca="1" si="4"/>
        <v>108</v>
      </c>
      <c r="K28" s="74">
        <f ca="1">IF(ABS('main page'!$K$29*K27+(1-'main page'!$K$29)*(controls!$B$9/100)*100+'main page'!$K$25*(E28-B28)-K27)&lt;0.0000001,K27,'main page'!$K$29*K27+(1-'main page'!$K$29)*(controls!$B$9/100)*100+'main page'!$K$25*(E28-B28))</f>
        <v>2</v>
      </c>
      <c r="L28" s="74">
        <f ca="1">IF(controls!$B$10=1,L27,M28-'main page'!$K$29*K28-(1-'main page'!$K$29)*controls!$B$9)</f>
        <v>4</v>
      </c>
      <c r="M28" s="74">
        <f t="shared" ca="1" si="1"/>
        <v>6</v>
      </c>
      <c r="N28" s="74">
        <f ca="1">IF(controls!$B$10=1,'delay in perception'!L28+'delay in perception'!K28,'delay in perception'!O28)</f>
        <v>6</v>
      </c>
      <c r="O28" s="104">
        <f ca="1">'main page'!$K$29*K28+(1-'main page'!$K$29)*controls!$B$9+P28+(('main page'!$K$25*'main page'!$U$13*'main page'!$K$29)/('main page'!$K$27*(1+('main page'!$K$25^2)*'main page'!$U$13)))*(K28-(controls!$B$9/100)*100)</f>
        <v>6</v>
      </c>
      <c r="P28" s="98">
        <f ca="1">IF(controls!$B$33=1,(J29-E28*U29-C29+B28*T29)/'main page'!$K$27,(I29-E28*U29-C29+B28*T29)/'main page'!$K$27)</f>
        <v>4</v>
      </c>
      <c r="R28" s="71">
        <f>IF(controls!$B$6=1,'normal case'!$AL$3*(1+('main page'!$K$35/100))^S28-'normal case'!$AL$3*(1+('main page'!$K$35/100))^S27,'normal case'!$AL$3*(1+('main page'!$G$8/100))*(1+('main page'!$K$35/100))^S28-'normal case'!$AL$3*(1+('main page'!$G$8/100))*(1+('main page'!$K$35/100))^S27)</f>
        <v>0</v>
      </c>
      <c r="S28" s="73">
        <v>20</v>
      </c>
      <c r="T28" s="71">
        <f>'normal case'!V27</f>
        <v>0</v>
      </c>
      <c r="U28" s="71">
        <f>'normal case'!W27</f>
        <v>0</v>
      </c>
    </row>
    <row r="29" spans="1:21">
      <c r="A29" s="53">
        <v>26</v>
      </c>
      <c r="B29" s="74">
        <f ca="1">IF(controls!$B$33=1,B28*(1+T29)+R29,B28*(1+T29))</f>
        <v>100</v>
      </c>
      <c r="C29" s="74">
        <f t="shared" ca="1" si="3"/>
        <v>100</v>
      </c>
      <c r="D29" s="93">
        <f t="shared" ca="1" si="2"/>
        <v>0</v>
      </c>
      <c r="E29" s="74">
        <f t="shared" ca="1" si="0"/>
        <v>100</v>
      </c>
      <c r="F29" s="74">
        <f ca="1">IF(controls!$B$33=1,'delay in perception'!H29,G29)</f>
        <v>100</v>
      </c>
      <c r="G29" s="74">
        <f ca="1">I29-'main page'!$K$27*L28</f>
        <v>100</v>
      </c>
      <c r="H29" s="74">
        <f ca="1">J29-'main page'!$K$27*L28</f>
        <v>100</v>
      </c>
      <c r="I29" s="74">
        <f t="shared" ca="1" si="5"/>
        <v>108</v>
      </c>
      <c r="J29" s="74">
        <f t="shared" ca="1" si="4"/>
        <v>108</v>
      </c>
      <c r="K29" s="74">
        <f ca="1">IF(ABS('main page'!$K$29*K28+(1-'main page'!$K$29)*(controls!$B$9/100)*100+'main page'!$K$25*(E29-B29)-K28)&lt;0.0000001,K28,'main page'!$K$29*K28+(1-'main page'!$K$29)*(controls!$B$9/100)*100+'main page'!$K$25*(E29-B29))</f>
        <v>2</v>
      </c>
      <c r="L29" s="74">
        <f ca="1">IF(controls!$B$10=1,L28,M29-'main page'!$K$29*K29-(1-'main page'!$K$29)*controls!$B$9)</f>
        <v>4</v>
      </c>
      <c r="M29" s="74">
        <f t="shared" ca="1" si="1"/>
        <v>6</v>
      </c>
      <c r="N29" s="74">
        <f ca="1">IF(controls!$B$10=1,'delay in perception'!L29+'delay in perception'!K29,'delay in perception'!O29)</f>
        <v>6</v>
      </c>
      <c r="O29" s="104">
        <f ca="1">'main page'!$K$29*K29+(1-'main page'!$K$29)*controls!$B$9+P29+(('main page'!$K$25*'main page'!$U$13*'main page'!$K$29)/('main page'!$K$27*(1+('main page'!$K$25^2)*'main page'!$U$13)))*(K29-(controls!$B$9/100)*100)</f>
        <v>6</v>
      </c>
      <c r="P29" s="98">
        <f ca="1">IF(controls!$B$33=1,(J30-E29*U30-C30+B29*T30)/'main page'!$K$27,(I30-E29*U30-C30+B29*T30)/'main page'!$K$27)</f>
        <v>4</v>
      </c>
      <c r="R29" s="71">
        <f>IF(controls!$B$6=1,'normal case'!$AL$3*(1+('main page'!$K$35/100))^S29-'normal case'!$AL$3*(1+('main page'!$K$35/100))^S28,'normal case'!$AL$3*(1+('main page'!$G$8/100))*(1+('main page'!$K$35/100))^S29-'normal case'!$AL$3*(1+('main page'!$G$8/100))*(1+('main page'!$K$35/100))^S28)</f>
        <v>0</v>
      </c>
      <c r="S29" s="73">
        <v>21</v>
      </c>
      <c r="T29" s="71">
        <f>'normal case'!V28</f>
        <v>0</v>
      </c>
      <c r="U29" s="71">
        <f>'normal case'!W28</f>
        <v>0</v>
      </c>
    </row>
    <row r="30" spans="1:21">
      <c r="A30" s="53">
        <v>27</v>
      </c>
      <c r="B30" s="74">
        <f ca="1">IF(controls!$B$33=1,B29*(1+T30)+R30,B29*(1+T30))</f>
        <v>100</v>
      </c>
      <c r="C30" s="74">
        <f t="shared" ca="1" si="3"/>
        <v>100</v>
      </c>
      <c r="D30" s="93">
        <f t="shared" ca="1" si="2"/>
        <v>0</v>
      </c>
      <c r="E30" s="74">
        <f t="shared" ca="1" si="0"/>
        <v>100</v>
      </c>
      <c r="F30" s="74">
        <f ca="1">IF(controls!$B$33=1,'delay in perception'!H30,G30)</f>
        <v>100</v>
      </c>
      <c r="G30" s="74">
        <f ca="1">I30-'main page'!$K$27*L29</f>
        <v>100</v>
      </c>
      <c r="H30" s="74">
        <f ca="1">J30-'main page'!$K$27*L29</f>
        <v>100</v>
      </c>
      <c r="I30" s="74">
        <f t="shared" ca="1" si="5"/>
        <v>108</v>
      </c>
      <c r="J30" s="74">
        <f t="shared" ca="1" si="4"/>
        <v>108</v>
      </c>
      <c r="K30" s="74">
        <f ca="1">IF(ABS('main page'!$K$29*K29+(1-'main page'!$K$29)*(controls!$B$9/100)*100+'main page'!$K$25*(E30-B30)-K29)&lt;0.0000001,K29,'main page'!$K$29*K29+(1-'main page'!$K$29)*(controls!$B$9/100)*100+'main page'!$K$25*(E30-B30))</f>
        <v>2</v>
      </c>
      <c r="L30" s="74">
        <f ca="1">IF(controls!$B$10=1,L29,M30-'main page'!$K$29*K30-(1-'main page'!$K$29)*controls!$B$9)</f>
        <v>4</v>
      </c>
      <c r="M30" s="74">
        <f t="shared" ca="1" si="1"/>
        <v>6</v>
      </c>
      <c r="N30" s="74">
        <f ca="1">IF(controls!$B$10=1,'delay in perception'!L30+'delay in perception'!K30,'delay in perception'!O30)</f>
        <v>6</v>
      </c>
      <c r="O30" s="104">
        <f ca="1">'main page'!$K$29*K30+(1-'main page'!$K$29)*controls!$B$9+P30+(('main page'!$K$25*'main page'!$U$13*'main page'!$K$29)/('main page'!$K$27*(1+('main page'!$K$25^2)*'main page'!$U$13)))*(K30-(controls!$B$9/100)*100)</f>
        <v>6</v>
      </c>
      <c r="P30" s="98">
        <f ca="1">IF(controls!$B$33=1,(J31-E30*U31-C31+B30*T31)/'main page'!$K$27,(I31-E30*U31-C31+B30*T31)/'main page'!$K$27)</f>
        <v>4</v>
      </c>
      <c r="R30" s="71">
        <f>IF(controls!$B$6=1,'normal case'!$AL$3*(1+('main page'!$K$35/100))^S30-'normal case'!$AL$3*(1+('main page'!$K$35/100))^S29,'normal case'!$AL$3*(1+('main page'!$G$8/100))*(1+('main page'!$K$35/100))^S30-'normal case'!$AL$3*(1+('main page'!$G$8/100))*(1+('main page'!$K$35/100))^S29)</f>
        <v>0</v>
      </c>
      <c r="S30" s="73">
        <v>22</v>
      </c>
      <c r="T30" s="71">
        <f ca="1">'normal case'!V29</f>
        <v>0</v>
      </c>
      <c r="U30" s="71">
        <f ca="1">'normal case'!W29</f>
        <v>0</v>
      </c>
    </row>
    <row r="31" spans="1:21">
      <c r="A31" s="53">
        <v>28</v>
      </c>
      <c r="B31" s="74">
        <f ca="1">IF(controls!$B$33=1,B30*(1+T31)+R31,B30*(1+T31))</f>
        <v>100</v>
      </c>
      <c r="C31" s="74">
        <f t="shared" ca="1" si="3"/>
        <v>100</v>
      </c>
      <c r="D31" s="93">
        <f t="shared" ca="1" si="2"/>
        <v>0</v>
      </c>
      <c r="E31" s="74">
        <f t="shared" ca="1" si="0"/>
        <v>100</v>
      </c>
      <c r="F31" s="74">
        <f ca="1">IF(controls!$B$33=1,'delay in perception'!H31,G31)</f>
        <v>100</v>
      </c>
      <c r="G31" s="74">
        <f ca="1">I31-'main page'!$K$27*L30</f>
        <v>100</v>
      </c>
      <c r="H31" s="74">
        <f ca="1">J31-'main page'!$K$27*L30</f>
        <v>100</v>
      </c>
      <c r="I31" s="74">
        <f t="shared" ca="1" si="5"/>
        <v>108</v>
      </c>
      <c r="J31" s="74">
        <f t="shared" ca="1" si="4"/>
        <v>108</v>
      </c>
      <c r="K31" s="74">
        <f ca="1">IF(ABS('main page'!$K$29*K30+(1-'main page'!$K$29)*(controls!$B$9/100)*100+'main page'!$K$25*(E31-B31)-K30)&lt;0.0000001,K30,'main page'!$K$29*K30+(1-'main page'!$K$29)*(controls!$B$9/100)*100+'main page'!$K$25*(E31-B31))</f>
        <v>2</v>
      </c>
      <c r="L31" s="74">
        <f ca="1">IF(controls!$B$10=1,L30,M31-'main page'!$K$29*K31-(1-'main page'!$K$29)*controls!$B$9)</f>
        <v>4</v>
      </c>
      <c r="M31" s="74">
        <f t="shared" ca="1" si="1"/>
        <v>6</v>
      </c>
      <c r="N31" s="74">
        <f ca="1">IF(controls!$B$10=1,'delay in perception'!L31+'delay in perception'!K31,'delay in perception'!O31)</f>
        <v>6</v>
      </c>
      <c r="O31" s="104">
        <f ca="1">'main page'!$K$29*K31+(1-'main page'!$K$29)*controls!$B$9+P31+(('main page'!$K$25*'main page'!$U$13*'main page'!$K$29)/('main page'!$K$27*(1+('main page'!$K$25^2)*'main page'!$U$13)))*(K31-(controls!$B$9/100)*100)</f>
        <v>6</v>
      </c>
      <c r="P31" s="98">
        <f ca="1">IF(controls!$B$33=1,(J32-E31*U32-C32+B31*T32)/'main page'!$K$27,(I32-E31*U32-C32+B31*T32)/'main page'!$K$27)</f>
        <v>4</v>
      </c>
      <c r="R31" s="71">
        <f>IF(controls!$B$6=1,'normal case'!$AL$3*(1+('main page'!$K$35/100))^S31-'normal case'!$AL$3*(1+('main page'!$K$35/100))^S30,'normal case'!$AL$3*(1+('main page'!$G$8/100))*(1+('main page'!$K$35/100))^S31-'normal case'!$AL$3*(1+('main page'!$G$8/100))*(1+('main page'!$K$35/100))^S30)</f>
        <v>0</v>
      </c>
      <c r="S31" s="73">
        <v>23</v>
      </c>
      <c r="T31" s="71">
        <f>'normal case'!V30</f>
        <v>0</v>
      </c>
      <c r="U31" s="71">
        <f>'normal case'!W30</f>
        <v>0</v>
      </c>
    </row>
    <row r="32" spans="1:21">
      <c r="A32" s="53">
        <v>29</v>
      </c>
      <c r="B32" s="74">
        <f ca="1">IF(controls!$B$33=1,B31*(1+T32)+R32,B31*(1+T32))</f>
        <v>100</v>
      </c>
      <c r="C32" s="74">
        <f t="shared" ca="1" si="3"/>
        <v>100</v>
      </c>
      <c r="D32" s="93">
        <f t="shared" ca="1" si="2"/>
        <v>0</v>
      </c>
      <c r="E32" s="74">
        <f t="shared" ca="1" si="0"/>
        <v>100</v>
      </c>
      <c r="F32" s="74">
        <f ca="1">IF(controls!$B$33=1,'delay in perception'!H32,G32)</f>
        <v>100</v>
      </c>
      <c r="G32" s="74">
        <f ca="1">I32-'main page'!$K$27*L31</f>
        <v>100</v>
      </c>
      <c r="H32" s="74">
        <f ca="1">J32-'main page'!$K$27*L31</f>
        <v>100</v>
      </c>
      <c r="I32" s="74">
        <f t="shared" ca="1" si="5"/>
        <v>108</v>
      </c>
      <c r="J32" s="74">
        <f t="shared" ca="1" si="4"/>
        <v>108</v>
      </c>
      <c r="K32" s="74">
        <f ca="1">IF(ABS('main page'!$K$29*K31+(1-'main page'!$K$29)*(controls!$B$9/100)*100+'main page'!$K$25*(E32-B32)-K31)&lt;0.0000001,K31,'main page'!$K$29*K31+(1-'main page'!$K$29)*(controls!$B$9/100)*100+'main page'!$K$25*(E32-B32))</f>
        <v>2</v>
      </c>
      <c r="L32" s="74">
        <f ca="1">IF(controls!$B$10=1,L31,M32-'main page'!$K$29*K32-(1-'main page'!$K$29)*controls!$B$9)</f>
        <v>4</v>
      </c>
      <c r="M32" s="74">
        <f t="shared" ca="1" si="1"/>
        <v>6</v>
      </c>
      <c r="N32" s="74">
        <f ca="1">IF(controls!$B$10=1,'delay in perception'!L32+'delay in perception'!K32,'delay in perception'!O32)</f>
        <v>6</v>
      </c>
      <c r="O32" s="104">
        <f ca="1">'main page'!$K$29*K32+(1-'main page'!$K$29)*controls!$B$9+P32+(('main page'!$K$25*'main page'!$U$13*'main page'!$K$29)/('main page'!$K$27*(1+('main page'!$K$25^2)*'main page'!$U$13)))*(K32-(controls!$B$9/100)*100)</f>
        <v>6</v>
      </c>
      <c r="P32" s="98">
        <f ca="1">IF(controls!$B$33=1,(J33-E32*U33-C33+B32*T33)/'main page'!$K$27,(I33-E32*U33-C33+B32*T33)/'main page'!$K$27)</f>
        <v>4</v>
      </c>
      <c r="R32" s="71">
        <f>IF(controls!$B$6=1,'normal case'!$AL$3*(1+('main page'!$K$35/100))^S32-'normal case'!$AL$3*(1+('main page'!$K$35/100))^S31,'normal case'!$AL$3*(1+('main page'!$G$8/100))*(1+('main page'!$K$35/100))^S32-'normal case'!$AL$3*(1+('main page'!$G$8/100))*(1+('main page'!$K$35/100))^S31)</f>
        <v>0</v>
      </c>
      <c r="S32" s="73">
        <v>24</v>
      </c>
      <c r="T32" s="71">
        <f>'normal case'!V31</f>
        <v>0</v>
      </c>
      <c r="U32" s="71">
        <f>'normal case'!W31</f>
        <v>0</v>
      </c>
    </row>
    <row r="33" spans="1:21">
      <c r="A33" s="53">
        <v>30</v>
      </c>
      <c r="B33" s="74">
        <f ca="1">IF(controls!$B$33=1,B32*(1+T33)+R33,B32*(1+T33))</f>
        <v>100</v>
      </c>
      <c r="C33" s="74">
        <f t="shared" ca="1" si="3"/>
        <v>100</v>
      </c>
      <c r="D33" s="93">
        <f t="shared" ca="1" si="2"/>
        <v>0</v>
      </c>
      <c r="E33" s="74">
        <f t="shared" ca="1" si="0"/>
        <v>100</v>
      </c>
      <c r="F33" s="74">
        <f ca="1">IF(controls!$B$33=1,'delay in perception'!H33,G33)</f>
        <v>100</v>
      </c>
      <c r="G33" s="74">
        <f ca="1">I33-'main page'!$K$27*L32</f>
        <v>100</v>
      </c>
      <c r="H33" s="74">
        <f ca="1">J33-'main page'!$K$27*L32</f>
        <v>100</v>
      </c>
      <c r="I33" s="74">
        <f t="shared" ca="1" si="5"/>
        <v>108</v>
      </c>
      <c r="J33" s="74">
        <f t="shared" ca="1" si="4"/>
        <v>108</v>
      </c>
      <c r="K33" s="74">
        <f ca="1">IF(ABS('main page'!$K$29*K32+(1-'main page'!$K$29)*(controls!$B$9/100)*100+'main page'!$K$25*(E33-B33)-K32)&lt;0.0000001,K32,'main page'!$K$29*K32+(1-'main page'!$K$29)*(controls!$B$9/100)*100+'main page'!$K$25*(E33-B33))</f>
        <v>2</v>
      </c>
      <c r="L33" s="74">
        <f ca="1">IF(controls!$B$10=1,L32,M33-'main page'!$K$29*K33-(1-'main page'!$K$29)*controls!$B$9)</f>
        <v>4</v>
      </c>
      <c r="M33" s="74">
        <f t="shared" ca="1" si="1"/>
        <v>6</v>
      </c>
      <c r="N33" s="74">
        <f ca="1">IF(controls!$B$10=1,'delay in perception'!L33+'delay in perception'!K33,'delay in perception'!O33)</f>
        <v>6</v>
      </c>
      <c r="O33" s="104">
        <f ca="1">'main page'!$K$29*K33+(1-'main page'!$K$29)*controls!$B$9+P33+(('main page'!$K$25*'main page'!$U$13*'main page'!$K$29)/('main page'!$K$27*(1+('main page'!$K$25^2)*'main page'!$U$13)))*(K33-(controls!$B$9/100)*100)</f>
        <v>6</v>
      </c>
      <c r="P33" s="98">
        <f ca="1">IF(controls!$B$33=1,(J34-E33*U34-C34+B33*T34)/'main page'!$K$27,(I34-E33*U34-C34+B33*T34)/'main page'!$K$27)</f>
        <v>4</v>
      </c>
      <c r="R33" s="71">
        <f>IF(controls!$B$6=1,'normal case'!$AL$3*(1+('main page'!$K$35/100))^S33-'normal case'!$AL$3*(1+('main page'!$K$35/100))^S32,'normal case'!$AL$3*(1+('main page'!$G$8/100))*(1+('main page'!$K$35/100))^S33-'normal case'!$AL$3*(1+('main page'!$G$8/100))*(1+('main page'!$K$35/100))^S32)</f>
        <v>0</v>
      </c>
      <c r="S33" s="73">
        <v>25</v>
      </c>
      <c r="T33" s="71">
        <f ca="1">'normal case'!V32</f>
        <v>0</v>
      </c>
      <c r="U33" s="71">
        <f ca="1">'normal case'!W32</f>
        <v>0</v>
      </c>
    </row>
    <row r="34" spans="1:21">
      <c r="A34" s="53">
        <v>31</v>
      </c>
      <c r="B34" s="74">
        <f ca="1">IF(controls!$B$33=1,B33*(1+T34)+R34,B33*(1+T34))</f>
        <v>100</v>
      </c>
      <c r="C34" s="74">
        <f t="shared" ca="1" si="3"/>
        <v>100</v>
      </c>
      <c r="D34" s="93">
        <f t="shared" ca="1" si="2"/>
        <v>0</v>
      </c>
      <c r="E34" s="74">
        <f t="shared" ca="1" si="0"/>
        <v>100</v>
      </c>
      <c r="F34" s="74">
        <f ca="1">IF(controls!$B$33=1,'delay in perception'!H34,G34)</f>
        <v>100</v>
      </c>
      <c r="G34" s="74">
        <f ca="1">I34-'main page'!$K$27*L33</f>
        <v>100</v>
      </c>
      <c r="H34" s="74">
        <f ca="1">J34-'main page'!$K$27*L33</f>
        <v>100</v>
      </c>
      <c r="I34" s="74">
        <f t="shared" ca="1" si="5"/>
        <v>108</v>
      </c>
      <c r="J34" s="74">
        <f t="shared" ca="1" si="4"/>
        <v>108</v>
      </c>
      <c r="K34" s="74">
        <f ca="1">IF(ABS('main page'!$K$29*K33+(1-'main page'!$K$29)*(controls!$B$9/100)*100+'main page'!$K$25*(E34-B34)-K33)&lt;0.0000001,K33,'main page'!$K$29*K33+(1-'main page'!$K$29)*(controls!$B$9/100)*100+'main page'!$K$25*(E34-B34))</f>
        <v>2</v>
      </c>
      <c r="L34" s="74">
        <f ca="1">IF(controls!$B$10=1,L33,M34-'main page'!$K$29*K34-(1-'main page'!$K$29)*controls!$B$9)</f>
        <v>4</v>
      </c>
      <c r="M34" s="74">
        <f t="shared" ca="1" si="1"/>
        <v>6</v>
      </c>
      <c r="N34" s="74">
        <f ca="1">IF(controls!$B$10=1,'delay in perception'!L34+'delay in perception'!K34,'delay in perception'!O34)</f>
        <v>6</v>
      </c>
      <c r="O34" s="104">
        <f ca="1">'main page'!$K$29*K34+(1-'main page'!$K$29)*controls!$B$9+P34+(('main page'!$K$25*'main page'!$U$13*'main page'!$K$29)/('main page'!$K$27*(1+('main page'!$K$25^2)*'main page'!$U$13)))*(K34-(controls!$B$9/100)*100)</f>
        <v>6</v>
      </c>
      <c r="P34" s="98">
        <f ca="1">IF(controls!$B$33=1,(J35-E34*U35-C35+B34*T35)/'main page'!$K$27,(I35-E34*U35-C35+B34*T35)/'main page'!$K$27)</f>
        <v>4</v>
      </c>
      <c r="R34" s="71">
        <f>IF(controls!$B$6=1,'normal case'!$AL$3*(1+('main page'!$K$35/100))^S34-'normal case'!$AL$3*(1+('main page'!$K$35/100))^S33,'normal case'!$AL$3*(1+('main page'!$G$8/100))*(1+('main page'!$K$35/100))^S34-'normal case'!$AL$3*(1+('main page'!$G$8/100))*(1+('main page'!$K$35/100))^S33)</f>
        <v>0</v>
      </c>
      <c r="S34" s="73">
        <v>26</v>
      </c>
      <c r="T34" s="71">
        <f>'normal case'!V33</f>
        <v>0</v>
      </c>
      <c r="U34" s="71">
        <f>'normal case'!W33</f>
        <v>0</v>
      </c>
    </row>
    <row r="35" spans="1:21">
      <c r="A35" s="53">
        <v>32</v>
      </c>
      <c r="B35" s="74">
        <f ca="1">IF(controls!$B$33=1,B34*(1+T35)+R35,B34*(1+T35))</f>
        <v>100</v>
      </c>
      <c r="C35" s="74">
        <f t="shared" ca="1" si="3"/>
        <v>100</v>
      </c>
      <c r="D35" s="93">
        <f t="shared" ca="1" si="2"/>
        <v>0</v>
      </c>
      <c r="E35" s="74">
        <f t="shared" ca="1" si="0"/>
        <v>100</v>
      </c>
      <c r="F35" s="74">
        <f ca="1">IF(controls!$B$33=1,'delay in perception'!H35,G35)</f>
        <v>100</v>
      </c>
      <c r="G35" s="74">
        <f ca="1">I35-'main page'!$K$27*L34</f>
        <v>100</v>
      </c>
      <c r="H35" s="74">
        <f ca="1">J35-'main page'!$K$27*L34</f>
        <v>100</v>
      </c>
      <c r="I35" s="74">
        <f t="shared" ca="1" si="5"/>
        <v>108</v>
      </c>
      <c r="J35" s="74">
        <f t="shared" ca="1" si="4"/>
        <v>108</v>
      </c>
      <c r="K35" s="74">
        <f ca="1">IF(ABS('main page'!$K$29*K34+(1-'main page'!$K$29)*(controls!$B$9/100)*100+'main page'!$K$25*(E35-B35)-K34)&lt;0.0000001,K34,'main page'!$K$29*K34+(1-'main page'!$K$29)*(controls!$B$9/100)*100+'main page'!$K$25*(E35-B35))</f>
        <v>2</v>
      </c>
      <c r="L35" s="74">
        <f ca="1">IF(controls!$B$10=1,L34,M35-'main page'!$K$29*K35-(1-'main page'!$K$29)*controls!$B$9)</f>
        <v>4</v>
      </c>
      <c r="M35" s="74">
        <f t="shared" ca="1" si="1"/>
        <v>6</v>
      </c>
      <c r="N35" s="74">
        <f ca="1">IF(controls!$B$10=1,'delay in perception'!L35+'delay in perception'!K35,'delay in perception'!O35)</f>
        <v>6</v>
      </c>
      <c r="O35" s="104">
        <f ca="1">'main page'!$K$29*K35+(1-'main page'!$K$29)*controls!$B$9+P35+(('main page'!$K$25*'main page'!$U$13*'main page'!$K$29)/('main page'!$K$27*(1+('main page'!$K$25^2)*'main page'!$U$13)))*(K35-(controls!$B$9/100)*100)</f>
        <v>6</v>
      </c>
      <c r="P35" s="98">
        <f ca="1">IF(controls!$B$33=1,(J36-E35*U36-C36+B35*T36)/'main page'!$K$27,(I36-E35*U36-C36+B35*T36)/'main page'!$K$27)</f>
        <v>4</v>
      </c>
      <c r="R35" s="71">
        <f>IF(controls!$B$6=1,'normal case'!$AL$3*(1+('main page'!$K$35/100))^S35-'normal case'!$AL$3*(1+('main page'!$K$35/100))^S34,'normal case'!$AL$3*(1+('main page'!$G$8/100))*(1+('main page'!$K$35/100))^S35-'normal case'!$AL$3*(1+('main page'!$G$8/100))*(1+('main page'!$K$35/100))^S34)</f>
        <v>0</v>
      </c>
      <c r="S35" s="73">
        <v>27</v>
      </c>
      <c r="T35" s="71">
        <f>'normal case'!V34</f>
        <v>0</v>
      </c>
      <c r="U35" s="71">
        <f>'normal case'!W34</f>
        <v>0</v>
      </c>
    </row>
    <row r="36" spans="1:21">
      <c r="A36" s="53">
        <v>33</v>
      </c>
      <c r="B36" s="74">
        <f ca="1">IF(controls!$B$33=1,B35*(1+T36)+R36,B35*(1+T36))</f>
        <v>100</v>
      </c>
      <c r="C36" s="74">
        <f t="shared" ca="1" si="3"/>
        <v>100</v>
      </c>
      <c r="D36" s="93">
        <f t="shared" ca="1" si="2"/>
        <v>0</v>
      </c>
      <c r="E36" s="74">
        <f t="shared" ca="1" si="0"/>
        <v>100</v>
      </c>
      <c r="F36" s="74">
        <f ca="1">IF(controls!$B$33=1,'delay in perception'!H36,G36)</f>
        <v>100</v>
      </c>
      <c r="G36" s="74">
        <f ca="1">I36-'main page'!$K$27*L35</f>
        <v>100</v>
      </c>
      <c r="H36" s="74">
        <f ca="1">J36-'main page'!$K$27*L35</f>
        <v>100</v>
      </c>
      <c r="I36" s="74">
        <f t="shared" ca="1" si="5"/>
        <v>108</v>
      </c>
      <c r="J36" s="74">
        <f t="shared" ca="1" si="4"/>
        <v>108</v>
      </c>
      <c r="K36" s="74">
        <f ca="1">IF(ABS('main page'!$K$29*K35+(1-'main page'!$K$29)*(controls!$B$9/100)*100+'main page'!$K$25*(E36-B36)-K35)&lt;0.0000001,K35,'main page'!$K$29*K35+(1-'main page'!$K$29)*(controls!$B$9/100)*100+'main page'!$K$25*(E36-B36))</f>
        <v>2</v>
      </c>
      <c r="L36" s="74">
        <f ca="1">IF(controls!$B$10=1,L35,M36-'main page'!$K$29*K36-(1-'main page'!$K$29)*controls!$B$9)</f>
        <v>4</v>
      </c>
      <c r="M36" s="74">
        <f t="shared" ca="1" si="1"/>
        <v>6</v>
      </c>
      <c r="N36" s="74">
        <f ca="1">IF(controls!$B$10=1,'delay in perception'!L36+'delay in perception'!K36,'delay in perception'!O36)</f>
        <v>6</v>
      </c>
      <c r="O36" s="104">
        <f ca="1">'main page'!$K$29*K36+(1-'main page'!$K$29)*controls!$B$9+P36+(('main page'!$K$25*'main page'!$U$13*'main page'!$K$29)/('main page'!$K$27*(1+('main page'!$K$25^2)*'main page'!$U$13)))*(K36-(controls!$B$9/100)*100)</f>
        <v>6</v>
      </c>
      <c r="P36" s="98">
        <f ca="1">IF(controls!$B$33=1,(J37-E36*U37-C37+B36*T37)/'main page'!$K$27,(I37-E36*U37-C37+B36*T37)/'main page'!$K$27)</f>
        <v>4</v>
      </c>
      <c r="R36" s="71">
        <f>IF(controls!$B$6=1,'normal case'!$AL$3*(1+('main page'!$K$35/100))^S36-'normal case'!$AL$3*(1+('main page'!$K$35/100))^S35,'normal case'!$AL$3*(1+('main page'!$G$8/100))*(1+('main page'!$K$35/100))^S36-'normal case'!$AL$3*(1+('main page'!$G$8/100))*(1+('main page'!$K$35/100))^S35)</f>
        <v>0</v>
      </c>
      <c r="S36" s="73">
        <v>28</v>
      </c>
      <c r="T36" s="71">
        <f ca="1">'normal case'!V35</f>
        <v>0</v>
      </c>
      <c r="U36" s="71">
        <f ca="1">'normal case'!W35</f>
        <v>0</v>
      </c>
    </row>
    <row r="37" spans="1:21">
      <c r="A37" s="53">
        <v>34</v>
      </c>
      <c r="B37" s="74">
        <f ca="1">IF(controls!$B$33=1,B36*(1+T37)+R37,B36*(1+T37))</f>
        <v>100</v>
      </c>
      <c r="C37" s="74">
        <f t="shared" ca="1" si="3"/>
        <v>100</v>
      </c>
      <c r="D37" s="93">
        <f t="shared" ca="1" si="2"/>
        <v>0</v>
      </c>
      <c r="E37" s="74">
        <f t="shared" ca="1" si="0"/>
        <v>100</v>
      </c>
      <c r="F37" s="74">
        <f ca="1">IF(controls!$B$33=1,'delay in perception'!H37,G37)</f>
        <v>100</v>
      </c>
      <c r="G37" s="74">
        <f ca="1">I37-'main page'!$K$27*L36</f>
        <v>100</v>
      </c>
      <c r="H37" s="74">
        <f ca="1">J37-'main page'!$K$27*L36</f>
        <v>100</v>
      </c>
      <c r="I37" s="74">
        <f t="shared" ca="1" si="5"/>
        <v>108</v>
      </c>
      <c r="J37" s="74">
        <f t="shared" ca="1" si="4"/>
        <v>108</v>
      </c>
      <c r="K37" s="74">
        <f ca="1">IF(ABS('main page'!$K$29*K36+(1-'main page'!$K$29)*(controls!$B$9/100)*100+'main page'!$K$25*(E37-B37)-K36)&lt;0.0000001,K36,'main page'!$K$29*K36+(1-'main page'!$K$29)*(controls!$B$9/100)*100+'main page'!$K$25*(E37-B37))</f>
        <v>2</v>
      </c>
      <c r="L37" s="74">
        <f ca="1">IF(controls!$B$10=1,L36,M37-'main page'!$K$29*K37-(1-'main page'!$K$29)*controls!$B$9)</f>
        <v>4</v>
      </c>
      <c r="M37" s="74">
        <f t="shared" ca="1" si="1"/>
        <v>6</v>
      </c>
      <c r="N37" s="74">
        <f ca="1">IF(controls!$B$10=1,'delay in perception'!L37+'delay in perception'!K37,'delay in perception'!O37)</f>
        <v>6</v>
      </c>
      <c r="O37" s="104">
        <f ca="1">'main page'!$K$29*K37+(1-'main page'!$K$29)*controls!$B$9+P37+(('main page'!$K$25*'main page'!$U$13*'main page'!$K$29)/('main page'!$K$27*(1+('main page'!$K$25^2)*'main page'!$U$13)))*(K37-(controls!$B$9/100)*100)</f>
        <v>6</v>
      </c>
      <c r="P37" s="98">
        <f ca="1">IF(controls!$B$33=1,(J38-E37*U38-C38+B37*T38)/'main page'!$K$27,(I38-E37*U38-C38+B37*T38)/'main page'!$K$27)</f>
        <v>4</v>
      </c>
      <c r="R37" s="71">
        <f>IF(controls!$B$6=1,'normal case'!$AL$3*(1+('main page'!$K$35/100))^S37-'normal case'!$AL$3*(1+('main page'!$K$35/100))^S36,'normal case'!$AL$3*(1+('main page'!$G$8/100))*(1+('main page'!$K$35/100))^S37-'normal case'!$AL$3*(1+('main page'!$G$8/100))*(1+('main page'!$K$35/100))^S36)</f>
        <v>0</v>
      </c>
      <c r="S37" s="73">
        <v>29</v>
      </c>
      <c r="T37" s="71">
        <f>'normal case'!V36</f>
        <v>0</v>
      </c>
      <c r="U37" s="71">
        <f>'normal case'!W36</f>
        <v>0</v>
      </c>
    </row>
    <row r="38" spans="1:21">
      <c r="A38" s="53">
        <v>35</v>
      </c>
      <c r="B38" s="74">
        <f ca="1">IF(controls!$B$33=1,B37*(1+T38)+R38,B37*(1+T38))</f>
        <v>100</v>
      </c>
      <c r="C38" s="74">
        <f t="shared" ca="1" si="3"/>
        <v>100</v>
      </c>
      <c r="D38" s="93">
        <f t="shared" ca="1" si="2"/>
        <v>0</v>
      </c>
      <c r="E38" s="74">
        <f t="shared" ca="1" si="0"/>
        <v>100</v>
      </c>
      <c r="F38" s="74">
        <f ca="1">IF(controls!$B$33=1,'delay in perception'!H38,G38)</f>
        <v>100</v>
      </c>
      <c r="G38" s="74">
        <f ca="1">I38-'main page'!$K$27*L37</f>
        <v>100</v>
      </c>
      <c r="H38" s="74">
        <f ca="1">J38-'main page'!$K$27*L37</f>
        <v>100</v>
      </c>
      <c r="I38" s="74">
        <f t="shared" ca="1" si="5"/>
        <v>108</v>
      </c>
      <c r="J38" s="74">
        <f t="shared" ca="1" si="4"/>
        <v>108</v>
      </c>
      <c r="K38" s="74">
        <f ca="1">IF(ABS('main page'!$K$29*K37+(1-'main page'!$K$29)*(controls!$B$9/100)*100+'main page'!$K$25*(E38-B38)-K37)&lt;0.0000001,K37,'main page'!$K$29*K37+(1-'main page'!$K$29)*(controls!$B$9/100)*100+'main page'!$K$25*(E38-B38))</f>
        <v>2</v>
      </c>
      <c r="L38" s="74">
        <f ca="1">IF(controls!$B$10=1,L37,M38-'main page'!$K$29*K38-(1-'main page'!$K$29)*controls!$B$9)</f>
        <v>4</v>
      </c>
      <c r="M38" s="74">
        <f t="shared" ca="1" si="1"/>
        <v>6</v>
      </c>
      <c r="N38" s="74">
        <f ca="1">IF(controls!$B$10=1,'delay in perception'!L38+'delay in perception'!K38,'delay in perception'!O38)</f>
        <v>6</v>
      </c>
      <c r="O38" s="104">
        <f ca="1">'main page'!$K$29*K38+(1-'main page'!$K$29)*controls!$B$9+P38+(('main page'!$K$25*'main page'!$U$13*'main page'!$K$29)/('main page'!$K$27*(1+('main page'!$K$25^2)*'main page'!$U$13)))*(K38-(controls!$B$9/100)*100)</f>
        <v>6</v>
      </c>
      <c r="P38" s="98">
        <f ca="1">IF(controls!$B$33=1,(J39-E38*U39-C39+B38*T39)/'main page'!$K$27,(I39-E38*U39-C39+B38*T39)/'main page'!$K$27)</f>
        <v>4</v>
      </c>
      <c r="R38" s="71">
        <f>IF(controls!$B$6=1,'normal case'!$AL$3*(1+('main page'!$K$35/100))^S38-'normal case'!$AL$3*(1+('main page'!$K$35/100))^S37,'normal case'!$AL$3*(1+('main page'!$G$8/100))*(1+('main page'!$K$35/100))^S38-'normal case'!$AL$3*(1+('main page'!$G$8/100))*(1+('main page'!$K$35/100))^S37)</f>
        <v>0</v>
      </c>
      <c r="S38" s="73">
        <v>30</v>
      </c>
      <c r="T38" s="71">
        <f>'normal case'!V37</f>
        <v>0</v>
      </c>
      <c r="U38" s="71">
        <f>'normal case'!W37</f>
        <v>0</v>
      </c>
    </row>
    <row r="39" spans="1:21">
      <c r="A39" s="53">
        <v>36</v>
      </c>
      <c r="B39" s="74">
        <f ca="1">IF(controls!$B$33=1,B38*(1+T39)+R39,B38*(1+T39))</f>
        <v>100</v>
      </c>
      <c r="C39" s="74">
        <f t="shared" ca="1" si="3"/>
        <v>100</v>
      </c>
      <c r="D39" s="93">
        <f t="shared" ca="1" si="2"/>
        <v>0</v>
      </c>
      <c r="E39" s="74">
        <f t="shared" ca="1" si="0"/>
        <v>100</v>
      </c>
      <c r="F39" s="74">
        <f ca="1">IF(controls!$B$33=1,'delay in perception'!H39,G39)</f>
        <v>100</v>
      </c>
      <c r="G39" s="74">
        <f ca="1">I39-'main page'!$K$27*L38</f>
        <v>100</v>
      </c>
      <c r="H39" s="74">
        <f ca="1">J39-'main page'!$K$27*L38</f>
        <v>100</v>
      </c>
      <c r="I39" s="74">
        <f t="shared" ca="1" si="5"/>
        <v>108</v>
      </c>
      <c r="J39" s="74">
        <f t="shared" ca="1" si="4"/>
        <v>108</v>
      </c>
      <c r="K39" s="74">
        <f ca="1">IF(ABS('main page'!$K$29*K38+(1-'main page'!$K$29)*(controls!$B$9/100)*100+'main page'!$K$25*(E39-B39)-K38)&lt;0.0000001,K38,'main page'!$K$29*K38+(1-'main page'!$K$29)*(controls!$B$9/100)*100+'main page'!$K$25*(E39-B39))</f>
        <v>2</v>
      </c>
      <c r="L39" s="74">
        <f ca="1">IF(controls!$B$10=1,L38,M39-'main page'!$K$29*K39-(1-'main page'!$K$29)*controls!$B$9)</f>
        <v>4</v>
      </c>
      <c r="M39" s="74">
        <f t="shared" ca="1" si="1"/>
        <v>6</v>
      </c>
      <c r="N39" s="74">
        <f ca="1">IF(controls!$B$10=1,'delay in perception'!L39+'delay in perception'!K39,'delay in perception'!O39)</f>
        <v>6</v>
      </c>
      <c r="O39" s="104">
        <f ca="1">'main page'!$K$29*K39+(1-'main page'!$K$29)*controls!$B$9+P39+(('main page'!$K$25*'main page'!$U$13*'main page'!$K$29)/('main page'!$K$27*(1+('main page'!$K$25^2)*'main page'!$U$13)))*(K39-(controls!$B$9/100)*100)</f>
        <v>6</v>
      </c>
      <c r="P39" s="98">
        <f ca="1">IF(controls!$B$33=1,(J40-E39*U40-C40+B39*T40)/'main page'!$K$27,(I40-E39*U40-C40+B39*T40)/'main page'!$K$27)</f>
        <v>4</v>
      </c>
      <c r="R39" s="71">
        <f>IF(controls!$B$6=1,'normal case'!$AL$3*(1+('main page'!$K$35/100))^S39-'normal case'!$AL$3*(1+('main page'!$K$35/100))^S38,'normal case'!$AL$3*(1+('main page'!$G$8/100))*(1+('main page'!$K$35/100))^S39-'normal case'!$AL$3*(1+('main page'!$G$8/100))*(1+('main page'!$K$35/100))^S38)</f>
        <v>0</v>
      </c>
      <c r="S39" s="73">
        <v>31</v>
      </c>
      <c r="T39" s="71">
        <f ca="1">'normal case'!V38</f>
        <v>0</v>
      </c>
      <c r="U39" s="71">
        <f ca="1">'normal case'!W38</f>
        <v>0</v>
      </c>
    </row>
    <row r="40" spans="1:21">
      <c r="A40" s="53">
        <v>37</v>
      </c>
      <c r="B40" s="74">
        <f ca="1">IF(controls!$B$33=1,B39*(1+T40)+R40,B39*(1+T40))</f>
        <v>100</v>
      </c>
      <c r="C40" s="74">
        <f t="shared" ca="1" si="3"/>
        <v>100</v>
      </c>
      <c r="D40" s="93">
        <f t="shared" ca="1" si="2"/>
        <v>0</v>
      </c>
      <c r="E40" s="74">
        <f t="shared" ca="1" si="0"/>
        <v>100</v>
      </c>
      <c r="F40" s="74">
        <f ca="1">IF(controls!$B$33=1,'delay in perception'!H40,G40)</f>
        <v>100</v>
      </c>
      <c r="G40" s="74">
        <f ca="1">I40-'main page'!$K$27*L39</f>
        <v>100</v>
      </c>
      <c r="H40" s="74">
        <f ca="1">J40-'main page'!$K$27*L39</f>
        <v>100</v>
      </c>
      <c r="I40" s="74">
        <f t="shared" ca="1" si="5"/>
        <v>108</v>
      </c>
      <c r="J40" s="74">
        <f t="shared" ca="1" si="4"/>
        <v>108</v>
      </c>
      <c r="K40" s="74">
        <f ca="1">IF(ABS('main page'!$K$29*K39+(1-'main page'!$K$29)*(controls!$B$9/100)*100+'main page'!$K$25*(E40-B40)-K39)&lt;0.0000001,K39,'main page'!$K$29*K39+(1-'main page'!$K$29)*(controls!$B$9/100)*100+'main page'!$K$25*(E40-B40))</f>
        <v>2</v>
      </c>
      <c r="L40" s="74">
        <f ca="1">IF(controls!$B$10=1,L39,M40-'main page'!$K$29*K40-(1-'main page'!$K$29)*controls!$B$9)</f>
        <v>4</v>
      </c>
      <c r="M40" s="74">
        <f t="shared" ca="1" si="1"/>
        <v>6</v>
      </c>
      <c r="N40" s="74">
        <f ca="1">IF(controls!$B$10=1,'delay in perception'!L40+'delay in perception'!K40,'delay in perception'!O40)</f>
        <v>6</v>
      </c>
      <c r="O40" s="104">
        <f ca="1">'main page'!$K$29*K40+(1-'main page'!$K$29)*controls!$B$9+P40+(('main page'!$K$25*'main page'!$U$13*'main page'!$K$29)/('main page'!$K$27*(1+('main page'!$K$25^2)*'main page'!$U$13)))*(K40-(controls!$B$9/100)*100)</f>
        <v>6</v>
      </c>
      <c r="P40" s="98">
        <f ca="1">IF(controls!$B$33=1,(J41-E40*U41-C41+B40*T41)/'main page'!$K$27,(I41-E40*U41-C41+B40*T41)/'main page'!$K$27)</f>
        <v>4</v>
      </c>
      <c r="R40" s="71">
        <f>IF(controls!$B$6=1,'normal case'!$AL$3*(1+('main page'!$K$35/100))^S40-'normal case'!$AL$3*(1+('main page'!$K$35/100))^S39,'normal case'!$AL$3*(1+('main page'!$G$8/100))*(1+('main page'!$K$35/100))^S40-'normal case'!$AL$3*(1+('main page'!$G$8/100))*(1+('main page'!$K$35/100))^S39)</f>
        <v>0</v>
      </c>
      <c r="S40" s="73">
        <v>32</v>
      </c>
      <c r="T40" s="71">
        <f>'normal case'!V39</f>
        <v>0</v>
      </c>
      <c r="U40" s="71">
        <f>'normal case'!W39</f>
        <v>0</v>
      </c>
    </row>
    <row r="41" spans="1:21">
      <c r="A41" s="53">
        <v>38</v>
      </c>
      <c r="B41" s="74">
        <f ca="1">IF(controls!$B$33=1,B40*(1+T41)+R41,B40*(1+T41))</f>
        <v>100</v>
      </c>
      <c r="C41" s="74">
        <f t="shared" ca="1" si="3"/>
        <v>100</v>
      </c>
      <c r="D41" s="93">
        <f t="shared" ca="1" si="2"/>
        <v>0</v>
      </c>
      <c r="E41" s="74">
        <f t="shared" ca="1" si="0"/>
        <v>100</v>
      </c>
      <c r="F41" s="74">
        <f ca="1">IF(controls!$B$33=1,'delay in perception'!H41,G41)</f>
        <v>100</v>
      </c>
      <c r="G41" s="74">
        <f ca="1">I41-'main page'!$K$27*L40</f>
        <v>100</v>
      </c>
      <c r="H41" s="74">
        <f ca="1">J41-'main page'!$K$27*L40</f>
        <v>100</v>
      </c>
      <c r="I41" s="74">
        <f t="shared" ca="1" si="5"/>
        <v>108</v>
      </c>
      <c r="J41" s="74">
        <f t="shared" ca="1" si="4"/>
        <v>108</v>
      </c>
      <c r="K41" s="74">
        <f ca="1">IF(ABS('main page'!$K$29*K40+(1-'main page'!$K$29)*(controls!$B$9/100)*100+'main page'!$K$25*(E41-B41)-K40)&lt;0.0000001,K40,'main page'!$K$29*K40+(1-'main page'!$K$29)*(controls!$B$9/100)*100+'main page'!$K$25*(E41-B41))</f>
        <v>2</v>
      </c>
      <c r="L41" s="74">
        <f ca="1">IF(controls!$B$10=1,L40,M41-'main page'!$K$29*K41-(1-'main page'!$K$29)*controls!$B$9)</f>
        <v>4</v>
      </c>
      <c r="M41" s="74">
        <f t="shared" ca="1" si="1"/>
        <v>6</v>
      </c>
      <c r="N41" s="74">
        <f ca="1">IF(controls!$B$10=1,'delay in perception'!L41+'delay in perception'!K41,'delay in perception'!O41)</f>
        <v>6</v>
      </c>
      <c r="O41" s="104">
        <f ca="1">'main page'!$K$29*K41+(1-'main page'!$K$29)*controls!$B$9+P41+(('main page'!$K$25*'main page'!$U$13*'main page'!$K$29)/('main page'!$K$27*(1+('main page'!$K$25^2)*'main page'!$U$13)))*(K41-(controls!$B$9/100)*100)</f>
        <v>6</v>
      </c>
      <c r="P41" s="98">
        <f ca="1">IF(controls!$B$33=1,(J42-E41*U42-C42+B41*T42)/'main page'!$K$27,(I42-E41*U42-C42+B41*T42)/'main page'!$K$27)</f>
        <v>4</v>
      </c>
      <c r="R41" s="71">
        <f>IF(controls!$B$6=1,'normal case'!$AL$3*(1+('main page'!$K$35/100))^S41-'normal case'!$AL$3*(1+('main page'!$K$35/100))^S40,'normal case'!$AL$3*(1+('main page'!$G$8/100))*(1+('main page'!$K$35/100))^S41-'normal case'!$AL$3*(1+('main page'!$G$8/100))*(1+('main page'!$K$35/100))^S40)</f>
        <v>0</v>
      </c>
      <c r="S41" s="73">
        <v>33</v>
      </c>
      <c r="T41" s="71">
        <f>'normal case'!V40</f>
        <v>0</v>
      </c>
      <c r="U41" s="71">
        <f>'normal case'!W40</f>
        <v>0</v>
      </c>
    </row>
    <row r="42" spans="1:21">
      <c r="A42" s="53">
        <v>39</v>
      </c>
      <c r="B42" s="74">
        <f ca="1">IF(controls!$B$33=1,B41*(1+T42)+R42,B41*(1+T42))</f>
        <v>100</v>
      </c>
      <c r="C42" s="74">
        <f t="shared" ca="1" si="3"/>
        <v>100</v>
      </c>
      <c r="D42" s="93">
        <f t="shared" ca="1" si="2"/>
        <v>0</v>
      </c>
      <c r="E42" s="74">
        <f t="shared" ca="1" si="0"/>
        <v>100</v>
      </c>
      <c r="F42" s="74">
        <f ca="1">IF(controls!$B$33=1,'delay in perception'!H42,G42)</f>
        <v>100</v>
      </c>
      <c r="G42" s="74">
        <f ca="1">I42-'main page'!$K$27*L41</f>
        <v>100</v>
      </c>
      <c r="H42" s="74">
        <f ca="1">J42-'main page'!$K$27*L41</f>
        <v>100</v>
      </c>
      <c r="I42" s="74">
        <f t="shared" ca="1" si="5"/>
        <v>108</v>
      </c>
      <c r="J42" s="74">
        <f t="shared" ca="1" si="4"/>
        <v>108</v>
      </c>
      <c r="K42" s="74">
        <f ca="1">IF(ABS('main page'!$K$29*K41+(1-'main page'!$K$29)*(controls!$B$9/100)*100+'main page'!$K$25*(E42-B42)-K41)&lt;0.0000001,K41,'main page'!$K$29*K41+(1-'main page'!$K$29)*(controls!$B$9/100)*100+'main page'!$K$25*(E42-B42))</f>
        <v>2</v>
      </c>
      <c r="L42" s="74">
        <f ca="1">IF(controls!$B$10=1,L41,M42-'main page'!$K$29*K42-(1-'main page'!$K$29)*controls!$B$9)</f>
        <v>4</v>
      </c>
      <c r="M42" s="74">
        <f t="shared" ca="1" si="1"/>
        <v>6</v>
      </c>
      <c r="N42" s="74">
        <f ca="1">IF(controls!$B$10=1,'delay in perception'!L42+'delay in perception'!K42,'delay in perception'!O42)</f>
        <v>6</v>
      </c>
      <c r="O42" s="104">
        <f ca="1">'main page'!$K$29*K42+(1-'main page'!$K$29)*controls!$B$9+P42+(('main page'!$K$25*'main page'!$U$13*'main page'!$K$29)/('main page'!$K$27*(1+('main page'!$K$25^2)*'main page'!$U$13)))*(K42-(controls!$B$9/100)*100)</f>
        <v>6</v>
      </c>
      <c r="P42" s="98">
        <f ca="1">IF(controls!$B$33=1,(J43-E42*U43-C43+B42*T43)/'main page'!$K$27,(I43-E42*U43-C43+B42*T43)/'main page'!$K$27)</f>
        <v>4</v>
      </c>
      <c r="R42" s="71">
        <f>IF(controls!$B$6=1,'normal case'!$AL$3*(1+('main page'!$K$35/100))^S42-'normal case'!$AL$3*(1+('main page'!$K$35/100))^S41,'normal case'!$AL$3*(1+('main page'!$G$8/100))*(1+('main page'!$K$35/100))^S42-'normal case'!$AL$3*(1+('main page'!$G$8/100))*(1+('main page'!$K$35/100))^S41)</f>
        <v>0</v>
      </c>
      <c r="S42" s="73">
        <v>34</v>
      </c>
      <c r="T42" s="71">
        <f ca="1">'normal case'!V41</f>
        <v>0</v>
      </c>
      <c r="U42" s="71">
        <f ca="1">'normal case'!W41</f>
        <v>0</v>
      </c>
    </row>
    <row r="43" spans="1:21">
      <c r="A43" s="53">
        <v>40</v>
      </c>
      <c r="B43" s="74">
        <f ca="1">IF(controls!$B$33=1,B42*(1+T43)+R43,B42*(1+T43))</f>
        <v>100</v>
      </c>
      <c r="C43" s="74">
        <f t="shared" ca="1" si="3"/>
        <v>100</v>
      </c>
      <c r="D43" s="93">
        <f t="shared" ca="1" si="2"/>
        <v>0</v>
      </c>
      <c r="E43" s="74">
        <f t="shared" ca="1" si="0"/>
        <v>100</v>
      </c>
      <c r="F43" s="74">
        <f ca="1">IF(controls!$B$33=1,'delay in perception'!H43,G43)</f>
        <v>100</v>
      </c>
      <c r="G43" s="74">
        <f ca="1">I43-'main page'!$K$27*L42</f>
        <v>100</v>
      </c>
      <c r="H43" s="74">
        <f ca="1">J43-'main page'!$K$27*L42</f>
        <v>100</v>
      </c>
      <c r="I43" s="74">
        <f t="shared" ca="1" si="5"/>
        <v>108</v>
      </c>
      <c r="J43" s="74">
        <f t="shared" ca="1" si="4"/>
        <v>108</v>
      </c>
      <c r="K43" s="74">
        <f ca="1">IF(ABS('main page'!$K$29*K42+(1-'main page'!$K$29)*(controls!$B$9/100)*100+'main page'!$K$25*(E43-B43)-K42)&lt;0.0000001,K42,'main page'!$K$29*K42+(1-'main page'!$K$29)*(controls!$B$9/100)*100+'main page'!$K$25*(E43-B43))</f>
        <v>2</v>
      </c>
      <c r="L43" s="74">
        <f ca="1">IF(controls!$B$10=1,L42,M43-'main page'!$K$29*K43-(1-'main page'!$K$29)*controls!$B$9)</f>
        <v>4</v>
      </c>
      <c r="M43" s="74">
        <f t="shared" ca="1" si="1"/>
        <v>6</v>
      </c>
      <c r="N43" s="74">
        <f ca="1">IF(controls!$B$10=1,'delay in perception'!L43+'delay in perception'!K43,'delay in perception'!O43)</f>
        <v>6</v>
      </c>
      <c r="O43" s="104">
        <f ca="1">'main page'!$K$29*K43+(1-'main page'!$K$29)*controls!$B$9+P43+(('main page'!$K$25*'main page'!$U$13*'main page'!$K$29)/('main page'!$K$27*(1+('main page'!$K$25^2)*'main page'!$U$13)))*(K43-(controls!$B$9/100)*100)</f>
        <v>6</v>
      </c>
      <c r="P43" s="98">
        <f ca="1">IF(controls!$B$33=1,(J44-E43*U44-C44+B43*T44)/'main page'!$K$27,(I44-E43*U44-C44+B43*T44)/'main page'!$K$27)</f>
        <v>4</v>
      </c>
      <c r="R43" s="71">
        <f>IF(controls!$B$6=1,'normal case'!$AL$3*(1+('main page'!$K$35/100))^S43-'normal case'!$AL$3*(1+('main page'!$K$35/100))^S42,'normal case'!$AL$3*(1+('main page'!$G$8/100))*(1+('main page'!$K$35/100))^S43-'normal case'!$AL$3*(1+('main page'!$G$8/100))*(1+('main page'!$K$35/100))^S42)</f>
        <v>0</v>
      </c>
      <c r="S43" s="73">
        <v>35</v>
      </c>
      <c r="T43" s="71">
        <f>'normal case'!V42</f>
        <v>0</v>
      </c>
      <c r="U43" s="71">
        <f>'normal case'!W42</f>
        <v>0</v>
      </c>
    </row>
    <row r="44" spans="1:21">
      <c r="A44" s="53">
        <v>41</v>
      </c>
      <c r="B44" s="74">
        <f ca="1">IF(controls!$B$33=1,B43*(1+T44)+R44,B43*(1+T44))</f>
        <v>100</v>
      </c>
      <c r="C44" s="74">
        <f t="shared" ca="1" si="3"/>
        <v>100</v>
      </c>
      <c r="D44" s="93">
        <f t="shared" ca="1" si="2"/>
        <v>0</v>
      </c>
      <c r="E44" s="74">
        <f t="shared" ca="1" si="0"/>
        <v>100</v>
      </c>
      <c r="F44" s="74">
        <f ca="1">IF(controls!$B$33=1,'delay in perception'!H44,G44)</f>
        <v>100</v>
      </c>
      <c r="G44" s="74">
        <f ca="1">I44-'main page'!$K$27*L43</f>
        <v>100</v>
      </c>
      <c r="H44" s="74">
        <f ca="1">J44-'main page'!$K$27*L43</f>
        <v>100</v>
      </c>
      <c r="I44" s="74">
        <f t="shared" ca="1" si="5"/>
        <v>108</v>
      </c>
      <c r="J44" s="74">
        <f t="shared" ca="1" si="4"/>
        <v>108</v>
      </c>
      <c r="K44" s="74">
        <f ca="1">IF(ABS('main page'!$K$29*K43+(1-'main page'!$K$29)*(controls!$B$9/100)*100+'main page'!$K$25*(E44-B44)-K43)&lt;0.0000001,K43,'main page'!$K$29*K43+(1-'main page'!$K$29)*(controls!$B$9/100)*100+'main page'!$K$25*(E44-B44))</f>
        <v>2</v>
      </c>
      <c r="L44" s="74">
        <f ca="1">IF(controls!$B$10=1,L43,M44-'main page'!$K$29*K44-(1-'main page'!$K$29)*controls!$B$9)</f>
        <v>4</v>
      </c>
      <c r="M44" s="74">
        <f t="shared" ca="1" si="1"/>
        <v>6</v>
      </c>
      <c r="N44" s="74">
        <f ca="1">IF(controls!$B$10=1,'delay in perception'!L44+'delay in perception'!K44,'delay in perception'!O44)</f>
        <v>6</v>
      </c>
      <c r="O44" s="104">
        <f ca="1">'main page'!$K$29*K44+(1-'main page'!$K$29)*controls!$B$9+P44+(('main page'!$K$25*'main page'!$U$13*'main page'!$K$29)/('main page'!$K$27*(1+('main page'!$K$25^2)*'main page'!$U$13)))*(K44-(controls!$B$9/100)*100)</f>
        <v>6</v>
      </c>
      <c r="P44" s="98">
        <f ca="1">IF(controls!$B$33=1,(J45-E44*U45-C45+B44*T45)/'main page'!$K$27,(I45-E44*U45-C45+B44*T45)/'main page'!$K$27)</f>
        <v>4</v>
      </c>
      <c r="R44" s="71">
        <f>IF(controls!$B$6=1,'normal case'!$AL$3*(1+('main page'!$K$35/100))^S44-'normal case'!$AL$3*(1+('main page'!$K$35/100))^S43,'normal case'!$AL$3*(1+('main page'!$G$8/100))*(1+('main page'!$K$35/100))^S44-'normal case'!$AL$3*(1+('main page'!$G$8/100))*(1+('main page'!$K$35/100))^S43)</f>
        <v>0</v>
      </c>
      <c r="S44" s="73">
        <v>36</v>
      </c>
      <c r="T44" s="71">
        <f>'normal case'!V43</f>
        <v>0</v>
      </c>
      <c r="U44" s="71">
        <f>'normal case'!W43</f>
        <v>0</v>
      </c>
    </row>
    <row r="45" spans="1:21">
      <c r="A45" s="53">
        <v>42</v>
      </c>
      <c r="B45" s="74">
        <f ca="1">IF(controls!$B$33=1,B44*(1+T45)+R45,B44*(1+T45))</f>
        <v>100</v>
      </c>
      <c r="C45" s="74">
        <f t="shared" ca="1" si="3"/>
        <v>100</v>
      </c>
      <c r="D45" s="93">
        <f t="shared" ca="1" si="2"/>
        <v>0</v>
      </c>
      <c r="E45" s="74">
        <f t="shared" ca="1" si="0"/>
        <v>100</v>
      </c>
      <c r="F45" s="74">
        <f ca="1">IF(controls!$B$33=1,'delay in perception'!H45,G45)</f>
        <v>100</v>
      </c>
      <c r="G45" s="74">
        <f ca="1">I45-'main page'!$K$27*L44</f>
        <v>100</v>
      </c>
      <c r="H45" s="74">
        <f ca="1">J45-'main page'!$K$27*L44</f>
        <v>100</v>
      </c>
      <c r="I45" s="74">
        <f t="shared" ca="1" si="5"/>
        <v>108</v>
      </c>
      <c r="J45" s="74">
        <f t="shared" ca="1" si="4"/>
        <v>108</v>
      </c>
      <c r="K45" s="74">
        <f ca="1">IF(ABS('main page'!$K$29*K44+(1-'main page'!$K$29)*(controls!$B$9/100)*100+'main page'!$K$25*(E45-B45)-K44)&lt;0.0000001,K44,'main page'!$K$29*K44+(1-'main page'!$K$29)*(controls!$B$9/100)*100+'main page'!$K$25*(E45-B45))</f>
        <v>2</v>
      </c>
      <c r="L45" s="74">
        <f ca="1">IF(controls!$B$10=1,L44,M45-'main page'!$K$29*K45-(1-'main page'!$K$29)*controls!$B$9)</f>
        <v>4</v>
      </c>
      <c r="M45" s="74">
        <f t="shared" ca="1" si="1"/>
        <v>6</v>
      </c>
      <c r="N45" s="74">
        <f ca="1">IF(controls!$B$10=1,'delay in perception'!L45+'delay in perception'!K45,'delay in perception'!O45)</f>
        <v>6</v>
      </c>
      <c r="O45" s="104">
        <f ca="1">'main page'!$K$29*K45+(1-'main page'!$K$29)*controls!$B$9+P45+(('main page'!$K$25*'main page'!$U$13*'main page'!$K$29)/('main page'!$K$27*(1+('main page'!$K$25^2)*'main page'!$U$13)))*(K45-(controls!$B$9/100)*100)</f>
        <v>6</v>
      </c>
      <c r="P45" s="98">
        <f ca="1">IF(controls!$B$33=1,(J46-E45*U46-C46+B45*T46)/'main page'!$K$27,(I46-E45*U46-C46+B45*T46)/'main page'!$K$27)</f>
        <v>4</v>
      </c>
      <c r="R45" s="71">
        <f>IF(controls!$B$6=1,'normal case'!$AL$3*(1+('main page'!$K$35/100))^S45-'normal case'!$AL$3*(1+('main page'!$K$35/100))^S44,'normal case'!$AL$3*(1+('main page'!$G$8/100))*(1+('main page'!$K$35/100))^S45-'normal case'!$AL$3*(1+('main page'!$G$8/100))*(1+('main page'!$K$35/100))^S44)</f>
        <v>0</v>
      </c>
      <c r="S45" s="73">
        <v>37</v>
      </c>
      <c r="T45" s="71">
        <f ca="1">'normal case'!V44</f>
        <v>0</v>
      </c>
      <c r="U45" s="71">
        <f ca="1">'normal case'!W44</f>
        <v>0</v>
      </c>
    </row>
    <row r="46" spans="1:21">
      <c r="A46" s="53">
        <v>43</v>
      </c>
      <c r="B46" s="74">
        <f ca="1">IF(controls!$B$33=1,B45*(1+T46)+R46,B45*(1+T46))</f>
        <v>100</v>
      </c>
      <c r="C46" s="74">
        <f t="shared" ca="1" si="3"/>
        <v>100</v>
      </c>
      <c r="D46" s="93">
        <f t="shared" ca="1" si="2"/>
        <v>0</v>
      </c>
      <c r="E46" s="74">
        <f t="shared" ca="1" si="0"/>
        <v>100</v>
      </c>
      <c r="F46" s="74">
        <f ca="1">IF(controls!$B$33=1,'delay in perception'!H46,G46)</f>
        <v>100</v>
      </c>
      <c r="G46" s="74">
        <f ca="1">I46-'main page'!$K$27*L45</f>
        <v>100</v>
      </c>
      <c r="H46" s="74">
        <f ca="1">J46-'main page'!$K$27*L45</f>
        <v>100</v>
      </c>
      <c r="I46" s="74">
        <f t="shared" ca="1" si="5"/>
        <v>108</v>
      </c>
      <c r="J46" s="74">
        <f t="shared" ref="J46:J77" ca="1" si="6">J45+H45*U46+R46</f>
        <v>108</v>
      </c>
      <c r="K46" s="74">
        <f ca="1">IF(ABS('main page'!$K$29*K45+(1-'main page'!$K$29)*(controls!$B$9/100)*100+'main page'!$K$25*(E46-B46)-K45)&lt;0.0000001,K45,'main page'!$K$29*K45+(1-'main page'!$K$29)*(controls!$B$9/100)*100+'main page'!$K$25*(E46-B46))</f>
        <v>2</v>
      </c>
      <c r="L46" s="74">
        <f ca="1">IF(controls!$B$10=1,L45,M46-'main page'!$K$29*K46-(1-'main page'!$K$29)*controls!$B$9)</f>
        <v>4</v>
      </c>
      <c r="M46" s="74">
        <f t="shared" ca="1" si="1"/>
        <v>6</v>
      </c>
      <c r="N46" s="74">
        <f ca="1">IF(controls!$B$10=1,'delay in perception'!L46+'delay in perception'!K46,'delay in perception'!O46)</f>
        <v>6</v>
      </c>
      <c r="O46" s="104">
        <f ca="1">'main page'!$K$29*K46+(1-'main page'!$K$29)*controls!$B$9+P46+(('main page'!$K$25*'main page'!$U$13*'main page'!$K$29)/('main page'!$K$27*(1+('main page'!$K$25^2)*'main page'!$U$13)))*(K46-(controls!$B$9/100)*100)</f>
        <v>6</v>
      </c>
      <c r="P46" s="98">
        <f ca="1">IF(controls!$B$33=1,(J47-E46*U47-C47+B46*T47)/'main page'!$K$27,(I47-E46*U47-C47+B46*T47)/'main page'!$K$27)</f>
        <v>4</v>
      </c>
      <c r="R46" s="71">
        <f>IF(controls!$B$6=1,'normal case'!$AL$3*(1+('main page'!$K$35/100))^S46-'normal case'!$AL$3*(1+('main page'!$K$35/100))^S45,'normal case'!$AL$3*(1+('main page'!$G$8/100))*(1+('main page'!$K$35/100))^S46-'normal case'!$AL$3*(1+('main page'!$G$8/100))*(1+('main page'!$K$35/100))^S45)</f>
        <v>0</v>
      </c>
      <c r="S46" s="73">
        <v>38</v>
      </c>
      <c r="T46" s="71">
        <f>'normal case'!V45</f>
        <v>0</v>
      </c>
      <c r="U46" s="71">
        <f>'normal case'!W45</f>
        <v>0</v>
      </c>
    </row>
    <row r="47" spans="1:21">
      <c r="A47" s="53">
        <v>44</v>
      </c>
      <c r="B47" s="74">
        <f ca="1">IF(controls!$B$33=1,B46*(1+T47)+R47,B46*(1+T47))</f>
        <v>100</v>
      </c>
      <c r="C47" s="74">
        <f t="shared" ca="1" si="3"/>
        <v>100</v>
      </c>
      <c r="D47" s="93">
        <f t="shared" ca="1" si="2"/>
        <v>0</v>
      </c>
      <c r="E47" s="74">
        <f t="shared" ca="1" si="0"/>
        <v>100</v>
      </c>
      <c r="F47" s="74">
        <f ca="1">IF(controls!$B$33=1,'delay in perception'!H47,G47)</f>
        <v>100</v>
      </c>
      <c r="G47" s="74">
        <f ca="1">I47-'main page'!$K$27*L46</f>
        <v>100</v>
      </c>
      <c r="H47" s="74">
        <f ca="1">J47-'main page'!$K$27*L46</f>
        <v>100</v>
      </c>
      <c r="I47" s="74">
        <f t="shared" ca="1" si="5"/>
        <v>108</v>
      </c>
      <c r="J47" s="74">
        <f t="shared" ca="1" si="6"/>
        <v>108</v>
      </c>
      <c r="K47" s="74">
        <f ca="1">IF(ABS('main page'!$K$29*K46+(1-'main page'!$K$29)*(controls!$B$9/100)*100+'main page'!$K$25*(E47-B47)-K46)&lt;0.0000001,K46,'main page'!$K$29*K46+(1-'main page'!$K$29)*(controls!$B$9/100)*100+'main page'!$K$25*(E47-B47))</f>
        <v>2</v>
      </c>
      <c r="L47" s="74">
        <f ca="1">IF(controls!$B$10=1,L46,M47-'main page'!$K$29*K47-(1-'main page'!$K$29)*controls!$B$9)</f>
        <v>4</v>
      </c>
      <c r="M47" s="74">
        <f t="shared" ca="1" si="1"/>
        <v>6</v>
      </c>
      <c r="N47" s="74">
        <f ca="1">IF(controls!$B$10=1,'delay in perception'!L47+'delay in perception'!K47,'delay in perception'!O47)</f>
        <v>6</v>
      </c>
      <c r="O47" s="104">
        <f ca="1">'main page'!$K$29*K47+(1-'main page'!$K$29)*controls!$B$9+P47+(('main page'!$K$25*'main page'!$U$13*'main page'!$K$29)/('main page'!$K$27*(1+('main page'!$K$25^2)*'main page'!$U$13)))*(K47-(controls!$B$9/100)*100)</f>
        <v>6</v>
      </c>
      <c r="P47" s="98">
        <f ca="1">IF(controls!$B$33=1,(J48-E47*U48-C48+B47*T48)/'main page'!$K$27,(I48-E47*U48-C48+B47*T48)/'main page'!$K$27)</f>
        <v>4</v>
      </c>
      <c r="R47" s="71">
        <f>IF(controls!$B$6=1,'normal case'!$AL$3*(1+('main page'!$K$35/100))^S47-'normal case'!$AL$3*(1+('main page'!$K$35/100))^S46,'normal case'!$AL$3*(1+('main page'!$G$8/100))*(1+('main page'!$K$35/100))^S47-'normal case'!$AL$3*(1+('main page'!$G$8/100))*(1+('main page'!$K$35/100))^S46)</f>
        <v>0</v>
      </c>
      <c r="S47" s="73">
        <v>39</v>
      </c>
      <c r="T47" s="71">
        <f>'normal case'!V46</f>
        <v>0</v>
      </c>
      <c r="U47" s="71">
        <f>'normal case'!W46</f>
        <v>0</v>
      </c>
    </row>
    <row r="48" spans="1:21">
      <c r="A48" s="53">
        <v>45</v>
      </c>
      <c r="B48" s="74">
        <f ca="1">IF(controls!$B$33=1,B47*(1+T48)+R48,B47*(1+T48))</f>
        <v>100</v>
      </c>
      <c r="C48" s="74">
        <f t="shared" ca="1" si="3"/>
        <v>100</v>
      </c>
      <c r="D48" s="93">
        <f t="shared" ca="1" si="2"/>
        <v>0</v>
      </c>
      <c r="E48" s="74">
        <f t="shared" ca="1" si="0"/>
        <v>100</v>
      </c>
      <c r="F48" s="74">
        <f ca="1">IF(controls!$B$33=1,'delay in perception'!H48,G48)</f>
        <v>100</v>
      </c>
      <c r="G48" s="74">
        <f ca="1">I48-'main page'!$K$27*L47</f>
        <v>100</v>
      </c>
      <c r="H48" s="74">
        <f ca="1">J48-'main page'!$K$27*L47</f>
        <v>100</v>
      </c>
      <c r="I48" s="74">
        <f t="shared" ca="1" si="5"/>
        <v>108</v>
      </c>
      <c r="J48" s="74">
        <f t="shared" ca="1" si="6"/>
        <v>108</v>
      </c>
      <c r="K48" s="74">
        <f ca="1">IF(ABS('main page'!$K$29*K47+(1-'main page'!$K$29)*(controls!$B$9/100)*100+'main page'!$K$25*(E48-B48)-K47)&lt;0.0000001,K47,'main page'!$K$29*K47+(1-'main page'!$K$29)*(controls!$B$9/100)*100+'main page'!$K$25*(E48-B48))</f>
        <v>2</v>
      </c>
      <c r="L48" s="74">
        <f ca="1">IF(controls!$B$10=1,L47,M48-'main page'!$K$29*K48-(1-'main page'!$K$29)*controls!$B$9)</f>
        <v>4</v>
      </c>
      <c r="M48" s="74">
        <f t="shared" ca="1" si="1"/>
        <v>6</v>
      </c>
      <c r="N48" s="74">
        <f ca="1">IF(controls!$B$10=1,'delay in perception'!L48+'delay in perception'!K48,'delay in perception'!O48)</f>
        <v>6</v>
      </c>
      <c r="O48" s="104">
        <f ca="1">'main page'!$K$29*K48+(1-'main page'!$K$29)*controls!$B$9+P48+(('main page'!$K$25*'main page'!$U$13*'main page'!$K$29)/('main page'!$K$27*(1+('main page'!$K$25^2)*'main page'!$U$13)))*(K48-(controls!$B$9/100)*100)</f>
        <v>6</v>
      </c>
      <c r="P48" s="98">
        <f ca="1">IF(controls!$B$33=1,(J49-E48*U49-C49+B48*T49)/'main page'!$K$27,(I49-E48*U49-C49+B48*T49)/'main page'!$K$27)</f>
        <v>4</v>
      </c>
      <c r="R48" s="71">
        <f>IF(controls!$B$6=1,'normal case'!$AL$3*(1+('main page'!$K$35/100))^S48-'normal case'!$AL$3*(1+('main page'!$K$35/100))^S47,'normal case'!$AL$3*(1+('main page'!$G$8/100))*(1+('main page'!$K$35/100))^S48-'normal case'!$AL$3*(1+('main page'!$G$8/100))*(1+('main page'!$K$35/100))^S47)</f>
        <v>0</v>
      </c>
      <c r="S48" s="73">
        <v>40</v>
      </c>
      <c r="T48" s="71">
        <f ca="1">'normal case'!V47</f>
        <v>0</v>
      </c>
      <c r="U48" s="71">
        <f ca="1">'normal case'!W47</f>
        <v>0</v>
      </c>
    </row>
    <row r="49" spans="1:21">
      <c r="A49" s="53">
        <v>46</v>
      </c>
      <c r="B49" s="74">
        <f ca="1">IF(controls!$B$33=1,B48*(1+T49)+R49,B48*(1+T49))</f>
        <v>100</v>
      </c>
      <c r="C49" s="74">
        <f t="shared" ca="1" si="3"/>
        <v>100</v>
      </c>
      <c r="D49" s="93">
        <f t="shared" ca="1" si="2"/>
        <v>0</v>
      </c>
      <c r="E49" s="74">
        <f t="shared" ca="1" si="0"/>
        <v>100</v>
      </c>
      <c r="F49" s="74">
        <f ca="1">IF(controls!$B$33=1,'delay in perception'!H49,G49)</f>
        <v>100</v>
      </c>
      <c r="G49" s="74">
        <f ca="1">I49-'main page'!$K$27*L48</f>
        <v>100</v>
      </c>
      <c r="H49" s="74">
        <f ca="1">J49-'main page'!$K$27*L48</f>
        <v>100</v>
      </c>
      <c r="I49" s="74">
        <f t="shared" ca="1" si="5"/>
        <v>108</v>
      </c>
      <c r="J49" s="74">
        <f t="shared" ca="1" si="6"/>
        <v>108</v>
      </c>
      <c r="K49" s="74">
        <f ca="1">IF(ABS('main page'!$K$29*K48+(1-'main page'!$K$29)*(controls!$B$9/100)*100+'main page'!$K$25*(E49-B49)-K48)&lt;0.0000001,K48,'main page'!$K$29*K48+(1-'main page'!$K$29)*(controls!$B$9/100)*100+'main page'!$K$25*(E49-B49))</f>
        <v>2</v>
      </c>
      <c r="L49" s="74">
        <f ca="1">IF(controls!$B$10=1,L48,M49-'main page'!$K$29*K49-(1-'main page'!$K$29)*controls!$B$9)</f>
        <v>4</v>
      </c>
      <c r="M49" s="74">
        <f t="shared" ca="1" si="1"/>
        <v>6</v>
      </c>
      <c r="N49" s="74">
        <f ca="1">IF(controls!$B$10=1,'delay in perception'!L49+'delay in perception'!K49,'delay in perception'!O49)</f>
        <v>6</v>
      </c>
      <c r="O49" s="104">
        <f ca="1">'main page'!$K$29*K49+(1-'main page'!$K$29)*controls!$B$9+P49+(('main page'!$K$25*'main page'!$U$13*'main page'!$K$29)/('main page'!$K$27*(1+('main page'!$K$25^2)*'main page'!$U$13)))*(K49-(controls!$B$9/100)*100)</f>
        <v>6</v>
      </c>
      <c r="P49" s="98">
        <f ca="1">IF(controls!$B$33=1,(J50-E49*U50-C50+B49*T50)/'main page'!$K$27,(I50-E49*U50-C50+B49*T50)/'main page'!$K$27)</f>
        <v>4</v>
      </c>
      <c r="R49" s="71">
        <f>IF(controls!$B$6=1,'normal case'!$AL$3*(1+('main page'!$K$35/100))^S49-'normal case'!$AL$3*(1+('main page'!$K$35/100))^S48,'normal case'!$AL$3*(1+('main page'!$G$8/100))*(1+('main page'!$K$35/100))^S49-'normal case'!$AL$3*(1+('main page'!$G$8/100))*(1+('main page'!$K$35/100))^S48)</f>
        <v>0</v>
      </c>
      <c r="S49" s="73">
        <v>41</v>
      </c>
      <c r="T49" s="71">
        <f>'normal case'!V48</f>
        <v>0</v>
      </c>
      <c r="U49" s="71">
        <f>'normal case'!W48</f>
        <v>0</v>
      </c>
    </row>
    <row r="50" spans="1:21">
      <c r="A50" s="53">
        <v>47</v>
      </c>
      <c r="B50" s="74">
        <f ca="1">IF(controls!$B$33=1,B49*(1+T50)+R50,B49*(1+T50))</f>
        <v>100</v>
      </c>
      <c r="C50" s="74">
        <f t="shared" ca="1" si="3"/>
        <v>100</v>
      </c>
      <c r="D50" s="93">
        <f t="shared" ca="1" si="2"/>
        <v>0</v>
      </c>
      <c r="E50" s="74">
        <f t="shared" ca="1" si="0"/>
        <v>100</v>
      </c>
      <c r="F50" s="74">
        <f ca="1">IF(controls!$B$33=1,'delay in perception'!H50,G50)</f>
        <v>100</v>
      </c>
      <c r="G50" s="74">
        <f ca="1">I50-'main page'!$K$27*L49</f>
        <v>100</v>
      </c>
      <c r="H50" s="74">
        <f ca="1">J50-'main page'!$K$27*L49</f>
        <v>100</v>
      </c>
      <c r="I50" s="74">
        <f t="shared" ca="1" si="5"/>
        <v>108</v>
      </c>
      <c r="J50" s="74">
        <f t="shared" ca="1" si="6"/>
        <v>108</v>
      </c>
      <c r="K50" s="74">
        <f ca="1">IF(ABS('main page'!$K$29*K49+(1-'main page'!$K$29)*(controls!$B$9/100)*100+'main page'!$K$25*(E50-B50)-K49)&lt;0.0000001,K49,'main page'!$K$29*K49+(1-'main page'!$K$29)*(controls!$B$9/100)*100+'main page'!$K$25*(E50-B50))</f>
        <v>2</v>
      </c>
      <c r="L50" s="74">
        <f ca="1">IF(controls!$B$10=1,L49,M50-'main page'!$K$29*K50-(1-'main page'!$K$29)*controls!$B$9)</f>
        <v>4</v>
      </c>
      <c r="M50" s="74">
        <f t="shared" ca="1" si="1"/>
        <v>6</v>
      </c>
      <c r="N50" s="74">
        <f ca="1">IF(controls!$B$10=1,'delay in perception'!L50+'delay in perception'!K50,'delay in perception'!O50)</f>
        <v>6</v>
      </c>
      <c r="O50" s="104">
        <f ca="1">'main page'!$K$29*K50+(1-'main page'!$K$29)*controls!$B$9+P50+(('main page'!$K$25*'main page'!$U$13*'main page'!$K$29)/('main page'!$K$27*(1+('main page'!$K$25^2)*'main page'!$U$13)))*(K50-(controls!$B$9/100)*100)</f>
        <v>6</v>
      </c>
      <c r="P50" s="98">
        <f ca="1">IF(controls!$B$33=1,(J51-E50*U51-C51+B50*T51)/'main page'!$K$27,(I51-E50*U51-C51+B50*T51)/'main page'!$K$27)</f>
        <v>4</v>
      </c>
      <c r="R50" s="71">
        <f>IF(controls!$B$6=1,'normal case'!$AL$3*(1+('main page'!$K$35/100))^S50-'normal case'!$AL$3*(1+('main page'!$K$35/100))^S49,'normal case'!$AL$3*(1+('main page'!$G$8/100))*(1+('main page'!$K$35/100))^S50-'normal case'!$AL$3*(1+('main page'!$G$8/100))*(1+('main page'!$K$35/100))^S49)</f>
        <v>0</v>
      </c>
      <c r="S50" s="73">
        <v>42</v>
      </c>
      <c r="T50" s="71">
        <f>'normal case'!V49</f>
        <v>0</v>
      </c>
      <c r="U50" s="71">
        <f>'normal case'!W49</f>
        <v>0</v>
      </c>
    </row>
    <row r="51" spans="1:21">
      <c r="A51" s="53">
        <v>48</v>
      </c>
      <c r="B51" s="74">
        <f ca="1">IF(controls!$B$33=1,B50*(1+T51)+R51,B50*(1+T51))</f>
        <v>100</v>
      </c>
      <c r="C51" s="74">
        <f t="shared" ca="1" si="3"/>
        <v>100</v>
      </c>
      <c r="D51" s="93">
        <f t="shared" ca="1" si="2"/>
        <v>0</v>
      </c>
      <c r="E51" s="74">
        <f t="shared" ca="1" si="0"/>
        <v>100</v>
      </c>
      <c r="F51" s="74">
        <f ca="1">IF(controls!$B$33=1,'delay in perception'!H51,G51)</f>
        <v>100</v>
      </c>
      <c r="G51" s="74">
        <f ca="1">I51-'main page'!$K$27*L50</f>
        <v>100</v>
      </c>
      <c r="H51" s="74">
        <f ca="1">J51-'main page'!$K$27*L50</f>
        <v>100</v>
      </c>
      <c r="I51" s="74">
        <f t="shared" ca="1" si="5"/>
        <v>108</v>
      </c>
      <c r="J51" s="74">
        <f t="shared" ca="1" si="6"/>
        <v>108</v>
      </c>
      <c r="K51" s="74">
        <f ca="1">IF(ABS('main page'!$K$29*K50+(1-'main page'!$K$29)*(controls!$B$9/100)*100+'main page'!$K$25*(E51-B51)-K50)&lt;0.0000001,K50,'main page'!$K$29*K50+(1-'main page'!$K$29)*(controls!$B$9/100)*100+'main page'!$K$25*(E51-B51))</f>
        <v>2</v>
      </c>
      <c r="L51" s="74">
        <f ca="1">IF(controls!$B$10=1,L50,M51-'main page'!$K$29*K51-(1-'main page'!$K$29)*controls!$B$9)</f>
        <v>4</v>
      </c>
      <c r="M51" s="74">
        <f t="shared" ca="1" si="1"/>
        <v>6</v>
      </c>
      <c r="N51" s="74">
        <f ca="1">IF(controls!$B$10=1,'delay in perception'!L51+'delay in perception'!K51,'delay in perception'!O51)</f>
        <v>6</v>
      </c>
      <c r="O51" s="104">
        <f ca="1">'main page'!$K$29*K51+(1-'main page'!$K$29)*controls!$B$9+P51+(('main page'!$K$25*'main page'!$U$13*'main page'!$K$29)/('main page'!$K$27*(1+('main page'!$K$25^2)*'main page'!$U$13)))*(K51-(controls!$B$9/100)*100)</f>
        <v>6</v>
      </c>
      <c r="P51" s="98">
        <f ca="1">IF(controls!$B$33=1,(J52-E51*U52-C52+B51*T52)/'main page'!$K$27,(I52-E51*U52-C52+B51*T52)/'main page'!$K$27)</f>
        <v>4</v>
      </c>
      <c r="R51" s="71">
        <f>IF(controls!$B$6=1,'normal case'!$AL$3*(1+('main page'!$K$35/100))^S51-'normal case'!$AL$3*(1+('main page'!$K$35/100))^S50,'normal case'!$AL$3*(1+('main page'!$G$8/100))*(1+('main page'!$K$35/100))^S51-'normal case'!$AL$3*(1+('main page'!$G$8/100))*(1+('main page'!$K$35/100))^S50)</f>
        <v>0</v>
      </c>
      <c r="S51" s="73">
        <v>43</v>
      </c>
      <c r="T51" s="71">
        <f ca="1">'normal case'!V50</f>
        <v>0</v>
      </c>
      <c r="U51" s="71">
        <f ca="1">'normal case'!W50</f>
        <v>0</v>
      </c>
    </row>
    <row r="52" spans="1:21">
      <c r="A52" s="53">
        <v>49</v>
      </c>
      <c r="B52" s="74">
        <f ca="1">IF(controls!$B$33=1,B51*(1+T52)+R52,B51*(1+T52))</f>
        <v>100</v>
      </c>
      <c r="C52" s="74">
        <f t="shared" ca="1" si="3"/>
        <v>100</v>
      </c>
      <c r="D52" s="93">
        <f t="shared" ca="1" si="2"/>
        <v>0</v>
      </c>
      <c r="E52" s="74">
        <f t="shared" ca="1" si="0"/>
        <v>100</v>
      </c>
      <c r="F52" s="74">
        <f ca="1">IF(controls!$B$33=1,'delay in perception'!H52,G52)</f>
        <v>100</v>
      </c>
      <c r="G52" s="74">
        <f ca="1">I52-'main page'!$K$27*L51</f>
        <v>100</v>
      </c>
      <c r="H52" s="74">
        <f ca="1">J52-'main page'!$K$27*L51</f>
        <v>100</v>
      </c>
      <c r="I52" s="74">
        <f t="shared" ca="1" si="5"/>
        <v>108</v>
      </c>
      <c r="J52" s="74">
        <f t="shared" ca="1" si="6"/>
        <v>108</v>
      </c>
      <c r="K52" s="74">
        <f ca="1">IF(ABS('main page'!$K$29*K51+(1-'main page'!$K$29)*(controls!$B$9/100)*100+'main page'!$K$25*(E52-B52)-K51)&lt;0.0000001,K51,'main page'!$K$29*K51+(1-'main page'!$K$29)*(controls!$B$9/100)*100+'main page'!$K$25*(E52-B52))</f>
        <v>2</v>
      </c>
      <c r="L52" s="74">
        <f ca="1">IF(controls!$B$10=1,L51,M52-'main page'!$K$29*K52-(1-'main page'!$K$29)*controls!$B$9)</f>
        <v>4</v>
      </c>
      <c r="M52" s="74">
        <f t="shared" ca="1" si="1"/>
        <v>6</v>
      </c>
      <c r="N52" s="74">
        <f ca="1">IF(controls!$B$10=1,'delay in perception'!L52+'delay in perception'!K52,'delay in perception'!O52)</f>
        <v>6</v>
      </c>
      <c r="O52" s="104">
        <f ca="1">'main page'!$K$29*K52+(1-'main page'!$K$29)*controls!$B$9+P52+(('main page'!$K$25*'main page'!$U$13*'main page'!$K$29)/('main page'!$K$27*(1+('main page'!$K$25^2)*'main page'!$U$13)))*(K52-(controls!$B$9/100)*100)</f>
        <v>6</v>
      </c>
      <c r="P52" s="98">
        <f ca="1">IF(controls!$B$33=1,(J53-E52*U53-C53+B52*T53)/'main page'!$K$27,(I53-E52*U53-C53+B52*T53)/'main page'!$K$27)</f>
        <v>4</v>
      </c>
      <c r="R52" s="71">
        <f>IF(controls!$B$6=1,'normal case'!$AL$3*(1+('main page'!$K$35/100))^S52-'normal case'!$AL$3*(1+('main page'!$K$35/100))^S51,'normal case'!$AL$3*(1+('main page'!$G$8/100))*(1+('main page'!$K$35/100))^S52-'normal case'!$AL$3*(1+('main page'!$G$8/100))*(1+('main page'!$K$35/100))^S51)</f>
        <v>0</v>
      </c>
      <c r="S52" s="73">
        <v>44</v>
      </c>
      <c r="T52" s="71">
        <f>'normal case'!V51</f>
        <v>0</v>
      </c>
      <c r="U52" s="71">
        <f>'normal case'!W51</f>
        <v>0</v>
      </c>
    </row>
    <row r="53" spans="1:21">
      <c r="A53" s="53">
        <v>50</v>
      </c>
      <c r="B53" s="74">
        <f ca="1">IF(controls!$B$33=1,B52*(1+T53)+R53,B52*(1+T53))</f>
        <v>100</v>
      </c>
      <c r="C53" s="74">
        <f t="shared" ca="1" si="3"/>
        <v>100</v>
      </c>
      <c r="D53" s="93">
        <f t="shared" ca="1" si="2"/>
        <v>0</v>
      </c>
      <c r="E53" s="74">
        <f t="shared" ca="1" si="0"/>
        <v>100</v>
      </c>
      <c r="F53" s="74">
        <f ca="1">IF(controls!$B$33=1,'delay in perception'!H53,G53)</f>
        <v>100</v>
      </c>
      <c r="G53" s="74">
        <f ca="1">I53-'main page'!$K$27*L52</f>
        <v>100</v>
      </c>
      <c r="H53" s="74">
        <f ca="1">J53-'main page'!$K$27*L52</f>
        <v>100</v>
      </c>
      <c r="I53" s="74">
        <f t="shared" ca="1" si="5"/>
        <v>108</v>
      </c>
      <c r="J53" s="74">
        <f t="shared" ca="1" si="6"/>
        <v>108</v>
      </c>
      <c r="K53" s="74">
        <f ca="1">IF(ABS('main page'!$K$29*K52+(1-'main page'!$K$29)*(controls!$B$9/100)*100+'main page'!$K$25*(E53-B53)-K52)&lt;0.0000001,K52,'main page'!$K$29*K52+(1-'main page'!$K$29)*(controls!$B$9/100)*100+'main page'!$K$25*(E53-B53))</f>
        <v>2</v>
      </c>
      <c r="L53" s="74">
        <f ca="1">IF(controls!$B$10=1,L52,M53-'main page'!$K$29*K53-(1-'main page'!$K$29)*controls!$B$9)</f>
        <v>4</v>
      </c>
      <c r="M53" s="74">
        <f t="shared" ca="1" si="1"/>
        <v>6</v>
      </c>
      <c r="N53" s="74">
        <f ca="1">IF(controls!$B$10=1,'delay in perception'!L53+'delay in perception'!K53,'delay in perception'!O53)</f>
        <v>6</v>
      </c>
      <c r="O53" s="104">
        <f ca="1">'main page'!$K$29*K53+(1-'main page'!$K$29)*controls!$B$9+P53+(('main page'!$K$25*'main page'!$U$13*'main page'!$K$29)/('main page'!$K$27*(1+('main page'!$K$25^2)*'main page'!$U$13)))*(K53-(controls!$B$9/100)*100)</f>
        <v>6</v>
      </c>
      <c r="P53" s="98">
        <f ca="1">IF(controls!$B$33=1,(J54-E53*U54-C54+B53*T54)/'main page'!$K$27,(I54-E53*U54-C54+B53*T54)/'main page'!$K$27)</f>
        <v>4</v>
      </c>
      <c r="R53" s="71">
        <f>IF(controls!$B$6=1,'normal case'!$AL$3*(1+('main page'!$K$35/100))^S53-'normal case'!$AL$3*(1+('main page'!$K$35/100))^S52,'normal case'!$AL$3*(1+('main page'!$G$8/100))*(1+('main page'!$K$35/100))^S53-'normal case'!$AL$3*(1+('main page'!$G$8/100))*(1+('main page'!$K$35/100))^S52)</f>
        <v>0</v>
      </c>
      <c r="S53" s="73">
        <v>45</v>
      </c>
      <c r="T53" s="71">
        <f>'normal case'!V52</f>
        <v>0</v>
      </c>
      <c r="U53" s="71">
        <f>'normal case'!W52</f>
        <v>0</v>
      </c>
    </row>
    <row r="54" spans="1:21">
      <c r="A54" s="53">
        <v>51</v>
      </c>
      <c r="B54" s="74">
        <f ca="1">IF(controls!$B$33=1,B53*(1+T54)+R54,B53*(1+T54))</f>
        <v>100</v>
      </c>
      <c r="C54" s="74">
        <f t="shared" ca="1" si="3"/>
        <v>100</v>
      </c>
      <c r="D54" s="93">
        <f t="shared" ca="1" si="2"/>
        <v>0</v>
      </c>
      <c r="E54" s="74">
        <f t="shared" ca="1" si="0"/>
        <v>100</v>
      </c>
      <c r="F54" s="74">
        <f ca="1">IF(controls!$B$33=1,'delay in perception'!H54,G54)</f>
        <v>100</v>
      </c>
      <c r="G54" s="74">
        <f ca="1">I54-'main page'!$K$27*L53</f>
        <v>100</v>
      </c>
      <c r="H54" s="74">
        <f ca="1">J54-'main page'!$K$27*L53</f>
        <v>100</v>
      </c>
      <c r="I54" s="74">
        <f t="shared" ca="1" si="5"/>
        <v>108</v>
      </c>
      <c r="J54" s="74">
        <f t="shared" ca="1" si="6"/>
        <v>108</v>
      </c>
      <c r="K54" s="74">
        <f ca="1">IF(ABS('main page'!$K$29*K53+(1-'main page'!$K$29)*(controls!$B$9/100)*100+'main page'!$K$25*(E54-B54)-K53)&lt;0.0000001,K53,'main page'!$K$29*K53+(1-'main page'!$K$29)*(controls!$B$9/100)*100+'main page'!$K$25*(E54-B54))</f>
        <v>2</v>
      </c>
      <c r="L54" s="74">
        <f ca="1">IF(controls!$B$10=1,L53,M54-'main page'!$K$29*K54-(1-'main page'!$K$29)*controls!$B$9)</f>
        <v>4</v>
      </c>
      <c r="M54" s="74">
        <f t="shared" ca="1" si="1"/>
        <v>6</v>
      </c>
      <c r="N54" s="74">
        <f ca="1">IF(controls!$B$10=1,'delay in perception'!L54+'delay in perception'!K54,'delay in perception'!O54)</f>
        <v>6</v>
      </c>
      <c r="O54" s="104">
        <f ca="1">'main page'!$K$29*K54+(1-'main page'!$K$29)*controls!$B$9+P54+(('main page'!$K$25*'main page'!$U$13*'main page'!$K$29)/('main page'!$K$27*(1+('main page'!$K$25^2)*'main page'!$U$13)))*(K54-(controls!$B$9/100)*100)</f>
        <v>6</v>
      </c>
      <c r="P54" s="98">
        <f ca="1">IF(controls!$B$33=1,(J55-E54*U55-C55+B54*T55)/'main page'!$K$27,(I55-E54*U55-C55+B54*T55)/'main page'!$K$27)</f>
        <v>4</v>
      </c>
      <c r="R54" s="71">
        <f>IF(controls!$B$6=1,'normal case'!$AL$3*(1+('main page'!$K$35/100))^S54-'normal case'!$AL$3*(1+('main page'!$K$35/100))^S53,'normal case'!$AL$3*(1+('main page'!$G$8/100))*(1+('main page'!$K$35/100))^S54-'normal case'!$AL$3*(1+('main page'!$G$8/100))*(1+('main page'!$K$35/100))^S53)</f>
        <v>0</v>
      </c>
      <c r="S54" s="73">
        <v>46</v>
      </c>
      <c r="T54" s="71">
        <f ca="1">'normal case'!V53</f>
        <v>0</v>
      </c>
      <c r="U54" s="71">
        <f ca="1">'normal case'!W53</f>
        <v>0</v>
      </c>
    </row>
    <row r="55" spans="1:21">
      <c r="A55" s="53">
        <v>52</v>
      </c>
      <c r="B55" s="74">
        <f ca="1">IF(controls!$B$33=1,B54*(1+T55)+R55,B54*(1+T55))</f>
        <v>100</v>
      </c>
      <c r="C55" s="74">
        <f t="shared" ca="1" si="3"/>
        <v>100</v>
      </c>
      <c r="D55" s="93">
        <f t="shared" ca="1" si="2"/>
        <v>0</v>
      </c>
      <c r="E55" s="74">
        <f t="shared" ca="1" si="0"/>
        <v>100</v>
      </c>
      <c r="F55" s="74">
        <f ca="1">IF(controls!$B$33=1,'delay in perception'!H55,G55)</f>
        <v>100</v>
      </c>
      <c r="G55" s="74">
        <f ca="1">I55-'main page'!$K$27*L54</f>
        <v>100</v>
      </c>
      <c r="H55" s="74">
        <f ca="1">J55-'main page'!$K$27*L54</f>
        <v>100</v>
      </c>
      <c r="I55" s="74">
        <f t="shared" ca="1" si="5"/>
        <v>108</v>
      </c>
      <c r="J55" s="74">
        <f t="shared" ca="1" si="6"/>
        <v>108</v>
      </c>
      <c r="K55" s="74">
        <f ca="1">IF(ABS('main page'!$K$29*K54+(1-'main page'!$K$29)*(controls!$B$9/100)*100+'main page'!$K$25*(E55-B55)-K54)&lt;0.0000001,K54,'main page'!$K$29*K54+(1-'main page'!$K$29)*(controls!$B$9/100)*100+'main page'!$K$25*(E55-B55))</f>
        <v>2</v>
      </c>
      <c r="L55" s="74">
        <f ca="1">IF(controls!$B$10=1,L54,M55-'main page'!$K$29*K55-(1-'main page'!$K$29)*controls!$B$9)</f>
        <v>4</v>
      </c>
      <c r="M55" s="74">
        <f t="shared" ca="1" si="1"/>
        <v>6</v>
      </c>
      <c r="N55" s="74">
        <f ca="1">IF(controls!$B$10=1,'delay in perception'!L55+'delay in perception'!K55,'delay in perception'!O55)</f>
        <v>6</v>
      </c>
      <c r="O55" s="104">
        <f ca="1">'main page'!$K$29*K55+(1-'main page'!$K$29)*controls!$B$9+P55+(('main page'!$K$25*'main page'!$U$13*'main page'!$K$29)/('main page'!$K$27*(1+('main page'!$K$25^2)*'main page'!$U$13)))*(K55-(controls!$B$9/100)*100)</f>
        <v>6</v>
      </c>
      <c r="P55" s="98">
        <f ca="1">IF(controls!$B$33=1,(J56-E55*U56-C56+B55*T56)/'main page'!$K$27,(I56-E55*U56-C56+B55*T56)/'main page'!$K$27)</f>
        <v>4</v>
      </c>
      <c r="R55" s="71">
        <f>IF(controls!$B$6=1,'normal case'!$AL$3*(1+('main page'!$K$35/100))^S55-'normal case'!$AL$3*(1+('main page'!$K$35/100))^S54,'normal case'!$AL$3*(1+('main page'!$G$8/100))*(1+('main page'!$K$35/100))^S55-'normal case'!$AL$3*(1+('main page'!$G$8/100))*(1+('main page'!$K$35/100))^S54)</f>
        <v>0</v>
      </c>
      <c r="S55" s="73">
        <v>47</v>
      </c>
      <c r="T55" s="71">
        <f>'normal case'!V54</f>
        <v>0</v>
      </c>
      <c r="U55" s="71">
        <f>'normal case'!W54</f>
        <v>0</v>
      </c>
    </row>
    <row r="56" spans="1:21">
      <c r="A56" s="53">
        <v>53</v>
      </c>
      <c r="B56" s="74">
        <f ca="1">IF(controls!$B$33=1,B55*(1+T56)+R56,B55*(1+T56))</f>
        <v>100</v>
      </c>
      <c r="C56" s="74">
        <f t="shared" ca="1" si="3"/>
        <v>100</v>
      </c>
      <c r="D56" s="93">
        <f t="shared" ca="1" si="2"/>
        <v>0</v>
      </c>
      <c r="E56" s="74">
        <f t="shared" ca="1" si="0"/>
        <v>100</v>
      </c>
      <c r="F56" s="74">
        <f ca="1">IF(controls!$B$33=1,'delay in perception'!H56,G56)</f>
        <v>100</v>
      </c>
      <c r="G56" s="74">
        <f ca="1">I56-'main page'!$K$27*L55</f>
        <v>100</v>
      </c>
      <c r="H56" s="74">
        <f ca="1">J56-'main page'!$K$27*L55</f>
        <v>100</v>
      </c>
      <c r="I56" s="74">
        <f t="shared" ca="1" si="5"/>
        <v>108</v>
      </c>
      <c r="J56" s="74">
        <f t="shared" ca="1" si="6"/>
        <v>108</v>
      </c>
      <c r="K56" s="74">
        <f ca="1">IF(ABS('main page'!$K$29*K55+(1-'main page'!$K$29)*(controls!$B$9/100)*100+'main page'!$K$25*(E56-B56)-K55)&lt;0.0000001,K55,'main page'!$K$29*K55+(1-'main page'!$K$29)*(controls!$B$9/100)*100+'main page'!$K$25*(E56-B56))</f>
        <v>2</v>
      </c>
      <c r="L56" s="74">
        <f ca="1">IF(controls!$B$10=1,L55,M56-'main page'!$K$29*K56-(1-'main page'!$K$29)*controls!$B$9)</f>
        <v>4</v>
      </c>
      <c r="M56" s="74">
        <f t="shared" ca="1" si="1"/>
        <v>6</v>
      </c>
      <c r="N56" s="74">
        <f ca="1">IF(controls!$B$10=1,'delay in perception'!L56+'delay in perception'!K56,'delay in perception'!O56)</f>
        <v>6</v>
      </c>
      <c r="O56" s="104">
        <f ca="1">'main page'!$K$29*K56+(1-'main page'!$K$29)*controls!$B$9+P56+(('main page'!$K$25*'main page'!$U$13*'main page'!$K$29)/('main page'!$K$27*(1+('main page'!$K$25^2)*'main page'!$U$13)))*(K56-(controls!$B$9/100)*100)</f>
        <v>6</v>
      </c>
      <c r="P56" s="98">
        <f ca="1">IF(controls!$B$33=1,(J57-E56*U57-C57+B56*T57)/'main page'!$K$27,(I57-E56*U57-C57+B56*T57)/'main page'!$K$27)</f>
        <v>4</v>
      </c>
      <c r="R56" s="71">
        <f>IF(controls!$B$6=1,'normal case'!$AL$3*(1+('main page'!$K$35/100))^S56-'normal case'!$AL$3*(1+('main page'!$K$35/100))^S55,'normal case'!$AL$3*(1+('main page'!$G$8/100))*(1+('main page'!$K$35/100))^S56-'normal case'!$AL$3*(1+('main page'!$G$8/100))*(1+('main page'!$K$35/100))^S55)</f>
        <v>0</v>
      </c>
      <c r="S56" s="73">
        <v>48</v>
      </c>
      <c r="T56" s="71">
        <f>'normal case'!V55</f>
        <v>0</v>
      </c>
      <c r="U56" s="71">
        <f>'normal case'!W55</f>
        <v>0</v>
      </c>
    </row>
    <row r="57" spans="1:21">
      <c r="A57" s="53">
        <v>54</v>
      </c>
      <c r="B57" s="74">
        <f ca="1">IF(controls!$B$33=1,B56*(1+T57)+R57,B56*(1+T57))</f>
        <v>100</v>
      </c>
      <c r="C57" s="74">
        <f t="shared" ca="1" si="3"/>
        <v>100</v>
      </c>
      <c r="D57" s="93">
        <f t="shared" ca="1" si="2"/>
        <v>0</v>
      </c>
      <c r="E57" s="74">
        <f t="shared" ca="1" si="0"/>
        <v>100</v>
      </c>
      <c r="F57" s="74">
        <f ca="1">IF(controls!$B$33=1,'delay in perception'!H57,G57)</f>
        <v>100</v>
      </c>
      <c r="G57" s="74">
        <f ca="1">I57-'main page'!$K$27*L56</f>
        <v>100</v>
      </c>
      <c r="H57" s="74">
        <f ca="1">J57-'main page'!$K$27*L56</f>
        <v>100</v>
      </c>
      <c r="I57" s="74">
        <f t="shared" ca="1" si="5"/>
        <v>108</v>
      </c>
      <c r="J57" s="74">
        <f t="shared" ca="1" si="6"/>
        <v>108</v>
      </c>
      <c r="K57" s="74">
        <f ca="1">IF(ABS('main page'!$K$29*K56+(1-'main page'!$K$29)*(controls!$B$9/100)*100+'main page'!$K$25*(E57-B57)-K56)&lt;0.0000001,K56,'main page'!$K$29*K56+(1-'main page'!$K$29)*(controls!$B$9/100)*100+'main page'!$K$25*(E57-B57))</f>
        <v>2</v>
      </c>
      <c r="L57" s="74">
        <f ca="1">IF(controls!$B$10=1,L56,M57-'main page'!$K$29*K57-(1-'main page'!$K$29)*controls!$B$9)</f>
        <v>4</v>
      </c>
      <c r="M57" s="74">
        <f t="shared" ca="1" si="1"/>
        <v>6</v>
      </c>
      <c r="N57" s="74">
        <f ca="1">IF(controls!$B$10=1,'delay in perception'!L57+'delay in perception'!K57,'delay in perception'!O57)</f>
        <v>6</v>
      </c>
      <c r="O57" s="104">
        <f ca="1">'main page'!$K$29*K57+(1-'main page'!$K$29)*controls!$B$9+P57+(('main page'!$K$25*'main page'!$U$13*'main page'!$K$29)/('main page'!$K$27*(1+('main page'!$K$25^2)*'main page'!$U$13)))*(K57-(controls!$B$9/100)*100)</f>
        <v>6</v>
      </c>
      <c r="P57" s="98">
        <f ca="1">IF(controls!$B$33=1,(J58-E57*U58-C58+B57*T58)/'main page'!$K$27,(I58-E57*U58-C58+B57*T58)/'main page'!$K$27)</f>
        <v>4</v>
      </c>
      <c r="R57" s="71">
        <f>IF(controls!$B$6=1,'normal case'!$AL$3*(1+('main page'!$K$35/100))^S57-'normal case'!$AL$3*(1+('main page'!$K$35/100))^S56,'normal case'!$AL$3*(1+('main page'!$G$8/100))*(1+('main page'!$K$35/100))^S57-'normal case'!$AL$3*(1+('main page'!$G$8/100))*(1+('main page'!$K$35/100))^S56)</f>
        <v>0</v>
      </c>
      <c r="S57" s="73">
        <v>49</v>
      </c>
      <c r="T57" s="71">
        <f ca="1">'normal case'!V56</f>
        <v>0</v>
      </c>
      <c r="U57" s="71">
        <f ca="1">'normal case'!W56</f>
        <v>0</v>
      </c>
    </row>
    <row r="58" spans="1:21">
      <c r="A58" s="53">
        <v>55</v>
      </c>
      <c r="B58" s="74">
        <f ca="1">IF(controls!$B$33=1,B57*(1+T58)+R58,B57*(1+T58))</f>
        <v>100</v>
      </c>
      <c r="C58" s="74">
        <f t="shared" ca="1" si="3"/>
        <v>100</v>
      </c>
      <c r="D58" s="93">
        <f t="shared" ca="1" si="2"/>
        <v>0</v>
      </c>
      <c r="E58" s="74">
        <f t="shared" ca="1" si="0"/>
        <v>100</v>
      </c>
      <c r="F58" s="74">
        <f ca="1">IF(controls!$B$33=1,'delay in perception'!H58,G58)</f>
        <v>100</v>
      </c>
      <c r="G58" s="74">
        <f ca="1">I58-'main page'!$K$27*L57</f>
        <v>100</v>
      </c>
      <c r="H58" s="74">
        <f ca="1">J58-'main page'!$K$27*L57</f>
        <v>100</v>
      </c>
      <c r="I58" s="74">
        <f t="shared" ca="1" si="5"/>
        <v>108</v>
      </c>
      <c r="J58" s="74">
        <f t="shared" ca="1" si="6"/>
        <v>108</v>
      </c>
      <c r="K58" s="74">
        <f ca="1">IF(ABS('main page'!$K$29*K57+(1-'main page'!$K$29)*(controls!$B$9/100)*100+'main page'!$K$25*(E58-B58)-K57)&lt;0.0000001,K57,'main page'!$K$29*K57+(1-'main page'!$K$29)*(controls!$B$9/100)*100+'main page'!$K$25*(E58-B58))</f>
        <v>2</v>
      </c>
      <c r="L58" s="74">
        <f ca="1">IF(controls!$B$10=1,L57,M58-'main page'!$K$29*K58-(1-'main page'!$K$29)*controls!$B$9)</f>
        <v>4</v>
      </c>
      <c r="M58" s="74">
        <f t="shared" ca="1" si="1"/>
        <v>6</v>
      </c>
      <c r="N58" s="74">
        <f ca="1">IF(controls!$B$10=1,'delay in perception'!L58+'delay in perception'!K58,'delay in perception'!O58)</f>
        <v>6</v>
      </c>
      <c r="O58" s="104">
        <f ca="1">'main page'!$K$29*K58+(1-'main page'!$K$29)*controls!$B$9+P58+(('main page'!$K$25*'main page'!$U$13*'main page'!$K$29)/('main page'!$K$27*(1+('main page'!$K$25^2)*'main page'!$U$13)))*(K58-(controls!$B$9/100)*100)</f>
        <v>6</v>
      </c>
      <c r="P58" s="98">
        <f ca="1">IF(controls!$B$33=1,(J59-E58*U59-C59+B58*T59)/'main page'!$K$27,(I59-E58*U59-C59+B58*T59)/'main page'!$K$27)</f>
        <v>4</v>
      </c>
      <c r="R58" s="71">
        <f>IF(controls!$B$6=1,'normal case'!$AL$3*(1+('main page'!$K$35/100))^S58-'normal case'!$AL$3*(1+('main page'!$K$35/100))^S57,'normal case'!$AL$3*(1+('main page'!$G$8/100))*(1+('main page'!$K$35/100))^S58-'normal case'!$AL$3*(1+('main page'!$G$8/100))*(1+('main page'!$K$35/100))^S57)</f>
        <v>0</v>
      </c>
      <c r="S58" s="73">
        <v>50</v>
      </c>
      <c r="T58" s="71">
        <f>'normal case'!V57</f>
        <v>0</v>
      </c>
      <c r="U58" s="71">
        <f>'normal case'!W57</f>
        <v>0</v>
      </c>
    </row>
    <row r="59" spans="1:21">
      <c r="A59" s="53">
        <v>56</v>
      </c>
      <c r="B59" s="74">
        <f ca="1">IF(controls!$B$33=1,B58*(1+T59)+R59,B58*(1+T59))</f>
        <v>100</v>
      </c>
      <c r="C59" s="74">
        <f t="shared" ca="1" si="3"/>
        <v>100</v>
      </c>
      <c r="D59" s="93">
        <f t="shared" ca="1" si="2"/>
        <v>0</v>
      </c>
      <c r="E59" s="74">
        <f t="shared" ca="1" si="0"/>
        <v>100</v>
      </c>
      <c r="F59" s="74">
        <f ca="1">IF(controls!$B$33=1,'delay in perception'!H59,G59)</f>
        <v>100</v>
      </c>
      <c r="G59" s="74">
        <f ca="1">I59-'main page'!$K$27*L58</f>
        <v>100</v>
      </c>
      <c r="H59" s="74">
        <f ca="1">J59-'main page'!$K$27*L58</f>
        <v>100</v>
      </c>
      <c r="I59" s="74">
        <f t="shared" ca="1" si="5"/>
        <v>108</v>
      </c>
      <c r="J59" s="74">
        <f t="shared" ca="1" si="6"/>
        <v>108</v>
      </c>
      <c r="K59" s="74">
        <f ca="1">IF(ABS('main page'!$K$29*K58+(1-'main page'!$K$29)*(controls!$B$9/100)*100+'main page'!$K$25*(E59-B59)-K58)&lt;0.0000001,K58,'main page'!$K$29*K58+(1-'main page'!$K$29)*(controls!$B$9/100)*100+'main page'!$K$25*(E59-B59))</f>
        <v>2</v>
      </c>
      <c r="L59" s="74">
        <f ca="1">IF(controls!$B$10=1,L58,M59-'main page'!$K$29*K59-(1-'main page'!$K$29)*controls!$B$9)</f>
        <v>4</v>
      </c>
      <c r="M59" s="74">
        <f t="shared" ca="1" si="1"/>
        <v>6</v>
      </c>
      <c r="N59" s="74">
        <f ca="1">IF(controls!$B$10=1,'delay in perception'!L59+'delay in perception'!K59,'delay in perception'!O59)</f>
        <v>6</v>
      </c>
      <c r="O59" s="104">
        <f ca="1">'main page'!$K$29*K59+(1-'main page'!$K$29)*controls!$B$9+P59+(('main page'!$K$25*'main page'!$U$13*'main page'!$K$29)/('main page'!$K$27*(1+('main page'!$K$25^2)*'main page'!$U$13)))*(K59-(controls!$B$9/100)*100)</f>
        <v>6</v>
      </c>
      <c r="P59" s="98">
        <f ca="1">IF(controls!$B$33=1,(J60-E59*U60-C60+B59*T60)/'main page'!$K$27,(I60-E59*U60-C60+B59*T60)/'main page'!$K$27)</f>
        <v>4</v>
      </c>
      <c r="R59" s="71">
        <f>IF(controls!$B$6=1,'normal case'!$AL$3*(1+('main page'!$K$35/100))^S59-'normal case'!$AL$3*(1+('main page'!$K$35/100))^S58,'normal case'!$AL$3*(1+('main page'!$G$8/100))*(1+('main page'!$K$35/100))^S59-'normal case'!$AL$3*(1+('main page'!$G$8/100))*(1+('main page'!$K$35/100))^S58)</f>
        <v>0</v>
      </c>
      <c r="S59" s="73">
        <v>51</v>
      </c>
      <c r="T59" s="71">
        <f>'normal case'!V58</f>
        <v>0</v>
      </c>
      <c r="U59" s="71">
        <f>'normal case'!W58</f>
        <v>0</v>
      </c>
    </row>
    <row r="60" spans="1:21">
      <c r="A60" s="53">
        <v>57</v>
      </c>
      <c r="B60" s="74">
        <f ca="1">IF(controls!$B$33=1,B59*(1+T60)+R60,B59*(1+T60))</f>
        <v>100</v>
      </c>
      <c r="C60" s="74">
        <f t="shared" ca="1" si="3"/>
        <v>100</v>
      </c>
      <c r="D60" s="93">
        <f t="shared" ca="1" si="2"/>
        <v>0</v>
      </c>
      <c r="E60" s="74">
        <f t="shared" ca="1" si="0"/>
        <v>100</v>
      </c>
      <c r="F60" s="74">
        <f ca="1">IF(controls!$B$33=1,'delay in perception'!H60,G60)</f>
        <v>100</v>
      </c>
      <c r="G60" s="74">
        <f ca="1">I60-'main page'!$K$27*L59</f>
        <v>100</v>
      </c>
      <c r="H60" s="74">
        <f ca="1">J60-'main page'!$K$27*L59</f>
        <v>100</v>
      </c>
      <c r="I60" s="74">
        <f t="shared" ca="1" si="5"/>
        <v>108</v>
      </c>
      <c r="J60" s="74">
        <f t="shared" ca="1" si="6"/>
        <v>108</v>
      </c>
      <c r="K60" s="74">
        <f ca="1">IF(ABS('main page'!$K$29*K59+(1-'main page'!$K$29)*(controls!$B$9/100)*100+'main page'!$K$25*(E60-B60)-K59)&lt;0.0000001,K59,'main page'!$K$29*K59+(1-'main page'!$K$29)*(controls!$B$9/100)*100+'main page'!$K$25*(E60-B60))</f>
        <v>2</v>
      </c>
      <c r="L60" s="74">
        <f ca="1">IF(controls!$B$10=1,L59,M60-'main page'!$K$29*K60-(1-'main page'!$K$29)*controls!$B$9)</f>
        <v>4</v>
      </c>
      <c r="M60" s="74">
        <f t="shared" ca="1" si="1"/>
        <v>6</v>
      </c>
      <c r="N60" s="74">
        <f ca="1">IF(controls!$B$10=1,'delay in perception'!L60+'delay in perception'!K60,'delay in perception'!O60)</f>
        <v>6</v>
      </c>
      <c r="O60" s="104">
        <f ca="1">'main page'!$K$29*K60+(1-'main page'!$K$29)*controls!$B$9+P60+(('main page'!$K$25*'main page'!$U$13*'main page'!$K$29)/('main page'!$K$27*(1+('main page'!$K$25^2)*'main page'!$U$13)))*(K60-(controls!$B$9/100)*100)</f>
        <v>6</v>
      </c>
      <c r="P60" s="98">
        <f ca="1">IF(controls!$B$33=1,(J61-E60*U61-C61+B60*T61)/'main page'!$K$27,(I61-E60*U61-C61+B60*T61)/'main page'!$K$27)</f>
        <v>4</v>
      </c>
      <c r="R60" s="71">
        <f>IF(controls!$B$6=1,'normal case'!$AL$3*(1+('main page'!$K$35/100))^S60-'normal case'!$AL$3*(1+('main page'!$K$35/100))^S59,'normal case'!$AL$3*(1+('main page'!$G$8/100))*(1+('main page'!$K$35/100))^S60-'normal case'!$AL$3*(1+('main page'!$G$8/100))*(1+('main page'!$K$35/100))^S59)</f>
        <v>0</v>
      </c>
      <c r="S60" s="73">
        <v>52</v>
      </c>
      <c r="T60" s="71">
        <f ca="1">'normal case'!V59</f>
        <v>0</v>
      </c>
      <c r="U60" s="71">
        <f ca="1">'normal case'!W59</f>
        <v>0</v>
      </c>
    </row>
    <row r="61" spans="1:21">
      <c r="A61" s="53">
        <v>58</v>
      </c>
      <c r="B61" s="74">
        <f ca="1">IF(controls!$B$33=1,B60*(1+T61)+R61,B60*(1+T61))</f>
        <v>100</v>
      </c>
      <c r="C61" s="74">
        <f t="shared" ca="1" si="3"/>
        <v>100</v>
      </c>
      <c r="D61" s="93">
        <f t="shared" ca="1" si="2"/>
        <v>0</v>
      </c>
      <c r="E61" s="74">
        <f t="shared" ca="1" si="0"/>
        <v>100</v>
      </c>
      <c r="F61" s="74">
        <f ca="1">IF(controls!$B$33=1,'delay in perception'!H61,G61)</f>
        <v>100</v>
      </c>
      <c r="G61" s="74">
        <f ca="1">I61-'main page'!$K$27*L60</f>
        <v>100</v>
      </c>
      <c r="H61" s="74">
        <f ca="1">J61-'main page'!$K$27*L60</f>
        <v>100</v>
      </c>
      <c r="I61" s="74">
        <f t="shared" ca="1" si="5"/>
        <v>108</v>
      </c>
      <c r="J61" s="74">
        <f t="shared" ca="1" si="6"/>
        <v>108</v>
      </c>
      <c r="K61" s="74">
        <f ca="1">IF(ABS('main page'!$K$29*K60+(1-'main page'!$K$29)*(controls!$B$9/100)*100+'main page'!$K$25*(E61-B61)-K60)&lt;0.0000001,K60,'main page'!$K$29*K60+(1-'main page'!$K$29)*(controls!$B$9/100)*100+'main page'!$K$25*(E61-B61))</f>
        <v>2</v>
      </c>
      <c r="L61" s="74">
        <f ca="1">IF(controls!$B$10=1,L60,M61-'main page'!$K$29*K61-(1-'main page'!$K$29)*controls!$B$9)</f>
        <v>4</v>
      </c>
      <c r="M61" s="74">
        <f t="shared" ca="1" si="1"/>
        <v>6</v>
      </c>
      <c r="N61" s="74">
        <f ca="1">IF(controls!$B$10=1,'delay in perception'!L61+'delay in perception'!K61,'delay in perception'!O61)</f>
        <v>6</v>
      </c>
      <c r="O61" s="104">
        <f ca="1">'main page'!$K$29*K61+(1-'main page'!$K$29)*controls!$B$9+P61+(('main page'!$K$25*'main page'!$U$13*'main page'!$K$29)/('main page'!$K$27*(1+('main page'!$K$25^2)*'main page'!$U$13)))*(K61-(controls!$B$9/100)*100)</f>
        <v>6</v>
      </c>
      <c r="P61" s="98">
        <f ca="1">IF(controls!$B$33=1,(J62-E61*U62-C62+B61*T62)/'main page'!$K$27,(I62-E61*U62-C62+B61*T62)/'main page'!$K$27)</f>
        <v>4</v>
      </c>
      <c r="R61" s="71">
        <f>IF(controls!$B$6=1,'normal case'!$AL$3*(1+('main page'!$K$35/100))^S61-'normal case'!$AL$3*(1+('main page'!$K$35/100))^S60,'normal case'!$AL$3*(1+('main page'!$G$8/100))*(1+('main page'!$K$35/100))^S61-'normal case'!$AL$3*(1+('main page'!$G$8/100))*(1+('main page'!$K$35/100))^S60)</f>
        <v>0</v>
      </c>
      <c r="S61" s="73">
        <v>53</v>
      </c>
      <c r="T61" s="71">
        <f>'normal case'!V60</f>
        <v>0</v>
      </c>
      <c r="U61" s="71">
        <f>'normal case'!W60</f>
        <v>0</v>
      </c>
    </row>
    <row r="62" spans="1:21">
      <c r="A62" s="53">
        <v>59</v>
      </c>
      <c r="B62" s="74">
        <f ca="1">IF(controls!$B$33=1,B61*(1+T62)+R62,B61*(1+T62))</f>
        <v>100</v>
      </c>
      <c r="C62" s="74">
        <f t="shared" ca="1" si="3"/>
        <v>100</v>
      </c>
      <c r="D62" s="93">
        <f t="shared" ca="1" si="2"/>
        <v>0</v>
      </c>
      <c r="E62" s="74">
        <f t="shared" ca="1" si="0"/>
        <v>100</v>
      </c>
      <c r="F62" s="74">
        <f ca="1">IF(controls!$B$33=1,'delay in perception'!H62,G62)</f>
        <v>100</v>
      </c>
      <c r="G62" s="74">
        <f ca="1">I62-'main page'!$K$27*L61</f>
        <v>100</v>
      </c>
      <c r="H62" s="74">
        <f ca="1">J62-'main page'!$K$27*L61</f>
        <v>100</v>
      </c>
      <c r="I62" s="74">
        <f t="shared" ca="1" si="5"/>
        <v>108</v>
      </c>
      <c r="J62" s="74">
        <f t="shared" ca="1" si="6"/>
        <v>108</v>
      </c>
      <c r="K62" s="74">
        <f ca="1">IF(ABS('main page'!$K$29*K61+(1-'main page'!$K$29)*(controls!$B$9/100)*100+'main page'!$K$25*(E62-B62)-K61)&lt;0.0000001,K61,'main page'!$K$29*K61+(1-'main page'!$K$29)*(controls!$B$9/100)*100+'main page'!$K$25*(E62-B62))</f>
        <v>2</v>
      </c>
      <c r="L62" s="74">
        <f ca="1">IF(controls!$B$10=1,L61,M62-'main page'!$K$29*K62-(1-'main page'!$K$29)*controls!$B$9)</f>
        <v>4</v>
      </c>
      <c r="M62" s="74">
        <f t="shared" ca="1" si="1"/>
        <v>6</v>
      </c>
      <c r="N62" s="74">
        <f ca="1">IF(controls!$B$10=1,'delay in perception'!L62+'delay in perception'!K62,'delay in perception'!O62)</f>
        <v>6</v>
      </c>
      <c r="O62" s="104">
        <f ca="1">'main page'!$K$29*K62+(1-'main page'!$K$29)*controls!$B$9+P62+(('main page'!$K$25*'main page'!$U$13*'main page'!$K$29)/('main page'!$K$27*(1+('main page'!$K$25^2)*'main page'!$U$13)))*(K62-(controls!$B$9/100)*100)</f>
        <v>6</v>
      </c>
      <c r="P62" s="98">
        <f ca="1">IF(controls!$B$33=1,(J63-E62*U63-C63+B62*T63)/'main page'!$K$27,(I63-E62*U63-C63+B62*T63)/'main page'!$K$27)</f>
        <v>4</v>
      </c>
      <c r="R62" s="71">
        <f>IF(controls!$B$6=1,'normal case'!$AL$3*(1+('main page'!$K$35/100))^S62-'normal case'!$AL$3*(1+('main page'!$K$35/100))^S61,'normal case'!$AL$3*(1+('main page'!$G$8/100))*(1+('main page'!$K$35/100))^S62-'normal case'!$AL$3*(1+('main page'!$G$8/100))*(1+('main page'!$K$35/100))^S61)</f>
        <v>0</v>
      </c>
      <c r="S62" s="73">
        <v>54</v>
      </c>
      <c r="T62" s="71">
        <f>'normal case'!V61</f>
        <v>0</v>
      </c>
      <c r="U62" s="71">
        <f>'normal case'!W61</f>
        <v>0</v>
      </c>
    </row>
    <row r="63" spans="1:21">
      <c r="A63" s="53">
        <v>60</v>
      </c>
      <c r="B63" s="74">
        <f ca="1">IF(controls!$B$33=1,B62*(1+T63)+R63,B62*(1+T63))</f>
        <v>100</v>
      </c>
      <c r="C63" s="74">
        <f t="shared" ca="1" si="3"/>
        <v>100</v>
      </c>
      <c r="D63" s="93">
        <f t="shared" ca="1" si="2"/>
        <v>0</v>
      </c>
      <c r="E63" s="74">
        <f t="shared" ca="1" si="0"/>
        <v>100</v>
      </c>
      <c r="F63" s="74">
        <f ca="1">IF(controls!$B$33=1,'delay in perception'!H63,G63)</f>
        <v>100</v>
      </c>
      <c r="G63" s="74">
        <f ca="1">I63-'main page'!$K$27*L62</f>
        <v>100</v>
      </c>
      <c r="H63" s="74">
        <f ca="1">J63-'main page'!$K$27*L62</f>
        <v>100</v>
      </c>
      <c r="I63" s="74">
        <f t="shared" ca="1" si="5"/>
        <v>108</v>
      </c>
      <c r="J63" s="74">
        <f t="shared" ca="1" si="6"/>
        <v>108</v>
      </c>
      <c r="K63" s="74">
        <f ca="1">IF(ABS('main page'!$K$29*K62+(1-'main page'!$K$29)*(controls!$B$9/100)*100+'main page'!$K$25*(E63-B63)-K62)&lt;0.0000001,K62,'main page'!$K$29*K62+(1-'main page'!$K$29)*(controls!$B$9/100)*100+'main page'!$K$25*(E63-B63))</f>
        <v>2</v>
      </c>
      <c r="L63" s="74">
        <f ca="1">IF(controls!$B$10=1,L62,M63-'main page'!$K$29*K63-(1-'main page'!$K$29)*controls!$B$9)</f>
        <v>4</v>
      </c>
      <c r="M63" s="74">
        <f t="shared" ca="1" si="1"/>
        <v>6</v>
      </c>
      <c r="N63" s="74">
        <f ca="1">IF(controls!$B$10=1,'delay in perception'!L63+'delay in perception'!K63,'delay in perception'!O63)</f>
        <v>6</v>
      </c>
      <c r="O63" s="104">
        <f ca="1">'main page'!$K$29*K63+(1-'main page'!$K$29)*controls!$B$9+P63+(('main page'!$K$25*'main page'!$U$13*'main page'!$K$29)/('main page'!$K$27*(1+('main page'!$K$25^2)*'main page'!$U$13)))*(K63-(controls!$B$9/100)*100)</f>
        <v>6</v>
      </c>
      <c r="P63" s="98">
        <f ca="1">IF(controls!$B$33=1,(J64-E63*U64-C64+B63*T64)/'main page'!$K$27,(I64-E63*U64-C64+B63*T64)/'main page'!$K$27)</f>
        <v>4</v>
      </c>
      <c r="R63" s="71">
        <f>IF(controls!$B$6=1,'normal case'!$AL$3*(1+('main page'!$K$35/100))^S63-'normal case'!$AL$3*(1+('main page'!$K$35/100))^S62,'normal case'!$AL$3*(1+('main page'!$G$8/100))*(1+('main page'!$K$35/100))^S63-'normal case'!$AL$3*(1+('main page'!$G$8/100))*(1+('main page'!$K$35/100))^S62)</f>
        <v>0</v>
      </c>
      <c r="S63" s="73">
        <v>55</v>
      </c>
      <c r="T63" s="71">
        <f ca="1">'normal case'!V62</f>
        <v>0</v>
      </c>
      <c r="U63" s="71">
        <f ca="1">'normal case'!W62</f>
        <v>0</v>
      </c>
    </row>
    <row r="64" spans="1:21">
      <c r="A64" s="53">
        <v>61</v>
      </c>
      <c r="B64" s="74">
        <f ca="1">IF(controls!$B$33=1,B63*(1+T64)+R64,B63*(1+T64))</f>
        <v>100</v>
      </c>
      <c r="C64" s="74">
        <f t="shared" ca="1" si="3"/>
        <v>100</v>
      </c>
      <c r="D64" s="93">
        <f t="shared" ca="1" si="2"/>
        <v>0</v>
      </c>
      <c r="E64" s="74">
        <f t="shared" ca="1" si="0"/>
        <v>100</v>
      </c>
      <c r="F64" s="74">
        <f ca="1">IF(controls!$B$33=1,'delay in perception'!H64,G64)</f>
        <v>100</v>
      </c>
      <c r="G64" s="74">
        <f ca="1">I64-'main page'!$K$27*L63</f>
        <v>100</v>
      </c>
      <c r="H64" s="74">
        <f ca="1">J64-'main page'!$K$27*L63</f>
        <v>100</v>
      </c>
      <c r="I64" s="74">
        <f t="shared" ca="1" si="5"/>
        <v>108</v>
      </c>
      <c r="J64" s="74">
        <f t="shared" ca="1" si="6"/>
        <v>108</v>
      </c>
      <c r="K64" s="74">
        <f ca="1">IF(ABS('main page'!$K$29*K63+(1-'main page'!$K$29)*(controls!$B$9/100)*100+'main page'!$K$25*(E64-B64)-K63)&lt;0.0000001,K63,'main page'!$K$29*K63+(1-'main page'!$K$29)*(controls!$B$9/100)*100+'main page'!$K$25*(E64-B64))</f>
        <v>2</v>
      </c>
      <c r="L64" s="74">
        <f ca="1">IF(controls!$B$10=1,L63,M64-'main page'!$K$29*K64-(1-'main page'!$K$29)*controls!$B$9)</f>
        <v>4</v>
      </c>
      <c r="M64" s="74">
        <f t="shared" ca="1" si="1"/>
        <v>6</v>
      </c>
      <c r="N64" s="74">
        <f ca="1">IF(controls!$B$10=1,'delay in perception'!L64+'delay in perception'!K64,'delay in perception'!O64)</f>
        <v>6</v>
      </c>
      <c r="O64" s="104">
        <f ca="1">'main page'!$K$29*K64+(1-'main page'!$K$29)*controls!$B$9+P64+(('main page'!$K$25*'main page'!$U$13*'main page'!$K$29)/('main page'!$K$27*(1+('main page'!$K$25^2)*'main page'!$U$13)))*(K64-(controls!$B$9/100)*100)</f>
        <v>6</v>
      </c>
      <c r="P64" s="98">
        <f ca="1">IF(controls!$B$33=1,(J65-E64*U65-C65+B64*T65)/'main page'!$K$27,(I65-E64*U65-C65+B64*T65)/'main page'!$K$27)</f>
        <v>4</v>
      </c>
      <c r="R64" s="71">
        <f>IF(controls!$B$6=1,'normal case'!$AL$3*(1+('main page'!$K$35/100))^S64-'normal case'!$AL$3*(1+('main page'!$K$35/100))^S63,'normal case'!$AL$3*(1+('main page'!$G$8/100))*(1+('main page'!$K$35/100))^S64-'normal case'!$AL$3*(1+('main page'!$G$8/100))*(1+('main page'!$K$35/100))^S63)</f>
        <v>0</v>
      </c>
      <c r="S64" s="73">
        <v>56</v>
      </c>
      <c r="T64" s="71">
        <f>'normal case'!V63</f>
        <v>0</v>
      </c>
      <c r="U64" s="71">
        <f>'normal case'!W63</f>
        <v>0</v>
      </c>
    </row>
    <row r="65" spans="1:21">
      <c r="A65" s="53">
        <v>62</v>
      </c>
      <c r="B65" s="74">
        <f ca="1">IF(controls!$B$33=1,B64*(1+T65)+R65,B64*(1+T65))</f>
        <v>100</v>
      </c>
      <c r="C65" s="74">
        <f t="shared" ca="1" si="3"/>
        <v>100</v>
      </c>
      <c r="D65" s="93">
        <f t="shared" ca="1" si="2"/>
        <v>0</v>
      </c>
      <c r="E65" s="74">
        <f t="shared" ca="1" si="0"/>
        <v>100</v>
      </c>
      <c r="F65" s="74">
        <f ca="1">IF(controls!$B$33=1,'delay in perception'!H65,G65)</f>
        <v>100</v>
      </c>
      <c r="G65" s="74">
        <f ca="1">I65-'main page'!$K$27*L64</f>
        <v>100</v>
      </c>
      <c r="H65" s="74">
        <f ca="1">J65-'main page'!$K$27*L64</f>
        <v>100</v>
      </c>
      <c r="I65" s="74">
        <f t="shared" ca="1" si="5"/>
        <v>108</v>
      </c>
      <c r="J65" s="74">
        <f t="shared" ca="1" si="6"/>
        <v>108</v>
      </c>
      <c r="K65" s="74">
        <f ca="1">IF(ABS('main page'!$K$29*K64+(1-'main page'!$K$29)*(controls!$B$9/100)*100+'main page'!$K$25*(E65-B65)-K64)&lt;0.0000001,K64,'main page'!$K$29*K64+(1-'main page'!$K$29)*(controls!$B$9/100)*100+'main page'!$K$25*(E65-B65))</f>
        <v>2</v>
      </c>
      <c r="L65" s="74">
        <f ca="1">IF(controls!$B$10=1,L64,M65-'main page'!$K$29*K65-(1-'main page'!$K$29)*controls!$B$9)</f>
        <v>4</v>
      </c>
      <c r="M65" s="74">
        <f t="shared" ca="1" si="1"/>
        <v>6</v>
      </c>
      <c r="N65" s="74">
        <f ca="1">IF(controls!$B$10=1,'delay in perception'!L65+'delay in perception'!K65,'delay in perception'!O65)</f>
        <v>6</v>
      </c>
      <c r="O65" s="104">
        <f ca="1">'main page'!$K$29*K65+(1-'main page'!$K$29)*controls!$B$9+P65+(('main page'!$K$25*'main page'!$U$13*'main page'!$K$29)/('main page'!$K$27*(1+('main page'!$K$25^2)*'main page'!$U$13)))*(K65-(controls!$B$9/100)*100)</f>
        <v>6</v>
      </c>
      <c r="P65" s="98">
        <f ca="1">IF(controls!$B$33=1,(J66-E65*U66-C66+B65*T66)/'main page'!$K$27,(I66-E65*U66-C66+B65*T66)/'main page'!$K$27)</f>
        <v>4</v>
      </c>
      <c r="R65" s="71">
        <f>IF(controls!$B$6=1,'normal case'!$AL$3*(1+('main page'!$K$35/100))^S65-'normal case'!$AL$3*(1+('main page'!$K$35/100))^S64,'normal case'!$AL$3*(1+('main page'!$G$8/100))*(1+('main page'!$K$35/100))^S65-'normal case'!$AL$3*(1+('main page'!$G$8/100))*(1+('main page'!$K$35/100))^S64)</f>
        <v>0</v>
      </c>
      <c r="S65" s="73">
        <v>57</v>
      </c>
      <c r="T65" s="71">
        <f>'normal case'!V64</f>
        <v>0</v>
      </c>
      <c r="U65" s="71">
        <f>'normal case'!W64</f>
        <v>0</v>
      </c>
    </row>
    <row r="66" spans="1:21">
      <c r="A66" s="53">
        <v>63</v>
      </c>
      <c r="B66" s="74">
        <f ca="1">IF(controls!$B$33=1,B65*(1+T66)+R66,B65*(1+T66))</f>
        <v>100</v>
      </c>
      <c r="C66" s="74">
        <f t="shared" ca="1" si="3"/>
        <v>100</v>
      </c>
      <c r="D66" s="93">
        <f t="shared" ca="1" si="2"/>
        <v>0</v>
      </c>
      <c r="E66" s="74">
        <f t="shared" ca="1" si="0"/>
        <v>100</v>
      </c>
      <c r="F66" s="74">
        <f ca="1">IF(controls!$B$33=1,'delay in perception'!H66,G66)</f>
        <v>100</v>
      </c>
      <c r="G66" s="74">
        <f ca="1">I66-'main page'!$K$27*L65</f>
        <v>100</v>
      </c>
      <c r="H66" s="74">
        <f ca="1">J66-'main page'!$K$27*L65</f>
        <v>100</v>
      </c>
      <c r="I66" s="74">
        <f t="shared" ca="1" si="5"/>
        <v>108</v>
      </c>
      <c r="J66" s="74">
        <f t="shared" ca="1" si="6"/>
        <v>108</v>
      </c>
      <c r="K66" s="74">
        <f ca="1">IF(ABS('main page'!$K$29*K65+(1-'main page'!$K$29)*(controls!$B$9/100)*100+'main page'!$K$25*(E66-B66)-K65)&lt;0.0000001,K65,'main page'!$K$29*K65+(1-'main page'!$K$29)*(controls!$B$9/100)*100+'main page'!$K$25*(E66-B66))</f>
        <v>2</v>
      </c>
      <c r="L66" s="74">
        <f ca="1">IF(controls!$B$10=1,L65,M66-'main page'!$K$29*K66-(1-'main page'!$K$29)*controls!$B$9)</f>
        <v>4</v>
      </c>
      <c r="M66" s="74">
        <f t="shared" ca="1" si="1"/>
        <v>6</v>
      </c>
      <c r="N66" s="74">
        <f ca="1">IF(controls!$B$10=1,'delay in perception'!L66+'delay in perception'!K66,'delay in perception'!O66)</f>
        <v>6</v>
      </c>
      <c r="O66" s="104">
        <f ca="1">'main page'!$K$29*K66+(1-'main page'!$K$29)*controls!$B$9+P66+(('main page'!$K$25*'main page'!$U$13*'main page'!$K$29)/('main page'!$K$27*(1+('main page'!$K$25^2)*'main page'!$U$13)))*(K66-(controls!$B$9/100)*100)</f>
        <v>6</v>
      </c>
      <c r="P66" s="98">
        <f ca="1">IF(controls!$B$33=1,(J67-E66*U67-C67+B66*T67)/'main page'!$K$27,(I67-E66*U67-C67+B66*T67)/'main page'!$K$27)</f>
        <v>4</v>
      </c>
      <c r="R66" s="71">
        <f>IF(controls!$B$6=1,'normal case'!$AL$3*(1+('main page'!$K$35/100))^S66-'normal case'!$AL$3*(1+('main page'!$K$35/100))^S65,'normal case'!$AL$3*(1+('main page'!$G$8/100))*(1+('main page'!$K$35/100))^S66-'normal case'!$AL$3*(1+('main page'!$G$8/100))*(1+('main page'!$K$35/100))^S65)</f>
        <v>0</v>
      </c>
      <c r="S66" s="73">
        <v>58</v>
      </c>
      <c r="T66" s="71">
        <f ca="1">'normal case'!V65</f>
        <v>0</v>
      </c>
      <c r="U66" s="71">
        <f ca="1">'normal case'!W65</f>
        <v>0</v>
      </c>
    </row>
    <row r="67" spans="1:21">
      <c r="A67" s="53">
        <v>64</v>
      </c>
      <c r="B67" s="74">
        <f ca="1">IF(controls!$B$33=1,B66*(1+T67)+R67,B66*(1+T67))</f>
        <v>100</v>
      </c>
      <c r="C67" s="74">
        <f t="shared" ca="1" si="3"/>
        <v>100</v>
      </c>
      <c r="D67" s="93">
        <f t="shared" ca="1" si="2"/>
        <v>0</v>
      </c>
      <c r="E67" s="74">
        <f t="shared" ca="1" si="0"/>
        <v>100</v>
      </c>
      <c r="F67" s="74">
        <f ca="1">IF(controls!$B$33=1,'delay in perception'!H67,G67)</f>
        <v>100</v>
      </c>
      <c r="G67" s="74">
        <f ca="1">I67-'main page'!$K$27*L66</f>
        <v>100</v>
      </c>
      <c r="H67" s="74">
        <f ca="1">J67-'main page'!$K$27*L66</f>
        <v>100</v>
      </c>
      <c r="I67" s="74">
        <f t="shared" ca="1" si="5"/>
        <v>108</v>
      </c>
      <c r="J67" s="74">
        <f t="shared" ca="1" si="6"/>
        <v>108</v>
      </c>
      <c r="K67" s="74">
        <f ca="1">IF(ABS('main page'!$K$29*K66+(1-'main page'!$K$29)*(controls!$B$9/100)*100+'main page'!$K$25*(E67-B67)-K66)&lt;0.0000001,K66,'main page'!$K$29*K66+(1-'main page'!$K$29)*(controls!$B$9/100)*100+'main page'!$K$25*(E67-B67))</f>
        <v>2</v>
      </c>
      <c r="L67" s="74">
        <f ca="1">IF(controls!$B$10=1,L66,M67-'main page'!$K$29*K67-(1-'main page'!$K$29)*controls!$B$9)</f>
        <v>4</v>
      </c>
      <c r="M67" s="74">
        <f t="shared" ca="1" si="1"/>
        <v>6</v>
      </c>
      <c r="N67" s="74">
        <f ca="1">IF(controls!$B$10=1,'delay in perception'!L67+'delay in perception'!K67,'delay in perception'!O67)</f>
        <v>6</v>
      </c>
      <c r="O67" s="104">
        <f ca="1">'main page'!$K$29*K67+(1-'main page'!$K$29)*controls!$B$9+P67+(('main page'!$K$25*'main page'!$U$13*'main page'!$K$29)/('main page'!$K$27*(1+('main page'!$K$25^2)*'main page'!$U$13)))*(K67-(controls!$B$9/100)*100)</f>
        <v>6</v>
      </c>
      <c r="P67" s="98">
        <f ca="1">IF(controls!$B$33=1,(J68-E67*U68-C68+B67*T68)/'main page'!$K$27,(I68-E67*U68-C68+B67*T68)/'main page'!$K$27)</f>
        <v>4</v>
      </c>
      <c r="R67" s="71">
        <f>IF(controls!$B$6=1,'normal case'!$AL$3*(1+('main page'!$K$35/100))^S67-'normal case'!$AL$3*(1+('main page'!$K$35/100))^S66,'normal case'!$AL$3*(1+('main page'!$G$8/100))*(1+('main page'!$K$35/100))^S67-'normal case'!$AL$3*(1+('main page'!$G$8/100))*(1+('main page'!$K$35/100))^S66)</f>
        <v>0</v>
      </c>
      <c r="S67" s="73">
        <v>59</v>
      </c>
      <c r="T67" s="71">
        <f>'normal case'!V66</f>
        <v>0</v>
      </c>
      <c r="U67" s="71">
        <f>'normal case'!W66</f>
        <v>0</v>
      </c>
    </row>
    <row r="68" spans="1:21">
      <c r="A68" s="53">
        <v>65</v>
      </c>
      <c r="B68" s="74">
        <f ca="1">IF(controls!$B$33=1,B67*(1+T68)+R68,B67*(1+T68))</f>
        <v>100</v>
      </c>
      <c r="C68" s="74">
        <f t="shared" ca="1" si="3"/>
        <v>100</v>
      </c>
      <c r="D68" s="93">
        <f t="shared" ca="1" si="2"/>
        <v>0</v>
      </c>
      <c r="E68" s="74">
        <f t="shared" ca="1" si="0"/>
        <v>100</v>
      </c>
      <c r="F68" s="74">
        <f ca="1">IF(controls!$B$33=1,'delay in perception'!H68,G68)</f>
        <v>100</v>
      </c>
      <c r="G68" s="74">
        <f ca="1">I68-'main page'!$K$27*L67</f>
        <v>100</v>
      </c>
      <c r="H68" s="74">
        <f ca="1">J68-'main page'!$K$27*L67</f>
        <v>100</v>
      </c>
      <c r="I68" s="74">
        <f t="shared" ca="1" si="5"/>
        <v>108</v>
      </c>
      <c r="J68" s="74">
        <f t="shared" ca="1" si="6"/>
        <v>108</v>
      </c>
      <c r="K68" s="74">
        <f ca="1">IF(ABS('main page'!$K$29*K67+(1-'main page'!$K$29)*(controls!$B$9/100)*100+'main page'!$K$25*(E68-B68)-K67)&lt;0.0000001,K67,'main page'!$K$29*K67+(1-'main page'!$K$29)*(controls!$B$9/100)*100+'main page'!$K$25*(E68-B68))</f>
        <v>2</v>
      </c>
      <c r="L68" s="74">
        <f ca="1">IF(controls!$B$10=1,L67,M68-'main page'!$K$29*K68-(1-'main page'!$K$29)*controls!$B$9)</f>
        <v>4</v>
      </c>
      <c r="M68" s="74">
        <f t="shared" ca="1" si="1"/>
        <v>6</v>
      </c>
      <c r="N68" s="74">
        <f ca="1">IF(controls!$B$10=1,'delay in perception'!L68+'delay in perception'!K68,'delay in perception'!O68)</f>
        <v>6</v>
      </c>
      <c r="O68" s="104">
        <f ca="1">'main page'!$K$29*K68+(1-'main page'!$K$29)*controls!$B$9+P68+(('main page'!$K$25*'main page'!$U$13*'main page'!$K$29)/('main page'!$K$27*(1+('main page'!$K$25^2)*'main page'!$U$13)))*(K68-(controls!$B$9/100)*100)</f>
        <v>6</v>
      </c>
      <c r="P68" s="98">
        <f ca="1">IF(controls!$B$33=1,(J69-E68*U69-C69+B68*T69)/'main page'!$K$27,(I69-E68*U69-C69+B68*T69)/'main page'!$K$27)</f>
        <v>4</v>
      </c>
      <c r="R68" s="71">
        <f>IF(controls!$B$6=1,'normal case'!$AL$3*(1+('main page'!$K$35/100))^S68-'normal case'!$AL$3*(1+('main page'!$K$35/100))^S67,'normal case'!$AL$3*(1+('main page'!$G$8/100))*(1+('main page'!$K$35/100))^S68-'normal case'!$AL$3*(1+('main page'!$G$8/100))*(1+('main page'!$K$35/100))^S67)</f>
        <v>0</v>
      </c>
      <c r="S68" s="73">
        <v>60</v>
      </c>
      <c r="T68" s="71">
        <f>'normal case'!V67</f>
        <v>0</v>
      </c>
      <c r="U68" s="71">
        <f>'normal case'!W67</f>
        <v>0</v>
      </c>
    </row>
    <row r="69" spans="1:21">
      <c r="A69" s="53">
        <v>66</v>
      </c>
      <c r="B69" s="74">
        <f ca="1">IF(controls!$B$33=1,B68*(1+T69)+R69,B68*(1+T69))</f>
        <v>100</v>
      </c>
      <c r="C69" s="74">
        <f t="shared" ca="1" si="3"/>
        <v>100</v>
      </c>
      <c r="D69" s="93">
        <f t="shared" ca="1" si="2"/>
        <v>0</v>
      </c>
      <c r="E69" s="74">
        <f t="shared" ref="E69:E102" ca="1" si="7">IF(F69&gt;0,F69,0.1)</f>
        <v>100</v>
      </c>
      <c r="F69" s="74">
        <f ca="1">IF(controls!$B$33=1,'delay in perception'!H69,G69)</f>
        <v>100</v>
      </c>
      <c r="G69" s="74">
        <f ca="1">I69-'main page'!$K$27*L68</f>
        <v>100</v>
      </c>
      <c r="H69" s="74">
        <f ca="1">J69-'main page'!$K$27*L68</f>
        <v>100</v>
      </c>
      <c r="I69" s="74">
        <f t="shared" ca="1" si="5"/>
        <v>108</v>
      </c>
      <c r="J69" s="74">
        <f t="shared" ca="1" si="6"/>
        <v>108</v>
      </c>
      <c r="K69" s="74">
        <f ca="1">IF(ABS('main page'!$K$29*K68+(1-'main page'!$K$29)*(controls!$B$9/100)*100+'main page'!$K$25*(E69-B69)-K68)&lt;0.0000001,K68,'main page'!$K$29*K68+(1-'main page'!$K$29)*(controls!$B$9/100)*100+'main page'!$K$25*(E69-B69))</f>
        <v>2</v>
      </c>
      <c r="L69" s="74">
        <f ca="1">IF(controls!$B$10=1,L68,M69-'main page'!$K$29*K69-(1-'main page'!$K$29)*controls!$B$9)</f>
        <v>4</v>
      </c>
      <c r="M69" s="74">
        <f t="shared" ca="1" si="1"/>
        <v>6</v>
      </c>
      <c r="N69" s="74">
        <f ca="1">IF(controls!$B$10=1,'delay in perception'!L69+'delay in perception'!K69,'delay in perception'!O69)</f>
        <v>6</v>
      </c>
      <c r="O69" s="104">
        <f ca="1">'main page'!$K$29*K69+(1-'main page'!$K$29)*controls!$B$9+P69+(('main page'!$K$25*'main page'!$U$13*'main page'!$K$29)/('main page'!$K$27*(1+('main page'!$K$25^2)*'main page'!$U$13)))*(K69-(controls!$B$9/100)*100)</f>
        <v>6</v>
      </c>
      <c r="P69" s="98">
        <f ca="1">IF(controls!$B$33=1,(J70-E69*U70-C70+B69*T70)/'main page'!$K$27,(I70-E69*U70-C70+B69*T70)/'main page'!$K$27)</f>
        <v>4</v>
      </c>
      <c r="R69" s="71">
        <f>IF(controls!$B$6=1,'normal case'!$AL$3*(1+('main page'!$K$35/100))^S69-'normal case'!$AL$3*(1+('main page'!$K$35/100))^S68,'normal case'!$AL$3*(1+('main page'!$G$8/100))*(1+('main page'!$K$35/100))^S69-'normal case'!$AL$3*(1+('main page'!$G$8/100))*(1+('main page'!$K$35/100))^S68)</f>
        <v>0</v>
      </c>
      <c r="S69" s="73">
        <v>61</v>
      </c>
      <c r="T69" s="71">
        <f ca="1">'normal case'!V68</f>
        <v>0</v>
      </c>
      <c r="U69" s="71">
        <f ca="1">'normal case'!W68</f>
        <v>0</v>
      </c>
    </row>
    <row r="70" spans="1:21">
      <c r="A70" s="53">
        <v>67</v>
      </c>
      <c r="B70" s="74">
        <f ca="1">IF(controls!$B$33=1,B69*(1+T70)+R70,B69*(1+T70))</f>
        <v>100</v>
      </c>
      <c r="C70" s="74">
        <f t="shared" ca="1" si="3"/>
        <v>100</v>
      </c>
      <c r="D70" s="93">
        <f t="shared" ca="1" si="2"/>
        <v>0</v>
      </c>
      <c r="E70" s="74">
        <f t="shared" ca="1" si="7"/>
        <v>100</v>
      </c>
      <c r="F70" s="74">
        <f ca="1">IF(controls!$B$33=1,'delay in perception'!H70,G70)</f>
        <v>100</v>
      </c>
      <c r="G70" s="74">
        <f ca="1">I70-'main page'!$K$27*L69</f>
        <v>100</v>
      </c>
      <c r="H70" s="74">
        <f ca="1">J70-'main page'!$K$27*L69</f>
        <v>100</v>
      </c>
      <c r="I70" s="74">
        <f t="shared" ca="1" si="5"/>
        <v>108</v>
      </c>
      <c r="J70" s="74">
        <f t="shared" ca="1" si="6"/>
        <v>108</v>
      </c>
      <c r="K70" s="74">
        <f ca="1">IF(ABS('main page'!$K$29*K69+(1-'main page'!$K$29)*(controls!$B$9/100)*100+'main page'!$K$25*(E70-B70)-K69)&lt;0.0000001,K69,'main page'!$K$29*K69+(1-'main page'!$K$29)*(controls!$B$9/100)*100+'main page'!$K$25*(E70-B70))</f>
        <v>2</v>
      </c>
      <c r="L70" s="74">
        <f ca="1">IF(controls!$B$10=1,L69,M70-'main page'!$K$29*K70-(1-'main page'!$K$29)*controls!$B$9)</f>
        <v>4</v>
      </c>
      <c r="M70" s="74">
        <f t="shared" ref="M70:M102" ca="1" si="8">IF(N70&lt;0,0,N70)</f>
        <v>6</v>
      </c>
      <c r="N70" s="74">
        <f ca="1">IF(controls!$B$10=1,'delay in perception'!L70+'delay in perception'!K70,'delay in perception'!O70)</f>
        <v>6</v>
      </c>
      <c r="O70" s="104">
        <f ca="1">'main page'!$K$29*K70+(1-'main page'!$K$29)*controls!$B$9+P70+(('main page'!$K$25*'main page'!$U$13*'main page'!$K$29)/('main page'!$K$27*(1+('main page'!$K$25^2)*'main page'!$U$13)))*(K70-(controls!$B$9/100)*100)</f>
        <v>6</v>
      </c>
      <c r="P70" s="98">
        <f ca="1">IF(controls!$B$33=1,(J71-E70*U71-C71+B70*T71)/'main page'!$K$27,(I71-E70*U71-C71+B70*T71)/'main page'!$K$27)</f>
        <v>4</v>
      </c>
      <c r="R70" s="71">
        <f>IF(controls!$B$6=1,'normal case'!$AL$3*(1+('main page'!$K$35/100))^S70-'normal case'!$AL$3*(1+('main page'!$K$35/100))^S69,'normal case'!$AL$3*(1+('main page'!$G$8/100))*(1+('main page'!$K$35/100))^S70-'normal case'!$AL$3*(1+('main page'!$G$8/100))*(1+('main page'!$K$35/100))^S69)</f>
        <v>0</v>
      </c>
      <c r="S70" s="73">
        <v>62</v>
      </c>
      <c r="T70" s="71">
        <f>'normal case'!V69</f>
        <v>0</v>
      </c>
      <c r="U70" s="71">
        <f>'normal case'!W69</f>
        <v>0</v>
      </c>
    </row>
    <row r="71" spans="1:21">
      <c r="A71" s="53">
        <v>68</v>
      </c>
      <c r="B71" s="74">
        <f ca="1">IF(controls!$B$33=1,B70*(1+T71)+R71,B70*(1+T71))</f>
        <v>100</v>
      </c>
      <c r="C71" s="74">
        <f t="shared" ca="1" si="3"/>
        <v>100</v>
      </c>
      <c r="D71" s="93">
        <f t="shared" ref="D71:D102" ca="1" si="9">IF(ABS((E71/E70-1)-D70)&lt;0.000001,D70,E71/E70-1)</f>
        <v>0</v>
      </c>
      <c r="E71" s="74">
        <f t="shared" ca="1" si="7"/>
        <v>100</v>
      </c>
      <c r="F71" s="74">
        <f ca="1">IF(controls!$B$33=1,'delay in perception'!H71,G71)</f>
        <v>100</v>
      </c>
      <c r="G71" s="74">
        <f ca="1">I71-'main page'!$K$27*L70</f>
        <v>100</v>
      </c>
      <c r="H71" s="74">
        <f ca="1">J71-'main page'!$K$27*L70</f>
        <v>100</v>
      </c>
      <c r="I71" s="74">
        <f t="shared" ca="1" si="5"/>
        <v>108</v>
      </c>
      <c r="J71" s="74">
        <f t="shared" ca="1" si="6"/>
        <v>108</v>
      </c>
      <c r="K71" s="74">
        <f ca="1">IF(ABS('main page'!$K$29*K70+(1-'main page'!$K$29)*(controls!$B$9/100)*100+'main page'!$K$25*(E71-B71)-K70)&lt;0.0000001,K70,'main page'!$K$29*K70+(1-'main page'!$K$29)*(controls!$B$9/100)*100+'main page'!$K$25*(E71-B71))</f>
        <v>2</v>
      </c>
      <c r="L71" s="74">
        <f ca="1">IF(controls!$B$10=1,L70,M71-'main page'!$K$29*K71-(1-'main page'!$K$29)*controls!$B$9)</f>
        <v>4</v>
      </c>
      <c r="M71" s="74">
        <f t="shared" ca="1" si="8"/>
        <v>6</v>
      </c>
      <c r="N71" s="74">
        <f ca="1">IF(controls!$B$10=1,'delay in perception'!L71+'delay in perception'!K71,'delay in perception'!O71)</f>
        <v>6</v>
      </c>
      <c r="O71" s="104">
        <f ca="1">'main page'!$K$29*K71+(1-'main page'!$K$29)*controls!$B$9+P71+(('main page'!$K$25*'main page'!$U$13*'main page'!$K$29)/('main page'!$K$27*(1+('main page'!$K$25^2)*'main page'!$U$13)))*(K71-(controls!$B$9/100)*100)</f>
        <v>6</v>
      </c>
      <c r="P71" s="98">
        <f ca="1">IF(controls!$B$33=1,(J72-E71*U72-C72+B71*T72)/'main page'!$K$27,(I72-E71*U72-C72+B71*T72)/'main page'!$K$27)</f>
        <v>4</v>
      </c>
      <c r="R71" s="71">
        <f>IF(controls!$B$6=1,'normal case'!$AL$3*(1+('main page'!$K$35/100))^S71-'normal case'!$AL$3*(1+('main page'!$K$35/100))^S70,'normal case'!$AL$3*(1+('main page'!$G$8/100))*(1+('main page'!$K$35/100))^S71-'normal case'!$AL$3*(1+('main page'!$G$8/100))*(1+('main page'!$K$35/100))^S70)</f>
        <v>0</v>
      </c>
      <c r="S71" s="73">
        <v>63</v>
      </c>
      <c r="T71" s="71">
        <f>'normal case'!V70</f>
        <v>0</v>
      </c>
      <c r="U71" s="71">
        <f>'normal case'!W70</f>
        <v>0</v>
      </c>
    </row>
    <row r="72" spans="1:21">
      <c r="A72" s="53">
        <v>69</v>
      </c>
      <c r="B72" s="74">
        <f ca="1">IF(controls!$B$33=1,B71*(1+T72)+R72,B71*(1+T72))</f>
        <v>100</v>
      </c>
      <c r="C72" s="74">
        <f t="shared" ca="1" si="3"/>
        <v>100</v>
      </c>
      <c r="D72" s="93">
        <f t="shared" ca="1" si="9"/>
        <v>0</v>
      </c>
      <c r="E72" s="74">
        <f t="shared" ca="1" si="7"/>
        <v>100</v>
      </c>
      <c r="F72" s="74">
        <f ca="1">IF(controls!$B$33=1,'delay in perception'!H72,G72)</f>
        <v>100</v>
      </c>
      <c r="G72" s="74">
        <f ca="1">I72-'main page'!$K$27*L71</f>
        <v>100</v>
      </c>
      <c r="H72" s="74">
        <f ca="1">J72-'main page'!$K$27*L71</f>
        <v>100</v>
      </c>
      <c r="I72" s="74">
        <f t="shared" ca="1" si="5"/>
        <v>108</v>
      </c>
      <c r="J72" s="74">
        <f t="shared" ca="1" si="6"/>
        <v>108</v>
      </c>
      <c r="K72" s="74">
        <f ca="1">IF(ABS('main page'!$K$29*K71+(1-'main page'!$K$29)*(controls!$B$9/100)*100+'main page'!$K$25*(E72-B72)-K71)&lt;0.0000001,K71,'main page'!$K$29*K71+(1-'main page'!$K$29)*(controls!$B$9/100)*100+'main page'!$K$25*(E72-B72))</f>
        <v>2</v>
      </c>
      <c r="L72" s="74">
        <f ca="1">IF(controls!$B$10=1,L71,M72-'main page'!$K$29*K72-(1-'main page'!$K$29)*controls!$B$9)</f>
        <v>4</v>
      </c>
      <c r="M72" s="74">
        <f t="shared" ca="1" si="8"/>
        <v>6</v>
      </c>
      <c r="N72" s="74">
        <f ca="1">IF(controls!$B$10=1,'delay in perception'!L72+'delay in perception'!K72,'delay in perception'!O72)</f>
        <v>6</v>
      </c>
      <c r="O72" s="104">
        <f ca="1">'main page'!$K$29*K72+(1-'main page'!$K$29)*controls!$B$9+P72+(('main page'!$K$25*'main page'!$U$13*'main page'!$K$29)/('main page'!$K$27*(1+('main page'!$K$25^2)*'main page'!$U$13)))*(K72-(controls!$B$9/100)*100)</f>
        <v>6</v>
      </c>
      <c r="P72" s="98">
        <f ca="1">IF(controls!$B$33=1,(J73-E72*U73-C73+B72*T73)/'main page'!$K$27,(I73-E72*U73-C73+B72*T73)/'main page'!$K$27)</f>
        <v>4</v>
      </c>
      <c r="R72" s="71">
        <f>IF(controls!$B$6=1,'normal case'!$AL$3*(1+('main page'!$K$35/100))^S72-'normal case'!$AL$3*(1+('main page'!$K$35/100))^S71,'normal case'!$AL$3*(1+('main page'!$G$8/100))*(1+('main page'!$K$35/100))^S72-'normal case'!$AL$3*(1+('main page'!$G$8/100))*(1+('main page'!$K$35/100))^S71)</f>
        <v>0</v>
      </c>
      <c r="S72" s="73">
        <v>64</v>
      </c>
      <c r="T72" s="71">
        <f ca="1">'normal case'!V71</f>
        <v>0</v>
      </c>
      <c r="U72" s="71">
        <f ca="1">'normal case'!W71</f>
        <v>0</v>
      </c>
    </row>
    <row r="73" spans="1:21">
      <c r="A73" s="53">
        <v>70</v>
      </c>
      <c r="B73" s="74">
        <f ca="1">IF(controls!$B$33=1,B72*(1+T73)+R73,B72*(1+T73))</f>
        <v>100</v>
      </c>
      <c r="C73" s="74">
        <f t="shared" ca="1" si="3"/>
        <v>100</v>
      </c>
      <c r="D73" s="93">
        <f t="shared" ca="1" si="9"/>
        <v>0</v>
      </c>
      <c r="E73" s="74">
        <f t="shared" ca="1" si="7"/>
        <v>100</v>
      </c>
      <c r="F73" s="74">
        <f ca="1">IF(controls!$B$33=1,'delay in perception'!H73,G73)</f>
        <v>100</v>
      </c>
      <c r="G73" s="74">
        <f ca="1">I73-'main page'!$K$27*L72</f>
        <v>100</v>
      </c>
      <c r="H73" s="74">
        <f ca="1">J73-'main page'!$K$27*L72</f>
        <v>100</v>
      </c>
      <c r="I73" s="74">
        <f t="shared" ca="1" si="5"/>
        <v>108</v>
      </c>
      <c r="J73" s="74">
        <f t="shared" ca="1" si="6"/>
        <v>108</v>
      </c>
      <c r="K73" s="74">
        <f ca="1">IF(ABS('main page'!$K$29*K72+(1-'main page'!$K$29)*(controls!$B$9/100)*100+'main page'!$K$25*(E73-B73)-K72)&lt;0.0000001,K72,'main page'!$K$29*K72+(1-'main page'!$K$29)*(controls!$B$9/100)*100+'main page'!$K$25*(E73-B73))</f>
        <v>2</v>
      </c>
      <c r="L73" s="74">
        <f ca="1">IF(controls!$B$10=1,L72,M73-'main page'!$K$29*K73-(1-'main page'!$K$29)*controls!$B$9)</f>
        <v>4</v>
      </c>
      <c r="M73" s="74">
        <f t="shared" ca="1" si="8"/>
        <v>6</v>
      </c>
      <c r="N73" s="74">
        <f ca="1">IF(controls!$B$10=1,'delay in perception'!L73+'delay in perception'!K73,'delay in perception'!O73)</f>
        <v>6</v>
      </c>
      <c r="O73" s="104">
        <f ca="1">'main page'!$K$29*K73+(1-'main page'!$K$29)*controls!$B$9+P73+(('main page'!$K$25*'main page'!$U$13*'main page'!$K$29)/('main page'!$K$27*(1+('main page'!$K$25^2)*'main page'!$U$13)))*(K73-(controls!$B$9/100)*100)</f>
        <v>6</v>
      </c>
      <c r="P73" s="98">
        <f ca="1">IF(controls!$B$33=1,(J74-E73*U74-C74+B73*T74)/'main page'!$K$27,(I74-E73*U74-C74+B73*T74)/'main page'!$K$27)</f>
        <v>4</v>
      </c>
      <c r="R73" s="71">
        <f>IF(controls!$B$6=1,'normal case'!$AL$3*(1+('main page'!$K$35/100))^S73-'normal case'!$AL$3*(1+('main page'!$K$35/100))^S72,'normal case'!$AL$3*(1+('main page'!$G$8/100))*(1+('main page'!$K$35/100))^S73-'normal case'!$AL$3*(1+('main page'!$G$8/100))*(1+('main page'!$K$35/100))^S72)</f>
        <v>0</v>
      </c>
      <c r="S73" s="73">
        <v>65</v>
      </c>
      <c r="T73" s="71">
        <f>'normal case'!V72</f>
        <v>0</v>
      </c>
      <c r="U73" s="71">
        <f>'normal case'!W72</f>
        <v>0</v>
      </c>
    </row>
    <row r="74" spans="1:21">
      <c r="A74" s="53">
        <v>71</v>
      </c>
      <c r="B74" s="74">
        <f ca="1">IF(controls!$B$33=1,B73*(1+T74)+R74,B73*(1+T74))</f>
        <v>100</v>
      </c>
      <c r="C74" s="74">
        <f t="shared" ca="1" si="3"/>
        <v>100</v>
      </c>
      <c r="D74" s="93">
        <f t="shared" ca="1" si="9"/>
        <v>0</v>
      </c>
      <c r="E74" s="74">
        <f t="shared" ca="1" si="7"/>
        <v>100</v>
      </c>
      <c r="F74" s="74">
        <f ca="1">IF(controls!$B$33=1,'delay in perception'!H74,G74)</f>
        <v>100</v>
      </c>
      <c r="G74" s="74">
        <f ca="1">I74-'main page'!$K$27*L73</f>
        <v>100</v>
      </c>
      <c r="H74" s="74">
        <f ca="1">J74-'main page'!$K$27*L73</f>
        <v>100</v>
      </c>
      <c r="I74" s="74">
        <f t="shared" ca="1" si="5"/>
        <v>108</v>
      </c>
      <c r="J74" s="74">
        <f t="shared" ca="1" si="6"/>
        <v>108</v>
      </c>
      <c r="K74" s="74">
        <f ca="1">IF(ABS('main page'!$K$29*K73+(1-'main page'!$K$29)*(controls!$B$9/100)*100+'main page'!$K$25*(E74-B74)-K73)&lt;0.0000001,K73,'main page'!$K$29*K73+(1-'main page'!$K$29)*(controls!$B$9/100)*100+'main page'!$K$25*(E74-B74))</f>
        <v>2</v>
      </c>
      <c r="L74" s="74">
        <f ca="1">IF(controls!$B$10=1,L73,M74-'main page'!$K$29*K74-(1-'main page'!$K$29)*controls!$B$9)</f>
        <v>4</v>
      </c>
      <c r="M74" s="74">
        <f t="shared" ca="1" si="8"/>
        <v>6</v>
      </c>
      <c r="N74" s="74">
        <f ca="1">IF(controls!$B$10=1,'delay in perception'!L74+'delay in perception'!K74,'delay in perception'!O74)</f>
        <v>6</v>
      </c>
      <c r="O74" s="104">
        <f ca="1">'main page'!$K$29*K74+(1-'main page'!$K$29)*controls!$B$9+P74+(('main page'!$K$25*'main page'!$U$13*'main page'!$K$29)/('main page'!$K$27*(1+('main page'!$K$25^2)*'main page'!$U$13)))*(K74-(controls!$B$9/100)*100)</f>
        <v>6</v>
      </c>
      <c r="P74" s="98">
        <f ca="1">IF(controls!$B$33=1,(J75-E74*U75-C75+B74*T75)/'main page'!$K$27,(I75-E74*U75-C75+B74*T75)/'main page'!$K$27)</f>
        <v>4</v>
      </c>
      <c r="R74" s="71">
        <f>IF(controls!$B$6=1,'normal case'!$AL$3*(1+('main page'!$K$35/100))^S74-'normal case'!$AL$3*(1+('main page'!$K$35/100))^S73,'normal case'!$AL$3*(1+('main page'!$G$8/100))*(1+('main page'!$K$35/100))^S74-'normal case'!$AL$3*(1+('main page'!$G$8/100))*(1+('main page'!$K$35/100))^S73)</f>
        <v>0</v>
      </c>
      <c r="S74" s="73">
        <v>66</v>
      </c>
      <c r="T74" s="71">
        <f>'normal case'!V73</f>
        <v>0</v>
      </c>
      <c r="U74" s="71">
        <f>'normal case'!W73</f>
        <v>0</v>
      </c>
    </row>
    <row r="75" spans="1:21">
      <c r="A75" s="53">
        <v>72</v>
      </c>
      <c r="B75" s="74">
        <f ca="1">IF(controls!$B$33=1,B74*(1+T75)+R75,B74*(1+T75))</f>
        <v>100</v>
      </c>
      <c r="C75" s="74">
        <f t="shared" ca="1" si="3"/>
        <v>100</v>
      </c>
      <c r="D75" s="93">
        <f t="shared" ca="1" si="9"/>
        <v>0</v>
      </c>
      <c r="E75" s="74">
        <f t="shared" ca="1" si="7"/>
        <v>100</v>
      </c>
      <c r="F75" s="74">
        <f ca="1">IF(controls!$B$33=1,'delay in perception'!H75,G75)</f>
        <v>100</v>
      </c>
      <c r="G75" s="74">
        <f ca="1">I75-'main page'!$K$27*L74</f>
        <v>100</v>
      </c>
      <c r="H75" s="74">
        <f ca="1">J75-'main page'!$K$27*L74</f>
        <v>100</v>
      </c>
      <c r="I75" s="74">
        <f t="shared" ca="1" si="5"/>
        <v>108</v>
      </c>
      <c r="J75" s="74">
        <f t="shared" ca="1" si="6"/>
        <v>108</v>
      </c>
      <c r="K75" s="74">
        <f ca="1">IF(ABS('main page'!$K$29*K74+(1-'main page'!$K$29)*(controls!$B$9/100)*100+'main page'!$K$25*(E75-B75)-K74)&lt;0.0000001,K74,'main page'!$K$29*K74+(1-'main page'!$K$29)*(controls!$B$9/100)*100+'main page'!$K$25*(E75-B75))</f>
        <v>2</v>
      </c>
      <c r="L75" s="74">
        <f ca="1">IF(controls!$B$10=1,L74,M75-'main page'!$K$29*K75-(1-'main page'!$K$29)*controls!$B$9)</f>
        <v>4</v>
      </c>
      <c r="M75" s="74">
        <f t="shared" ca="1" si="8"/>
        <v>6</v>
      </c>
      <c r="N75" s="74">
        <f ca="1">IF(controls!$B$10=1,'delay in perception'!L75+'delay in perception'!K75,'delay in perception'!O75)</f>
        <v>6</v>
      </c>
      <c r="O75" s="104">
        <f ca="1">'main page'!$K$29*K75+(1-'main page'!$K$29)*controls!$B$9+P75+(('main page'!$K$25*'main page'!$U$13*'main page'!$K$29)/('main page'!$K$27*(1+('main page'!$K$25^2)*'main page'!$U$13)))*(K75-(controls!$B$9/100)*100)</f>
        <v>6</v>
      </c>
      <c r="P75" s="98">
        <f ca="1">IF(controls!$B$33=1,(J76-E75*U76-C76+B75*T76)/'main page'!$K$27,(I76-E75*U76-C76+B75*T76)/'main page'!$K$27)</f>
        <v>4</v>
      </c>
      <c r="R75" s="71">
        <f>IF(controls!$B$6=1,'normal case'!$AL$3*(1+('main page'!$K$35/100))^S75-'normal case'!$AL$3*(1+('main page'!$K$35/100))^S74,'normal case'!$AL$3*(1+('main page'!$G$8/100))*(1+('main page'!$K$35/100))^S75-'normal case'!$AL$3*(1+('main page'!$G$8/100))*(1+('main page'!$K$35/100))^S74)</f>
        <v>0</v>
      </c>
      <c r="S75" s="73">
        <v>67</v>
      </c>
      <c r="T75" s="71">
        <f ca="1">'normal case'!V74</f>
        <v>0</v>
      </c>
      <c r="U75" s="71">
        <f ca="1">'normal case'!W74</f>
        <v>0</v>
      </c>
    </row>
    <row r="76" spans="1:21">
      <c r="A76" s="53">
        <v>73</v>
      </c>
      <c r="B76" s="74">
        <f ca="1">IF(controls!$B$33=1,B75*(1+T76)+R76,B75*(1+T76))</f>
        <v>100</v>
      </c>
      <c r="C76" s="74">
        <f t="shared" ca="1" si="3"/>
        <v>100</v>
      </c>
      <c r="D76" s="93">
        <f t="shared" ca="1" si="9"/>
        <v>0</v>
      </c>
      <c r="E76" s="74">
        <f t="shared" ca="1" si="7"/>
        <v>100</v>
      </c>
      <c r="F76" s="74">
        <f ca="1">IF(controls!$B$33=1,'delay in perception'!H76,G76)</f>
        <v>100</v>
      </c>
      <c r="G76" s="74">
        <f ca="1">I76-'main page'!$K$27*L75</f>
        <v>100</v>
      </c>
      <c r="H76" s="74">
        <f ca="1">J76-'main page'!$K$27*L75</f>
        <v>100</v>
      </c>
      <c r="I76" s="74">
        <f t="shared" ca="1" si="5"/>
        <v>108</v>
      </c>
      <c r="J76" s="74">
        <f t="shared" ca="1" si="6"/>
        <v>108</v>
      </c>
      <c r="K76" s="74">
        <f ca="1">IF(ABS('main page'!$K$29*K75+(1-'main page'!$K$29)*(controls!$B$9/100)*100+'main page'!$K$25*(E76-B76)-K75)&lt;0.0000001,K75,'main page'!$K$29*K75+(1-'main page'!$K$29)*(controls!$B$9/100)*100+'main page'!$K$25*(E76-B76))</f>
        <v>2</v>
      </c>
      <c r="L76" s="74">
        <f ca="1">IF(controls!$B$10=1,L75,M76-'main page'!$K$29*K76-(1-'main page'!$K$29)*controls!$B$9)</f>
        <v>4</v>
      </c>
      <c r="M76" s="74">
        <f t="shared" ca="1" si="8"/>
        <v>6</v>
      </c>
      <c r="N76" s="74">
        <f ca="1">IF(controls!$B$10=1,'delay in perception'!L76+'delay in perception'!K76,'delay in perception'!O76)</f>
        <v>6</v>
      </c>
      <c r="O76" s="104">
        <f ca="1">'main page'!$K$29*K76+(1-'main page'!$K$29)*controls!$B$9+P76+(('main page'!$K$25*'main page'!$U$13*'main page'!$K$29)/('main page'!$K$27*(1+('main page'!$K$25^2)*'main page'!$U$13)))*(K76-(controls!$B$9/100)*100)</f>
        <v>6</v>
      </c>
      <c r="P76" s="98">
        <f ca="1">IF(controls!$B$33=1,(J77-E76*U77-C77+B76*T77)/'main page'!$K$27,(I77-E76*U77-C77+B76*T77)/'main page'!$K$27)</f>
        <v>4</v>
      </c>
      <c r="R76" s="71">
        <f>IF(controls!$B$6=1,'normal case'!$AL$3*(1+('main page'!$K$35/100))^S76-'normal case'!$AL$3*(1+('main page'!$K$35/100))^S75,'normal case'!$AL$3*(1+('main page'!$G$8/100))*(1+('main page'!$K$35/100))^S76-'normal case'!$AL$3*(1+('main page'!$G$8/100))*(1+('main page'!$K$35/100))^S75)</f>
        <v>0</v>
      </c>
      <c r="S76" s="73">
        <v>68</v>
      </c>
      <c r="T76" s="71">
        <f>'normal case'!V75</f>
        <v>0</v>
      </c>
      <c r="U76" s="71">
        <f>'normal case'!W75</f>
        <v>0</v>
      </c>
    </row>
    <row r="77" spans="1:21">
      <c r="A77" s="53">
        <v>74</v>
      </c>
      <c r="B77" s="74">
        <f ca="1">IF(controls!$B$33=1,B76*(1+T77)+R77,B76*(1+T77))</f>
        <v>100</v>
      </c>
      <c r="C77" s="74">
        <f t="shared" ca="1" si="3"/>
        <v>100</v>
      </c>
      <c r="D77" s="93">
        <f t="shared" ca="1" si="9"/>
        <v>0</v>
      </c>
      <c r="E77" s="74">
        <f t="shared" ca="1" si="7"/>
        <v>100</v>
      </c>
      <c r="F77" s="74">
        <f ca="1">IF(controls!$B$33=1,'delay in perception'!H77,G77)</f>
        <v>100</v>
      </c>
      <c r="G77" s="74">
        <f ca="1">I77-'main page'!$K$27*L76</f>
        <v>100</v>
      </c>
      <c r="H77" s="74">
        <f ca="1">J77-'main page'!$K$27*L76</f>
        <v>100</v>
      </c>
      <c r="I77" s="74">
        <f t="shared" ca="1" si="5"/>
        <v>108</v>
      </c>
      <c r="J77" s="74">
        <f t="shared" ca="1" si="6"/>
        <v>108</v>
      </c>
      <c r="K77" s="74">
        <f ca="1">IF(ABS('main page'!$K$29*K76+(1-'main page'!$K$29)*(controls!$B$9/100)*100+'main page'!$K$25*(E77-B77)-K76)&lt;0.0000001,K76,'main page'!$K$29*K76+(1-'main page'!$K$29)*(controls!$B$9/100)*100+'main page'!$K$25*(E77-B77))</f>
        <v>2</v>
      </c>
      <c r="L77" s="74">
        <f ca="1">IF(controls!$B$10=1,L76,M77-'main page'!$K$29*K77-(1-'main page'!$K$29)*controls!$B$9)</f>
        <v>4</v>
      </c>
      <c r="M77" s="74">
        <f t="shared" ca="1" si="8"/>
        <v>6</v>
      </c>
      <c r="N77" s="74">
        <f ca="1">IF(controls!$B$10=1,'delay in perception'!L77+'delay in perception'!K77,'delay in perception'!O77)</f>
        <v>6</v>
      </c>
      <c r="O77" s="104">
        <f ca="1">'main page'!$K$29*K77+(1-'main page'!$K$29)*controls!$B$9+P77+(('main page'!$K$25*'main page'!$U$13*'main page'!$K$29)/('main page'!$K$27*(1+('main page'!$K$25^2)*'main page'!$U$13)))*(K77-(controls!$B$9/100)*100)</f>
        <v>6</v>
      </c>
      <c r="P77" s="98">
        <f ca="1">IF(controls!$B$33=1,(J78-E77*U78-C78+B77*T78)/'main page'!$K$27,(I78-E77*U78-C78+B77*T78)/'main page'!$K$27)</f>
        <v>4</v>
      </c>
      <c r="R77" s="71">
        <f>IF(controls!$B$6=1,'normal case'!$AL$3*(1+('main page'!$K$35/100))^S77-'normal case'!$AL$3*(1+('main page'!$K$35/100))^S76,'normal case'!$AL$3*(1+('main page'!$G$8/100))*(1+('main page'!$K$35/100))^S77-'normal case'!$AL$3*(1+('main page'!$G$8/100))*(1+('main page'!$K$35/100))^S76)</f>
        <v>0</v>
      </c>
      <c r="S77" s="73">
        <v>69</v>
      </c>
      <c r="T77" s="71">
        <f>'normal case'!V76</f>
        <v>0</v>
      </c>
      <c r="U77" s="71">
        <f>'normal case'!W76</f>
        <v>0</v>
      </c>
    </row>
    <row r="78" spans="1:21">
      <c r="A78" s="53">
        <v>75</v>
      </c>
      <c r="B78" s="74">
        <f ca="1">IF(controls!$B$33=1,B77*(1+T78)+R78,B77*(1+T78))</f>
        <v>100</v>
      </c>
      <c r="C78" s="74">
        <f t="shared" ref="C78:C102" ca="1" si="10">B78</f>
        <v>100</v>
      </c>
      <c r="D78" s="93">
        <f t="shared" ca="1" si="9"/>
        <v>0</v>
      </c>
      <c r="E78" s="74">
        <f t="shared" ca="1" si="7"/>
        <v>100</v>
      </c>
      <c r="F78" s="74">
        <f ca="1">IF(controls!$B$33=1,'delay in perception'!H78,G78)</f>
        <v>100</v>
      </c>
      <c r="G78" s="74">
        <f ca="1">I78-'main page'!$K$27*L77</f>
        <v>100</v>
      </c>
      <c r="H78" s="74">
        <f ca="1">J78-'main page'!$K$27*L77</f>
        <v>100</v>
      </c>
      <c r="I78" s="74">
        <f t="shared" ca="1" si="5"/>
        <v>108</v>
      </c>
      <c r="J78" s="74">
        <f t="shared" ref="J78:J102" ca="1" si="11">J77+H77*U78+R78</f>
        <v>108</v>
      </c>
      <c r="K78" s="74">
        <f ca="1">IF(ABS('main page'!$K$29*K77+(1-'main page'!$K$29)*(controls!$B$9/100)*100+'main page'!$K$25*(E78-B78)-K77)&lt;0.0000001,K77,'main page'!$K$29*K77+(1-'main page'!$K$29)*(controls!$B$9/100)*100+'main page'!$K$25*(E78-B78))</f>
        <v>2</v>
      </c>
      <c r="L78" s="74">
        <f ca="1">IF(controls!$B$10=1,L77,M78-'main page'!$K$29*K78-(1-'main page'!$K$29)*controls!$B$9)</f>
        <v>4</v>
      </c>
      <c r="M78" s="74">
        <f t="shared" ca="1" si="8"/>
        <v>6</v>
      </c>
      <c r="N78" s="74">
        <f ca="1">IF(controls!$B$10=1,'delay in perception'!L78+'delay in perception'!K78,'delay in perception'!O78)</f>
        <v>6</v>
      </c>
      <c r="O78" s="104">
        <f ca="1">'main page'!$K$29*K78+(1-'main page'!$K$29)*controls!$B$9+P78+(('main page'!$K$25*'main page'!$U$13*'main page'!$K$29)/('main page'!$K$27*(1+('main page'!$K$25^2)*'main page'!$U$13)))*(K78-(controls!$B$9/100)*100)</f>
        <v>6</v>
      </c>
      <c r="P78" s="98">
        <f ca="1">IF(controls!$B$33=1,(J79-E78*U79-C79+B78*T79)/'main page'!$K$27,(I79-E78*U79-C79+B78*T79)/'main page'!$K$27)</f>
        <v>4</v>
      </c>
      <c r="R78" s="71">
        <f>IF(controls!$B$6=1,'normal case'!$AL$3*(1+('main page'!$K$35/100))^S78-'normal case'!$AL$3*(1+('main page'!$K$35/100))^S77,'normal case'!$AL$3*(1+('main page'!$G$8/100))*(1+('main page'!$K$35/100))^S78-'normal case'!$AL$3*(1+('main page'!$G$8/100))*(1+('main page'!$K$35/100))^S77)</f>
        <v>0</v>
      </c>
      <c r="S78" s="73">
        <v>70</v>
      </c>
      <c r="T78" s="71">
        <f ca="1">'normal case'!V77</f>
        <v>0</v>
      </c>
      <c r="U78" s="71">
        <f ca="1">'normal case'!W77</f>
        <v>0</v>
      </c>
    </row>
    <row r="79" spans="1:21">
      <c r="A79" s="53">
        <v>76</v>
      </c>
      <c r="B79" s="74">
        <f ca="1">IF(controls!$B$33=1,B78*(1+T79)+R79,B78*(1+T79))</f>
        <v>100</v>
      </c>
      <c r="C79" s="74">
        <f t="shared" ca="1" si="10"/>
        <v>100</v>
      </c>
      <c r="D79" s="93">
        <f t="shared" ca="1" si="9"/>
        <v>0</v>
      </c>
      <c r="E79" s="74">
        <f t="shared" ca="1" si="7"/>
        <v>100</v>
      </c>
      <c r="F79" s="74">
        <f ca="1">IF(controls!$B$33=1,'delay in perception'!H79,G79)</f>
        <v>100</v>
      </c>
      <c r="G79" s="74">
        <f ca="1">I79-'main page'!$K$27*L78</f>
        <v>100</v>
      </c>
      <c r="H79" s="74">
        <f ca="1">J79-'main page'!$K$27*L78</f>
        <v>100</v>
      </c>
      <c r="I79" s="74">
        <f t="shared" ca="1" si="5"/>
        <v>108</v>
      </c>
      <c r="J79" s="74">
        <f t="shared" ca="1" si="11"/>
        <v>108</v>
      </c>
      <c r="K79" s="74">
        <f ca="1">IF(ABS('main page'!$K$29*K78+(1-'main page'!$K$29)*(controls!$B$9/100)*100+'main page'!$K$25*(E79-B79)-K78)&lt;0.0000001,K78,'main page'!$K$29*K78+(1-'main page'!$K$29)*(controls!$B$9/100)*100+'main page'!$K$25*(E79-B79))</f>
        <v>2</v>
      </c>
      <c r="L79" s="74">
        <f ca="1">IF(controls!$B$10=1,L78,M79-'main page'!$K$29*K79-(1-'main page'!$K$29)*controls!$B$9)</f>
        <v>4</v>
      </c>
      <c r="M79" s="74">
        <f t="shared" ca="1" si="8"/>
        <v>6</v>
      </c>
      <c r="N79" s="74">
        <f ca="1">IF(controls!$B$10=1,'delay in perception'!L79+'delay in perception'!K79,'delay in perception'!O79)</f>
        <v>6</v>
      </c>
      <c r="O79" s="104">
        <f ca="1">'main page'!$K$29*K79+(1-'main page'!$K$29)*controls!$B$9+P79+(('main page'!$K$25*'main page'!$U$13*'main page'!$K$29)/('main page'!$K$27*(1+('main page'!$K$25^2)*'main page'!$U$13)))*(K79-(controls!$B$9/100)*100)</f>
        <v>6</v>
      </c>
      <c r="P79" s="98">
        <f ca="1">IF(controls!$B$33=1,(J80-E79*U80-C80+B79*T80)/'main page'!$K$27,(I80-E79*U80-C80+B79*T80)/'main page'!$K$27)</f>
        <v>4</v>
      </c>
      <c r="R79" s="71">
        <f>IF(controls!$B$6=1,'normal case'!$AL$3*(1+('main page'!$K$35/100))^S79-'normal case'!$AL$3*(1+('main page'!$K$35/100))^S78,'normal case'!$AL$3*(1+('main page'!$G$8/100))*(1+('main page'!$K$35/100))^S79-'normal case'!$AL$3*(1+('main page'!$G$8/100))*(1+('main page'!$K$35/100))^S78)</f>
        <v>0</v>
      </c>
      <c r="S79" s="73">
        <v>71</v>
      </c>
      <c r="T79" s="71">
        <f>'normal case'!V78</f>
        <v>0</v>
      </c>
      <c r="U79" s="71">
        <f>'normal case'!W78</f>
        <v>0</v>
      </c>
    </row>
    <row r="80" spans="1:21">
      <c r="A80" s="53">
        <v>77</v>
      </c>
      <c r="B80" s="74">
        <f ca="1">IF(controls!$B$33=1,B79*(1+T80)+R80,B79*(1+T80))</f>
        <v>100</v>
      </c>
      <c r="C80" s="74">
        <f t="shared" ca="1" si="10"/>
        <v>100</v>
      </c>
      <c r="D80" s="93">
        <f t="shared" ca="1" si="9"/>
        <v>0</v>
      </c>
      <c r="E80" s="74">
        <f t="shared" ca="1" si="7"/>
        <v>100</v>
      </c>
      <c r="F80" s="74">
        <f ca="1">IF(controls!$B$33=1,'delay in perception'!H80,G80)</f>
        <v>100</v>
      </c>
      <c r="G80" s="74">
        <f ca="1">I80-'main page'!$K$27*L79</f>
        <v>100</v>
      </c>
      <c r="H80" s="74">
        <f ca="1">J80-'main page'!$K$27*L79</f>
        <v>100</v>
      </c>
      <c r="I80" s="74">
        <f t="shared" ca="1" si="5"/>
        <v>108</v>
      </c>
      <c r="J80" s="74">
        <f t="shared" ca="1" si="11"/>
        <v>108</v>
      </c>
      <c r="K80" s="74">
        <f ca="1">IF(ABS('main page'!$K$29*K79+(1-'main page'!$K$29)*(controls!$B$9/100)*100+'main page'!$K$25*(E80-B80)-K79)&lt;0.0000001,K79,'main page'!$K$29*K79+(1-'main page'!$K$29)*(controls!$B$9/100)*100+'main page'!$K$25*(E80-B80))</f>
        <v>2</v>
      </c>
      <c r="L80" s="74">
        <f ca="1">IF(controls!$B$10=1,L79,M80-'main page'!$K$29*K80-(1-'main page'!$K$29)*controls!$B$9)</f>
        <v>4</v>
      </c>
      <c r="M80" s="74">
        <f t="shared" ca="1" si="8"/>
        <v>6</v>
      </c>
      <c r="N80" s="74">
        <f ca="1">IF(controls!$B$10=1,'delay in perception'!L80+'delay in perception'!K80,'delay in perception'!O80)</f>
        <v>6</v>
      </c>
      <c r="O80" s="104">
        <f ca="1">'main page'!$K$29*K80+(1-'main page'!$K$29)*controls!$B$9+P80+(('main page'!$K$25*'main page'!$U$13*'main page'!$K$29)/('main page'!$K$27*(1+('main page'!$K$25^2)*'main page'!$U$13)))*(K80-(controls!$B$9/100)*100)</f>
        <v>6</v>
      </c>
      <c r="P80" s="98">
        <f ca="1">IF(controls!$B$33=1,(J81-E80*U81-C81+B80*T81)/'main page'!$K$27,(I81-E80*U81-C81+B80*T81)/'main page'!$K$27)</f>
        <v>4</v>
      </c>
      <c r="R80" s="71">
        <f>IF(controls!$B$6=1,'normal case'!$AL$3*(1+('main page'!$K$35/100))^S80-'normal case'!$AL$3*(1+('main page'!$K$35/100))^S79,'normal case'!$AL$3*(1+('main page'!$G$8/100))*(1+('main page'!$K$35/100))^S80-'normal case'!$AL$3*(1+('main page'!$G$8/100))*(1+('main page'!$K$35/100))^S79)</f>
        <v>0</v>
      </c>
      <c r="S80" s="73">
        <v>72</v>
      </c>
      <c r="T80" s="71">
        <f>'normal case'!V79</f>
        <v>0</v>
      </c>
      <c r="U80" s="71">
        <f>'normal case'!W79</f>
        <v>0</v>
      </c>
    </row>
    <row r="81" spans="1:21">
      <c r="A81" s="53">
        <v>78</v>
      </c>
      <c r="B81" s="74">
        <f ca="1">IF(controls!$B$33=1,B80*(1+T81)+R81,B80*(1+T81))</f>
        <v>100</v>
      </c>
      <c r="C81" s="74">
        <f t="shared" ca="1" si="10"/>
        <v>100</v>
      </c>
      <c r="D81" s="93">
        <f t="shared" ca="1" si="9"/>
        <v>0</v>
      </c>
      <c r="E81" s="74">
        <f t="shared" ca="1" si="7"/>
        <v>100</v>
      </c>
      <c r="F81" s="74">
        <f ca="1">IF(controls!$B$33=1,'delay in perception'!H81,G81)</f>
        <v>100</v>
      </c>
      <c r="G81" s="74">
        <f ca="1">I81-'main page'!$K$27*L80</f>
        <v>100</v>
      </c>
      <c r="H81" s="74">
        <f ca="1">J81-'main page'!$K$27*L80</f>
        <v>100</v>
      </c>
      <c r="I81" s="74">
        <f t="shared" ca="1" si="5"/>
        <v>108</v>
      </c>
      <c r="J81" s="74">
        <f t="shared" ca="1" si="11"/>
        <v>108</v>
      </c>
      <c r="K81" s="74">
        <f ca="1">IF(ABS('main page'!$K$29*K80+(1-'main page'!$K$29)*(controls!$B$9/100)*100+'main page'!$K$25*(E81-B81)-K80)&lt;0.0000001,K80,'main page'!$K$29*K80+(1-'main page'!$K$29)*(controls!$B$9/100)*100+'main page'!$K$25*(E81-B81))</f>
        <v>2</v>
      </c>
      <c r="L81" s="74">
        <f ca="1">IF(controls!$B$10=1,L80,M81-'main page'!$K$29*K81-(1-'main page'!$K$29)*controls!$B$9)</f>
        <v>4</v>
      </c>
      <c r="M81" s="74">
        <f t="shared" ca="1" si="8"/>
        <v>6</v>
      </c>
      <c r="N81" s="74">
        <f ca="1">IF(controls!$B$10=1,'delay in perception'!L81+'delay in perception'!K81,'delay in perception'!O81)</f>
        <v>6</v>
      </c>
      <c r="O81" s="104">
        <f ca="1">'main page'!$K$29*K81+(1-'main page'!$K$29)*controls!$B$9+P81+(('main page'!$K$25*'main page'!$U$13*'main page'!$K$29)/('main page'!$K$27*(1+('main page'!$K$25^2)*'main page'!$U$13)))*(K81-(controls!$B$9/100)*100)</f>
        <v>6</v>
      </c>
      <c r="P81" s="98">
        <f ca="1">IF(controls!$B$33=1,(J82-E81*U82-C82+B81*T82)/'main page'!$K$27,(I82-E81*U82-C82+B81*T82)/'main page'!$K$27)</f>
        <v>4</v>
      </c>
      <c r="R81" s="71">
        <f>IF(controls!$B$6=1,'normal case'!$AL$3*(1+('main page'!$K$35/100))^S81-'normal case'!$AL$3*(1+('main page'!$K$35/100))^S80,'normal case'!$AL$3*(1+('main page'!$G$8/100))*(1+('main page'!$K$35/100))^S81-'normal case'!$AL$3*(1+('main page'!$G$8/100))*(1+('main page'!$K$35/100))^S80)</f>
        <v>0</v>
      </c>
      <c r="S81" s="73">
        <v>73</v>
      </c>
      <c r="T81" s="71">
        <f ca="1">'normal case'!V80</f>
        <v>0</v>
      </c>
      <c r="U81" s="71">
        <f ca="1">'normal case'!W80</f>
        <v>0</v>
      </c>
    </row>
    <row r="82" spans="1:21">
      <c r="A82" s="53">
        <v>79</v>
      </c>
      <c r="B82" s="74">
        <f ca="1">IF(controls!$B$33=1,B81*(1+T82)+R82,B81*(1+T82))</f>
        <v>100</v>
      </c>
      <c r="C82" s="74">
        <f t="shared" ca="1" si="10"/>
        <v>100</v>
      </c>
      <c r="D82" s="93">
        <f t="shared" ca="1" si="9"/>
        <v>0</v>
      </c>
      <c r="E82" s="74">
        <f t="shared" ca="1" si="7"/>
        <v>100</v>
      </c>
      <c r="F82" s="74">
        <f ca="1">IF(controls!$B$33=1,'delay in perception'!H82,G82)</f>
        <v>100</v>
      </c>
      <c r="G82" s="74">
        <f ca="1">I82-'main page'!$K$27*L81</f>
        <v>100</v>
      </c>
      <c r="H82" s="74">
        <f ca="1">J82-'main page'!$K$27*L81</f>
        <v>100</v>
      </c>
      <c r="I82" s="74">
        <f t="shared" ca="1" si="5"/>
        <v>108</v>
      </c>
      <c r="J82" s="74">
        <f t="shared" ca="1" si="11"/>
        <v>108</v>
      </c>
      <c r="K82" s="74">
        <f ca="1">IF(ABS('main page'!$K$29*K81+(1-'main page'!$K$29)*(controls!$B$9/100)*100+'main page'!$K$25*(E82-B82)-K81)&lt;0.0000001,K81,'main page'!$K$29*K81+(1-'main page'!$K$29)*(controls!$B$9/100)*100+'main page'!$K$25*(E82-B82))</f>
        <v>2</v>
      </c>
      <c r="L82" s="74">
        <f ca="1">IF(controls!$B$10=1,L81,M82-'main page'!$K$29*K82-(1-'main page'!$K$29)*controls!$B$9)</f>
        <v>4</v>
      </c>
      <c r="M82" s="74">
        <f t="shared" ca="1" si="8"/>
        <v>6</v>
      </c>
      <c r="N82" s="74">
        <f ca="1">IF(controls!$B$10=1,'delay in perception'!L82+'delay in perception'!K82,'delay in perception'!O82)</f>
        <v>6</v>
      </c>
      <c r="O82" s="104">
        <f ca="1">'main page'!$K$29*K82+(1-'main page'!$K$29)*controls!$B$9+P82+(('main page'!$K$25*'main page'!$U$13*'main page'!$K$29)/('main page'!$K$27*(1+('main page'!$K$25^2)*'main page'!$U$13)))*(K82-(controls!$B$9/100)*100)</f>
        <v>6</v>
      </c>
      <c r="P82" s="98">
        <f ca="1">IF(controls!$B$33=1,(J83-E82*U83-C83+B82*T83)/'main page'!$K$27,(I83-E82*U83-C83+B82*T83)/'main page'!$K$27)</f>
        <v>4</v>
      </c>
      <c r="R82" s="71">
        <f>IF(controls!$B$6=1,'normal case'!$AL$3*(1+('main page'!$K$35/100))^S82-'normal case'!$AL$3*(1+('main page'!$K$35/100))^S81,'normal case'!$AL$3*(1+('main page'!$G$8/100))*(1+('main page'!$K$35/100))^S82-'normal case'!$AL$3*(1+('main page'!$G$8/100))*(1+('main page'!$K$35/100))^S81)</f>
        <v>0</v>
      </c>
      <c r="S82" s="73">
        <v>74</v>
      </c>
      <c r="T82" s="71">
        <f>'normal case'!V81</f>
        <v>0</v>
      </c>
      <c r="U82" s="71">
        <f>'normal case'!W81</f>
        <v>0</v>
      </c>
    </row>
    <row r="83" spans="1:21">
      <c r="A83" s="53">
        <v>80</v>
      </c>
      <c r="B83" s="74">
        <f ca="1">IF(controls!$B$33=1,B82*(1+T83)+R83,B82*(1+T83))</f>
        <v>100</v>
      </c>
      <c r="C83" s="74">
        <f t="shared" ca="1" si="10"/>
        <v>100</v>
      </c>
      <c r="D83" s="93">
        <f t="shared" ca="1" si="9"/>
        <v>0</v>
      </c>
      <c r="E83" s="74">
        <f t="shared" ca="1" si="7"/>
        <v>100</v>
      </c>
      <c r="F83" s="74">
        <f ca="1">IF(controls!$B$33=1,'delay in perception'!H83,G83)</f>
        <v>100</v>
      </c>
      <c r="G83" s="74">
        <f ca="1">I83-'main page'!$K$27*L82</f>
        <v>100</v>
      </c>
      <c r="H83" s="74">
        <f ca="1">J83-'main page'!$K$27*L82</f>
        <v>100</v>
      </c>
      <c r="I83" s="74">
        <f t="shared" ca="1" si="5"/>
        <v>108</v>
      </c>
      <c r="J83" s="74">
        <f t="shared" ca="1" si="11"/>
        <v>108</v>
      </c>
      <c r="K83" s="74">
        <f ca="1">IF(ABS('main page'!$K$29*K82+(1-'main page'!$K$29)*(controls!$B$9/100)*100+'main page'!$K$25*(E83-B83)-K82)&lt;0.0000001,K82,'main page'!$K$29*K82+(1-'main page'!$K$29)*(controls!$B$9/100)*100+'main page'!$K$25*(E83-B83))</f>
        <v>2</v>
      </c>
      <c r="L83" s="74">
        <f ca="1">IF(controls!$B$10=1,L82,M83-'main page'!$K$29*K83-(1-'main page'!$K$29)*controls!$B$9)</f>
        <v>4</v>
      </c>
      <c r="M83" s="74">
        <f t="shared" ca="1" si="8"/>
        <v>6</v>
      </c>
      <c r="N83" s="74">
        <f ca="1">IF(controls!$B$10=1,'delay in perception'!L83+'delay in perception'!K83,'delay in perception'!O83)</f>
        <v>6</v>
      </c>
      <c r="O83" s="104">
        <f ca="1">'main page'!$K$29*K83+(1-'main page'!$K$29)*controls!$B$9+P83+(('main page'!$K$25*'main page'!$U$13*'main page'!$K$29)/('main page'!$K$27*(1+('main page'!$K$25^2)*'main page'!$U$13)))*(K83-(controls!$B$9/100)*100)</f>
        <v>6</v>
      </c>
      <c r="P83" s="98">
        <f ca="1">IF(controls!$B$33=1,(J84-E83*U84-C84+B83*T84)/'main page'!$K$27,(I84-E83*U84-C84+B83*T84)/'main page'!$K$27)</f>
        <v>4</v>
      </c>
      <c r="R83" s="71">
        <f>IF(controls!$B$6=1,'normal case'!$AL$3*(1+('main page'!$K$35/100))^S83-'normal case'!$AL$3*(1+('main page'!$K$35/100))^S82,'normal case'!$AL$3*(1+('main page'!$G$8/100))*(1+('main page'!$K$35/100))^S83-'normal case'!$AL$3*(1+('main page'!$G$8/100))*(1+('main page'!$K$35/100))^S82)</f>
        <v>0</v>
      </c>
      <c r="S83" s="73">
        <v>75</v>
      </c>
      <c r="T83" s="71">
        <f>'normal case'!V82</f>
        <v>0</v>
      </c>
      <c r="U83" s="71">
        <f>'normal case'!W82</f>
        <v>0</v>
      </c>
    </row>
    <row r="84" spans="1:21">
      <c r="A84" s="53">
        <v>81</v>
      </c>
      <c r="B84" s="74">
        <f ca="1">IF(controls!$B$33=1,B83*(1+T84)+R84,B83*(1+T84))</f>
        <v>100</v>
      </c>
      <c r="C84" s="74">
        <f t="shared" ca="1" si="10"/>
        <v>100</v>
      </c>
      <c r="D84" s="93">
        <f t="shared" ca="1" si="9"/>
        <v>0</v>
      </c>
      <c r="E84" s="74">
        <f t="shared" ca="1" si="7"/>
        <v>100</v>
      </c>
      <c r="F84" s="74">
        <f ca="1">IF(controls!$B$33=1,'delay in perception'!H84,G84)</f>
        <v>100</v>
      </c>
      <c r="G84" s="74">
        <f ca="1">I84-'main page'!$K$27*L83</f>
        <v>100</v>
      </c>
      <c r="H84" s="74">
        <f ca="1">J84-'main page'!$K$27*L83</f>
        <v>100</v>
      </c>
      <c r="I84" s="74">
        <f t="shared" ca="1" si="5"/>
        <v>108</v>
      </c>
      <c r="J84" s="74">
        <f t="shared" ca="1" si="11"/>
        <v>108</v>
      </c>
      <c r="K84" s="74">
        <f ca="1">IF(ABS('main page'!$K$29*K83+(1-'main page'!$K$29)*(controls!$B$9/100)*100+'main page'!$K$25*(E84-B84)-K83)&lt;0.0000001,K83,'main page'!$K$29*K83+(1-'main page'!$K$29)*(controls!$B$9/100)*100+'main page'!$K$25*(E84-B84))</f>
        <v>2</v>
      </c>
      <c r="L84" s="74">
        <f ca="1">IF(controls!$B$10=1,L83,M84-'main page'!$K$29*K84-(1-'main page'!$K$29)*controls!$B$9)</f>
        <v>4</v>
      </c>
      <c r="M84" s="74">
        <f t="shared" ca="1" si="8"/>
        <v>6</v>
      </c>
      <c r="N84" s="74">
        <f ca="1">IF(controls!$B$10=1,'delay in perception'!L84+'delay in perception'!K84,'delay in perception'!O84)</f>
        <v>6</v>
      </c>
      <c r="O84" s="104">
        <f ca="1">'main page'!$K$29*K84+(1-'main page'!$K$29)*controls!$B$9+P84+(('main page'!$K$25*'main page'!$U$13*'main page'!$K$29)/('main page'!$K$27*(1+('main page'!$K$25^2)*'main page'!$U$13)))*(K84-(controls!$B$9/100)*100)</f>
        <v>6</v>
      </c>
      <c r="P84" s="98">
        <f ca="1">IF(controls!$B$33=1,(J85-E84*U85-C85+B84*T85)/'main page'!$K$27,(I85-E84*U85-C85+B84*T85)/'main page'!$K$27)</f>
        <v>4</v>
      </c>
      <c r="R84" s="71">
        <f>IF(controls!$B$6=1,'normal case'!$AL$3*(1+('main page'!$K$35/100))^S84-'normal case'!$AL$3*(1+('main page'!$K$35/100))^S83,'normal case'!$AL$3*(1+('main page'!$G$8/100))*(1+('main page'!$K$35/100))^S84-'normal case'!$AL$3*(1+('main page'!$G$8/100))*(1+('main page'!$K$35/100))^S83)</f>
        <v>0</v>
      </c>
      <c r="S84" s="73">
        <v>76</v>
      </c>
      <c r="T84" s="71">
        <f ca="1">'normal case'!V83</f>
        <v>0</v>
      </c>
      <c r="U84" s="71">
        <f ca="1">'normal case'!W83</f>
        <v>0</v>
      </c>
    </row>
    <row r="85" spans="1:21">
      <c r="A85" s="53">
        <v>82</v>
      </c>
      <c r="B85" s="74">
        <f ca="1">IF(controls!$B$33=1,B84*(1+T85)+R85,B84*(1+T85))</f>
        <v>100</v>
      </c>
      <c r="C85" s="74">
        <f t="shared" ca="1" si="10"/>
        <v>100</v>
      </c>
      <c r="D85" s="93">
        <f t="shared" ca="1" si="9"/>
        <v>0</v>
      </c>
      <c r="E85" s="74">
        <f t="shared" ca="1" si="7"/>
        <v>100</v>
      </c>
      <c r="F85" s="74">
        <f ca="1">IF(controls!$B$33=1,'delay in perception'!H85,G85)</f>
        <v>100</v>
      </c>
      <c r="G85" s="74">
        <f ca="1">I85-'main page'!$K$27*L84</f>
        <v>100</v>
      </c>
      <c r="H85" s="74">
        <f ca="1">J85-'main page'!$K$27*L84</f>
        <v>100</v>
      </c>
      <c r="I85" s="74">
        <f t="shared" ca="1" si="5"/>
        <v>108</v>
      </c>
      <c r="J85" s="74">
        <f t="shared" ca="1" si="11"/>
        <v>108</v>
      </c>
      <c r="K85" s="74">
        <f ca="1">IF(ABS('main page'!$K$29*K84+(1-'main page'!$K$29)*(controls!$B$9/100)*100+'main page'!$K$25*(E85-B85)-K84)&lt;0.0000001,K84,'main page'!$K$29*K84+(1-'main page'!$K$29)*(controls!$B$9/100)*100+'main page'!$K$25*(E85-B85))</f>
        <v>2</v>
      </c>
      <c r="L85" s="74">
        <f ca="1">IF(controls!$B$10=1,L84,M85-'main page'!$K$29*K85-(1-'main page'!$K$29)*controls!$B$9)</f>
        <v>4</v>
      </c>
      <c r="M85" s="74">
        <f t="shared" ca="1" si="8"/>
        <v>6</v>
      </c>
      <c r="N85" s="74">
        <f ca="1">IF(controls!$B$10=1,'delay in perception'!L85+'delay in perception'!K85,'delay in perception'!O85)</f>
        <v>6</v>
      </c>
      <c r="O85" s="104">
        <f ca="1">'main page'!$K$29*K85+(1-'main page'!$K$29)*controls!$B$9+P85+(('main page'!$K$25*'main page'!$U$13*'main page'!$K$29)/('main page'!$K$27*(1+('main page'!$K$25^2)*'main page'!$U$13)))*(K85-(controls!$B$9/100)*100)</f>
        <v>6</v>
      </c>
      <c r="P85" s="98">
        <f ca="1">IF(controls!$B$33=1,(J86-E85*U86-C86+B85*T86)/'main page'!$K$27,(I86-E85*U86-C86+B85*T86)/'main page'!$K$27)</f>
        <v>4</v>
      </c>
      <c r="R85" s="71">
        <f>IF(controls!$B$6=1,'normal case'!$AL$3*(1+('main page'!$K$35/100))^S85-'normal case'!$AL$3*(1+('main page'!$K$35/100))^S84,'normal case'!$AL$3*(1+('main page'!$G$8/100))*(1+('main page'!$K$35/100))^S85-'normal case'!$AL$3*(1+('main page'!$G$8/100))*(1+('main page'!$K$35/100))^S84)</f>
        <v>0</v>
      </c>
      <c r="S85" s="73">
        <v>77</v>
      </c>
      <c r="T85" s="71">
        <f>'normal case'!V84</f>
        <v>0</v>
      </c>
      <c r="U85" s="71">
        <f>'normal case'!W84</f>
        <v>0</v>
      </c>
    </row>
    <row r="86" spans="1:21">
      <c r="A86" s="53">
        <v>83</v>
      </c>
      <c r="B86" s="74">
        <f ca="1">IF(controls!$B$33=1,B85*(1+T86)+R86,B85*(1+T86))</f>
        <v>100</v>
      </c>
      <c r="C86" s="74">
        <f t="shared" ca="1" si="10"/>
        <v>100</v>
      </c>
      <c r="D86" s="93">
        <f t="shared" ca="1" si="9"/>
        <v>0</v>
      </c>
      <c r="E86" s="74">
        <f t="shared" ca="1" si="7"/>
        <v>100</v>
      </c>
      <c r="F86" s="74">
        <f ca="1">IF(controls!$B$33=1,'delay in perception'!H86,G86)</f>
        <v>100</v>
      </c>
      <c r="G86" s="74">
        <f ca="1">I86-'main page'!$K$27*L85</f>
        <v>100</v>
      </c>
      <c r="H86" s="74">
        <f ca="1">J86-'main page'!$K$27*L85</f>
        <v>100</v>
      </c>
      <c r="I86" s="74">
        <f t="shared" ca="1" si="5"/>
        <v>108</v>
      </c>
      <c r="J86" s="74">
        <f t="shared" ca="1" si="11"/>
        <v>108</v>
      </c>
      <c r="K86" s="74">
        <f ca="1">IF(ABS('main page'!$K$29*K85+(1-'main page'!$K$29)*(controls!$B$9/100)*100+'main page'!$K$25*(E86-B86)-K85)&lt;0.0000001,K85,'main page'!$K$29*K85+(1-'main page'!$K$29)*(controls!$B$9/100)*100+'main page'!$K$25*(E86-B86))</f>
        <v>2</v>
      </c>
      <c r="L86" s="74">
        <f ca="1">IF(controls!$B$10=1,L85,M86-'main page'!$K$29*K86-(1-'main page'!$K$29)*controls!$B$9)</f>
        <v>4</v>
      </c>
      <c r="M86" s="74">
        <f t="shared" ca="1" si="8"/>
        <v>6</v>
      </c>
      <c r="N86" s="74">
        <f ca="1">IF(controls!$B$10=1,'delay in perception'!L86+'delay in perception'!K86,'delay in perception'!O86)</f>
        <v>6</v>
      </c>
      <c r="O86" s="104">
        <f ca="1">'main page'!$K$29*K86+(1-'main page'!$K$29)*controls!$B$9+P86+(('main page'!$K$25*'main page'!$U$13*'main page'!$K$29)/('main page'!$K$27*(1+('main page'!$K$25^2)*'main page'!$U$13)))*(K86-(controls!$B$9/100)*100)</f>
        <v>6</v>
      </c>
      <c r="P86" s="98">
        <f ca="1">IF(controls!$B$33=1,(J87-E86*U87-C87+B86*T87)/'main page'!$K$27,(I87-E86*U87-C87+B86*T87)/'main page'!$K$27)</f>
        <v>4</v>
      </c>
      <c r="R86" s="71">
        <f>IF(controls!$B$6=1,'normal case'!$AL$3*(1+('main page'!$K$35/100))^S86-'normal case'!$AL$3*(1+('main page'!$K$35/100))^S85,'normal case'!$AL$3*(1+('main page'!$G$8/100))*(1+('main page'!$K$35/100))^S86-'normal case'!$AL$3*(1+('main page'!$G$8/100))*(1+('main page'!$K$35/100))^S85)</f>
        <v>0</v>
      </c>
      <c r="S86" s="73">
        <v>78</v>
      </c>
      <c r="T86" s="71">
        <f>'normal case'!V85</f>
        <v>0</v>
      </c>
      <c r="U86" s="71">
        <f>'normal case'!W85</f>
        <v>0</v>
      </c>
    </row>
    <row r="87" spans="1:21">
      <c r="A87" s="53">
        <v>84</v>
      </c>
      <c r="B87" s="74">
        <f ca="1">IF(controls!$B$33=1,B86*(1+T87)+R87,B86*(1+T87))</f>
        <v>100</v>
      </c>
      <c r="C87" s="74">
        <f t="shared" ca="1" si="10"/>
        <v>100</v>
      </c>
      <c r="D87" s="93">
        <f t="shared" ca="1" si="9"/>
        <v>0</v>
      </c>
      <c r="E87" s="74">
        <f t="shared" ca="1" si="7"/>
        <v>100</v>
      </c>
      <c r="F87" s="74">
        <f ca="1">IF(controls!$B$33=1,'delay in perception'!H87,G87)</f>
        <v>100</v>
      </c>
      <c r="G87" s="74">
        <f ca="1">I87-'main page'!$K$27*L86</f>
        <v>100</v>
      </c>
      <c r="H87" s="74">
        <f ca="1">J87-'main page'!$K$27*L86</f>
        <v>100</v>
      </c>
      <c r="I87" s="74">
        <f t="shared" ca="1" si="5"/>
        <v>108</v>
      </c>
      <c r="J87" s="74">
        <f t="shared" ca="1" si="11"/>
        <v>108</v>
      </c>
      <c r="K87" s="74">
        <f ca="1">IF(ABS('main page'!$K$29*K86+(1-'main page'!$K$29)*(controls!$B$9/100)*100+'main page'!$K$25*(E87-B87)-K86)&lt;0.0000001,K86,'main page'!$K$29*K86+(1-'main page'!$K$29)*(controls!$B$9/100)*100+'main page'!$K$25*(E87-B87))</f>
        <v>2</v>
      </c>
      <c r="L87" s="74">
        <f ca="1">IF(controls!$B$10=1,L86,M87-'main page'!$K$29*K87-(1-'main page'!$K$29)*controls!$B$9)</f>
        <v>4</v>
      </c>
      <c r="M87" s="74">
        <f t="shared" ca="1" si="8"/>
        <v>6</v>
      </c>
      <c r="N87" s="74">
        <f ca="1">IF(controls!$B$10=1,'delay in perception'!L87+'delay in perception'!K87,'delay in perception'!O87)</f>
        <v>6</v>
      </c>
      <c r="O87" s="104">
        <f ca="1">'main page'!$K$29*K87+(1-'main page'!$K$29)*controls!$B$9+P87+(('main page'!$K$25*'main page'!$U$13*'main page'!$K$29)/('main page'!$K$27*(1+('main page'!$K$25^2)*'main page'!$U$13)))*(K87-(controls!$B$9/100)*100)</f>
        <v>6</v>
      </c>
      <c r="P87" s="98">
        <f ca="1">IF(controls!$B$33=1,(J88-E87*U88-C88+B87*T88)/'main page'!$K$27,(I88-E87*U88-C88+B87*T88)/'main page'!$K$27)</f>
        <v>4</v>
      </c>
      <c r="R87" s="71">
        <f>IF(controls!$B$6=1,'normal case'!$AL$3*(1+('main page'!$K$35/100))^S87-'normal case'!$AL$3*(1+('main page'!$K$35/100))^S86,'normal case'!$AL$3*(1+('main page'!$G$8/100))*(1+('main page'!$K$35/100))^S87-'normal case'!$AL$3*(1+('main page'!$G$8/100))*(1+('main page'!$K$35/100))^S86)</f>
        <v>0</v>
      </c>
      <c r="S87" s="73">
        <v>79</v>
      </c>
      <c r="T87" s="71">
        <f ca="1">'normal case'!V86</f>
        <v>0</v>
      </c>
      <c r="U87" s="71">
        <f ca="1">'normal case'!W86</f>
        <v>0</v>
      </c>
    </row>
    <row r="88" spans="1:21">
      <c r="A88" s="53">
        <v>85</v>
      </c>
      <c r="B88" s="74">
        <f ca="1">IF(controls!$B$33=1,B87*(1+T88)+R88,B87*(1+T88))</f>
        <v>100</v>
      </c>
      <c r="C88" s="74">
        <f t="shared" ca="1" si="10"/>
        <v>100</v>
      </c>
      <c r="D88" s="93">
        <f t="shared" ca="1" si="9"/>
        <v>0</v>
      </c>
      <c r="E88" s="74">
        <f t="shared" ca="1" si="7"/>
        <v>100</v>
      </c>
      <c r="F88" s="74">
        <f ca="1">IF(controls!$B$33=1,'delay in perception'!H88,G88)</f>
        <v>100</v>
      </c>
      <c r="G88" s="74">
        <f ca="1">I88-'main page'!$K$27*L87</f>
        <v>100</v>
      </c>
      <c r="H88" s="74">
        <f ca="1">J88-'main page'!$K$27*L87</f>
        <v>100</v>
      </c>
      <c r="I88" s="74">
        <f t="shared" ca="1" si="5"/>
        <v>108</v>
      </c>
      <c r="J88" s="74">
        <f t="shared" ca="1" si="11"/>
        <v>108</v>
      </c>
      <c r="K88" s="74">
        <f ca="1">IF(ABS('main page'!$K$29*K87+(1-'main page'!$K$29)*(controls!$B$9/100)*100+'main page'!$K$25*(E88-B88)-K87)&lt;0.0000001,K87,'main page'!$K$29*K87+(1-'main page'!$K$29)*(controls!$B$9/100)*100+'main page'!$K$25*(E88-B88))</f>
        <v>2</v>
      </c>
      <c r="L88" s="74">
        <f ca="1">IF(controls!$B$10=1,L87,M88-'main page'!$K$29*K88-(1-'main page'!$K$29)*controls!$B$9)</f>
        <v>4</v>
      </c>
      <c r="M88" s="74">
        <f t="shared" ca="1" si="8"/>
        <v>6</v>
      </c>
      <c r="N88" s="74">
        <f ca="1">IF(controls!$B$10=1,'delay in perception'!L88+'delay in perception'!K88,'delay in perception'!O88)</f>
        <v>6</v>
      </c>
      <c r="O88" s="104">
        <f ca="1">'main page'!$K$29*K88+(1-'main page'!$K$29)*controls!$B$9+P88+(('main page'!$K$25*'main page'!$U$13*'main page'!$K$29)/('main page'!$K$27*(1+('main page'!$K$25^2)*'main page'!$U$13)))*(K88-(controls!$B$9/100)*100)</f>
        <v>6</v>
      </c>
      <c r="P88" s="98">
        <f ca="1">IF(controls!$B$33=1,(J89-E88*U89-C89+B88*T89)/'main page'!$K$27,(I89-E88*U89-C89+B88*T89)/'main page'!$K$27)</f>
        <v>4</v>
      </c>
      <c r="R88" s="71">
        <f>IF(controls!$B$6=1,'normal case'!$AL$3*(1+('main page'!$K$35/100))^S88-'normal case'!$AL$3*(1+('main page'!$K$35/100))^S87,'normal case'!$AL$3*(1+('main page'!$G$8/100))*(1+('main page'!$K$35/100))^S88-'normal case'!$AL$3*(1+('main page'!$G$8/100))*(1+('main page'!$K$35/100))^S87)</f>
        <v>0</v>
      </c>
      <c r="S88" s="73">
        <v>80</v>
      </c>
      <c r="T88" s="71">
        <f>'normal case'!V87</f>
        <v>0</v>
      </c>
      <c r="U88" s="71">
        <f>'normal case'!W87</f>
        <v>0</v>
      </c>
    </row>
    <row r="89" spans="1:21">
      <c r="A89" s="53">
        <v>86</v>
      </c>
      <c r="B89" s="74">
        <f ca="1">IF(controls!$B$33=1,B88*(1+T89)+R89,B88*(1+T89))</f>
        <v>100</v>
      </c>
      <c r="C89" s="74">
        <f t="shared" ca="1" si="10"/>
        <v>100</v>
      </c>
      <c r="D89" s="93">
        <f t="shared" ca="1" si="9"/>
        <v>0</v>
      </c>
      <c r="E89" s="74">
        <f t="shared" ca="1" si="7"/>
        <v>100</v>
      </c>
      <c r="F89" s="74">
        <f ca="1">IF(controls!$B$33=1,'delay in perception'!H89,G89)</f>
        <v>100</v>
      </c>
      <c r="G89" s="74">
        <f ca="1">I89-'main page'!$K$27*L88</f>
        <v>100</v>
      </c>
      <c r="H89" s="74">
        <f ca="1">J89-'main page'!$K$27*L88</f>
        <v>100</v>
      </c>
      <c r="I89" s="74">
        <f t="shared" ca="1" si="5"/>
        <v>108</v>
      </c>
      <c r="J89" s="74">
        <f t="shared" ca="1" si="11"/>
        <v>108</v>
      </c>
      <c r="K89" s="74">
        <f ca="1">IF(ABS('main page'!$K$29*K88+(1-'main page'!$K$29)*(controls!$B$9/100)*100+'main page'!$K$25*(E89-B89)-K88)&lt;0.0000001,K88,'main page'!$K$29*K88+(1-'main page'!$K$29)*(controls!$B$9/100)*100+'main page'!$K$25*(E89-B89))</f>
        <v>2</v>
      </c>
      <c r="L89" s="74">
        <f ca="1">IF(controls!$B$10=1,L88,M89-'main page'!$K$29*K89-(1-'main page'!$K$29)*controls!$B$9)</f>
        <v>4</v>
      </c>
      <c r="M89" s="74">
        <f t="shared" ca="1" si="8"/>
        <v>6</v>
      </c>
      <c r="N89" s="74">
        <f ca="1">IF(controls!$B$10=1,'delay in perception'!L89+'delay in perception'!K89,'delay in perception'!O89)</f>
        <v>6</v>
      </c>
      <c r="O89" s="104">
        <f ca="1">'main page'!$K$29*K89+(1-'main page'!$K$29)*controls!$B$9+P89+(('main page'!$K$25*'main page'!$U$13*'main page'!$K$29)/('main page'!$K$27*(1+('main page'!$K$25^2)*'main page'!$U$13)))*(K89-(controls!$B$9/100)*100)</f>
        <v>6</v>
      </c>
      <c r="P89" s="98">
        <f ca="1">IF(controls!$B$33=1,(J90-E89*U90-C90+B89*T90)/'main page'!$K$27,(I90-E89*U90-C90+B89*T90)/'main page'!$K$27)</f>
        <v>4</v>
      </c>
      <c r="R89" s="71">
        <f>IF(controls!$B$6=1,'normal case'!$AL$3*(1+('main page'!$K$35/100))^S89-'normal case'!$AL$3*(1+('main page'!$K$35/100))^S88,'normal case'!$AL$3*(1+('main page'!$G$8/100))*(1+('main page'!$K$35/100))^S89-'normal case'!$AL$3*(1+('main page'!$G$8/100))*(1+('main page'!$K$35/100))^S88)</f>
        <v>0</v>
      </c>
      <c r="S89" s="73">
        <v>81</v>
      </c>
      <c r="T89" s="71">
        <f>'normal case'!V88</f>
        <v>0</v>
      </c>
      <c r="U89" s="71">
        <f>'normal case'!W88</f>
        <v>0</v>
      </c>
    </row>
    <row r="90" spans="1:21">
      <c r="A90" s="53">
        <v>87</v>
      </c>
      <c r="B90" s="74">
        <f ca="1">IF(controls!$B$33=1,B89*(1+T90)+R90,B89*(1+T90))</f>
        <v>100</v>
      </c>
      <c r="C90" s="74">
        <f t="shared" ca="1" si="10"/>
        <v>100</v>
      </c>
      <c r="D90" s="93">
        <f t="shared" ca="1" si="9"/>
        <v>0</v>
      </c>
      <c r="E90" s="74">
        <f t="shared" ca="1" si="7"/>
        <v>100</v>
      </c>
      <c r="F90" s="74">
        <f ca="1">IF(controls!$B$33=1,'delay in perception'!H90,G90)</f>
        <v>100</v>
      </c>
      <c r="G90" s="74">
        <f ca="1">I90-'main page'!$K$27*L89</f>
        <v>100</v>
      </c>
      <c r="H90" s="74">
        <f ca="1">J90-'main page'!$K$27*L89</f>
        <v>100</v>
      </c>
      <c r="I90" s="74">
        <f t="shared" ref="I90:I102" ca="1" si="12">I89+E89*U90</f>
        <v>108</v>
      </c>
      <c r="J90" s="74">
        <f t="shared" ca="1" si="11"/>
        <v>108</v>
      </c>
      <c r="K90" s="74">
        <f ca="1">IF(ABS('main page'!$K$29*K89+(1-'main page'!$K$29)*(controls!$B$9/100)*100+'main page'!$K$25*(E90-B90)-K89)&lt;0.0000001,K89,'main page'!$K$29*K89+(1-'main page'!$K$29)*(controls!$B$9/100)*100+'main page'!$K$25*(E90-B90))</f>
        <v>2</v>
      </c>
      <c r="L90" s="74">
        <f ca="1">IF(controls!$B$10=1,L89,M90-'main page'!$K$29*K90-(1-'main page'!$K$29)*controls!$B$9)</f>
        <v>4</v>
      </c>
      <c r="M90" s="74">
        <f t="shared" ca="1" si="8"/>
        <v>6</v>
      </c>
      <c r="N90" s="74">
        <f ca="1">IF(controls!$B$10=1,'delay in perception'!L90+'delay in perception'!K90,'delay in perception'!O90)</f>
        <v>6</v>
      </c>
      <c r="O90" s="104">
        <f ca="1">'main page'!$K$29*K90+(1-'main page'!$K$29)*controls!$B$9+P90+(('main page'!$K$25*'main page'!$U$13*'main page'!$K$29)/('main page'!$K$27*(1+('main page'!$K$25^2)*'main page'!$U$13)))*(K90-(controls!$B$9/100)*100)</f>
        <v>6</v>
      </c>
      <c r="P90" s="98">
        <f ca="1">IF(controls!$B$33=1,(J91-E90*U91-C91+B90*T91)/'main page'!$K$27,(I91-E90*U91-C91+B90*T91)/'main page'!$K$27)</f>
        <v>4</v>
      </c>
      <c r="R90" s="71">
        <f>IF(controls!$B$6=1,'normal case'!$AL$3*(1+('main page'!$K$35/100))^S90-'normal case'!$AL$3*(1+('main page'!$K$35/100))^S89,'normal case'!$AL$3*(1+('main page'!$G$8/100))*(1+('main page'!$K$35/100))^S90-'normal case'!$AL$3*(1+('main page'!$G$8/100))*(1+('main page'!$K$35/100))^S89)</f>
        <v>0</v>
      </c>
      <c r="S90" s="73">
        <v>82</v>
      </c>
      <c r="T90" s="71">
        <f ca="1">'normal case'!V89</f>
        <v>0</v>
      </c>
      <c r="U90" s="71">
        <f ca="1">'normal case'!W89</f>
        <v>0</v>
      </c>
    </row>
    <row r="91" spans="1:21">
      <c r="A91" s="53">
        <v>88</v>
      </c>
      <c r="B91" s="74">
        <f ca="1">IF(controls!$B$33=1,B90*(1+T91)+R91,B90*(1+T91))</f>
        <v>100</v>
      </c>
      <c r="C91" s="74">
        <f t="shared" ca="1" si="10"/>
        <v>100</v>
      </c>
      <c r="D91" s="93">
        <f t="shared" ca="1" si="9"/>
        <v>0</v>
      </c>
      <c r="E91" s="74">
        <f t="shared" ca="1" si="7"/>
        <v>100</v>
      </c>
      <c r="F91" s="74">
        <f ca="1">IF(controls!$B$33=1,'delay in perception'!H91,G91)</f>
        <v>100</v>
      </c>
      <c r="G91" s="74">
        <f ca="1">I91-'main page'!$K$27*L90</f>
        <v>100</v>
      </c>
      <c r="H91" s="74">
        <f ca="1">J91-'main page'!$K$27*L90</f>
        <v>100</v>
      </c>
      <c r="I91" s="74">
        <f t="shared" ca="1" si="12"/>
        <v>108</v>
      </c>
      <c r="J91" s="74">
        <f t="shared" ca="1" si="11"/>
        <v>108</v>
      </c>
      <c r="K91" s="74">
        <f ca="1">IF(ABS('main page'!$K$29*K90+(1-'main page'!$K$29)*(controls!$B$9/100)*100+'main page'!$K$25*(E91-B91)-K90)&lt;0.0000001,K90,'main page'!$K$29*K90+(1-'main page'!$K$29)*(controls!$B$9/100)*100+'main page'!$K$25*(E91-B91))</f>
        <v>2</v>
      </c>
      <c r="L91" s="74">
        <f ca="1">IF(controls!$B$10=1,L90,M91-'main page'!$K$29*K91-(1-'main page'!$K$29)*controls!$B$9)</f>
        <v>4</v>
      </c>
      <c r="M91" s="74">
        <f t="shared" ca="1" si="8"/>
        <v>6</v>
      </c>
      <c r="N91" s="74">
        <f ca="1">IF(controls!$B$10=1,'delay in perception'!L91+'delay in perception'!K91,'delay in perception'!O91)</f>
        <v>6</v>
      </c>
      <c r="O91" s="104">
        <f ca="1">'main page'!$K$29*K91+(1-'main page'!$K$29)*controls!$B$9+P91+(('main page'!$K$25*'main page'!$U$13*'main page'!$K$29)/('main page'!$K$27*(1+('main page'!$K$25^2)*'main page'!$U$13)))*(K91-(controls!$B$9/100)*100)</f>
        <v>6</v>
      </c>
      <c r="P91" s="98">
        <f ca="1">IF(controls!$B$33=1,(J92-E91*U92-C92+B91*T92)/'main page'!$K$27,(I92-E91*U92-C92+B91*T92)/'main page'!$K$27)</f>
        <v>4</v>
      </c>
      <c r="R91" s="71">
        <f>IF(controls!$B$6=1,'normal case'!$AL$3*(1+('main page'!$K$35/100))^S91-'normal case'!$AL$3*(1+('main page'!$K$35/100))^S90,'normal case'!$AL$3*(1+('main page'!$G$8/100))*(1+('main page'!$K$35/100))^S91-'normal case'!$AL$3*(1+('main page'!$G$8/100))*(1+('main page'!$K$35/100))^S90)</f>
        <v>0</v>
      </c>
      <c r="S91" s="73">
        <v>83</v>
      </c>
      <c r="T91" s="71">
        <f>'normal case'!V90</f>
        <v>0</v>
      </c>
      <c r="U91" s="71">
        <f>'normal case'!W90</f>
        <v>0</v>
      </c>
    </row>
    <row r="92" spans="1:21">
      <c r="A92" s="53">
        <v>89</v>
      </c>
      <c r="B92" s="74">
        <f ca="1">IF(controls!$B$33=1,B91*(1+T92)+R92,B91*(1+T92))</f>
        <v>100</v>
      </c>
      <c r="C92" s="74">
        <f t="shared" ca="1" si="10"/>
        <v>100</v>
      </c>
      <c r="D92" s="93">
        <f t="shared" ca="1" si="9"/>
        <v>0</v>
      </c>
      <c r="E92" s="74">
        <f t="shared" ca="1" si="7"/>
        <v>100</v>
      </c>
      <c r="F92" s="74">
        <f ca="1">IF(controls!$B$33=1,'delay in perception'!H92,G92)</f>
        <v>100</v>
      </c>
      <c r="G92" s="74">
        <f ca="1">I92-'main page'!$K$27*L91</f>
        <v>100</v>
      </c>
      <c r="H92" s="74">
        <f ca="1">J92-'main page'!$K$27*L91</f>
        <v>100</v>
      </c>
      <c r="I92" s="74">
        <f t="shared" ca="1" si="12"/>
        <v>108</v>
      </c>
      <c r="J92" s="74">
        <f t="shared" ca="1" si="11"/>
        <v>108</v>
      </c>
      <c r="K92" s="74">
        <f ca="1">IF(ABS('main page'!$K$29*K91+(1-'main page'!$K$29)*(controls!$B$9/100)*100+'main page'!$K$25*(E92-B92)-K91)&lt;0.0000001,K91,'main page'!$K$29*K91+(1-'main page'!$K$29)*(controls!$B$9/100)*100+'main page'!$K$25*(E92-B92))</f>
        <v>2</v>
      </c>
      <c r="L92" s="74">
        <f ca="1">IF(controls!$B$10=1,L91,M92-'main page'!$K$29*K92-(1-'main page'!$K$29)*controls!$B$9)</f>
        <v>4</v>
      </c>
      <c r="M92" s="74">
        <f t="shared" ca="1" si="8"/>
        <v>6</v>
      </c>
      <c r="N92" s="74">
        <f ca="1">IF(controls!$B$10=1,'delay in perception'!L92+'delay in perception'!K92,'delay in perception'!O92)</f>
        <v>6</v>
      </c>
      <c r="O92" s="104">
        <f ca="1">'main page'!$K$29*K92+(1-'main page'!$K$29)*controls!$B$9+P92+(('main page'!$K$25*'main page'!$U$13*'main page'!$K$29)/('main page'!$K$27*(1+('main page'!$K$25^2)*'main page'!$U$13)))*(K92-(controls!$B$9/100)*100)</f>
        <v>6</v>
      </c>
      <c r="P92" s="98">
        <f ca="1">IF(controls!$B$33=1,(J93-E92*U93-C93+B92*T93)/'main page'!$K$27,(I93-E92*U93-C93+B92*T93)/'main page'!$K$27)</f>
        <v>4</v>
      </c>
      <c r="R92" s="71">
        <f>IF(controls!$B$6=1,'normal case'!$AL$3*(1+('main page'!$K$35/100))^S92-'normal case'!$AL$3*(1+('main page'!$K$35/100))^S91,'normal case'!$AL$3*(1+('main page'!$G$8/100))*(1+('main page'!$K$35/100))^S92-'normal case'!$AL$3*(1+('main page'!$G$8/100))*(1+('main page'!$K$35/100))^S91)</f>
        <v>0</v>
      </c>
      <c r="S92" s="73">
        <v>84</v>
      </c>
      <c r="T92" s="71">
        <f>'normal case'!V91</f>
        <v>0</v>
      </c>
      <c r="U92" s="71">
        <f>'normal case'!W91</f>
        <v>0</v>
      </c>
    </row>
    <row r="93" spans="1:21">
      <c r="A93" s="53">
        <v>90</v>
      </c>
      <c r="B93" s="74">
        <f ca="1">IF(controls!$B$33=1,B92*(1+T93)+R93,B92*(1+T93))</f>
        <v>100</v>
      </c>
      <c r="C93" s="74">
        <f t="shared" ca="1" si="10"/>
        <v>100</v>
      </c>
      <c r="D93" s="93">
        <f t="shared" ca="1" si="9"/>
        <v>0</v>
      </c>
      <c r="E93" s="74">
        <f t="shared" ca="1" si="7"/>
        <v>100</v>
      </c>
      <c r="F93" s="74">
        <f ca="1">IF(controls!$B$33=1,'delay in perception'!H93,G93)</f>
        <v>100</v>
      </c>
      <c r="G93" s="74">
        <f ca="1">I93-'main page'!$K$27*L92</f>
        <v>100</v>
      </c>
      <c r="H93" s="74">
        <f ca="1">J93-'main page'!$K$27*L92</f>
        <v>100</v>
      </c>
      <c r="I93" s="74">
        <f t="shared" ca="1" si="12"/>
        <v>108</v>
      </c>
      <c r="J93" s="74">
        <f t="shared" ca="1" si="11"/>
        <v>108</v>
      </c>
      <c r="K93" s="74">
        <f ca="1">IF(ABS('main page'!$K$29*K92+(1-'main page'!$K$29)*(controls!$B$9/100)*100+'main page'!$K$25*(E93-B93)-K92)&lt;0.0000001,K92,'main page'!$K$29*K92+(1-'main page'!$K$29)*(controls!$B$9/100)*100+'main page'!$K$25*(E93-B93))</f>
        <v>2</v>
      </c>
      <c r="L93" s="74">
        <f ca="1">IF(controls!$B$10=1,L92,M93-'main page'!$K$29*K93-(1-'main page'!$K$29)*controls!$B$9)</f>
        <v>4</v>
      </c>
      <c r="M93" s="74">
        <f t="shared" ca="1" si="8"/>
        <v>6</v>
      </c>
      <c r="N93" s="74">
        <f ca="1">IF(controls!$B$10=1,'delay in perception'!L93+'delay in perception'!K93,'delay in perception'!O93)</f>
        <v>6</v>
      </c>
      <c r="O93" s="104">
        <f ca="1">'main page'!$K$29*K93+(1-'main page'!$K$29)*controls!$B$9+P93+(('main page'!$K$25*'main page'!$U$13*'main page'!$K$29)/('main page'!$K$27*(1+('main page'!$K$25^2)*'main page'!$U$13)))*(K93-(controls!$B$9/100)*100)</f>
        <v>6</v>
      </c>
      <c r="P93" s="98">
        <f ca="1">IF(controls!$B$33=1,(J94-E93*U94-C94+B93*T94)/'main page'!$K$27,(I94-E93*U94-C94+B93*T94)/'main page'!$K$27)</f>
        <v>4</v>
      </c>
      <c r="R93" s="71">
        <f>IF(controls!$B$6=1,'normal case'!$AL$3*(1+('main page'!$K$35/100))^S93-'normal case'!$AL$3*(1+('main page'!$K$35/100))^S92,'normal case'!$AL$3*(1+('main page'!$G$8/100))*(1+('main page'!$K$35/100))^S93-'normal case'!$AL$3*(1+('main page'!$G$8/100))*(1+('main page'!$K$35/100))^S92)</f>
        <v>0</v>
      </c>
      <c r="S93" s="73">
        <v>85</v>
      </c>
      <c r="T93" s="71">
        <f ca="1">'normal case'!V92</f>
        <v>0</v>
      </c>
      <c r="U93" s="71">
        <f ca="1">'normal case'!W92</f>
        <v>0</v>
      </c>
    </row>
    <row r="94" spans="1:21">
      <c r="A94" s="53">
        <v>91</v>
      </c>
      <c r="B94" s="74">
        <f ca="1">IF(controls!$B$33=1,B93*(1+T94)+R94,B93*(1+T94))</f>
        <v>100</v>
      </c>
      <c r="C94" s="74">
        <f t="shared" ca="1" si="10"/>
        <v>100</v>
      </c>
      <c r="D94" s="93">
        <f t="shared" ca="1" si="9"/>
        <v>0</v>
      </c>
      <c r="E94" s="74">
        <f t="shared" ca="1" si="7"/>
        <v>100</v>
      </c>
      <c r="F94" s="74">
        <f ca="1">IF(controls!$B$33=1,'delay in perception'!H94,G94)</f>
        <v>100</v>
      </c>
      <c r="G94" s="74">
        <f ca="1">I94-'main page'!$K$27*L93</f>
        <v>100</v>
      </c>
      <c r="H94" s="74">
        <f ca="1">J94-'main page'!$K$27*L93</f>
        <v>100</v>
      </c>
      <c r="I94" s="74">
        <f t="shared" ca="1" si="12"/>
        <v>108</v>
      </c>
      <c r="J94" s="74">
        <f t="shared" ca="1" si="11"/>
        <v>108</v>
      </c>
      <c r="K94" s="74">
        <f ca="1">IF(ABS('main page'!$K$29*K93+(1-'main page'!$K$29)*(controls!$B$9/100)*100+'main page'!$K$25*(E94-B94)-K93)&lt;0.0000001,K93,'main page'!$K$29*K93+(1-'main page'!$K$29)*(controls!$B$9/100)*100+'main page'!$K$25*(E94-B94))</f>
        <v>2</v>
      </c>
      <c r="L94" s="74">
        <f ca="1">IF(controls!$B$10=1,L93,M94-'main page'!$K$29*K94-(1-'main page'!$K$29)*controls!$B$9)</f>
        <v>4</v>
      </c>
      <c r="M94" s="74">
        <f t="shared" ca="1" si="8"/>
        <v>6</v>
      </c>
      <c r="N94" s="74">
        <f ca="1">IF(controls!$B$10=1,'delay in perception'!L94+'delay in perception'!K94,'delay in perception'!O94)</f>
        <v>6</v>
      </c>
      <c r="O94" s="104">
        <f ca="1">'main page'!$K$29*K94+(1-'main page'!$K$29)*controls!$B$9+P94+(('main page'!$K$25*'main page'!$U$13*'main page'!$K$29)/('main page'!$K$27*(1+('main page'!$K$25^2)*'main page'!$U$13)))*(K94-(controls!$B$9/100)*100)</f>
        <v>6</v>
      </c>
      <c r="P94" s="98">
        <f ca="1">IF(controls!$B$33=1,(J95-E94*U95-C95+B94*T95)/'main page'!$K$27,(I95-E94*U95-C95+B94*T95)/'main page'!$K$27)</f>
        <v>4</v>
      </c>
      <c r="R94" s="71">
        <f>IF(controls!$B$6=1,'normal case'!$AL$3*(1+('main page'!$K$35/100))^S94-'normal case'!$AL$3*(1+('main page'!$K$35/100))^S93,'normal case'!$AL$3*(1+('main page'!$G$8/100))*(1+('main page'!$K$35/100))^S94-'normal case'!$AL$3*(1+('main page'!$G$8/100))*(1+('main page'!$K$35/100))^S93)</f>
        <v>0</v>
      </c>
      <c r="S94" s="73">
        <v>86</v>
      </c>
      <c r="T94" s="71">
        <f>'normal case'!V93</f>
        <v>0</v>
      </c>
      <c r="U94" s="71">
        <f>'normal case'!W93</f>
        <v>0</v>
      </c>
    </row>
    <row r="95" spans="1:21">
      <c r="A95" s="53">
        <v>92</v>
      </c>
      <c r="B95" s="74">
        <f ca="1">IF(controls!$B$33=1,B94*(1+T95)+R95,B94*(1+T95))</f>
        <v>100</v>
      </c>
      <c r="C95" s="74">
        <f t="shared" ca="1" si="10"/>
        <v>100</v>
      </c>
      <c r="D95" s="93">
        <f t="shared" ca="1" si="9"/>
        <v>0</v>
      </c>
      <c r="E95" s="74">
        <f t="shared" ca="1" si="7"/>
        <v>100</v>
      </c>
      <c r="F95" s="74">
        <f ca="1">IF(controls!$B$33=1,'delay in perception'!H95,G95)</f>
        <v>100</v>
      </c>
      <c r="G95" s="74">
        <f ca="1">I95-'main page'!$K$27*L94</f>
        <v>100</v>
      </c>
      <c r="H95" s="74">
        <f ca="1">J95-'main page'!$K$27*L94</f>
        <v>100</v>
      </c>
      <c r="I95" s="74">
        <f t="shared" ca="1" si="12"/>
        <v>108</v>
      </c>
      <c r="J95" s="74">
        <f t="shared" ca="1" si="11"/>
        <v>108</v>
      </c>
      <c r="K95" s="74">
        <f ca="1">IF(ABS('main page'!$K$29*K94+(1-'main page'!$K$29)*(controls!$B$9/100)*100+'main page'!$K$25*(E95-B95)-K94)&lt;0.0000001,K94,'main page'!$K$29*K94+(1-'main page'!$K$29)*(controls!$B$9/100)*100+'main page'!$K$25*(E95-B95))</f>
        <v>2</v>
      </c>
      <c r="L95" s="74">
        <f ca="1">IF(controls!$B$10=1,L94,M95-'main page'!$K$29*K95-(1-'main page'!$K$29)*controls!$B$9)</f>
        <v>4</v>
      </c>
      <c r="M95" s="74">
        <f t="shared" ca="1" si="8"/>
        <v>6</v>
      </c>
      <c r="N95" s="74">
        <f ca="1">IF(controls!$B$10=1,'delay in perception'!L95+'delay in perception'!K95,'delay in perception'!O95)</f>
        <v>6</v>
      </c>
      <c r="O95" s="104">
        <f ca="1">'main page'!$K$29*K95+(1-'main page'!$K$29)*controls!$B$9+P95+(('main page'!$K$25*'main page'!$U$13*'main page'!$K$29)/('main page'!$K$27*(1+('main page'!$K$25^2)*'main page'!$U$13)))*(K95-(controls!$B$9/100)*100)</f>
        <v>6</v>
      </c>
      <c r="P95" s="98">
        <f ca="1">IF(controls!$B$33=1,(J96-E95*U96-C96+B95*T96)/'main page'!$K$27,(I96-E95*U96-C96+B95*T96)/'main page'!$K$27)</f>
        <v>4</v>
      </c>
      <c r="R95" s="71">
        <f>IF(controls!$B$6=1,'normal case'!$AL$3*(1+('main page'!$K$35/100))^S95-'normal case'!$AL$3*(1+('main page'!$K$35/100))^S94,'normal case'!$AL$3*(1+('main page'!$G$8/100))*(1+('main page'!$K$35/100))^S95-'normal case'!$AL$3*(1+('main page'!$G$8/100))*(1+('main page'!$K$35/100))^S94)</f>
        <v>0</v>
      </c>
      <c r="S95" s="73">
        <v>87</v>
      </c>
      <c r="T95" s="71">
        <f>'normal case'!V94</f>
        <v>0</v>
      </c>
      <c r="U95" s="71">
        <f>'normal case'!W94</f>
        <v>0</v>
      </c>
    </row>
    <row r="96" spans="1:21">
      <c r="A96" s="53">
        <v>93</v>
      </c>
      <c r="B96" s="74">
        <f ca="1">IF(controls!$B$33=1,B95*(1+T96)+R96,B95*(1+T96))</f>
        <v>100</v>
      </c>
      <c r="C96" s="74">
        <f t="shared" ca="1" si="10"/>
        <v>100</v>
      </c>
      <c r="D96" s="93">
        <f t="shared" ca="1" si="9"/>
        <v>0</v>
      </c>
      <c r="E96" s="74">
        <f t="shared" ca="1" si="7"/>
        <v>100</v>
      </c>
      <c r="F96" s="74">
        <f ca="1">IF(controls!$B$33=1,'delay in perception'!H96,G96)</f>
        <v>100</v>
      </c>
      <c r="G96" s="74">
        <f ca="1">I96-'main page'!$K$27*L95</f>
        <v>100</v>
      </c>
      <c r="H96" s="74">
        <f ca="1">J96-'main page'!$K$27*L95</f>
        <v>100</v>
      </c>
      <c r="I96" s="74">
        <f t="shared" ca="1" si="12"/>
        <v>108</v>
      </c>
      <c r="J96" s="74">
        <f t="shared" ca="1" si="11"/>
        <v>108</v>
      </c>
      <c r="K96" s="74">
        <f ca="1">IF(ABS('main page'!$K$29*K95+(1-'main page'!$K$29)*(controls!$B$9/100)*100+'main page'!$K$25*(E96-B96)-K95)&lt;0.0000001,K95,'main page'!$K$29*K95+(1-'main page'!$K$29)*(controls!$B$9/100)*100+'main page'!$K$25*(E96-B96))</f>
        <v>2</v>
      </c>
      <c r="L96" s="74">
        <f ca="1">IF(controls!$B$10=1,L95,M96-'main page'!$K$29*K96-(1-'main page'!$K$29)*controls!$B$9)</f>
        <v>4</v>
      </c>
      <c r="M96" s="74">
        <f t="shared" ca="1" si="8"/>
        <v>6</v>
      </c>
      <c r="N96" s="74">
        <f ca="1">IF(controls!$B$10=1,'delay in perception'!L96+'delay in perception'!K96,'delay in perception'!O96)</f>
        <v>6</v>
      </c>
      <c r="O96" s="104">
        <f ca="1">'main page'!$K$29*K96+(1-'main page'!$K$29)*controls!$B$9+P96+(('main page'!$K$25*'main page'!$U$13*'main page'!$K$29)/('main page'!$K$27*(1+('main page'!$K$25^2)*'main page'!$U$13)))*(K96-(controls!$B$9/100)*100)</f>
        <v>6</v>
      </c>
      <c r="P96" s="98">
        <f ca="1">IF(controls!$B$33=1,(J97-E96*U97-C97+B96*T97)/'main page'!$K$27,(I97-E96*U97-C97+B96*T97)/'main page'!$K$27)</f>
        <v>4</v>
      </c>
      <c r="R96" s="71">
        <f>IF(controls!$B$6=1,'normal case'!$AL$3*(1+('main page'!$K$35/100))^S96-'normal case'!$AL$3*(1+('main page'!$K$35/100))^S95,'normal case'!$AL$3*(1+('main page'!$G$8/100))*(1+('main page'!$K$35/100))^S96-'normal case'!$AL$3*(1+('main page'!$G$8/100))*(1+('main page'!$K$35/100))^S95)</f>
        <v>0</v>
      </c>
      <c r="S96" s="73">
        <v>88</v>
      </c>
      <c r="T96" s="71">
        <f ca="1">'normal case'!V95</f>
        <v>0</v>
      </c>
      <c r="U96" s="71">
        <f ca="1">'normal case'!W95</f>
        <v>0</v>
      </c>
    </row>
    <row r="97" spans="1:21">
      <c r="A97" s="53">
        <v>94</v>
      </c>
      <c r="B97" s="74">
        <f ca="1">IF(controls!$B$33=1,B96*(1+T97)+R97,B96*(1+T97))</f>
        <v>100</v>
      </c>
      <c r="C97" s="74">
        <f t="shared" ca="1" si="10"/>
        <v>100</v>
      </c>
      <c r="D97" s="93">
        <f t="shared" ca="1" si="9"/>
        <v>0</v>
      </c>
      <c r="E97" s="74">
        <f t="shared" ca="1" si="7"/>
        <v>100</v>
      </c>
      <c r="F97" s="74">
        <f ca="1">IF(controls!$B$33=1,'delay in perception'!H97,G97)</f>
        <v>100</v>
      </c>
      <c r="G97" s="74">
        <f ca="1">I97-'main page'!$K$27*L96</f>
        <v>100</v>
      </c>
      <c r="H97" s="74">
        <f ca="1">J97-'main page'!$K$27*L96</f>
        <v>100</v>
      </c>
      <c r="I97" s="74">
        <f t="shared" ca="1" si="12"/>
        <v>108</v>
      </c>
      <c r="J97" s="74">
        <f t="shared" ca="1" si="11"/>
        <v>108</v>
      </c>
      <c r="K97" s="74">
        <f ca="1">IF(ABS('main page'!$K$29*K96+(1-'main page'!$K$29)*(controls!$B$9/100)*100+'main page'!$K$25*(E97-B97)-K96)&lt;0.0000001,K96,'main page'!$K$29*K96+(1-'main page'!$K$29)*(controls!$B$9/100)*100+'main page'!$K$25*(E97-B97))</f>
        <v>2</v>
      </c>
      <c r="L97" s="74">
        <f ca="1">IF(controls!$B$10=1,L96,M97-'main page'!$K$29*K97-(1-'main page'!$K$29)*controls!$B$9)</f>
        <v>4</v>
      </c>
      <c r="M97" s="74">
        <f t="shared" ca="1" si="8"/>
        <v>6</v>
      </c>
      <c r="N97" s="74">
        <f ca="1">IF(controls!$B$10=1,'delay in perception'!L97+'delay in perception'!K97,'delay in perception'!O97)</f>
        <v>6</v>
      </c>
      <c r="O97" s="104">
        <f ca="1">'main page'!$K$29*K97+(1-'main page'!$K$29)*controls!$B$9+P97+(('main page'!$K$25*'main page'!$U$13*'main page'!$K$29)/('main page'!$K$27*(1+('main page'!$K$25^2)*'main page'!$U$13)))*(K97-(controls!$B$9/100)*100)</f>
        <v>6</v>
      </c>
      <c r="P97" s="98">
        <f ca="1">IF(controls!$B$33=1,(J98-E97*U98-C98+B97*T98)/'main page'!$K$27,(I98-E97*U98-C98+B97*T98)/'main page'!$K$27)</f>
        <v>4</v>
      </c>
      <c r="R97" s="71">
        <f>IF(controls!$B$6=1,'normal case'!$AL$3*(1+('main page'!$K$35/100))^S97-'normal case'!$AL$3*(1+('main page'!$K$35/100))^S96,'normal case'!$AL$3*(1+('main page'!$G$8/100))*(1+('main page'!$K$35/100))^S97-'normal case'!$AL$3*(1+('main page'!$G$8/100))*(1+('main page'!$K$35/100))^S96)</f>
        <v>0</v>
      </c>
      <c r="S97" s="73">
        <v>89</v>
      </c>
      <c r="T97" s="71">
        <f>'normal case'!V96</f>
        <v>0</v>
      </c>
      <c r="U97" s="71">
        <f>'normal case'!W96</f>
        <v>0</v>
      </c>
    </row>
    <row r="98" spans="1:21">
      <c r="A98" s="53">
        <v>95</v>
      </c>
      <c r="B98" s="74">
        <f ca="1">IF(controls!$B$33=1,B97*(1+T98)+R98,B97*(1+T98))</f>
        <v>100</v>
      </c>
      <c r="C98" s="74">
        <f t="shared" ca="1" si="10"/>
        <v>100</v>
      </c>
      <c r="D98" s="93">
        <f t="shared" ca="1" si="9"/>
        <v>0</v>
      </c>
      <c r="E98" s="74">
        <f t="shared" ca="1" si="7"/>
        <v>100</v>
      </c>
      <c r="F98" s="74">
        <f ca="1">IF(controls!$B$33=1,'delay in perception'!H98,G98)</f>
        <v>100</v>
      </c>
      <c r="G98" s="74">
        <f ca="1">I98-'main page'!$K$27*L97</f>
        <v>100</v>
      </c>
      <c r="H98" s="74">
        <f ca="1">J98-'main page'!$K$27*L97</f>
        <v>100</v>
      </c>
      <c r="I98" s="74">
        <f t="shared" ca="1" si="12"/>
        <v>108</v>
      </c>
      <c r="J98" s="74">
        <f t="shared" ca="1" si="11"/>
        <v>108</v>
      </c>
      <c r="K98" s="74">
        <f ca="1">IF(ABS('main page'!$K$29*K97+(1-'main page'!$K$29)*(controls!$B$9/100)*100+'main page'!$K$25*(E98-B98)-K97)&lt;0.0000001,K97,'main page'!$K$29*K97+(1-'main page'!$K$29)*(controls!$B$9/100)*100+'main page'!$K$25*(E98-B98))</f>
        <v>2</v>
      </c>
      <c r="L98" s="74">
        <f ca="1">IF(controls!$B$10=1,L97,M98-'main page'!$K$29*K98-(1-'main page'!$K$29)*controls!$B$9)</f>
        <v>4</v>
      </c>
      <c r="M98" s="74">
        <f t="shared" ca="1" si="8"/>
        <v>6</v>
      </c>
      <c r="N98" s="74">
        <f ca="1">IF(controls!$B$10=1,'delay in perception'!L98+'delay in perception'!K98,'delay in perception'!O98)</f>
        <v>6</v>
      </c>
      <c r="O98" s="104">
        <f ca="1">'main page'!$K$29*K98+(1-'main page'!$K$29)*controls!$B$9+P98+(('main page'!$K$25*'main page'!$U$13*'main page'!$K$29)/('main page'!$K$27*(1+('main page'!$K$25^2)*'main page'!$U$13)))*(K98-(controls!$B$9/100)*100)</f>
        <v>6</v>
      </c>
      <c r="P98" s="98">
        <f ca="1">IF(controls!$B$33=1,(J99-E98*U99-C99+B98*T99)/'main page'!$K$27,(I99-E98*U99-C99+B98*T99)/'main page'!$K$27)</f>
        <v>4</v>
      </c>
      <c r="R98" s="71">
        <f>IF(controls!$B$6=1,'normal case'!$AL$3*(1+('main page'!$K$35/100))^S98-'normal case'!$AL$3*(1+('main page'!$K$35/100))^S97,'normal case'!$AL$3*(1+('main page'!$G$8/100))*(1+('main page'!$K$35/100))^S98-'normal case'!$AL$3*(1+('main page'!$G$8/100))*(1+('main page'!$K$35/100))^S97)</f>
        <v>0</v>
      </c>
      <c r="S98" s="73">
        <v>90</v>
      </c>
      <c r="T98" s="71">
        <f>'normal case'!V97</f>
        <v>0</v>
      </c>
      <c r="U98" s="71">
        <f>'normal case'!W97</f>
        <v>0</v>
      </c>
    </row>
    <row r="99" spans="1:21">
      <c r="A99" s="53">
        <v>96</v>
      </c>
      <c r="B99" s="74">
        <f ca="1">IF(controls!$B$33=1,B98*(1+T99)+R99,B98*(1+T99))</f>
        <v>100</v>
      </c>
      <c r="C99" s="74">
        <f t="shared" ca="1" si="10"/>
        <v>100</v>
      </c>
      <c r="D99" s="93">
        <f t="shared" ca="1" si="9"/>
        <v>0</v>
      </c>
      <c r="E99" s="74">
        <f t="shared" ca="1" si="7"/>
        <v>100</v>
      </c>
      <c r="F99" s="74">
        <f ca="1">IF(controls!$B$33=1,'delay in perception'!H99,G99)</f>
        <v>100</v>
      </c>
      <c r="G99" s="74">
        <f ca="1">I99-'main page'!$K$27*L98</f>
        <v>100</v>
      </c>
      <c r="H99" s="74">
        <f ca="1">J99-'main page'!$K$27*L98</f>
        <v>100</v>
      </c>
      <c r="I99" s="74">
        <f t="shared" ca="1" si="12"/>
        <v>108</v>
      </c>
      <c r="J99" s="74">
        <f t="shared" ca="1" si="11"/>
        <v>108</v>
      </c>
      <c r="K99" s="74">
        <f ca="1">IF(ABS('main page'!$K$29*K98+(1-'main page'!$K$29)*(controls!$B$9/100)*100+'main page'!$K$25*(E99-B99)-K98)&lt;0.0000001,K98,'main page'!$K$29*K98+(1-'main page'!$K$29)*(controls!$B$9/100)*100+'main page'!$K$25*(E99-B99))</f>
        <v>2</v>
      </c>
      <c r="L99" s="74">
        <f ca="1">IF(controls!$B$10=1,L98,M99-'main page'!$K$29*K99-(1-'main page'!$K$29)*controls!$B$9)</f>
        <v>4</v>
      </c>
      <c r="M99" s="74">
        <f t="shared" ca="1" si="8"/>
        <v>6</v>
      </c>
      <c r="N99" s="74">
        <f ca="1">IF(controls!$B$10=1,'delay in perception'!L99+'delay in perception'!K99,'delay in perception'!O99)</f>
        <v>6</v>
      </c>
      <c r="O99" s="104">
        <f ca="1">'main page'!$K$29*K99+(1-'main page'!$K$29)*controls!$B$9+P99+(('main page'!$K$25*'main page'!$U$13*'main page'!$K$29)/('main page'!$K$27*(1+('main page'!$K$25^2)*'main page'!$U$13)))*(K99-(controls!$B$9/100)*100)</f>
        <v>6</v>
      </c>
      <c r="P99" s="98">
        <f ca="1">IF(controls!$B$33=1,(J100-E99*U100-C100+B99*T100)/'main page'!$K$27,(I100-E99*U100-C100+B99*T100)/'main page'!$K$27)</f>
        <v>4</v>
      </c>
      <c r="R99" s="71">
        <f>IF(controls!$B$6=1,'normal case'!$AL$3*(1+('main page'!$K$35/100))^S99-'normal case'!$AL$3*(1+('main page'!$K$35/100))^S98,'normal case'!$AL$3*(1+('main page'!$G$8/100))*(1+('main page'!$K$35/100))^S99-'normal case'!$AL$3*(1+('main page'!$G$8/100))*(1+('main page'!$K$35/100))^S98)</f>
        <v>0</v>
      </c>
      <c r="S99" s="73">
        <v>91</v>
      </c>
      <c r="T99" s="71">
        <f ca="1">'normal case'!V98</f>
        <v>0</v>
      </c>
      <c r="U99" s="71">
        <f ca="1">'normal case'!W98</f>
        <v>0</v>
      </c>
    </row>
    <row r="100" spans="1:21">
      <c r="A100" s="53">
        <v>97</v>
      </c>
      <c r="B100" s="74">
        <f ca="1">IF(controls!$B$33=1,B99*(1+T100)+R100,B99*(1+T100))</f>
        <v>100</v>
      </c>
      <c r="C100" s="74">
        <f t="shared" ca="1" si="10"/>
        <v>100</v>
      </c>
      <c r="D100" s="93">
        <f t="shared" ca="1" si="9"/>
        <v>0</v>
      </c>
      <c r="E100" s="74">
        <f t="shared" ca="1" si="7"/>
        <v>100</v>
      </c>
      <c r="F100" s="74">
        <f ca="1">IF(controls!$B$33=1,'delay in perception'!H100,G100)</f>
        <v>100</v>
      </c>
      <c r="G100" s="74">
        <f ca="1">I100-'main page'!$K$27*L99</f>
        <v>100</v>
      </c>
      <c r="H100" s="74">
        <f ca="1">J100-'main page'!$K$27*L99</f>
        <v>100</v>
      </c>
      <c r="I100" s="74">
        <f t="shared" ca="1" si="12"/>
        <v>108</v>
      </c>
      <c r="J100" s="74">
        <f t="shared" ca="1" si="11"/>
        <v>108</v>
      </c>
      <c r="K100" s="74">
        <f ca="1">IF(ABS('main page'!$K$29*K99+(1-'main page'!$K$29)*(controls!$B$9/100)*100+'main page'!$K$25*(E100-B100)-K99)&lt;0.0000001,K99,'main page'!$K$29*K99+(1-'main page'!$K$29)*(controls!$B$9/100)*100+'main page'!$K$25*(E100-B100))</f>
        <v>2</v>
      </c>
      <c r="L100" s="74">
        <f ca="1">IF(controls!$B$10=1,L99,M100-'main page'!$K$29*K100-(1-'main page'!$K$29)*controls!$B$9)</f>
        <v>4</v>
      </c>
      <c r="M100" s="74">
        <f t="shared" ca="1" si="8"/>
        <v>6</v>
      </c>
      <c r="N100" s="74">
        <f ca="1">IF(controls!$B$10=1,'delay in perception'!L100+'delay in perception'!K100,'delay in perception'!O100)</f>
        <v>6</v>
      </c>
      <c r="O100" s="104">
        <f ca="1">'main page'!$K$29*K100+(1-'main page'!$K$29)*controls!$B$9+P100+(('main page'!$K$25*'main page'!$U$13*'main page'!$K$29)/('main page'!$K$27*(1+('main page'!$K$25^2)*'main page'!$U$13)))*(K100-(controls!$B$9/100)*100)</f>
        <v>6</v>
      </c>
      <c r="P100" s="98">
        <f ca="1">IF(controls!$B$33=1,(J101-E100*U101-C101+B100*T101)/'main page'!$K$27,(I101-E100*U101-C101+B100*T101)/'main page'!$K$27)</f>
        <v>4</v>
      </c>
      <c r="R100" s="71">
        <f>IF(controls!$B$6=1,'normal case'!$AL$3*(1+('main page'!$K$35/100))^S100-'normal case'!$AL$3*(1+('main page'!$K$35/100))^S99,'normal case'!$AL$3*(1+('main page'!$G$8/100))*(1+('main page'!$K$35/100))^S100-'normal case'!$AL$3*(1+('main page'!$G$8/100))*(1+('main page'!$K$35/100))^S99)</f>
        <v>0</v>
      </c>
      <c r="S100" s="73">
        <v>92</v>
      </c>
      <c r="T100" s="71">
        <f>'normal case'!V99</f>
        <v>0</v>
      </c>
      <c r="U100" s="71">
        <f>'normal case'!W99</f>
        <v>0</v>
      </c>
    </row>
    <row r="101" spans="1:21">
      <c r="A101" s="53">
        <v>98</v>
      </c>
      <c r="B101" s="74">
        <f ca="1">IF(controls!$B$33=1,B100*(1+T101)+R101,B100*(1+T101))</f>
        <v>100</v>
      </c>
      <c r="C101" s="74">
        <f t="shared" ca="1" si="10"/>
        <v>100</v>
      </c>
      <c r="D101" s="93">
        <f t="shared" ca="1" si="9"/>
        <v>0</v>
      </c>
      <c r="E101" s="74">
        <f t="shared" ca="1" si="7"/>
        <v>100</v>
      </c>
      <c r="F101" s="74">
        <f ca="1">IF(controls!$B$33=1,'delay in perception'!H101,G101)</f>
        <v>100</v>
      </c>
      <c r="G101" s="74">
        <f ca="1">I101-'main page'!$K$27*L100</f>
        <v>100</v>
      </c>
      <c r="H101" s="74">
        <f ca="1">J101-'main page'!$K$27*L100</f>
        <v>100</v>
      </c>
      <c r="I101" s="74">
        <f t="shared" ca="1" si="12"/>
        <v>108</v>
      </c>
      <c r="J101" s="74">
        <f t="shared" ca="1" si="11"/>
        <v>108</v>
      </c>
      <c r="K101" s="74">
        <f ca="1">IF(ABS('main page'!$K$29*K100+(1-'main page'!$K$29)*(controls!$B$9/100)*100+'main page'!$K$25*(E101-B101)-K100)&lt;0.0000001,K100,'main page'!$K$29*K100+(1-'main page'!$K$29)*(controls!$B$9/100)*100+'main page'!$K$25*(E101-B101))</f>
        <v>2</v>
      </c>
      <c r="L101" s="74">
        <f ca="1">IF(controls!$B$10=1,L100,M101-'main page'!$K$29*K101-(1-'main page'!$K$29)*controls!$B$9)</f>
        <v>4</v>
      </c>
      <c r="M101" s="74">
        <f t="shared" ca="1" si="8"/>
        <v>6</v>
      </c>
      <c r="N101" s="74">
        <f ca="1">IF(controls!$B$10=1,'delay in perception'!L101+'delay in perception'!K101,'delay in perception'!O101)</f>
        <v>6</v>
      </c>
      <c r="O101" s="104">
        <f ca="1">'main page'!$K$29*K101+(1-'main page'!$K$29)*controls!$B$9+P101+(('main page'!$K$25*'main page'!$U$13*'main page'!$K$29)/('main page'!$K$27*(1+('main page'!$K$25^2)*'main page'!$U$13)))*(K101-(controls!$B$9/100)*100)</f>
        <v>6</v>
      </c>
      <c r="P101" s="98">
        <f ca="1">IF(controls!$B$33=1,(J102-E101*U102-C102+B101*T102)/'main page'!$K$27,(I102-E101*U102-C102+B101*T102)/'main page'!$K$27)</f>
        <v>4</v>
      </c>
      <c r="R101" s="71">
        <f>IF(controls!$B$6=1,'normal case'!$AL$3*(1+('main page'!$K$35/100))^S101-'normal case'!$AL$3*(1+('main page'!$K$35/100))^S100,'normal case'!$AL$3*(1+('main page'!$G$8/100))*(1+('main page'!$K$35/100))^S101-'normal case'!$AL$3*(1+('main page'!$G$8/100))*(1+('main page'!$K$35/100))^S100)</f>
        <v>0</v>
      </c>
      <c r="S101" s="73">
        <v>93</v>
      </c>
      <c r="T101" s="71">
        <f>'normal case'!V100</f>
        <v>0</v>
      </c>
      <c r="U101" s="71">
        <f>'normal case'!W100</f>
        <v>0</v>
      </c>
    </row>
    <row r="102" spans="1:21">
      <c r="A102" s="53">
        <v>99</v>
      </c>
      <c r="B102" s="74">
        <f ca="1">IF(controls!$B$33=1,B101*(1+T102)+R102,B101*(1+T102))</f>
        <v>100</v>
      </c>
      <c r="C102" s="74">
        <f t="shared" ca="1" si="10"/>
        <v>100</v>
      </c>
      <c r="D102" s="93">
        <f t="shared" ca="1" si="9"/>
        <v>0</v>
      </c>
      <c r="E102" s="74">
        <f t="shared" ca="1" si="7"/>
        <v>100</v>
      </c>
      <c r="F102" s="74">
        <f ca="1">IF(controls!$B$33=1,'delay in perception'!H102,G102)</f>
        <v>100</v>
      </c>
      <c r="G102" s="74">
        <f ca="1">I102-'main page'!$K$27*L101</f>
        <v>100</v>
      </c>
      <c r="H102" s="74">
        <f ca="1">J102-'main page'!$K$27*L101</f>
        <v>100</v>
      </c>
      <c r="I102" s="74">
        <f t="shared" ca="1" si="12"/>
        <v>108</v>
      </c>
      <c r="J102" s="74">
        <f t="shared" ca="1" si="11"/>
        <v>108</v>
      </c>
      <c r="K102" s="74">
        <f ca="1">IF(ABS('main page'!$K$29*K101+(1-'main page'!$K$29)*(controls!$B$9/100)*100+'main page'!$K$25*(E102-B102)-K101)&lt;0.0000001,K101,'main page'!$K$29*K101+(1-'main page'!$K$29)*(controls!$B$9/100)*100+'main page'!$K$25*(E102-B102))</f>
        <v>2</v>
      </c>
      <c r="L102" s="74">
        <f ca="1">IF(controls!$B$10=1,L101,M102-'main page'!$K$29*K102-(1-'main page'!$K$29)*controls!$B$9)</f>
        <v>0</v>
      </c>
      <c r="M102" s="74">
        <f t="shared" ca="1" si="8"/>
        <v>2</v>
      </c>
      <c r="N102" s="74">
        <f ca="1">IF(controls!$B$10=1,'delay in perception'!L102+'delay in perception'!K102,'delay in perception'!O102)</f>
        <v>2</v>
      </c>
      <c r="O102" s="104">
        <f ca="1">'main page'!$K$29*K102+(1-'main page'!$K$29)*controls!$B$9+P102+(('main page'!$K$25*'main page'!$U$13*'main page'!$K$29)/('main page'!$K$27*(1+('main page'!$K$25^2)*'main page'!$U$13)))*(K102-(controls!$B$9/100)*100)</f>
        <v>2</v>
      </c>
      <c r="P102" s="98">
        <f ca="1">IF(controls!$B$33=1,(J103-E102*U103-C103+B102*T103)/'main page'!$K$27,(I103-E102*U103-C103+B102*T103)/'main page'!$K$27)</f>
        <v>0</v>
      </c>
      <c r="R102" s="71">
        <f>IF(controls!$B$6=1,'normal case'!$AL$3*(1+('main page'!$K$35/100))^S102-'normal case'!$AL$3*(1+('main page'!$K$35/100))^S101,'normal case'!$AL$3*(1+('main page'!$G$8/100))*(1+('main page'!$K$35/100))^S102-'normal case'!$AL$3*(1+('main page'!$G$8/100))*(1+('main page'!$K$35/100))^S101)</f>
        <v>0</v>
      </c>
      <c r="S102" s="73">
        <v>94</v>
      </c>
      <c r="T102" s="71">
        <f ca="1">'normal case'!V101</f>
        <v>0</v>
      </c>
      <c r="U102" s="71">
        <f ca="1">'normal case'!W101</f>
        <v>0</v>
      </c>
    </row>
  </sheetData>
  <sheetProtection selectLockedCells="1"/>
  <mergeCells count="6">
    <mergeCell ref="B2:C2"/>
    <mergeCell ref="T2:U2"/>
    <mergeCell ref="R2:S3"/>
    <mergeCell ref="M2:O2"/>
    <mergeCell ref="E2:J2"/>
    <mergeCell ref="P2:P3"/>
  </mergeCells>
  <phoneticPr fontId="3" type="noConversion"/>
  <pageMargins left="0.75" right="0.75" top="1" bottom="1" header="0" footer="0"/>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8"/>
  <dimension ref="A1:U65"/>
  <sheetViews>
    <sheetView showGridLines="0" showRowColHeaders="0" zoomScale="95" zoomScaleNormal="95" workbookViewId="0">
      <selection activeCell="G8" sqref="G8"/>
    </sheetView>
  </sheetViews>
  <sheetFormatPr defaultColWidth="10.90625" defaultRowHeight="12.5"/>
  <cols>
    <col min="1" max="1" width="23.81640625" customWidth="1"/>
    <col min="2" max="2" width="4.26953125" customWidth="1"/>
    <col min="3" max="3" width="2.26953125" customWidth="1"/>
    <col min="4" max="4" width="0.1796875" customWidth="1"/>
    <col min="5" max="5" width="5" customWidth="1"/>
    <col min="6" max="6" width="15.7265625" customWidth="1"/>
  </cols>
  <sheetData>
    <row r="1" spans="1:21">
      <c r="A1" s="149"/>
      <c r="B1" s="149"/>
      <c r="C1" s="149"/>
      <c r="D1" s="149"/>
      <c r="E1" s="149"/>
      <c r="F1" s="149"/>
      <c r="G1" s="149"/>
      <c r="H1" s="149"/>
      <c r="I1" s="149"/>
      <c r="J1" s="149"/>
      <c r="K1" s="149"/>
      <c r="L1" s="149"/>
      <c r="M1" s="149"/>
      <c r="N1" s="149"/>
      <c r="O1" s="149"/>
      <c r="P1" s="149"/>
      <c r="Q1" s="149"/>
      <c r="R1" s="149"/>
      <c r="S1" s="149"/>
      <c r="T1" s="149"/>
      <c r="U1" s="149"/>
    </row>
    <row r="2" spans="1:21">
      <c r="A2" s="149"/>
      <c r="B2" s="149"/>
      <c r="C2" s="149"/>
      <c r="D2" s="149"/>
      <c r="E2" s="149"/>
      <c r="F2" s="149"/>
      <c r="G2" s="149"/>
      <c r="H2" s="149"/>
      <c r="I2" s="149"/>
      <c r="J2" s="149"/>
      <c r="K2" s="149"/>
      <c r="L2" s="149"/>
      <c r="M2" s="149"/>
      <c r="N2" s="149"/>
      <c r="O2" s="149"/>
      <c r="P2" s="149"/>
      <c r="Q2" s="149"/>
      <c r="R2" s="149"/>
      <c r="S2" s="149"/>
      <c r="T2" s="149"/>
      <c r="U2" s="149"/>
    </row>
    <row r="3" spans="1:21">
      <c r="A3" s="149"/>
      <c r="B3" s="149"/>
      <c r="C3" s="149"/>
      <c r="D3" s="149"/>
      <c r="E3" s="149"/>
      <c r="F3" s="149"/>
      <c r="G3" s="149"/>
      <c r="H3" s="149"/>
      <c r="I3" s="149"/>
      <c r="J3" s="149"/>
      <c r="K3" s="149"/>
      <c r="L3" s="149"/>
      <c r="M3" s="149"/>
      <c r="N3" s="149"/>
      <c r="O3" s="149"/>
      <c r="P3" s="149"/>
      <c r="Q3" s="149"/>
      <c r="R3" s="149"/>
      <c r="S3" s="149"/>
      <c r="T3" s="149"/>
      <c r="U3" s="149"/>
    </row>
    <row r="4" spans="1:21">
      <c r="A4" s="149"/>
      <c r="B4" s="149"/>
      <c r="C4" s="149"/>
      <c r="D4" s="149"/>
      <c r="E4" s="149"/>
      <c r="F4" s="149"/>
      <c r="G4" s="149"/>
      <c r="H4" s="149"/>
      <c r="I4" s="149"/>
      <c r="J4" s="149"/>
      <c r="K4" s="149"/>
      <c r="L4" s="149"/>
      <c r="M4" s="149"/>
      <c r="N4" s="149"/>
      <c r="O4" s="149"/>
      <c r="P4" s="149"/>
      <c r="Q4" s="149"/>
      <c r="R4" s="149"/>
      <c r="S4" s="149"/>
      <c r="T4" s="149"/>
      <c r="U4" s="149"/>
    </row>
    <row r="5" spans="1:21">
      <c r="A5" s="149"/>
      <c r="B5" s="149"/>
      <c r="C5" s="149"/>
      <c r="D5" s="149"/>
      <c r="E5" s="149"/>
      <c r="F5" s="149"/>
      <c r="G5" s="149"/>
      <c r="H5" s="149"/>
      <c r="I5" s="149"/>
      <c r="J5" s="149"/>
      <c r="K5" s="149"/>
      <c r="L5" s="149"/>
      <c r="M5" s="149"/>
      <c r="N5" s="149"/>
      <c r="O5" s="149"/>
      <c r="P5" s="149"/>
      <c r="Q5" s="149"/>
      <c r="R5" s="149"/>
      <c r="S5" s="149"/>
      <c r="T5" s="149"/>
      <c r="U5" s="149"/>
    </row>
    <row r="6" spans="1:21">
      <c r="A6" s="149"/>
      <c r="B6" s="149"/>
      <c r="C6" s="149"/>
      <c r="D6" s="149"/>
      <c r="E6" s="149"/>
      <c r="F6" s="149"/>
      <c r="G6" s="149"/>
      <c r="H6" s="149"/>
      <c r="I6" s="149"/>
      <c r="J6" s="149"/>
      <c r="K6" s="149"/>
      <c r="L6" s="149"/>
      <c r="M6" s="149"/>
      <c r="N6" s="149"/>
      <c r="O6" s="149"/>
      <c r="P6" s="149"/>
      <c r="Q6" s="149"/>
      <c r="R6" s="149"/>
      <c r="S6" s="149"/>
      <c r="T6" s="149"/>
      <c r="U6" s="149"/>
    </row>
    <row r="7" spans="1:21">
      <c r="A7" s="149"/>
      <c r="B7" s="149"/>
      <c r="C7" s="149"/>
      <c r="D7" s="149"/>
      <c r="E7" s="149"/>
      <c r="F7" s="149"/>
      <c r="G7" s="149"/>
      <c r="H7" s="149"/>
      <c r="I7" s="149"/>
      <c r="J7" s="149"/>
      <c r="K7" s="149"/>
      <c r="L7" s="149"/>
      <c r="M7" s="149"/>
      <c r="N7" s="149"/>
      <c r="O7" s="149"/>
      <c r="P7" s="149"/>
      <c r="Q7" s="149"/>
      <c r="R7" s="149"/>
      <c r="S7" s="149"/>
      <c r="T7" s="149"/>
      <c r="U7" s="149"/>
    </row>
    <row r="8" spans="1:21">
      <c r="A8" s="149"/>
      <c r="B8" s="149"/>
      <c r="C8" s="149"/>
      <c r="D8" s="149"/>
      <c r="E8" s="149"/>
      <c r="F8" s="149"/>
      <c r="G8" s="149"/>
      <c r="H8" s="149"/>
      <c r="I8" s="149"/>
      <c r="J8" s="149"/>
      <c r="K8" s="149"/>
      <c r="L8" s="149"/>
      <c r="M8" s="149"/>
      <c r="N8" s="149"/>
      <c r="O8" s="149"/>
      <c r="P8" s="149"/>
      <c r="Q8" s="149"/>
      <c r="R8" s="149"/>
      <c r="S8" s="149"/>
      <c r="T8" s="149"/>
      <c r="U8" s="149"/>
    </row>
    <row r="9" spans="1:21">
      <c r="A9" s="149"/>
      <c r="B9" s="149"/>
      <c r="C9" s="149"/>
      <c r="D9" s="149"/>
      <c r="E9" s="149"/>
      <c r="F9" s="149"/>
      <c r="G9" s="149"/>
      <c r="H9" s="149"/>
      <c r="I9" s="149"/>
      <c r="J9" s="149"/>
      <c r="K9" s="149"/>
      <c r="L9" s="149"/>
      <c r="M9" s="149"/>
      <c r="N9" s="149"/>
      <c r="O9" s="149"/>
      <c r="P9" s="149"/>
      <c r="Q9" s="149"/>
      <c r="R9" s="149"/>
      <c r="S9" s="149"/>
      <c r="T9" s="149"/>
      <c r="U9" s="149"/>
    </row>
    <row r="10" spans="1:21">
      <c r="A10" s="149"/>
      <c r="B10" s="149"/>
      <c r="C10" s="149"/>
      <c r="D10" s="149"/>
      <c r="E10" s="149"/>
      <c r="F10" s="149"/>
      <c r="G10" s="149"/>
      <c r="H10" s="149"/>
      <c r="I10" s="149"/>
      <c r="J10" s="149"/>
      <c r="K10" s="149"/>
      <c r="L10" s="149"/>
      <c r="M10" s="149"/>
      <c r="N10" s="149"/>
      <c r="O10" s="149"/>
      <c r="P10" s="149"/>
      <c r="Q10" s="149"/>
      <c r="R10" s="149"/>
      <c r="S10" s="149"/>
      <c r="T10" s="149"/>
      <c r="U10" s="149"/>
    </row>
    <row r="11" spans="1:21">
      <c r="A11" s="149"/>
      <c r="B11" s="149"/>
      <c r="C11" s="149"/>
      <c r="D11" s="149"/>
      <c r="E11" s="149"/>
      <c r="F11" s="149"/>
      <c r="G11" s="149"/>
      <c r="H11" s="149"/>
      <c r="I11" s="149"/>
      <c r="J11" s="149"/>
      <c r="K11" s="149"/>
      <c r="L11" s="149"/>
      <c r="M11" s="149"/>
      <c r="N11" s="149"/>
      <c r="O11" s="149"/>
      <c r="P11" s="149"/>
      <c r="Q11" s="149"/>
      <c r="R11" s="149"/>
      <c r="S11" s="149"/>
      <c r="T11" s="149"/>
      <c r="U11" s="149"/>
    </row>
    <row r="12" spans="1:21">
      <c r="A12" s="149"/>
      <c r="B12" s="149"/>
      <c r="C12" s="149"/>
      <c r="D12" s="149"/>
      <c r="E12" s="149"/>
      <c r="F12" s="149"/>
      <c r="G12" s="149"/>
      <c r="H12" s="149"/>
      <c r="I12" s="149"/>
      <c r="J12" s="149"/>
      <c r="K12" s="149"/>
      <c r="L12" s="149"/>
      <c r="M12" s="149"/>
      <c r="N12" s="149"/>
      <c r="O12" s="149"/>
      <c r="P12" s="149"/>
      <c r="Q12" s="149"/>
      <c r="R12" s="149"/>
      <c r="S12" s="149"/>
      <c r="T12" s="149"/>
      <c r="U12" s="149"/>
    </row>
    <row r="13" spans="1:21">
      <c r="A13" s="149"/>
      <c r="B13" s="149"/>
      <c r="C13" s="149"/>
      <c r="D13" s="149"/>
      <c r="E13" s="149"/>
      <c r="F13" s="149"/>
      <c r="G13" s="149"/>
      <c r="H13" s="149"/>
      <c r="I13" s="149"/>
      <c r="J13" s="149"/>
      <c r="K13" s="149"/>
      <c r="L13" s="149"/>
      <c r="M13" s="149"/>
      <c r="N13" s="149"/>
      <c r="O13" s="149"/>
      <c r="P13" s="149"/>
      <c r="Q13" s="149"/>
      <c r="R13" s="149"/>
      <c r="S13" s="149"/>
      <c r="T13" s="149"/>
      <c r="U13" s="149"/>
    </row>
    <row r="14" spans="1:21">
      <c r="A14" s="149"/>
      <c r="B14" s="149"/>
      <c r="C14" s="149"/>
      <c r="D14" s="149"/>
      <c r="E14" s="149"/>
      <c r="F14" s="149"/>
      <c r="G14" s="149"/>
      <c r="H14" s="149"/>
      <c r="I14" s="149"/>
      <c r="J14" s="149"/>
      <c r="K14" s="149"/>
      <c r="L14" s="149"/>
      <c r="M14" s="149"/>
      <c r="N14" s="149"/>
      <c r="O14" s="149"/>
      <c r="P14" s="149"/>
      <c r="Q14" s="149"/>
      <c r="R14" s="149"/>
      <c r="S14" s="149"/>
      <c r="T14" s="149"/>
      <c r="U14" s="149"/>
    </row>
    <row r="15" spans="1:21" ht="13" thickBot="1">
      <c r="A15" s="149"/>
      <c r="B15" s="149"/>
      <c r="C15" s="149"/>
      <c r="D15" s="149"/>
      <c r="E15" s="149"/>
      <c r="F15" s="149"/>
      <c r="G15" s="149"/>
      <c r="H15" s="149"/>
      <c r="I15" s="149"/>
      <c r="J15" s="149"/>
      <c r="K15" s="149"/>
      <c r="L15" s="149"/>
      <c r="M15" s="149"/>
      <c r="N15" s="149"/>
      <c r="O15" s="149"/>
      <c r="P15" s="149"/>
      <c r="Q15" s="149"/>
      <c r="R15" s="149"/>
      <c r="S15" s="149"/>
      <c r="T15" s="149"/>
      <c r="U15" s="149"/>
    </row>
    <row r="16" spans="1:21" ht="14" thickTop="1" thickBot="1">
      <c r="A16" s="705" t="s">
        <v>123</v>
      </c>
      <c r="B16" s="706"/>
      <c r="C16" s="706"/>
      <c r="D16" s="706"/>
      <c r="E16" s="707"/>
      <c r="F16" s="149"/>
      <c r="G16" s="149"/>
      <c r="H16" s="149"/>
      <c r="I16" s="149"/>
      <c r="J16" s="149"/>
      <c r="K16" s="149"/>
      <c r="L16" s="149"/>
      <c r="M16" s="149"/>
      <c r="N16" s="149"/>
      <c r="O16" s="149"/>
      <c r="P16" s="149"/>
      <c r="Q16" s="149"/>
      <c r="R16" s="149"/>
      <c r="S16" s="149"/>
      <c r="T16" s="149"/>
      <c r="U16" s="149"/>
    </row>
    <row r="17" spans="1:21" ht="13" thickTop="1">
      <c r="A17" s="708" t="str">
        <f>'main page'!A2</f>
        <v>Main page-Closed economy</v>
      </c>
      <c r="B17" s="709"/>
      <c r="C17" s="709"/>
      <c r="D17" s="709"/>
      <c r="E17" s="710"/>
      <c r="F17" s="149"/>
      <c r="G17" s="149"/>
      <c r="H17" s="149"/>
      <c r="I17" s="149"/>
      <c r="J17" s="149"/>
      <c r="K17" s="149"/>
      <c r="L17" s="149"/>
      <c r="M17" s="149"/>
      <c r="N17" s="149"/>
      <c r="O17" s="149"/>
      <c r="P17" s="149"/>
      <c r="Q17" s="149"/>
      <c r="R17" s="149"/>
      <c r="S17" s="149"/>
      <c r="T17" s="149"/>
      <c r="U17" s="149"/>
    </row>
    <row r="18" spans="1:21">
      <c r="A18" s="711"/>
      <c r="B18" s="712"/>
      <c r="C18" s="712"/>
      <c r="D18" s="712"/>
      <c r="E18" s="713"/>
      <c r="F18" s="149"/>
      <c r="G18" s="149"/>
      <c r="H18" s="149"/>
      <c r="I18" s="149"/>
      <c r="J18" s="149"/>
      <c r="K18" s="149"/>
      <c r="L18" s="149"/>
      <c r="M18" s="149"/>
      <c r="N18" s="149"/>
      <c r="O18" s="149"/>
      <c r="P18" s="149"/>
      <c r="Q18" s="149"/>
      <c r="R18" s="149"/>
      <c r="S18" s="149"/>
      <c r="T18" s="149"/>
      <c r="U18" s="149"/>
    </row>
    <row r="19" spans="1:21" ht="13">
      <c r="A19" s="714" t="s">
        <v>101</v>
      </c>
      <c r="B19" s="700"/>
      <c r="C19" s="701"/>
      <c r="D19" s="728" t="str">
        <f>IF('main page'!$G$8="","no","yes")</f>
        <v>no</v>
      </c>
      <c r="E19" s="729"/>
      <c r="F19" s="149"/>
      <c r="G19" s="149"/>
      <c r="H19" s="149"/>
      <c r="I19" s="149"/>
      <c r="J19" s="149"/>
      <c r="K19" s="149"/>
      <c r="L19" s="149"/>
      <c r="M19" s="149"/>
      <c r="N19" s="149"/>
      <c r="O19" s="149"/>
      <c r="P19" s="149"/>
      <c r="Q19" s="149"/>
      <c r="R19" s="149"/>
      <c r="S19" s="149"/>
      <c r="T19" s="149"/>
      <c r="U19" s="149"/>
    </row>
    <row r="20" spans="1:21" ht="13">
      <c r="A20" s="714" t="s">
        <v>100</v>
      </c>
      <c r="B20" s="700"/>
      <c r="C20" s="701"/>
      <c r="D20" s="730" t="str">
        <f>IF('main page'!$K$8="","no","yes")</f>
        <v>no</v>
      </c>
      <c r="E20" s="731"/>
      <c r="F20" s="149"/>
      <c r="G20" s="149"/>
      <c r="H20" s="149"/>
      <c r="I20" s="149"/>
      <c r="J20" s="149"/>
      <c r="K20" s="149"/>
      <c r="L20" s="149"/>
      <c r="M20" s="149"/>
      <c r="N20" s="149"/>
      <c r="O20" s="149"/>
      <c r="P20" s="149"/>
      <c r="Q20" s="149"/>
      <c r="R20" s="149"/>
      <c r="S20" s="149"/>
      <c r="T20" s="149"/>
      <c r="U20" s="149"/>
    </row>
    <row r="21" spans="1:21" ht="13">
      <c r="A21" s="714" t="s">
        <v>184</v>
      </c>
      <c r="B21" s="700"/>
      <c r="C21" s="701"/>
      <c r="D21" s="730" t="str">
        <f>IF(controls!$B$4=2,"no",IF('main page'!$H$16="","no","yes"))</f>
        <v>no</v>
      </c>
      <c r="E21" s="731"/>
      <c r="F21" s="149"/>
      <c r="G21" s="149"/>
      <c r="H21" s="149"/>
      <c r="I21" s="149"/>
      <c r="J21" s="149"/>
      <c r="K21" s="149"/>
      <c r="L21" s="149"/>
      <c r="M21" s="149"/>
      <c r="N21" s="149"/>
      <c r="O21" s="149"/>
      <c r="P21" s="149"/>
      <c r="Q21" s="149"/>
      <c r="R21" s="149"/>
      <c r="S21" s="149"/>
      <c r="T21" s="149"/>
      <c r="U21" s="149"/>
    </row>
    <row r="22" spans="1:21" ht="13">
      <c r="A22" s="714" t="s">
        <v>102</v>
      </c>
      <c r="B22" s="700"/>
      <c r="C22" s="701"/>
      <c r="D22" s="732" t="str">
        <f>IF(controls!$B$8=FALSE,"no",IF(controls!$B$8=TRUE,"yes",""))</f>
        <v>no</v>
      </c>
      <c r="E22" s="733"/>
      <c r="F22" s="149"/>
      <c r="G22" s="149"/>
      <c r="H22" s="149"/>
      <c r="I22" s="149"/>
      <c r="J22" s="149"/>
      <c r="K22" s="149"/>
      <c r="L22" s="149"/>
      <c r="M22" s="149"/>
      <c r="N22" s="149"/>
      <c r="O22" s="149"/>
      <c r="P22" s="149"/>
      <c r="Q22" s="149"/>
      <c r="R22" s="149"/>
      <c r="S22" s="149"/>
      <c r="T22" s="149"/>
      <c r="U22" s="149"/>
    </row>
    <row r="23" spans="1:21" ht="13">
      <c r="A23" s="720" t="str">
        <f>IF('main page'!S43=1,"","Stabilization fiscal measure")</f>
        <v>Stabilization fiscal measure</v>
      </c>
      <c r="B23" s="700"/>
      <c r="C23" s="701"/>
      <c r="D23" s="732" t="str">
        <f>IF('main page'!S43=1,"",IF('main page'!$U$22="","no","yes"))</f>
        <v>no</v>
      </c>
      <c r="E23" s="733"/>
      <c r="F23" s="149"/>
      <c r="G23" s="149"/>
      <c r="H23" s="149"/>
      <c r="I23" s="149"/>
      <c r="J23" s="149"/>
      <c r="K23" s="149"/>
      <c r="L23" s="149"/>
      <c r="M23" s="149"/>
      <c r="N23" s="149"/>
      <c r="O23" s="149"/>
      <c r="P23" s="149"/>
      <c r="Q23" s="149"/>
      <c r="R23" s="149"/>
      <c r="S23" s="149"/>
      <c r="T23" s="149"/>
      <c r="U23" s="149"/>
    </row>
    <row r="24" spans="1:21" ht="13">
      <c r="A24" s="721" t="s">
        <v>105</v>
      </c>
      <c r="B24" s="722"/>
      <c r="C24" s="723"/>
      <c r="D24" s="726">
        <f>'main page'!U31/100</f>
        <v>0.2</v>
      </c>
      <c r="E24" s="727"/>
      <c r="F24" s="149"/>
      <c r="G24" s="149"/>
      <c r="H24" s="149"/>
      <c r="I24" s="149"/>
      <c r="J24" s="149"/>
      <c r="K24" s="149"/>
      <c r="L24" s="149"/>
      <c r="M24" s="149"/>
      <c r="N24" s="149"/>
      <c r="O24" s="149"/>
      <c r="P24" s="149"/>
      <c r="Q24" s="149"/>
      <c r="R24" s="149"/>
      <c r="S24" s="149"/>
      <c r="T24" s="149"/>
      <c r="U24" s="149"/>
    </row>
    <row r="25" spans="1:21" ht="13">
      <c r="A25" s="721" t="s">
        <v>10</v>
      </c>
      <c r="B25" s="722"/>
      <c r="C25" s="723"/>
      <c r="D25" s="726">
        <f>'main page'!U32/100</f>
        <v>0.2</v>
      </c>
      <c r="E25" s="727"/>
      <c r="F25" s="149"/>
      <c r="G25" s="149"/>
      <c r="H25" s="149"/>
      <c r="I25" s="149"/>
      <c r="J25" s="149"/>
      <c r="K25" s="149"/>
      <c r="L25" s="149"/>
      <c r="M25" s="149"/>
      <c r="N25" s="149"/>
      <c r="O25" s="149"/>
      <c r="P25" s="149"/>
      <c r="Q25" s="149"/>
      <c r="R25" s="149"/>
      <c r="S25" s="149"/>
      <c r="T25" s="149"/>
      <c r="U25" s="149"/>
    </row>
    <row r="26" spans="1:21" ht="13">
      <c r="A26" s="721" t="s">
        <v>11</v>
      </c>
      <c r="B26" s="722"/>
      <c r="C26" s="723"/>
      <c r="D26" s="724">
        <f>'main page'!U33/100</f>
        <v>0</v>
      </c>
      <c r="E26" s="725"/>
      <c r="F26" s="149"/>
      <c r="G26" s="149"/>
      <c r="H26" s="149"/>
      <c r="I26" s="149"/>
      <c r="J26" s="149"/>
      <c r="K26" s="149"/>
      <c r="L26" s="149"/>
      <c r="M26" s="149"/>
      <c r="N26" s="149"/>
      <c r="O26" s="149"/>
      <c r="P26" s="149"/>
      <c r="Q26" s="149"/>
      <c r="R26" s="149"/>
      <c r="S26" s="149"/>
      <c r="T26" s="149"/>
      <c r="U26" s="149"/>
    </row>
    <row r="27" spans="1:21">
      <c r="A27" s="149"/>
      <c r="B27" s="149"/>
      <c r="C27" s="149"/>
      <c r="D27" s="149"/>
      <c r="E27" s="149"/>
      <c r="F27" s="149"/>
      <c r="G27" s="149"/>
      <c r="H27" s="149"/>
      <c r="I27" s="149"/>
      <c r="J27" s="149"/>
      <c r="K27" s="149"/>
      <c r="L27" s="149"/>
      <c r="M27" s="149"/>
      <c r="N27" s="149"/>
      <c r="O27" s="149"/>
      <c r="P27" s="149"/>
      <c r="Q27" s="149"/>
      <c r="R27" s="149"/>
      <c r="S27" s="149"/>
      <c r="T27" s="149"/>
      <c r="U27" s="149"/>
    </row>
    <row r="28" spans="1:21">
      <c r="A28" s="149"/>
      <c r="B28" s="149"/>
      <c r="C28" s="149"/>
      <c r="D28" s="149"/>
      <c r="E28" s="149"/>
      <c r="F28" s="149"/>
      <c r="G28" s="149"/>
      <c r="H28" s="149"/>
      <c r="I28" s="149"/>
      <c r="J28" s="149"/>
      <c r="K28" s="149"/>
      <c r="L28" s="149"/>
      <c r="M28" s="149"/>
      <c r="N28" s="149"/>
      <c r="O28" s="149"/>
      <c r="P28" s="149"/>
      <c r="Q28" s="149"/>
      <c r="R28" s="149"/>
      <c r="S28" s="149"/>
      <c r="T28" s="149"/>
      <c r="U28" s="149"/>
    </row>
    <row r="29" spans="1:21">
      <c r="A29" s="149"/>
      <c r="B29" s="149"/>
      <c r="C29" s="149"/>
      <c r="D29" s="149"/>
      <c r="E29" s="149"/>
      <c r="F29" s="149"/>
      <c r="G29" s="149"/>
      <c r="H29" s="149"/>
      <c r="I29" s="149"/>
      <c r="J29" s="149"/>
      <c r="K29" s="149"/>
      <c r="L29" s="149"/>
      <c r="M29" s="149"/>
      <c r="N29" s="149"/>
      <c r="O29" s="149"/>
      <c r="P29" s="149"/>
      <c r="Q29" s="149"/>
      <c r="R29" s="149"/>
      <c r="S29" s="149"/>
      <c r="T29" s="149"/>
      <c r="U29" s="149"/>
    </row>
    <row r="30" spans="1:21">
      <c r="A30" s="149"/>
      <c r="B30" s="149"/>
      <c r="C30" s="149"/>
      <c r="D30" s="149"/>
      <c r="E30" s="149"/>
      <c r="F30" s="149"/>
      <c r="G30" s="149"/>
      <c r="H30" s="149"/>
      <c r="I30" s="149"/>
      <c r="J30" s="149"/>
      <c r="K30" s="149"/>
      <c r="L30" s="149"/>
      <c r="M30" s="149"/>
      <c r="N30" s="149"/>
      <c r="O30" s="149"/>
      <c r="P30" s="149"/>
      <c r="Q30" s="149"/>
      <c r="R30" s="149"/>
      <c r="S30" s="149"/>
      <c r="T30" s="149"/>
      <c r="U30" s="149"/>
    </row>
    <row r="31" spans="1:21">
      <c r="A31" s="149"/>
      <c r="B31" s="149"/>
      <c r="C31" s="149"/>
      <c r="D31" s="149"/>
      <c r="E31" s="149"/>
      <c r="F31" s="149"/>
      <c r="G31" s="149"/>
      <c r="H31" s="149"/>
      <c r="I31" s="149"/>
      <c r="J31" s="149"/>
      <c r="K31" s="149"/>
      <c r="L31" s="149"/>
      <c r="M31" s="149"/>
      <c r="N31" s="149"/>
      <c r="O31" s="149"/>
      <c r="P31" s="149"/>
      <c r="Q31" s="149"/>
      <c r="R31" s="149"/>
      <c r="S31" s="149"/>
      <c r="T31" s="149"/>
      <c r="U31" s="149"/>
    </row>
    <row r="32" spans="1:21">
      <c r="A32" s="149"/>
      <c r="B32" s="149"/>
      <c r="C32" s="149"/>
      <c r="D32" s="149"/>
      <c r="E32" s="149"/>
      <c r="F32" s="149"/>
      <c r="G32" s="149"/>
      <c r="H32" s="149"/>
      <c r="I32" s="149"/>
      <c r="J32" s="149"/>
      <c r="K32" s="149"/>
      <c r="L32" s="149"/>
      <c r="M32" s="149"/>
      <c r="N32" s="149"/>
      <c r="O32" s="149"/>
      <c r="P32" s="149"/>
      <c r="Q32" s="149"/>
      <c r="R32" s="149"/>
      <c r="S32" s="149"/>
      <c r="T32" s="149"/>
      <c r="U32" s="149"/>
    </row>
    <row r="33" spans="1:21">
      <c r="A33" s="149"/>
      <c r="B33" s="149"/>
      <c r="C33" s="149"/>
      <c r="D33" s="149"/>
      <c r="E33" s="149"/>
      <c r="F33" s="149"/>
      <c r="G33" s="149"/>
      <c r="H33" s="149"/>
      <c r="I33" s="149"/>
      <c r="J33" s="149"/>
      <c r="K33" s="149"/>
      <c r="L33" s="149"/>
      <c r="M33" s="149"/>
      <c r="N33" s="149"/>
      <c r="O33" s="149"/>
      <c r="P33" s="149"/>
      <c r="Q33" s="149"/>
      <c r="R33" s="149"/>
      <c r="S33" s="149"/>
      <c r="T33" s="149"/>
      <c r="U33" s="149"/>
    </row>
    <row r="34" spans="1:21">
      <c r="A34" s="149"/>
      <c r="B34" s="149"/>
      <c r="C34" s="149"/>
      <c r="D34" s="149"/>
      <c r="E34" s="149"/>
      <c r="F34" s="149"/>
      <c r="G34" s="149"/>
      <c r="H34" s="149"/>
      <c r="I34" s="149"/>
      <c r="J34" s="149"/>
      <c r="K34" s="149"/>
      <c r="L34" s="149"/>
      <c r="M34" s="149"/>
      <c r="N34" s="149"/>
      <c r="O34" s="149"/>
      <c r="P34" s="149"/>
      <c r="Q34" s="149"/>
      <c r="R34" s="149"/>
      <c r="S34" s="149"/>
      <c r="T34" s="149"/>
      <c r="U34" s="149"/>
    </row>
    <row r="35" spans="1:21">
      <c r="A35" s="149"/>
      <c r="B35" s="149"/>
      <c r="C35" s="149"/>
      <c r="D35" s="149"/>
      <c r="E35" s="149"/>
      <c r="F35" s="149"/>
      <c r="G35" s="149"/>
      <c r="H35" s="149"/>
      <c r="I35" s="149"/>
      <c r="J35" s="149"/>
      <c r="K35" s="149"/>
      <c r="L35" s="149"/>
      <c r="M35" s="149"/>
      <c r="N35" s="149"/>
      <c r="O35" s="149"/>
      <c r="P35" s="149"/>
      <c r="Q35" s="149"/>
      <c r="R35" s="149"/>
      <c r="S35" s="149"/>
      <c r="T35" s="149"/>
      <c r="U35" s="149"/>
    </row>
    <row r="36" spans="1:21">
      <c r="A36" s="149"/>
      <c r="B36" s="149"/>
      <c r="C36" s="149"/>
      <c r="D36" s="149"/>
      <c r="E36" s="149"/>
      <c r="F36" s="149"/>
      <c r="G36" s="149"/>
      <c r="H36" s="149"/>
      <c r="I36" s="149"/>
      <c r="J36" s="149"/>
      <c r="K36" s="149"/>
      <c r="L36" s="149"/>
      <c r="M36" s="149"/>
      <c r="N36" s="149"/>
      <c r="O36" s="149"/>
      <c r="P36" s="149"/>
      <c r="Q36" s="149"/>
      <c r="R36" s="149"/>
      <c r="S36" s="149"/>
      <c r="T36" s="149"/>
      <c r="U36" s="149"/>
    </row>
    <row r="37" spans="1:21">
      <c r="A37" s="149"/>
      <c r="B37" s="149"/>
      <c r="C37" s="149"/>
      <c r="D37" s="149"/>
      <c r="E37" s="149"/>
      <c r="F37" s="149"/>
      <c r="G37" s="149"/>
      <c r="H37" s="149"/>
      <c r="I37" s="149"/>
      <c r="J37" s="149"/>
      <c r="K37" s="149"/>
      <c r="L37" s="149"/>
      <c r="M37" s="149">
        <f>'main page'!S42</f>
        <v>0</v>
      </c>
      <c r="N37" s="149"/>
      <c r="O37" s="149"/>
      <c r="P37" s="149"/>
      <c r="Q37" s="149"/>
      <c r="R37" s="149"/>
      <c r="S37" s="149"/>
      <c r="T37" s="149"/>
      <c r="U37" s="149"/>
    </row>
    <row r="38" spans="1:21">
      <c r="A38" s="149"/>
      <c r="B38" s="149"/>
      <c r="C38" s="149"/>
      <c r="D38" s="149"/>
      <c r="E38" s="149"/>
      <c r="F38" s="149"/>
      <c r="G38" s="149"/>
      <c r="H38" s="149"/>
      <c r="I38" s="149"/>
      <c r="J38" s="149"/>
      <c r="K38" s="149"/>
      <c r="L38" s="149"/>
      <c r="M38" s="149"/>
      <c r="N38" s="149"/>
      <c r="O38" s="149"/>
      <c r="P38" s="149"/>
      <c r="Q38" s="149"/>
      <c r="R38" s="149"/>
      <c r="S38" s="149"/>
      <c r="T38" s="149"/>
      <c r="U38" s="149"/>
    </row>
    <row r="39" spans="1:21">
      <c r="A39" s="149"/>
      <c r="B39" s="149"/>
      <c r="C39" s="149"/>
      <c r="D39" s="149"/>
      <c r="E39" s="149"/>
      <c r="F39" s="149"/>
      <c r="G39" s="149"/>
      <c r="H39" s="149"/>
      <c r="I39" s="149"/>
      <c r="J39" s="149"/>
      <c r="K39" s="149"/>
      <c r="L39" s="149"/>
      <c r="M39" s="149"/>
      <c r="N39" s="149"/>
      <c r="O39" s="149"/>
      <c r="P39" s="149"/>
      <c r="Q39" s="149"/>
      <c r="R39" s="149"/>
      <c r="S39" s="149"/>
      <c r="T39" s="149"/>
      <c r="U39" s="149"/>
    </row>
    <row r="40" spans="1:21">
      <c r="A40" s="149"/>
      <c r="B40" s="149"/>
      <c r="C40" s="149"/>
      <c r="D40" s="149"/>
      <c r="E40" s="149"/>
      <c r="F40" s="149"/>
      <c r="G40" s="149"/>
      <c r="H40" s="149"/>
      <c r="I40" s="149"/>
      <c r="J40" s="149"/>
      <c r="K40" s="149"/>
      <c r="L40" s="149"/>
      <c r="M40" s="149"/>
      <c r="N40" s="149"/>
      <c r="O40" s="149"/>
      <c r="P40" s="149"/>
      <c r="Q40" s="149"/>
      <c r="R40" s="149"/>
      <c r="S40" s="149"/>
      <c r="T40" s="149"/>
      <c r="U40" s="149"/>
    </row>
    <row r="41" spans="1:21">
      <c r="A41" s="149"/>
      <c r="B41" s="149"/>
      <c r="C41" s="149"/>
      <c r="D41" s="149"/>
      <c r="E41" s="149"/>
      <c r="F41" s="149"/>
      <c r="G41" s="149"/>
      <c r="H41" s="149"/>
      <c r="I41" s="149"/>
      <c r="J41" s="149"/>
      <c r="K41" s="149"/>
      <c r="L41" s="149"/>
      <c r="M41" s="149"/>
      <c r="N41" s="149"/>
      <c r="O41" s="149"/>
      <c r="P41" s="149"/>
      <c r="Q41" s="149"/>
      <c r="R41" s="149"/>
      <c r="S41" s="149"/>
      <c r="T41" s="149"/>
      <c r="U41" s="149"/>
    </row>
    <row r="42" spans="1:21">
      <c r="A42" s="149"/>
      <c r="B42" s="149"/>
      <c r="C42" s="149"/>
      <c r="D42" s="149"/>
      <c r="E42" s="149"/>
      <c r="F42" s="149"/>
      <c r="G42" s="149"/>
      <c r="H42" s="149"/>
      <c r="I42" s="149"/>
      <c r="J42" s="149"/>
      <c r="K42" s="149"/>
      <c r="L42" s="149"/>
      <c r="M42" s="149"/>
      <c r="N42" s="149"/>
      <c r="O42" s="149"/>
      <c r="P42" s="149"/>
      <c r="Q42" s="149"/>
      <c r="R42" s="149"/>
      <c r="S42" s="149"/>
      <c r="T42" s="149"/>
      <c r="U42" s="149"/>
    </row>
    <row r="43" spans="1:21">
      <c r="A43" s="149"/>
      <c r="B43" s="149"/>
      <c r="C43" s="149"/>
      <c r="D43" s="149"/>
      <c r="E43" s="149"/>
      <c r="F43" s="149"/>
      <c r="G43" s="149"/>
      <c r="H43" s="149"/>
      <c r="I43" s="149"/>
      <c r="J43" s="149"/>
      <c r="K43" s="149"/>
      <c r="L43" s="149"/>
      <c r="M43" s="149"/>
      <c r="N43" s="149"/>
      <c r="O43" s="149"/>
      <c r="P43" s="149"/>
      <c r="Q43" s="149"/>
      <c r="R43" s="149"/>
      <c r="S43" s="149"/>
      <c r="T43" s="149"/>
      <c r="U43" s="149"/>
    </row>
    <row r="44" spans="1:21">
      <c r="A44" s="149"/>
      <c r="B44" s="149"/>
      <c r="C44" s="149"/>
      <c r="D44" s="149"/>
      <c r="E44" s="149"/>
      <c r="F44" s="149"/>
      <c r="G44" s="149"/>
      <c r="H44" s="149"/>
      <c r="I44" s="149"/>
      <c r="J44" s="149"/>
      <c r="K44" s="149"/>
      <c r="L44" s="149"/>
      <c r="M44" s="149"/>
      <c r="N44" s="149"/>
      <c r="O44" s="149"/>
      <c r="P44" s="149"/>
      <c r="Q44" s="149"/>
      <c r="R44" s="149"/>
      <c r="S44" s="149"/>
      <c r="T44" s="149"/>
      <c r="U44" s="149"/>
    </row>
    <row r="45" spans="1:21">
      <c r="A45" s="149"/>
      <c r="B45" s="149"/>
      <c r="C45" s="149"/>
      <c r="D45" s="149"/>
      <c r="E45" s="149"/>
      <c r="F45" s="149"/>
      <c r="G45" s="149"/>
      <c r="H45" s="149"/>
      <c r="I45" s="149"/>
      <c r="J45" s="149"/>
      <c r="K45" s="149"/>
      <c r="L45" s="149"/>
      <c r="M45" s="149"/>
      <c r="N45" s="149"/>
      <c r="O45" s="149"/>
      <c r="P45" s="149"/>
      <c r="Q45" s="149"/>
      <c r="R45" s="149"/>
      <c r="S45" s="149"/>
      <c r="T45" s="149"/>
      <c r="U45" s="149"/>
    </row>
    <row r="46" spans="1:21">
      <c r="A46" s="149"/>
      <c r="B46" s="149"/>
      <c r="C46" s="149"/>
      <c r="D46" s="149"/>
      <c r="E46" s="149"/>
      <c r="F46" s="149"/>
      <c r="G46" s="149"/>
      <c r="H46" s="149"/>
      <c r="I46" s="149"/>
      <c r="J46" s="149"/>
      <c r="K46" s="149"/>
      <c r="L46" s="149"/>
      <c r="M46" s="149"/>
      <c r="N46" s="149"/>
      <c r="O46" s="149"/>
      <c r="P46" s="149"/>
      <c r="Q46" s="149"/>
      <c r="R46" s="149"/>
      <c r="S46" s="149"/>
      <c r="T46" s="149"/>
      <c r="U46" s="149"/>
    </row>
    <row r="47" spans="1:21">
      <c r="A47" s="149"/>
      <c r="B47" s="149"/>
      <c r="C47" s="149"/>
      <c r="D47" s="149"/>
      <c r="E47" s="149"/>
      <c r="F47" s="149"/>
      <c r="G47" s="149"/>
      <c r="H47" s="149"/>
      <c r="I47" s="149"/>
      <c r="J47" s="149"/>
      <c r="K47" s="149"/>
      <c r="L47" s="149"/>
      <c r="M47" s="149"/>
      <c r="N47" s="149"/>
      <c r="O47" s="149"/>
      <c r="P47" s="149"/>
      <c r="Q47" s="149"/>
      <c r="R47" s="149"/>
      <c r="S47" s="149"/>
      <c r="T47" s="149"/>
      <c r="U47" s="149"/>
    </row>
    <row r="48" spans="1:21">
      <c r="A48" s="149"/>
      <c r="B48" s="149"/>
      <c r="C48" s="149"/>
      <c r="D48" s="149"/>
      <c r="E48" s="149"/>
      <c r="F48" s="149"/>
      <c r="G48" s="149"/>
      <c r="H48" s="149"/>
      <c r="I48" s="149"/>
      <c r="J48" s="149"/>
      <c r="K48" s="149"/>
      <c r="L48" s="149"/>
      <c r="M48" s="149"/>
      <c r="N48" s="149"/>
      <c r="O48" s="149"/>
      <c r="P48" s="149"/>
      <c r="Q48" s="149"/>
      <c r="R48" s="149"/>
      <c r="S48" s="149"/>
      <c r="T48" s="149"/>
      <c r="U48" s="149"/>
    </row>
    <row r="49" spans="1:21">
      <c r="A49" s="149"/>
      <c r="B49" s="149"/>
      <c r="C49" s="149"/>
      <c r="D49" s="149"/>
      <c r="E49" s="149"/>
      <c r="F49" s="149"/>
      <c r="G49" s="149"/>
      <c r="H49" s="149"/>
      <c r="I49" s="149"/>
      <c r="J49" s="149"/>
      <c r="K49" s="149"/>
      <c r="L49" s="149"/>
      <c r="M49" s="149"/>
      <c r="N49" s="149"/>
      <c r="O49" s="149"/>
      <c r="P49" s="149"/>
      <c r="Q49" s="149"/>
      <c r="R49" s="149"/>
      <c r="S49" s="149"/>
      <c r="T49" s="149"/>
      <c r="U49" s="149"/>
    </row>
    <row r="50" spans="1:21">
      <c r="A50" s="149"/>
      <c r="B50" s="149"/>
      <c r="C50" s="149"/>
      <c r="D50" s="149"/>
      <c r="E50" s="149"/>
      <c r="F50" s="149"/>
      <c r="G50" s="149"/>
      <c r="H50" s="149"/>
      <c r="I50" s="149"/>
      <c r="J50" s="149"/>
      <c r="K50" s="149"/>
      <c r="L50" s="149"/>
      <c r="M50" s="149"/>
      <c r="N50" s="149"/>
      <c r="O50" s="149"/>
      <c r="P50" s="149"/>
      <c r="Q50" s="149"/>
      <c r="R50" s="149"/>
      <c r="S50" s="149"/>
      <c r="T50" s="149"/>
      <c r="U50" s="149"/>
    </row>
    <row r="51" spans="1:21">
      <c r="A51" s="149"/>
      <c r="B51" s="149"/>
      <c r="C51" s="149"/>
      <c r="D51" s="149"/>
      <c r="E51" s="149"/>
      <c r="F51" s="149"/>
      <c r="G51" s="149"/>
      <c r="H51" s="149"/>
      <c r="I51" s="149"/>
      <c r="J51" s="149"/>
      <c r="K51" s="149"/>
      <c r="L51" s="149"/>
      <c r="M51" s="149"/>
      <c r="N51" s="149"/>
      <c r="O51" s="149"/>
      <c r="P51" s="149"/>
      <c r="Q51" s="149"/>
      <c r="R51" s="149"/>
      <c r="S51" s="149"/>
      <c r="T51" s="149"/>
      <c r="U51" s="149"/>
    </row>
    <row r="52" spans="1:21">
      <c r="A52" s="149"/>
      <c r="B52" s="149"/>
      <c r="C52" s="149"/>
      <c r="D52" s="149"/>
      <c r="E52" s="149"/>
      <c r="F52" s="149"/>
      <c r="G52" s="149"/>
      <c r="H52" s="149"/>
      <c r="I52" s="149"/>
      <c r="J52" s="149"/>
      <c r="K52" s="149"/>
      <c r="L52" s="149"/>
      <c r="M52" s="149"/>
      <c r="N52" s="149"/>
      <c r="O52" s="149"/>
      <c r="P52" s="149"/>
      <c r="Q52" s="149"/>
      <c r="R52" s="149"/>
      <c r="S52" s="149"/>
      <c r="T52" s="149"/>
      <c r="U52" s="149"/>
    </row>
    <row r="53" spans="1:21">
      <c r="A53" s="149"/>
      <c r="B53" s="149"/>
      <c r="C53" s="149"/>
      <c r="D53" s="149"/>
      <c r="E53" s="149"/>
      <c r="F53" s="149"/>
      <c r="G53" s="149"/>
      <c r="H53" s="149"/>
      <c r="I53" s="149"/>
      <c r="J53" s="149"/>
      <c r="K53" s="149"/>
      <c r="L53" s="149"/>
      <c r="M53" s="149"/>
      <c r="N53" s="149"/>
      <c r="O53" s="149"/>
      <c r="P53" s="149"/>
      <c r="Q53" s="149"/>
      <c r="R53" s="149"/>
      <c r="S53" s="149"/>
      <c r="T53" s="149"/>
      <c r="U53" s="149"/>
    </row>
    <row r="54" spans="1:21">
      <c r="A54" s="149"/>
      <c r="B54" s="149"/>
      <c r="C54" s="149"/>
      <c r="D54" s="149"/>
      <c r="E54" s="149"/>
      <c r="F54" s="149"/>
      <c r="G54" s="149"/>
      <c r="H54" s="149"/>
      <c r="I54" s="149"/>
      <c r="J54" s="149"/>
      <c r="K54" s="149"/>
      <c r="L54" s="149"/>
      <c r="M54" s="149"/>
      <c r="N54" s="149"/>
      <c r="O54" s="149"/>
      <c r="P54" s="149"/>
      <c r="Q54" s="149"/>
      <c r="R54" s="149"/>
      <c r="S54" s="149"/>
      <c r="T54" s="149"/>
      <c r="U54" s="149"/>
    </row>
    <row r="55" spans="1:21">
      <c r="A55" s="149"/>
      <c r="B55" s="149"/>
      <c r="C55" s="149"/>
      <c r="D55" s="149"/>
      <c r="E55" s="149"/>
      <c r="F55" s="149"/>
      <c r="G55" s="149"/>
      <c r="H55" s="149"/>
      <c r="I55" s="149"/>
      <c r="J55" s="149"/>
      <c r="K55" s="149"/>
      <c r="L55" s="149"/>
      <c r="M55" s="149"/>
      <c r="N55" s="149"/>
      <c r="O55" s="149"/>
      <c r="P55" s="149"/>
      <c r="Q55" s="149"/>
      <c r="R55" s="149"/>
      <c r="S55" s="149"/>
      <c r="T55" s="149"/>
      <c r="U55" s="149"/>
    </row>
    <row r="56" spans="1:21">
      <c r="A56" s="149"/>
      <c r="B56" s="149"/>
      <c r="C56" s="149"/>
      <c r="D56" s="149"/>
      <c r="E56" s="149"/>
      <c r="F56" s="149"/>
      <c r="G56" s="149"/>
      <c r="H56" s="149"/>
      <c r="I56" s="149"/>
      <c r="J56" s="149"/>
      <c r="K56" s="149"/>
      <c r="L56" s="149"/>
      <c r="M56" s="149"/>
      <c r="N56" s="149"/>
      <c r="O56" s="149"/>
      <c r="P56" s="149"/>
      <c r="Q56" s="149"/>
      <c r="R56" s="149"/>
      <c r="S56" s="149"/>
      <c r="T56" s="149"/>
      <c r="U56" s="149"/>
    </row>
    <row r="57" spans="1:21">
      <c r="A57" s="149"/>
      <c r="B57" s="149"/>
      <c r="C57" s="149"/>
      <c r="D57" s="149"/>
      <c r="E57" s="149"/>
      <c r="F57" s="149"/>
      <c r="G57" s="149"/>
      <c r="H57" s="149"/>
      <c r="I57" s="149"/>
      <c r="J57" s="149"/>
      <c r="K57" s="149"/>
      <c r="L57" s="149"/>
      <c r="M57" s="149"/>
      <c r="N57" s="149"/>
      <c r="O57" s="149"/>
      <c r="P57" s="149"/>
      <c r="Q57" s="149"/>
      <c r="R57" s="149"/>
      <c r="S57" s="149"/>
      <c r="T57" s="149"/>
      <c r="U57" s="149"/>
    </row>
    <row r="58" spans="1:21">
      <c r="A58" s="149"/>
      <c r="B58" s="149"/>
      <c r="C58" s="149"/>
      <c r="D58" s="149"/>
      <c r="E58" s="149"/>
      <c r="F58" s="149"/>
      <c r="G58" s="149"/>
      <c r="H58" s="149"/>
      <c r="I58" s="149"/>
      <c r="J58" s="149"/>
      <c r="K58" s="149"/>
      <c r="L58" s="149"/>
      <c r="M58" s="149"/>
      <c r="N58" s="149"/>
      <c r="O58" s="149"/>
      <c r="P58" s="149"/>
      <c r="Q58" s="149"/>
      <c r="R58" s="149"/>
      <c r="S58" s="149"/>
      <c r="T58" s="149"/>
      <c r="U58" s="149"/>
    </row>
    <row r="59" spans="1:21">
      <c r="A59" s="149"/>
      <c r="B59" s="149"/>
      <c r="C59" s="149"/>
      <c r="D59" s="149"/>
      <c r="E59" s="149"/>
      <c r="F59" s="149"/>
      <c r="G59" s="149"/>
      <c r="H59" s="149"/>
      <c r="I59" s="149"/>
      <c r="J59" s="149"/>
      <c r="K59" s="149"/>
      <c r="L59" s="149"/>
      <c r="M59" s="149"/>
      <c r="N59" s="149"/>
      <c r="O59" s="149"/>
      <c r="P59" s="149"/>
      <c r="Q59" s="149"/>
      <c r="R59" s="149"/>
      <c r="S59" s="149"/>
      <c r="T59" s="149"/>
      <c r="U59" s="149"/>
    </row>
    <row r="60" spans="1:21">
      <c r="A60" s="149"/>
      <c r="B60" s="149"/>
      <c r="C60" s="149"/>
      <c r="D60" s="149"/>
      <c r="E60" s="149"/>
      <c r="F60" s="149"/>
      <c r="G60" s="149"/>
      <c r="H60" s="149"/>
      <c r="I60" s="149"/>
      <c r="J60" s="149"/>
      <c r="K60" s="149"/>
      <c r="L60" s="149"/>
      <c r="M60" s="149"/>
      <c r="N60" s="149"/>
      <c r="O60" s="149"/>
      <c r="P60" s="149"/>
      <c r="Q60" s="149"/>
      <c r="R60" s="149"/>
      <c r="S60" s="149"/>
      <c r="T60" s="149"/>
      <c r="U60" s="149"/>
    </row>
    <row r="61" spans="1:21">
      <c r="A61" s="149"/>
      <c r="B61" s="149"/>
      <c r="C61" s="149"/>
      <c r="D61" s="149"/>
      <c r="E61" s="149"/>
      <c r="F61" s="149"/>
      <c r="G61" s="149"/>
      <c r="H61" s="149"/>
      <c r="I61" s="149"/>
      <c r="J61" s="149"/>
      <c r="K61" s="149"/>
      <c r="L61" s="149"/>
      <c r="M61" s="149"/>
      <c r="N61" s="149"/>
      <c r="O61" s="149"/>
      <c r="P61" s="149"/>
      <c r="Q61" s="149"/>
      <c r="R61" s="149"/>
      <c r="S61" s="149"/>
      <c r="T61" s="149"/>
      <c r="U61" s="149"/>
    </row>
    <row r="62" spans="1:21">
      <c r="A62" s="149"/>
      <c r="B62" s="149"/>
      <c r="C62" s="149"/>
      <c r="D62" s="149"/>
      <c r="E62" s="149"/>
      <c r="F62" s="149"/>
      <c r="G62" s="149"/>
      <c r="H62" s="149"/>
      <c r="I62" s="149"/>
      <c r="J62" s="149"/>
      <c r="K62" s="149"/>
      <c r="L62" s="149"/>
      <c r="M62" s="149"/>
      <c r="N62" s="149"/>
      <c r="O62" s="149"/>
      <c r="P62" s="149"/>
      <c r="Q62" s="149"/>
      <c r="R62" s="149"/>
      <c r="S62" s="149"/>
      <c r="T62" s="149"/>
      <c r="U62" s="149"/>
    </row>
    <row r="63" spans="1:21">
      <c r="A63" s="149"/>
      <c r="B63" s="149"/>
      <c r="C63" s="149"/>
      <c r="D63" s="149"/>
      <c r="E63" s="149"/>
      <c r="F63" s="149"/>
      <c r="G63" s="149"/>
      <c r="H63" s="149"/>
      <c r="I63" s="149"/>
      <c r="J63" s="149"/>
      <c r="K63" s="149"/>
      <c r="L63" s="149"/>
      <c r="M63" s="149"/>
      <c r="N63" s="149"/>
      <c r="O63" s="149"/>
      <c r="P63" s="149"/>
      <c r="Q63" s="149"/>
      <c r="R63" s="149"/>
      <c r="S63" s="149"/>
      <c r="T63" s="149"/>
      <c r="U63" s="149"/>
    </row>
    <row r="64" spans="1:21">
      <c r="A64" s="149"/>
      <c r="B64" s="149"/>
      <c r="C64" s="149"/>
      <c r="D64" s="149"/>
      <c r="E64" s="149"/>
      <c r="F64" s="149"/>
      <c r="G64" s="149"/>
      <c r="H64" s="149"/>
      <c r="I64" s="149"/>
      <c r="J64" s="149"/>
      <c r="K64" s="149"/>
      <c r="L64" s="149"/>
      <c r="M64" s="149"/>
      <c r="N64" s="149"/>
      <c r="O64" s="149"/>
      <c r="P64" s="149"/>
      <c r="Q64" s="149"/>
      <c r="R64" s="149"/>
      <c r="S64" s="149"/>
      <c r="T64" s="149"/>
      <c r="U64" s="149"/>
    </row>
    <row r="65" spans="6:21">
      <c r="F65" s="149"/>
      <c r="G65" s="149"/>
      <c r="H65" s="149"/>
      <c r="I65" s="149"/>
      <c r="J65" s="149"/>
      <c r="K65" s="149"/>
      <c r="L65" s="149"/>
      <c r="M65" s="149"/>
      <c r="N65" s="149"/>
      <c r="O65" s="149"/>
      <c r="P65" s="149"/>
      <c r="Q65" s="149"/>
      <c r="R65" s="149"/>
      <c r="S65" s="149"/>
      <c r="T65" s="149"/>
      <c r="U65" s="149"/>
    </row>
  </sheetData>
  <sheetProtection selectLockedCells="1"/>
  <mergeCells count="18">
    <mergeCell ref="A26:C26"/>
    <mergeCell ref="A16:E16"/>
    <mergeCell ref="D26:E26"/>
    <mergeCell ref="D24:E24"/>
    <mergeCell ref="D25:E25"/>
    <mergeCell ref="D19:E19"/>
    <mergeCell ref="D20:E20"/>
    <mergeCell ref="D21:E21"/>
    <mergeCell ref="D22:E22"/>
    <mergeCell ref="A17:E18"/>
    <mergeCell ref="D23:E23"/>
    <mergeCell ref="A19:C19"/>
    <mergeCell ref="A20:C20"/>
    <mergeCell ref="A21:C21"/>
    <mergeCell ref="A22:C22"/>
    <mergeCell ref="A23:C23"/>
    <mergeCell ref="A24:C24"/>
    <mergeCell ref="A25:C25"/>
  </mergeCells>
  <phoneticPr fontId="3" type="noConversion"/>
  <conditionalFormatting sqref="A1:E15 F1:U65 A27:E64">
    <cfRule type="expression" dxfId="29" priority="1" stopIfTrue="1">
      <formula>$M$37</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4340" r:id="rId4" name="Button 1028">
              <controlPr defaultSize="0" print="0" autoFill="0" autoPict="0" macro="[0]!go_main_page">
                <anchor moveWithCells="1" sizeWithCells="1">
                  <from>
                    <xdr:col>0</xdr:col>
                    <xdr:colOff>57150</xdr:colOff>
                    <xdr:row>0</xdr:row>
                    <xdr:rowOff>50800</xdr:rowOff>
                  </from>
                  <to>
                    <xdr:col>0</xdr:col>
                    <xdr:colOff>1371600</xdr:colOff>
                    <xdr:row>3</xdr:row>
                    <xdr:rowOff>69850</xdr:rowOff>
                  </to>
                </anchor>
              </controlPr>
            </control>
          </mc:Choice>
        </mc:AlternateContent>
        <mc:AlternateContent xmlns:mc="http://schemas.openxmlformats.org/markup-compatibility/2006">
          <mc:Choice Requires="x14">
            <control shapeId="14341" r:id="rId5" name="Button 1029">
              <controlPr defaultSize="0" print="0" autoFill="0" autoPict="0" macro="[0]!go_figures_inflation_income_rates">
                <anchor moveWithCells="1" sizeWithCells="1">
                  <from>
                    <xdr:col>0</xdr:col>
                    <xdr:colOff>57150</xdr:colOff>
                    <xdr:row>4</xdr:row>
                    <xdr:rowOff>19050</xdr:rowOff>
                  </from>
                  <to>
                    <xdr:col>0</xdr:col>
                    <xdr:colOff>1371600</xdr:colOff>
                    <xdr:row>7</xdr:row>
                    <xdr:rowOff>19050</xdr:rowOff>
                  </to>
                </anchor>
              </controlPr>
            </control>
          </mc:Choice>
        </mc:AlternateContent>
        <mc:AlternateContent xmlns:mc="http://schemas.openxmlformats.org/markup-compatibility/2006">
          <mc:Choice Requires="x14">
            <control shapeId="14342" r:id="rId6" name="Button 1030">
              <controlPr defaultSize="0" print="0" autoFill="0" autoPict="0" macro="[0]!go_numerical_results">
                <anchor moveWithCells="1" sizeWithCells="1">
                  <from>
                    <xdr:col>0</xdr:col>
                    <xdr:colOff>57150</xdr:colOff>
                    <xdr:row>11</xdr:row>
                    <xdr:rowOff>69850</xdr:rowOff>
                  </from>
                  <to>
                    <xdr:col>0</xdr:col>
                    <xdr:colOff>1371600</xdr:colOff>
                    <xdr:row>14</xdr:row>
                    <xdr:rowOff>88900</xdr:rowOff>
                  </to>
                </anchor>
              </controlPr>
            </control>
          </mc:Choice>
        </mc:AlternateContent>
        <mc:AlternateContent xmlns:mc="http://schemas.openxmlformats.org/markup-compatibility/2006">
          <mc:Choice Requires="x14">
            <control shapeId="14359" r:id="rId7" name="Button 1047">
              <controlPr defaultSize="0" print="0" autoFill="0" autoPict="0" macro="[0]!go_exrate_figures">
                <anchor moveWithCells="1" sizeWithCells="1">
                  <from>
                    <xdr:col>0</xdr:col>
                    <xdr:colOff>57150</xdr:colOff>
                    <xdr:row>7</xdr:row>
                    <xdr:rowOff>133350</xdr:rowOff>
                  </from>
                  <to>
                    <xdr:col>0</xdr:col>
                    <xdr:colOff>1371600</xdr:colOff>
                    <xdr:row>10</xdr:row>
                    <xdr:rowOff>133350</xdr:rowOff>
                  </to>
                </anchor>
              </controlPr>
            </control>
          </mc:Choice>
        </mc:AlternateContent>
        <mc:AlternateContent xmlns:mc="http://schemas.openxmlformats.org/markup-compatibility/2006">
          <mc:Choice Requires="x14">
            <control shapeId="14360" r:id="rId8" name="Button 1048">
              <controlPr defaultSize="0" print="0" autoFill="0" autoPict="0" macro="[0]!change_timespan">
                <anchor moveWithCells="1" sizeWithCells="1">
                  <from>
                    <xdr:col>0</xdr:col>
                    <xdr:colOff>57150</xdr:colOff>
                    <xdr:row>27</xdr:row>
                    <xdr:rowOff>57150</xdr:rowOff>
                  </from>
                  <to>
                    <xdr:col>0</xdr:col>
                    <xdr:colOff>1371600</xdr:colOff>
                    <xdr:row>30</xdr:row>
                    <xdr:rowOff>95250</xdr:rowOff>
                  </to>
                </anchor>
              </controlPr>
            </control>
          </mc:Choice>
        </mc:AlternateContent>
        <mc:AlternateContent xmlns:mc="http://schemas.openxmlformats.org/markup-compatibility/2006">
          <mc:Choice Requires="x14">
            <control shapeId="14361" r:id="rId9" name="Button 1049">
              <controlPr defaultSize="0" print="0" autoFill="0" autoPict="0" macro="[0]!public_debt_aclaración">
                <anchor moveWithCells="1" sizeWithCells="1">
                  <from>
                    <xdr:col>11</xdr:col>
                    <xdr:colOff>247650</xdr:colOff>
                    <xdr:row>23</xdr:row>
                    <xdr:rowOff>31750</xdr:rowOff>
                  </from>
                  <to>
                    <xdr:col>11</xdr:col>
                    <xdr:colOff>412750</xdr:colOff>
                    <xdr:row>24</xdr:row>
                    <xdr:rowOff>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2"/>
  <dimension ref="A1:AM502"/>
  <sheetViews>
    <sheetView showGridLines="0" showRowColHeaders="0" workbookViewId="0">
      <pane xSplit="1" ySplit="3" topLeftCell="B4" activePane="bottomRight" state="frozenSplit"/>
      <selection activeCell="C45" sqref="C45"/>
      <selection pane="topRight" activeCell="C45" sqref="C45"/>
      <selection pane="bottomLeft" activeCell="C45" sqref="C45"/>
      <selection pane="bottomRight"/>
    </sheetView>
  </sheetViews>
  <sheetFormatPr defaultColWidth="0" defaultRowHeight="13"/>
  <cols>
    <col min="1" max="2" width="14.453125" style="33" customWidth="1"/>
    <col min="3" max="3" width="12.54296875" style="36" bestFit="1" customWidth="1"/>
    <col min="4" max="4" width="12.54296875" style="37" bestFit="1" customWidth="1"/>
    <col min="5" max="5" width="12.54296875" style="37" customWidth="1"/>
    <col min="6" max="6" width="16.54296875" style="37" customWidth="1"/>
    <col min="7" max="7" width="16.54296875" style="35" customWidth="1"/>
    <col min="8" max="8" width="27.26953125" style="35" customWidth="1"/>
    <col min="9" max="9" width="35.453125" style="35" bestFit="1" customWidth="1"/>
    <col min="10" max="10" width="18" style="35" customWidth="1"/>
    <col min="11" max="11" width="23.1796875" style="35" bestFit="1" customWidth="1"/>
    <col min="12" max="12" width="18" style="35" bestFit="1" customWidth="1"/>
    <col min="13" max="13" width="19" style="36" customWidth="1"/>
    <col min="14" max="14" width="22.54296875" style="36" bestFit="1" customWidth="1"/>
    <col min="15" max="15" width="18.81640625" style="35" bestFit="1" customWidth="1"/>
    <col min="16" max="16" width="20.1796875" style="35" bestFit="1" customWidth="1"/>
    <col min="17" max="17" width="9.26953125" style="35" bestFit="1" customWidth="1"/>
    <col min="18" max="18" width="8.453125" style="39" customWidth="1"/>
    <col min="19" max="19" width="22.54296875" style="34" customWidth="1"/>
    <col min="20" max="20" width="14" style="34" customWidth="1"/>
    <col min="21" max="21" width="6.26953125" style="9" customWidth="1"/>
    <col min="22" max="22" width="12.54296875" style="9" customWidth="1"/>
    <col min="23" max="23" width="19.54296875" style="9" customWidth="1"/>
    <col min="24" max="25" width="15.81640625" style="9" customWidth="1"/>
    <col min="26" max="26" width="8.81640625" style="9" customWidth="1"/>
    <col min="27" max="27" width="6.54296875" style="9" customWidth="1"/>
    <col min="28" max="28" width="12.54296875" style="9" customWidth="1"/>
    <col min="29" max="29" width="20.1796875" style="138" customWidth="1"/>
    <col min="30" max="30" width="16.1796875" style="9" customWidth="1"/>
    <col min="31" max="16384" width="0" style="9" hidden="1"/>
  </cols>
  <sheetData>
    <row r="1" spans="1:39" ht="30.75" customHeight="1" thickBot="1">
      <c r="A1" s="448"/>
      <c r="B1" s="448"/>
      <c r="AE1" s="9" t="s">
        <v>109</v>
      </c>
      <c r="AM1" s="9" t="s">
        <v>108</v>
      </c>
    </row>
    <row r="2" spans="1:39" ht="14" thickTop="1" thickBot="1">
      <c r="A2" s="6"/>
      <c r="B2" s="739" t="s">
        <v>20</v>
      </c>
      <c r="C2" s="735"/>
      <c r="D2" s="735"/>
      <c r="E2" s="736"/>
      <c r="F2" s="736"/>
      <c r="G2" s="736"/>
      <c r="H2" s="736"/>
      <c r="I2" s="740"/>
      <c r="J2" s="740"/>
      <c r="K2" s="740"/>
      <c r="L2" s="740"/>
      <c r="M2" s="205"/>
      <c r="N2" s="205"/>
      <c r="O2" s="195"/>
      <c r="P2" s="195"/>
      <c r="Q2" s="196"/>
      <c r="R2" s="734" t="s">
        <v>21</v>
      </c>
      <c r="S2" s="735"/>
      <c r="T2" s="735"/>
      <c r="U2" s="736"/>
      <c r="V2" s="736"/>
      <c r="W2" s="736"/>
      <c r="X2" s="737"/>
      <c r="Y2" s="474"/>
      <c r="Z2" s="735" t="s">
        <v>22</v>
      </c>
      <c r="AA2" s="736"/>
      <c r="AB2" s="736"/>
      <c r="AC2" s="736"/>
      <c r="AD2" s="738"/>
    </row>
    <row r="3" spans="1:39" ht="14" thickTop="1" thickBot="1">
      <c r="A3" s="10" t="s">
        <v>14</v>
      </c>
      <c r="B3" s="12" t="s">
        <v>16</v>
      </c>
      <c r="C3" s="13" t="s">
        <v>13</v>
      </c>
      <c r="D3" s="7" t="s">
        <v>17</v>
      </c>
      <c r="E3" s="11" t="s">
        <v>15</v>
      </c>
      <c r="F3" s="7" t="s">
        <v>234</v>
      </c>
      <c r="G3" s="14" t="s">
        <v>233</v>
      </c>
      <c r="H3" s="14" t="s">
        <v>25</v>
      </c>
      <c r="I3" s="15" t="s">
        <v>26</v>
      </c>
      <c r="J3" s="16" t="s">
        <v>164</v>
      </c>
      <c r="K3" s="14" t="s">
        <v>23</v>
      </c>
      <c r="L3" s="14" t="s">
        <v>24</v>
      </c>
      <c r="M3" s="13" t="s">
        <v>161</v>
      </c>
      <c r="N3" s="13" t="s">
        <v>162</v>
      </c>
      <c r="O3" s="14" t="s">
        <v>147</v>
      </c>
      <c r="P3" s="14" t="s">
        <v>163</v>
      </c>
      <c r="Q3" s="15" t="s">
        <v>148</v>
      </c>
      <c r="R3" s="200" t="s">
        <v>15</v>
      </c>
      <c r="S3" s="17" t="s">
        <v>27</v>
      </c>
      <c r="T3" s="17" t="s">
        <v>28</v>
      </c>
      <c r="U3" s="13" t="s">
        <v>13</v>
      </c>
      <c r="V3" s="7" t="s">
        <v>17</v>
      </c>
      <c r="W3" s="7" t="s">
        <v>235</v>
      </c>
      <c r="X3" s="8" t="s">
        <v>233</v>
      </c>
      <c r="Y3" s="12" t="s">
        <v>16</v>
      </c>
      <c r="Z3" s="204" t="s">
        <v>15</v>
      </c>
      <c r="AA3" s="13" t="s">
        <v>13</v>
      </c>
      <c r="AB3" s="7" t="s">
        <v>17</v>
      </c>
      <c r="AC3" s="14" t="s">
        <v>235</v>
      </c>
      <c r="AD3" s="7" t="s">
        <v>233</v>
      </c>
    </row>
    <row r="4" spans="1:39" ht="14" thickTop="1" thickBot="1">
      <c r="A4" s="18">
        <v>1</v>
      </c>
      <c r="B4" s="20">
        <f>('normal case'!D3-'normal case'!B3)/'normal case'!B3</f>
        <v>0</v>
      </c>
      <c r="C4" s="21">
        <f>'normal case'!D3</f>
        <v>100</v>
      </c>
      <c r="D4" s="22"/>
      <c r="E4" s="19">
        <f>'normal case'!L3/100</f>
        <v>0.02</v>
      </c>
      <c r="F4" s="28">
        <f>'normal case'!N3/100</f>
        <v>0.06</v>
      </c>
      <c r="G4" s="20">
        <f>'normal case'!M3/100</f>
        <v>0.04</v>
      </c>
      <c r="H4" s="20">
        <f>'public finance'!D2</f>
        <v>0</v>
      </c>
      <c r="I4" s="23">
        <f>'public finance'!E2</f>
        <v>0</v>
      </c>
      <c r="J4" s="23">
        <f>'public finance'!H2</f>
        <v>0</v>
      </c>
      <c r="K4" s="154">
        <f>'public finance'!C2/'normal case'!D3</f>
        <v>0.2</v>
      </c>
      <c r="L4" s="199">
        <f>'public finance'!A2/'normal case'!D3</f>
        <v>0.2</v>
      </c>
      <c r="M4" s="206" t="str">
        <f>IF(controls!$B$44=0,"",'normal case'!AC3)</f>
        <v/>
      </c>
      <c r="N4" s="206" t="str">
        <f>IF(controls!$B$44=0,"",'normal case'!AF3)</f>
        <v/>
      </c>
      <c r="O4" s="203" t="str">
        <f>IF(controls!$B$44=0,"",'external balance'!D3)</f>
        <v/>
      </c>
      <c r="P4" s="203" t="str">
        <f>IF(controls!$B$44=0,"",'external balance'!F3)</f>
        <v/>
      </c>
      <c r="Q4" s="202" t="str">
        <f>IF(controls!$B$44=0,"",'external balance'!H3)</f>
        <v/>
      </c>
      <c r="R4" s="201" t="str">
        <f>IF('inflation, income and interest'!$A$38=2,"",'delay in perception'!K4/100)</f>
        <v/>
      </c>
      <c r="S4" s="20" t="str">
        <f>IF('inflation, income and interest'!$A$38=2,"",('delay in perception'!E4-'delay in perception'!C4)/'delay in perception'!C4)</f>
        <v/>
      </c>
      <c r="T4" s="20" t="str">
        <f>IF('inflation, income and interest'!$A$38=2,"",('delay in perception'!E4-'delay in perception'!B4)/'delay in perception'!B4)</f>
        <v/>
      </c>
      <c r="U4" s="21" t="str">
        <f>IF('inflation, income and interest'!$A$38=2,"",'delay in perception'!E4)</f>
        <v/>
      </c>
      <c r="V4" s="22"/>
      <c r="W4" s="28" t="str">
        <f>IF('inflation, income and interest'!$A$38=2,"",'delay in perception'!M4/100)</f>
        <v/>
      </c>
      <c r="X4" s="24" t="str">
        <f>IF('inflation, income and interest'!$A$38=2,"",'delay in perception'!L4/100)</f>
        <v/>
      </c>
      <c r="Y4" s="201" t="str">
        <f>IF('inflation, income and interest'!$B$38=2,"",(hystere!E4-hystere!B4)/hystere!B4)</f>
        <v/>
      </c>
      <c r="Z4" s="475" t="str">
        <f>IF('inflation, income and interest'!$B$38=2,"",hystere!M4/100)</f>
        <v/>
      </c>
      <c r="AA4" s="21" t="str">
        <f>IF('inflation, income and interest'!$B$38=2,"",hystere!E4)</f>
        <v/>
      </c>
      <c r="AB4" s="22"/>
      <c r="AC4" s="20" t="str">
        <f>IF('inflation, income and interest'!$B$38=2,"",hystere!O4/100)</f>
        <v/>
      </c>
      <c r="AD4" s="20" t="str">
        <f>IF('inflation, income and interest'!$B$38=2,"",hystere!N4/100)</f>
        <v/>
      </c>
    </row>
    <row r="5" spans="1:39" ht="14" thickTop="1" thickBot="1">
      <c r="A5" s="18">
        <v>2</v>
      </c>
      <c r="B5" s="20">
        <f>('normal case'!D4-'normal case'!B4)/'normal case'!B4</f>
        <v>0</v>
      </c>
      <c r="C5" s="26">
        <f>'normal case'!D4</f>
        <v>100</v>
      </c>
      <c r="D5" s="27">
        <f>'normal case'!C4</f>
        <v>0</v>
      </c>
      <c r="E5" s="25">
        <f>'normal case'!L4/100</f>
        <v>0.02</v>
      </c>
      <c r="F5" s="28">
        <f ca="1">'normal case'!N4/100</f>
        <v>0.06</v>
      </c>
      <c r="G5" s="28">
        <f ca="1">'normal case'!M4/100</f>
        <v>0.04</v>
      </c>
      <c r="H5" s="28">
        <f>'public finance'!D3</f>
        <v>0</v>
      </c>
      <c r="I5" s="23">
        <f ca="1">'public finance'!E3</f>
        <v>0</v>
      </c>
      <c r="J5" s="153">
        <f>'public finance'!H3</f>
        <v>0</v>
      </c>
      <c r="K5" s="20">
        <f>'public finance'!C3/'normal case'!D4</f>
        <v>0.2</v>
      </c>
      <c r="L5" s="23">
        <f>'public finance'!A3/'normal case'!D4</f>
        <v>0.2</v>
      </c>
      <c r="M5" s="21" t="str">
        <f>IF(controls!$B$44=0,"",'normal case'!AC4)</f>
        <v/>
      </c>
      <c r="N5" s="21" t="str">
        <f>IF(controls!$B$44=0,"",'normal case'!AF4)</f>
        <v/>
      </c>
      <c r="O5" s="203" t="str">
        <f>IF(controls!$B$44=0,"",'external balance'!D4)</f>
        <v/>
      </c>
      <c r="P5" s="203" t="str">
        <f>IF(controls!$B$44=0,"",'external balance'!F4)</f>
        <v/>
      </c>
      <c r="Q5" s="202" t="str">
        <f>IF(controls!$B$44=0,"",'external balance'!H4)</f>
        <v/>
      </c>
      <c r="R5" s="201" t="str">
        <f>IF('inflation, income and interest'!$A$38=2,"",'delay in perception'!K5/100)</f>
        <v/>
      </c>
      <c r="S5" s="20" t="str">
        <f>IF('inflation, income and interest'!$A$38=2,"",('delay in perception'!E5-'delay in perception'!C5)/'delay in perception'!C5)</f>
        <v/>
      </c>
      <c r="T5" s="20" t="str">
        <f>IF('inflation, income and interest'!$A$38=2,"",('delay in perception'!E5-'delay in perception'!B5)/'delay in perception'!B5)</f>
        <v/>
      </c>
      <c r="U5" s="21" t="str">
        <f>IF('inflation, income and interest'!$A$38=2,"",'delay in perception'!E5)</f>
        <v/>
      </c>
      <c r="V5" s="27" t="str">
        <f>IF('inflation, income and interest'!$A$38=2,"",'delay in perception'!D5)</f>
        <v/>
      </c>
      <c r="W5" s="28" t="str">
        <f>IF('inflation, income and interest'!$A$38=2,"",'delay in perception'!M5/100)</f>
        <v/>
      </c>
      <c r="X5" s="24" t="str">
        <f>IF('inflation, income and interest'!$A$38=2,"",'delay in perception'!L5/100)</f>
        <v/>
      </c>
      <c r="Y5" s="201" t="str">
        <f>IF('inflation, income and interest'!$B$38=2,"",(hystere!E5-hystere!B5)/hystere!B5)</f>
        <v/>
      </c>
      <c r="Z5" s="476" t="str">
        <f>IF('inflation, income and interest'!$B$38=2,"",hystere!M5/100)</f>
        <v/>
      </c>
      <c r="AA5" s="21" t="str">
        <f>IF('inflation, income and interest'!$B$38=2,"",hystere!E5)</f>
        <v/>
      </c>
      <c r="AB5" s="27" t="str">
        <f>IF('inflation, income and interest'!$B$38=2,"",hystere!C5)</f>
        <v/>
      </c>
      <c r="AC5" s="20" t="str">
        <f>IF('inflation, income and interest'!$B$38=2,"",hystere!O5/100)</f>
        <v/>
      </c>
      <c r="AD5" s="20" t="str">
        <f>IF('inflation, income and interest'!$B$38=2,"",hystere!N5/100)</f>
        <v/>
      </c>
    </row>
    <row r="6" spans="1:39" ht="14" thickTop="1" thickBot="1">
      <c r="A6" s="18">
        <v>3</v>
      </c>
      <c r="B6" s="20">
        <f ca="1">('normal case'!D5-'normal case'!B5)/'normal case'!B5</f>
        <v>0</v>
      </c>
      <c r="C6" s="26">
        <f ca="1">'normal case'!D5</f>
        <v>100</v>
      </c>
      <c r="D6" s="27">
        <f ca="1">'normal case'!C5</f>
        <v>0</v>
      </c>
      <c r="E6" s="25">
        <f ca="1">'normal case'!L5/100</f>
        <v>0.02</v>
      </c>
      <c r="F6" s="28">
        <f ca="1">'normal case'!N5/100</f>
        <v>0.06</v>
      </c>
      <c r="G6" s="28">
        <f ca="1">'normal case'!M5/100</f>
        <v>0.04</v>
      </c>
      <c r="H6" s="28">
        <f ca="1">'public finance'!D4</f>
        <v>0</v>
      </c>
      <c r="I6" s="23">
        <f ca="1">'public finance'!E4</f>
        <v>0</v>
      </c>
      <c r="J6" s="153">
        <f ca="1">'public finance'!H4</f>
        <v>0</v>
      </c>
      <c r="K6" s="20">
        <f ca="1">'public finance'!C4/'normal case'!D5</f>
        <v>0.2</v>
      </c>
      <c r="L6" s="23">
        <f ca="1">'public finance'!A4/'normal case'!D5</f>
        <v>0.2</v>
      </c>
      <c r="M6" s="21" t="str">
        <f>IF(controls!$B$44=0,"",'normal case'!AC5)</f>
        <v/>
      </c>
      <c r="N6" s="21" t="str">
        <f>IF(controls!$B$44=0,"",'normal case'!AF5)</f>
        <v/>
      </c>
      <c r="O6" s="203" t="str">
        <f>IF(controls!$B$44=0,"",'external balance'!D5)</f>
        <v/>
      </c>
      <c r="P6" s="203" t="str">
        <f>IF(controls!$B$44=0,"",'external balance'!F5)</f>
        <v/>
      </c>
      <c r="Q6" s="202" t="str">
        <f>IF(controls!$B$44=0,"",'external balance'!H5)</f>
        <v/>
      </c>
      <c r="R6" s="201" t="str">
        <f>IF('inflation, income and interest'!$A$38=2,"",'delay in perception'!K6/100)</f>
        <v/>
      </c>
      <c r="S6" s="20" t="str">
        <f>IF('inflation, income and interest'!$A$38=2,"",('delay in perception'!E6-'delay in perception'!C6)/'delay in perception'!C6)</f>
        <v/>
      </c>
      <c r="T6" s="20" t="str">
        <f>IF('inflation, income and interest'!$A$38=2,"",('delay in perception'!E6-'delay in perception'!B6)/'delay in perception'!B6)</f>
        <v/>
      </c>
      <c r="U6" s="21" t="str">
        <f>IF('inflation, income and interest'!$A$38=2,"",'delay in perception'!E6)</f>
        <v/>
      </c>
      <c r="V6" s="27" t="str">
        <f>IF('inflation, income and interest'!$A$38=2,"",'delay in perception'!D6)</f>
        <v/>
      </c>
      <c r="W6" s="28" t="str">
        <f>IF('inflation, income and interest'!$A$38=2,"",'delay in perception'!M6/100)</f>
        <v/>
      </c>
      <c r="X6" s="24" t="str">
        <f>IF('inflation, income and interest'!$A$38=2,"",'delay in perception'!L6/100)</f>
        <v/>
      </c>
      <c r="Y6" s="201" t="str">
        <f>IF('inflation, income and interest'!$B$38=2,"",(hystere!E6-hystere!B6)/hystere!B6)</f>
        <v/>
      </c>
      <c r="Z6" s="476" t="str">
        <f>IF('inflation, income and interest'!$B$38=2,"",hystere!M6/100)</f>
        <v/>
      </c>
      <c r="AA6" s="21" t="str">
        <f>IF('inflation, income and interest'!$B$38=2,"",hystere!E6)</f>
        <v/>
      </c>
      <c r="AB6" s="27" t="str">
        <f>IF('inflation, income and interest'!$B$38=2,"",hystere!C6)</f>
        <v/>
      </c>
      <c r="AC6" s="20" t="str">
        <f>IF('inflation, income and interest'!$B$38=2,"",hystere!O6/100)</f>
        <v/>
      </c>
      <c r="AD6" s="20" t="str">
        <f>IF('inflation, income and interest'!$B$38=2,"",hystere!N6/100)</f>
        <v/>
      </c>
    </row>
    <row r="7" spans="1:39" ht="14" thickTop="1" thickBot="1">
      <c r="A7" s="18">
        <v>4</v>
      </c>
      <c r="B7" s="20">
        <f ca="1">('normal case'!D6-'normal case'!B6)/'normal case'!B6</f>
        <v>0</v>
      </c>
      <c r="C7" s="26">
        <f ca="1">'normal case'!D6</f>
        <v>100</v>
      </c>
      <c r="D7" s="27">
        <f ca="1">'normal case'!C6</f>
        <v>0</v>
      </c>
      <c r="E7" s="25">
        <f ca="1">'normal case'!L6/100</f>
        <v>0.02</v>
      </c>
      <c r="F7" s="28">
        <f ca="1">'normal case'!N6/100</f>
        <v>0.06</v>
      </c>
      <c r="G7" s="28">
        <f ca="1">'normal case'!M6/100</f>
        <v>0.04</v>
      </c>
      <c r="H7" s="28">
        <f ca="1">'public finance'!D5</f>
        <v>0</v>
      </c>
      <c r="I7" s="23">
        <f ca="1">'public finance'!E5</f>
        <v>0</v>
      </c>
      <c r="J7" s="153">
        <f ca="1">'public finance'!H5</f>
        <v>0</v>
      </c>
      <c r="K7" s="20">
        <f ca="1">'public finance'!C5/'normal case'!D6</f>
        <v>0.2</v>
      </c>
      <c r="L7" s="23">
        <f ca="1">'public finance'!A5/'normal case'!D6</f>
        <v>0.2</v>
      </c>
      <c r="M7" s="21" t="str">
        <f>IF(controls!$B$44=0,"",'normal case'!AC6)</f>
        <v/>
      </c>
      <c r="N7" s="21" t="str">
        <f>IF(controls!$B$44=0,"",'normal case'!AF6)</f>
        <v/>
      </c>
      <c r="O7" s="203" t="str">
        <f>IF(controls!$B$44=0,"",'external balance'!D6)</f>
        <v/>
      </c>
      <c r="P7" s="203" t="str">
        <f>IF(controls!$B$44=0,"",'external balance'!F6)</f>
        <v/>
      </c>
      <c r="Q7" s="202" t="str">
        <f>IF(controls!$B$44=0,"",'external balance'!H6)</f>
        <v/>
      </c>
      <c r="R7" s="201" t="str">
        <f>IF('inflation, income and interest'!$A$38=2,"",'delay in perception'!K7/100)</f>
        <v/>
      </c>
      <c r="S7" s="20" t="str">
        <f>IF('inflation, income and interest'!$A$38=2,"",('delay in perception'!E7-'delay in perception'!C7)/'delay in perception'!C7)</f>
        <v/>
      </c>
      <c r="T7" s="20" t="str">
        <f>IF('inflation, income and interest'!$A$38=2,"",('delay in perception'!E7-'delay in perception'!B7)/'delay in perception'!B7)</f>
        <v/>
      </c>
      <c r="U7" s="21" t="str">
        <f>IF('inflation, income and interest'!$A$38=2,"",'delay in perception'!E7)</f>
        <v/>
      </c>
      <c r="V7" s="27" t="str">
        <f>IF('inflation, income and interest'!$A$38=2,"",'delay in perception'!D7)</f>
        <v/>
      </c>
      <c r="W7" s="28" t="str">
        <f>IF('inflation, income and interest'!$A$38=2,"",'delay in perception'!M7/100)</f>
        <v/>
      </c>
      <c r="X7" s="24" t="str">
        <f>IF('inflation, income and interest'!$A$38=2,"",'delay in perception'!L7/100)</f>
        <v/>
      </c>
      <c r="Y7" s="201" t="str">
        <f>IF('inflation, income and interest'!$B$38=2,"",(hystere!E7-hystere!B7)/hystere!B7)</f>
        <v/>
      </c>
      <c r="Z7" s="476" t="str">
        <f>IF('inflation, income and interest'!$B$38=2,"",hystere!M7/100)</f>
        <v/>
      </c>
      <c r="AA7" s="21" t="str">
        <f>IF('inflation, income and interest'!$B$38=2,"",hystere!E7)</f>
        <v/>
      </c>
      <c r="AB7" s="27" t="str">
        <f>IF('inflation, income and interest'!$B$38=2,"",hystere!C7)</f>
        <v/>
      </c>
      <c r="AC7" s="20" t="str">
        <f>IF('inflation, income and interest'!$B$38=2,"",hystere!O7/100)</f>
        <v/>
      </c>
      <c r="AD7" s="20" t="str">
        <f>IF('inflation, income and interest'!$B$38=2,"",hystere!N7/100)</f>
        <v/>
      </c>
    </row>
    <row r="8" spans="1:39" ht="14" thickTop="1" thickBot="1">
      <c r="A8" s="29">
        <v>5</v>
      </c>
      <c r="B8" s="20">
        <f ca="1">('normal case'!D7-'normal case'!B7)/'normal case'!B7</f>
        <v>0</v>
      </c>
      <c r="C8" s="26">
        <f ca="1">'normal case'!D7</f>
        <v>100</v>
      </c>
      <c r="D8" s="27">
        <f ca="1">'normal case'!C7</f>
        <v>0</v>
      </c>
      <c r="E8" s="25">
        <f ca="1">'normal case'!L7/100</f>
        <v>0.02</v>
      </c>
      <c r="F8" s="28">
        <f ca="1">'normal case'!N7/100</f>
        <v>0.06</v>
      </c>
      <c r="G8" s="28">
        <f ca="1">'normal case'!M7/100</f>
        <v>0.04</v>
      </c>
      <c r="H8" s="28">
        <f ca="1">'public finance'!D6</f>
        <v>0</v>
      </c>
      <c r="I8" s="23">
        <f ca="1">'public finance'!E6</f>
        <v>0</v>
      </c>
      <c r="J8" s="153">
        <f ca="1">'public finance'!H6</f>
        <v>0</v>
      </c>
      <c r="K8" s="20">
        <f ca="1">'public finance'!C6/'normal case'!D7</f>
        <v>0.2</v>
      </c>
      <c r="L8" s="23">
        <f ca="1">'public finance'!A6/'normal case'!D7</f>
        <v>0.2</v>
      </c>
      <c r="M8" s="21" t="str">
        <f>IF(controls!$B$44=0,"",'normal case'!AC7)</f>
        <v/>
      </c>
      <c r="N8" s="21" t="str">
        <f>IF(controls!$B$44=0,"",'normal case'!AF7)</f>
        <v/>
      </c>
      <c r="O8" s="203" t="str">
        <f>IF(controls!$B$44=0,"",'external balance'!D7)</f>
        <v/>
      </c>
      <c r="P8" s="203" t="str">
        <f>IF(controls!$B$44=0,"",'external balance'!F7)</f>
        <v/>
      </c>
      <c r="Q8" s="202" t="str">
        <f>IF(controls!$B$44=0,"",'external balance'!H7)</f>
        <v/>
      </c>
      <c r="R8" s="201" t="str">
        <f>IF('inflation, income and interest'!$A$38=2,"",'delay in perception'!K8/100)</f>
        <v/>
      </c>
      <c r="S8" s="20" t="str">
        <f>IF('inflation, income and interest'!$A$38=2,"",('delay in perception'!E8-'delay in perception'!C8)/'delay in perception'!C8)</f>
        <v/>
      </c>
      <c r="T8" s="20" t="str">
        <f>IF('inflation, income and interest'!$A$38=2,"",('delay in perception'!E8-'delay in perception'!B8)/'delay in perception'!B8)</f>
        <v/>
      </c>
      <c r="U8" s="21" t="str">
        <f>IF('inflation, income and interest'!$A$38=2,"",'delay in perception'!E8)</f>
        <v/>
      </c>
      <c r="V8" s="27" t="str">
        <f>IF('inflation, income and interest'!$A$38=2,"",'delay in perception'!D8)</f>
        <v/>
      </c>
      <c r="W8" s="28" t="str">
        <f>IF('inflation, income and interest'!$A$38=2,"",'delay in perception'!M8/100)</f>
        <v/>
      </c>
      <c r="X8" s="24" t="str">
        <f>IF('inflation, income and interest'!$A$38=2,"",'delay in perception'!L8/100)</f>
        <v/>
      </c>
      <c r="Y8" s="201" t="str">
        <f>IF('inflation, income and interest'!$B$38=2,"",(hystere!E8-hystere!B8)/hystere!B8)</f>
        <v/>
      </c>
      <c r="Z8" s="476" t="str">
        <f>IF('inflation, income and interest'!$B$38=2,"",hystere!M8/100)</f>
        <v/>
      </c>
      <c r="AA8" s="21" t="str">
        <f>IF('inflation, income and interest'!$B$38=2,"",hystere!E8)</f>
        <v/>
      </c>
      <c r="AB8" s="27" t="str">
        <f>IF('inflation, income and interest'!$B$38=2,"",hystere!C8)</f>
        <v/>
      </c>
      <c r="AC8" s="20" t="str">
        <f>IF('inflation, income and interest'!$B$38=2,"",hystere!O8/100)</f>
        <v/>
      </c>
      <c r="AD8" s="20" t="str">
        <f>IF('inflation, income and interest'!$B$38=2,"",hystere!N8/100)</f>
        <v/>
      </c>
    </row>
    <row r="9" spans="1:39" ht="14" thickTop="1" thickBot="1">
      <c r="A9" s="30">
        <v>6</v>
      </c>
      <c r="B9" s="20">
        <f ca="1">('normal case'!D8-'normal case'!B8)/'normal case'!B8</f>
        <v>0</v>
      </c>
      <c r="C9" s="26">
        <f ca="1">'normal case'!D8</f>
        <v>100</v>
      </c>
      <c r="D9" s="27">
        <f ca="1">'normal case'!C8</f>
        <v>0</v>
      </c>
      <c r="E9" s="25">
        <f ca="1">'normal case'!L8/100</f>
        <v>0.02</v>
      </c>
      <c r="F9" s="28">
        <f ca="1">'normal case'!N8/100</f>
        <v>0.06</v>
      </c>
      <c r="G9" s="28">
        <f ca="1">'normal case'!M8/100</f>
        <v>0.04</v>
      </c>
      <c r="H9" s="28">
        <f ca="1">'public finance'!D7</f>
        <v>0</v>
      </c>
      <c r="I9" s="23">
        <f ca="1">'public finance'!E7</f>
        <v>0</v>
      </c>
      <c r="J9" s="153">
        <f ca="1">'public finance'!H7</f>
        <v>0</v>
      </c>
      <c r="K9" s="20">
        <f ca="1">'public finance'!C7/'normal case'!D8</f>
        <v>0.2</v>
      </c>
      <c r="L9" s="23">
        <f ca="1">'public finance'!A7/'normal case'!D8</f>
        <v>0.2</v>
      </c>
      <c r="M9" s="21" t="str">
        <f>IF(controls!$B$44=0,"",'normal case'!AC8)</f>
        <v/>
      </c>
      <c r="N9" s="21" t="str">
        <f>IF(controls!$B$44=0,"",'normal case'!AF8)</f>
        <v/>
      </c>
      <c r="O9" s="203" t="str">
        <f>IF(controls!$B$44=0,"",'external balance'!D8)</f>
        <v/>
      </c>
      <c r="P9" s="203" t="str">
        <f>IF(controls!$B$44=0,"",'external balance'!F8)</f>
        <v/>
      </c>
      <c r="Q9" s="202" t="str">
        <f>IF(controls!$B$44=0,"",'external balance'!H8)</f>
        <v/>
      </c>
      <c r="R9" s="201" t="str">
        <f>IF('inflation, income and interest'!$A$38=2,"",'delay in perception'!K9/100)</f>
        <v/>
      </c>
      <c r="S9" s="20" t="str">
        <f>IF('inflation, income and interest'!$A$38=2,"",('delay in perception'!E9-'delay in perception'!C9)/'delay in perception'!C9)</f>
        <v/>
      </c>
      <c r="T9" s="20" t="str">
        <f>IF('inflation, income and interest'!$A$38=2,"",('delay in perception'!E9-'delay in perception'!B9)/'delay in perception'!B9)</f>
        <v/>
      </c>
      <c r="U9" s="21" t="str">
        <f>IF('inflation, income and interest'!$A$38=2,"",'delay in perception'!E9)</f>
        <v/>
      </c>
      <c r="V9" s="27" t="str">
        <f>IF('inflation, income and interest'!$A$38=2,"",'delay in perception'!D9)</f>
        <v/>
      </c>
      <c r="W9" s="28" t="str">
        <f>IF('inflation, income and interest'!$A$38=2,"",'delay in perception'!M9/100)</f>
        <v/>
      </c>
      <c r="X9" s="24" t="str">
        <f>IF('inflation, income and interest'!$A$38=2,"",'delay in perception'!L9/100)</f>
        <v/>
      </c>
      <c r="Y9" s="201" t="str">
        <f>IF('inflation, income and interest'!$B$38=2,"",(hystere!E9-hystere!B9)/hystere!B9)</f>
        <v/>
      </c>
      <c r="Z9" s="476" t="str">
        <f>IF('inflation, income and interest'!$B$38=2,"",hystere!M9/100)</f>
        <v/>
      </c>
      <c r="AA9" s="21" t="str">
        <f>IF('inflation, income and interest'!$B$38=2,"",hystere!E9)</f>
        <v/>
      </c>
      <c r="AB9" s="27" t="str">
        <f>IF('inflation, income and interest'!$B$38=2,"",hystere!C9)</f>
        <v/>
      </c>
      <c r="AC9" s="20" t="str">
        <f>IF('inflation, income and interest'!$B$38=2,"",hystere!O9/100)</f>
        <v/>
      </c>
      <c r="AD9" s="20" t="str">
        <f>IF('inflation, income and interest'!$B$38=2,"",hystere!N9/100)</f>
        <v/>
      </c>
    </row>
    <row r="10" spans="1:39" ht="14" thickTop="1" thickBot="1">
      <c r="A10" s="18">
        <v>7</v>
      </c>
      <c r="B10" s="20">
        <f ca="1">('normal case'!D9-'normal case'!B9)/'normal case'!B9</f>
        <v>0</v>
      </c>
      <c r="C10" s="26">
        <f ca="1">'normal case'!D9</f>
        <v>100</v>
      </c>
      <c r="D10" s="27">
        <f ca="1">'normal case'!C9</f>
        <v>0</v>
      </c>
      <c r="E10" s="25">
        <f ca="1">'normal case'!L9/100</f>
        <v>0.02</v>
      </c>
      <c r="F10" s="28">
        <f ca="1">'normal case'!N9/100</f>
        <v>0.06</v>
      </c>
      <c r="G10" s="28">
        <f ca="1">'normal case'!M9/100</f>
        <v>0.04</v>
      </c>
      <c r="H10" s="28">
        <f ca="1">'public finance'!D8</f>
        <v>0</v>
      </c>
      <c r="I10" s="23">
        <f ca="1">'public finance'!E8</f>
        <v>0</v>
      </c>
      <c r="J10" s="153">
        <f ca="1">'public finance'!H8</f>
        <v>0</v>
      </c>
      <c r="K10" s="20">
        <f ca="1">'public finance'!C8/'normal case'!D9</f>
        <v>0.2</v>
      </c>
      <c r="L10" s="23">
        <f ca="1">'public finance'!A8/'normal case'!D9</f>
        <v>0.2</v>
      </c>
      <c r="M10" s="21" t="str">
        <f>IF(controls!$B$44=0,"",'normal case'!AC9)</f>
        <v/>
      </c>
      <c r="N10" s="21" t="str">
        <f>IF(controls!$B$44=0,"",'normal case'!AF9)</f>
        <v/>
      </c>
      <c r="O10" s="203" t="str">
        <f>IF(controls!$B$44=0,"",'external balance'!D9)</f>
        <v/>
      </c>
      <c r="P10" s="203" t="str">
        <f>IF(controls!$B$44=0,"",'external balance'!F9)</f>
        <v/>
      </c>
      <c r="Q10" s="202" t="str">
        <f>IF(controls!$B$44=0,"",'external balance'!H9)</f>
        <v/>
      </c>
      <c r="R10" s="201" t="str">
        <f>IF('inflation, income and interest'!$A$38=2,"",'delay in perception'!K10/100)</f>
        <v/>
      </c>
      <c r="S10" s="20" t="str">
        <f>IF('inflation, income and interest'!$A$38=2,"",('delay in perception'!E10-'delay in perception'!C10)/'delay in perception'!C10)</f>
        <v/>
      </c>
      <c r="T10" s="20" t="str">
        <f>IF('inflation, income and interest'!$A$38=2,"",('delay in perception'!E10-'delay in perception'!B10)/'delay in perception'!B10)</f>
        <v/>
      </c>
      <c r="U10" s="21" t="str">
        <f>IF('inflation, income and interest'!$A$38=2,"",'delay in perception'!E10)</f>
        <v/>
      </c>
      <c r="V10" s="27" t="str">
        <f>IF('inflation, income and interest'!$A$38=2,"",'delay in perception'!D10)</f>
        <v/>
      </c>
      <c r="W10" s="28" t="str">
        <f>IF('inflation, income and interest'!$A$38=2,"",'delay in perception'!M10/100)</f>
        <v/>
      </c>
      <c r="X10" s="24" t="str">
        <f>IF('inflation, income and interest'!$A$38=2,"",'delay in perception'!L10/100)</f>
        <v/>
      </c>
      <c r="Y10" s="201" t="str">
        <f>IF('inflation, income and interest'!$B$38=2,"",(hystere!E10-hystere!B10)/hystere!B10)</f>
        <v/>
      </c>
      <c r="Z10" s="476" t="str">
        <f>IF('inflation, income and interest'!$B$38=2,"",hystere!M10/100)</f>
        <v/>
      </c>
      <c r="AA10" s="21" t="str">
        <f>IF('inflation, income and interest'!$B$38=2,"",hystere!E10)</f>
        <v/>
      </c>
      <c r="AB10" s="27" t="str">
        <f>IF('inflation, income and interest'!$B$38=2,"",hystere!C10)</f>
        <v/>
      </c>
      <c r="AC10" s="20" t="str">
        <f>IF('inflation, income and interest'!$B$38=2,"",hystere!O10/100)</f>
        <v/>
      </c>
      <c r="AD10" s="20" t="str">
        <f>IF('inflation, income and interest'!$B$38=2,"",hystere!N10/100)</f>
        <v/>
      </c>
    </row>
    <row r="11" spans="1:39" ht="14" thickTop="1" thickBot="1">
      <c r="A11" s="18">
        <v>8</v>
      </c>
      <c r="B11" s="20">
        <f ca="1">('normal case'!D10-'normal case'!B10)/'normal case'!B10</f>
        <v>0</v>
      </c>
      <c r="C11" s="26">
        <f ca="1">'normal case'!D10</f>
        <v>100</v>
      </c>
      <c r="D11" s="27">
        <f ca="1">'normal case'!C10</f>
        <v>0</v>
      </c>
      <c r="E11" s="25">
        <f ca="1">'normal case'!L10/100</f>
        <v>0.02</v>
      </c>
      <c r="F11" s="28">
        <f ca="1">'normal case'!N10/100</f>
        <v>0.06</v>
      </c>
      <c r="G11" s="28">
        <f ca="1">'normal case'!M10/100</f>
        <v>0.04</v>
      </c>
      <c r="H11" s="28">
        <f ca="1">'public finance'!D9</f>
        <v>0</v>
      </c>
      <c r="I11" s="23">
        <f ca="1">'public finance'!E9</f>
        <v>0</v>
      </c>
      <c r="J11" s="153">
        <f ca="1">'public finance'!H9</f>
        <v>0</v>
      </c>
      <c r="K11" s="20">
        <f ca="1">'public finance'!C9/'normal case'!D10</f>
        <v>0.2</v>
      </c>
      <c r="L11" s="23">
        <f ca="1">'public finance'!A9/'normal case'!D10</f>
        <v>0.2</v>
      </c>
      <c r="M11" s="21" t="str">
        <f>IF(controls!$B$44=0,"",'normal case'!AC10)</f>
        <v/>
      </c>
      <c r="N11" s="21" t="str">
        <f>IF(controls!$B$44=0,"",'normal case'!AF10)</f>
        <v/>
      </c>
      <c r="O11" s="203" t="str">
        <f>IF(controls!$B$44=0,"",'external balance'!D10)</f>
        <v/>
      </c>
      <c r="P11" s="203" t="str">
        <f>IF(controls!$B$44=0,"",'external balance'!F10)</f>
        <v/>
      </c>
      <c r="Q11" s="202" t="str">
        <f>IF(controls!$B$44=0,"",'external balance'!H10)</f>
        <v/>
      </c>
      <c r="R11" s="201" t="str">
        <f>IF('inflation, income and interest'!$A$38=2,"",'delay in perception'!K11/100)</f>
        <v/>
      </c>
      <c r="S11" s="20" t="str">
        <f>IF('inflation, income and interest'!$A$38=2,"",('delay in perception'!E11-'delay in perception'!C11)/'delay in perception'!C11)</f>
        <v/>
      </c>
      <c r="T11" s="20" t="str">
        <f>IF('inflation, income and interest'!$A$38=2,"",('delay in perception'!E11-'delay in perception'!B11)/'delay in perception'!B11)</f>
        <v/>
      </c>
      <c r="U11" s="21" t="str">
        <f>IF('inflation, income and interest'!$A$38=2,"",'delay in perception'!E11)</f>
        <v/>
      </c>
      <c r="V11" s="27" t="str">
        <f>IF('inflation, income and interest'!$A$38=2,"",'delay in perception'!D11)</f>
        <v/>
      </c>
      <c r="W11" s="28" t="str">
        <f>IF('inflation, income and interest'!$A$38=2,"",'delay in perception'!M11/100)</f>
        <v/>
      </c>
      <c r="X11" s="24" t="str">
        <f>IF('inflation, income and interest'!$A$38=2,"",'delay in perception'!L11/100)</f>
        <v/>
      </c>
      <c r="Y11" s="201" t="str">
        <f>IF('inflation, income and interest'!$B$38=2,"",(hystere!E11-hystere!B11)/hystere!B11)</f>
        <v/>
      </c>
      <c r="Z11" s="476" t="str">
        <f>IF('inflation, income and interest'!$B$38=2,"",hystere!M11/100)</f>
        <v/>
      </c>
      <c r="AA11" s="21" t="str">
        <f>IF('inflation, income and interest'!$B$38=2,"",hystere!E11)</f>
        <v/>
      </c>
      <c r="AB11" s="27" t="str">
        <f>IF('inflation, income and interest'!$B$38=2,"",hystere!C11)</f>
        <v/>
      </c>
      <c r="AC11" s="20" t="str">
        <f>IF('inflation, income and interest'!$B$38=2,"",hystere!O11/100)</f>
        <v/>
      </c>
      <c r="AD11" s="20" t="str">
        <f>IF('inflation, income and interest'!$B$38=2,"",hystere!N11/100)</f>
        <v/>
      </c>
    </row>
    <row r="12" spans="1:39" ht="14" thickTop="1" thickBot="1">
      <c r="A12" s="18">
        <v>9</v>
      </c>
      <c r="B12" s="20">
        <f ca="1">('normal case'!D11-'normal case'!B11)/'normal case'!B11</f>
        <v>0</v>
      </c>
      <c r="C12" s="26">
        <f ca="1">'normal case'!D11</f>
        <v>100</v>
      </c>
      <c r="D12" s="27">
        <f ca="1">'normal case'!C11</f>
        <v>0</v>
      </c>
      <c r="E12" s="25">
        <f ca="1">'normal case'!L11/100</f>
        <v>0.02</v>
      </c>
      <c r="F12" s="28">
        <f ca="1">'normal case'!N11/100</f>
        <v>0.06</v>
      </c>
      <c r="G12" s="28">
        <f ca="1">'normal case'!M11/100</f>
        <v>0.04</v>
      </c>
      <c r="H12" s="28">
        <f ca="1">'public finance'!D10</f>
        <v>0</v>
      </c>
      <c r="I12" s="23">
        <f ca="1">'public finance'!E10</f>
        <v>0</v>
      </c>
      <c r="J12" s="153">
        <f ca="1">'public finance'!H10</f>
        <v>0</v>
      </c>
      <c r="K12" s="20">
        <f ca="1">'public finance'!C10/'normal case'!D11</f>
        <v>0.2</v>
      </c>
      <c r="L12" s="23">
        <f ca="1">'public finance'!A10/'normal case'!D11</f>
        <v>0.2</v>
      </c>
      <c r="M12" s="21" t="str">
        <f>IF(controls!$B$44=0,"",'normal case'!AC11)</f>
        <v/>
      </c>
      <c r="N12" s="21" t="str">
        <f>IF(controls!$B$44=0,"",'normal case'!AF11)</f>
        <v/>
      </c>
      <c r="O12" s="203" t="str">
        <f>IF(controls!$B$44=0,"",'external balance'!D11)</f>
        <v/>
      </c>
      <c r="P12" s="203" t="str">
        <f>IF(controls!$B$44=0,"",'external balance'!F11)</f>
        <v/>
      </c>
      <c r="Q12" s="202" t="str">
        <f>IF(controls!$B$44=0,"",'external balance'!H11)</f>
        <v/>
      </c>
      <c r="R12" s="201" t="str">
        <f>IF('inflation, income and interest'!$A$38=2,"",'delay in perception'!K12/100)</f>
        <v/>
      </c>
      <c r="S12" s="20" t="str">
        <f>IF('inflation, income and interest'!$A$38=2,"",('delay in perception'!E12-'delay in perception'!C12)/'delay in perception'!C12)</f>
        <v/>
      </c>
      <c r="T12" s="20" t="str">
        <f>IF('inflation, income and interest'!$A$38=2,"",('delay in perception'!E12-'delay in perception'!B12)/'delay in perception'!B12)</f>
        <v/>
      </c>
      <c r="U12" s="21" t="str">
        <f>IF('inflation, income and interest'!$A$38=2,"",'delay in perception'!E12)</f>
        <v/>
      </c>
      <c r="V12" s="27" t="str">
        <f>IF('inflation, income and interest'!$A$38=2,"",'delay in perception'!D12)</f>
        <v/>
      </c>
      <c r="W12" s="28" t="str">
        <f>IF('inflation, income and interest'!$A$38=2,"",'delay in perception'!M12/100)</f>
        <v/>
      </c>
      <c r="X12" s="24" t="str">
        <f>IF('inflation, income and interest'!$A$38=2,"",'delay in perception'!L12/100)</f>
        <v/>
      </c>
      <c r="Y12" s="201" t="str">
        <f>IF('inflation, income and interest'!$B$38=2,"",(hystere!E12-hystere!B12)/hystere!B12)</f>
        <v/>
      </c>
      <c r="Z12" s="476" t="str">
        <f>IF('inflation, income and interest'!$B$38=2,"",hystere!M12/100)</f>
        <v/>
      </c>
      <c r="AA12" s="21" t="str">
        <f>IF('inflation, income and interest'!$B$38=2,"",hystere!E12)</f>
        <v/>
      </c>
      <c r="AB12" s="27" t="str">
        <f>IF('inflation, income and interest'!$B$38=2,"",hystere!C12)</f>
        <v/>
      </c>
      <c r="AC12" s="20" t="str">
        <f>IF('inflation, income and interest'!$B$38=2,"",hystere!O12/100)</f>
        <v/>
      </c>
      <c r="AD12" s="20" t="str">
        <f>IF('inflation, income and interest'!$B$38=2,"",hystere!N12/100)</f>
        <v/>
      </c>
    </row>
    <row r="13" spans="1:39" ht="14" thickTop="1" thickBot="1">
      <c r="A13" s="31">
        <v>10</v>
      </c>
      <c r="B13" s="20">
        <f ca="1">('normal case'!D12-'normal case'!B12)/'normal case'!B12</f>
        <v>0</v>
      </c>
      <c r="C13" s="26">
        <f ca="1">'normal case'!D12</f>
        <v>100</v>
      </c>
      <c r="D13" s="27">
        <f ca="1">'normal case'!C12</f>
        <v>0</v>
      </c>
      <c r="E13" s="25">
        <f ca="1">'normal case'!L12/100</f>
        <v>0.02</v>
      </c>
      <c r="F13" s="28">
        <f ca="1">'normal case'!N12/100</f>
        <v>0.06</v>
      </c>
      <c r="G13" s="28">
        <f ca="1">'normal case'!M12/100</f>
        <v>0.04</v>
      </c>
      <c r="H13" s="28">
        <f ca="1">'public finance'!D11</f>
        <v>0</v>
      </c>
      <c r="I13" s="23">
        <f ca="1">'public finance'!E11</f>
        <v>0</v>
      </c>
      <c r="J13" s="153">
        <f ca="1">'public finance'!H11</f>
        <v>0</v>
      </c>
      <c r="K13" s="20">
        <f ca="1">'public finance'!C11/'normal case'!D12</f>
        <v>0.2</v>
      </c>
      <c r="L13" s="23">
        <f ca="1">'public finance'!A11/'normal case'!D12</f>
        <v>0.2</v>
      </c>
      <c r="M13" s="21" t="str">
        <f>IF(controls!$B$44=0,"",'normal case'!AC12)</f>
        <v/>
      </c>
      <c r="N13" s="21" t="str">
        <f>IF(controls!$B$44=0,"",'normal case'!AF12)</f>
        <v/>
      </c>
      <c r="O13" s="203" t="str">
        <f>IF(controls!$B$44=0,"",'external balance'!D12)</f>
        <v/>
      </c>
      <c r="P13" s="203" t="str">
        <f>IF(controls!$B$44=0,"",'external balance'!F12)</f>
        <v/>
      </c>
      <c r="Q13" s="202" t="str">
        <f>IF(controls!$B$44=0,"",'external balance'!H12)</f>
        <v/>
      </c>
      <c r="R13" s="201" t="str">
        <f>IF('inflation, income and interest'!$A$38=2,"",'delay in perception'!K13/100)</f>
        <v/>
      </c>
      <c r="S13" s="20" t="str">
        <f>IF('inflation, income and interest'!$A$38=2,"",('delay in perception'!E13-'delay in perception'!C13)/'delay in perception'!C13)</f>
        <v/>
      </c>
      <c r="T13" s="20" t="str">
        <f>IF('inflation, income and interest'!$A$38=2,"",('delay in perception'!E13-'delay in perception'!B13)/'delay in perception'!B13)</f>
        <v/>
      </c>
      <c r="U13" s="21" t="str">
        <f>IF('inflation, income and interest'!$A$38=2,"",'delay in perception'!E13)</f>
        <v/>
      </c>
      <c r="V13" s="27" t="str">
        <f>IF('inflation, income and interest'!$A$38=2,"",'delay in perception'!D13)</f>
        <v/>
      </c>
      <c r="W13" s="28" t="str">
        <f>IF('inflation, income and interest'!$A$38=2,"",'delay in perception'!M13/100)</f>
        <v/>
      </c>
      <c r="X13" s="24" t="str">
        <f>IF('inflation, income and interest'!$A$38=2,"",'delay in perception'!L13/100)</f>
        <v/>
      </c>
      <c r="Y13" s="201" t="str">
        <f>IF('inflation, income and interest'!$B$38=2,"",(hystere!E13-hystere!B13)/hystere!B13)</f>
        <v/>
      </c>
      <c r="Z13" s="476" t="str">
        <f>IF('inflation, income and interest'!$B$38=2,"",hystere!M13/100)</f>
        <v/>
      </c>
      <c r="AA13" s="21" t="str">
        <f>IF('inflation, income and interest'!$B$38=2,"",hystere!E13)</f>
        <v/>
      </c>
      <c r="AB13" s="27" t="str">
        <f>IF('inflation, income and interest'!$B$38=2,"",hystere!C13)</f>
        <v/>
      </c>
      <c r="AC13" s="20" t="str">
        <f>IF('inflation, income and interest'!$B$38=2,"",hystere!O13/100)</f>
        <v/>
      </c>
      <c r="AD13" s="20" t="str">
        <f>IF('inflation, income and interest'!$B$38=2,"",hystere!N13/100)</f>
        <v/>
      </c>
    </row>
    <row r="14" spans="1:39" ht="14" thickTop="1" thickBot="1">
      <c r="A14" s="18">
        <v>11</v>
      </c>
      <c r="B14" s="20">
        <f ca="1">('normal case'!D13-'normal case'!B13)/'normal case'!B13</f>
        <v>0</v>
      </c>
      <c r="C14" s="26">
        <f ca="1">'normal case'!D13</f>
        <v>100</v>
      </c>
      <c r="D14" s="27">
        <f ca="1">'normal case'!C13</f>
        <v>0</v>
      </c>
      <c r="E14" s="25">
        <f ca="1">'normal case'!L13/100</f>
        <v>0.02</v>
      </c>
      <c r="F14" s="28">
        <f ca="1">'normal case'!N13/100</f>
        <v>0.06</v>
      </c>
      <c r="G14" s="28">
        <f ca="1">'normal case'!M13/100</f>
        <v>0.04</v>
      </c>
      <c r="H14" s="28">
        <f ca="1">'public finance'!D12</f>
        <v>0</v>
      </c>
      <c r="I14" s="23">
        <f ca="1">'public finance'!E12</f>
        <v>0</v>
      </c>
      <c r="J14" s="153">
        <f ca="1">'public finance'!H12</f>
        <v>0</v>
      </c>
      <c r="K14" s="20">
        <f ca="1">'public finance'!C12/'normal case'!D13</f>
        <v>0.2</v>
      </c>
      <c r="L14" s="23">
        <f ca="1">'public finance'!A12/'normal case'!D13</f>
        <v>0.2</v>
      </c>
      <c r="M14" s="21" t="str">
        <f>IF(controls!$B$44=0,"",'normal case'!AC13)</f>
        <v/>
      </c>
      <c r="N14" s="21" t="str">
        <f>IF(controls!$B$44=0,"",'normal case'!AF13)</f>
        <v/>
      </c>
      <c r="O14" s="203" t="str">
        <f>IF(controls!$B$44=0,"",'external balance'!D13)</f>
        <v/>
      </c>
      <c r="P14" s="203" t="str">
        <f>IF(controls!$B$44=0,"",'external balance'!F13)</f>
        <v/>
      </c>
      <c r="Q14" s="202" t="str">
        <f>IF(controls!$B$44=0,"",'external balance'!H13)</f>
        <v/>
      </c>
      <c r="R14" s="201" t="str">
        <f>IF('inflation, income and interest'!$A$38=2,"",'delay in perception'!K14/100)</f>
        <v/>
      </c>
      <c r="S14" s="20" t="str">
        <f>IF('inflation, income and interest'!$A$38=2,"",('delay in perception'!E14-'delay in perception'!C14)/'delay in perception'!C14)</f>
        <v/>
      </c>
      <c r="T14" s="20" t="str">
        <f>IF('inflation, income and interest'!$A$38=2,"",('delay in perception'!E14-'delay in perception'!B14)/'delay in perception'!B14)</f>
        <v/>
      </c>
      <c r="U14" s="21" t="str">
        <f>IF('inflation, income and interest'!$A$38=2,"",'delay in perception'!E14)</f>
        <v/>
      </c>
      <c r="V14" s="27" t="str">
        <f>IF('inflation, income and interest'!$A$38=2,"",'delay in perception'!D14)</f>
        <v/>
      </c>
      <c r="W14" s="28" t="str">
        <f>IF('inflation, income and interest'!$A$38=2,"",'delay in perception'!M14/100)</f>
        <v/>
      </c>
      <c r="X14" s="24" t="str">
        <f>IF('inflation, income and interest'!$A$38=2,"",'delay in perception'!L14/100)</f>
        <v/>
      </c>
      <c r="Y14" s="201" t="str">
        <f>IF('inflation, income and interest'!$B$38=2,"",(hystere!E14-hystere!B14)/hystere!B14)</f>
        <v/>
      </c>
      <c r="Z14" s="476" t="str">
        <f>IF('inflation, income and interest'!$B$38=2,"",hystere!M14/100)</f>
        <v/>
      </c>
      <c r="AA14" s="21" t="str">
        <f>IF('inflation, income and interest'!$B$38=2,"",hystere!E14)</f>
        <v/>
      </c>
      <c r="AB14" s="27" t="str">
        <f>IF('inflation, income and interest'!$B$38=2,"",hystere!C14)</f>
        <v/>
      </c>
      <c r="AC14" s="20" t="str">
        <f>IF('inflation, income and interest'!$B$38=2,"",hystere!O14/100)</f>
        <v/>
      </c>
      <c r="AD14" s="20" t="str">
        <f>IF('inflation, income and interest'!$B$38=2,"",hystere!N14/100)</f>
        <v/>
      </c>
    </row>
    <row r="15" spans="1:39" ht="14" thickTop="1" thickBot="1">
      <c r="A15" s="18">
        <v>12</v>
      </c>
      <c r="B15" s="20">
        <f ca="1">('normal case'!D14-'normal case'!B14)/'normal case'!B14</f>
        <v>0</v>
      </c>
      <c r="C15" s="26">
        <f ca="1">'normal case'!D14</f>
        <v>100</v>
      </c>
      <c r="D15" s="27">
        <f ca="1">'normal case'!C14</f>
        <v>0</v>
      </c>
      <c r="E15" s="25">
        <f ca="1">'normal case'!L14/100</f>
        <v>0.02</v>
      </c>
      <c r="F15" s="28">
        <f ca="1">'normal case'!N14/100</f>
        <v>0.06</v>
      </c>
      <c r="G15" s="28">
        <f ca="1">'normal case'!M14/100</f>
        <v>0.04</v>
      </c>
      <c r="H15" s="28">
        <f ca="1">'public finance'!D13</f>
        <v>0</v>
      </c>
      <c r="I15" s="23">
        <f ca="1">'public finance'!E13</f>
        <v>0</v>
      </c>
      <c r="J15" s="153">
        <f ca="1">'public finance'!H13</f>
        <v>0</v>
      </c>
      <c r="K15" s="20">
        <f ca="1">'public finance'!C13/'normal case'!D14</f>
        <v>0.2</v>
      </c>
      <c r="L15" s="23">
        <f ca="1">'public finance'!A13/'normal case'!D14</f>
        <v>0.2</v>
      </c>
      <c r="M15" s="21" t="str">
        <f>IF(controls!$B$44=0,"",'normal case'!AC14)</f>
        <v/>
      </c>
      <c r="N15" s="21" t="str">
        <f>IF(controls!$B$44=0,"",'normal case'!AF14)</f>
        <v/>
      </c>
      <c r="O15" s="203" t="str">
        <f>IF(controls!$B$44=0,"",'external balance'!D14)</f>
        <v/>
      </c>
      <c r="P15" s="203" t="str">
        <f>IF(controls!$B$44=0,"",'external balance'!F14)</f>
        <v/>
      </c>
      <c r="Q15" s="202" t="str">
        <f>IF(controls!$B$44=0,"",'external balance'!H14)</f>
        <v/>
      </c>
      <c r="R15" s="201" t="str">
        <f>IF('inflation, income and interest'!$A$38=2,"",'delay in perception'!K15/100)</f>
        <v/>
      </c>
      <c r="S15" s="20" t="str">
        <f>IF('inflation, income and interest'!$A$38=2,"",('delay in perception'!E15-'delay in perception'!C15)/'delay in perception'!C15)</f>
        <v/>
      </c>
      <c r="T15" s="20" t="str">
        <f>IF('inflation, income and interest'!$A$38=2,"",('delay in perception'!E15-'delay in perception'!B15)/'delay in perception'!B15)</f>
        <v/>
      </c>
      <c r="U15" s="21" t="str">
        <f>IF('inflation, income and interest'!$A$38=2,"",'delay in perception'!E15)</f>
        <v/>
      </c>
      <c r="V15" s="27" t="str">
        <f>IF('inflation, income and interest'!$A$38=2,"",'delay in perception'!D15)</f>
        <v/>
      </c>
      <c r="W15" s="28" t="str">
        <f>IF('inflation, income and interest'!$A$38=2,"",'delay in perception'!M15/100)</f>
        <v/>
      </c>
      <c r="X15" s="24" t="str">
        <f>IF('inflation, income and interest'!$A$38=2,"",'delay in perception'!L15/100)</f>
        <v/>
      </c>
      <c r="Y15" s="201" t="str">
        <f>IF('inflation, income and interest'!$B$38=2,"",(hystere!E15-hystere!B15)/hystere!B15)</f>
        <v/>
      </c>
      <c r="Z15" s="476" t="str">
        <f>IF('inflation, income and interest'!$B$38=2,"",hystere!M15/100)</f>
        <v/>
      </c>
      <c r="AA15" s="21" t="str">
        <f>IF('inflation, income and interest'!$B$38=2,"",hystere!E15)</f>
        <v/>
      </c>
      <c r="AB15" s="27" t="str">
        <f>IF('inflation, income and interest'!$B$38=2,"",hystere!C15)</f>
        <v/>
      </c>
      <c r="AC15" s="20" t="str">
        <f>IF('inflation, income and interest'!$B$38=2,"",hystere!O15/100)</f>
        <v/>
      </c>
      <c r="AD15" s="20" t="str">
        <f>IF('inflation, income and interest'!$B$38=2,"",hystere!N15/100)</f>
        <v/>
      </c>
    </row>
    <row r="16" spans="1:39" ht="14" thickTop="1" thickBot="1">
      <c r="A16" s="18">
        <v>13</v>
      </c>
      <c r="B16" s="20">
        <f ca="1">('normal case'!D15-'normal case'!B15)/'normal case'!B15</f>
        <v>0</v>
      </c>
      <c r="C16" s="26">
        <f ca="1">'normal case'!D15</f>
        <v>100</v>
      </c>
      <c r="D16" s="27">
        <f ca="1">'normal case'!C15</f>
        <v>0</v>
      </c>
      <c r="E16" s="25">
        <f ca="1">'normal case'!L15/100</f>
        <v>0.02</v>
      </c>
      <c r="F16" s="28">
        <f ca="1">'normal case'!N15/100</f>
        <v>0.06</v>
      </c>
      <c r="G16" s="28">
        <f ca="1">'normal case'!M15/100</f>
        <v>0.04</v>
      </c>
      <c r="H16" s="28">
        <f ca="1">'public finance'!D14</f>
        <v>0</v>
      </c>
      <c r="I16" s="23">
        <f ca="1">'public finance'!E14</f>
        <v>0</v>
      </c>
      <c r="J16" s="153">
        <f ca="1">'public finance'!H14</f>
        <v>0</v>
      </c>
      <c r="K16" s="20">
        <f ca="1">'public finance'!C14/'normal case'!D15</f>
        <v>0.2</v>
      </c>
      <c r="L16" s="23">
        <f ca="1">'public finance'!A14/'normal case'!D15</f>
        <v>0.2</v>
      </c>
      <c r="M16" s="21" t="str">
        <f>IF(controls!$B$44=0,"",'normal case'!AC15)</f>
        <v/>
      </c>
      <c r="N16" s="21" t="str">
        <f>IF(controls!$B$44=0,"",'normal case'!AF15)</f>
        <v/>
      </c>
      <c r="O16" s="203" t="str">
        <f>IF(controls!$B$44=0,"",'external balance'!D15)</f>
        <v/>
      </c>
      <c r="P16" s="203" t="str">
        <f>IF(controls!$B$44=0,"",'external balance'!F15)</f>
        <v/>
      </c>
      <c r="Q16" s="202" t="str">
        <f>IF(controls!$B$44=0,"",'external balance'!H15)</f>
        <v/>
      </c>
      <c r="R16" s="201" t="str">
        <f>IF('inflation, income and interest'!$A$38=2,"",'delay in perception'!K16/100)</f>
        <v/>
      </c>
      <c r="S16" s="20" t="str">
        <f>IF('inflation, income and interest'!$A$38=2,"",('delay in perception'!E16-'delay in perception'!C16)/'delay in perception'!C16)</f>
        <v/>
      </c>
      <c r="T16" s="20" t="str">
        <f>IF('inflation, income and interest'!$A$38=2,"",('delay in perception'!E16-'delay in perception'!B16)/'delay in perception'!B16)</f>
        <v/>
      </c>
      <c r="U16" s="21" t="str">
        <f>IF('inflation, income and interest'!$A$38=2,"",'delay in perception'!E16)</f>
        <v/>
      </c>
      <c r="V16" s="27" t="str">
        <f>IF('inflation, income and interest'!$A$38=2,"",'delay in perception'!D16)</f>
        <v/>
      </c>
      <c r="W16" s="28" t="str">
        <f>IF('inflation, income and interest'!$A$38=2,"",'delay in perception'!M16/100)</f>
        <v/>
      </c>
      <c r="X16" s="24" t="str">
        <f>IF('inflation, income and interest'!$A$38=2,"",'delay in perception'!L16/100)</f>
        <v/>
      </c>
      <c r="Y16" s="201" t="str">
        <f>IF('inflation, income and interest'!$B$38=2,"",(hystere!E16-hystere!B16)/hystere!B16)</f>
        <v/>
      </c>
      <c r="Z16" s="476" t="str">
        <f>IF('inflation, income and interest'!$B$38=2,"",hystere!M16/100)</f>
        <v/>
      </c>
      <c r="AA16" s="21" t="str">
        <f>IF('inflation, income and interest'!$B$38=2,"",hystere!E16)</f>
        <v/>
      </c>
      <c r="AB16" s="27" t="str">
        <f>IF('inflation, income and interest'!$B$38=2,"",hystere!C16)</f>
        <v/>
      </c>
      <c r="AC16" s="20" t="str">
        <f>IF('inflation, income and interest'!$B$38=2,"",hystere!O16/100)</f>
        <v/>
      </c>
      <c r="AD16" s="20" t="str">
        <f>IF('inflation, income and interest'!$B$38=2,"",hystere!N16/100)</f>
        <v/>
      </c>
    </row>
    <row r="17" spans="1:30" ht="14" thickTop="1" thickBot="1">
      <c r="A17" s="18">
        <v>14</v>
      </c>
      <c r="B17" s="20">
        <f ca="1">('normal case'!D16-'normal case'!B16)/'normal case'!B16</f>
        <v>0</v>
      </c>
      <c r="C17" s="26">
        <f ca="1">'normal case'!D16</f>
        <v>100</v>
      </c>
      <c r="D17" s="27">
        <f ca="1">'normal case'!C16</f>
        <v>0</v>
      </c>
      <c r="E17" s="25">
        <f ca="1">'normal case'!L16/100</f>
        <v>0.02</v>
      </c>
      <c r="F17" s="28">
        <f ca="1">'normal case'!N16/100</f>
        <v>0.06</v>
      </c>
      <c r="G17" s="28">
        <f ca="1">'normal case'!M16/100</f>
        <v>0.04</v>
      </c>
      <c r="H17" s="28">
        <f ca="1">'public finance'!D15</f>
        <v>0</v>
      </c>
      <c r="I17" s="23">
        <f ca="1">'public finance'!E15</f>
        <v>0</v>
      </c>
      <c r="J17" s="153">
        <f ca="1">'public finance'!H15</f>
        <v>0</v>
      </c>
      <c r="K17" s="20">
        <f ca="1">'public finance'!C15/'normal case'!D16</f>
        <v>0.2</v>
      </c>
      <c r="L17" s="23">
        <f ca="1">'public finance'!A15/'normal case'!D16</f>
        <v>0.2</v>
      </c>
      <c r="M17" s="21" t="str">
        <f>IF(controls!$B$44=0,"",'normal case'!AC16)</f>
        <v/>
      </c>
      <c r="N17" s="21" t="str">
        <f>IF(controls!$B$44=0,"",'normal case'!AF16)</f>
        <v/>
      </c>
      <c r="O17" s="203" t="str">
        <f>IF(controls!$B$44=0,"",'external balance'!D16)</f>
        <v/>
      </c>
      <c r="P17" s="203" t="str">
        <f>IF(controls!$B$44=0,"",'external balance'!F16)</f>
        <v/>
      </c>
      <c r="Q17" s="202" t="str">
        <f>IF(controls!$B$44=0,"",'external balance'!H16)</f>
        <v/>
      </c>
      <c r="R17" s="201" t="str">
        <f>IF('inflation, income and interest'!$A$38=2,"",'delay in perception'!K17/100)</f>
        <v/>
      </c>
      <c r="S17" s="20" t="str">
        <f>IF('inflation, income and interest'!$A$38=2,"",('delay in perception'!E17-'delay in perception'!C17)/'delay in perception'!C17)</f>
        <v/>
      </c>
      <c r="T17" s="20" t="str">
        <f>IF('inflation, income and interest'!$A$38=2,"",('delay in perception'!E17-'delay in perception'!B17)/'delay in perception'!B17)</f>
        <v/>
      </c>
      <c r="U17" s="21" t="str">
        <f>IF('inflation, income and interest'!$A$38=2,"",'delay in perception'!E17)</f>
        <v/>
      </c>
      <c r="V17" s="27" t="str">
        <f>IF('inflation, income and interest'!$A$38=2,"",'delay in perception'!D17)</f>
        <v/>
      </c>
      <c r="W17" s="28" t="str">
        <f>IF('inflation, income and interest'!$A$38=2,"",'delay in perception'!M17/100)</f>
        <v/>
      </c>
      <c r="X17" s="24" t="str">
        <f>IF('inflation, income and interest'!$A$38=2,"",'delay in perception'!L17/100)</f>
        <v/>
      </c>
      <c r="Y17" s="201" t="str">
        <f>IF('inflation, income and interest'!$B$38=2,"",(hystere!E17-hystere!B17)/hystere!B17)</f>
        <v/>
      </c>
      <c r="Z17" s="476" t="str">
        <f>IF('inflation, income and interest'!$B$38=2,"",hystere!M17/100)</f>
        <v/>
      </c>
      <c r="AA17" s="21" t="str">
        <f>IF('inflation, income and interest'!$B$38=2,"",hystere!E17)</f>
        <v/>
      </c>
      <c r="AB17" s="27" t="str">
        <f>IF('inflation, income and interest'!$B$38=2,"",hystere!C17)</f>
        <v/>
      </c>
      <c r="AC17" s="20" t="str">
        <f>IF('inflation, income and interest'!$B$38=2,"",hystere!O17/100)</f>
        <v/>
      </c>
      <c r="AD17" s="20" t="str">
        <f>IF('inflation, income and interest'!$B$38=2,"",hystere!N17/100)</f>
        <v/>
      </c>
    </row>
    <row r="18" spans="1:30" ht="14" thickTop="1" thickBot="1">
      <c r="A18" s="18">
        <v>15</v>
      </c>
      <c r="B18" s="20">
        <f ca="1">('normal case'!D17-'normal case'!B17)/'normal case'!B17</f>
        <v>0</v>
      </c>
      <c r="C18" s="26">
        <f ca="1">'normal case'!D17</f>
        <v>100</v>
      </c>
      <c r="D18" s="27">
        <f ca="1">'normal case'!C17</f>
        <v>0</v>
      </c>
      <c r="E18" s="25">
        <f ca="1">'normal case'!L17/100</f>
        <v>0.02</v>
      </c>
      <c r="F18" s="28">
        <f ca="1">'normal case'!N17/100</f>
        <v>0.06</v>
      </c>
      <c r="G18" s="28">
        <f ca="1">'normal case'!M17/100</f>
        <v>0.04</v>
      </c>
      <c r="H18" s="28">
        <f ca="1">'public finance'!D16</f>
        <v>0</v>
      </c>
      <c r="I18" s="23">
        <f ca="1">'public finance'!E16</f>
        <v>0</v>
      </c>
      <c r="J18" s="153">
        <f ca="1">'public finance'!H16</f>
        <v>0</v>
      </c>
      <c r="K18" s="20">
        <f ca="1">'public finance'!C16/'normal case'!D17</f>
        <v>0.2</v>
      </c>
      <c r="L18" s="23">
        <f ca="1">'public finance'!A16/'normal case'!D17</f>
        <v>0.2</v>
      </c>
      <c r="M18" s="21" t="str">
        <f>IF(controls!$B$44=0,"",'normal case'!AC17)</f>
        <v/>
      </c>
      <c r="N18" s="21" t="str">
        <f>IF(controls!$B$44=0,"",'normal case'!AF17)</f>
        <v/>
      </c>
      <c r="O18" s="203" t="str">
        <f>IF(controls!$B$44=0,"",'external balance'!D17)</f>
        <v/>
      </c>
      <c r="P18" s="203" t="str">
        <f>IF(controls!$B$44=0,"",'external balance'!F17)</f>
        <v/>
      </c>
      <c r="Q18" s="202" t="str">
        <f>IF(controls!$B$44=0,"",'external balance'!H17)</f>
        <v/>
      </c>
      <c r="R18" s="201" t="str">
        <f>IF('inflation, income and interest'!$A$38=2,"",'delay in perception'!K18/100)</f>
        <v/>
      </c>
      <c r="S18" s="20" t="str">
        <f>IF('inflation, income and interest'!$A$38=2,"",('delay in perception'!E18-'delay in perception'!C18)/'delay in perception'!C18)</f>
        <v/>
      </c>
      <c r="T18" s="20" t="str">
        <f>IF('inflation, income and interest'!$A$38=2,"",('delay in perception'!E18-'delay in perception'!B18)/'delay in perception'!B18)</f>
        <v/>
      </c>
      <c r="U18" s="21" t="str">
        <f>IF('inflation, income and interest'!$A$38=2,"",'delay in perception'!E18)</f>
        <v/>
      </c>
      <c r="V18" s="27" t="str">
        <f>IF('inflation, income and interest'!$A$38=2,"",'delay in perception'!D18)</f>
        <v/>
      </c>
      <c r="W18" s="28" t="str">
        <f>IF('inflation, income and interest'!$A$38=2,"",'delay in perception'!M18/100)</f>
        <v/>
      </c>
      <c r="X18" s="24" t="str">
        <f>IF('inflation, income and interest'!$A$38=2,"",'delay in perception'!L18/100)</f>
        <v/>
      </c>
      <c r="Y18" s="201" t="str">
        <f>IF('inflation, income and interest'!$B$38=2,"",(hystere!E18-hystere!B18)/hystere!B18)</f>
        <v/>
      </c>
      <c r="Z18" s="476" t="str">
        <f>IF('inflation, income and interest'!$B$38=2,"",hystere!M18/100)</f>
        <v/>
      </c>
      <c r="AA18" s="21" t="str">
        <f>IF('inflation, income and interest'!$B$38=2,"",hystere!E18)</f>
        <v/>
      </c>
      <c r="AB18" s="27" t="str">
        <f>IF('inflation, income and interest'!$B$38=2,"",hystere!C18)</f>
        <v/>
      </c>
      <c r="AC18" s="20" t="str">
        <f>IF('inflation, income and interest'!$B$38=2,"",hystere!O18/100)</f>
        <v/>
      </c>
      <c r="AD18" s="20" t="str">
        <f>IF('inflation, income and interest'!$B$38=2,"",hystere!N18/100)</f>
        <v/>
      </c>
    </row>
    <row r="19" spans="1:30" ht="14" thickTop="1" thickBot="1">
      <c r="A19" s="18">
        <v>16</v>
      </c>
      <c r="B19" s="20">
        <f ca="1">('normal case'!D18-'normal case'!B18)/'normal case'!B18</f>
        <v>0</v>
      </c>
      <c r="C19" s="26">
        <f ca="1">'normal case'!D18</f>
        <v>100</v>
      </c>
      <c r="D19" s="27">
        <f ca="1">'normal case'!C18</f>
        <v>0</v>
      </c>
      <c r="E19" s="25">
        <f ca="1">'normal case'!L18/100</f>
        <v>0.02</v>
      </c>
      <c r="F19" s="28">
        <f ca="1">'normal case'!N18/100</f>
        <v>0.06</v>
      </c>
      <c r="G19" s="28">
        <f ca="1">'normal case'!M18/100</f>
        <v>0.04</v>
      </c>
      <c r="H19" s="28">
        <f ca="1">'public finance'!D17</f>
        <v>0</v>
      </c>
      <c r="I19" s="23">
        <f ca="1">'public finance'!E17</f>
        <v>0</v>
      </c>
      <c r="J19" s="153">
        <f ca="1">'public finance'!H17</f>
        <v>0</v>
      </c>
      <c r="K19" s="20">
        <f ca="1">'public finance'!C17/'normal case'!D18</f>
        <v>0.2</v>
      </c>
      <c r="L19" s="23">
        <f ca="1">'public finance'!A17/'normal case'!D18</f>
        <v>0.2</v>
      </c>
      <c r="M19" s="21" t="str">
        <f>IF(controls!$B$44=0,"",'normal case'!AC18)</f>
        <v/>
      </c>
      <c r="N19" s="21" t="str">
        <f>IF(controls!$B$44=0,"",'normal case'!AF18)</f>
        <v/>
      </c>
      <c r="O19" s="203" t="str">
        <f>IF(controls!$B$44=0,"",'external balance'!D18)</f>
        <v/>
      </c>
      <c r="P19" s="203" t="str">
        <f>IF(controls!$B$44=0,"",'external balance'!F18)</f>
        <v/>
      </c>
      <c r="Q19" s="202" t="str">
        <f>IF(controls!$B$44=0,"",'external balance'!H18)</f>
        <v/>
      </c>
      <c r="R19" s="201" t="str">
        <f>IF('inflation, income and interest'!$A$38=2,"",'delay in perception'!K19/100)</f>
        <v/>
      </c>
      <c r="S19" s="20" t="str">
        <f>IF('inflation, income and interest'!$A$38=2,"",('delay in perception'!E19-'delay in perception'!C19)/'delay in perception'!C19)</f>
        <v/>
      </c>
      <c r="T19" s="20" t="str">
        <f>IF('inflation, income and interest'!$A$38=2,"",('delay in perception'!E19-'delay in perception'!B19)/'delay in perception'!B19)</f>
        <v/>
      </c>
      <c r="U19" s="21" t="str">
        <f>IF('inflation, income and interest'!$A$38=2,"",'delay in perception'!E19)</f>
        <v/>
      </c>
      <c r="V19" s="27" t="str">
        <f>IF('inflation, income and interest'!$A$38=2,"",'delay in perception'!D19)</f>
        <v/>
      </c>
      <c r="W19" s="28" t="str">
        <f>IF('inflation, income and interest'!$A$38=2,"",'delay in perception'!M19/100)</f>
        <v/>
      </c>
      <c r="X19" s="24" t="str">
        <f>IF('inflation, income and interest'!$A$38=2,"",'delay in perception'!L19/100)</f>
        <v/>
      </c>
      <c r="Y19" s="201" t="str">
        <f>IF('inflation, income and interest'!$B$38=2,"",(hystere!E19-hystere!B19)/hystere!B19)</f>
        <v/>
      </c>
      <c r="Z19" s="476" t="str">
        <f>IF('inflation, income and interest'!$B$38=2,"",hystere!M19/100)</f>
        <v/>
      </c>
      <c r="AA19" s="21" t="str">
        <f>IF('inflation, income and interest'!$B$38=2,"",hystere!E19)</f>
        <v/>
      </c>
      <c r="AB19" s="27" t="str">
        <f>IF('inflation, income and interest'!$B$38=2,"",hystere!C19)</f>
        <v/>
      </c>
      <c r="AC19" s="20" t="str">
        <f>IF('inflation, income and interest'!$B$38=2,"",hystere!O19/100)</f>
        <v/>
      </c>
      <c r="AD19" s="20" t="str">
        <f>IF('inflation, income and interest'!$B$38=2,"",hystere!N19/100)</f>
        <v/>
      </c>
    </row>
    <row r="20" spans="1:30" ht="14" thickTop="1" thickBot="1">
      <c r="A20" s="18">
        <v>17</v>
      </c>
      <c r="B20" s="20">
        <f ca="1">('normal case'!D19-'normal case'!B19)/'normal case'!B19</f>
        <v>0</v>
      </c>
      <c r="C20" s="26">
        <f ca="1">'normal case'!D19</f>
        <v>100</v>
      </c>
      <c r="D20" s="27">
        <f ca="1">'normal case'!C19</f>
        <v>0</v>
      </c>
      <c r="E20" s="25">
        <f ca="1">'normal case'!L19/100</f>
        <v>0.02</v>
      </c>
      <c r="F20" s="28">
        <f ca="1">'normal case'!N19/100</f>
        <v>0.06</v>
      </c>
      <c r="G20" s="28">
        <f ca="1">'normal case'!M19/100</f>
        <v>0.04</v>
      </c>
      <c r="H20" s="28">
        <f ca="1">'public finance'!D18</f>
        <v>0</v>
      </c>
      <c r="I20" s="23">
        <f ca="1">'public finance'!E18</f>
        <v>0</v>
      </c>
      <c r="J20" s="153">
        <f ca="1">'public finance'!H18</f>
        <v>0</v>
      </c>
      <c r="K20" s="20">
        <f ca="1">'public finance'!C18/'normal case'!D19</f>
        <v>0.2</v>
      </c>
      <c r="L20" s="23">
        <f ca="1">'public finance'!A18/'normal case'!D19</f>
        <v>0.2</v>
      </c>
      <c r="M20" s="21" t="str">
        <f>IF(controls!$B$44=0,"",'normal case'!AC19)</f>
        <v/>
      </c>
      <c r="N20" s="21" t="str">
        <f>IF(controls!$B$44=0,"",'normal case'!AF19)</f>
        <v/>
      </c>
      <c r="O20" s="203" t="str">
        <f>IF(controls!$B$44=0,"",'external balance'!D19)</f>
        <v/>
      </c>
      <c r="P20" s="203" t="str">
        <f>IF(controls!$B$44=0,"",'external balance'!F19)</f>
        <v/>
      </c>
      <c r="Q20" s="202" t="str">
        <f>IF(controls!$B$44=0,"",'external balance'!H19)</f>
        <v/>
      </c>
      <c r="R20" s="201" t="str">
        <f>IF('inflation, income and interest'!$A$38=2,"",'delay in perception'!K20/100)</f>
        <v/>
      </c>
      <c r="S20" s="20" t="str">
        <f>IF('inflation, income and interest'!$A$38=2,"",('delay in perception'!E20-'delay in perception'!C20)/'delay in perception'!C20)</f>
        <v/>
      </c>
      <c r="T20" s="20" t="str">
        <f>IF('inflation, income and interest'!$A$38=2,"",('delay in perception'!E20-'delay in perception'!B20)/'delay in perception'!B20)</f>
        <v/>
      </c>
      <c r="U20" s="21" t="str">
        <f>IF('inflation, income and interest'!$A$38=2,"",'delay in perception'!E20)</f>
        <v/>
      </c>
      <c r="V20" s="27" t="str">
        <f>IF('inflation, income and interest'!$A$38=2,"",'delay in perception'!D20)</f>
        <v/>
      </c>
      <c r="W20" s="28" t="str">
        <f>IF('inflation, income and interest'!$A$38=2,"",'delay in perception'!M20/100)</f>
        <v/>
      </c>
      <c r="X20" s="24" t="str">
        <f>IF('inflation, income and interest'!$A$38=2,"",'delay in perception'!L20/100)</f>
        <v/>
      </c>
      <c r="Y20" s="201" t="str">
        <f>IF('inflation, income and interest'!$B$38=2,"",(hystere!E20-hystere!B20)/hystere!B20)</f>
        <v/>
      </c>
      <c r="Z20" s="476" t="str">
        <f>IF('inflation, income and interest'!$B$38=2,"",hystere!M20/100)</f>
        <v/>
      </c>
      <c r="AA20" s="21" t="str">
        <f>IF('inflation, income and interest'!$B$38=2,"",hystere!E20)</f>
        <v/>
      </c>
      <c r="AB20" s="27" t="str">
        <f>IF('inflation, income and interest'!$B$38=2,"",hystere!C20)</f>
        <v/>
      </c>
      <c r="AC20" s="20" t="str">
        <f>IF('inflation, income and interest'!$B$38=2,"",hystere!O20/100)</f>
        <v/>
      </c>
      <c r="AD20" s="20" t="str">
        <f>IF('inflation, income and interest'!$B$38=2,"",hystere!N20/100)</f>
        <v/>
      </c>
    </row>
    <row r="21" spans="1:30" ht="14" thickTop="1" thickBot="1">
      <c r="A21" s="18">
        <v>18</v>
      </c>
      <c r="B21" s="20">
        <f ca="1">('normal case'!D20-'normal case'!B20)/'normal case'!B20</f>
        <v>0</v>
      </c>
      <c r="C21" s="26">
        <f ca="1">'normal case'!D20</f>
        <v>100</v>
      </c>
      <c r="D21" s="27">
        <f ca="1">'normal case'!C20</f>
        <v>0</v>
      </c>
      <c r="E21" s="25">
        <f ca="1">'normal case'!L20/100</f>
        <v>0.02</v>
      </c>
      <c r="F21" s="28">
        <f ca="1">'normal case'!N20/100</f>
        <v>0.06</v>
      </c>
      <c r="G21" s="28">
        <f ca="1">'normal case'!M20/100</f>
        <v>0.04</v>
      </c>
      <c r="H21" s="28">
        <f ca="1">'public finance'!D19</f>
        <v>0</v>
      </c>
      <c r="I21" s="23">
        <f ca="1">'public finance'!E19</f>
        <v>0</v>
      </c>
      <c r="J21" s="153">
        <f ca="1">'public finance'!H19</f>
        <v>0</v>
      </c>
      <c r="K21" s="20">
        <f ca="1">'public finance'!C19/'normal case'!D20</f>
        <v>0.2</v>
      </c>
      <c r="L21" s="23">
        <f ca="1">'public finance'!A19/'normal case'!D20</f>
        <v>0.2</v>
      </c>
      <c r="M21" s="21" t="str">
        <f>IF(controls!$B$44=0,"",'normal case'!AC20)</f>
        <v/>
      </c>
      <c r="N21" s="21" t="str">
        <f>IF(controls!$B$44=0,"",'normal case'!AF20)</f>
        <v/>
      </c>
      <c r="O21" s="203" t="str">
        <f>IF(controls!$B$44=0,"",'external balance'!D20)</f>
        <v/>
      </c>
      <c r="P21" s="203" t="str">
        <f>IF(controls!$B$44=0,"",'external balance'!F20)</f>
        <v/>
      </c>
      <c r="Q21" s="202" t="str">
        <f>IF(controls!$B$44=0,"",'external balance'!H20)</f>
        <v/>
      </c>
      <c r="R21" s="201" t="str">
        <f>IF('inflation, income and interest'!$A$38=2,"",'delay in perception'!K21/100)</f>
        <v/>
      </c>
      <c r="S21" s="20" t="str">
        <f>IF('inflation, income and interest'!$A$38=2,"",('delay in perception'!E21-'delay in perception'!C21)/'delay in perception'!C21)</f>
        <v/>
      </c>
      <c r="T21" s="20" t="str">
        <f>IF('inflation, income and interest'!$A$38=2,"",('delay in perception'!E21-'delay in perception'!B21)/'delay in perception'!B21)</f>
        <v/>
      </c>
      <c r="U21" s="21" t="str">
        <f>IF('inflation, income and interest'!$A$38=2,"",'delay in perception'!E21)</f>
        <v/>
      </c>
      <c r="V21" s="27" t="str">
        <f>IF('inflation, income and interest'!$A$38=2,"",'delay in perception'!D21)</f>
        <v/>
      </c>
      <c r="W21" s="28" t="str">
        <f>IF('inflation, income and interest'!$A$38=2,"",'delay in perception'!M21/100)</f>
        <v/>
      </c>
      <c r="X21" s="24" t="str">
        <f>IF('inflation, income and interest'!$A$38=2,"",'delay in perception'!L21/100)</f>
        <v/>
      </c>
      <c r="Y21" s="201" t="str">
        <f>IF('inflation, income and interest'!$B$38=2,"",(hystere!E21-hystere!B21)/hystere!B21)</f>
        <v/>
      </c>
      <c r="Z21" s="476" t="str">
        <f>IF('inflation, income and interest'!$B$38=2,"",hystere!M21/100)</f>
        <v/>
      </c>
      <c r="AA21" s="21" t="str">
        <f>IF('inflation, income and interest'!$B$38=2,"",hystere!E21)</f>
        <v/>
      </c>
      <c r="AB21" s="27" t="str">
        <f>IF('inflation, income and interest'!$B$38=2,"",hystere!C21)</f>
        <v/>
      </c>
      <c r="AC21" s="20" t="str">
        <f>IF('inflation, income and interest'!$B$38=2,"",hystere!O21/100)</f>
        <v/>
      </c>
      <c r="AD21" s="20" t="str">
        <f>IF('inflation, income and interest'!$B$38=2,"",hystere!N21/100)</f>
        <v/>
      </c>
    </row>
    <row r="22" spans="1:30" ht="14" thickTop="1" thickBot="1">
      <c r="A22" s="18">
        <v>19</v>
      </c>
      <c r="B22" s="20">
        <f ca="1">('normal case'!D21-'normal case'!B21)/'normal case'!B21</f>
        <v>0</v>
      </c>
      <c r="C22" s="26">
        <f ca="1">'normal case'!D21</f>
        <v>100</v>
      </c>
      <c r="D22" s="27">
        <f ca="1">'normal case'!C21</f>
        <v>0</v>
      </c>
      <c r="E22" s="25">
        <f ca="1">'normal case'!L21/100</f>
        <v>0.02</v>
      </c>
      <c r="F22" s="28">
        <f ca="1">'normal case'!N21/100</f>
        <v>0.06</v>
      </c>
      <c r="G22" s="28">
        <f ca="1">'normal case'!M21/100</f>
        <v>0.04</v>
      </c>
      <c r="H22" s="28">
        <f ca="1">'public finance'!D20</f>
        <v>0</v>
      </c>
      <c r="I22" s="23">
        <f ca="1">'public finance'!E20</f>
        <v>0</v>
      </c>
      <c r="J22" s="153">
        <f ca="1">'public finance'!H20</f>
        <v>0</v>
      </c>
      <c r="K22" s="20">
        <f ca="1">'public finance'!C20/'normal case'!D21</f>
        <v>0.2</v>
      </c>
      <c r="L22" s="23">
        <f ca="1">'public finance'!A20/'normal case'!D21</f>
        <v>0.2</v>
      </c>
      <c r="M22" s="21" t="str">
        <f>IF(controls!$B$44=0,"",'normal case'!AC21)</f>
        <v/>
      </c>
      <c r="N22" s="21" t="str">
        <f>IF(controls!$B$44=0,"",'normal case'!AF21)</f>
        <v/>
      </c>
      <c r="O22" s="203" t="str">
        <f>IF(controls!$B$44=0,"",'external balance'!D21)</f>
        <v/>
      </c>
      <c r="P22" s="203" t="str">
        <f>IF(controls!$B$44=0,"",'external balance'!F21)</f>
        <v/>
      </c>
      <c r="Q22" s="202" t="str">
        <f>IF(controls!$B$44=0,"",'external balance'!H21)</f>
        <v/>
      </c>
      <c r="R22" s="201" t="str">
        <f>IF('inflation, income and interest'!$A$38=2,"",'delay in perception'!K22/100)</f>
        <v/>
      </c>
      <c r="S22" s="20" t="str">
        <f>IF('inflation, income and interest'!$A$38=2,"",('delay in perception'!E22-'delay in perception'!C22)/'delay in perception'!C22)</f>
        <v/>
      </c>
      <c r="T22" s="20" t="str">
        <f>IF('inflation, income and interest'!$A$38=2,"",('delay in perception'!E22-'delay in perception'!B22)/'delay in perception'!B22)</f>
        <v/>
      </c>
      <c r="U22" s="21" t="str">
        <f>IF('inflation, income and interest'!$A$38=2,"",'delay in perception'!E22)</f>
        <v/>
      </c>
      <c r="V22" s="27" t="str">
        <f>IF('inflation, income and interest'!$A$38=2,"",'delay in perception'!D22)</f>
        <v/>
      </c>
      <c r="W22" s="28" t="str">
        <f>IF('inflation, income and interest'!$A$38=2,"",'delay in perception'!M22/100)</f>
        <v/>
      </c>
      <c r="X22" s="24" t="str">
        <f>IF('inflation, income and interest'!$A$38=2,"",'delay in perception'!L22/100)</f>
        <v/>
      </c>
      <c r="Y22" s="201" t="str">
        <f>IF('inflation, income and interest'!$B$38=2,"",(hystere!E22-hystere!B22)/hystere!B22)</f>
        <v/>
      </c>
      <c r="Z22" s="476" t="str">
        <f>IF('inflation, income and interest'!$B$38=2,"",hystere!M22/100)</f>
        <v/>
      </c>
      <c r="AA22" s="21" t="str">
        <f>IF('inflation, income and interest'!$B$38=2,"",hystere!E22)</f>
        <v/>
      </c>
      <c r="AB22" s="27" t="str">
        <f>IF('inflation, income and interest'!$B$38=2,"",hystere!C22)</f>
        <v/>
      </c>
      <c r="AC22" s="20" t="str">
        <f>IF('inflation, income and interest'!$B$38=2,"",hystere!O22/100)</f>
        <v/>
      </c>
      <c r="AD22" s="20" t="str">
        <f>IF('inflation, income and interest'!$B$38=2,"",hystere!N22/100)</f>
        <v/>
      </c>
    </row>
    <row r="23" spans="1:30" ht="14" thickTop="1" thickBot="1">
      <c r="A23" s="18">
        <v>20</v>
      </c>
      <c r="B23" s="20">
        <f ca="1">('normal case'!D22-'normal case'!B22)/'normal case'!B22</f>
        <v>0</v>
      </c>
      <c r="C23" s="26">
        <f ca="1">'normal case'!D22</f>
        <v>100</v>
      </c>
      <c r="D23" s="27">
        <f ca="1">'normal case'!C22</f>
        <v>0</v>
      </c>
      <c r="E23" s="25">
        <f ca="1">'normal case'!L22/100</f>
        <v>0.02</v>
      </c>
      <c r="F23" s="28">
        <f ca="1">'normal case'!N22/100</f>
        <v>0.06</v>
      </c>
      <c r="G23" s="28">
        <f ca="1">'normal case'!M22/100</f>
        <v>0.04</v>
      </c>
      <c r="H23" s="28">
        <f ca="1">'public finance'!D21</f>
        <v>0</v>
      </c>
      <c r="I23" s="23">
        <f ca="1">'public finance'!E21</f>
        <v>0</v>
      </c>
      <c r="J23" s="153">
        <f ca="1">'public finance'!H21</f>
        <v>0</v>
      </c>
      <c r="K23" s="20">
        <f ca="1">'public finance'!C21/'normal case'!D22</f>
        <v>0.2</v>
      </c>
      <c r="L23" s="23">
        <f ca="1">'public finance'!A21/'normal case'!D22</f>
        <v>0.2</v>
      </c>
      <c r="M23" s="21" t="str">
        <f>IF(controls!$B$44=0,"",'normal case'!AC22)</f>
        <v/>
      </c>
      <c r="N23" s="21" t="str">
        <f>IF(controls!$B$44=0,"",'normal case'!AF22)</f>
        <v/>
      </c>
      <c r="O23" s="203" t="str">
        <f>IF(controls!$B$44=0,"",'external balance'!D22)</f>
        <v/>
      </c>
      <c r="P23" s="203" t="str">
        <f>IF(controls!$B$44=0,"",'external balance'!F22)</f>
        <v/>
      </c>
      <c r="Q23" s="202" t="str">
        <f>IF(controls!$B$44=0,"",'external balance'!H22)</f>
        <v/>
      </c>
      <c r="R23" s="201" t="str">
        <f>IF('inflation, income and interest'!$A$38=2,"",'delay in perception'!K23/100)</f>
        <v/>
      </c>
      <c r="S23" s="20" t="str">
        <f>IF('inflation, income and interest'!$A$38=2,"",('delay in perception'!E23-'delay in perception'!C23)/'delay in perception'!C23)</f>
        <v/>
      </c>
      <c r="T23" s="20" t="str">
        <f>IF('inflation, income and interest'!$A$38=2,"",('delay in perception'!E23-'delay in perception'!B23)/'delay in perception'!B23)</f>
        <v/>
      </c>
      <c r="U23" s="21" t="str">
        <f>IF('inflation, income and interest'!$A$38=2,"",'delay in perception'!E23)</f>
        <v/>
      </c>
      <c r="V23" s="27" t="str">
        <f>IF('inflation, income and interest'!$A$38=2,"",'delay in perception'!D23)</f>
        <v/>
      </c>
      <c r="W23" s="28" t="str">
        <f>IF('inflation, income and interest'!$A$38=2,"",'delay in perception'!M23/100)</f>
        <v/>
      </c>
      <c r="X23" s="24" t="str">
        <f>IF('inflation, income and interest'!$A$38=2,"",'delay in perception'!L23/100)</f>
        <v/>
      </c>
      <c r="Y23" s="201" t="str">
        <f>IF('inflation, income and interest'!$B$38=2,"",(hystere!E23-hystere!B23)/hystere!B23)</f>
        <v/>
      </c>
      <c r="Z23" s="476" t="str">
        <f>IF('inflation, income and interest'!$B$38=2,"",hystere!M23/100)</f>
        <v/>
      </c>
      <c r="AA23" s="21" t="str">
        <f>IF('inflation, income and interest'!$B$38=2,"",hystere!E23)</f>
        <v/>
      </c>
      <c r="AB23" s="27" t="str">
        <f>IF('inflation, income and interest'!$B$38=2,"",hystere!C23)</f>
        <v/>
      </c>
      <c r="AC23" s="20" t="str">
        <f>IF('inflation, income and interest'!$B$38=2,"",hystere!O23/100)</f>
        <v/>
      </c>
      <c r="AD23" s="20" t="str">
        <f>IF('inflation, income and interest'!$B$38=2,"",hystere!N23/100)</f>
        <v/>
      </c>
    </row>
    <row r="24" spans="1:30" ht="14" thickTop="1" thickBot="1">
      <c r="A24" s="18">
        <v>21</v>
      </c>
      <c r="B24" s="20">
        <f ca="1">('normal case'!D23-'normal case'!B23)/'normal case'!B23</f>
        <v>0</v>
      </c>
      <c r="C24" s="26">
        <f ca="1">'normal case'!D23</f>
        <v>100</v>
      </c>
      <c r="D24" s="27">
        <f ca="1">'normal case'!C23</f>
        <v>0</v>
      </c>
      <c r="E24" s="25">
        <f ca="1">'normal case'!L23/100</f>
        <v>0.02</v>
      </c>
      <c r="F24" s="28">
        <f ca="1">'normal case'!N23/100</f>
        <v>0.06</v>
      </c>
      <c r="G24" s="28">
        <f ca="1">'normal case'!M23/100</f>
        <v>0.04</v>
      </c>
      <c r="H24" s="28">
        <f ca="1">'public finance'!D22</f>
        <v>0</v>
      </c>
      <c r="I24" s="23">
        <f ca="1">'public finance'!E22</f>
        <v>0</v>
      </c>
      <c r="J24" s="153">
        <f ca="1">'public finance'!H22</f>
        <v>0</v>
      </c>
      <c r="K24" s="20">
        <f ca="1">'public finance'!C22/'normal case'!D23</f>
        <v>0.2</v>
      </c>
      <c r="L24" s="23">
        <f ca="1">'public finance'!A22/'normal case'!D23</f>
        <v>0.2</v>
      </c>
      <c r="M24" s="21" t="str">
        <f>IF(controls!$B$44=0,"",'normal case'!AC23)</f>
        <v/>
      </c>
      <c r="N24" s="21" t="str">
        <f>IF(controls!$B$44=0,"",'normal case'!AF23)</f>
        <v/>
      </c>
      <c r="O24" s="203" t="str">
        <f>IF(controls!$B$44=0,"",'external balance'!D23)</f>
        <v/>
      </c>
      <c r="P24" s="203" t="str">
        <f>IF(controls!$B$44=0,"",'external balance'!F23)</f>
        <v/>
      </c>
      <c r="Q24" s="202" t="str">
        <f>IF(controls!$B$44=0,"",'external balance'!H23)</f>
        <v/>
      </c>
      <c r="R24" s="201" t="str">
        <f>IF('inflation, income and interest'!$A$38=2,"",'delay in perception'!K24/100)</f>
        <v/>
      </c>
      <c r="S24" s="20" t="str">
        <f>IF('inflation, income and interest'!$A$38=2,"",('delay in perception'!E24-'delay in perception'!C24)/'delay in perception'!C24)</f>
        <v/>
      </c>
      <c r="T24" s="20" t="str">
        <f>IF('inflation, income and interest'!$A$38=2,"",('delay in perception'!E24-'delay in perception'!B24)/'delay in perception'!B24)</f>
        <v/>
      </c>
      <c r="U24" s="21" t="str">
        <f>IF('inflation, income and interest'!$A$38=2,"",'delay in perception'!E24)</f>
        <v/>
      </c>
      <c r="V24" s="27" t="str">
        <f>IF('inflation, income and interest'!$A$38=2,"",'delay in perception'!D24)</f>
        <v/>
      </c>
      <c r="W24" s="28" t="str">
        <f>IF('inflation, income and interest'!$A$38=2,"",'delay in perception'!M24/100)</f>
        <v/>
      </c>
      <c r="X24" s="24" t="str">
        <f>IF('inflation, income and interest'!$A$38=2,"",'delay in perception'!L24/100)</f>
        <v/>
      </c>
      <c r="Y24" s="201" t="str">
        <f>IF('inflation, income and interest'!$B$38=2,"",(hystere!E24-hystere!B24)/hystere!B24)</f>
        <v/>
      </c>
      <c r="Z24" s="476" t="str">
        <f>IF('inflation, income and interest'!$B$38=2,"",hystere!M24/100)</f>
        <v/>
      </c>
      <c r="AA24" s="21" t="str">
        <f>IF('inflation, income and interest'!$B$38=2,"",hystere!E24)</f>
        <v/>
      </c>
      <c r="AB24" s="27" t="str">
        <f>IF('inflation, income and interest'!$B$38=2,"",hystere!C24)</f>
        <v/>
      </c>
      <c r="AC24" s="20" t="str">
        <f>IF('inflation, income and interest'!$B$38=2,"",hystere!O24/100)</f>
        <v/>
      </c>
      <c r="AD24" s="20" t="str">
        <f>IF('inflation, income and interest'!$B$38=2,"",hystere!N24/100)</f>
        <v/>
      </c>
    </row>
    <row r="25" spans="1:30" ht="14" thickTop="1" thickBot="1">
      <c r="A25" s="18">
        <v>22</v>
      </c>
      <c r="B25" s="20">
        <f ca="1">('normal case'!D24-'normal case'!B24)/'normal case'!B24</f>
        <v>0</v>
      </c>
      <c r="C25" s="26">
        <f ca="1">'normal case'!D24</f>
        <v>100</v>
      </c>
      <c r="D25" s="27">
        <f ca="1">'normal case'!C24</f>
        <v>0</v>
      </c>
      <c r="E25" s="25">
        <f ca="1">'normal case'!L24/100</f>
        <v>0.02</v>
      </c>
      <c r="F25" s="28">
        <f ca="1">'normal case'!N24/100</f>
        <v>0.06</v>
      </c>
      <c r="G25" s="28">
        <f ca="1">'normal case'!M24/100</f>
        <v>0.04</v>
      </c>
      <c r="H25" s="28">
        <f ca="1">'public finance'!D23</f>
        <v>0</v>
      </c>
      <c r="I25" s="23">
        <f ca="1">'public finance'!E23</f>
        <v>0</v>
      </c>
      <c r="J25" s="153">
        <f ca="1">'public finance'!H23</f>
        <v>0</v>
      </c>
      <c r="K25" s="20">
        <f ca="1">'public finance'!C23/'normal case'!D24</f>
        <v>0.2</v>
      </c>
      <c r="L25" s="23">
        <f ca="1">'public finance'!A23/'normal case'!D24</f>
        <v>0.2</v>
      </c>
      <c r="M25" s="21" t="str">
        <f>IF(controls!$B$44=0,"",'normal case'!AC24)</f>
        <v/>
      </c>
      <c r="N25" s="21" t="str">
        <f>IF(controls!$B$44=0,"",'normal case'!AF24)</f>
        <v/>
      </c>
      <c r="O25" s="203" t="str">
        <f>IF(controls!$B$44=0,"",'external balance'!D24)</f>
        <v/>
      </c>
      <c r="P25" s="203" t="str">
        <f>IF(controls!$B$44=0,"",'external balance'!F24)</f>
        <v/>
      </c>
      <c r="Q25" s="202" t="str">
        <f>IF(controls!$B$44=0,"",'external balance'!H24)</f>
        <v/>
      </c>
      <c r="R25" s="201" t="str">
        <f>IF('inflation, income and interest'!$A$38=2,"",'delay in perception'!K25/100)</f>
        <v/>
      </c>
      <c r="S25" s="20" t="str">
        <f>IF('inflation, income and interest'!$A$38=2,"",('delay in perception'!E25-'delay in perception'!C25)/'delay in perception'!C25)</f>
        <v/>
      </c>
      <c r="T25" s="20" t="str">
        <f>IF('inflation, income and interest'!$A$38=2,"",('delay in perception'!E25-'delay in perception'!B25)/'delay in perception'!B25)</f>
        <v/>
      </c>
      <c r="U25" s="21" t="str">
        <f>IF('inflation, income and interest'!$A$38=2,"",'delay in perception'!E25)</f>
        <v/>
      </c>
      <c r="V25" s="27" t="str">
        <f>IF('inflation, income and interest'!$A$38=2,"",'delay in perception'!D25)</f>
        <v/>
      </c>
      <c r="W25" s="28" t="str">
        <f>IF('inflation, income and interest'!$A$38=2,"",'delay in perception'!M25/100)</f>
        <v/>
      </c>
      <c r="X25" s="24" t="str">
        <f>IF('inflation, income and interest'!$A$38=2,"",'delay in perception'!L25/100)</f>
        <v/>
      </c>
      <c r="Y25" s="201" t="str">
        <f>IF('inflation, income and interest'!$B$38=2,"",(hystere!E25-hystere!B25)/hystere!B25)</f>
        <v/>
      </c>
      <c r="Z25" s="476" t="str">
        <f>IF('inflation, income and interest'!$B$38=2,"",hystere!M25/100)</f>
        <v/>
      </c>
      <c r="AA25" s="21" t="str">
        <f>IF('inflation, income and interest'!$B$38=2,"",hystere!E25)</f>
        <v/>
      </c>
      <c r="AB25" s="27" t="str">
        <f>IF('inflation, income and interest'!$B$38=2,"",hystere!C25)</f>
        <v/>
      </c>
      <c r="AC25" s="20" t="str">
        <f>IF('inflation, income and interest'!$B$38=2,"",hystere!O25/100)</f>
        <v/>
      </c>
      <c r="AD25" s="20" t="str">
        <f>IF('inflation, income and interest'!$B$38=2,"",hystere!N25/100)</f>
        <v/>
      </c>
    </row>
    <row r="26" spans="1:30" ht="14" thickTop="1" thickBot="1">
      <c r="A26" s="18">
        <v>23</v>
      </c>
      <c r="B26" s="20">
        <f ca="1">('normal case'!D25-'normal case'!B25)/'normal case'!B25</f>
        <v>0</v>
      </c>
      <c r="C26" s="26">
        <f ca="1">'normal case'!D25</f>
        <v>100</v>
      </c>
      <c r="D26" s="27">
        <f ca="1">'normal case'!C25</f>
        <v>0</v>
      </c>
      <c r="E26" s="25">
        <f ca="1">'normal case'!L25/100</f>
        <v>0.02</v>
      </c>
      <c r="F26" s="28">
        <f ca="1">'normal case'!N25/100</f>
        <v>0.06</v>
      </c>
      <c r="G26" s="28">
        <f ca="1">'normal case'!M25/100</f>
        <v>0.04</v>
      </c>
      <c r="H26" s="28">
        <f ca="1">'public finance'!D24</f>
        <v>0</v>
      </c>
      <c r="I26" s="23">
        <f ca="1">'public finance'!E24</f>
        <v>0</v>
      </c>
      <c r="J26" s="153">
        <f ca="1">'public finance'!H24</f>
        <v>0</v>
      </c>
      <c r="K26" s="20">
        <f ca="1">'public finance'!C24/'normal case'!D25</f>
        <v>0.2</v>
      </c>
      <c r="L26" s="23">
        <f ca="1">'public finance'!A24/'normal case'!D25</f>
        <v>0.2</v>
      </c>
      <c r="M26" s="21" t="str">
        <f>IF(controls!$B$44=0,"",'normal case'!AC25)</f>
        <v/>
      </c>
      <c r="N26" s="21" t="str">
        <f>IF(controls!$B$44=0,"",'normal case'!AF25)</f>
        <v/>
      </c>
      <c r="O26" s="203" t="str">
        <f>IF(controls!$B$44=0,"",'external balance'!D25)</f>
        <v/>
      </c>
      <c r="P26" s="203" t="str">
        <f>IF(controls!$B$44=0,"",'external balance'!F25)</f>
        <v/>
      </c>
      <c r="Q26" s="202" t="str">
        <f>IF(controls!$B$44=0,"",'external balance'!H25)</f>
        <v/>
      </c>
      <c r="R26" s="201" t="str">
        <f>IF('inflation, income and interest'!$A$38=2,"",'delay in perception'!K26/100)</f>
        <v/>
      </c>
      <c r="S26" s="20" t="str">
        <f>IF('inflation, income and interest'!$A$38=2,"",('delay in perception'!E26-'delay in perception'!C26)/'delay in perception'!C26)</f>
        <v/>
      </c>
      <c r="T26" s="20" t="str">
        <f>IF('inflation, income and interest'!$A$38=2,"",('delay in perception'!E26-'delay in perception'!B26)/'delay in perception'!B26)</f>
        <v/>
      </c>
      <c r="U26" s="21" t="str">
        <f>IF('inflation, income and interest'!$A$38=2,"",'delay in perception'!E26)</f>
        <v/>
      </c>
      <c r="V26" s="27" t="str">
        <f>IF('inflation, income and interest'!$A$38=2,"",'delay in perception'!D26)</f>
        <v/>
      </c>
      <c r="W26" s="28" t="str">
        <f>IF('inflation, income and interest'!$A$38=2,"",'delay in perception'!M26/100)</f>
        <v/>
      </c>
      <c r="X26" s="24" t="str">
        <f>IF('inflation, income and interest'!$A$38=2,"",'delay in perception'!L26/100)</f>
        <v/>
      </c>
      <c r="Y26" s="201" t="str">
        <f>IF('inflation, income and interest'!$B$38=2,"",(hystere!E26-hystere!B26)/hystere!B26)</f>
        <v/>
      </c>
      <c r="Z26" s="476" t="str">
        <f>IF('inflation, income and interest'!$B$38=2,"",hystere!M26/100)</f>
        <v/>
      </c>
      <c r="AA26" s="21" t="str">
        <f>IF('inflation, income and interest'!$B$38=2,"",hystere!E26)</f>
        <v/>
      </c>
      <c r="AB26" s="27" t="str">
        <f>IF('inflation, income and interest'!$B$38=2,"",hystere!C26)</f>
        <v/>
      </c>
      <c r="AC26" s="20" t="str">
        <f>IF('inflation, income and interest'!$B$38=2,"",hystere!O26/100)</f>
        <v/>
      </c>
      <c r="AD26" s="20" t="str">
        <f>IF('inflation, income and interest'!$B$38=2,"",hystere!N26/100)</f>
        <v/>
      </c>
    </row>
    <row r="27" spans="1:30" ht="14" thickTop="1" thickBot="1">
      <c r="A27" s="18">
        <v>24</v>
      </c>
      <c r="B27" s="20">
        <f ca="1">('normal case'!D26-'normal case'!B26)/'normal case'!B26</f>
        <v>0</v>
      </c>
      <c r="C27" s="26">
        <f ca="1">'normal case'!D26</f>
        <v>100</v>
      </c>
      <c r="D27" s="27">
        <f ca="1">'normal case'!C26</f>
        <v>0</v>
      </c>
      <c r="E27" s="25">
        <f ca="1">'normal case'!L26/100</f>
        <v>0.02</v>
      </c>
      <c r="F27" s="28">
        <f ca="1">'normal case'!N26/100</f>
        <v>0.06</v>
      </c>
      <c r="G27" s="28">
        <f ca="1">'normal case'!M26/100</f>
        <v>0.04</v>
      </c>
      <c r="H27" s="28">
        <f ca="1">'public finance'!D25</f>
        <v>0</v>
      </c>
      <c r="I27" s="23">
        <f ca="1">'public finance'!E25</f>
        <v>0</v>
      </c>
      <c r="J27" s="153">
        <f ca="1">'public finance'!H25</f>
        <v>0</v>
      </c>
      <c r="K27" s="20">
        <f ca="1">'public finance'!C25/'normal case'!D26</f>
        <v>0.2</v>
      </c>
      <c r="L27" s="23">
        <f ca="1">'public finance'!A25/'normal case'!D26</f>
        <v>0.2</v>
      </c>
      <c r="M27" s="21" t="str">
        <f>IF(controls!$B$44=0,"",'normal case'!AC26)</f>
        <v/>
      </c>
      <c r="N27" s="21" t="str">
        <f>IF(controls!$B$44=0,"",'normal case'!AF26)</f>
        <v/>
      </c>
      <c r="O27" s="203" t="str">
        <f>IF(controls!$B$44=0,"",'external balance'!D26)</f>
        <v/>
      </c>
      <c r="P27" s="203" t="str">
        <f>IF(controls!$B$44=0,"",'external balance'!F26)</f>
        <v/>
      </c>
      <c r="Q27" s="202" t="str">
        <f>IF(controls!$B$44=0,"",'external balance'!H26)</f>
        <v/>
      </c>
      <c r="R27" s="201" t="str">
        <f>IF('inflation, income and interest'!$A$38=2,"",'delay in perception'!K27/100)</f>
        <v/>
      </c>
      <c r="S27" s="20" t="str">
        <f>IF('inflation, income and interest'!$A$38=2,"",('delay in perception'!E27-'delay in perception'!C27)/'delay in perception'!C27)</f>
        <v/>
      </c>
      <c r="T27" s="20" t="str">
        <f>IF('inflation, income and interest'!$A$38=2,"",('delay in perception'!E27-'delay in perception'!B27)/'delay in perception'!B27)</f>
        <v/>
      </c>
      <c r="U27" s="21" t="str">
        <f>IF('inflation, income and interest'!$A$38=2,"",'delay in perception'!E27)</f>
        <v/>
      </c>
      <c r="V27" s="27" t="str">
        <f>IF('inflation, income and interest'!$A$38=2,"",'delay in perception'!D27)</f>
        <v/>
      </c>
      <c r="W27" s="28" t="str">
        <f>IF('inflation, income and interest'!$A$38=2,"",'delay in perception'!M27/100)</f>
        <v/>
      </c>
      <c r="X27" s="24" t="str">
        <f>IF('inflation, income and interest'!$A$38=2,"",'delay in perception'!L27/100)</f>
        <v/>
      </c>
      <c r="Y27" s="201" t="str">
        <f>IF('inflation, income and interest'!$B$38=2,"",(hystere!E27-hystere!B27)/hystere!B27)</f>
        <v/>
      </c>
      <c r="Z27" s="476" t="str">
        <f>IF('inflation, income and interest'!$B$38=2,"",hystere!M27/100)</f>
        <v/>
      </c>
      <c r="AA27" s="21" t="str">
        <f>IF('inflation, income and interest'!$B$38=2,"",hystere!E27)</f>
        <v/>
      </c>
      <c r="AB27" s="27" t="str">
        <f>IF('inflation, income and interest'!$B$38=2,"",hystere!C27)</f>
        <v/>
      </c>
      <c r="AC27" s="20" t="str">
        <f>IF('inflation, income and interest'!$B$38=2,"",hystere!O27/100)</f>
        <v/>
      </c>
      <c r="AD27" s="20" t="str">
        <f>IF('inflation, income and interest'!$B$38=2,"",hystere!N27/100)</f>
        <v/>
      </c>
    </row>
    <row r="28" spans="1:30" ht="14" thickTop="1" thickBot="1">
      <c r="A28" s="18">
        <v>25</v>
      </c>
      <c r="B28" s="20">
        <f ca="1">('normal case'!D27-'normal case'!B27)/'normal case'!B27</f>
        <v>0</v>
      </c>
      <c r="C28" s="26">
        <f ca="1">'normal case'!D27</f>
        <v>100</v>
      </c>
      <c r="D28" s="27">
        <f ca="1">'normal case'!C27</f>
        <v>0</v>
      </c>
      <c r="E28" s="25">
        <f ca="1">'normal case'!L27/100</f>
        <v>0.02</v>
      </c>
      <c r="F28" s="28">
        <f ca="1">'normal case'!N27/100</f>
        <v>0.06</v>
      </c>
      <c r="G28" s="28">
        <f ca="1">'normal case'!M27/100</f>
        <v>0.04</v>
      </c>
      <c r="H28" s="28">
        <f ca="1">'public finance'!D26</f>
        <v>0</v>
      </c>
      <c r="I28" s="23">
        <f ca="1">'public finance'!E26</f>
        <v>0</v>
      </c>
      <c r="J28" s="153">
        <f ca="1">'public finance'!H26</f>
        <v>0</v>
      </c>
      <c r="K28" s="20">
        <f ca="1">'public finance'!C26/'normal case'!D27</f>
        <v>0.2</v>
      </c>
      <c r="L28" s="23">
        <f ca="1">'public finance'!A26/'normal case'!D27</f>
        <v>0.2</v>
      </c>
      <c r="M28" s="21" t="str">
        <f>IF(controls!$B$44=0,"",'normal case'!AC27)</f>
        <v/>
      </c>
      <c r="N28" s="21" t="str">
        <f>IF(controls!$B$44=0,"",'normal case'!AF27)</f>
        <v/>
      </c>
      <c r="O28" s="203" t="str">
        <f>IF(controls!$B$44=0,"",'external balance'!D27)</f>
        <v/>
      </c>
      <c r="P28" s="203" t="str">
        <f>IF(controls!$B$44=0,"",'external balance'!F27)</f>
        <v/>
      </c>
      <c r="Q28" s="202" t="str">
        <f>IF(controls!$B$44=0,"",'external balance'!H27)</f>
        <v/>
      </c>
      <c r="R28" s="201" t="str">
        <f>IF('inflation, income and interest'!$A$38=2,"",'delay in perception'!K28/100)</f>
        <v/>
      </c>
      <c r="S28" s="20" t="str">
        <f>IF('inflation, income and interest'!$A$38=2,"",('delay in perception'!E28-'delay in perception'!C28)/'delay in perception'!C28)</f>
        <v/>
      </c>
      <c r="T28" s="20" t="str">
        <f>IF('inflation, income and interest'!$A$38=2,"",('delay in perception'!E28-'delay in perception'!B28)/'delay in perception'!B28)</f>
        <v/>
      </c>
      <c r="U28" s="21" t="str">
        <f>IF('inflation, income and interest'!$A$38=2,"",'delay in perception'!E28)</f>
        <v/>
      </c>
      <c r="V28" s="27" t="str">
        <f>IF('inflation, income and interest'!$A$38=2,"",'delay in perception'!D28)</f>
        <v/>
      </c>
      <c r="W28" s="28" t="str">
        <f>IF('inflation, income and interest'!$A$38=2,"",'delay in perception'!M28/100)</f>
        <v/>
      </c>
      <c r="X28" s="24" t="str">
        <f>IF('inflation, income and interest'!$A$38=2,"",'delay in perception'!L28/100)</f>
        <v/>
      </c>
      <c r="Y28" s="201" t="str">
        <f>IF('inflation, income and interest'!$B$38=2,"",(hystere!E28-hystere!B28)/hystere!B28)</f>
        <v/>
      </c>
      <c r="Z28" s="476" t="str">
        <f>IF('inflation, income and interest'!$B$38=2,"",hystere!M28/100)</f>
        <v/>
      </c>
      <c r="AA28" s="21" t="str">
        <f>IF('inflation, income and interest'!$B$38=2,"",hystere!E28)</f>
        <v/>
      </c>
      <c r="AB28" s="27" t="str">
        <f>IF('inflation, income and interest'!$B$38=2,"",hystere!C28)</f>
        <v/>
      </c>
      <c r="AC28" s="20" t="str">
        <f>IF('inflation, income and interest'!$B$38=2,"",hystere!O28/100)</f>
        <v/>
      </c>
      <c r="AD28" s="20" t="str">
        <f>IF('inflation, income and interest'!$B$38=2,"",hystere!N28/100)</f>
        <v/>
      </c>
    </row>
    <row r="29" spans="1:30" ht="14" thickTop="1" thickBot="1">
      <c r="A29" s="18">
        <v>26</v>
      </c>
      <c r="B29" s="20">
        <f ca="1">('normal case'!D28-'normal case'!B28)/'normal case'!B28</f>
        <v>0</v>
      </c>
      <c r="C29" s="26">
        <f ca="1">'normal case'!D28</f>
        <v>100</v>
      </c>
      <c r="D29" s="27">
        <f ca="1">'normal case'!C28</f>
        <v>0</v>
      </c>
      <c r="E29" s="25">
        <f ca="1">'normal case'!L28/100</f>
        <v>0.02</v>
      </c>
      <c r="F29" s="28">
        <f ca="1">'normal case'!N28/100</f>
        <v>0.06</v>
      </c>
      <c r="G29" s="28">
        <f ca="1">'normal case'!M28/100</f>
        <v>0.04</v>
      </c>
      <c r="H29" s="28">
        <f ca="1">'public finance'!D27</f>
        <v>0</v>
      </c>
      <c r="I29" s="23">
        <f ca="1">'public finance'!E27</f>
        <v>0</v>
      </c>
      <c r="J29" s="153">
        <f ca="1">'public finance'!H27</f>
        <v>0</v>
      </c>
      <c r="K29" s="20">
        <f ca="1">'public finance'!C27/'normal case'!D28</f>
        <v>0.2</v>
      </c>
      <c r="L29" s="23">
        <f ca="1">'public finance'!A27/'normal case'!D28</f>
        <v>0.2</v>
      </c>
      <c r="M29" s="21" t="str">
        <f>IF(controls!$B$44=0,"",'normal case'!AC28)</f>
        <v/>
      </c>
      <c r="N29" s="21" t="str">
        <f>IF(controls!$B$44=0,"",'normal case'!AF28)</f>
        <v/>
      </c>
      <c r="O29" s="203" t="str">
        <f>IF(controls!$B$44=0,"",'external balance'!D28)</f>
        <v/>
      </c>
      <c r="P29" s="203" t="str">
        <f>IF(controls!$B$44=0,"",'external balance'!F28)</f>
        <v/>
      </c>
      <c r="Q29" s="202" t="str">
        <f>IF(controls!$B$44=0,"",'external balance'!H28)</f>
        <v/>
      </c>
      <c r="R29" s="201" t="str">
        <f>IF('inflation, income and interest'!$A$38=2,"",'delay in perception'!K29/100)</f>
        <v/>
      </c>
      <c r="S29" s="20" t="str">
        <f>IF('inflation, income and interest'!$A$38=2,"",('delay in perception'!E29-'delay in perception'!C29)/'delay in perception'!C29)</f>
        <v/>
      </c>
      <c r="T29" s="20" t="str">
        <f>IF('inflation, income and interest'!$A$38=2,"",('delay in perception'!E29-'delay in perception'!B29)/'delay in perception'!B29)</f>
        <v/>
      </c>
      <c r="U29" s="21" t="str">
        <f>IF('inflation, income and interest'!$A$38=2,"",'delay in perception'!E29)</f>
        <v/>
      </c>
      <c r="V29" s="27" t="str">
        <f>IF('inflation, income and interest'!$A$38=2,"",'delay in perception'!D29)</f>
        <v/>
      </c>
      <c r="W29" s="28" t="str">
        <f>IF('inflation, income and interest'!$A$38=2,"",'delay in perception'!M29/100)</f>
        <v/>
      </c>
      <c r="X29" s="24" t="str">
        <f>IF('inflation, income and interest'!$A$38=2,"",'delay in perception'!L29/100)</f>
        <v/>
      </c>
      <c r="Y29" s="201" t="str">
        <f>IF('inflation, income and interest'!$B$38=2,"",(hystere!E29-hystere!B29)/hystere!B29)</f>
        <v/>
      </c>
      <c r="Z29" s="476" t="str">
        <f>IF('inflation, income and interest'!$B$38=2,"",hystere!M29/100)</f>
        <v/>
      </c>
      <c r="AA29" s="21" t="str">
        <f>IF('inflation, income and interest'!$B$38=2,"",hystere!E29)</f>
        <v/>
      </c>
      <c r="AB29" s="27" t="str">
        <f>IF('inflation, income and interest'!$B$38=2,"",hystere!C29)</f>
        <v/>
      </c>
      <c r="AC29" s="20" t="str">
        <f>IF('inflation, income and interest'!$B$38=2,"",hystere!O29/100)</f>
        <v/>
      </c>
      <c r="AD29" s="20" t="str">
        <f>IF('inflation, income and interest'!$B$38=2,"",hystere!N29/100)</f>
        <v/>
      </c>
    </row>
    <row r="30" spans="1:30" ht="14" thickTop="1" thickBot="1">
      <c r="A30" s="18">
        <v>27</v>
      </c>
      <c r="B30" s="20">
        <f ca="1">('normal case'!D29-'normal case'!B29)/'normal case'!B29</f>
        <v>0</v>
      </c>
      <c r="C30" s="26">
        <f ca="1">'normal case'!D29</f>
        <v>100</v>
      </c>
      <c r="D30" s="27">
        <f ca="1">'normal case'!C29</f>
        <v>0</v>
      </c>
      <c r="E30" s="25">
        <f ca="1">'normal case'!L29/100</f>
        <v>0.02</v>
      </c>
      <c r="F30" s="28">
        <f ca="1">'normal case'!N29/100</f>
        <v>0.06</v>
      </c>
      <c r="G30" s="28">
        <f ca="1">'normal case'!M29/100</f>
        <v>0.04</v>
      </c>
      <c r="H30" s="28">
        <f ca="1">'public finance'!D28</f>
        <v>0</v>
      </c>
      <c r="I30" s="23">
        <f ca="1">'public finance'!E28</f>
        <v>0</v>
      </c>
      <c r="J30" s="153">
        <f ca="1">'public finance'!H28</f>
        <v>0</v>
      </c>
      <c r="K30" s="20">
        <f ca="1">'public finance'!C28/'normal case'!D29</f>
        <v>0.2</v>
      </c>
      <c r="L30" s="23">
        <f ca="1">'public finance'!A28/'normal case'!D29</f>
        <v>0.2</v>
      </c>
      <c r="M30" s="21" t="str">
        <f>IF(controls!$B$44=0,"",'normal case'!AC29)</f>
        <v/>
      </c>
      <c r="N30" s="21" t="str">
        <f>IF(controls!$B$44=0,"",'normal case'!AF29)</f>
        <v/>
      </c>
      <c r="O30" s="203" t="str">
        <f>IF(controls!$B$44=0,"",'external balance'!D29)</f>
        <v/>
      </c>
      <c r="P30" s="203" t="str">
        <f>IF(controls!$B$44=0,"",'external balance'!F29)</f>
        <v/>
      </c>
      <c r="Q30" s="202" t="str">
        <f>IF(controls!$B$44=0,"",'external balance'!H29)</f>
        <v/>
      </c>
      <c r="R30" s="201" t="str">
        <f>IF('inflation, income and interest'!$A$38=2,"",'delay in perception'!K30/100)</f>
        <v/>
      </c>
      <c r="S30" s="20" t="str">
        <f>IF('inflation, income and interest'!$A$38=2,"",('delay in perception'!E30-'delay in perception'!C30)/'delay in perception'!C30)</f>
        <v/>
      </c>
      <c r="T30" s="20" t="str">
        <f>IF('inflation, income and interest'!$A$38=2,"",('delay in perception'!E30-'delay in perception'!B30)/'delay in perception'!B30)</f>
        <v/>
      </c>
      <c r="U30" s="21" t="str">
        <f>IF('inflation, income and interest'!$A$38=2,"",'delay in perception'!E30)</f>
        <v/>
      </c>
      <c r="V30" s="27" t="str">
        <f>IF('inflation, income and interest'!$A$38=2,"",'delay in perception'!D30)</f>
        <v/>
      </c>
      <c r="W30" s="28" t="str">
        <f>IF('inflation, income and interest'!$A$38=2,"",'delay in perception'!M30/100)</f>
        <v/>
      </c>
      <c r="X30" s="24" t="str">
        <f>IF('inflation, income and interest'!$A$38=2,"",'delay in perception'!L30/100)</f>
        <v/>
      </c>
      <c r="Y30" s="201" t="str">
        <f>IF('inflation, income and interest'!$B$38=2,"",(hystere!E30-hystere!B30)/hystere!B30)</f>
        <v/>
      </c>
      <c r="Z30" s="476" t="str">
        <f>IF('inflation, income and interest'!$B$38=2,"",hystere!M30/100)</f>
        <v/>
      </c>
      <c r="AA30" s="21" t="str">
        <f>IF('inflation, income and interest'!$B$38=2,"",hystere!E30)</f>
        <v/>
      </c>
      <c r="AB30" s="27" t="str">
        <f>IF('inflation, income and interest'!$B$38=2,"",hystere!C30)</f>
        <v/>
      </c>
      <c r="AC30" s="20" t="str">
        <f>IF('inflation, income and interest'!$B$38=2,"",hystere!O30/100)</f>
        <v/>
      </c>
      <c r="AD30" s="20" t="str">
        <f>IF('inflation, income and interest'!$B$38=2,"",hystere!N30/100)</f>
        <v/>
      </c>
    </row>
    <row r="31" spans="1:30" ht="14" thickTop="1" thickBot="1">
      <c r="A31" s="18">
        <v>28</v>
      </c>
      <c r="B31" s="20">
        <f ca="1">('normal case'!D30-'normal case'!B30)/'normal case'!B30</f>
        <v>0</v>
      </c>
      <c r="C31" s="26">
        <f ca="1">'normal case'!D30</f>
        <v>100</v>
      </c>
      <c r="D31" s="27">
        <f ca="1">'normal case'!C30</f>
        <v>0</v>
      </c>
      <c r="E31" s="25">
        <f ca="1">'normal case'!L30/100</f>
        <v>0.02</v>
      </c>
      <c r="F31" s="28">
        <f ca="1">'normal case'!N30/100</f>
        <v>0.06</v>
      </c>
      <c r="G31" s="28">
        <f ca="1">'normal case'!M30/100</f>
        <v>0.04</v>
      </c>
      <c r="H31" s="28">
        <f ca="1">'public finance'!D29</f>
        <v>0</v>
      </c>
      <c r="I31" s="23">
        <f ca="1">'public finance'!E29</f>
        <v>0</v>
      </c>
      <c r="J31" s="153">
        <f ca="1">'public finance'!H29</f>
        <v>0</v>
      </c>
      <c r="K31" s="20">
        <f ca="1">'public finance'!C29/'normal case'!D30</f>
        <v>0.2</v>
      </c>
      <c r="L31" s="23">
        <f ca="1">'public finance'!A29/'normal case'!D30</f>
        <v>0.2</v>
      </c>
      <c r="M31" s="21" t="str">
        <f>IF(controls!$B$44=0,"",'normal case'!AC30)</f>
        <v/>
      </c>
      <c r="N31" s="21" t="str">
        <f>IF(controls!$B$44=0,"",'normal case'!AF30)</f>
        <v/>
      </c>
      <c r="O31" s="203" t="str">
        <f>IF(controls!$B$44=0,"",'external balance'!D30)</f>
        <v/>
      </c>
      <c r="P31" s="203" t="str">
        <f>IF(controls!$B$44=0,"",'external balance'!F30)</f>
        <v/>
      </c>
      <c r="Q31" s="202" t="str">
        <f>IF(controls!$B$44=0,"",'external balance'!H30)</f>
        <v/>
      </c>
      <c r="R31" s="201" t="str">
        <f>IF('inflation, income and interest'!$A$38=2,"",'delay in perception'!K31/100)</f>
        <v/>
      </c>
      <c r="S31" s="20" t="str">
        <f>IF('inflation, income and interest'!$A$38=2,"",('delay in perception'!E31-'delay in perception'!C31)/'delay in perception'!C31)</f>
        <v/>
      </c>
      <c r="T31" s="20" t="str">
        <f>IF('inflation, income and interest'!$A$38=2,"",('delay in perception'!E31-'delay in perception'!B31)/'delay in perception'!B31)</f>
        <v/>
      </c>
      <c r="U31" s="21" t="str">
        <f>IF('inflation, income and interest'!$A$38=2,"",'delay in perception'!E31)</f>
        <v/>
      </c>
      <c r="V31" s="27" t="str">
        <f>IF('inflation, income and interest'!$A$38=2,"",'delay in perception'!D31)</f>
        <v/>
      </c>
      <c r="W31" s="28" t="str">
        <f>IF('inflation, income and interest'!$A$38=2,"",'delay in perception'!M31/100)</f>
        <v/>
      </c>
      <c r="X31" s="24" t="str">
        <f>IF('inflation, income and interest'!$A$38=2,"",'delay in perception'!L31/100)</f>
        <v/>
      </c>
      <c r="Y31" s="201" t="str">
        <f>IF('inflation, income and interest'!$B$38=2,"",(hystere!E31-hystere!B31)/hystere!B31)</f>
        <v/>
      </c>
      <c r="Z31" s="476" t="str">
        <f>IF('inflation, income and interest'!$B$38=2,"",hystere!M31/100)</f>
        <v/>
      </c>
      <c r="AA31" s="21" t="str">
        <f>IF('inflation, income and interest'!$B$38=2,"",hystere!E31)</f>
        <v/>
      </c>
      <c r="AB31" s="27" t="str">
        <f>IF('inflation, income and interest'!$B$38=2,"",hystere!C31)</f>
        <v/>
      </c>
      <c r="AC31" s="20" t="str">
        <f>IF('inflation, income and interest'!$B$38=2,"",hystere!O31/100)</f>
        <v/>
      </c>
      <c r="AD31" s="20" t="str">
        <f>IF('inflation, income and interest'!$B$38=2,"",hystere!N31/100)</f>
        <v/>
      </c>
    </row>
    <row r="32" spans="1:30" ht="14" thickTop="1" thickBot="1">
      <c r="A32" s="18">
        <v>29</v>
      </c>
      <c r="B32" s="20">
        <f ca="1">('normal case'!D31-'normal case'!B31)/'normal case'!B31</f>
        <v>0</v>
      </c>
      <c r="C32" s="26">
        <f ca="1">'normal case'!D31</f>
        <v>100</v>
      </c>
      <c r="D32" s="27">
        <f ca="1">'normal case'!C31</f>
        <v>0</v>
      </c>
      <c r="E32" s="25">
        <f ca="1">'normal case'!L31/100</f>
        <v>0.02</v>
      </c>
      <c r="F32" s="28">
        <f ca="1">'normal case'!N31/100</f>
        <v>0.06</v>
      </c>
      <c r="G32" s="28">
        <f ca="1">'normal case'!M31/100</f>
        <v>0.04</v>
      </c>
      <c r="H32" s="28">
        <f ca="1">'public finance'!D30</f>
        <v>0</v>
      </c>
      <c r="I32" s="23">
        <f ca="1">'public finance'!E30</f>
        <v>0</v>
      </c>
      <c r="J32" s="153">
        <f ca="1">'public finance'!H30</f>
        <v>0</v>
      </c>
      <c r="K32" s="20">
        <f ca="1">'public finance'!C30/'normal case'!D31</f>
        <v>0.2</v>
      </c>
      <c r="L32" s="23">
        <f ca="1">'public finance'!A30/'normal case'!D31</f>
        <v>0.2</v>
      </c>
      <c r="M32" s="21" t="str">
        <f>IF(controls!$B$44=0,"",'normal case'!AC31)</f>
        <v/>
      </c>
      <c r="N32" s="21" t="str">
        <f>IF(controls!$B$44=0,"",'normal case'!AF31)</f>
        <v/>
      </c>
      <c r="O32" s="203" t="str">
        <f>IF(controls!$B$44=0,"",'external balance'!D31)</f>
        <v/>
      </c>
      <c r="P32" s="203" t="str">
        <f>IF(controls!$B$44=0,"",'external balance'!F31)</f>
        <v/>
      </c>
      <c r="Q32" s="202" t="str">
        <f>IF(controls!$B$44=0,"",'external balance'!H31)</f>
        <v/>
      </c>
      <c r="R32" s="201" t="str">
        <f>IF('inflation, income and interest'!$A$38=2,"",'delay in perception'!K32/100)</f>
        <v/>
      </c>
      <c r="S32" s="20" t="str">
        <f>IF('inflation, income and interest'!$A$38=2,"",('delay in perception'!E32-'delay in perception'!C32)/'delay in perception'!C32)</f>
        <v/>
      </c>
      <c r="T32" s="20" t="str">
        <f>IF('inflation, income and interest'!$A$38=2,"",('delay in perception'!E32-'delay in perception'!B32)/'delay in perception'!B32)</f>
        <v/>
      </c>
      <c r="U32" s="21" t="str">
        <f>IF('inflation, income and interest'!$A$38=2,"",'delay in perception'!E32)</f>
        <v/>
      </c>
      <c r="V32" s="27" t="str">
        <f>IF('inflation, income and interest'!$A$38=2,"",'delay in perception'!D32)</f>
        <v/>
      </c>
      <c r="W32" s="28" t="str">
        <f>IF('inflation, income and interest'!$A$38=2,"",'delay in perception'!M32/100)</f>
        <v/>
      </c>
      <c r="X32" s="24" t="str">
        <f>IF('inflation, income and interest'!$A$38=2,"",'delay in perception'!L32/100)</f>
        <v/>
      </c>
      <c r="Y32" s="201" t="str">
        <f>IF('inflation, income and interest'!$B$38=2,"",(hystere!E32-hystere!B32)/hystere!B32)</f>
        <v/>
      </c>
      <c r="Z32" s="476" t="str">
        <f>IF('inflation, income and interest'!$B$38=2,"",hystere!M32/100)</f>
        <v/>
      </c>
      <c r="AA32" s="21" t="str">
        <f>IF('inflation, income and interest'!$B$38=2,"",hystere!E32)</f>
        <v/>
      </c>
      <c r="AB32" s="27" t="str">
        <f>IF('inflation, income and interest'!$B$38=2,"",hystere!C32)</f>
        <v/>
      </c>
      <c r="AC32" s="20" t="str">
        <f>IF('inflation, income and interest'!$B$38=2,"",hystere!O32/100)</f>
        <v/>
      </c>
      <c r="AD32" s="20" t="str">
        <f>IF('inflation, income and interest'!$B$38=2,"",hystere!N32/100)</f>
        <v/>
      </c>
    </row>
    <row r="33" spans="1:30" ht="14" thickTop="1" thickBot="1">
      <c r="A33" s="18">
        <v>30</v>
      </c>
      <c r="B33" s="20">
        <f ca="1">('normal case'!D32-'normal case'!B32)/'normal case'!B32</f>
        <v>0</v>
      </c>
      <c r="C33" s="26">
        <f ca="1">'normal case'!D32</f>
        <v>100</v>
      </c>
      <c r="D33" s="27">
        <f ca="1">'normal case'!C32</f>
        <v>0</v>
      </c>
      <c r="E33" s="25">
        <f ca="1">'normal case'!L32/100</f>
        <v>0.02</v>
      </c>
      <c r="F33" s="28">
        <f ca="1">'normal case'!N32/100</f>
        <v>0.06</v>
      </c>
      <c r="G33" s="28">
        <f ca="1">'normal case'!M32/100</f>
        <v>0.04</v>
      </c>
      <c r="H33" s="28">
        <f ca="1">'public finance'!D31</f>
        <v>0</v>
      </c>
      <c r="I33" s="23">
        <f ca="1">'public finance'!E31</f>
        <v>0</v>
      </c>
      <c r="J33" s="153">
        <f ca="1">'public finance'!H31</f>
        <v>0</v>
      </c>
      <c r="K33" s="20">
        <f ca="1">'public finance'!C31/'normal case'!D32</f>
        <v>0.2</v>
      </c>
      <c r="L33" s="23">
        <f ca="1">'public finance'!A31/'normal case'!D32</f>
        <v>0.2</v>
      </c>
      <c r="M33" s="21" t="str">
        <f>IF(controls!$B$44=0,"",'normal case'!AC32)</f>
        <v/>
      </c>
      <c r="N33" s="21" t="str">
        <f>IF(controls!$B$44=0,"",'normal case'!AF32)</f>
        <v/>
      </c>
      <c r="O33" s="203" t="str">
        <f>IF(controls!$B$44=0,"",'external balance'!D32)</f>
        <v/>
      </c>
      <c r="P33" s="203" t="str">
        <f>IF(controls!$B$44=0,"",'external balance'!F32)</f>
        <v/>
      </c>
      <c r="Q33" s="202" t="str">
        <f>IF(controls!$B$44=0,"",'external balance'!H32)</f>
        <v/>
      </c>
      <c r="R33" s="201" t="str">
        <f>IF('inflation, income and interest'!$A$38=2,"",'delay in perception'!K33/100)</f>
        <v/>
      </c>
      <c r="S33" s="20" t="str">
        <f>IF('inflation, income and interest'!$A$38=2,"",('delay in perception'!E33-'delay in perception'!C33)/'delay in perception'!C33)</f>
        <v/>
      </c>
      <c r="T33" s="20" t="str">
        <f>IF('inflation, income and interest'!$A$38=2,"",('delay in perception'!E33-'delay in perception'!B33)/'delay in perception'!B33)</f>
        <v/>
      </c>
      <c r="U33" s="21" t="str">
        <f>IF('inflation, income and interest'!$A$38=2,"",'delay in perception'!E33)</f>
        <v/>
      </c>
      <c r="V33" s="27" t="str">
        <f>IF('inflation, income and interest'!$A$38=2,"",'delay in perception'!D33)</f>
        <v/>
      </c>
      <c r="W33" s="28" t="str">
        <f>IF('inflation, income and interest'!$A$38=2,"",'delay in perception'!M33/100)</f>
        <v/>
      </c>
      <c r="X33" s="24" t="str">
        <f>IF('inflation, income and interest'!$A$38=2,"",'delay in perception'!L33/100)</f>
        <v/>
      </c>
      <c r="Y33" s="201" t="str">
        <f>IF('inflation, income and interest'!$B$38=2,"",(hystere!E33-hystere!B33)/hystere!B33)</f>
        <v/>
      </c>
      <c r="Z33" s="476" t="str">
        <f>IF('inflation, income and interest'!$B$38=2,"",hystere!M33/100)</f>
        <v/>
      </c>
      <c r="AA33" s="21" t="str">
        <f>IF('inflation, income and interest'!$B$38=2,"",hystere!E33)</f>
        <v/>
      </c>
      <c r="AB33" s="27" t="str">
        <f>IF('inflation, income and interest'!$B$38=2,"",hystere!C33)</f>
        <v/>
      </c>
      <c r="AC33" s="20" t="str">
        <f>IF('inflation, income and interest'!$B$38=2,"",hystere!O33/100)</f>
        <v/>
      </c>
      <c r="AD33" s="20" t="str">
        <f>IF('inflation, income and interest'!$B$38=2,"",hystere!N33/100)</f>
        <v/>
      </c>
    </row>
    <row r="34" spans="1:30" ht="14" thickTop="1" thickBot="1">
      <c r="A34" s="18">
        <v>31</v>
      </c>
      <c r="B34" s="20">
        <f ca="1">('normal case'!D33-'normal case'!B33)/'normal case'!B33</f>
        <v>0</v>
      </c>
      <c r="C34" s="26">
        <f ca="1">'normal case'!D33</f>
        <v>100</v>
      </c>
      <c r="D34" s="27">
        <f ca="1">'normal case'!C33</f>
        <v>0</v>
      </c>
      <c r="E34" s="25">
        <f ca="1">'normal case'!L33/100</f>
        <v>0.02</v>
      </c>
      <c r="F34" s="28">
        <f ca="1">'normal case'!N33/100</f>
        <v>0.06</v>
      </c>
      <c r="G34" s="28">
        <f ca="1">'normal case'!M33/100</f>
        <v>0.04</v>
      </c>
      <c r="H34" s="28">
        <f ca="1">'public finance'!D32</f>
        <v>0</v>
      </c>
      <c r="I34" s="23">
        <f ca="1">'public finance'!E32</f>
        <v>0</v>
      </c>
      <c r="J34" s="153">
        <f ca="1">'public finance'!H32</f>
        <v>0</v>
      </c>
      <c r="K34" s="20">
        <f ca="1">'public finance'!C32/'normal case'!D33</f>
        <v>0.2</v>
      </c>
      <c r="L34" s="23">
        <f ca="1">'public finance'!A32/'normal case'!D33</f>
        <v>0.2</v>
      </c>
      <c r="M34" s="21" t="str">
        <f>IF(controls!$B$44=0,"",'normal case'!AC33)</f>
        <v/>
      </c>
      <c r="N34" s="21" t="str">
        <f>IF(controls!$B$44=0,"",'normal case'!AF33)</f>
        <v/>
      </c>
      <c r="O34" s="203" t="str">
        <f>IF(controls!$B$44=0,"",'external balance'!D33)</f>
        <v/>
      </c>
      <c r="P34" s="203" t="str">
        <f>IF(controls!$B$44=0,"",'external balance'!F33)</f>
        <v/>
      </c>
      <c r="Q34" s="202" t="str">
        <f>IF(controls!$B$44=0,"",'external balance'!H33)</f>
        <v/>
      </c>
      <c r="R34" s="201" t="str">
        <f>IF('inflation, income and interest'!$A$38=2,"",'delay in perception'!K34/100)</f>
        <v/>
      </c>
      <c r="S34" s="20" t="str">
        <f>IF('inflation, income and interest'!$A$38=2,"",('delay in perception'!E34-'delay in perception'!C34)/'delay in perception'!C34)</f>
        <v/>
      </c>
      <c r="T34" s="20" t="str">
        <f>IF('inflation, income and interest'!$A$38=2,"",('delay in perception'!E34-'delay in perception'!B34)/'delay in perception'!B34)</f>
        <v/>
      </c>
      <c r="U34" s="21" t="str">
        <f>IF('inflation, income and interest'!$A$38=2,"",'delay in perception'!E34)</f>
        <v/>
      </c>
      <c r="V34" s="27" t="str">
        <f>IF('inflation, income and interest'!$A$38=2,"",'delay in perception'!D34)</f>
        <v/>
      </c>
      <c r="W34" s="28" t="str">
        <f>IF('inflation, income and interest'!$A$38=2,"",'delay in perception'!M34/100)</f>
        <v/>
      </c>
      <c r="X34" s="24" t="str">
        <f>IF('inflation, income and interest'!$A$38=2,"",'delay in perception'!L34/100)</f>
        <v/>
      </c>
      <c r="Y34" s="201" t="str">
        <f>IF('inflation, income and interest'!$B$38=2,"",(hystere!E34-hystere!B34)/hystere!B34)</f>
        <v/>
      </c>
      <c r="Z34" s="476" t="str">
        <f>IF('inflation, income and interest'!$B$38=2,"",hystere!M34/100)</f>
        <v/>
      </c>
      <c r="AA34" s="21" t="str">
        <f>IF('inflation, income and interest'!$B$38=2,"",hystere!E34)</f>
        <v/>
      </c>
      <c r="AB34" s="27" t="str">
        <f>IF('inflation, income and interest'!$B$38=2,"",hystere!C34)</f>
        <v/>
      </c>
      <c r="AC34" s="20" t="str">
        <f>IF('inflation, income and interest'!$B$38=2,"",hystere!O34/100)</f>
        <v/>
      </c>
      <c r="AD34" s="20" t="str">
        <f>IF('inflation, income and interest'!$B$38=2,"",hystere!N34/100)</f>
        <v/>
      </c>
    </row>
    <row r="35" spans="1:30" ht="14" thickTop="1" thickBot="1">
      <c r="A35" s="18">
        <v>32</v>
      </c>
      <c r="B35" s="20">
        <f ca="1">('normal case'!D34-'normal case'!B34)/'normal case'!B34</f>
        <v>0</v>
      </c>
      <c r="C35" s="26">
        <f ca="1">'normal case'!D34</f>
        <v>100</v>
      </c>
      <c r="D35" s="27">
        <f ca="1">'normal case'!C34</f>
        <v>0</v>
      </c>
      <c r="E35" s="25">
        <f ca="1">'normal case'!L34/100</f>
        <v>0.02</v>
      </c>
      <c r="F35" s="28">
        <f ca="1">'normal case'!N34/100</f>
        <v>0.06</v>
      </c>
      <c r="G35" s="28">
        <f ca="1">'normal case'!M34/100</f>
        <v>0.04</v>
      </c>
      <c r="H35" s="28">
        <f ca="1">'public finance'!D33</f>
        <v>0</v>
      </c>
      <c r="I35" s="23">
        <f ca="1">'public finance'!E33</f>
        <v>0</v>
      </c>
      <c r="J35" s="153">
        <f ca="1">'public finance'!H33</f>
        <v>0</v>
      </c>
      <c r="K35" s="20">
        <f ca="1">'public finance'!C33/'normal case'!D34</f>
        <v>0.2</v>
      </c>
      <c r="L35" s="23">
        <f ca="1">'public finance'!A33/'normal case'!D34</f>
        <v>0.2</v>
      </c>
      <c r="M35" s="21" t="str">
        <f>IF(controls!$B$44=0,"",'normal case'!AC34)</f>
        <v/>
      </c>
      <c r="N35" s="21" t="str">
        <f>IF(controls!$B$44=0,"",'normal case'!AF34)</f>
        <v/>
      </c>
      <c r="O35" s="203" t="str">
        <f>IF(controls!$B$44=0,"",'external balance'!D34)</f>
        <v/>
      </c>
      <c r="P35" s="203" t="str">
        <f>IF(controls!$B$44=0,"",'external balance'!F34)</f>
        <v/>
      </c>
      <c r="Q35" s="202" t="str">
        <f>IF(controls!$B$44=0,"",'external balance'!H34)</f>
        <v/>
      </c>
      <c r="R35" s="201" t="str">
        <f>IF('inflation, income and interest'!$A$38=2,"",'delay in perception'!K35/100)</f>
        <v/>
      </c>
      <c r="S35" s="20" t="str">
        <f>IF('inflation, income and interest'!$A$38=2,"",('delay in perception'!E35-'delay in perception'!C35)/'delay in perception'!C35)</f>
        <v/>
      </c>
      <c r="T35" s="20" t="str">
        <f>IF('inflation, income and interest'!$A$38=2,"",('delay in perception'!E35-'delay in perception'!B35)/'delay in perception'!B35)</f>
        <v/>
      </c>
      <c r="U35" s="21" t="str">
        <f>IF('inflation, income and interest'!$A$38=2,"",'delay in perception'!E35)</f>
        <v/>
      </c>
      <c r="V35" s="27" t="str">
        <f>IF('inflation, income and interest'!$A$38=2,"",'delay in perception'!D35)</f>
        <v/>
      </c>
      <c r="W35" s="28" t="str">
        <f>IF('inflation, income and interest'!$A$38=2,"",'delay in perception'!M35/100)</f>
        <v/>
      </c>
      <c r="X35" s="24" t="str">
        <f>IF('inflation, income and interest'!$A$38=2,"",'delay in perception'!L35/100)</f>
        <v/>
      </c>
      <c r="Y35" s="201" t="str">
        <f>IF('inflation, income and interest'!$B$38=2,"",(hystere!E35-hystere!B35)/hystere!B35)</f>
        <v/>
      </c>
      <c r="Z35" s="476" t="str">
        <f>IF('inflation, income and interest'!$B$38=2,"",hystere!M35/100)</f>
        <v/>
      </c>
      <c r="AA35" s="21" t="str">
        <f>IF('inflation, income and interest'!$B$38=2,"",hystere!E35)</f>
        <v/>
      </c>
      <c r="AB35" s="27" t="str">
        <f>IF('inflation, income and interest'!$B$38=2,"",hystere!C35)</f>
        <v/>
      </c>
      <c r="AC35" s="20" t="str">
        <f>IF('inflation, income and interest'!$B$38=2,"",hystere!O35/100)</f>
        <v/>
      </c>
      <c r="AD35" s="20" t="str">
        <f>IF('inflation, income and interest'!$B$38=2,"",hystere!N35/100)</f>
        <v/>
      </c>
    </row>
    <row r="36" spans="1:30" ht="14" thickTop="1" thickBot="1">
      <c r="A36" s="18">
        <v>33</v>
      </c>
      <c r="B36" s="20">
        <f ca="1">('normal case'!D35-'normal case'!B35)/'normal case'!B35</f>
        <v>0</v>
      </c>
      <c r="C36" s="26">
        <f ca="1">'normal case'!D35</f>
        <v>100</v>
      </c>
      <c r="D36" s="27">
        <f ca="1">'normal case'!C35</f>
        <v>0</v>
      </c>
      <c r="E36" s="25">
        <f ca="1">'normal case'!L35/100</f>
        <v>0.02</v>
      </c>
      <c r="F36" s="28">
        <f ca="1">'normal case'!N35/100</f>
        <v>0.06</v>
      </c>
      <c r="G36" s="28">
        <f ca="1">'normal case'!M35/100</f>
        <v>0.04</v>
      </c>
      <c r="H36" s="28">
        <f ca="1">'public finance'!D34</f>
        <v>0</v>
      </c>
      <c r="I36" s="23">
        <f ca="1">'public finance'!E34</f>
        <v>0</v>
      </c>
      <c r="J36" s="153">
        <f ca="1">'public finance'!H34</f>
        <v>0</v>
      </c>
      <c r="K36" s="20">
        <f ca="1">'public finance'!C34/'normal case'!D35</f>
        <v>0.2</v>
      </c>
      <c r="L36" s="23">
        <f ca="1">'public finance'!A34/'normal case'!D35</f>
        <v>0.2</v>
      </c>
      <c r="M36" s="21" t="str">
        <f>IF(controls!$B$44=0,"",'normal case'!AC35)</f>
        <v/>
      </c>
      <c r="N36" s="21" t="str">
        <f>IF(controls!$B$44=0,"",'normal case'!AF35)</f>
        <v/>
      </c>
      <c r="O36" s="203" t="str">
        <f>IF(controls!$B$44=0,"",'external balance'!D35)</f>
        <v/>
      </c>
      <c r="P36" s="203" t="str">
        <f>IF(controls!$B$44=0,"",'external balance'!F35)</f>
        <v/>
      </c>
      <c r="Q36" s="202" t="str">
        <f>IF(controls!$B$44=0,"",'external balance'!H35)</f>
        <v/>
      </c>
      <c r="R36" s="201" t="str">
        <f>IF('inflation, income and interest'!$A$38=2,"",'delay in perception'!K36/100)</f>
        <v/>
      </c>
      <c r="S36" s="20" t="str">
        <f>IF('inflation, income and interest'!$A$38=2,"",('delay in perception'!E36-'delay in perception'!C36)/'delay in perception'!C36)</f>
        <v/>
      </c>
      <c r="T36" s="20" t="str">
        <f>IF('inflation, income and interest'!$A$38=2,"",('delay in perception'!E36-'delay in perception'!B36)/'delay in perception'!B36)</f>
        <v/>
      </c>
      <c r="U36" s="21" t="str">
        <f>IF('inflation, income and interest'!$A$38=2,"",'delay in perception'!E36)</f>
        <v/>
      </c>
      <c r="V36" s="27" t="str">
        <f>IF('inflation, income and interest'!$A$38=2,"",'delay in perception'!D36)</f>
        <v/>
      </c>
      <c r="W36" s="28" t="str">
        <f>IF('inflation, income and interest'!$A$38=2,"",'delay in perception'!M36/100)</f>
        <v/>
      </c>
      <c r="X36" s="24" t="str">
        <f>IF('inflation, income and interest'!$A$38=2,"",'delay in perception'!L36/100)</f>
        <v/>
      </c>
      <c r="Y36" s="201" t="str">
        <f>IF('inflation, income and interest'!$B$38=2,"",(hystere!E36-hystere!B36)/hystere!B36)</f>
        <v/>
      </c>
      <c r="Z36" s="476" t="str">
        <f>IF('inflation, income and interest'!$B$38=2,"",hystere!M36/100)</f>
        <v/>
      </c>
      <c r="AA36" s="21" t="str">
        <f>IF('inflation, income and interest'!$B$38=2,"",hystere!E36)</f>
        <v/>
      </c>
      <c r="AB36" s="27" t="str">
        <f>IF('inflation, income and interest'!$B$38=2,"",hystere!C36)</f>
        <v/>
      </c>
      <c r="AC36" s="20" t="str">
        <f>IF('inflation, income and interest'!$B$38=2,"",hystere!O36/100)</f>
        <v/>
      </c>
      <c r="AD36" s="20" t="str">
        <f>IF('inflation, income and interest'!$B$38=2,"",hystere!N36/100)</f>
        <v/>
      </c>
    </row>
    <row r="37" spans="1:30" ht="14" thickTop="1" thickBot="1">
      <c r="A37" s="18">
        <v>34</v>
      </c>
      <c r="B37" s="20">
        <f ca="1">('normal case'!D36-'normal case'!B36)/'normal case'!B36</f>
        <v>0</v>
      </c>
      <c r="C37" s="26">
        <f ca="1">'normal case'!D36</f>
        <v>100</v>
      </c>
      <c r="D37" s="27">
        <f ca="1">'normal case'!C36</f>
        <v>0</v>
      </c>
      <c r="E37" s="25">
        <f ca="1">'normal case'!L36/100</f>
        <v>0.02</v>
      </c>
      <c r="F37" s="28">
        <f ca="1">'normal case'!N36/100</f>
        <v>0.06</v>
      </c>
      <c r="G37" s="28">
        <f ca="1">'normal case'!M36/100</f>
        <v>0.04</v>
      </c>
      <c r="H37" s="28">
        <f ca="1">'public finance'!D35</f>
        <v>0</v>
      </c>
      <c r="I37" s="23">
        <f ca="1">'public finance'!E35</f>
        <v>0</v>
      </c>
      <c r="J37" s="153">
        <f ca="1">'public finance'!H35</f>
        <v>0</v>
      </c>
      <c r="K37" s="20">
        <f ca="1">'public finance'!C35/'normal case'!D36</f>
        <v>0.2</v>
      </c>
      <c r="L37" s="23">
        <f ca="1">'public finance'!A35/'normal case'!D36</f>
        <v>0.2</v>
      </c>
      <c r="M37" s="21" t="str">
        <f>IF(controls!$B$44=0,"",'normal case'!AC36)</f>
        <v/>
      </c>
      <c r="N37" s="21" t="str">
        <f>IF(controls!$B$44=0,"",'normal case'!AF36)</f>
        <v/>
      </c>
      <c r="O37" s="203" t="str">
        <f>IF(controls!$B$44=0,"",'external balance'!D36)</f>
        <v/>
      </c>
      <c r="P37" s="203" t="str">
        <f>IF(controls!$B$44=0,"",'external balance'!F36)</f>
        <v/>
      </c>
      <c r="Q37" s="202" t="str">
        <f>IF(controls!$B$44=0,"",'external balance'!H36)</f>
        <v/>
      </c>
      <c r="R37" s="201" t="str">
        <f>IF('inflation, income and interest'!$A$38=2,"",'delay in perception'!K37/100)</f>
        <v/>
      </c>
      <c r="S37" s="20" t="str">
        <f>IF('inflation, income and interest'!$A$38=2,"",('delay in perception'!E37-'delay in perception'!C37)/'delay in perception'!C37)</f>
        <v/>
      </c>
      <c r="T37" s="20" t="str">
        <f>IF('inflation, income and interest'!$A$38=2,"",('delay in perception'!E37-'delay in perception'!B37)/'delay in perception'!B37)</f>
        <v/>
      </c>
      <c r="U37" s="21" t="str">
        <f>IF('inflation, income and interest'!$A$38=2,"",'delay in perception'!E37)</f>
        <v/>
      </c>
      <c r="V37" s="27" t="str">
        <f>IF('inflation, income and interest'!$A$38=2,"",'delay in perception'!D37)</f>
        <v/>
      </c>
      <c r="W37" s="28" t="str">
        <f>IF('inflation, income and interest'!$A$38=2,"",'delay in perception'!M37/100)</f>
        <v/>
      </c>
      <c r="X37" s="24" t="str">
        <f>IF('inflation, income and interest'!$A$38=2,"",'delay in perception'!L37/100)</f>
        <v/>
      </c>
      <c r="Y37" s="201" t="str">
        <f>IF('inflation, income and interest'!$B$38=2,"",(hystere!E37-hystere!B37)/hystere!B37)</f>
        <v/>
      </c>
      <c r="Z37" s="476" t="str">
        <f>IF('inflation, income and interest'!$B$38=2,"",hystere!M37/100)</f>
        <v/>
      </c>
      <c r="AA37" s="21" t="str">
        <f>IF('inflation, income and interest'!$B$38=2,"",hystere!E37)</f>
        <v/>
      </c>
      <c r="AB37" s="27" t="str">
        <f>IF('inflation, income and interest'!$B$38=2,"",hystere!C37)</f>
        <v/>
      </c>
      <c r="AC37" s="20" t="str">
        <f>IF('inflation, income and interest'!$B$38=2,"",hystere!O37/100)</f>
        <v/>
      </c>
      <c r="AD37" s="20" t="str">
        <f>IF('inflation, income and interest'!$B$38=2,"",hystere!N37/100)</f>
        <v/>
      </c>
    </row>
    <row r="38" spans="1:30" ht="14" thickTop="1" thickBot="1">
      <c r="A38" s="18">
        <v>35</v>
      </c>
      <c r="B38" s="20">
        <f ca="1">('normal case'!D37-'normal case'!B37)/'normal case'!B37</f>
        <v>0</v>
      </c>
      <c r="C38" s="26">
        <f ca="1">'normal case'!D37</f>
        <v>100</v>
      </c>
      <c r="D38" s="27">
        <f ca="1">'normal case'!C37</f>
        <v>0</v>
      </c>
      <c r="E38" s="25">
        <f ca="1">'normal case'!L37/100</f>
        <v>0.02</v>
      </c>
      <c r="F38" s="28">
        <f ca="1">'normal case'!N37/100</f>
        <v>0.06</v>
      </c>
      <c r="G38" s="28">
        <f ca="1">'normal case'!M37/100</f>
        <v>0.04</v>
      </c>
      <c r="H38" s="28">
        <f ca="1">'public finance'!D36</f>
        <v>0</v>
      </c>
      <c r="I38" s="23">
        <f ca="1">'public finance'!E36</f>
        <v>0</v>
      </c>
      <c r="J38" s="153">
        <f ca="1">'public finance'!H36</f>
        <v>0</v>
      </c>
      <c r="K38" s="20">
        <f ca="1">'public finance'!C36/'normal case'!D37</f>
        <v>0.2</v>
      </c>
      <c r="L38" s="23">
        <f ca="1">'public finance'!A36/'normal case'!D37</f>
        <v>0.2</v>
      </c>
      <c r="M38" s="21" t="str">
        <f>IF(controls!$B$44=0,"",'normal case'!AC37)</f>
        <v/>
      </c>
      <c r="N38" s="21" t="str">
        <f>IF(controls!$B$44=0,"",'normal case'!AF37)</f>
        <v/>
      </c>
      <c r="O38" s="203" t="str">
        <f>IF(controls!$B$44=0,"",'external balance'!D37)</f>
        <v/>
      </c>
      <c r="P38" s="203" t="str">
        <f>IF(controls!$B$44=0,"",'external balance'!F37)</f>
        <v/>
      </c>
      <c r="Q38" s="202" t="str">
        <f>IF(controls!$B$44=0,"",'external balance'!H37)</f>
        <v/>
      </c>
      <c r="R38" s="201" t="str">
        <f>IF('inflation, income and interest'!$A$38=2,"",'delay in perception'!K38/100)</f>
        <v/>
      </c>
      <c r="S38" s="20" t="str">
        <f>IF('inflation, income and interest'!$A$38=2,"",('delay in perception'!E38-'delay in perception'!C38)/'delay in perception'!C38)</f>
        <v/>
      </c>
      <c r="T38" s="20" t="str">
        <f>IF('inflation, income and interest'!$A$38=2,"",('delay in perception'!E38-'delay in perception'!B38)/'delay in perception'!B38)</f>
        <v/>
      </c>
      <c r="U38" s="21" t="str">
        <f>IF('inflation, income and interest'!$A$38=2,"",'delay in perception'!E38)</f>
        <v/>
      </c>
      <c r="V38" s="27" t="str">
        <f>IF('inflation, income and interest'!$A$38=2,"",'delay in perception'!D38)</f>
        <v/>
      </c>
      <c r="W38" s="28" t="str">
        <f>IF('inflation, income and interest'!$A$38=2,"",'delay in perception'!M38/100)</f>
        <v/>
      </c>
      <c r="X38" s="24" t="str">
        <f>IF('inflation, income and interest'!$A$38=2,"",'delay in perception'!L38/100)</f>
        <v/>
      </c>
      <c r="Y38" s="201" t="str">
        <f>IF('inflation, income and interest'!$B$38=2,"",(hystere!E38-hystere!B38)/hystere!B38)</f>
        <v/>
      </c>
      <c r="Z38" s="476" t="str">
        <f>IF('inflation, income and interest'!$B$38=2,"",hystere!M38/100)</f>
        <v/>
      </c>
      <c r="AA38" s="21" t="str">
        <f>IF('inflation, income and interest'!$B$38=2,"",hystere!E38)</f>
        <v/>
      </c>
      <c r="AB38" s="27" t="str">
        <f>IF('inflation, income and interest'!$B$38=2,"",hystere!C38)</f>
        <v/>
      </c>
      <c r="AC38" s="20" t="str">
        <f>IF('inflation, income and interest'!$B$38=2,"",hystere!O38/100)</f>
        <v/>
      </c>
      <c r="AD38" s="20" t="str">
        <f>IF('inflation, income and interest'!$B$38=2,"",hystere!N38/100)</f>
        <v/>
      </c>
    </row>
    <row r="39" spans="1:30" ht="14" thickTop="1" thickBot="1">
      <c r="A39" s="18">
        <v>36</v>
      </c>
      <c r="B39" s="20">
        <f ca="1">('normal case'!D38-'normal case'!B38)/'normal case'!B38</f>
        <v>0</v>
      </c>
      <c r="C39" s="26">
        <f ca="1">'normal case'!D38</f>
        <v>100</v>
      </c>
      <c r="D39" s="27">
        <f ca="1">'normal case'!C38</f>
        <v>0</v>
      </c>
      <c r="E39" s="25">
        <f ca="1">'normal case'!L38/100</f>
        <v>0.02</v>
      </c>
      <c r="F39" s="28">
        <f ca="1">'normal case'!N38/100</f>
        <v>0.06</v>
      </c>
      <c r="G39" s="28">
        <f ca="1">'normal case'!M38/100</f>
        <v>0.04</v>
      </c>
      <c r="H39" s="28">
        <f ca="1">'public finance'!D37</f>
        <v>0</v>
      </c>
      <c r="I39" s="23">
        <f ca="1">'public finance'!E37</f>
        <v>0</v>
      </c>
      <c r="J39" s="153">
        <f ca="1">'public finance'!H37</f>
        <v>0</v>
      </c>
      <c r="K39" s="20">
        <f ca="1">'public finance'!C37/'normal case'!D38</f>
        <v>0.2</v>
      </c>
      <c r="L39" s="23">
        <f ca="1">'public finance'!A37/'normal case'!D38</f>
        <v>0.2</v>
      </c>
      <c r="M39" s="21" t="str">
        <f>IF(controls!$B$44=0,"",'normal case'!AC38)</f>
        <v/>
      </c>
      <c r="N39" s="21" t="str">
        <f>IF(controls!$B$44=0,"",'normal case'!AF38)</f>
        <v/>
      </c>
      <c r="O39" s="203" t="str">
        <f>IF(controls!$B$44=0,"",'external balance'!D38)</f>
        <v/>
      </c>
      <c r="P39" s="203" t="str">
        <f>IF(controls!$B$44=0,"",'external balance'!F38)</f>
        <v/>
      </c>
      <c r="Q39" s="202" t="str">
        <f>IF(controls!$B$44=0,"",'external balance'!H38)</f>
        <v/>
      </c>
      <c r="R39" s="201" t="str">
        <f>IF('inflation, income and interest'!$A$38=2,"",'delay in perception'!K39/100)</f>
        <v/>
      </c>
      <c r="S39" s="20" t="str">
        <f>IF('inflation, income and interest'!$A$38=2,"",('delay in perception'!E39-'delay in perception'!C39)/'delay in perception'!C39)</f>
        <v/>
      </c>
      <c r="T39" s="20" t="str">
        <f>IF('inflation, income and interest'!$A$38=2,"",('delay in perception'!E39-'delay in perception'!B39)/'delay in perception'!B39)</f>
        <v/>
      </c>
      <c r="U39" s="21" t="str">
        <f>IF('inflation, income and interest'!$A$38=2,"",'delay in perception'!E39)</f>
        <v/>
      </c>
      <c r="V39" s="27" t="str">
        <f>IF('inflation, income and interest'!$A$38=2,"",'delay in perception'!D39)</f>
        <v/>
      </c>
      <c r="W39" s="28" t="str">
        <f>IF('inflation, income and interest'!$A$38=2,"",'delay in perception'!M39/100)</f>
        <v/>
      </c>
      <c r="X39" s="24" t="str">
        <f>IF('inflation, income and interest'!$A$38=2,"",'delay in perception'!L39/100)</f>
        <v/>
      </c>
      <c r="Y39" s="201" t="str">
        <f>IF('inflation, income and interest'!$B$38=2,"",(hystere!E39-hystere!B39)/hystere!B39)</f>
        <v/>
      </c>
      <c r="Z39" s="476" t="str">
        <f>IF('inflation, income and interest'!$B$38=2,"",hystere!M39/100)</f>
        <v/>
      </c>
      <c r="AA39" s="21" t="str">
        <f>IF('inflation, income and interest'!$B$38=2,"",hystere!E39)</f>
        <v/>
      </c>
      <c r="AB39" s="27" t="str">
        <f>IF('inflation, income and interest'!$B$38=2,"",hystere!C39)</f>
        <v/>
      </c>
      <c r="AC39" s="20" t="str">
        <f>IF('inflation, income and interest'!$B$38=2,"",hystere!O39/100)</f>
        <v/>
      </c>
      <c r="AD39" s="20" t="str">
        <f>IF('inflation, income and interest'!$B$38=2,"",hystere!N39/100)</f>
        <v/>
      </c>
    </row>
    <row r="40" spans="1:30" ht="14" thickTop="1" thickBot="1">
      <c r="A40" s="18">
        <v>37</v>
      </c>
      <c r="B40" s="20">
        <f ca="1">('normal case'!D39-'normal case'!B39)/'normal case'!B39</f>
        <v>0</v>
      </c>
      <c r="C40" s="26">
        <f ca="1">'normal case'!D39</f>
        <v>100</v>
      </c>
      <c r="D40" s="27">
        <f ca="1">'normal case'!C39</f>
        <v>0</v>
      </c>
      <c r="E40" s="25">
        <f ca="1">'normal case'!L39/100</f>
        <v>0.02</v>
      </c>
      <c r="F40" s="28">
        <f ca="1">'normal case'!N39/100</f>
        <v>0.06</v>
      </c>
      <c r="G40" s="28">
        <f ca="1">'normal case'!M39/100</f>
        <v>0.04</v>
      </c>
      <c r="H40" s="28">
        <f ca="1">'public finance'!D38</f>
        <v>0</v>
      </c>
      <c r="I40" s="23">
        <f ca="1">'public finance'!E38</f>
        <v>0</v>
      </c>
      <c r="J40" s="153">
        <f ca="1">'public finance'!H38</f>
        <v>0</v>
      </c>
      <c r="K40" s="20">
        <f ca="1">'public finance'!C38/'normal case'!D39</f>
        <v>0.2</v>
      </c>
      <c r="L40" s="23">
        <f ca="1">'public finance'!A38/'normal case'!D39</f>
        <v>0.2</v>
      </c>
      <c r="M40" s="21" t="str">
        <f>IF(controls!$B$44=0,"",'normal case'!AC39)</f>
        <v/>
      </c>
      <c r="N40" s="21" t="str">
        <f>IF(controls!$B$44=0,"",'normal case'!AF39)</f>
        <v/>
      </c>
      <c r="O40" s="203" t="str">
        <f>IF(controls!$B$44=0,"",'external balance'!D39)</f>
        <v/>
      </c>
      <c r="P40" s="203" t="str">
        <f>IF(controls!$B$44=0,"",'external balance'!F39)</f>
        <v/>
      </c>
      <c r="Q40" s="202" t="str">
        <f>IF(controls!$B$44=0,"",'external balance'!H39)</f>
        <v/>
      </c>
      <c r="R40" s="201" t="str">
        <f>IF('inflation, income and interest'!$A$38=2,"",'delay in perception'!K40/100)</f>
        <v/>
      </c>
      <c r="S40" s="20" t="str">
        <f>IF('inflation, income and interest'!$A$38=2,"",('delay in perception'!E40-'delay in perception'!C40)/'delay in perception'!C40)</f>
        <v/>
      </c>
      <c r="T40" s="20" t="str">
        <f>IF('inflation, income and interest'!$A$38=2,"",('delay in perception'!E40-'delay in perception'!B40)/'delay in perception'!B40)</f>
        <v/>
      </c>
      <c r="U40" s="21" t="str">
        <f>IF('inflation, income and interest'!$A$38=2,"",'delay in perception'!E40)</f>
        <v/>
      </c>
      <c r="V40" s="27" t="str">
        <f>IF('inflation, income and interest'!$A$38=2,"",'delay in perception'!D40)</f>
        <v/>
      </c>
      <c r="W40" s="28" t="str">
        <f>IF('inflation, income and interest'!$A$38=2,"",'delay in perception'!M40/100)</f>
        <v/>
      </c>
      <c r="X40" s="24" t="str">
        <f>IF('inflation, income and interest'!$A$38=2,"",'delay in perception'!L40/100)</f>
        <v/>
      </c>
      <c r="Y40" s="201" t="str">
        <f>IF('inflation, income and interest'!$B$38=2,"",(hystere!E40-hystere!B40)/hystere!B40)</f>
        <v/>
      </c>
      <c r="Z40" s="476" t="str">
        <f>IF('inflation, income and interest'!$B$38=2,"",hystere!M40/100)</f>
        <v/>
      </c>
      <c r="AA40" s="21" t="str">
        <f>IF('inflation, income and interest'!$B$38=2,"",hystere!E40)</f>
        <v/>
      </c>
      <c r="AB40" s="27" t="str">
        <f>IF('inflation, income and interest'!$B$38=2,"",hystere!C40)</f>
        <v/>
      </c>
      <c r="AC40" s="20" t="str">
        <f>IF('inflation, income and interest'!$B$38=2,"",hystere!O40/100)</f>
        <v/>
      </c>
      <c r="AD40" s="20" t="str">
        <f>IF('inflation, income and interest'!$B$38=2,"",hystere!N40/100)</f>
        <v/>
      </c>
    </row>
    <row r="41" spans="1:30" ht="14" thickTop="1" thickBot="1">
      <c r="A41" s="18">
        <v>38</v>
      </c>
      <c r="B41" s="20">
        <f ca="1">('normal case'!D40-'normal case'!B40)/'normal case'!B40</f>
        <v>0</v>
      </c>
      <c r="C41" s="26">
        <f ca="1">'normal case'!D40</f>
        <v>100</v>
      </c>
      <c r="D41" s="27">
        <f ca="1">'normal case'!C40</f>
        <v>0</v>
      </c>
      <c r="E41" s="25">
        <f ca="1">'normal case'!L40/100</f>
        <v>0.02</v>
      </c>
      <c r="F41" s="28">
        <f ca="1">'normal case'!N40/100</f>
        <v>0.06</v>
      </c>
      <c r="G41" s="28">
        <f ca="1">'normal case'!M40/100</f>
        <v>0.04</v>
      </c>
      <c r="H41" s="28">
        <f ca="1">'public finance'!D39</f>
        <v>0</v>
      </c>
      <c r="I41" s="23">
        <f ca="1">'public finance'!E39</f>
        <v>0</v>
      </c>
      <c r="J41" s="153">
        <f ca="1">'public finance'!H39</f>
        <v>0</v>
      </c>
      <c r="K41" s="20">
        <f ca="1">'public finance'!C39/'normal case'!D40</f>
        <v>0.2</v>
      </c>
      <c r="L41" s="23">
        <f ca="1">'public finance'!A39/'normal case'!D40</f>
        <v>0.2</v>
      </c>
      <c r="M41" s="21" t="str">
        <f>IF(controls!$B$44=0,"",'normal case'!AC40)</f>
        <v/>
      </c>
      <c r="N41" s="21" t="str">
        <f>IF(controls!$B$44=0,"",'normal case'!AF40)</f>
        <v/>
      </c>
      <c r="O41" s="203" t="str">
        <f>IF(controls!$B$44=0,"",'external balance'!D40)</f>
        <v/>
      </c>
      <c r="P41" s="203" t="str">
        <f>IF(controls!$B$44=0,"",'external balance'!F40)</f>
        <v/>
      </c>
      <c r="Q41" s="202" t="str">
        <f>IF(controls!$B$44=0,"",'external balance'!H40)</f>
        <v/>
      </c>
      <c r="R41" s="201" t="str">
        <f>IF('inflation, income and interest'!$A$38=2,"",'delay in perception'!K41/100)</f>
        <v/>
      </c>
      <c r="S41" s="20" t="str">
        <f>IF('inflation, income and interest'!$A$38=2,"",('delay in perception'!E41-'delay in perception'!C41)/'delay in perception'!C41)</f>
        <v/>
      </c>
      <c r="T41" s="20" t="str">
        <f>IF('inflation, income and interest'!$A$38=2,"",('delay in perception'!E41-'delay in perception'!B41)/'delay in perception'!B41)</f>
        <v/>
      </c>
      <c r="U41" s="21" t="str">
        <f>IF('inflation, income and interest'!$A$38=2,"",'delay in perception'!E41)</f>
        <v/>
      </c>
      <c r="V41" s="27" t="str">
        <f>IF('inflation, income and interest'!$A$38=2,"",'delay in perception'!D41)</f>
        <v/>
      </c>
      <c r="W41" s="28" t="str">
        <f>IF('inflation, income and interest'!$A$38=2,"",'delay in perception'!M41/100)</f>
        <v/>
      </c>
      <c r="X41" s="24" t="str">
        <f>IF('inflation, income and interest'!$A$38=2,"",'delay in perception'!L41/100)</f>
        <v/>
      </c>
      <c r="Y41" s="201" t="str">
        <f>IF('inflation, income and interest'!$B$38=2,"",(hystere!E41-hystere!B41)/hystere!B41)</f>
        <v/>
      </c>
      <c r="Z41" s="476" t="str">
        <f>IF('inflation, income and interest'!$B$38=2,"",hystere!M41/100)</f>
        <v/>
      </c>
      <c r="AA41" s="21" t="str">
        <f>IF('inflation, income and interest'!$B$38=2,"",hystere!E41)</f>
        <v/>
      </c>
      <c r="AB41" s="27" t="str">
        <f>IF('inflation, income and interest'!$B$38=2,"",hystere!C41)</f>
        <v/>
      </c>
      <c r="AC41" s="20" t="str">
        <f>IF('inflation, income and interest'!$B$38=2,"",hystere!O41/100)</f>
        <v/>
      </c>
      <c r="AD41" s="20" t="str">
        <f>IF('inflation, income and interest'!$B$38=2,"",hystere!N41/100)</f>
        <v/>
      </c>
    </row>
    <row r="42" spans="1:30" ht="14" thickTop="1" thickBot="1">
      <c r="A42" s="18">
        <v>39</v>
      </c>
      <c r="B42" s="20">
        <f ca="1">('normal case'!D41-'normal case'!B41)/'normal case'!B41</f>
        <v>0</v>
      </c>
      <c r="C42" s="26">
        <f ca="1">'normal case'!D41</f>
        <v>100</v>
      </c>
      <c r="D42" s="27">
        <f ca="1">'normal case'!C41</f>
        <v>0</v>
      </c>
      <c r="E42" s="25">
        <f ca="1">'normal case'!L41/100</f>
        <v>0.02</v>
      </c>
      <c r="F42" s="28">
        <f ca="1">'normal case'!N41/100</f>
        <v>0.06</v>
      </c>
      <c r="G42" s="28">
        <f ca="1">'normal case'!M41/100</f>
        <v>0.04</v>
      </c>
      <c r="H42" s="28">
        <f ca="1">'public finance'!D40</f>
        <v>0</v>
      </c>
      <c r="I42" s="23">
        <f ca="1">'public finance'!E40</f>
        <v>0</v>
      </c>
      <c r="J42" s="153">
        <f ca="1">'public finance'!H40</f>
        <v>0</v>
      </c>
      <c r="K42" s="20">
        <f ca="1">'public finance'!C40/'normal case'!D41</f>
        <v>0.2</v>
      </c>
      <c r="L42" s="23">
        <f ca="1">'public finance'!A40/'normal case'!D41</f>
        <v>0.2</v>
      </c>
      <c r="M42" s="21" t="str">
        <f>IF(controls!$B$44=0,"",'normal case'!AC41)</f>
        <v/>
      </c>
      <c r="N42" s="21" t="str">
        <f>IF(controls!$B$44=0,"",'normal case'!AF41)</f>
        <v/>
      </c>
      <c r="O42" s="203" t="str">
        <f>IF(controls!$B$44=0,"",'external balance'!D41)</f>
        <v/>
      </c>
      <c r="P42" s="203" t="str">
        <f>IF(controls!$B$44=0,"",'external balance'!F41)</f>
        <v/>
      </c>
      <c r="Q42" s="202" t="str">
        <f>IF(controls!$B$44=0,"",'external balance'!H41)</f>
        <v/>
      </c>
      <c r="R42" s="201" t="str">
        <f>IF('inflation, income and interest'!$A$38=2,"",'delay in perception'!K42/100)</f>
        <v/>
      </c>
      <c r="S42" s="20" t="str">
        <f>IF('inflation, income and interest'!$A$38=2,"",('delay in perception'!E42-'delay in perception'!C42)/'delay in perception'!C42)</f>
        <v/>
      </c>
      <c r="T42" s="20" t="str">
        <f>IF('inflation, income and interest'!$A$38=2,"",('delay in perception'!E42-'delay in perception'!B42)/'delay in perception'!B42)</f>
        <v/>
      </c>
      <c r="U42" s="21" t="str">
        <f>IF('inflation, income and interest'!$A$38=2,"",'delay in perception'!E42)</f>
        <v/>
      </c>
      <c r="V42" s="27" t="str">
        <f>IF('inflation, income and interest'!$A$38=2,"",'delay in perception'!D42)</f>
        <v/>
      </c>
      <c r="W42" s="28" t="str">
        <f>IF('inflation, income and interest'!$A$38=2,"",'delay in perception'!M42/100)</f>
        <v/>
      </c>
      <c r="X42" s="24" t="str">
        <f>IF('inflation, income and interest'!$A$38=2,"",'delay in perception'!L42/100)</f>
        <v/>
      </c>
      <c r="Y42" s="201" t="str">
        <f>IF('inflation, income and interest'!$B$38=2,"",(hystere!E42-hystere!B42)/hystere!B42)</f>
        <v/>
      </c>
      <c r="Z42" s="476" t="str">
        <f>IF('inflation, income and interest'!$B$38=2,"",hystere!M42/100)</f>
        <v/>
      </c>
      <c r="AA42" s="21" t="str">
        <f>IF('inflation, income and interest'!$B$38=2,"",hystere!E42)</f>
        <v/>
      </c>
      <c r="AB42" s="27" t="str">
        <f>IF('inflation, income and interest'!$B$38=2,"",hystere!C42)</f>
        <v/>
      </c>
      <c r="AC42" s="20" t="str">
        <f>IF('inflation, income and interest'!$B$38=2,"",hystere!O42/100)</f>
        <v/>
      </c>
      <c r="AD42" s="20" t="str">
        <f>IF('inflation, income and interest'!$B$38=2,"",hystere!N42/100)</f>
        <v/>
      </c>
    </row>
    <row r="43" spans="1:30" ht="14" thickTop="1" thickBot="1">
      <c r="A43" s="18">
        <v>40</v>
      </c>
      <c r="B43" s="20">
        <f ca="1">('normal case'!D42-'normal case'!B42)/'normal case'!B42</f>
        <v>0</v>
      </c>
      <c r="C43" s="26">
        <f ca="1">'normal case'!D42</f>
        <v>100</v>
      </c>
      <c r="D43" s="27">
        <f ca="1">'normal case'!C42</f>
        <v>0</v>
      </c>
      <c r="E43" s="25">
        <f ca="1">'normal case'!L42/100</f>
        <v>0.02</v>
      </c>
      <c r="F43" s="28">
        <f ca="1">'normal case'!N42/100</f>
        <v>0.06</v>
      </c>
      <c r="G43" s="28">
        <f ca="1">'normal case'!M42/100</f>
        <v>0.04</v>
      </c>
      <c r="H43" s="28">
        <f ca="1">'public finance'!D41</f>
        <v>0</v>
      </c>
      <c r="I43" s="23">
        <f ca="1">'public finance'!E41</f>
        <v>0</v>
      </c>
      <c r="J43" s="153">
        <f ca="1">'public finance'!H41</f>
        <v>0</v>
      </c>
      <c r="K43" s="20">
        <f ca="1">'public finance'!C41/'normal case'!D42</f>
        <v>0.2</v>
      </c>
      <c r="L43" s="23">
        <f ca="1">'public finance'!A41/'normal case'!D42</f>
        <v>0.2</v>
      </c>
      <c r="M43" s="21" t="str">
        <f>IF(controls!$B$44=0,"",'normal case'!AC42)</f>
        <v/>
      </c>
      <c r="N43" s="21" t="str">
        <f>IF(controls!$B$44=0,"",'normal case'!AF42)</f>
        <v/>
      </c>
      <c r="O43" s="203" t="str">
        <f>IF(controls!$B$44=0,"",'external balance'!D42)</f>
        <v/>
      </c>
      <c r="P43" s="203" t="str">
        <f>IF(controls!$B$44=0,"",'external balance'!F42)</f>
        <v/>
      </c>
      <c r="Q43" s="202" t="str">
        <f>IF(controls!$B$44=0,"",'external balance'!H42)</f>
        <v/>
      </c>
      <c r="R43" s="201" t="str">
        <f>IF('inflation, income and interest'!$A$38=2,"",'delay in perception'!K43/100)</f>
        <v/>
      </c>
      <c r="S43" s="20" t="str">
        <f>IF('inflation, income and interest'!$A$38=2,"",('delay in perception'!E43-'delay in perception'!C43)/'delay in perception'!C43)</f>
        <v/>
      </c>
      <c r="T43" s="20" t="str">
        <f>IF('inflation, income and interest'!$A$38=2,"",('delay in perception'!E43-'delay in perception'!B43)/'delay in perception'!B43)</f>
        <v/>
      </c>
      <c r="U43" s="21" t="str">
        <f>IF('inflation, income and interest'!$A$38=2,"",'delay in perception'!E43)</f>
        <v/>
      </c>
      <c r="V43" s="27" t="str">
        <f>IF('inflation, income and interest'!$A$38=2,"",'delay in perception'!D43)</f>
        <v/>
      </c>
      <c r="W43" s="28" t="str">
        <f>IF('inflation, income and interest'!$A$38=2,"",'delay in perception'!M43/100)</f>
        <v/>
      </c>
      <c r="X43" s="24" t="str">
        <f>IF('inflation, income and interest'!$A$38=2,"",'delay in perception'!L43/100)</f>
        <v/>
      </c>
      <c r="Y43" s="201" t="str">
        <f>IF('inflation, income and interest'!$B$38=2,"",(hystere!E43-hystere!B43)/hystere!B43)</f>
        <v/>
      </c>
      <c r="Z43" s="476" t="str">
        <f>IF('inflation, income and interest'!$B$38=2,"",hystere!M43/100)</f>
        <v/>
      </c>
      <c r="AA43" s="21" t="str">
        <f>IF('inflation, income and interest'!$B$38=2,"",hystere!E43)</f>
        <v/>
      </c>
      <c r="AB43" s="27" t="str">
        <f>IF('inflation, income and interest'!$B$38=2,"",hystere!C43)</f>
        <v/>
      </c>
      <c r="AC43" s="20" t="str">
        <f>IF('inflation, income and interest'!$B$38=2,"",hystere!O43/100)</f>
        <v/>
      </c>
      <c r="AD43" s="20" t="str">
        <f>IF('inflation, income and interest'!$B$38=2,"",hystere!N43/100)</f>
        <v/>
      </c>
    </row>
    <row r="44" spans="1:30" ht="14" thickTop="1" thickBot="1">
      <c r="A44" s="18">
        <v>41</v>
      </c>
      <c r="B44" s="20">
        <f ca="1">('normal case'!D43-'normal case'!B43)/'normal case'!B43</f>
        <v>0</v>
      </c>
      <c r="C44" s="26">
        <f ca="1">'normal case'!D43</f>
        <v>100</v>
      </c>
      <c r="D44" s="27">
        <f ca="1">'normal case'!C43</f>
        <v>0</v>
      </c>
      <c r="E44" s="25">
        <f ca="1">'normal case'!L43/100</f>
        <v>0.02</v>
      </c>
      <c r="F44" s="28">
        <f ca="1">'normal case'!N43/100</f>
        <v>0.06</v>
      </c>
      <c r="G44" s="28">
        <f ca="1">'normal case'!M43/100</f>
        <v>0.04</v>
      </c>
      <c r="H44" s="28">
        <f ca="1">'public finance'!D42</f>
        <v>0</v>
      </c>
      <c r="I44" s="23">
        <f ca="1">'public finance'!E42</f>
        <v>0</v>
      </c>
      <c r="J44" s="153">
        <f ca="1">'public finance'!H42</f>
        <v>0</v>
      </c>
      <c r="K44" s="20">
        <f ca="1">'public finance'!C42/'normal case'!D43</f>
        <v>0.2</v>
      </c>
      <c r="L44" s="23">
        <f ca="1">'public finance'!A42/'normal case'!D43</f>
        <v>0.2</v>
      </c>
      <c r="M44" s="21" t="str">
        <f>IF(controls!$B$44=0,"",'normal case'!AC43)</f>
        <v/>
      </c>
      <c r="N44" s="21" t="str">
        <f>IF(controls!$B$44=0,"",'normal case'!AF43)</f>
        <v/>
      </c>
      <c r="O44" s="203" t="str">
        <f>IF(controls!$B$44=0,"",'external balance'!D43)</f>
        <v/>
      </c>
      <c r="P44" s="203" t="str">
        <f>IF(controls!$B$44=0,"",'external balance'!F43)</f>
        <v/>
      </c>
      <c r="Q44" s="202" t="str">
        <f>IF(controls!$B$44=0,"",'external balance'!H43)</f>
        <v/>
      </c>
      <c r="R44" s="201" t="str">
        <f>IF('inflation, income and interest'!$A$38=2,"",'delay in perception'!K44/100)</f>
        <v/>
      </c>
      <c r="S44" s="20" t="str">
        <f>IF('inflation, income and interest'!$A$38=2,"",('delay in perception'!E44-'delay in perception'!C44)/'delay in perception'!C44)</f>
        <v/>
      </c>
      <c r="T44" s="20" t="str">
        <f>IF('inflation, income and interest'!$A$38=2,"",('delay in perception'!E44-'delay in perception'!B44)/'delay in perception'!B44)</f>
        <v/>
      </c>
      <c r="U44" s="21" t="str">
        <f>IF('inflation, income and interest'!$A$38=2,"",'delay in perception'!E44)</f>
        <v/>
      </c>
      <c r="V44" s="27" t="str">
        <f>IF('inflation, income and interest'!$A$38=2,"",'delay in perception'!D44)</f>
        <v/>
      </c>
      <c r="W44" s="28" t="str">
        <f>IF('inflation, income and interest'!$A$38=2,"",'delay in perception'!M44/100)</f>
        <v/>
      </c>
      <c r="X44" s="24" t="str">
        <f>IF('inflation, income and interest'!$A$38=2,"",'delay in perception'!L44/100)</f>
        <v/>
      </c>
      <c r="Y44" s="201" t="str">
        <f>IF('inflation, income and interest'!$B$38=2,"",(hystere!E44-hystere!B44)/hystere!B44)</f>
        <v/>
      </c>
      <c r="Z44" s="476" t="str">
        <f>IF('inflation, income and interest'!$B$38=2,"",hystere!M44/100)</f>
        <v/>
      </c>
      <c r="AA44" s="21" t="str">
        <f>IF('inflation, income and interest'!$B$38=2,"",hystere!E44)</f>
        <v/>
      </c>
      <c r="AB44" s="27" t="str">
        <f>IF('inflation, income and interest'!$B$38=2,"",hystere!C44)</f>
        <v/>
      </c>
      <c r="AC44" s="20" t="str">
        <f>IF('inflation, income and interest'!$B$38=2,"",hystere!O44/100)</f>
        <v/>
      </c>
      <c r="AD44" s="20" t="str">
        <f>IF('inflation, income and interest'!$B$38=2,"",hystere!N44/100)</f>
        <v/>
      </c>
    </row>
    <row r="45" spans="1:30" ht="14" thickTop="1" thickBot="1">
      <c r="A45" s="18">
        <v>42</v>
      </c>
      <c r="B45" s="20">
        <f ca="1">('normal case'!D44-'normal case'!B44)/'normal case'!B44</f>
        <v>0</v>
      </c>
      <c r="C45" s="26">
        <f ca="1">'normal case'!D44</f>
        <v>100</v>
      </c>
      <c r="D45" s="27">
        <f ca="1">'normal case'!C44</f>
        <v>0</v>
      </c>
      <c r="E45" s="25">
        <f ca="1">'normal case'!L44/100</f>
        <v>0.02</v>
      </c>
      <c r="F45" s="28">
        <f ca="1">'normal case'!N44/100</f>
        <v>0.06</v>
      </c>
      <c r="G45" s="28">
        <f ca="1">'normal case'!M44/100</f>
        <v>0.04</v>
      </c>
      <c r="H45" s="28">
        <f ca="1">'public finance'!D43</f>
        <v>0</v>
      </c>
      <c r="I45" s="23">
        <f ca="1">'public finance'!E43</f>
        <v>0</v>
      </c>
      <c r="J45" s="153">
        <f ca="1">'public finance'!H43</f>
        <v>0</v>
      </c>
      <c r="K45" s="20">
        <f ca="1">'public finance'!C43/'normal case'!D44</f>
        <v>0.2</v>
      </c>
      <c r="L45" s="23">
        <f ca="1">'public finance'!A43/'normal case'!D44</f>
        <v>0.2</v>
      </c>
      <c r="M45" s="21" t="str">
        <f>IF(controls!$B$44=0,"",'normal case'!AC44)</f>
        <v/>
      </c>
      <c r="N45" s="21" t="str">
        <f>IF(controls!$B$44=0,"",'normal case'!AF44)</f>
        <v/>
      </c>
      <c r="O45" s="203" t="str">
        <f>IF(controls!$B$44=0,"",'external balance'!D44)</f>
        <v/>
      </c>
      <c r="P45" s="203" t="str">
        <f>IF(controls!$B$44=0,"",'external balance'!F44)</f>
        <v/>
      </c>
      <c r="Q45" s="202" t="str">
        <f>IF(controls!$B$44=0,"",'external balance'!H44)</f>
        <v/>
      </c>
      <c r="R45" s="201" t="str">
        <f>IF('inflation, income and interest'!$A$38=2,"",'delay in perception'!K45/100)</f>
        <v/>
      </c>
      <c r="S45" s="20" t="str">
        <f>IF('inflation, income and interest'!$A$38=2,"",('delay in perception'!E45-'delay in perception'!C45)/'delay in perception'!C45)</f>
        <v/>
      </c>
      <c r="T45" s="20" t="str">
        <f>IF('inflation, income and interest'!$A$38=2,"",('delay in perception'!E45-'delay in perception'!B45)/'delay in perception'!B45)</f>
        <v/>
      </c>
      <c r="U45" s="21" t="str">
        <f>IF('inflation, income and interest'!$A$38=2,"",'delay in perception'!E45)</f>
        <v/>
      </c>
      <c r="V45" s="27" t="str">
        <f>IF('inflation, income and interest'!$A$38=2,"",'delay in perception'!D45)</f>
        <v/>
      </c>
      <c r="W45" s="28" t="str">
        <f>IF('inflation, income and interest'!$A$38=2,"",'delay in perception'!M45/100)</f>
        <v/>
      </c>
      <c r="X45" s="24" t="str">
        <f>IF('inflation, income and interest'!$A$38=2,"",'delay in perception'!L45/100)</f>
        <v/>
      </c>
      <c r="Y45" s="201" t="str">
        <f>IF('inflation, income and interest'!$B$38=2,"",(hystere!E45-hystere!B45)/hystere!B45)</f>
        <v/>
      </c>
      <c r="Z45" s="476" t="str">
        <f>IF('inflation, income and interest'!$B$38=2,"",hystere!M45/100)</f>
        <v/>
      </c>
      <c r="AA45" s="21" t="str">
        <f>IF('inflation, income and interest'!$B$38=2,"",hystere!E45)</f>
        <v/>
      </c>
      <c r="AB45" s="27" t="str">
        <f>IF('inflation, income and interest'!$B$38=2,"",hystere!C45)</f>
        <v/>
      </c>
      <c r="AC45" s="20" t="str">
        <f>IF('inflation, income and interest'!$B$38=2,"",hystere!O45/100)</f>
        <v/>
      </c>
      <c r="AD45" s="20" t="str">
        <f>IF('inflation, income and interest'!$B$38=2,"",hystere!N45/100)</f>
        <v/>
      </c>
    </row>
    <row r="46" spans="1:30" ht="14" thickTop="1" thickBot="1">
      <c r="A46" s="18">
        <v>43</v>
      </c>
      <c r="B46" s="20">
        <f ca="1">('normal case'!D45-'normal case'!B45)/'normal case'!B45</f>
        <v>0</v>
      </c>
      <c r="C46" s="26">
        <f ca="1">'normal case'!D45</f>
        <v>100</v>
      </c>
      <c r="D46" s="27">
        <f ca="1">'normal case'!C45</f>
        <v>0</v>
      </c>
      <c r="E46" s="25">
        <f ca="1">'normal case'!L45/100</f>
        <v>0.02</v>
      </c>
      <c r="F46" s="28">
        <f ca="1">'normal case'!N45/100</f>
        <v>0.06</v>
      </c>
      <c r="G46" s="28">
        <f ca="1">'normal case'!M45/100</f>
        <v>0.04</v>
      </c>
      <c r="H46" s="28">
        <f ca="1">'public finance'!D44</f>
        <v>0</v>
      </c>
      <c r="I46" s="23">
        <f ca="1">'public finance'!E44</f>
        <v>0</v>
      </c>
      <c r="J46" s="153">
        <f ca="1">'public finance'!H44</f>
        <v>0</v>
      </c>
      <c r="K46" s="20">
        <f ca="1">'public finance'!C44/'normal case'!D45</f>
        <v>0.2</v>
      </c>
      <c r="L46" s="23">
        <f ca="1">'public finance'!A44/'normal case'!D45</f>
        <v>0.2</v>
      </c>
      <c r="M46" s="21" t="str">
        <f>IF(controls!$B$44=0,"",'normal case'!AC45)</f>
        <v/>
      </c>
      <c r="N46" s="21" t="str">
        <f>IF(controls!$B$44=0,"",'normal case'!AF45)</f>
        <v/>
      </c>
      <c r="O46" s="203" t="str">
        <f>IF(controls!$B$44=0,"",'external balance'!D45)</f>
        <v/>
      </c>
      <c r="P46" s="203" t="str">
        <f>IF(controls!$B$44=0,"",'external balance'!F45)</f>
        <v/>
      </c>
      <c r="Q46" s="202" t="str">
        <f>IF(controls!$B$44=0,"",'external balance'!H45)</f>
        <v/>
      </c>
      <c r="R46" s="201" t="str">
        <f>IF('inflation, income and interest'!$A$38=2,"",'delay in perception'!K46/100)</f>
        <v/>
      </c>
      <c r="S46" s="20" t="str">
        <f>IF('inflation, income and interest'!$A$38=2,"",('delay in perception'!E46-'delay in perception'!C46)/'delay in perception'!C46)</f>
        <v/>
      </c>
      <c r="T46" s="20" t="str">
        <f>IF('inflation, income and interest'!$A$38=2,"",('delay in perception'!E46-'delay in perception'!B46)/'delay in perception'!B46)</f>
        <v/>
      </c>
      <c r="U46" s="21" t="str">
        <f>IF('inflation, income and interest'!$A$38=2,"",'delay in perception'!E46)</f>
        <v/>
      </c>
      <c r="V46" s="27" t="str">
        <f>IF('inflation, income and interest'!$A$38=2,"",'delay in perception'!D46)</f>
        <v/>
      </c>
      <c r="W46" s="28" t="str">
        <f>IF('inflation, income and interest'!$A$38=2,"",'delay in perception'!M46/100)</f>
        <v/>
      </c>
      <c r="X46" s="24" t="str">
        <f>IF('inflation, income and interest'!$A$38=2,"",'delay in perception'!L46/100)</f>
        <v/>
      </c>
      <c r="Y46" s="201" t="str">
        <f>IF('inflation, income and interest'!$B$38=2,"",(hystere!E46-hystere!B46)/hystere!B46)</f>
        <v/>
      </c>
      <c r="Z46" s="476" t="str">
        <f>IF('inflation, income and interest'!$B$38=2,"",hystere!M46/100)</f>
        <v/>
      </c>
      <c r="AA46" s="21" t="str">
        <f>IF('inflation, income and interest'!$B$38=2,"",hystere!E46)</f>
        <v/>
      </c>
      <c r="AB46" s="27" t="str">
        <f>IF('inflation, income and interest'!$B$38=2,"",hystere!C46)</f>
        <v/>
      </c>
      <c r="AC46" s="20" t="str">
        <f>IF('inflation, income and interest'!$B$38=2,"",hystere!O46/100)</f>
        <v/>
      </c>
      <c r="AD46" s="20" t="str">
        <f>IF('inflation, income and interest'!$B$38=2,"",hystere!N46/100)</f>
        <v/>
      </c>
    </row>
    <row r="47" spans="1:30" ht="14" thickTop="1" thickBot="1">
      <c r="A47" s="18">
        <v>44</v>
      </c>
      <c r="B47" s="20">
        <f ca="1">('normal case'!D46-'normal case'!B46)/'normal case'!B46</f>
        <v>0</v>
      </c>
      <c r="C47" s="26">
        <f ca="1">'normal case'!D46</f>
        <v>100</v>
      </c>
      <c r="D47" s="27">
        <f ca="1">'normal case'!C46</f>
        <v>0</v>
      </c>
      <c r="E47" s="25">
        <f ca="1">'normal case'!L46/100</f>
        <v>0.02</v>
      </c>
      <c r="F47" s="28">
        <f ca="1">'normal case'!N46/100</f>
        <v>0.06</v>
      </c>
      <c r="G47" s="28">
        <f ca="1">'normal case'!M46/100</f>
        <v>0.04</v>
      </c>
      <c r="H47" s="28">
        <f ca="1">'public finance'!D45</f>
        <v>0</v>
      </c>
      <c r="I47" s="23">
        <f ca="1">'public finance'!E45</f>
        <v>0</v>
      </c>
      <c r="J47" s="153">
        <f ca="1">'public finance'!H45</f>
        <v>0</v>
      </c>
      <c r="K47" s="20">
        <f ca="1">'public finance'!C45/'normal case'!D46</f>
        <v>0.2</v>
      </c>
      <c r="L47" s="23">
        <f ca="1">'public finance'!A45/'normal case'!D46</f>
        <v>0.2</v>
      </c>
      <c r="M47" s="21" t="str">
        <f>IF(controls!$B$44=0,"",'normal case'!AC46)</f>
        <v/>
      </c>
      <c r="N47" s="21" t="str">
        <f>IF(controls!$B$44=0,"",'normal case'!AF46)</f>
        <v/>
      </c>
      <c r="O47" s="203" t="str">
        <f>IF(controls!$B$44=0,"",'external balance'!D46)</f>
        <v/>
      </c>
      <c r="P47" s="203" t="str">
        <f>IF(controls!$B$44=0,"",'external balance'!F46)</f>
        <v/>
      </c>
      <c r="Q47" s="202" t="str">
        <f>IF(controls!$B$44=0,"",'external balance'!H46)</f>
        <v/>
      </c>
      <c r="R47" s="201" t="str">
        <f>IF('inflation, income and interest'!$A$38=2,"",'delay in perception'!K47/100)</f>
        <v/>
      </c>
      <c r="S47" s="20" t="str">
        <f>IF('inflation, income and interest'!$A$38=2,"",('delay in perception'!E47-'delay in perception'!C47)/'delay in perception'!C47)</f>
        <v/>
      </c>
      <c r="T47" s="20" t="str">
        <f>IF('inflation, income and interest'!$A$38=2,"",('delay in perception'!E47-'delay in perception'!B47)/'delay in perception'!B47)</f>
        <v/>
      </c>
      <c r="U47" s="21" t="str">
        <f>IF('inflation, income and interest'!$A$38=2,"",'delay in perception'!E47)</f>
        <v/>
      </c>
      <c r="V47" s="27" t="str">
        <f>IF('inflation, income and interest'!$A$38=2,"",'delay in perception'!D47)</f>
        <v/>
      </c>
      <c r="W47" s="28" t="str">
        <f>IF('inflation, income and interest'!$A$38=2,"",'delay in perception'!M47/100)</f>
        <v/>
      </c>
      <c r="X47" s="24" t="str">
        <f>IF('inflation, income and interest'!$A$38=2,"",'delay in perception'!L47/100)</f>
        <v/>
      </c>
      <c r="Y47" s="201" t="str">
        <f>IF('inflation, income and interest'!$B$38=2,"",(hystere!E47-hystere!B47)/hystere!B47)</f>
        <v/>
      </c>
      <c r="Z47" s="476" t="str">
        <f>IF('inflation, income and interest'!$B$38=2,"",hystere!M47/100)</f>
        <v/>
      </c>
      <c r="AA47" s="21" t="str">
        <f>IF('inflation, income and interest'!$B$38=2,"",hystere!E47)</f>
        <v/>
      </c>
      <c r="AB47" s="27" t="str">
        <f>IF('inflation, income and interest'!$B$38=2,"",hystere!C47)</f>
        <v/>
      </c>
      <c r="AC47" s="20" t="str">
        <f>IF('inflation, income and interest'!$B$38=2,"",hystere!O47/100)</f>
        <v/>
      </c>
      <c r="AD47" s="20" t="str">
        <f>IF('inflation, income and interest'!$B$38=2,"",hystere!N47/100)</f>
        <v/>
      </c>
    </row>
    <row r="48" spans="1:30" ht="14" thickTop="1" thickBot="1">
      <c r="A48" s="18">
        <v>45</v>
      </c>
      <c r="B48" s="20">
        <f ca="1">('normal case'!D47-'normal case'!B47)/'normal case'!B47</f>
        <v>0</v>
      </c>
      <c r="C48" s="26">
        <f ca="1">'normal case'!D47</f>
        <v>100</v>
      </c>
      <c r="D48" s="27">
        <f ca="1">'normal case'!C47</f>
        <v>0</v>
      </c>
      <c r="E48" s="25">
        <f ca="1">'normal case'!L47/100</f>
        <v>0.02</v>
      </c>
      <c r="F48" s="28">
        <f ca="1">'normal case'!N47/100</f>
        <v>0.06</v>
      </c>
      <c r="G48" s="28">
        <f ca="1">'normal case'!M47/100</f>
        <v>0.04</v>
      </c>
      <c r="H48" s="28">
        <f ca="1">'public finance'!D46</f>
        <v>0</v>
      </c>
      <c r="I48" s="23">
        <f ca="1">'public finance'!E46</f>
        <v>0</v>
      </c>
      <c r="J48" s="153">
        <f ca="1">'public finance'!H46</f>
        <v>0</v>
      </c>
      <c r="K48" s="20">
        <f ca="1">'public finance'!C46/'normal case'!D47</f>
        <v>0.2</v>
      </c>
      <c r="L48" s="23">
        <f ca="1">'public finance'!A46/'normal case'!D47</f>
        <v>0.2</v>
      </c>
      <c r="M48" s="21" t="str">
        <f>IF(controls!$B$44=0,"",'normal case'!AC47)</f>
        <v/>
      </c>
      <c r="N48" s="21" t="str">
        <f>IF(controls!$B$44=0,"",'normal case'!AF47)</f>
        <v/>
      </c>
      <c r="O48" s="203" t="str">
        <f>IF(controls!$B$44=0,"",'external balance'!D47)</f>
        <v/>
      </c>
      <c r="P48" s="203" t="str">
        <f>IF(controls!$B$44=0,"",'external balance'!F47)</f>
        <v/>
      </c>
      <c r="Q48" s="202" t="str">
        <f>IF(controls!$B$44=0,"",'external balance'!H47)</f>
        <v/>
      </c>
      <c r="R48" s="201" t="str">
        <f>IF('inflation, income and interest'!$A$38=2,"",'delay in perception'!K48/100)</f>
        <v/>
      </c>
      <c r="S48" s="20" t="str">
        <f>IF('inflation, income and interest'!$A$38=2,"",('delay in perception'!E48-'delay in perception'!C48)/'delay in perception'!C48)</f>
        <v/>
      </c>
      <c r="T48" s="20" t="str">
        <f>IF('inflation, income and interest'!$A$38=2,"",('delay in perception'!E48-'delay in perception'!B48)/'delay in perception'!B48)</f>
        <v/>
      </c>
      <c r="U48" s="21" t="str">
        <f>IF('inflation, income and interest'!$A$38=2,"",'delay in perception'!E48)</f>
        <v/>
      </c>
      <c r="V48" s="27" t="str">
        <f>IF('inflation, income and interest'!$A$38=2,"",'delay in perception'!D48)</f>
        <v/>
      </c>
      <c r="W48" s="28" t="str">
        <f>IF('inflation, income and interest'!$A$38=2,"",'delay in perception'!M48/100)</f>
        <v/>
      </c>
      <c r="X48" s="24" t="str">
        <f>IF('inflation, income and interest'!$A$38=2,"",'delay in perception'!L48/100)</f>
        <v/>
      </c>
      <c r="Y48" s="201" t="str">
        <f>IF('inflation, income and interest'!$B$38=2,"",(hystere!E48-hystere!B48)/hystere!B48)</f>
        <v/>
      </c>
      <c r="Z48" s="476" t="str">
        <f>IF('inflation, income and interest'!$B$38=2,"",hystere!M48/100)</f>
        <v/>
      </c>
      <c r="AA48" s="21" t="str">
        <f>IF('inflation, income and interest'!$B$38=2,"",hystere!E48)</f>
        <v/>
      </c>
      <c r="AB48" s="27" t="str">
        <f>IF('inflation, income and interest'!$B$38=2,"",hystere!C48)</f>
        <v/>
      </c>
      <c r="AC48" s="20" t="str">
        <f>IF('inflation, income and interest'!$B$38=2,"",hystere!O48/100)</f>
        <v/>
      </c>
      <c r="AD48" s="20" t="str">
        <f>IF('inflation, income and interest'!$B$38=2,"",hystere!N48/100)</f>
        <v/>
      </c>
    </row>
    <row r="49" spans="1:30" ht="14" thickTop="1" thickBot="1">
      <c r="A49" s="18">
        <v>46</v>
      </c>
      <c r="B49" s="20">
        <f ca="1">('normal case'!D48-'normal case'!B48)/'normal case'!B48</f>
        <v>0</v>
      </c>
      <c r="C49" s="26">
        <f ca="1">'normal case'!D48</f>
        <v>100</v>
      </c>
      <c r="D49" s="27">
        <f ca="1">'normal case'!C48</f>
        <v>0</v>
      </c>
      <c r="E49" s="25">
        <f ca="1">'normal case'!L48/100</f>
        <v>0.02</v>
      </c>
      <c r="F49" s="28">
        <f ca="1">'normal case'!N48/100</f>
        <v>0.06</v>
      </c>
      <c r="G49" s="28">
        <f ca="1">'normal case'!M48/100</f>
        <v>0.04</v>
      </c>
      <c r="H49" s="28">
        <f ca="1">'public finance'!D47</f>
        <v>0</v>
      </c>
      <c r="I49" s="23">
        <f ca="1">'public finance'!E47</f>
        <v>0</v>
      </c>
      <c r="J49" s="153">
        <f ca="1">'public finance'!H47</f>
        <v>0</v>
      </c>
      <c r="K49" s="20">
        <f ca="1">'public finance'!C47/'normal case'!D48</f>
        <v>0.2</v>
      </c>
      <c r="L49" s="23">
        <f ca="1">'public finance'!A47/'normal case'!D48</f>
        <v>0.2</v>
      </c>
      <c r="M49" s="21" t="str">
        <f>IF(controls!$B$44=0,"",'normal case'!AC48)</f>
        <v/>
      </c>
      <c r="N49" s="21" t="str">
        <f>IF(controls!$B$44=0,"",'normal case'!AF48)</f>
        <v/>
      </c>
      <c r="O49" s="203" t="str">
        <f>IF(controls!$B$44=0,"",'external balance'!D48)</f>
        <v/>
      </c>
      <c r="P49" s="203" t="str">
        <f>IF(controls!$B$44=0,"",'external balance'!F48)</f>
        <v/>
      </c>
      <c r="Q49" s="202" t="str">
        <f>IF(controls!$B$44=0,"",'external balance'!H48)</f>
        <v/>
      </c>
      <c r="R49" s="201" t="str">
        <f>IF('inflation, income and interest'!$A$38=2,"",'delay in perception'!K49/100)</f>
        <v/>
      </c>
      <c r="S49" s="20" t="str">
        <f>IF('inflation, income and interest'!$A$38=2,"",('delay in perception'!E49-'delay in perception'!C49)/'delay in perception'!C49)</f>
        <v/>
      </c>
      <c r="T49" s="20" t="str">
        <f>IF('inflation, income and interest'!$A$38=2,"",('delay in perception'!E49-'delay in perception'!B49)/'delay in perception'!B49)</f>
        <v/>
      </c>
      <c r="U49" s="21" t="str">
        <f>IF('inflation, income and interest'!$A$38=2,"",'delay in perception'!E49)</f>
        <v/>
      </c>
      <c r="V49" s="27" t="str">
        <f>IF('inflation, income and interest'!$A$38=2,"",'delay in perception'!D49)</f>
        <v/>
      </c>
      <c r="W49" s="28" t="str">
        <f>IF('inflation, income and interest'!$A$38=2,"",'delay in perception'!M49/100)</f>
        <v/>
      </c>
      <c r="X49" s="24" t="str">
        <f>IF('inflation, income and interest'!$A$38=2,"",'delay in perception'!L49/100)</f>
        <v/>
      </c>
      <c r="Y49" s="201" t="str">
        <f>IF('inflation, income and interest'!$B$38=2,"",(hystere!E49-hystere!B49)/hystere!B49)</f>
        <v/>
      </c>
      <c r="Z49" s="476" t="str">
        <f>IF('inflation, income and interest'!$B$38=2,"",hystere!M49/100)</f>
        <v/>
      </c>
      <c r="AA49" s="21" t="str">
        <f>IF('inflation, income and interest'!$B$38=2,"",hystere!E49)</f>
        <v/>
      </c>
      <c r="AB49" s="27" t="str">
        <f>IF('inflation, income and interest'!$B$38=2,"",hystere!C49)</f>
        <v/>
      </c>
      <c r="AC49" s="20" t="str">
        <f>IF('inflation, income and interest'!$B$38=2,"",hystere!O49/100)</f>
        <v/>
      </c>
      <c r="AD49" s="20" t="str">
        <f>IF('inflation, income and interest'!$B$38=2,"",hystere!N49/100)</f>
        <v/>
      </c>
    </row>
    <row r="50" spans="1:30" ht="14" thickTop="1" thickBot="1">
      <c r="A50" s="18">
        <v>47</v>
      </c>
      <c r="B50" s="20">
        <f ca="1">('normal case'!D49-'normal case'!B49)/'normal case'!B49</f>
        <v>0</v>
      </c>
      <c r="C50" s="26">
        <f ca="1">'normal case'!D49</f>
        <v>100</v>
      </c>
      <c r="D50" s="27">
        <f ca="1">'normal case'!C49</f>
        <v>0</v>
      </c>
      <c r="E50" s="25">
        <f ca="1">'normal case'!L49/100</f>
        <v>0.02</v>
      </c>
      <c r="F50" s="28">
        <f ca="1">'normal case'!N49/100</f>
        <v>0.06</v>
      </c>
      <c r="G50" s="28">
        <f ca="1">'normal case'!M49/100</f>
        <v>0.04</v>
      </c>
      <c r="H50" s="28">
        <f ca="1">'public finance'!D48</f>
        <v>0</v>
      </c>
      <c r="I50" s="23">
        <f ca="1">'public finance'!E48</f>
        <v>0</v>
      </c>
      <c r="J50" s="153">
        <f ca="1">'public finance'!H48</f>
        <v>0</v>
      </c>
      <c r="K50" s="20">
        <f ca="1">'public finance'!C48/'normal case'!D49</f>
        <v>0.2</v>
      </c>
      <c r="L50" s="23">
        <f ca="1">'public finance'!A48/'normal case'!D49</f>
        <v>0.2</v>
      </c>
      <c r="M50" s="21" t="str">
        <f>IF(controls!$B$44=0,"",'normal case'!AC49)</f>
        <v/>
      </c>
      <c r="N50" s="21" t="str">
        <f>IF(controls!$B$44=0,"",'normal case'!AF49)</f>
        <v/>
      </c>
      <c r="O50" s="203" t="str">
        <f>IF(controls!$B$44=0,"",'external balance'!D49)</f>
        <v/>
      </c>
      <c r="P50" s="203" t="str">
        <f>IF(controls!$B$44=0,"",'external balance'!F49)</f>
        <v/>
      </c>
      <c r="Q50" s="202" t="str">
        <f>IF(controls!$B$44=0,"",'external balance'!H49)</f>
        <v/>
      </c>
      <c r="R50" s="201" t="str">
        <f>IF('inflation, income and interest'!$A$38=2,"",'delay in perception'!K50/100)</f>
        <v/>
      </c>
      <c r="S50" s="20" t="str">
        <f>IF('inflation, income and interest'!$A$38=2,"",('delay in perception'!E50-'delay in perception'!C50)/'delay in perception'!C50)</f>
        <v/>
      </c>
      <c r="T50" s="20" t="str">
        <f>IF('inflation, income and interest'!$A$38=2,"",('delay in perception'!E50-'delay in perception'!B50)/'delay in perception'!B50)</f>
        <v/>
      </c>
      <c r="U50" s="21" t="str">
        <f>IF('inflation, income and interest'!$A$38=2,"",'delay in perception'!E50)</f>
        <v/>
      </c>
      <c r="V50" s="27" t="str">
        <f>IF('inflation, income and interest'!$A$38=2,"",'delay in perception'!D50)</f>
        <v/>
      </c>
      <c r="W50" s="28" t="str">
        <f>IF('inflation, income and interest'!$A$38=2,"",'delay in perception'!M50/100)</f>
        <v/>
      </c>
      <c r="X50" s="24" t="str">
        <f>IF('inflation, income and interest'!$A$38=2,"",'delay in perception'!L50/100)</f>
        <v/>
      </c>
      <c r="Y50" s="201" t="str">
        <f>IF('inflation, income and interest'!$B$38=2,"",(hystere!E50-hystere!B50)/hystere!B50)</f>
        <v/>
      </c>
      <c r="Z50" s="476" t="str">
        <f>IF('inflation, income and interest'!$B$38=2,"",hystere!M50/100)</f>
        <v/>
      </c>
      <c r="AA50" s="21" t="str">
        <f>IF('inflation, income and interest'!$B$38=2,"",hystere!E50)</f>
        <v/>
      </c>
      <c r="AB50" s="27" t="str">
        <f>IF('inflation, income and interest'!$B$38=2,"",hystere!C50)</f>
        <v/>
      </c>
      <c r="AC50" s="20" t="str">
        <f>IF('inflation, income and interest'!$B$38=2,"",hystere!O50/100)</f>
        <v/>
      </c>
      <c r="AD50" s="20" t="str">
        <f>IF('inflation, income and interest'!$B$38=2,"",hystere!N50/100)</f>
        <v/>
      </c>
    </row>
    <row r="51" spans="1:30" ht="14" thickTop="1" thickBot="1">
      <c r="A51" s="18">
        <v>48</v>
      </c>
      <c r="B51" s="20">
        <f ca="1">('normal case'!D50-'normal case'!B50)/'normal case'!B50</f>
        <v>0</v>
      </c>
      <c r="C51" s="26">
        <f ca="1">'normal case'!D50</f>
        <v>100</v>
      </c>
      <c r="D51" s="27">
        <f ca="1">'normal case'!C50</f>
        <v>0</v>
      </c>
      <c r="E51" s="25">
        <f ca="1">'normal case'!L50/100</f>
        <v>0.02</v>
      </c>
      <c r="F51" s="28">
        <f ca="1">'normal case'!N50/100</f>
        <v>0.06</v>
      </c>
      <c r="G51" s="28">
        <f ca="1">'normal case'!M50/100</f>
        <v>0.04</v>
      </c>
      <c r="H51" s="28">
        <f ca="1">'public finance'!D49</f>
        <v>0</v>
      </c>
      <c r="I51" s="23">
        <f ca="1">'public finance'!E49</f>
        <v>0</v>
      </c>
      <c r="J51" s="153">
        <f ca="1">'public finance'!H49</f>
        <v>0</v>
      </c>
      <c r="K51" s="20">
        <f ca="1">'public finance'!C49/'normal case'!D50</f>
        <v>0.2</v>
      </c>
      <c r="L51" s="23">
        <f ca="1">'public finance'!A49/'normal case'!D50</f>
        <v>0.2</v>
      </c>
      <c r="M51" s="21" t="str">
        <f>IF(controls!$B$44=0,"",'normal case'!AC50)</f>
        <v/>
      </c>
      <c r="N51" s="21" t="str">
        <f>IF(controls!$B$44=0,"",'normal case'!AF50)</f>
        <v/>
      </c>
      <c r="O51" s="203" t="str">
        <f>IF(controls!$B$44=0,"",'external balance'!D50)</f>
        <v/>
      </c>
      <c r="P51" s="203" t="str">
        <f>IF(controls!$B$44=0,"",'external balance'!F50)</f>
        <v/>
      </c>
      <c r="Q51" s="202" t="str">
        <f>IF(controls!$B$44=0,"",'external balance'!H50)</f>
        <v/>
      </c>
      <c r="R51" s="201" t="str">
        <f>IF('inflation, income and interest'!$A$38=2,"",'delay in perception'!K51/100)</f>
        <v/>
      </c>
      <c r="S51" s="20" t="str">
        <f>IF('inflation, income and interest'!$A$38=2,"",('delay in perception'!E51-'delay in perception'!C51)/'delay in perception'!C51)</f>
        <v/>
      </c>
      <c r="T51" s="20" t="str">
        <f>IF('inflation, income and interest'!$A$38=2,"",('delay in perception'!E51-'delay in perception'!B51)/'delay in perception'!B51)</f>
        <v/>
      </c>
      <c r="U51" s="21" t="str">
        <f>IF('inflation, income and interest'!$A$38=2,"",'delay in perception'!E51)</f>
        <v/>
      </c>
      <c r="V51" s="27" t="str">
        <f>IF('inflation, income and interest'!$A$38=2,"",'delay in perception'!D51)</f>
        <v/>
      </c>
      <c r="W51" s="28" t="str">
        <f>IF('inflation, income and interest'!$A$38=2,"",'delay in perception'!M51/100)</f>
        <v/>
      </c>
      <c r="X51" s="24" t="str">
        <f>IF('inflation, income and interest'!$A$38=2,"",'delay in perception'!L51/100)</f>
        <v/>
      </c>
      <c r="Y51" s="201" t="str">
        <f>IF('inflation, income and interest'!$B$38=2,"",(hystere!E51-hystere!B51)/hystere!B51)</f>
        <v/>
      </c>
      <c r="Z51" s="476" t="str">
        <f>IF('inflation, income and interest'!$B$38=2,"",hystere!M51/100)</f>
        <v/>
      </c>
      <c r="AA51" s="21" t="str">
        <f>IF('inflation, income and interest'!$B$38=2,"",hystere!E51)</f>
        <v/>
      </c>
      <c r="AB51" s="27" t="str">
        <f>IF('inflation, income and interest'!$B$38=2,"",hystere!C51)</f>
        <v/>
      </c>
      <c r="AC51" s="20" t="str">
        <f>IF('inflation, income and interest'!$B$38=2,"",hystere!O51/100)</f>
        <v/>
      </c>
      <c r="AD51" s="20" t="str">
        <f>IF('inflation, income and interest'!$B$38=2,"",hystere!N51/100)</f>
        <v/>
      </c>
    </row>
    <row r="52" spans="1:30" ht="14" thickTop="1" thickBot="1">
      <c r="A52" s="18">
        <v>49</v>
      </c>
      <c r="B52" s="20">
        <f ca="1">('normal case'!D51-'normal case'!B51)/'normal case'!B51</f>
        <v>0</v>
      </c>
      <c r="C52" s="26">
        <f ca="1">'normal case'!D51</f>
        <v>100</v>
      </c>
      <c r="D52" s="27">
        <f ca="1">'normal case'!C51</f>
        <v>0</v>
      </c>
      <c r="E52" s="25">
        <f ca="1">'normal case'!L51/100</f>
        <v>0.02</v>
      </c>
      <c r="F52" s="28">
        <f ca="1">'normal case'!N51/100</f>
        <v>0.06</v>
      </c>
      <c r="G52" s="28">
        <f ca="1">'normal case'!M51/100</f>
        <v>0.04</v>
      </c>
      <c r="H52" s="28">
        <f ca="1">'public finance'!D50</f>
        <v>0</v>
      </c>
      <c r="I52" s="23">
        <f ca="1">'public finance'!E50</f>
        <v>0</v>
      </c>
      <c r="J52" s="153">
        <f ca="1">'public finance'!H50</f>
        <v>0</v>
      </c>
      <c r="K52" s="20">
        <f ca="1">'public finance'!C50/'normal case'!D51</f>
        <v>0.2</v>
      </c>
      <c r="L52" s="23">
        <f ca="1">'public finance'!A50/'normal case'!D51</f>
        <v>0.2</v>
      </c>
      <c r="M52" s="21" t="str">
        <f>IF(controls!$B$44=0,"",'normal case'!AC51)</f>
        <v/>
      </c>
      <c r="N52" s="21" t="str">
        <f>IF(controls!$B$44=0,"",'normal case'!AF51)</f>
        <v/>
      </c>
      <c r="O52" s="203" t="str">
        <f>IF(controls!$B$44=0,"",'external balance'!D51)</f>
        <v/>
      </c>
      <c r="P52" s="203" t="str">
        <f>IF(controls!$B$44=0,"",'external balance'!F51)</f>
        <v/>
      </c>
      <c r="Q52" s="202" t="str">
        <f>IF(controls!$B$44=0,"",'external balance'!H51)</f>
        <v/>
      </c>
      <c r="R52" s="201" t="str">
        <f>IF('inflation, income and interest'!$A$38=2,"",'delay in perception'!K52/100)</f>
        <v/>
      </c>
      <c r="S52" s="20" t="str">
        <f>IF('inflation, income and interest'!$A$38=2,"",('delay in perception'!E52-'delay in perception'!C52)/'delay in perception'!C52)</f>
        <v/>
      </c>
      <c r="T52" s="20" t="str">
        <f>IF('inflation, income and interest'!$A$38=2,"",('delay in perception'!E52-'delay in perception'!B52)/'delay in perception'!B52)</f>
        <v/>
      </c>
      <c r="U52" s="21" t="str">
        <f>IF('inflation, income and interest'!$A$38=2,"",'delay in perception'!E52)</f>
        <v/>
      </c>
      <c r="V52" s="27" t="str">
        <f>IF('inflation, income and interest'!$A$38=2,"",'delay in perception'!D52)</f>
        <v/>
      </c>
      <c r="W52" s="28" t="str">
        <f>IF('inflation, income and interest'!$A$38=2,"",'delay in perception'!M52/100)</f>
        <v/>
      </c>
      <c r="X52" s="24" t="str">
        <f>IF('inflation, income and interest'!$A$38=2,"",'delay in perception'!L52/100)</f>
        <v/>
      </c>
      <c r="Y52" s="201" t="str">
        <f>IF('inflation, income and interest'!$B$38=2,"",(hystere!E52-hystere!B52)/hystere!B52)</f>
        <v/>
      </c>
      <c r="Z52" s="476" t="str">
        <f>IF('inflation, income and interest'!$B$38=2,"",hystere!M52/100)</f>
        <v/>
      </c>
      <c r="AA52" s="21" t="str">
        <f>IF('inflation, income and interest'!$B$38=2,"",hystere!E52)</f>
        <v/>
      </c>
      <c r="AB52" s="27" t="str">
        <f>IF('inflation, income and interest'!$B$38=2,"",hystere!C52)</f>
        <v/>
      </c>
      <c r="AC52" s="20" t="str">
        <f>IF('inflation, income and interest'!$B$38=2,"",hystere!O52/100)</f>
        <v/>
      </c>
      <c r="AD52" s="20" t="str">
        <f>IF('inflation, income and interest'!$B$38=2,"",hystere!N52/100)</f>
        <v/>
      </c>
    </row>
    <row r="53" spans="1:30" ht="14" thickTop="1" thickBot="1">
      <c r="A53" s="18">
        <v>50</v>
      </c>
      <c r="B53" s="20">
        <f ca="1">('normal case'!D52-'normal case'!B52)/'normal case'!B52</f>
        <v>0</v>
      </c>
      <c r="C53" s="26">
        <f ca="1">'normal case'!D52</f>
        <v>100</v>
      </c>
      <c r="D53" s="27">
        <f ca="1">'normal case'!C52</f>
        <v>0</v>
      </c>
      <c r="E53" s="25">
        <f ca="1">'normal case'!L52/100</f>
        <v>0.02</v>
      </c>
      <c r="F53" s="28">
        <f ca="1">'normal case'!N52/100</f>
        <v>0.06</v>
      </c>
      <c r="G53" s="28">
        <f ca="1">'normal case'!M52/100</f>
        <v>0.04</v>
      </c>
      <c r="H53" s="28">
        <f ca="1">'public finance'!D51</f>
        <v>0</v>
      </c>
      <c r="I53" s="23">
        <f ca="1">'public finance'!E51</f>
        <v>0</v>
      </c>
      <c r="J53" s="153">
        <f ca="1">'public finance'!H51</f>
        <v>0</v>
      </c>
      <c r="K53" s="20">
        <f ca="1">'public finance'!C51/'normal case'!D52</f>
        <v>0.2</v>
      </c>
      <c r="L53" s="23">
        <f ca="1">'public finance'!A51/'normal case'!D52</f>
        <v>0.2</v>
      </c>
      <c r="M53" s="21" t="str">
        <f>IF(controls!$B$44=0,"",'normal case'!AC52)</f>
        <v/>
      </c>
      <c r="N53" s="21" t="str">
        <f>IF(controls!$B$44=0,"",'normal case'!AF52)</f>
        <v/>
      </c>
      <c r="O53" s="203" t="str">
        <f>IF(controls!$B$44=0,"",'external balance'!D52)</f>
        <v/>
      </c>
      <c r="P53" s="203" t="str">
        <f>IF(controls!$B$44=0,"",'external balance'!F52)</f>
        <v/>
      </c>
      <c r="Q53" s="202" t="str">
        <f>IF(controls!$B$44=0,"",'external balance'!H52)</f>
        <v/>
      </c>
      <c r="R53" s="201" t="str">
        <f>IF('inflation, income and interest'!$A$38=2,"",'delay in perception'!K53/100)</f>
        <v/>
      </c>
      <c r="S53" s="20" t="str">
        <f>IF('inflation, income and interest'!$A$38=2,"",('delay in perception'!E53-'delay in perception'!C53)/'delay in perception'!C53)</f>
        <v/>
      </c>
      <c r="T53" s="20" t="str">
        <f>IF('inflation, income and interest'!$A$38=2,"",('delay in perception'!E53-'delay in perception'!B53)/'delay in perception'!B53)</f>
        <v/>
      </c>
      <c r="U53" s="21" t="str">
        <f>IF('inflation, income and interest'!$A$38=2,"",'delay in perception'!E53)</f>
        <v/>
      </c>
      <c r="V53" s="27" t="str">
        <f>IF('inflation, income and interest'!$A$38=2,"",'delay in perception'!D53)</f>
        <v/>
      </c>
      <c r="W53" s="28" t="str">
        <f>IF('inflation, income and interest'!$A$38=2,"",'delay in perception'!M53/100)</f>
        <v/>
      </c>
      <c r="X53" s="24" t="str">
        <f>IF('inflation, income and interest'!$A$38=2,"",'delay in perception'!L53/100)</f>
        <v/>
      </c>
      <c r="Y53" s="201" t="str">
        <f>IF('inflation, income and interest'!$B$38=2,"",(hystere!E53-hystere!B53)/hystere!B53)</f>
        <v/>
      </c>
      <c r="Z53" s="476" t="str">
        <f>IF('inflation, income and interest'!$B$38=2,"",hystere!M53/100)</f>
        <v/>
      </c>
      <c r="AA53" s="21" t="str">
        <f>IF('inflation, income and interest'!$B$38=2,"",hystere!E53)</f>
        <v/>
      </c>
      <c r="AB53" s="27" t="str">
        <f>IF('inflation, income and interest'!$B$38=2,"",hystere!C53)</f>
        <v/>
      </c>
      <c r="AC53" s="20" t="str">
        <f>IF('inflation, income and interest'!$B$38=2,"",hystere!O53/100)</f>
        <v/>
      </c>
      <c r="AD53" s="20" t="str">
        <f>IF('inflation, income and interest'!$B$38=2,"",hystere!N53/100)</f>
        <v/>
      </c>
    </row>
    <row r="54" spans="1:30" ht="14" thickTop="1" thickBot="1">
      <c r="A54" s="32">
        <v>51</v>
      </c>
      <c r="B54" s="20">
        <f ca="1">('normal case'!D53-'normal case'!B53)/'normal case'!B53</f>
        <v>0</v>
      </c>
      <c r="C54" s="26">
        <f ca="1">'normal case'!D53</f>
        <v>100</v>
      </c>
      <c r="D54" s="27">
        <f ca="1">'normal case'!C53</f>
        <v>0</v>
      </c>
      <c r="E54" s="25">
        <f ca="1">'normal case'!L53/100</f>
        <v>0.02</v>
      </c>
      <c r="F54" s="28">
        <f ca="1">'normal case'!N53/100</f>
        <v>0.06</v>
      </c>
      <c r="G54" s="28">
        <f ca="1">'normal case'!M53/100</f>
        <v>0.04</v>
      </c>
      <c r="H54" s="28">
        <f ca="1">'public finance'!D52</f>
        <v>0</v>
      </c>
      <c r="I54" s="23">
        <f ca="1">'public finance'!E52</f>
        <v>0</v>
      </c>
      <c r="J54" s="153">
        <f ca="1">'public finance'!H52</f>
        <v>0</v>
      </c>
      <c r="K54" s="20">
        <f ca="1">'public finance'!C52/'normal case'!D53</f>
        <v>0.2</v>
      </c>
      <c r="L54" s="23">
        <f ca="1">'public finance'!A52/'normal case'!D53</f>
        <v>0.2</v>
      </c>
      <c r="M54" s="21" t="str">
        <f>IF(controls!$B$44=0,"",'normal case'!AC53)</f>
        <v/>
      </c>
      <c r="N54" s="21" t="str">
        <f>IF(controls!$B$44=0,"",'normal case'!AF53)</f>
        <v/>
      </c>
      <c r="O54" s="203" t="str">
        <f>IF(controls!$B$44=0,"",'external balance'!D53)</f>
        <v/>
      </c>
      <c r="P54" s="203" t="str">
        <f>IF(controls!$B$44=0,"",'external balance'!F53)</f>
        <v/>
      </c>
      <c r="Q54" s="202" t="str">
        <f>IF(controls!$B$44=0,"",'external balance'!H53)</f>
        <v/>
      </c>
      <c r="R54" s="201" t="str">
        <f>IF('inflation, income and interest'!$A$38=2,"",'delay in perception'!K54/100)</f>
        <v/>
      </c>
      <c r="S54" s="20" t="str">
        <f>IF('inflation, income and interest'!$A$38=2,"",('delay in perception'!E54-'delay in perception'!C54)/'delay in perception'!C54)</f>
        <v/>
      </c>
      <c r="T54" s="20" t="str">
        <f>IF('inflation, income and interest'!$A$38=2,"",('delay in perception'!E54-'delay in perception'!B54)/'delay in perception'!B54)</f>
        <v/>
      </c>
      <c r="U54" s="21" t="str">
        <f>IF('inflation, income and interest'!$A$38=2,"",'delay in perception'!E54)</f>
        <v/>
      </c>
      <c r="V54" s="27" t="str">
        <f>IF('inflation, income and interest'!$A$38=2,"",'delay in perception'!D54)</f>
        <v/>
      </c>
      <c r="W54" s="28" t="str">
        <f>IF('inflation, income and interest'!$A$38=2,"",'delay in perception'!M54/100)</f>
        <v/>
      </c>
      <c r="X54" s="24" t="str">
        <f>IF('inflation, income and interest'!$A$38=2,"",'delay in perception'!L54/100)</f>
        <v/>
      </c>
      <c r="Y54" s="201" t="str">
        <f>IF('inflation, income and interest'!$B$38=2,"",(hystere!E54-hystere!B54)/hystere!B54)</f>
        <v/>
      </c>
      <c r="Z54" s="476" t="str">
        <f>IF('inflation, income and interest'!$B$38=2,"",hystere!M54/100)</f>
        <v/>
      </c>
      <c r="AA54" s="21" t="str">
        <f>IF('inflation, income and interest'!$B$38=2,"",hystere!E54)</f>
        <v/>
      </c>
      <c r="AB54" s="27" t="str">
        <f>IF('inflation, income and interest'!$B$38=2,"",hystere!C54)</f>
        <v/>
      </c>
      <c r="AC54" s="20" t="str">
        <f>IF('inflation, income and interest'!$B$38=2,"",hystere!O54/100)</f>
        <v/>
      </c>
      <c r="AD54" s="20" t="str">
        <f>IF('inflation, income and interest'!$B$38=2,"",hystere!N54/100)</f>
        <v/>
      </c>
    </row>
    <row r="55" spans="1:30" ht="14" thickTop="1" thickBot="1">
      <c r="A55" s="32">
        <v>52</v>
      </c>
      <c r="B55" s="20">
        <f ca="1">('normal case'!D54-'normal case'!B54)/'normal case'!B54</f>
        <v>0</v>
      </c>
      <c r="C55" s="26">
        <f ca="1">'normal case'!D54</f>
        <v>100</v>
      </c>
      <c r="D55" s="27">
        <f ca="1">'normal case'!C54</f>
        <v>0</v>
      </c>
      <c r="E55" s="25">
        <f ca="1">'normal case'!L54/100</f>
        <v>0.02</v>
      </c>
      <c r="F55" s="28">
        <f ca="1">'normal case'!N54/100</f>
        <v>0.06</v>
      </c>
      <c r="G55" s="28">
        <f ca="1">'normal case'!M54/100</f>
        <v>0.04</v>
      </c>
      <c r="H55" s="28">
        <f ca="1">'public finance'!D53</f>
        <v>0</v>
      </c>
      <c r="I55" s="23">
        <f ca="1">'public finance'!E53</f>
        <v>0</v>
      </c>
      <c r="J55" s="153">
        <f ca="1">'public finance'!H53</f>
        <v>0</v>
      </c>
      <c r="K55" s="20">
        <f ca="1">'public finance'!C53/'normal case'!D54</f>
        <v>0.2</v>
      </c>
      <c r="L55" s="23">
        <f ca="1">'public finance'!A53/'normal case'!D54</f>
        <v>0.2</v>
      </c>
      <c r="M55" s="21" t="str">
        <f>IF(controls!$B$44=0,"",'normal case'!AC54)</f>
        <v/>
      </c>
      <c r="N55" s="21" t="str">
        <f>IF(controls!$B$44=0,"",'normal case'!AF54)</f>
        <v/>
      </c>
      <c r="O55" s="203" t="str">
        <f>IF(controls!$B$44=0,"",'external balance'!D54)</f>
        <v/>
      </c>
      <c r="P55" s="203" t="str">
        <f>IF(controls!$B$44=0,"",'external balance'!F54)</f>
        <v/>
      </c>
      <c r="Q55" s="202" t="str">
        <f>IF(controls!$B$44=0,"",'external balance'!H54)</f>
        <v/>
      </c>
      <c r="R55" s="201" t="str">
        <f>IF('inflation, income and interest'!$A$38=2,"",'delay in perception'!K55/100)</f>
        <v/>
      </c>
      <c r="S55" s="20" t="str">
        <f>IF('inflation, income and interest'!$A$38=2,"",('delay in perception'!E55-'delay in perception'!C55)/'delay in perception'!C55)</f>
        <v/>
      </c>
      <c r="T55" s="20" t="str">
        <f>IF('inflation, income and interest'!$A$38=2,"",('delay in perception'!E55-'delay in perception'!B55)/'delay in perception'!B55)</f>
        <v/>
      </c>
      <c r="U55" s="21" t="str">
        <f>IF('inflation, income and interest'!$A$38=2,"",'delay in perception'!E55)</f>
        <v/>
      </c>
      <c r="V55" s="27" t="str">
        <f>IF('inflation, income and interest'!$A$38=2,"",'delay in perception'!D55)</f>
        <v/>
      </c>
      <c r="W55" s="28" t="str">
        <f>IF('inflation, income and interest'!$A$38=2,"",'delay in perception'!M55/100)</f>
        <v/>
      </c>
      <c r="X55" s="24" t="str">
        <f>IF('inflation, income and interest'!$A$38=2,"",'delay in perception'!L55/100)</f>
        <v/>
      </c>
      <c r="Y55" s="201" t="str">
        <f>IF('inflation, income and interest'!$B$38=2,"",(hystere!E55-hystere!B55)/hystere!B55)</f>
        <v/>
      </c>
      <c r="Z55" s="476" t="str">
        <f>IF('inflation, income and interest'!$B$38=2,"",hystere!M55/100)</f>
        <v/>
      </c>
      <c r="AA55" s="21" t="str">
        <f>IF('inflation, income and interest'!$B$38=2,"",hystere!E55)</f>
        <v/>
      </c>
      <c r="AB55" s="27" t="str">
        <f>IF('inflation, income and interest'!$B$38=2,"",hystere!C55)</f>
        <v/>
      </c>
      <c r="AC55" s="20" t="str">
        <f>IF('inflation, income and interest'!$B$38=2,"",hystere!O55/100)</f>
        <v/>
      </c>
      <c r="AD55" s="20" t="str">
        <f>IF('inflation, income and interest'!$B$38=2,"",hystere!N55/100)</f>
        <v/>
      </c>
    </row>
    <row r="56" spans="1:30" ht="14" thickTop="1" thickBot="1">
      <c r="A56" s="32">
        <v>53</v>
      </c>
      <c r="B56" s="20">
        <f ca="1">('normal case'!D55-'normal case'!B55)/'normal case'!B55</f>
        <v>0</v>
      </c>
      <c r="C56" s="26">
        <f ca="1">'normal case'!D55</f>
        <v>100</v>
      </c>
      <c r="D56" s="27">
        <f ca="1">'normal case'!C55</f>
        <v>0</v>
      </c>
      <c r="E56" s="25">
        <f ca="1">'normal case'!L55/100</f>
        <v>0.02</v>
      </c>
      <c r="F56" s="28">
        <f ca="1">'normal case'!N55/100</f>
        <v>0.06</v>
      </c>
      <c r="G56" s="28">
        <f ca="1">'normal case'!M55/100</f>
        <v>0.04</v>
      </c>
      <c r="H56" s="28">
        <f ca="1">'public finance'!D54</f>
        <v>0</v>
      </c>
      <c r="I56" s="23">
        <f ca="1">'public finance'!E54</f>
        <v>0</v>
      </c>
      <c r="J56" s="153">
        <f ca="1">'public finance'!H54</f>
        <v>0</v>
      </c>
      <c r="K56" s="20">
        <f ca="1">'public finance'!C54/'normal case'!D55</f>
        <v>0.2</v>
      </c>
      <c r="L56" s="23">
        <f ca="1">'public finance'!A54/'normal case'!D55</f>
        <v>0.2</v>
      </c>
      <c r="M56" s="21" t="str">
        <f>IF(controls!$B$44=0,"",'normal case'!AC55)</f>
        <v/>
      </c>
      <c r="N56" s="21" t="str">
        <f>IF(controls!$B$44=0,"",'normal case'!AF55)</f>
        <v/>
      </c>
      <c r="O56" s="203" t="str">
        <f>IF(controls!$B$44=0,"",'external balance'!D55)</f>
        <v/>
      </c>
      <c r="P56" s="203" t="str">
        <f>IF(controls!$B$44=0,"",'external balance'!F55)</f>
        <v/>
      </c>
      <c r="Q56" s="202" t="str">
        <f>IF(controls!$B$44=0,"",'external balance'!H55)</f>
        <v/>
      </c>
      <c r="R56" s="201" t="str">
        <f>IF('inflation, income and interest'!$A$38=2,"",'delay in perception'!K56/100)</f>
        <v/>
      </c>
      <c r="S56" s="20" t="str">
        <f>IF('inflation, income and interest'!$A$38=2,"",('delay in perception'!E56-'delay in perception'!C56)/'delay in perception'!C56)</f>
        <v/>
      </c>
      <c r="T56" s="20" t="str">
        <f>IF('inflation, income and interest'!$A$38=2,"",('delay in perception'!E56-'delay in perception'!B56)/'delay in perception'!B56)</f>
        <v/>
      </c>
      <c r="U56" s="21" t="str">
        <f>IF('inflation, income and interest'!$A$38=2,"",'delay in perception'!E56)</f>
        <v/>
      </c>
      <c r="V56" s="27" t="str">
        <f>IF('inflation, income and interest'!$A$38=2,"",'delay in perception'!D56)</f>
        <v/>
      </c>
      <c r="W56" s="28" t="str">
        <f>IF('inflation, income and interest'!$A$38=2,"",'delay in perception'!M56/100)</f>
        <v/>
      </c>
      <c r="X56" s="24" t="str">
        <f>IF('inflation, income and interest'!$A$38=2,"",'delay in perception'!L56/100)</f>
        <v/>
      </c>
      <c r="Y56" s="201" t="str">
        <f>IF('inflation, income and interest'!$B$38=2,"",(hystere!E56-hystere!B56)/hystere!B56)</f>
        <v/>
      </c>
      <c r="Z56" s="476" t="str">
        <f>IF('inflation, income and interest'!$B$38=2,"",hystere!M56/100)</f>
        <v/>
      </c>
      <c r="AA56" s="21" t="str">
        <f>IF('inflation, income and interest'!$B$38=2,"",hystere!E56)</f>
        <v/>
      </c>
      <c r="AB56" s="27" t="str">
        <f>IF('inflation, income and interest'!$B$38=2,"",hystere!C56)</f>
        <v/>
      </c>
      <c r="AC56" s="20" t="str">
        <f>IF('inflation, income and interest'!$B$38=2,"",hystere!O56/100)</f>
        <v/>
      </c>
      <c r="AD56" s="20" t="str">
        <f>IF('inflation, income and interest'!$B$38=2,"",hystere!N56/100)</f>
        <v/>
      </c>
    </row>
    <row r="57" spans="1:30" ht="14" thickTop="1" thickBot="1">
      <c r="A57" s="32">
        <v>54</v>
      </c>
      <c r="B57" s="20">
        <f ca="1">('normal case'!D56-'normal case'!B56)/'normal case'!B56</f>
        <v>0</v>
      </c>
      <c r="C57" s="26">
        <f ca="1">'normal case'!D56</f>
        <v>100</v>
      </c>
      <c r="D57" s="27">
        <f ca="1">'normal case'!C56</f>
        <v>0</v>
      </c>
      <c r="E57" s="25">
        <f ca="1">'normal case'!L56/100</f>
        <v>0.02</v>
      </c>
      <c r="F57" s="28">
        <f ca="1">'normal case'!N56/100</f>
        <v>0.06</v>
      </c>
      <c r="G57" s="28">
        <f ca="1">'normal case'!M56/100</f>
        <v>0.04</v>
      </c>
      <c r="H57" s="28">
        <f ca="1">'public finance'!D55</f>
        <v>0</v>
      </c>
      <c r="I57" s="23">
        <f ca="1">'public finance'!E55</f>
        <v>0</v>
      </c>
      <c r="J57" s="153">
        <f ca="1">'public finance'!H55</f>
        <v>0</v>
      </c>
      <c r="K57" s="20">
        <f ca="1">'public finance'!C55/'normal case'!D56</f>
        <v>0.2</v>
      </c>
      <c r="L57" s="23">
        <f ca="1">'public finance'!A55/'normal case'!D56</f>
        <v>0.2</v>
      </c>
      <c r="M57" s="21" t="str">
        <f>IF(controls!$B$44=0,"",'normal case'!AC56)</f>
        <v/>
      </c>
      <c r="N57" s="21" t="str">
        <f>IF(controls!$B$44=0,"",'normal case'!AF56)</f>
        <v/>
      </c>
      <c r="O57" s="203" t="str">
        <f>IF(controls!$B$44=0,"",'external balance'!D56)</f>
        <v/>
      </c>
      <c r="P57" s="203" t="str">
        <f>IF(controls!$B$44=0,"",'external balance'!F56)</f>
        <v/>
      </c>
      <c r="Q57" s="202" t="str">
        <f>IF(controls!$B$44=0,"",'external balance'!H56)</f>
        <v/>
      </c>
      <c r="R57" s="201" t="str">
        <f>IF('inflation, income and interest'!$A$38=2,"",'delay in perception'!K57/100)</f>
        <v/>
      </c>
      <c r="S57" s="20" t="str">
        <f>IF('inflation, income and interest'!$A$38=2,"",('delay in perception'!E57-'delay in perception'!C57)/'delay in perception'!C57)</f>
        <v/>
      </c>
      <c r="T57" s="20" t="str">
        <f>IF('inflation, income and interest'!$A$38=2,"",('delay in perception'!E57-'delay in perception'!B57)/'delay in perception'!B57)</f>
        <v/>
      </c>
      <c r="U57" s="21" t="str">
        <f>IF('inflation, income and interest'!$A$38=2,"",'delay in perception'!E57)</f>
        <v/>
      </c>
      <c r="V57" s="27" t="str">
        <f>IF('inflation, income and interest'!$A$38=2,"",'delay in perception'!D57)</f>
        <v/>
      </c>
      <c r="W57" s="28" t="str">
        <f>IF('inflation, income and interest'!$A$38=2,"",'delay in perception'!M57/100)</f>
        <v/>
      </c>
      <c r="X57" s="24" t="str">
        <f>IF('inflation, income and interest'!$A$38=2,"",'delay in perception'!L57/100)</f>
        <v/>
      </c>
      <c r="Y57" s="201" t="str">
        <f>IF('inflation, income and interest'!$B$38=2,"",(hystere!E57-hystere!B57)/hystere!B57)</f>
        <v/>
      </c>
      <c r="Z57" s="476" t="str">
        <f>IF('inflation, income and interest'!$B$38=2,"",hystere!M57/100)</f>
        <v/>
      </c>
      <c r="AA57" s="21" t="str">
        <f>IF('inflation, income and interest'!$B$38=2,"",hystere!E57)</f>
        <v/>
      </c>
      <c r="AB57" s="27" t="str">
        <f>IF('inflation, income and interest'!$B$38=2,"",hystere!C57)</f>
        <v/>
      </c>
      <c r="AC57" s="20" t="str">
        <f>IF('inflation, income and interest'!$B$38=2,"",hystere!O57/100)</f>
        <v/>
      </c>
      <c r="AD57" s="20" t="str">
        <f>IF('inflation, income and interest'!$B$38=2,"",hystere!N57/100)</f>
        <v/>
      </c>
    </row>
    <row r="58" spans="1:30" ht="14" thickTop="1" thickBot="1">
      <c r="A58" s="32">
        <v>55</v>
      </c>
      <c r="B58" s="20">
        <f ca="1">('normal case'!D57-'normal case'!B57)/'normal case'!B57</f>
        <v>0</v>
      </c>
      <c r="C58" s="26">
        <f ca="1">'normal case'!D57</f>
        <v>100</v>
      </c>
      <c r="D58" s="27">
        <f ca="1">'normal case'!C57</f>
        <v>0</v>
      </c>
      <c r="E58" s="25">
        <f ca="1">'normal case'!L57/100</f>
        <v>0.02</v>
      </c>
      <c r="F58" s="28">
        <f ca="1">'normal case'!N57/100</f>
        <v>0.06</v>
      </c>
      <c r="G58" s="28">
        <f ca="1">'normal case'!M57/100</f>
        <v>0.04</v>
      </c>
      <c r="H58" s="28">
        <f ca="1">'public finance'!D56</f>
        <v>0</v>
      </c>
      <c r="I58" s="23">
        <f ca="1">'public finance'!E56</f>
        <v>0</v>
      </c>
      <c r="J58" s="153">
        <f ca="1">'public finance'!H56</f>
        <v>0</v>
      </c>
      <c r="K58" s="20">
        <f ca="1">'public finance'!C56/'normal case'!D57</f>
        <v>0.2</v>
      </c>
      <c r="L58" s="23">
        <f ca="1">'public finance'!A56/'normal case'!D57</f>
        <v>0.2</v>
      </c>
      <c r="M58" s="21" t="str">
        <f>IF(controls!$B$44=0,"",'normal case'!AC57)</f>
        <v/>
      </c>
      <c r="N58" s="21" t="str">
        <f>IF(controls!$B$44=0,"",'normal case'!AF57)</f>
        <v/>
      </c>
      <c r="O58" s="203" t="str">
        <f>IF(controls!$B$44=0,"",'external balance'!D57)</f>
        <v/>
      </c>
      <c r="P58" s="203" t="str">
        <f>IF(controls!$B$44=0,"",'external balance'!F57)</f>
        <v/>
      </c>
      <c r="Q58" s="202" t="str">
        <f>IF(controls!$B$44=0,"",'external balance'!H57)</f>
        <v/>
      </c>
      <c r="R58" s="201" t="str">
        <f>IF('inflation, income and interest'!$A$38=2,"",'delay in perception'!K58/100)</f>
        <v/>
      </c>
      <c r="S58" s="20" t="str">
        <f>IF('inflation, income and interest'!$A$38=2,"",('delay in perception'!E58-'delay in perception'!C58)/'delay in perception'!C58)</f>
        <v/>
      </c>
      <c r="T58" s="20" t="str">
        <f>IF('inflation, income and interest'!$A$38=2,"",('delay in perception'!E58-'delay in perception'!B58)/'delay in perception'!B58)</f>
        <v/>
      </c>
      <c r="U58" s="21" t="str">
        <f>IF('inflation, income and interest'!$A$38=2,"",'delay in perception'!E58)</f>
        <v/>
      </c>
      <c r="V58" s="27" t="str">
        <f>IF('inflation, income and interest'!$A$38=2,"",'delay in perception'!D58)</f>
        <v/>
      </c>
      <c r="W58" s="28" t="str">
        <f>IF('inflation, income and interest'!$A$38=2,"",'delay in perception'!M58/100)</f>
        <v/>
      </c>
      <c r="X58" s="24" t="str">
        <f>IF('inflation, income and interest'!$A$38=2,"",'delay in perception'!L58/100)</f>
        <v/>
      </c>
      <c r="Y58" s="201" t="str">
        <f>IF('inflation, income and interest'!$B$38=2,"",(hystere!E58-hystere!B58)/hystere!B58)</f>
        <v/>
      </c>
      <c r="Z58" s="476" t="str">
        <f>IF('inflation, income and interest'!$B$38=2,"",hystere!M58/100)</f>
        <v/>
      </c>
      <c r="AA58" s="21" t="str">
        <f>IF('inflation, income and interest'!$B$38=2,"",hystere!E58)</f>
        <v/>
      </c>
      <c r="AB58" s="27" t="str">
        <f>IF('inflation, income and interest'!$B$38=2,"",hystere!C58)</f>
        <v/>
      </c>
      <c r="AC58" s="20" t="str">
        <f>IF('inflation, income and interest'!$B$38=2,"",hystere!O58/100)</f>
        <v/>
      </c>
      <c r="AD58" s="20" t="str">
        <f>IF('inflation, income and interest'!$B$38=2,"",hystere!N58/100)</f>
        <v/>
      </c>
    </row>
    <row r="59" spans="1:30" ht="14" thickTop="1" thickBot="1">
      <c r="A59" s="32">
        <v>56</v>
      </c>
      <c r="B59" s="20">
        <f ca="1">('normal case'!D58-'normal case'!B58)/'normal case'!B58</f>
        <v>0</v>
      </c>
      <c r="C59" s="26">
        <f ca="1">'normal case'!D58</f>
        <v>100</v>
      </c>
      <c r="D59" s="27">
        <f ca="1">'normal case'!C58</f>
        <v>0</v>
      </c>
      <c r="E59" s="25">
        <f ca="1">'normal case'!L58/100</f>
        <v>0.02</v>
      </c>
      <c r="F59" s="28">
        <f ca="1">'normal case'!N58/100</f>
        <v>0.06</v>
      </c>
      <c r="G59" s="28">
        <f ca="1">'normal case'!M58/100</f>
        <v>0.04</v>
      </c>
      <c r="H59" s="28">
        <f ca="1">'public finance'!D57</f>
        <v>0</v>
      </c>
      <c r="I59" s="23">
        <f ca="1">'public finance'!E57</f>
        <v>0</v>
      </c>
      <c r="J59" s="153">
        <f ca="1">'public finance'!H57</f>
        <v>0</v>
      </c>
      <c r="K59" s="20">
        <f ca="1">'public finance'!C57/'normal case'!D58</f>
        <v>0.2</v>
      </c>
      <c r="L59" s="23">
        <f ca="1">'public finance'!A57/'normal case'!D58</f>
        <v>0.2</v>
      </c>
      <c r="M59" s="21" t="str">
        <f>IF(controls!$B$44=0,"",'normal case'!AC58)</f>
        <v/>
      </c>
      <c r="N59" s="21" t="str">
        <f>IF(controls!$B$44=0,"",'normal case'!AF58)</f>
        <v/>
      </c>
      <c r="O59" s="203" t="str">
        <f>IF(controls!$B$44=0,"",'external balance'!D58)</f>
        <v/>
      </c>
      <c r="P59" s="203" t="str">
        <f>IF(controls!$B$44=0,"",'external balance'!F58)</f>
        <v/>
      </c>
      <c r="Q59" s="202" t="str">
        <f>IF(controls!$B$44=0,"",'external balance'!H58)</f>
        <v/>
      </c>
      <c r="R59" s="201" t="str">
        <f>IF('inflation, income and interest'!$A$38=2,"",'delay in perception'!K59/100)</f>
        <v/>
      </c>
      <c r="S59" s="20" t="str">
        <f>IF('inflation, income and interest'!$A$38=2,"",('delay in perception'!E59-'delay in perception'!C59)/'delay in perception'!C59)</f>
        <v/>
      </c>
      <c r="T59" s="20" t="str">
        <f>IF('inflation, income and interest'!$A$38=2,"",('delay in perception'!E59-'delay in perception'!B59)/'delay in perception'!B59)</f>
        <v/>
      </c>
      <c r="U59" s="21" t="str">
        <f>IF('inflation, income and interest'!$A$38=2,"",'delay in perception'!E59)</f>
        <v/>
      </c>
      <c r="V59" s="27" t="str">
        <f>IF('inflation, income and interest'!$A$38=2,"",'delay in perception'!D59)</f>
        <v/>
      </c>
      <c r="W59" s="28" t="str">
        <f>IF('inflation, income and interest'!$A$38=2,"",'delay in perception'!M59/100)</f>
        <v/>
      </c>
      <c r="X59" s="24" t="str">
        <f>IF('inflation, income and interest'!$A$38=2,"",'delay in perception'!L59/100)</f>
        <v/>
      </c>
      <c r="Y59" s="201" t="str">
        <f>IF('inflation, income and interest'!$B$38=2,"",(hystere!E59-hystere!B59)/hystere!B59)</f>
        <v/>
      </c>
      <c r="Z59" s="476" t="str">
        <f>IF('inflation, income and interest'!$B$38=2,"",hystere!M59/100)</f>
        <v/>
      </c>
      <c r="AA59" s="21" t="str">
        <f>IF('inflation, income and interest'!$B$38=2,"",hystere!E59)</f>
        <v/>
      </c>
      <c r="AB59" s="27" t="str">
        <f>IF('inflation, income and interest'!$B$38=2,"",hystere!C59)</f>
        <v/>
      </c>
      <c r="AC59" s="20" t="str">
        <f>IF('inflation, income and interest'!$B$38=2,"",hystere!O59/100)</f>
        <v/>
      </c>
      <c r="AD59" s="20" t="str">
        <f>IF('inflation, income and interest'!$B$38=2,"",hystere!N59/100)</f>
        <v/>
      </c>
    </row>
    <row r="60" spans="1:30" ht="14" thickTop="1" thickBot="1">
      <c r="A60" s="32">
        <v>57</v>
      </c>
      <c r="B60" s="20">
        <f ca="1">('normal case'!D59-'normal case'!B59)/'normal case'!B59</f>
        <v>0</v>
      </c>
      <c r="C60" s="26">
        <f ca="1">'normal case'!D59</f>
        <v>100</v>
      </c>
      <c r="D60" s="27">
        <f ca="1">'normal case'!C59</f>
        <v>0</v>
      </c>
      <c r="E60" s="25">
        <f ca="1">'normal case'!L59/100</f>
        <v>0.02</v>
      </c>
      <c r="F60" s="28">
        <f ca="1">'normal case'!N59/100</f>
        <v>0.06</v>
      </c>
      <c r="G60" s="28">
        <f ca="1">'normal case'!M59/100</f>
        <v>0.04</v>
      </c>
      <c r="H60" s="28">
        <f ca="1">'public finance'!D58</f>
        <v>0</v>
      </c>
      <c r="I60" s="23">
        <f ca="1">'public finance'!E58</f>
        <v>0</v>
      </c>
      <c r="J60" s="153">
        <f ca="1">'public finance'!H58</f>
        <v>0</v>
      </c>
      <c r="K60" s="20">
        <f ca="1">'public finance'!C58/'normal case'!D59</f>
        <v>0.2</v>
      </c>
      <c r="L60" s="23">
        <f ca="1">'public finance'!A58/'normal case'!D59</f>
        <v>0.2</v>
      </c>
      <c r="M60" s="21" t="str">
        <f>IF(controls!$B$44=0,"",'normal case'!AC59)</f>
        <v/>
      </c>
      <c r="N60" s="21" t="str">
        <f>IF(controls!$B$44=0,"",'normal case'!AF59)</f>
        <v/>
      </c>
      <c r="O60" s="203" t="str">
        <f>IF(controls!$B$44=0,"",'external balance'!D59)</f>
        <v/>
      </c>
      <c r="P60" s="203" t="str">
        <f>IF(controls!$B$44=0,"",'external balance'!F59)</f>
        <v/>
      </c>
      <c r="Q60" s="202" t="str">
        <f>IF(controls!$B$44=0,"",'external balance'!H59)</f>
        <v/>
      </c>
      <c r="R60" s="201" t="str">
        <f>IF('inflation, income and interest'!$A$38=2,"",'delay in perception'!K60/100)</f>
        <v/>
      </c>
      <c r="S60" s="20" t="str">
        <f>IF('inflation, income and interest'!$A$38=2,"",('delay in perception'!E60-'delay in perception'!C60)/'delay in perception'!C60)</f>
        <v/>
      </c>
      <c r="T60" s="20" t="str">
        <f>IF('inflation, income and interest'!$A$38=2,"",('delay in perception'!E60-'delay in perception'!B60)/'delay in perception'!B60)</f>
        <v/>
      </c>
      <c r="U60" s="21" t="str">
        <f>IF('inflation, income and interest'!$A$38=2,"",'delay in perception'!E60)</f>
        <v/>
      </c>
      <c r="V60" s="27" t="str">
        <f>IF('inflation, income and interest'!$A$38=2,"",'delay in perception'!D60)</f>
        <v/>
      </c>
      <c r="W60" s="28" t="str">
        <f>IF('inflation, income and interest'!$A$38=2,"",'delay in perception'!M60/100)</f>
        <v/>
      </c>
      <c r="X60" s="24" t="str">
        <f>IF('inflation, income and interest'!$A$38=2,"",'delay in perception'!L60/100)</f>
        <v/>
      </c>
      <c r="Y60" s="201" t="str">
        <f>IF('inflation, income and interest'!$B$38=2,"",(hystere!E60-hystere!B60)/hystere!B60)</f>
        <v/>
      </c>
      <c r="Z60" s="476" t="str">
        <f>IF('inflation, income and interest'!$B$38=2,"",hystere!M60/100)</f>
        <v/>
      </c>
      <c r="AA60" s="21" t="str">
        <f>IF('inflation, income and interest'!$B$38=2,"",hystere!E60)</f>
        <v/>
      </c>
      <c r="AB60" s="27" t="str">
        <f>IF('inflation, income and interest'!$B$38=2,"",hystere!C60)</f>
        <v/>
      </c>
      <c r="AC60" s="20" t="str">
        <f>IF('inflation, income and interest'!$B$38=2,"",hystere!O60/100)</f>
        <v/>
      </c>
      <c r="AD60" s="20" t="str">
        <f>IF('inflation, income and interest'!$B$38=2,"",hystere!N60/100)</f>
        <v/>
      </c>
    </row>
    <row r="61" spans="1:30" ht="14" thickTop="1" thickBot="1">
      <c r="A61" s="32">
        <v>58</v>
      </c>
      <c r="B61" s="20">
        <f ca="1">('normal case'!D60-'normal case'!B60)/'normal case'!B60</f>
        <v>0</v>
      </c>
      <c r="C61" s="26">
        <f ca="1">'normal case'!D60</f>
        <v>100</v>
      </c>
      <c r="D61" s="27">
        <f ca="1">'normal case'!C60</f>
        <v>0</v>
      </c>
      <c r="E61" s="25">
        <f ca="1">'normal case'!L60/100</f>
        <v>0.02</v>
      </c>
      <c r="F61" s="28">
        <f ca="1">'normal case'!N60/100</f>
        <v>0.06</v>
      </c>
      <c r="G61" s="28">
        <f ca="1">'normal case'!M60/100</f>
        <v>0.04</v>
      </c>
      <c r="H61" s="28">
        <f ca="1">'public finance'!D59</f>
        <v>0</v>
      </c>
      <c r="I61" s="23">
        <f ca="1">'public finance'!E59</f>
        <v>0</v>
      </c>
      <c r="J61" s="153">
        <f ca="1">'public finance'!H59</f>
        <v>0</v>
      </c>
      <c r="K61" s="20">
        <f ca="1">'public finance'!C59/'normal case'!D60</f>
        <v>0.2</v>
      </c>
      <c r="L61" s="23">
        <f ca="1">'public finance'!A59/'normal case'!D60</f>
        <v>0.2</v>
      </c>
      <c r="M61" s="21" t="str">
        <f>IF(controls!$B$44=0,"",'normal case'!AC60)</f>
        <v/>
      </c>
      <c r="N61" s="21" t="str">
        <f>IF(controls!$B$44=0,"",'normal case'!AF60)</f>
        <v/>
      </c>
      <c r="O61" s="203" t="str">
        <f>IF(controls!$B$44=0,"",'external balance'!D60)</f>
        <v/>
      </c>
      <c r="P61" s="203" t="str">
        <f>IF(controls!$B$44=0,"",'external balance'!F60)</f>
        <v/>
      </c>
      <c r="Q61" s="202" t="str">
        <f>IF(controls!$B$44=0,"",'external balance'!H60)</f>
        <v/>
      </c>
      <c r="R61" s="201" t="str">
        <f>IF('inflation, income and interest'!$A$38=2,"",'delay in perception'!K61/100)</f>
        <v/>
      </c>
      <c r="S61" s="20" t="str">
        <f>IF('inflation, income and interest'!$A$38=2,"",('delay in perception'!E61-'delay in perception'!C61)/'delay in perception'!C61)</f>
        <v/>
      </c>
      <c r="T61" s="20" t="str">
        <f>IF('inflation, income and interest'!$A$38=2,"",('delay in perception'!E61-'delay in perception'!B61)/'delay in perception'!B61)</f>
        <v/>
      </c>
      <c r="U61" s="21" t="str">
        <f>IF('inflation, income and interest'!$A$38=2,"",'delay in perception'!E61)</f>
        <v/>
      </c>
      <c r="V61" s="27" t="str">
        <f>IF('inflation, income and interest'!$A$38=2,"",'delay in perception'!D61)</f>
        <v/>
      </c>
      <c r="W61" s="28" t="str">
        <f>IF('inflation, income and interest'!$A$38=2,"",'delay in perception'!M61/100)</f>
        <v/>
      </c>
      <c r="X61" s="24" t="str">
        <f>IF('inflation, income and interest'!$A$38=2,"",'delay in perception'!L61/100)</f>
        <v/>
      </c>
      <c r="Y61" s="201" t="str">
        <f>IF('inflation, income and interest'!$B$38=2,"",(hystere!E61-hystere!B61)/hystere!B61)</f>
        <v/>
      </c>
      <c r="Z61" s="476" t="str">
        <f>IF('inflation, income and interest'!$B$38=2,"",hystere!M61/100)</f>
        <v/>
      </c>
      <c r="AA61" s="21" t="str">
        <f>IF('inflation, income and interest'!$B$38=2,"",hystere!E61)</f>
        <v/>
      </c>
      <c r="AB61" s="27" t="str">
        <f>IF('inflation, income and interest'!$B$38=2,"",hystere!C61)</f>
        <v/>
      </c>
      <c r="AC61" s="20" t="str">
        <f>IF('inflation, income and interest'!$B$38=2,"",hystere!O61/100)</f>
        <v/>
      </c>
      <c r="AD61" s="20" t="str">
        <f>IF('inflation, income and interest'!$B$38=2,"",hystere!N61/100)</f>
        <v/>
      </c>
    </row>
    <row r="62" spans="1:30" ht="14" thickTop="1" thickBot="1">
      <c r="A62" s="32">
        <v>59</v>
      </c>
      <c r="B62" s="20">
        <f ca="1">('normal case'!D61-'normal case'!B61)/'normal case'!B61</f>
        <v>0</v>
      </c>
      <c r="C62" s="26">
        <f ca="1">'normal case'!D61</f>
        <v>100</v>
      </c>
      <c r="D62" s="27">
        <f ca="1">'normal case'!C61</f>
        <v>0</v>
      </c>
      <c r="E62" s="25">
        <f ca="1">'normal case'!L61/100</f>
        <v>0.02</v>
      </c>
      <c r="F62" s="28">
        <f ca="1">'normal case'!N61/100</f>
        <v>0.06</v>
      </c>
      <c r="G62" s="28">
        <f ca="1">'normal case'!M61/100</f>
        <v>0.04</v>
      </c>
      <c r="H62" s="28">
        <f ca="1">'public finance'!D60</f>
        <v>0</v>
      </c>
      <c r="I62" s="23">
        <f ca="1">'public finance'!E60</f>
        <v>0</v>
      </c>
      <c r="J62" s="153">
        <f ca="1">'public finance'!H60</f>
        <v>0</v>
      </c>
      <c r="K62" s="20">
        <f ca="1">'public finance'!C60/'normal case'!D61</f>
        <v>0.2</v>
      </c>
      <c r="L62" s="23">
        <f ca="1">'public finance'!A60/'normal case'!D61</f>
        <v>0.2</v>
      </c>
      <c r="M62" s="21" t="str">
        <f>IF(controls!$B$44=0,"",'normal case'!AC61)</f>
        <v/>
      </c>
      <c r="N62" s="21" t="str">
        <f>IF(controls!$B$44=0,"",'normal case'!AF61)</f>
        <v/>
      </c>
      <c r="O62" s="203" t="str">
        <f>IF(controls!$B$44=0,"",'external balance'!D61)</f>
        <v/>
      </c>
      <c r="P62" s="203" t="str">
        <f>IF(controls!$B$44=0,"",'external balance'!F61)</f>
        <v/>
      </c>
      <c r="Q62" s="202" t="str">
        <f>IF(controls!$B$44=0,"",'external balance'!H61)</f>
        <v/>
      </c>
      <c r="R62" s="201" t="str">
        <f>IF('inflation, income and interest'!$A$38=2,"",'delay in perception'!K62/100)</f>
        <v/>
      </c>
      <c r="S62" s="20" t="str">
        <f>IF('inflation, income and interest'!$A$38=2,"",('delay in perception'!E62-'delay in perception'!C62)/'delay in perception'!C62)</f>
        <v/>
      </c>
      <c r="T62" s="20" t="str">
        <f>IF('inflation, income and interest'!$A$38=2,"",('delay in perception'!E62-'delay in perception'!B62)/'delay in perception'!B62)</f>
        <v/>
      </c>
      <c r="U62" s="21" t="str">
        <f>IF('inflation, income and interest'!$A$38=2,"",'delay in perception'!E62)</f>
        <v/>
      </c>
      <c r="V62" s="27" t="str">
        <f>IF('inflation, income and interest'!$A$38=2,"",'delay in perception'!D62)</f>
        <v/>
      </c>
      <c r="W62" s="28" t="str">
        <f>IF('inflation, income and interest'!$A$38=2,"",'delay in perception'!M62/100)</f>
        <v/>
      </c>
      <c r="X62" s="24" t="str">
        <f>IF('inflation, income and interest'!$A$38=2,"",'delay in perception'!L62/100)</f>
        <v/>
      </c>
      <c r="Y62" s="201" t="str">
        <f>IF('inflation, income and interest'!$B$38=2,"",(hystere!E62-hystere!B62)/hystere!B62)</f>
        <v/>
      </c>
      <c r="Z62" s="476" t="str">
        <f>IF('inflation, income and interest'!$B$38=2,"",hystere!M62/100)</f>
        <v/>
      </c>
      <c r="AA62" s="21" t="str">
        <f>IF('inflation, income and interest'!$B$38=2,"",hystere!E62)</f>
        <v/>
      </c>
      <c r="AB62" s="27" t="str">
        <f>IF('inflation, income and interest'!$B$38=2,"",hystere!C62)</f>
        <v/>
      </c>
      <c r="AC62" s="20" t="str">
        <f>IF('inflation, income and interest'!$B$38=2,"",hystere!O62/100)</f>
        <v/>
      </c>
      <c r="AD62" s="20" t="str">
        <f>IF('inflation, income and interest'!$B$38=2,"",hystere!N62/100)</f>
        <v/>
      </c>
    </row>
    <row r="63" spans="1:30" ht="14" thickTop="1" thickBot="1">
      <c r="A63" s="32">
        <v>60</v>
      </c>
      <c r="B63" s="20">
        <f ca="1">('normal case'!D62-'normal case'!B62)/'normal case'!B62</f>
        <v>0</v>
      </c>
      <c r="C63" s="26">
        <f ca="1">'normal case'!D62</f>
        <v>100</v>
      </c>
      <c r="D63" s="27">
        <f ca="1">'normal case'!C62</f>
        <v>0</v>
      </c>
      <c r="E63" s="25">
        <f ca="1">'normal case'!L62/100</f>
        <v>0.02</v>
      </c>
      <c r="F63" s="28">
        <f ca="1">'normal case'!N62/100</f>
        <v>0.06</v>
      </c>
      <c r="G63" s="28">
        <f ca="1">'normal case'!M62/100</f>
        <v>0.04</v>
      </c>
      <c r="H63" s="28">
        <f ca="1">'public finance'!D61</f>
        <v>0</v>
      </c>
      <c r="I63" s="23">
        <f ca="1">'public finance'!E61</f>
        <v>0</v>
      </c>
      <c r="J63" s="153">
        <f ca="1">'public finance'!H61</f>
        <v>0</v>
      </c>
      <c r="K63" s="20">
        <f ca="1">'public finance'!C61/'normal case'!D62</f>
        <v>0.2</v>
      </c>
      <c r="L63" s="23">
        <f ca="1">'public finance'!A61/'normal case'!D62</f>
        <v>0.2</v>
      </c>
      <c r="M63" s="21" t="str">
        <f>IF(controls!$B$44=0,"",'normal case'!AC62)</f>
        <v/>
      </c>
      <c r="N63" s="21" t="str">
        <f>IF(controls!$B$44=0,"",'normal case'!AF62)</f>
        <v/>
      </c>
      <c r="O63" s="203" t="str">
        <f>IF(controls!$B$44=0,"",'external balance'!D62)</f>
        <v/>
      </c>
      <c r="P63" s="203" t="str">
        <f>IF(controls!$B$44=0,"",'external balance'!F62)</f>
        <v/>
      </c>
      <c r="Q63" s="202" t="str">
        <f>IF(controls!$B$44=0,"",'external balance'!H62)</f>
        <v/>
      </c>
      <c r="R63" s="201" t="str">
        <f>IF('inflation, income and interest'!$A$38=2,"",'delay in perception'!K63/100)</f>
        <v/>
      </c>
      <c r="S63" s="20" t="str">
        <f>IF('inflation, income and interest'!$A$38=2,"",('delay in perception'!E63-'delay in perception'!C63)/'delay in perception'!C63)</f>
        <v/>
      </c>
      <c r="T63" s="20" t="str">
        <f>IF('inflation, income and interest'!$A$38=2,"",('delay in perception'!E63-'delay in perception'!B63)/'delay in perception'!B63)</f>
        <v/>
      </c>
      <c r="U63" s="21" t="str">
        <f>IF('inflation, income and interest'!$A$38=2,"",'delay in perception'!E63)</f>
        <v/>
      </c>
      <c r="V63" s="27" t="str">
        <f>IF('inflation, income and interest'!$A$38=2,"",'delay in perception'!D63)</f>
        <v/>
      </c>
      <c r="W63" s="28" t="str">
        <f>IF('inflation, income and interest'!$A$38=2,"",'delay in perception'!M63/100)</f>
        <v/>
      </c>
      <c r="X63" s="24" t="str">
        <f>IF('inflation, income and interest'!$A$38=2,"",'delay in perception'!L63/100)</f>
        <v/>
      </c>
      <c r="Y63" s="201" t="str">
        <f>IF('inflation, income and interest'!$B$38=2,"",(hystere!E63-hystere!B63)/hystere!B63)</f>
        <v/>
      </c>
      <c r="Z63" s="476" t="str">
        <f>IF('inflation, income and interest'!$B$38=2,"",hystere!M63/100)</f>
        <v/>
      </c>
      <c r="AA63" s="21" t="str">
        <f>IF('inflation, income and interest'!$B$38=2,"",hystere!E63)</f>
        <v/>
      </c>
      <c r="AB63" s="27" t="str">
        <f>IF('inflation, income and interest'!$B$38=2,"",hystere!C63)</f>
        <v/>
      </c>
      <c r="AC63" s="20" t="str">
        <f>IF('inflation, income and interest'!$B$38=2,"",hystere!O63/100)</f>
        <v/>
      </c>
      <c r="AD63" s="20" t="str">
        <f>IF('inflation, income and interest'!$B$38=2,"",hystere!N63/100)</f>
        <v/>
      </c>
    </row>
    <row r="64" spans="1:30" ht="14" thickTop="1" thickBot="1">
      <c r="A64" s="32">
        <v>61</v>
      </c>
      <c r="B64" s="20">
        <f ca="1">('normal case'!D63-'normal case'!B63)/'normal case'!B63</f>
        <v>0</v>
      </c>
      <c r="C64" s="26">
        <f ca="1">'normal case'!D63</f>
        <v>100</v>
      </c>
      <c r="D64" s="27">
        <f ca="1">'normal case'!C63</f>
        <v>0</v>
      </c>
      <c r="E64" s="25">
        <f ca="1">'normal case'!L63/100</f>
        <v>0.02</v>
      </c>
      <c r="F64" s="28">
        <f ca="1">'normal case'!N63/100</f>
        <v>0.06</v>
      </c>
      <c r="G64" s="28">
        <f ca="1">'normal case'!M63/100</f>
        <v>0.04</v>
      </c>
      <c r="H64" s="28">
        <f ca="1">'public finance'!D62</f>
        <v>0</v>
      </c>
      <c r="I64" s="23">
        <f ca="1">'public finance'!E62</f>
        <v>0</v>
      </c>
      <c r="J64" s="153">
        <f ca="1">'public finance'!H62</f>
        <v>0</v>
      </c>
      <c r="K64" s="20">
        <f ca="1">'public finance'!C62/'normal case'!D63</f>
        <v>0.2</v>
      </c>
      <c r="L64" s="23">
        <f ca="1">'public finance'!A62/'normal case'!D63</f>
        <v>0.2</v>
      </c>
      <c r="M64" s="21" t="str">
        <f>IF(controls!$B$44=0,"",'normal case'!AC63)</f>
        <v/>
      </c>
      <c r="N64" s="21" t="str">
        <f>IF(controls!$B$44=0,"",'normal case'!AF63)</f>
        <v/>
      </c>
      <c r="O64" s="203" t="str">
        <f>IF(controls!$B$44=0,"",'external balance'!D63)</f>
        <v/>
      </c>
      <c r="P64" s="203" t="str">
        <f>IF(controls!$B$44=0,"",'external balance'!F63)</f>
        <v/>
      </c>
      <c r="Q64" s="202" t="str">
        <f>IF(controls!$B$44=0,"",'external balance'!H63)</f>
        <v/>
      </c>
      <c r="R64" s="201" t="str">
        <f>IF('inflation, income and interest'!$A$38=2,"",'delay in perception'!K64/100)</f>
        <v/>
      </c>
      <c r="S64" s="20" t="str">
        <f>IF('inflation, income and interest'!$A$38=2,"",('delay in perception'!E64-'delay in perception'!C64)/'delay in perception'!C64)</f>
        <v/>
      </c>
      <c r="T64" s="20" t="str">
        <f>IF('inflation, income and interest'!$A$38=2,"",('delay in perception'!E64-'delay in perception'!B64)/'delay in perception'!B64)</f>
        <v/>
      </c>
      <c r="U64" s="21" t="str">
        <f>IF('inflation, income and interest'!$A$38=2,"",'delay in perception'!E64)</f>
        <v/>
      </c>
      <c r="V64" s="27" t="str">
        <f>IF('inflation, income and interest'!$A$38=2,"",'delay in perception'!D64)</f>
        <v/>
      </c>
      <c r="W64" s="28" t="str">
        <f>IF('inflation, income and interest'!$A$38=2,"",'delay in perception'!M64/100)</f>
        <v/>
      </c>
      <c r="X64" s="24" t="str">
        <f>IF('inflation, income and interest'!$A$38=2,"",'delay in perception'!L64/100)</f>
        <v/>
      </c>
      <c r="Y64" s="201" t="str">
        <f>IF('inflation, income and interest'!$B$38=2,"",(hystere!E64-hystere!B64)/hystere!B64)</f>
        <v/>
      </c>
      <c r="Z64" s="476" t="str">
        <f>IF('inflation, income and interest'!$B$38=2,"",hystere!M64/100)</f>
        <v/>
      </c>
      <c r="AA64" s="21" t="str">
        <f>IF('inflation, income and interest'!$B$38=2,"",hystere!E64)</f>
        <v/>
      </c>
      <c r="AB64" s="27" t="str">
        <f>IF('inflation, income and interest'!$B$38=2,"",hystere!C64)</f>
        <v/>
      </c>
      <c r="AC64" s="20" t="str">
        <f>IF('inflation, income and interest'!$B$38=2,"",hystere!O64/100)</f>
        <v/>
      </c>
      <c r="AD64" s="20" t="str">
        <f>IF('inflation, income and interest'!$B$38=2,"",hystere!N64/100)</f>
        <v/>
      </c>
    </row>
    <row r="65" spans="1:30" ht="14" thickTop="1" thickBot="1">
      <c r="A65" s="32">
        <v>62</v>
      </c>
      <c r="B65" s="20">
        <f ca="1">('normal case'!D64-'normal case'!B64)/'normal case'!B64</f>
        <v>0</v>
      </c>
      <c r="C65" s="26">
        <f ca="1">'normal case'!D64</f>
        <v>100</v>
      </c>
      <c r="D65" s="27">
        <f ca="1">'normal case'!C64</f>
        <v>0</v>
      </c>
      <c r="E65" s="25">
        <f ca="1">'normal case'!L64/100</f>
        <v>0.02</v>
      </c>
      <c r="F65" s="28">
        <f ca="1">'normal case'!N64/100</f>
        <v>0.06</v>
      </c>
      <c r="G65" s="28">
        <f ca="1">'normal case'!M64/100</f>
        <v>0.04</v>
      </c>
      <c r="H65" s="28">
        <f ca="1">'public finance'!D63</f>
        <v>0</v>
      </c>
      <c r="I65" s="23">
        <f ca="1">'public finance'!E63</f>
        <v>0</v>
      </c>
      <c r="J65" s="153">
        <f ca="1">'public finance'!H63</f>
        <v>0</v>
      </c>
      <c r="K65" s="20">
        <f ca="1">'public finance'!C63/'normal case'!D64</f>
        <v>0.2</v>
      </c>
      <c r="L65" s="23">
        <f ca="1">'public finance'!A63/'normal case'!D64</f>
        <v>0.2</v>
      </c>
      <c r="M65" s="21" t="str">
        <f>IF(controls!$B$44=0,"",'normal case'!AC64)</f>
        <v/>
      </c>
      <c r="N65" s="21" t="str">
        <f>IF(controls!$B$44=0,"",'normal case'!AF64)</f>
        <v/>
      </c>
      <c r="O65" s="203" t="str">
        <f>IF(controls!$B$44=0,"",'external balance'!D64)</f>
        <v/>
      </c>
      <c r="P65" s="203" t="str">
        <f>IF(controls!$B$44=0,"",'external balance'!F64)</f>
        <v/>
      </c>
      <c r="Q65" s="202" t="str">
        <f>IF(controls!$B$44=0,"",'external balance'!H64)</f>
        <v/>
      </c>
      <c r="R65" s="201" t="str">
        <f>IF('inflation, income and interest'!$A$38=2,"",'delay in perception'!K65/100)</f>
        <v/>
      </c>
      <c r="S65" s="20" t="str">
        <f>IF('inflation, income and interest'!$A$38=2,"",('delay in perception'!E65-'delay in perception'!C65)/'delay in perception'!C65)</f>
        <v/>
      </c>
      <c r="T65" s="20" t="str">
        <f>IF('inflation, income and interest'!$A$38=2,"",('delay in perception'!E65-'delay in perception'!B65)/'delay in perception'!B65)</f>
        <v/>
      </c>
      <c r="U65" s="21" t="str">
        <f>IF('inflation, income and interest'!$A$38=2,"",'delay in perception'!E65)</f>
        <v/>
      </c>
      <c r="V65" s="27" t="str">
        <f>IF('inflation, income and interest'!$A$38=2,"",'delay in perception'!D65)</f>
        <v/>
      </c>
      <c r="W65" s="28" t="str">
        <f>IF('inflation, income and interest'!$A$38=2,"",'delay in perception'!M65/100)</f>
        <v/>
      </c>
      <c r="X65" s="24" t="str">
        <f>IF('inflation, income and interest'!$A$38=2,"",'delay in perception'!L65/100)</f>
        <v/>
      </c>
      <c r="Y65" s="201" t="str">
        <f>IF('inflation, income and interest'!$B$38=2,"",(hystere!E65-hystere!B65)/hystere!B65)</f>
        <v/>
      </c>
      <c r="Z65" s="476" t="str">
        <f>IF('inflation, income and interest'!$B$38=2,"",hystere!M65/100)</f>
        <v/>
      </c>
      <c r="AA65" s="21" t="str">
        <f>IF('inflation, income and interest'!$B$38=2,"",hystere!E65)</f>
        <v/>
      </c>
      <c r="AB65" s="27" t="str">
        <f>IF('inflation, income and interest'!$B$38=2,"",hystere!C65)</f>
        <v/>
      </c>
      <c r="AC65" s="20" t="str">
        <f>IF('inflation, income and interest'!$B$38=2,"",hystere!O65/100)</f>
        <v/>
      </c>
      <c r="AD65" s="20" t="str">
        <f>IF('inflation, income and interest'!$B$38=2,"",hystere!N65/100)</f>
        <v/>
      </c>
    </row>
    <row r="66" spans="1:30" ht="14" thickTop="1" thickBot="1">
      <c r="A66" s="32">
        <v>63</v>
      </c>
      <c r="B66" s="20">
        <f ca="1">('normal case'!D65-'normal case'!B65)/'normal case'!B65</f>
        <v>0</v>
      </c>
      <c r="C66" s="26">
        <f ca="1">'normal case'!D65</f>
        <v>100</v>
      </c>
      <c r="D66" s="27">
        <f ca="1">'normal case'!C65</f>
        <v>0</v>
      </c>
      <c r="E66" s="25">
        <f ca="1">'normal case'!L65/100</f>
        <v>0.02</v>
      </c>
      <c r="F66" s="28">
        <f ca="1">'normal case'!N65/100</f>
        <v>0.06</v>
      </c>
      <c r="G66" s="28">
        <f ca="1">'normal case'!M65/100</f>
        <v>0.04</v>
      </c>
      <c r="H66" s="28">
        <f ca="1">'public finance'!D64</f>
        <v>0</v>
      </c>
      <c r="I66" s="23">
        <f ca="1">'public finance'!E64</f>
        <v>0</v>
      </c>
      <c r="J66" s="153">
        <f ca="1">'public finance'!H64</f>
        <v>0</v>
      </c>
      <c r="K66" s="20">
        <f ca="1">'public finance'!C64/'normal case'!D65</f>
        <v>0.2</v>
      </c>
      <c r="L66" s="23">
        <f ca="1">'public finance'!A64/'normal case'!D65</f>
        <v>0.2</v>
      </c>
      <c r="M66" s="21" t="str">
        <f>IF(controls!$B$44=0,"",'normal case'!AC65)</f>
        <v/>
      </c>
      <c r="N66" s="21" t="str">
        <f>IF(controls!$B$44=0,"",'normal case'!AF65)</f>
        <v/>
      </c>
      <c r="O66" s="203" t="str">
        <f>IF(controls!$B$44=0,"",'external balance'!D65)</f>
        <v/>
      </c>
      <c r="P66" s="203" t="str">
        <f>IF(controls!$B$44=0,"",'external balance'!F65)</f>
        <v/>
      </c>
      <c r="Q66" s="202" t="str">
        <f>IF(controls!$B$44=0,"",'external balance'!H65)</f>
        <v/>
      </c>
      <c r="R66" s="201" t="str">
        <f>IF('inflation, income and interest'!$A$38=2,"",'delay in perception'!K66/100)</f>
        <v/>
      </c>
      <c r="S66" s="20" t="str">
        <f>IF('inflation, income and interest'!$A$38=2,"",('delay in perception'!E66-'delay in perception'!C66)/'delay in perception'!C66)</f>
        <v/>
      </c>
      <c r="T66" s="20" t="str">
        <f>IF('inflation, income and interest'!$A$38=2,"",('delay in perception'!E66-'delay in perception'!B66)/'delay in perception'!B66)</f>
        <v/>
      </c>
      <c r="U66" s="21" t="str">
        <f>IF('inflation, income and interest'!$A$38=2,"",'delay in perception'!E66)</f>
        <v/>
      </c>
      <c r="V66" s="27" t="str">
        <f>IF('inflation, income and interest'!$A$38=2,"",'delay in perception'!D66)</f>
        <v/>
      </c>
      <c r="W66" s="28" t="str">
        <f>IF('inflation, income and interest'!$A$38=2,"",'delay in perception'!M66/100)</f>
        <v/>
      </c>
      <c r="X66" s="24" t="str">
        <f>IF('inflation, income and interest'!$A$38=2,"",'delay in perception'!L66/100)</f>
        <v/>
      </c>
      <c r="Y66" s="201" t="str">
        <f>IF('inflation, income and interest'!$B$38=2,"",(hystere!E66-hystere!B66)/hystere!B66)</f>
        <v/>
      </c>
      <c r="Z66" s="476" t="str">
        <f>IF('inflation, income and interest'!$B$38=2,"",hystere!M66/100)</f>
        <v/>
      </c>
      <c r="AA66" s="21" t="str">
        <f>IF('inflation, income and interest'!$B$38=2,"",hystere!E66)</f>
        <v/>
      </c>
      <c r="AB66" s="27" t="str">
        <f>IF('inflation, income and interest'!$B$38=2,"",hystere!C66)</f>
        <v/>
      </c>
      <c r="AC66" s="20" t="str">
        <f>IF('inflation, income and interest'!$B$38=2,"",hystere!O66/100)</f>
        <v/>
      </c>
      <c r="AD66" s="20" t="str">
        <f>IF('inflation, income and interest'!$B$38=2,"",hystere!N66/100)</f>
        <v/>
      </c>
    </row>
    <row r="67" spans="1:30" ht="14" thickTop="1" thickBot="1">
      <c r="A67" s="32">
        <v>64</v>
      </c>
      <c r="B67" s="20">
        <f ca="1">('normal case'!D66-'normal case'!B66)/'normal case'!B66</f>
        <v>0</v>
      </c>
      <c r="C67" s="26">
        <f ca="1">'normal case'!D66</f>
        <v>100</v>
      </c>
      <c r="D67" s="27">
        <f ca="1">'normal case'!C66</f>
        <v>0</v>
      </c>
      <c r="E67" s="25">
        <f ca="1">'normal case'!L66/100</f>
        <v>0.02</v>
      </c>
      <c r="F67" s="28">
        <f ca="1">'normal case'!N66/100</f>
        <v>0.06</v>
      </c>
      <c r="G67" s="28">
        <f ca="1">'normal case'!M66/100</f>
        <v>0.04</v>
      </c>
      <c r="H67" s="28">
        <f ca="1">'public finance'!D65</f>
        <v>0</v>
      </c>
      <c r="I67" s="23">
        <f ca="1">'public finance'!E65</f>
        <v>0</v>
      </c>
      <c r="J67" s="153">
        <f ca="1">'public finance'!H65</f>
        <v>0</v>
      </c>
      <c r="K67" s="20">
        <f ca="1">'public finance'!C65/'normal case'!D66</f>
        <v>0.2</v>
      </c>
      <c r="L67" s="23">
        <f ca="1">'public finance'!A65/'normal case'!D66</f>
        <v>0.2</v>
      </c>
      <c r="M67" s="21" t="str">
        <f>IF(controls!$B$44=0,"",'normal case'!AC66)</f>
        <v/>
      </c>
      <c r="N67" s="21" t="str">
        <f>IF(controls!$B$44=0,"",'normal case'!AF66)</f>
        <v/>
      </c>
      <c r="O67" s="203" t="str">
        <f>IF(controls!$B$44=0,"",'external balance'!D66)</f>
        <v/>
      </c>
      <c r="P67" s="203" t="str">
        <f>IF(controls!$B$44=0,"",'external balance'!F66)</f>
        <v/>
      </c>
      <c r="Q67" s="202" t="str">
        <f>IF(controls!$B$44=0,"",'external balance'!H66)</f>
        <v/>
      </c>
      <c r="R67" s="201" t="str">
        <f>IF('inflation, income and interest'!$A$38=2,"",'delay in perception'!K67/100)</f>
        <v/>
      </c>
      <c r="S67" s="20" t="str">
        <f>IF('inflation, income and interest'!$A$38=2,"",('delay in perception'!E67-'delay in perception'!C67)/'delay in perception'!C67)</f>
        <v/>
      </c>
      <c r="T67" s="20" t="str">
        <f>IF('inflation, income and interest'!$A$38=2,"",('delay in perception'!E67-'delay in perception'!B67)/'delay in perception'!B67)</f>
        <v/>
      </c>
      <c r="U67" s="21" t="str">
        <f>IF('inflation, income and interest'!$A$38=2,"",'delay in perception'!E67)</f>
        <v/>
      </c>
      <c r="V67" s="27" t="str">
        <f>IF('inflation, income and interest'!$A$38=2,"",'delay in perception'!D67)</f>
        <v/>
      </c>
      <c r="W67" s="28" t="str">
        <f>IF('inflation, income and interest'!$A$38=2,"",'delay in perception'!M67/100)</f>
        <v/>
      </c>
      <c r="X67" s="24" t="str">
        <f>IF('inflation, income and interest'!$A$38=2,"",'delay in perception'!L67/100)</f>
        <v/>
      </c>
      <c r="Y67" s="201" t="str">
        <f>IF('inflation, income and interest'!$B$38=2,"",(hystere!E67-hystere!B67)/hystere!B67)</f>
        <v/>
      </c>
      <c r="Z67" s="476" t="str">
        <f>IF('inflation, income and interest'!$B$38=2,"",hystere!M67/100)</f>
        <v/>
      </c>
      <c r="AA67" s="21" t="str">
        <f>IF('inflation, income and interest'!$B$38=2,"",hystere!E67)</f>
        <v/>
      </c>
      <c r="AB67" s="27" t="str">
        <f>IF('inflation, income and interest'!$B$38=2,"",hystere!C67)</f>
        <v/>
      </c>
      <c r="AC67" s="20" t="str">
        <f>IF('inflation, income and interest'!$B$38=2,"",hystere!O67/100)</f>
        <v/>
      </c>
      <c r="AD67" s="20" t="str">
        <f>IF('inflation, income and interest'!$B$38=2,"",hystere!N67/100)</f>
        <v/>
      </c>
    </row>
    <row r="68" spans="1:30" ht="14" thickTop="1" thickBot="1">
      <c r="A68" s="32">
        <v>65</v>
      </c>
      <c r="B68" s="20">
        <f ca="1">('normal case'!D67-'normal case'!B67)/'normal case'!B67</f>
        <v>0</v>
      </c>
      <c r="C68" s="26">
        <f ca="1">'normal case'!D67</f>
        <v>100</v>
      </c>
      <c r="D68" s="27">
        <f ca="1">'normal case'!C67</f>
        <v>0</v>
      </c>
      <c r="E68" s="25">
        <f ca="1">'normal case'!L67/100</f>
        <v>0.02</v>
      </c>
      <c r="F68" s="28">
        <f ca="1">'normal case'!N67/100</f>
        <v>0.06</v>
      </c>
      <c r="G68" s="28">
        <f ca="1">'normal case'!M67/100</f>
        <v>0.04</v>
      </c>
      <c r="H68" s="28">
        <f ca="1">'public finance'!D66</f>
        <v>0</v>
      </c>
      <c r="I68" s="23">
        <f ca="1">'public finance'!E66</f>
        <v>0</v>
      </c>
      <c r="J68" s="153">
        <f ca="1">'public finance'!H66</f>
        <v>0</v>
      </c>
      <c r="K68" s="20">
        <f ca="1">'public finance'!C66/'normal case'!D67</f>
        <v>0.2</v>
      </c>
      <c r="L68" s="23">
        <f ca="1">'public finance'!A66/'normal case'!D67</f>
        <v>0.2</v>
      </c>
      <c r="M68" s="21" t="str">
        <f>IF(controls!$B$44=0,"",'normal case'!AC67)</f>
        <v/>
      </c>
      <c r="N68" s="21" t="str">
        <f>IF(controls!$B$44=0,"",'normal case'!AF67)</f>
        <v/>
      </c>
      <c r="O68" s="203" t="str">
        <f>IF(controls!$B$44=0,"",'external balance'!D67)</f>
        <v/>
      </c>
      <c r="P68" s="203" t="str">
        <f>IF(controls!$B$44=0,"",'external balance'!F67)</f>
        <v/>
      </c>
      <c r="Q68" s="202" t="str">
        <f>IF(controls!$B$44=0,"",'external balance'!H67)</f>
        <v/>
      </c>
      <c r="R68" s="201" t="str">
        <f>IF('inflation, income and interest'!$A$38=2,"",'delay in perception'!K68/100)</f>
        <v/>
      </c>
      <c r="S68" s="20" t="str">
        <f>IF('inflation, income and interest'!$A$38=2,"",('delay in perception'!E68-'delay in perception'!C68)/'delay in perception'!C68)</f>
        <v/>
      </c>
      <c r="T68" s="20" t="str">
        <f>IF('inflation, income and interest'!$A$38=2,"",('delay in perception'!E68-'delay in perception'!B68)/'delay in perception'!B68)</f>
        <v/>
      </c>
      <c r="U68" s="21" t="str">
        <f>IF('inflation, income and interest'!$A$38=2,"",'delay in perception'!E68)</f>
        <v/>
      </c>
      <c r="V68" s="27" t="str">
        <f>IF('inflation, income and interest'!$A$38=2,"",'delay in perception'!D68)</f>
        <v/>
      </c>
      <c r="W68" s="28" t="str">
        <f>IF('inflation, income and interest'!$A$38=2,"",'delay in perception'!M68/100)</f>
        <v/>
      </c>
      <c r="X68" s="24" t="str">
        <f>IF('inflation, income and interest'!$A$38=2,"",'delay in perception'!L68/100)</f>
        <v/>
      </c>
      <c r="Y68" s="201" t="str">
        <f>IF('inflation, income and interest'!$B$38=2,"",(hystere!E68-hystere!B68)/hystere!B68)</f>
        <v/>
      </c>
      <c r="Z68" s="476" t="str">
        <f>IF('inflation, income and interest'!$B$38=2,"",hystere!M68/100)</f>
        <v/>
      </c>
      <c r="AA68" s="21" t="str">
        <f>IF('inflation, income and interest'!$B$38=2,"",hystere!E68)</f>
        <v/>
      </c>
      <c r="AB68" s="27" t="str">
        <f>IF('inflation, income and interest'!$B$38=2,"",hystere!C68)</f>
        <v/>
      </c>
      <c r="AC68" s="20" t="str">
        <f>IF('inflation, income and interest'!$B$38=2,"",hystere!O68/100)</f>
        <v/>
      </c>
      <c r="AD68" s="20" t="str">
        <f>IF('inflation, income and interest'!$B$38=2,"",hystere!N68/100)</f>
        <v/>
      </c>
    </row>
    <row r="69" spans="1:30" ht="14" thickTop="1" thickBot="1">
      <c r="A69" s="32">
        <v>66</v>
      </c>
      <c r="B69" s="20">
        <f ca="1">('normal case'!D68-'normal case'!B68)/'normal case'!B68</f>
        <v>0</v>
      </c>
      <c r="C69" s="26">
        <f ca="1">'normal case'!D68</f>
        <v>100</v>
      </c>
      <c r="D69" s="27">
        <f ca="1">'normal case'!C68</f>
        <v>0</v>
      </c>
      <c r="E69" s="25">
        <f ca="1">'normal case'!L68/100</f>
        <v>0.02</v>
      </c>
      <c r="F69" s="28">
        <f ca="1">'normal case'!N68/100</f>
        <v>0.06</v>
      </c>
      <c r="G69" s="28">
        <f ca="1">'normal case'!M68/100</f>
        <v>0.04</v>
      </c>
      <c r="H69" s="28">
        <f ca="1">'public finance'!D67</f>
        <v>0</v>
      </c>
      <c r="I69" s="23">
        <f ca="1">'public finance'!E67</f>
        <v>0</v>
      </c>
      <c r="J69" s="153">
        <f ca="1">'public finance'!H67</f>
        <v>0</v>
      </c>
      <c r="K69" s="20">
        <f ca="1">'public finance'!C67/'normal case'!D68</f>
        <v>0.2</v>
      </c>
      <c r="L69" s="23">
        <f ca="1">'public finance'!A67/'normal case'!D68</f>
        <v>0.2</v>
      </c>
      <c r="M69" s="21" t="str">
        <f>IF(controls!$B$44=0,"",'normal case'!AC68)</f>
        <v/>
      </c>
      <c r="N69" s="21" t="str">
        <f>IF(controls!$B$44=0,"",'normal case'!AF68)</f>
        <v/>
      </c>
      <c r="O69" s="203" t="str">
        <f>IF(controls!$B$44=0,"",'external balance'!D68)</f>
        <v/>
      </c>
      <c r="P69" s="203" t="str">
        <f>IF(controls!$B$44=0,"",'external balance'!F68)</f>
        <v/>
      </c>
      <c r="Q69" s="202" t="str">
        <f>IF(controls!$B$44=0,"",'external balance'!H68)</f>
        <v/>
      </c>
      <c r="R69" s="201" t="str">
        <f>IF('inflation, income and interest'!$A$38=2,"",'delay in perception'!K69/100)</f>
        <v/>
      </c>
      <c r="S69" s="20" t="str">
        <f>IF('inflation, income and interest'!$A$38=2,"",('delay in perception'!E69-'delay in perception'!C69)/'delay in perception'!C69)</f>
        <v/>
      </c>
      <c r="T69" s="20" t="str">
        <f>IF('inflation, income and interest'!$A$38=2,"",('delay in perception'!E69-'delay in perception'!B69)/'delay in perception'!B69)</f>
        <v/>
      </c>
      <c r="U69" s="21" t="str">
        <f>IF('inflation, income and interest'!$A$38=2,"",'delay in perception'!E69)</f>
        <v/>
      </c>
      <c r="V69" s="27" t="str">
        <f>IF('inflation, income and interest'!$A$38=2,"",'delay in perception'!D69)</f>
        <v/>
      </c>
      <c r="W69" s="28" t="str">
        <f>IF('inflation, income and interest'!$A$38=2,"",'delay in perception'!M69/100)</f>
        <v/>
      </c>
      <c r="X69" s="24" t="str">
        <f>IF('inflation, income and interest'!$A$38=2,"",'delay in perception'!L69/100)</f>
        <v/>
      </c>
      <c r="Y69" s="201" t="str">
        <f>IF('inflation, income and interest'!$B$38=2,"",(hystere!E69-hystere!B69)/hystere!B69)</f>
        <v/>
      </c>
      <c r="Z69" s="476" t="str">
        <f>IF('inflation, income and interest'!$B$38=2,"",hystere!M69/100)</f>
        <v/>
      </c>
      <c r="AA69" s="21" t="str">
        <f>IF('inflation, income and interest'!$B$38=2,"",hystere!E69)</f>
        <v/>
      </c>
      <c r="AB69" s="27" t="str">
        <f>IF('inflation, income and interest'!$B$38=2,"",hystere!C69)</f>
        <v/>
      </c>
      <c r="AC69" s="20" t="str">
        <f>IF('inflation, income and interest'!$B$38=2,"",hystere!O69/100)</f>
        <v/>
      </c>
      <c r="AD69" s="20" t="str">
        <f>IF('inflation, income and interest'!$B$38=2,"",hystere!N69/100)</f>
        <v/>
      </c>
    </row>
    <row r="70" spans="1:30" ht="14" thickTop="1" thickBot="1">
      <c r="A70" s="32">
        <v>67</v>
      </c>
      <c r="B70" s="20">
        <f ca="1">('normal case'!D69-'normal case'!B69)/'normal case'!B69</f>
        <v>0</v>
      </c>
      <c r="C70" s="26">
        <f ca="1">'normal case'!D69</f>
        <v>100</v>
      </c>
      <c r="D70" s="27">
        <f ca="1">'normal case'!C69</f>
        <v>0</v>
      </c>
      <c r="E70" s="25">
        <f ca="1">'normal case'!L69/100</f>
        <v>0.02</v>
      </c>
      <c r="F70" s="28">
        <f ca="1">'normal case'!N69/100</f>
        <v>0.06</v>
      </c>
      <c r="G70" s="28">
        <f ca="1">'normal case'!M69/100</f>
        <v>0.04</v>
      </c>
      <c r="H70" s="28">
        <f ca="1">'public finance'!D68</f>
        <v>0</v>
      </c>
      <c r="I70" s="23">
        <f ca="1">'public finance'!E68</f>
        <v>0</v>
      </c>
      <c r="J70" s="153">
        <f ca="1">'public finance'!H68</f>
        <v>0</v>
      </c>
      <c r="K70" s="20">
        <f ca="1">'public finance'!C68/'normal case'!D69</f>
        <v>0.2</v>
      </c>
      <c r="L70" s="23">
        <f ca="1">'public finance'!A68/'normal case'!D69</f>
        <v>0.2</v>
      </c>
      <c r="M70" s="21" t="str">
        <f>IF(controls!$B$44=0,"",'normal case'!AC69)</f>
        <v/>
      </c>
      <c r="N70" s="21" t="str">
        <f>IF(controls!$B$44=0,"",'normal case'!AF69)</f>
        <v/>
      </c>
      <c r="O70" s="203" t="str">
        <f>IF(controls!$B$44=0,"",'external balance'!D69)</f>
        <v/>
      </c>
      <c r="P70" s="203" t="str">
        <f>IF(controls!$B$44=0,"",'external balance'!F69)</f>
        <v/>
      </c>
      <c r="Q70" s="202" t="str">
        <f>IF(controls!$B$44=0,"",'external balance'!H69)</f>
        <v/>
      </c>
      <c r="R70" s="201" t="str">
        <f>IF('inflation, income and interest'!$A$38=2,"",'delay in perception'!K70/100)</f>
        <v/>
      </c>
      <c r="S70" s="20" t="str">
        <f>IF('inflation, income and interest'!$A$38=2,"",('delay in perception'!E70-'delay in perception'!C70)/'delay in perception'!C70)</f>
        <v/>
      </c>
      <c r="T70" s="20" t="str">
        <f>IF('inflation, income and interest'!$A$38=2,"",('delay in perception'!E70-'delay in perception'!B70)/'delay in perception'!B70)</f>
        <v/>
      </c>
      <c r="U70" s="21" t="str">
        <f>IF('inflation, income and interest'!$A$38=2,"",'delay in perception'!E70)</f>
        <v/>
      </c>
      <c r="V70" s="27" t="str">
        <f>IF('inflation, income and interest'!$A$38=2,"",'delay in perception'!D70)</f>
        <v/>
      </c>
      <c r="W70" s="28" t="str">
        <f>IF('inflation, income and interest'!$A$38=2,"",'delay in perception'!M70/100)</f>
        <v/>
      </c>
      <c r="X70" s="24" t="str">
        <f>IF('inflation, income and interest'!$A$38=2,"",'delay in perception'!L70/100)</f>
        <v/>
      </c>
      <c r="Y70" s="201" t="str">
        <f>IF('inflation, income and interest'!$B$38=2,"",(hystere!E70-hystere!B70)/hystere!B70)</f>
        <v/>
      </c>
      <c r="Z70" s="476" t="str">
        <f>IF('inflation, income and interest'!$B$38=2,"",hystere!M70/100)</f>
        <v/>
      </c>
      <c r="AA70" s="21" t="str">
        <f>IF('inflation, income and interest'!$B$38=2,"",hystere!E70)</f>
        <v/>
      </c>
      <c r="AB70" s="27" t="str">
        <f>IF('inflation, income and interest'!$B$38=2,"",hystere!C70)</f>
        <v/>
      </c>
      <c r="AC70" s="20" t="str">
        <f>IF('inflation, income and interest'!$B$38=2,"",hystere!O70/100)</f>
        <v/>
      </c>
      <c r="AD70" s="20" t="str">
        <f>IF('inflation, income and interest'!$B$38=2,"",hystere!N70/100)</f>
        <v/>
      </c>
    </row>
    <row r="71" spans="1:30" ht="14" thickTop="1" thickBot="1">
      <c r="A71" s="32">
        <v>68</v>
      </c>
      <c r="B71" s="20">
        <f ca="1">('normal case'!D70-'normal case'!B70)/'normal case'!B70</f>
        <v>0</v>
      </c>
      <c r="C71" s="26">
        <f ca="1">'normal case'!D70</f>
        <v>100</v>
      </c>
      <c r="D71" s="27">
        <f ca="1">'normal case'!C70</f>
        <v>0</v>
      </c>
      <c r="E71" s="25">
        <f ca="1">'normal case'!L70/100</f>
        <v>0.02</v>
      </c>
      <c r="F71" s="28">
        <f ca="1">'normal case'!N70/100</f>
        <v>0.06</v>
      </c>
      <c r="G71" s="28">
        <f ca="1">'normal case'!M70/100</f>
        <v>0.04</v>
      </c>
      <c r="H71" s="28">
        <f ca="1">'public finance'!D69</f>
        <v>0</v>
      </c>
      <c r="I71" s="23">
        <f ca="1">'public finance'!E69</f>
        <v>0</v>
      </c>
      <c r="J71" s="153">
        <f ca="1">'public finance'!H69</f>
        <v>0</v>
      </c>
      <c r="K71" s="20">
        <f ca="1">'public finance'!C69/'normal case'!D70</f>
        <v>0.2</v>
      </c>
      <c r="L71" s="23">
        <f ca="1">'public finance'!A69/'normal case'!D70</f>
        <v>0.2</v>
      </c>
      <c r="M71" s="21" t="str">
        <f>IF(controls!$B$44=0,"",'normal case'!AC70)</f>
        <v/>
      </c>
      <c r="N71" s="21" t="str">
        <f>IF(controls!$B$44=0,"",'normal case'!AF70)</f>
        <v/>
      </c>
      <c r="O71" s="203" t="str">
        <f>IF(controls!$B$44=0,"",'external balance'!D70)</f>
        <v/>
      </c>
      <c r="P71" s="203" t="str">
        <f>IF(controls!$B$44=0,"",'external balance'!F70)</f>
        <v/>
      </c>
      <c r="Q71" s="202" t="str">
        <f>IF(controls!$B$44=0,"",'external balance'!H70)</f>
        <v/>
      </c>
      <c r="R71" s="201" t="str">
        <f>IF('inflation, income and interest'!$A$38=2,"",'delay in perception'!K71/100)</f>
        <v/>
      </c>
      <c r="S71" s="20" t="str">
        <f>IF('inflation, income and interest'!$A$38=2,"",('delay in perception'!E71-'delay in perception'!C71)/'delay in perception'!C71)</f>
        <v/>
      </c>
      <c r="T71" s="20" t="str">
        <f>IF('inflation, income and interest'!$A$38=2,"",('delay in perception'!E71-'delay in perception'!B71)/'delay in perception'!B71)</f>
        <v/>
      </c>
      <c r="U71" s="21" t="str">
        <f>IF('inflation, income and interest'!$A$38=2,"",'delay in perception'!E71)</f>
        <v/>
      </c>
      <c r="V71" s="27" t="str">
        <f>IF('inflation, income and interest'!$A$38=2,"",'delay in perception'!D71)</f>
        <v/>
      </c>
      <c r="W71" s="28" t="str">
        <f>IF('inflation, income and interest'!$A$38=2,"",'delay in perception'!M71/100)</f>
        <v/>
      </c>
      <c r="X71" s="24" t="str">
        <f>IF('inflation, income and interest'!$A$38=2,"",'delay in perception'!L71/100)</f>
        <v/>
      </c>
      <c r="Y71" s="201" t="str">
        <f>IF('inflation, income and interest'!$B$38=2,"",(hystere!E71-hystere!B71)/hystere!B71)</f>
        <v/>
      </c>
      <c r="Z71" s="476" t="str">
        <f>IF('inflation, income and interest'!$B$38=2,"",hystere!M71/100)</f>
        <v/>
      </c>
      <c r="AA71" s="21" t="str">
        <f>IF('inflation, income and interest'!$B$38=2,"",hystere!E71)</f>
        <v/>
      </c>
      <c r="AB71" s="27" t="str">
        <f>IF('inflation, income and interest'!$B$38=2,"",hystere!C71)</f>
        <v/>
      </c>
      <c r="AC71" s="20" t="str">
        <f>IF('inflation, income and interest'!$B$38=2,"",hystere!O71/100)</f>
        <v/>
      </c>
      <c r="AD71" s="20" t="str">
        <f>IF('inflation, income and interest'!$B$38=2,"",hystere!N71/100)</f>
        <v/>
      </c>
    </row>
    <row r="72" spans="1:30" ht="14" thickTop="1" thickBot="1">
      <c r="A72" s="32">
        <v>69</v>
      </c>
      <c r="B72" s="20">
        <f ca="1">('normal case'!D71-'normal case'!B71)/'normal case'!B71</f>
        <v>0</v>
      </c>
      <c r="C72" s="26">
        <f ca="1">'normal case'!D71</f>
        <v>100</v>
      </c>
      <c r="D72" s="27">
        <f ca="1">'normal case'!C71</f>
        <v>0</v>
      </c>
      <c r="E72" s="25">
        <f ca="1">'normal case'!L71/100</f>
        <v>0.02</v>
      </c>
      <c r="F72" s="28">
        <f ca="1">'normal case'!N71/100</f>
        <v>0.06</v>
      </c>
      <c r="G72" s="28">
        <f ca="1">'normal case'!M71/100</f>
        <v>0.04</v>
      </c>
      <c r="H72" s="28">
        <f ca="1">'public finance'!D70</f>
        <v>0</v>
      </c>
      <c r="I72" s="23">
        <f ca="1">'public finance'!E70</f>
        <v>0</v>
      </c>
      <c r="J72" s="153">
        <f ca="1">'public finance'!H70</f>
        <v>0</v>
      </c>
      <c r="K72" s="20">
        <f ca="1">'public finance'!C70/'normal case'!D71</f>
        <v>0.2</v>
      </c>
      <c r="L72" s="23">
        <f ca="1">'public finance'!A70/'normal case'!D71</f>
        <v>0.2</v>
      </c>
      <c r="M72" s="21" t="str">
        <f>IF(controls!$B$44=0,"",'normal case'!AC71)</f>
        <v/>
      </c>
      <c r="N72" s="21" t="str">
        <f>IF(controls!$B$44=0,"",'normal case'!AF71)</f>
        <v/>
      </c>
      <c r="O72" s="203" t="str">
        <f>IF(controls!$B$44=0,"",'external balance'!D71)</f>
        <v/>
      </c>
      <c r="P72" s="203" t="str">
        <f>IF(controls!$B$44=0,"",'external balance'!F71)</f>
        <v/>
      </c>
      <c r="Q72" s="202" t="str">
        <f>IF(controls!$B$44=0,"",'external balance'!H71)</f>
        <v/>
      </c>
      <c r="R72" s="201" t="str">
        <f>IF('inflation, income and interest'!$A$38=2,"",'delay in perception'!K72/100)</f>
        <v/>
      </c>
      <c r="S72" s="20" t="str">
        <f>IF('inflation, income and interest'!$A$38=2,"",('delay in perception'!E72-'delay in perception'!C72)/'delay in perception'!C72)</f>
        <v/>
      </c>
      <c r="T72" s="20" t="str">
        <f>IF('inflation, income and interest'!$A$38=2,"",('delay in perception'!E72-'delay in perception'!B72)/'delay in perception'!B72)</f>
        <v/>
      </c>
      <c r="U72" s="21" t="str">
        <f>IF('inflation, income and interest'!$A$38=2,"",'delay in perception'!E72)</f>
        <v/>
      </c>
      <c r="V72" s="27" t="str">
        <f>IF('inflation, income and interest'!$A$38=2,"",'delay in perception'!D72)</f>
        <v/>
      </c>
      <c r="W72" s="28" t="str">
        <f>IF('inflation, income and interest'!$A$38=2,"",'delay in perception'!M72/100)</f>
        <v/>
      </c>
      <c r="X72" s="24" t="str">
        <f>IF('inflation, income and interest'!$A$38=2,"",'delay in perception'!L72/100)</f>
        <v/>
      </c>
      <c r="Y72" s="201" t="str">
        <f>IF('inflation, income and interest'!$B$38=2,"",(hystere!E72-hystere!B72)/hystere!B72)</f>
        <v/>
      </c>
      <c r="Z72" s="476" t="str">
        <f>IF('inflation, income and interest'!$B$38=2,"",hystere!M72/100)</f>
        <v/>
      </c>
      <c r="AA72" s="21" t="str">
        <f>IF('inflation, income and interest'!$B$38=2,"",hystere!E72)</f>
        <v/>
      </c>
      <c r="AB72" s="27" t="str">
        <f>IF('inflation, income and interest'!$B$38=2,"",hystere!C72)</f>
        <v/>
      </c>
      <c r="AC72" s="20" t="str">
        <f>IF('inflation, income and interest'!$B$38=2,"",hystere!O72/100)</f>
        <v/>
      </c>
      <c r="AD72" s="20" t="str">
        <f>IF('inflation, income and interest'!$B$38=2,"",hystere!N72/100)</f>
        <v/>
      </c>
    </row>
    <row r="73" spans="1:30" ht="14" thickTop="1" thickBot="1">
      <c r="A73" s="32">
        <v>70</v>
      </c>
      <c r="B73" s="20">
        <f ca="1">('normal case'!D72-'normal case'!B72)/'normal case'!B72</f>
        <v>0</v>
      </c>
      <c r="C73" s="26">
        <f ca="1">'normal case'!D72</f>
        <v>100</v>
      </c>
      <c r="D73" s="27">
        <f ca="1">'normal case'!C72</f>
        <v>0</v>
      </c>
      <c r="E73" s="25">
        <f ca="1">'normal case'!L72/100</f>
        <v>0.02</v>
      </c>
      <c r="F73" s="28">
        <f ca="1">'normal case'!N72/100</f>
        <v>0.06</v>
      </c>
      <c r="G73" s="28">
        <f ca="1">'normal case'!M72/100</f>
        <v>0.04</v>
      </c>
      <c r="H73" s="28">
        <f ca="1">'public finance'!D71</f>
        <v>0</v>
      </c>
      <c r="I73" s="23">
        <f ca="1">'public finance'!E71</f>
        <v>0</v>
      </c>
      <c r="J73" s="153">
        <f ca="1">'public finance'!H71</f>
        <v>0</v>
      </c>
      <c r="K73" s="20">
        <f ca="1">'public finance'!C71/'normal case'!D72</f>
        <v>0.2</v>
      </c>
      <c r="L73" s="23">
        <f ca="1">'public finance'!A71/'normal case'!D72</f>
        <v>0.2</v>
      </c>
      <c r="M73" s="21" t="str">
        <f>IF(controls!$B$44=0,"",'normal case'!AC72)</f>
        <v/>
      </c>
      <c r="N73" s="21" t="str">
        <f>IF(controls!$B$44=0,"",'normal case'!AF72)</f>
        <v/>
      </c>
      <c r="O73" s="203" t="str">
        <f>IF(controls!$B$44=0,"",'external balance'!D72)</f>
        <v/>
      </c>
      <c r="P73" s="203" t="str">
        <f>IF(controls!$B$44=0,"",'external balance'!F72)</f>
        <v/>
      </c>
      <c r="Q73" s="202" t="str">
        <f>IF(controls!$B$44=0,"",'external balance'!H72)</f>
        <v/>
      </c>
      <c r="R73" s="201" t="str">
        <f>IF('inflation, income and interest'!$A$38=2,"",'delay in perception'!K73/100)</f>
        <v/>
      </c>
      <c r="S73" s="20" t="str">
        <f>IF('inflation, income and interest'!$A$38=2,"",('delay in perception'!E73-'delay in perception'!C73)/'delay in perception'!C73)</f>
        <v/>
      </c>
      <c r="T73" s="20" t="str">
        <f>IF('inflation, income and interest'!$A$38=2,"",('delay in perception'!E73-'delay in perception'!B73)/'delay in perception'!B73)</f>
        <v/>
      </c>
      <c r="U73" s="21" t="str">
        <f>IF('inflation, income and interest'!$A$38=2,"",'delay in perception'!E73)</f>
        <v/>
      </c>
      <c r="V73" s="27" t="str">
        <f>IF('inflation, income and interest'!$A$38=2,"",'delay in perception'!D73)</f>
        <v/>
      </c>
      <c r="W73" s="28" t="str">
        <f>IF('inflation, income and interest'!$A$38=2,"",'delay in perception'!M73/100)</f>
        <v/>
      </c>
      <c r="X73" s="24" t="str">
        <f>IF('inflation, income and interest'!$A$38=2,"",'delay in perception'!L73/100)</f>
        <v/>
      </c>
      <c r="Y73" s="201" t="str">
        <f>IF('inflation, income and interest'!$B$38=2,"",(hystere!E73-hystere!B73)/hystere!B73)</f>
        <v/>
      </c>
      <c r="Z73" s="476" t="str">
        <f>IF('inflation, income and interest'!$B$38=2,"",hystere!M73/100)</f>
        <v/>
      </c>
      <c r="AA73" s="21" t="str">
        <f>IF('inflation, income and interest'!$B$38=2,"",hystere!E73)</f>
        <v/>
      </c>
      <c r="AB73" s="27" t="str">
        <f>IF('inflation, income and interest'!$B$38=2,"",hystere!C73)</f>
        <v/>
      </c>
      <c r="AC73" s="20" t="str">
        <f>IF('inflation, income and interest'!$B$38=2,"",hystere!O73/100)</f>
        <v/>
      </c>
      <c r="AD73" s="20" t="str">
        <f>IF('inflation, income and interest'!$B$38=2,"",hystere!N73/100)</f>
        <v/>
      </c>
    </row>
    <row r="74" spans="1:30" ht="14" thickTop="1" thickBot="1">
      <c r="A74" s="32">
        <v>71</v>
      </c>
      <c r="B74" s="20">
        <f ca="1">('normal case'!D73-'normal case'!B73)/'normal case'!B73</f>
        <v>0</v>
      </c>
      <c r="C74" s="26">
        <f ca="1">'normal case'!D73</f>
        <v>100</v>
      </c>
      <c r="D74" s="27">
        <f ca="1">'normal case'!C73</f>
        <v>0</v>
      </c>
      <c r="E74" s="25">
        <f ca="1">'normal case'!L73/100</f>
        <v>0.02</v>
      </c>
      <c r="F74" s="28">
        <f ca="1">'normal case'!N73/100</f>
        <v>0.06</v>
      </c>
      <c r="G74" s="28">
        <f ca="1">'normal case'!M73/100</f>
        <v>0.04</v>
      </c>
      <c r="H74" s="28">
        <f ca="1">'public finance'!D72</f>
        <v>0</v>
      </c>
      <c r="I74" s="23">
        <f ca="1">'public finance'!E72</f>
        <v>0</v>
      </c>
      <c r="J74" s="153">
        <f ca="1">'public finance'!H72</f>
        <v>0</v>
      </c>
      <c r="K74" s="20">
        <f ca="1">'public finance'!C72/'normal case'!D73</f>
        <v>0.2</v>
      </c>
      <c r="L74" s="23">
        <f ca="1">'public finance'!A72/'normal case'!D73</f>
        <v>0.2</v>
      </c>
      <c r="M74" s="21" t="str">
        <f>IF(controls!$B$44=0,"",'normal case'!AC73)</f>
        <v/>
      </c>
      <c r="N74" s="21" t="str">
        <f>IF(controls!$B$44=0,"",'normal case'!AF73)</f>
        <v/>
      </c>
      <c r="O74" s="203" t="str">
        <f>IF(controls!$B$44=0,"",'external balance'!D73)</f>
        <v/>
      </c>
      <c r="P74" s="203" t="str">
        <f>IF(controls!$B$44=0,"",'external balance'!F73)</f>
        <v/>
      </c>
      <c r="Q74" s="202" t="str">
        <f>IF(controls!$B$44=0,"",'external balance'!H73)</f>
        <v/>
      </c>
      <c r="R74" s="201" t="str">
        <f>IF('inflation, income and interest'!$A$38=2,"",'delay in perception'!K74/100)</f>
        <v/>
      </c>
      <c r="S74" s="20" t="str">
        <f>IF('inflation, income and interest'!$A$38=2,"",('delay in perception'!E74-'delay in perception'!C74)/'delay in perception'!C74)</f>
        <v/>
      </c>
      <c r="T74" s="20" t="str">
        <f>IF('inflation, income and interest'!$A$38=2,"",('delay in perception'!E74-'delay in perception'!B74)/'delay in perception'!B74)</f>
        <v/>
      </c>
      <c r="U74" s="21" t="str">
        <f>IF('inflation, income and interest'!$A$38=2,"",'delay in perception'!E74)</f>
        <v/>
      </c>
      <c r="V74" s="27" t="str">
        <f>IF('inflation, income and interest'!$A$38=2,"",'delay in perception'!D74)</f>
        <v/>
      </c>
      <c r="W74" s="28" t="str">
        <f>IF('inflation, income and interest'!$A$38=2,"",'delay in perception'!M74/100)</f>
        <v/>
      </c>
      <c r="X74" s="24" t="str">
        <f>IF('inflation, income and interest'!$A$38=2,"",'delay in perception'!L74/100)</f>
        <v/>
      </c>
      <c r="Y74" s="201" t="str">
        <f>IF('inflation, income and interest'!$B$38=2,"",(hystere!E74-hystere!B74)/hystere!B74)</f>
        <v/>
      </c>
      <c r="Z74" s="476" t="str">
        <f>IF('inflation, income and interest'!$B$38=2,"",hystere!M74/100)</f>
        <v/>
      </c>
      <c r="AA74" s="21" t="str">
        <f>IF('inflation, income and interest'!$B$38=2,"",hystere!E74)</f>
        <v/>
      </c>
      <c r="AB74" s="27" t="str">
        <f>IF('inflation, income and interest'!$B$38=2,"",hystere!C74)</f>
        <v/>
      </c>
      <c r="AC74" s="20" t="str">
        <f>IF('inflation, income and interest'!$B$38=2,"",hystere!O74/100)</f>
        <v/>
      </c>
      <c r="AD74" s="20" t="str">
        <f>IF('inflation, income and interest'!$B$38=2,"",hystere!N74/100)</f>
        <v/>
      </c>
    </row>
    <row r="75" spans="1:30" ht="14" thickTop="1" thickBot="1">
      <c r="A75" s="32">
        <v>72</v>
      </c>
      <c r="B75" s="20">
        <f ca="1">('normal case'!D74-'normal case'!B74)/'normal case'!B74</f>
        <v>0</v>
      </c>
      <c r="C75" s="26">
        <f ca="1">'normal case'!D74</f>
        <v>100</v>
      </c>
      <c r="D75" s="27">
        <f ca="1">'normal case'!C74</f>
        <v>0</v>
      </c>
      <c r="E75" s="25">
        <f ca="1">'normal case'!L74/100</f>
        <v>0.02</v>
      </c>
      <c r="F75" s="28">
        <f ca="1">'normal case'!N74/100</f>
        <v>0.06</v>
      </c>
      <c r="G75" s="28">
        <f ca="1">'normal case'!M74/100</f>
        <v>0.04</v>
      </c>
      <c r="H75" s="28">
        <f ca="1">'public finance'!D73</f>
        <v>0</v>
      </c>
      <c r="I75" s="23">
        <f ca="1">'public finance'!E73</f>
        <v>0</v>
      </c>
      <c r="J75" s="153">
        <f ca="1">'public finance'!H73</f>
        <v>0</v>
      </c>
      <c r="K75" s="20">
        <f ca="1">'public finance'!C73/'normal case'!D74</f>
        <v>0.2</v>
      </c>
      <c r="L75" s="23">
        <f ca="1">'public finance'!A73/'normal case'!D74</f>
        <v>0.2</v>
      </c>
      <c r="M75" s="21" t="str">
        <f>IF(controls!$B$44=0,"",'normal case'!AC74)</f>
        <v/>
      </c>
      <c r="N75" s="21" t="str">
        <f>IF(controls!$B$44=0,"",'normal case'!AF74)</f>
        <v/>
      </c>
      <c r="O75" s="203" t="str">
        <f>IF(controls!$B$44=0,"",'external balance'!D74)</f>
        <v/>
      </c>
      <c r="P75" s="203" t="str">
        <f>IF(controls!$B$44=0,"",'external balance'!F74)</f>
        <v/>
      </c>
      <c r="Q75" s="202" t="str">
        <f>IF(controls!$B$44=0,"",'external balance'!H74)</f>
        <v/>
      </c>
      <c r="R75" s="201" t="str">
        <f>IF('inflation, income and interest'!$A$38=2,"",'delay in perception'!K75/100)</f>
        <v/>
      </c>
      <c r="S75" s="20" t="str">
        <f>IF('inflation, income and interest'!$A$38=2,"",('delay in perception'!E75-'delay in perception'!C75)/'delay in perception'!C75)</f>
        <v/>
      </c>
      <c r="T75" s="20" t="str">
        <f>IF('inflation, income and interest'!$A$38=2,"",('delay in perception'!E75-'delay in perception'!B75)/'delay in perception'!B75)</f>
        <v/>
      </c>
      <c r="U75" s="21" t="str">
        <f>IF('inflation, income and interest'!$A$38=2,"",'delay in perception'!E75)</f>
        <v/>
      </c>
      <c r="V75" s="27" t="str">
        <f>IF('inflation, income and interest'!$A$38=2,"",'delay in perception'!D75)</f>
        <v/>
      </c>
      <c r="W75" s="28" t="str">
        <f>IF('inflation, income and interest'!$A$38=2,"",'delay in perception'!M75/100)</f>
        <v/>
      </c>
      <c r="X75" s="24" t="str">
        <f>IF('inflation, income and interest'!$A$38=2,"",'delay in perception'!L75/100)</f>
        <v/>
      </c>
      <c r="Y75" s="201" t="str">
        <f>IF('inflation, income and interest'!$B$38=2,"",(hystere!E75-hystere!B75)/hystere!B75)</f>
        <v/>
      </c>
      <c r="Z75" s="476" t="str">
        <f>IF('inflation, income and interest'!$B$38=2,"",hystere!M75/100)</f>
        <v/>
      </c>
      <c r="AA75" s="21" t="str">
        <f>IF('inflation, income and interest'!$B$38=2,"",hystere!E75)</f>
        <v/>
      </c>
      <c r="AB75" s="27" t="str">
        <f>IF('inflation, income and interest'!$B$38=2,"",hystere!C75)</f>
        <v/>
      </c>
      <c r="AC75" s="20" t="str">
        <f>IF('inflation, income and interest'!$B$38=2,"",hystere!O75/100)</f>
        <v/>
      </c>
      <c r="AD75" s="20" t="str">
        <f>IF('inflation, income and interest'!$B$38=2,"",hystere!N75/100)</f>
        <v/>
      </c>
    </row>
    <row r="76" spans="1:30" ht="14" thickTop="1" thickBot="1">
      <c r="A76" s="32">
        <v>73</v>
      </c>
      <c r="B76" s="20">
        <f ca="1">('normal case'!D75-'normal case'!B75)/'normal case'!B75</f>
        <v>0</v>
      </c>
      <c r="C76" s="26">
        <f ca="1">'normal case'!D75</f>
        <v>100</v>
      </c>
      <c r="D76" s="27">
        <f ca="1">'normal case'!C75</f>
        <v>0</v>
      </c>
      <c r="E76" s="25">
        <f ca="1">'normal case'!L75/100</f>
        <v>0.02</v>
      </c>
      <c r="F76" s="28">
        <f ca="1">'normal case'!N75/100</f>
        <v>0.06</v>
      </c>
      <c r="G76" s="28">
        <f ca="1">'normal case'!M75/100</f>
        <v>0.04</v>
      </c>
      <c r="H76" s="28">
        <f ca="1">'public finance'!D74</f>
        <v>0</v>
      </c>
      <c r="I76" s="23">
        <f ca="1">'public finance'!E74</f>
        <v>0</v>
      </c>
      <c r="J76" s="153">
        <f ca="1">'public finance'!H74</f>
        <v>0</v>
      </c>
      <c r="K76" s="20">
        <f ca="1">'public finance'!C74/'normal case'!D75</f>
        <v>0.2</v>
      </c>
      <c r="L76" s="23">
        <f ca="1">'public finance'!A74/'normal case'!D75</f>
        <v>0.2</v>
      </c>
      <c r="M76" s="21" t="str">
        <f>IF(controls!$B$44=0,"",'normal case'!AC75)</f>
        <v/>
      </c>
      <c r="N76" s="21" t="str">
        <f>IF(controls!$B$44=0,"",'normal case'!AF75)</f>
        <v/>
      </c>
      <c r="O76" s="203" t="str">
        <f>IF(controls!$B$44=0,"",'external balance'!D75)</f>
        <v/>
      </c>
      <c r="P76" s="203" t="str">
        <f>IF(controls!$B$44=0,"",'external balance'!F75)</f>
        <v/>
      </c>
      <c r="Q76" s="202" t="str">
        <f>IF(controls!$B$44=0,"",'external balance'!H75)</f>
        <v/>
      </c>
      <c r="R76" s="201" t="str">
        <f>IF('inflation, income and interest'!$A$38=2,"",'delay in perception'!K76/100)</f>
        <v/>
      </c>
      <c r="S76" s="20" t="str">
        <f>IF('inflation, income and interest'!$A$38=2,"",('delay in perception'!E76-'delay in perception'!C76)/'delay in perception'!C76)</f>
        <v/>
      </c>
      <c r="T76" s="20" t="str">
        <f>IF('inflation, income and interest'!$A$38=2,"",('delay in perception'!E76-'delay in perception'!B76)/'delay in perception'!B76)</f>
        <v/>
      </c>
      <c r="U76" s="21" t="str">
        <f>IF('inflation, income and interest'!$A$38=2,"",'delay in perception'!E76)</f>
        <v/>
      </c>
      <c r="V76" s="27" t="str">
        <f>IF('inflation, income and interest'!$A$38=2,"",'delay in perception'!D76)</f>
        <v/>
      </c>
      <c r="W76" s="28" t="str">
        <f>IF('inflation, income and interest'!$A$38=2,"",'delay in perception'!M76/100)</f>
        <v/>
      </c>
      <c r="X76" s="24" t="str">
        <f>IF('inflation, income and interest'!$A$38=2,"",'delay in perception'!L76/100)</f>
        <v/>
      </c>
      <c r="Y76" s="201" t="str">
        <f>IF('inflation, income and interest'!$B$38=2,"",(hystere!E76-hystere!B76)/hystere!B76)</f>
        <v/>
      </c>
      <c r="Z76" s="476" t="str">
        <f>IF('inflation, income and interest'!$B$38=2,"",hystere!M76/100)</f>
        <v/>
      </c>
      <c r="AA76" s="21" t="str">
        <f>IF('inflation, income and interest'!$B$38=2,"",hystere!E76)</f>
        <v/>
      </c>
      <c r="AB76" s="27" t="str">
        <f>IF('inflation, income and interest'!$B$38=2,"",hystere!C76)</f>
        <v/>
      </c>
      <c r="AC76" s="20" t="str">
        <f>IF('inflation, income and interest'!$B$38=2,"",hystere!O76/100)</f>
        <v/>
      </c>
      <c r="AD76" s="20" t="str">
        <f>IF('inflation, income and interest'!$B$38=2,"",hystere!N76/100)</f>
        <v/>
      </c>
    </row>
    <row r="77" spans="1:30" ht="14" thickTop="1" thickBot="1">
      <c r="A77" s="32">
        <v>74</v>
      </c>
      <c r="B77" s="20">
        <f ca="1">('normal case'!D76-'normal case'!B76)/'normal case'!B76</f>
        <v>0</v>
      </c>
      <c r="C77" s="26">
        <f ca="1">'normal case'!D76</f>
        <v>100</v>
      </c>
      <c r="D77" s="27">
        <f ca="1">'normal case'!C76</f>
        <v>0</v>
      </c>
      <c r="E77" s="25">
        <f ca="1">'normal case'!L76/100</f>
        <v>0.02</v>
      </c>
      <c r="F77" s="28">
        <f ca="1">'normal case'!N76/100</f>
        <v>0.06</v>
      </c>
      <c r="G77" s="28">
        <f ca="1">'normal case'!M76/100</f>
        <v>0.04</v>
      </c>
      <c r="H77" s="28">
        <f ca="1">'public finance'!D75</f>
        <v>0</v>
      </c>
      <c r="I77" s="23">
        <f ca="1">'public finance'!E75</f>
        <v>0</v>
      </c>
      <c r="J77" s="153">
        <f ca="1">'public finance'!H75</f>
        <v>0</v>
      </c>
      <c r="K77" s="20">
        <f ca="1">'public finance'!C75/'normal case'!D76</f>
        <v>0.2</v>
      </c>
      <c r="L77" s="23">
        <f ca="1">'public finance'!A75/'normal case'!D76</f>
        <v>0.2</v>
      </c>
      <c r="M77" s="21" t="str">
        <f>IF(controls!$B$44=0,"",'normal case'!AC76)</f>
        <v/>
      </c>
      <c r="N77" s="21" t="str">
        <f>IF(controls!$B$44=0,"",'normal case'!AF76)</f>
        <v/>
      </c>
      <c r="O77" s="203" t="str">
        <f>IF(controls!$B$44=0,"",'external balance'!D76)</f>
        <v/>
      </c>
      <c r="P77" s="203" t="str">
        <f>IF(controls!$B$44=0,"",'external balance'!F76)</f>
        <v/>
      </c>
      <c r="Q77" s="202" t="str">
        <f>IF(controls!$B$44=0,"",'external balance'!H76)</f>
        <v/>
      </c>
      <c r="R77" s="201" t="str">
        <f>IF('inflation, income and interest'!$A$38=2,"",'delay in perception'!K77/100)</f>
        <v/>
      </c>
      <c r="S77" s="20" t="str">
        <f>IF('inflation, income and interest'!$A$38=2,"",('delay in perception'!E77-'delay in perception'!C77)/'delay in perception'!C77)</f>
        <v/>
      </c>
      <c r="T77" s="20" t="str">
        <f>IF('inflation, income and interest'!$A$38=2,"",('delay in perception'!E77-'delay in perception'!B77)/'delay in perception'!B77)</f>
        <v/>
      </c>
      <c r="U77" s="21" t="str">
        <f>IF('inflation, income and interest'!$A$38=2,"",'delay in perception'!E77)</f>
        <v/>
      </c>
      <c r="V77" s="27" t="str">
        <f>IF('inflation, income and interest'!$A$38=2,"",'delay in perception'!D77)</f>
        <v/>
      </c>
      <c r="W77" s="28" t="str">
        <f>IF('inflation, income and interest'!$A$38=2,"",'delay in perception'!M77/100)</f>
        <v/>
      </c>
      <c r="X77" s="24" t="str">
        <f>IF('inflation, income and interest'!$A$38=2,"",'delay in perception'!L77/100)</f>
        <v/>
      </c>
      <c r="Y77" s="201" t="str">
        <f>IF('inflation, income and interest'!$B$38=2,"",(hystere!E77-hystere!B77)/hystere!B77)</f>
        <v/>
      </c>
      <c r="Z77" s="476" t="str">
        <f>IF('inflation, income and interest'!$B$38=2,"",hystere!M77/100)</f>
        <v/>
      </c>
      <c r="AA77" s="21" t="str">
        <f>IF('inflation, income and interest'!$B$38=2,"",hystere!E77)</f>
        <v/>
      </c>
      <c r="AB77" s="27" t="str">
        <f>IF('inflation, income and interest'!$B$38=2,"",hystere!C77)</f>
        <v/>
      </c>
      <c r="AC77" s="20" t="str">
        <f>IF('inflation, income and interest'!$B$38=2,"",hystere!O77/100)</f>
        <v/>
      </c>
      <c r="AD77" s="20" t="str">
        <f>IF('inflation, income and interest'!$B$38=2,"",hystere!N77/100)</f>
        <v/>
      </c>
    </row>
    <row r="78" spans="1:30" ht="14" thickTop="1" thickBot="1">
      <c r="A78" s="32">
        <v>75</v>
      </c>
      <c r="B78" s="20">
        <f ca="1">('normal case'!D77-'normal case'!B77)/'normal case'!B77</f>
        <v>0</v>
      </c>
      <c r="C78" s="26">
        <f ca="1">'normal case'!D77</f>
        <v>100</v>
      </c>
      <c r="D78" s="27">
        <f ca="1">'normal case'!C77</f>
        <v>0</v>
      </c>
      <c r="E78" s="25">
        <f ca="1">'normal case'!L77/100</f>
        <v>0.02</v>
      </c>
      <c r="F78" s="28">
        <f ca="1">'normal case'!N77/100</f>
        <v>0.06</v>
      </c>
      <c r="G78" s="28">
        <f ca="1">'normal case'!M77/100</f>
        <v>0.04</v>
      </c>
      <c r="H78" s="28">
        <f ca="1">'public finance'!D76</f>
        <v>0</v>
      </c>
      <c r="I78" s="23">
        <f ca="1">'public finance'!E76</f>
        <v>0</v>
      </c>
      <c r="J78" s="153">
        <f ca="1">'public finance'!H76</f>
        <v>0</v>
      </c>
      <c r="K78" s="20">
        <f ca="1">'public finance'!C76/'normal case'!D77</f>
        <v>0.2</v>
      </c>
      <c r="L78" s="23">
        <f ca="1">'public finance'!A76/'normal case'!D77</f>
        <v>0.2</v>
      </c>
      <c r="M78" s="21" t="str">
        <f>IF(controls!$B$44=0,"",'normal case'!AC77)</f>
        <v/>
      </c>
      <c r="N78" s="21" t="str">
        <f>IF(controls!$B$44=0,"",'normal case'!AF77)</f>
        <v/>
      </c>
      <c r="O78" s="203" t="str">
        <f>IF(controls!$B$44=0,"",'external balance'!D77)</f>
        <v/>
      </c>
      <c r="P78" s="203" t="str">
        <f>IF(controls!$B$44=0,"",'external balance'!F77)</f>
        <v/>
      </c>
      <c r="Q78" s="202" t="str">
        <f>IF(controls!$B$44=0,"",'external balance'!H77)</f>
        <v/>
      </c>
      <c r="R78" s="201" t="str">
        <f>IF('inflation, income and interest'!$A$38=2,"",'delay in perception'!K78/100)</f>
        <v/>
      </c>
      <c r="S78" s="20" t="str">
        <f>IF('inflation, income and interest'!$A$38=2,"",('delay in perception'!E78-'delay in perception'!C78)/'delay in perception'!C78)</f>
        <v/>
      </c>
      <c r="T78" s="20" t="str">
        <f>IF('inflation, income and interest'!$A$38=2,"",('delay in perception'!E78-'delay in perception'!B78)/'delay in perception'!B78)</f>
        <v/>
      </c>
      <c r="U78" s="21" t="str">
        <f>IF('inflation, income and interest'!$A$38=2,"",'delay in perception'!E78)</f>
        <v/>
      </c>
      <c r="V78" s="27" t="str">
        <f>IF('inflation, income and interest'!$A$38=2,"",'delay in perception'!D78)</f>
        <v/>
      </c>
      <c r="W78" s="28" t="str">
        <f>IF('inflation, income and interest'!$A$38=2,"",'delay in perception'!M78/100)</f>
        <v/>
      </c>
      <c r="X78" s="24" t="str">
        <f>IF('inflation, income and interest'!$A$38=2,"",'delay in perception'!L78/100)</f>
        <v/>
      </c>
      <c r="Y78" s="201" t="str">
        <f>IF('inflation, income and interest'!$B$38=2,"",(hystere!E78-hystere!B78)/hystere!B78)</f>
        <v/>
      </c>
      <c r="Z78" s="476" t="str">
        <f>IF('inflation, income and interest'!$B$38=2,"",hystere!M78/100)</f>
        <v/>
      </c>
      <c r="AA78" s="21" t="str">
        <f>IF('inflation, income and interest'!$B$38=2,"",hystere!E78)</f>
        <v/>
      </c>
      <c r="AB78" s="27" t="str">
        <f>IF('inflation, income and interest'!$B$38=2,"",hystere!C78)</f>
        <v/>
      </c>
      <c r="AC78" s="20" t="str">
        <f>IF('inflation, income and interest'!$B$38=2,"",hystere!O78/100)</f>
        <v/>
      </c>
      <c r="AD78" s="20" t="str">
        <f>IF('inflation, income and interest'!$B$38=2,"",hystere!N78/100)</f>
        <v/>
      </c>
    </row>
    <row r="79" spans="1:30" ht="14" thickTop="1" thickBot="1">
      <c r="A79" s="32">
        <v>76</v>
      </c>
      <c r="B79" s="20">
        <f ca="1">('normal case'!D78-'normal case'!B78)/'normal case'!B78</f>
        <v>0</v>
      </c>
      <c r="C79" s="26">
        <f ca="1">'normal case'!D78</f>
        <v>100</v>
      </c>
      <c r="D79" s="27">
        <f ca="1">'normal case'!C78</f>
        <v>0</v>
      </c>
      <c r="E79" s="25">
        <f ca="1">'normal case'!L78/100</f>
        <v>0.02</v>
      </c>
      <c r="F79" s="28">
        <f ca="1">'normal case'!N78/100</f>
        <v>0.06</v>
      </c>
      <c r="G79" s="28">
        <f ca="1">'normal case'!M78/100</f>
        <v>0.04</v>
      </c>
      <c r="H79" s="28">
        <f ca="1">'public finance'!D77</f>
        <v>0</v>
      </c>
      <c r="I79" s="23">
        <f ca="1">'public finance'!E77</f>
        <v>0</v>
      </c>
      <c r="J79" s="153">
        <f ca="1">'public finance'!H77</f>
        <v>0</v>
      </c>
      <c r="K79" s="20">
        <f ca="1">'public finance'!C77/'normal case'!D78</f>
        <v>0.2</v>
      </c>
      <c r="L79" s="23">
        <f ca="1">'public finance'!A77/'normal case'!D78</f>
        <v>0.2</v>
      </c>
      <c r="M79" s="21" t="str">
        <f>IF(controls!$B$44=0,"",'normal case'!AC78)</f>
        <v/>
      </c>
      <c r="N79" s="21" t="str">
        <f>IF(controls!$B$44=0,"",'normal case'!AF78)</f>
        <v/>
      </c>
      <c r="O79" s="203" t="str">
        <f>IF(controls!$B$44=0,"",'external balance'!D78)</f>
        <v/>
      </c>
      <c r="P79" s="203" t="str">
        <f>IF(controls!$B$44=0,"",'external balance'!F78)</f>
        <v/>
      </c>
      <c r="Q79" s="202" t="str">
        <f>IF(controls!$B$44=0,"",'external balance'!H78)</f>
        <v/>
      </c>
      <c r="R79" s="201" t="str">
        <f>IF('inflation, income and interest'!$A$38=2,"",'delay in perception'!K79/100)</f>
        <v/>
      </c>
      <c r="S79" s="20" t="str">
        <f>IF('inflation, income and interest'!$A$38=2,"",('delay in perception'!E79-'delay in perception'!C79)/'delay in perception'!C79)</f>
        <v/>
      </c>
      <c r="T79" s="20" t="str">
        <f>IF('inflation, income and interest'!$A$38=2,"",('delay in perception'!E79-'delay in perception'!B79)/'delay in perception'!B79)</f>
        <v/>
      </c>
      <c r="U79" s="21" t="str">
        <f>IF('inflation, income and interest'!$A$38=2,"",'delay in perception'!E79)</f>
        <v/>
      </c>
      <c r="V79" s="27" t="str">
        <f>IF('inflation, income and interest'!$A$38=2,"",'delay in perception'!D79)</f>
        <v/>
      </c>
      <c r="W79" s="28" t="str">
        <f>IF('inflation, income and interest'!$A$38=2,"",'delay in perception'!M79/100)</f>
        <v/>
      </c>
      <c r="X79" s="24" t="str">
        <f>IF('inflation, income and interest'!$A$38=2,"",'delay in perception'!L79/100)</f>
        <v/>
      </c>
      <c r="Y79" s="201" t="str">
        <f>IF('inflation, income and interest'!$B$38=2,"",(hystere!E79-hystere!B79)/hystere!B79)</f>
        <v/>
      </c>
      <c r="Z79" s="476" t="str">
        <f>IF('inflation, income and interest'!$B$38=2,"",hystere!M79/100)</f>
        <v/>
      </c>
      <c r="AA79" s="21" t="str">
        <f>IF('inflation, income and interest'!$B$38=2,"",hystere!E79)</f>
        <v/>
      </c>
      <c r="AB79" s="27" t="str">
        <f>IF('inflation, income and interest'!$B$38=2,"",hystere!C79)</f>
        <v/>
      </c>
      <c r="AC79" s="20" t="str">
        <f>IF('inflation, income and interest'!$B$38=2,"",hystere!O79/100)</f>
        <v/>
      </c>
      <c r="AD79" s="20" t="str">
        <f>IF('inflation, income and interest'!$B$38=2,"",hystere!N79/100)</f>
        <v/>
      </c>
    </row>
    <row r="80" spans="1:30" ht="14" thickTop="1" thickBot="1">
      <c r="A80" s="32">
        <v>77</v>
      </c>
      <c r="B80" s="20">
        <f ca="1">('normal case'!D79-'normal case'!B79)/'normal case'!B79</f>
        <v>0</v>
      </c>
      <c r="C80" s="26">
        <f ca="1">'normal case'!D79</f>
        <v>100</v>
      </c>
      <c r="D80" s="27">
        <f ca="1">'normal case'!C79</f>
        <v>0</v>
      </c>
      <c r="E80" s="25">
        <f ca="1">'normal case'!L79/100</f>
        <v>0.02</v>
      </c>
      <c r="F80" s="28">
        <f ca="1">'normal case'!N79/100</f>
        <v>0.06</v>
      </c>
      <c r="G80" s="28">
        <f ca="1">'normal case'!M79/100</f>
        <v>0.04</v>
      </c>
      <c r="H80" s="28">
        <f ca="1">'public finance'!D78</f>
        <v>0</v>
      </c>
      <c r="I80" s="23">
        <f ca="1">'public finance'!E78</f>
        <v>0</v>
      </c>
      <c r="J80" s="153">
        <f ca="1">'public finance'!H78</f>
        <v>0</v>
      </c>
      <c r="K80" s="20">
        <f ca="1">'public finance'!C78/'normal case'!D79</f>
        <v>0.2</v>
      </c>
      <c r="L80" s="23">
        <f ca="1">'public finance'!A78/'normal case'!D79</f>
        <v>0.2</v>
      </c>
      <c r="M80" s="21" t="str">
        <f>IF(controls!$B$44=0,"",'normal case'!AC79)</f>
        <v/>
      </c>
      <c r="N80" s="21" t="str">
        <f>IF(controls!$B$44=0,"",'normal case'!AF79)</f>
        <v/>
      </c>
      <c r="O80" s="203" t="str">
        <f>IF(controls!$B$44=0,"",'external balance'!D79)</f>
        <v/>
      </c>
      <c r="P80" s="203" t="str">
        <f>IF(controls!$B$44=0,"",'external balance'!F79)</f>
        <v/>
      </c>
      <c r="Q80" s="202" t="str">
        <f>IF(controls!$B$44=0,"",'external balance'!H79)</f>
        <v/>
      </c>
      <c r="R80" s="201" t="str">
        <f>IF('inflation, income and interest'!$A$38=2,"",'delay in perception'!K80/100)</f>
        <v/>
      </c>
      <c r="S80" s="20" t="str">
        <f>IF('inflation, income and interest'!$A$38=2,"",('delay in perception'!E80-'delay in perception'!C80)/'delay in perception'!C80)</f>
        <v/>
      </c>
      <c r="T80" s="20" t="str">
        <f>IF('inflation, income and interest'!$A$38=2,"",('delay in perception'!E80-'delay in perception'!B80)/'delay in perception'!B80)</f>
        <v/>
      </c>
      <c r="U80" s="21" t="str">
        <f>IF('inflation, income and interest'!$A$38=2,"",'delay in perception'!E80)</f>
        <v/>
      </c>
      <c r="V80" s="27" t="str">
        <f>IF('inflation, income and interest'!$A$38=2,"",'delay in perception'!D80)</f>
        <v/>
      </c>
      <c r="W80" s="28" t="str">
        <f>IF('inflation, income and interest'!$A$38=2,"",'delay in perception'!M80/100)</f>
        <v/>
      </c>
      <c r="X80" s="24" t="str">
        <f>IF('inflation, income and interest'!$A$38=2,"",'delay in perception'!L80/100)</f>
        <v/>
      </c>
      <c r="Y80" s="201" t="str">
        <f>IF('inflation, income and interest'!$B$38=2,"",(hystere!E80-hystere!B80)/hystere!B80)</f>
        <v/>
      </c>
      <c r="Z80" s="476" t="str">
        <f>IF('inflation, income and interest'!$B$38=2,"",hystere!M80/100)</f>
        <v/>
      </c>
      <c r="AA80" s="21" t="str">
        <f>IF('inflation, income and interest'!$B$38=2,"",hystere!E80)</f>
        <v/>
      </c>
      <c r="AB80" s="27" t="str">
        <f>IF('inflation, income and interest'!$B$38=2,"",hystere!C80)</f>
        <v/>
      </c>
      <c r="AC80" s="20" t="str">
        <f>IF('inflation, income and interest'!$B$38=2,"",hystere!O80/100)</f>
        <v/>
      </c>
      <c r="AD80" s="20" t="str">
        <f>IF('inflation, income and interest'!$B$38=2,"",hystere!N80/100)</f>
        <v/>
      </c>
    </row>
    <row r="81" spans="1:30" ht="14" thickTop="1" thickBot="1">
      <c r="A81" s="32">
        <v>78</v>
      </c>
      <c r="B81" s="20">
        <f ca="1">('normal case'!D80-'normal case'!B80)/'normal case'!B80</f>
        <v>0</v>
      </c>
      <c r="C81" s="26">
        <f ca="1">'normal case'!D80</f>
        <v>100</v>
      </c>
      <c r="D81" s="27">
        <f ca="1">'normal case'!C80</f>
        <v>0</v>
      </c>
      <c r="E81" s="25">
        <f ca="1">'normal case'!L80/100</f>
        <v>0.02</v>
      </c>
      <c r="F81" s="28">
        <f ca="1">'normal case'!N80/100</f>
        <v>0.06</v>
      </c>
      <c r="G81" s="28">
        <f ca="1">'normal case'!M80/100</f>
        <v>0.04</v>
      </c>
      <c r="H81" s="28">
        <f ca="1">'public finance'!D79</f>
        <v>0</v>
      </c>
      <c r="I81" s="23">
        <f ca="1">'public finance'!E79</f>
        <v>0</v>
      </c>
      <c r="J81" s="153">
        <f ca="1">'public finance'!H79</f>
        <v>0</v>
      </c>
      <c r="K81" s="20">
        <f ca="1">'public finance'!C79/'normal case'!D80</f>
        <v>0.2</v>
      </c>
      <c r="L81" s="23">
        <f ca="1">'public finance'!A79/'normal case'!D80</f>
        <v>0.2</v>
      </c>
      <c r="M81" s="21" t="str">
        <f>IF(controls!$B$44=0,"",'normal case'!AC80)</f>
        <v/>
      </c>
      <c r="N81" s="21" t="str">
        <f>IF(controls!$B$44=0,"",'normal case'!AF80)</f>
        <v/>
      </c>
      <c r="O81" s="203" t="str">
        <f>IF(controls!$B$44=0,"",'external balance'!D80)</f>
        <v/>
      </c>
      <c r="P81" s="203" t="str">
        <f>IF(controls!$B$44=0,"",'external balance'!F80)</f>
        <v/>
      </c>
      <c r="Q81" s="202" t="str">
        <f>IF(controls!$B$44=0,"",'external balance'!H80)</f>
        <v/>
      </c>
      <c r="R81" s="201" t="str">
        <f>IF('inflation, income and interest'!$A$38=2,"",'delay in perception'!K81/100)</f>
        <v/>
      </c>
      <c r="S81" s="20" t="str">
        <f>IF('inflation, income and interest'!$A$38=2,"",('delay in perception'!E81-'delay in perception'!C81)/'delay in perception'!C81)</f>
        <v/>
      </c>
      <c r="T81" s="20" t="str">
        <f>IF('inflation, income and interest'!$A$38=2,"",('delay in perception'!E81-'delay in perception'!B81)/'delay in perception'!B81)</f>
        <v/>
      </c>
      <c r="U81" s="21" t="str">
        <f>IF('inflation, income and interest'!$A$38=2,"",'delay in perception'!E81)</f>
        <v/>
      </c>
      <c r="V81" s="27" t="str">
        <f>IF('inflation, income and interest'!$A$38=2,"",'delay in perception'!D81)</f>
        <v/>
      </c>
      <c r="W81" s="28" t="str">
        <f>IF('inflation, income and interest'!$A$38=2,"",'delay in perception'!M81/100)</f>
        <v/>
      </c>
      <c r="X81" s="24" t="str">
        <f>IF('inflation, income and interest'!$A$38=2,"",'delay in perception'!L81/100)</f>
        <v/>
      </c>
      <c r="Y81" s="201" t="str">
        <f>IF('inflation, income and interest'!$B$38=2,"",(hystere!E81-hystere!B81)/hystere!B81)</f>
        <v/>
      </c>
      <c r="Z81" s="476" t="str">
        <f>IF('inflation, income and interest'!$B$38=2,"",hystere!M81/100)</f>
        <v/>
      </c>
      <c r="AA81" s="21" t="str">
        <f>IF('inflation, income and interest'!$B$38=2,"",hystere!E81)</f>
        <v/>
      </c>
      <c r="AB81" s="27" t="str">
        <f>IF('inflation, income and interest'!$B$38=2,"",hystere!C81)</f>
        <v/>
      </c>
      <c r="AC81" s="20" t="str">
        <f>IF('inflation, income and interest'!$B$38=2,"",hystere!O81/100)</f>
        <v/>
      </c>
      <c r="AD81" s="20" t="str">
        <f>IF('inflation, income and interest'!$B$38=2,"",hystere!N81/100)</f>
        <v/>
      </c>
    </row>
    <row r="82" spans="1:30" ht="14" thickTop="1" thickBot="1">
      <c r="A82" s="32">
        <v>79</v>
      </c>
      <c r="B82" s="20">
        <f ca="1">('normal case'!D81-'normal case'!B81)/'normal case'!B81</f>
        <v>0</v>
      </c>
      <c r="C82" s="26">
        <f ca="1">'normal case'!D81</f>
        <v>100</v>
      </c>
      <c r="D82" s="27">
        <f ca="1">'normal case'!C81</f>
        <v>0</v>
      </c>
      <c r="E82" s="25">
        <f ca="1">'normal case'!L81/100</f>
        <v>0.02</v>
      </c>
      <c r="F82" s="28">
        <f ca="1">'normal case'!N81/100</f>
        <v>0.06</v>
      </c>
      <c r="G82" s="28">
        <f ca="1">'normal case'!M81/100</f>
        <v>0.04</v>
      </c>
      <c r="H82" s="28">
        <f ca="1">'public finance'!D80</f>
        <v>0</v>
      </c>
      <c r="I82" s="23">
        <f ca="1">'public finance'!E80</f>
        <v>0</v>
      </c>
      <c r="J82" s="153">
        <f ca="1">'public finance'!H80</f>
        <v>0</v>
      </c>
      <c r="K82" s="20">
        <f ca="1">'public finance'!C80/'normal case'!D81</f>
        <v>0.2</v>
      </c>
      <c r="L82" s="23">
        <f ca="1">'public finance'!A80/'normal case'!D81</f>
        <v>0.2</v>
      </c>
      <c r="M82" s="21" t="str">
        <f>IF(controls!$B$44=0,"",'normal case'!AC81)</f>
        <v/>
      </c>
      <c r="N82" s="21" t="str">
        <f>IF(controls!$B$44=0,"",'normal case'!AF81)</f>
        <v/>
      </c>
      <c r="O82" s="203" t="str">
        <f>IF(controls!$B$44=0,"",'external balance'!D81)</f>
        <v/>
      </c>
      <c r="P82" s="203" t="str">
        <f>IF(controls!$B$44=0,"",'external balance'!F81)</f>
        <v/>
      </c>
      <c r="Q82" s="202" t="str">
        <f>IF(controls!$B$44=0,"",'external balance'!H81)</f>
        <v/>
      </c>
      <c r="R82" s="201" t="str">
        <f>IF('inflation, income and interest'!$A$38=2,"",'delay in perception'!K82/100)</f>
        <v/>
      </c>
      <c r="S82" s="20" t="str">
        <f>IF('inflation, income and interest'!$A$38=2,"",('delay in perception'!E82-'delay in perception'!C82)/'delay in perception'!C82)</f>
        <v/>
      </c>
      <c r="T82" s="20" t="str">
        <f>IF('inflation, income and interest'!$A$38=2,"",('delay in perception'!E82-'delay in perception'!B82)/'delay in perception'!B82)</f>
        <v/>
      </c>
      <c r="U82" s="21" t="str">
        <f>IF('inflation, income and interest'!$A$38=2,"",'delay in perception'!E82)</f>
        <v/>
      </c>
      <c r="V82" s="27" t="str">
        <f>IF('inflation, income and interest'!$A$38=2,"",'delay in perception'!D82)</f>
        <v/>
      </c>
      <c r="W82" s="28" t="str">
        <f>IF('inflation, income and interest'!$A$38=2,"",'delay in perception'!M82/100)</f>
        <v/>
      </c>
      <c r="X82" s="24" t="str">
        <f>IF('inflation, income and interest'!$A$38=2,"",'delay in perception'!L82/100)</f>
        <v/>
      </c>
      <c r="Y82" s="201" t="str">
        <f>IF('inflation, income and interest'!$B$38=2,"",(hystere!E82-hystere!B82)/hystere!B82)</f>
        <v/>
      </c>
      <c r="Z82" s="476" t="str">
        <f>IF('inflation, income and interest'!$B$38=2,"",hystere!M82/100)</f>
        <v/>
      </c>
      <c r="AA82" s="21" t="str">
        <f>IF('inflation, income and interest'!$B$38=2,"",hystere!E82)</f>
        <v/>
      </c>
      <c r="AB82" s="27" t="str">
        <f>IF('inflation, income and interest'!$B$38=2,"",hystere!C82)</f>
        <v/>
      </c>
      <c r="AC82" s="20" t="str">
        <f>IF('inflation, income and interest'!$B$38=2,"",hystere!O82/100)</f>
        <v/>
      </c>
      <c r="AD82" s="20" t="str">
        <f>IF('inflation, income and interest'!$B$38=2,"",hystere!N82/100)</f>
        <v/>
      </c>
    </row>
    <row r="83" spans="1:30" ht="14" thickTop="1" thickBot="1">
      <c r="A83" s="32">
        <v>80</v>
      </c>
      <c r="B83" s="20">
        <f ca="1">('normal case'!D82-'normal case'!B82)/'normal case'!B82</f>
        <v>0</v>
      </c>
      <c r="C83" s="26">
        <f ca="1">'normal case'!D82</f>
        <v>100</v>
      </c>
      <c r="D83" s="27">
        <f ca="1">'normal case'!C82</f>
        <v>0</v>
      </c>
      <c r="E83" s="25">
        <f ca="1">'normal case'!L82/100</f>
        <v>0.02</v>
      </c>
      <c r="F83" s="28">
        <f ca="1">'normal case'!N82/100</f>
        <v>0.06</v>
      </c>
      <c r="G83" s="28">
        <f ca="1">'normal case'!M82/100</f>
        <v>0.04</v>
      </c>
      <c r="H83" s="28">
        <f ca="1">'public finance'!D81</f>
        <v>0</v>
      </c>
      <c r="I83" s="23">
        <f ca="1">'public finance'!E81</f>
        <v>0</v>
      </c>
      <c r="J83" s="153">
        <f ca="1">'public finance'!H81</f>
        <v>0</v>
      </c>
      <c r="K83" s="20">
        <f ca="1">'public finance'!C81/'normal case'!D82</f>
        <v>0.2</v>
      </c>
      <c r="L83" s="23">
        <f ca="1">'public finance'!A81/'normal case'!D82</f>
        <v>0.2</v>
      </c>
      <c r="M83" s="21" t="str">
        <f>IF(controls!$B$44=0,"",'normal case'!AC82)</f>
        <v/>
      </c>
      <c r="N83" s="21" t="str">
        <f>IF(controls!$B$44=0,"",'normal case'!AF82)</f>
        <v/>
      </c>
      <c r="O83" s="203" t="str">
        <f>IF(controls!$B$44=0,"",'external balance'!D82)</f>
        <v/>
      </c>
      <c r="P83" s="203" t="str">
        <f>IF(controls!$B$44=0,"",'external balance'!F82)</f>
        <v/>
      </c>
      <c r="Q83" s="202" t="str">
        <f>IF(controls!$B$44=0,"",'external balance'!H82)</f>
        <v/>
      </c>
      <c r="R83" s="201" t="str">
        <f>IF('inflation, income and interest'!$A$38=2,"",'delay in perception'!K83/100)</f>
        <v/>
      </c>
      <c r="S83" s="20" t="str">
        <f>IF('inflation, income and interest'!$A$38=2,"",('delay in perception'!E83-'delay in perception'!C83)/'delay in perception'!C83)</f>
        <v/>
      </c>
      <c r="T83" s="20" t="str">
        <f>IF('inflation, income and interest'!$A$38=2,"",('delay in perception'!E83-'delay in perception'!B83)/'delay in perception'!B83)</f>
        <v/>
      </c>
      <c r="U83" s="21" t="str">
        <f>IF('inflation, income and interest'!$A$38=2,"",'delay in perception'!E83)</f>
        <v/>
      </c>
      <c r="V83" s="27" t="str">
        <f>IF('inflation, income and interest'!$A$38=2,"",'delay in perception'!D83)</f>
        <v/>
      </c>
      <c r="W83" s="28" t="str">
        <f>IF('inflation, income and interest'!$A$38=2,"",'delay in perception'!M83/100)</f>
        <v/>
      </c>
      <c r="X83" s="24" t="str">
        <f>IF('inflation, income and interest'!$A$38=2,"",'delay in perception'!L83/100)</f>
        <v/>
      </c>
      <c r="Y83" s="201" t="str">
        <f>IF('inflation, income and interest'!$B$38=2,"",(hystere!E83-hystere!B83)/hystere!B83)</f>
        <v/>
      </c>
      <c r="Z83" s="476" t="str">
        <f>IF('inflation, income and interest'!$B$38=2,"",hystere!M83/100)</f>
        <v/>
      </c>
      <c r="AA83" s="21" t="str">
        <f>IF('inflation, income and interest'!$B$38=2,"",hystere!E83)</f>
        <v/>
      </c>
      <c r="AB83" s="27" t="str">
        <f>IF('inflation, income and interest'!$B$38=2,"",hystere!C83)</f>
        <v/>
      </c>
      <c r="AC83" s="20" t="str">
        <f>IF('inflation, income and interest'!$B$38=2,"",hystere!O83/100)</f>
        <v/>
      </c>
      <c r="AD83" s="20" t="str">
        <f>IF('inflation, income and interest'!$B$38=2,"",hystere!N83/100)</f>
        <v/>
      </c>
    </row>
    <row r="84" spans="1:30" ht="14" thickTop="1" thickBot="1">
      <c r="A84" s="32">
        <v>81</v>
      </c>
      <c r="B84" s="20">
        <f ca="1">('normal case'!D83-'normal case'!B83)/'normal case'!B83</f>
        <v>0</v>
      </c>
      <c r="C84" s="26">
        <f ca="1">'normal case'!D83</f>
        <v>100</v>
      </c>
      <c r="D84" s="27">
        <f ca="1">'normal case'!C83</f>
        <v>0</v>
      </c>
      <c r="E84" s="25">
        <f ca="1">'normal case'!L83/100</f>
        <v>0.02</v>
      </c>
      <c r="F84" s="28">
        <f ca="1">'normal case'!N83/100</f>
        <v>0.06</v>
      </c>
      <c r="G84" s="28">
        <f ca="1">'normal case'!M83/100</f>
        <v>0.04</v>
      </c>
      <c r="H84" s="28">
        <f ca="1">'public finance'!D82</f>
        <v>0</v>
      </c>
      <c r="I84" s="23">
        <f ca="1">'public finance'!E82</f>
        <v>0</v>
      </c>
      <c r="J84" s="153">
        <f ca="1">'public finance'!H82</f>
        <v>0</v>
      </c>
      <c r="K84" s="20">
        <f ca="1">'public finance'!C82/'normal case'!D83</f>
        <v>0.2</v>
      </c>
      <c r="L84" s="23">
        <f ca="1">'public finance'!A82/'normal case'!D83</f>
        <v>0.2</v>
      </c>
      <c r="M84" s="21" t="str">
        <f>IF(controls!$B$44=0,"",'normal case'!AC83)</f>
        <v/>
      </c>
      <c r="N84" s="21" t="str">
        <f>IF(controls!$B$44=0,"",'normal case'!AF83)</f>
        <v/>
      </c>
      <c r="O84" s="203" t="str">
        <f>IF(controls!$B$44=0,"",'external balance'!D83)</f>
        <v/>
      </c>
      <c r="P84" s="203" t="str">
        <f>IF(controls!$B$44=0,"",'external balance'!F83)</f>
        <v/>
      </c>
      <c r="Q84" s="202" t="str">
        <f>IF(controls!$B$44=0,"",'external balance'!H83)</f>
        <v/>
      </c>
      <c r="R84" s="201" t="str">
        <f>IF('inflation, income and interest'!$A$38=2,"",'delay in perception'!K84/100)</f>
        <v/>
      </c>
      <c r="S84" s="20" t="str">
        <f>IF('inflation, income and interest'!$A$38=2,"",('delay in perception'!E84-'delay in perception'!C84)/'delay in perception'!C84)</f>
        <v/>
      </c>
      <c r="T84" s="20" t="str">
        <f>IF('inflation, income and interest'!$A$38=2,"",('delay in perception'!E84-'delay in perception'!B84)/'delay in perception'!B84)</f>
        <v/>
      </c>
      <c r="U84" s="21" t="str">
        <f>IF('inflation, income and interest'!$A$38=2,"",'delay in perception'!E84)</f>
        <v/>
      </c>
      <c r="V84" s="27" t="str">
        <f>IF('inflation, income and interest'!$A$38=2,"",'delay in perception'!D84)</f>
        <v/>
      </c>
      <c r="W84" s="28" t="str">
        <f>IF('inflation, income and interest'!$A$38=2,"",'delay in perception'!M84/100)</f>
        <v/>
      </c>
      <c r="X84" s="24" t="str">
        <f>IF('inflation, income and interest'!$A$38=2,"",'delay in perception'!L84/100)</f>
        <v/>
      </c>
      <c r="Y84" s="201" t="str">
        <f>IF('inflation, income and interest'!$B$38=2,"",(hystere!E84-hystere!B84)/hystere!B84)</f>
        <v/>
      </c>
      <c r="Z84" s="476" t="str">
        <f>IF('inflation, income and interest'!$B$38=2,"",hystere!M84/100)</f>
        <v/>
      </c>
      <c r="AA84" s="21" t="str">
        <f>IF('inflation, income and interest'!$B$38=2,"",hystere!E84)</f>
        <v/>
      </c>
      <c r="AB84" s="27" t="str">
        <f>IF('inflation, income and interest'!$B$38=2,"",hystere!C84)</f>
        <v/>
      </c>
      <c r="AC84" s="20" t="str">
        <f>IF('inflation, income and interest'!$B$38=2,"",hystere!O84/100)</f>
        <v/>
      </c>
      <c r="AD84" s="20" t="str">
        <f>IF('inflation, income and interest'!$B$38=2,"",hystere!N84/100)</f>
        <v/>
      </c>
    </row>
    <row r="85" spans="1:30" ht="14" thickTop="1" thickBot="1">
      <c r="A85" s="32">
        <v>82</v>
      </c>
      <c r="B85" s="20">
        <f ca="1">('normal case'!D84-'normal case'!B84)/'normal case'!B84</f>
        <v>0</v>
      </c>
      <c r="C85" s="26">
        <f ca="1">'normal case'!D84</f>
        <v>100</v>
      </c>
      <c r="D85" s="27">
        <f ca="1">'normal case'!C84</f>
        <v>0</v>
      </c>
      <c r="E85" s="25">
        <f ca="1">'normal case'!L84/100</f>
        <v>0.02</v>
      </c>
      <c r="F85" s="28">
        <f ca="1">'normal case'!N84/100</f>
        <v>0.06</v>
      </c>
      <c r="G85" s="28">
        <f ca="1">'normal case'!M84/100</f>
        <v>0.04</v>
      </c>
      <c r="H85" s="28">
        <f ca="1">'public finance'!D83</f>
        <v>0</v>
      </c>
      <c r="I85" s="23">
        <f ca="1">'public finance'!E83</f>
        <v>0</v>
      </c>
      <c r="J85" s="153">
        <f ca="1">'public finance'!H83</f>
        <v>0</v>
      </c>
      <c r="K85" s="20">
        <f ca="1">'public finance'!C83/'normal case'!D84</f>
        <v>0.2</v>
      </c>
      <c r="L85" s="23">
        <f ca="1">'public finance'!A83/'normal case'!D84</f>
        <v>0.2</v>
      </c>
      <c r="M85" s="21" t="str">
        <f>IF(controls!$B$44=0,"",'normal case'!AC84)</f>
        <v/>
      </c>
      <c r="N85" s="21" t="str">
        <f>IF(controls!$B$44=0,"",'normal case'!AF84)</f>
        <v/>
      </c>
      <c r="O85" s="203" t="str">
        <f>IF(controls!$B$44=0,"",'external balance'!D84)</f>
        <v/>
      </c>
      <c r="P85" s="203" t="str">
        <f>IF(controls!$B$44=0,"",'external balance'!F84)</f>
        <v/>
      </c>
      <c r="Q85" s="202" t="str">
        <f>IF(controls!$B$44=0,"",'external balance'!H84)</f>
        <v/>
      </c>
      <c r="R85" s="201" t="str">
        <f>IF('inflation, income and interest'!$A$38=2,"",'delay in perception'!K85/100)</f>
        <v/>
      </c>
      <c r="S85" s="20" t="str">
        <f>IF('inflation, income and interest'!$A$38=2,"",('delay in perception'!E85-'delay in perception'!C85)/'delay in perception'!C85)</f>
        <v/>
      </c>
      <c r="T85" s="20" t="str">
        <f>IF('inflation, income and interest'!$A$38=2,"",('delay in perception'!E85-'delay in perception'!B85)/'delay in perception'!B85)</f>
        <v/>
      </c>
      <c r="U85" s="21" t="str">
        <f>IF('inflation, income and interest'!$A$38=2,"",'delay in perception'!E85)</f>
        <v/>
      </c>
      <c r="V85" s="27" t="str">
        <f>IF('inflation, income and interest'!$A$38=2,"",'delay in perception'!D85)</f>
        <v/>
      </c>
      <c r="W85" s="28" t="str">
        <f>IF('inflation, income and interest'!$A$38=2,"",'delay in perception'!M85/100)</f>
        <v/>
      </c>
      <c r="X85" s="24" t="str">
        <f>IF('inflation, income and interest'!$A$38=2,"",'delay in perception'!L85/100)</f>
        <v/>
      </c>
      <c r="Y85" s="201" t="str">
        <f>IF('inflation, income and interest'!$B$38=2,"",(hystere!E85-hystere!B85)/hystere!B85)</f>
        <v/>
      </c>
      <c r="Z85" s="476" t="str">
        <f>IF('inflation, income and interest'!$B$38=2,"",hystere!M85/100)</f>
        <v/>
      </c>
      <c r="AA85" s="21" t="str">
        <f>IF('inflation, income and interest'!$B$38=2,"",hystere!E85)</f>
        <v/>
      </c>
      <c r="AB85" s="27" t="str">
        <f>IF('inflation, income and interest'!$B$38=2,"",hystere!C85)</f>
        <v/>
      </c>
      <c r="AC85" s="20" t="str">
        <f>IF('inflation, income and interest'!$B$38=2,"",hystere!O85/100)</f>
        <v/>
      </c>
      <c r="AD85" s="20" t="str">
        <f>IF('inflation, income and interest'!$B$38=2,"",hystere!N85/100)</f>
        <v/>
      </c>
    </row>
    <row r="86" spans="1:30" ht="14" thickTop="1" thickBot="1">
      <c r="A86" s="32">
        <v>83</v>
      </c>
      <c r="B86" s="20">
        <f ca="1">('normal case'!D85-'normal case'!B85)/'normal case'!B85</f>
        <v>0</v>
      </c>
      <c r="C86" s="26">
        <f ca="1">'normal case'!D85</f>
        <v>100</v>
      </c>
      <c r="D86" s="27">
        <f ca="1">'normal case'!C85</f>
        <v>0</v>
      </c>
      <c r="E86" s="25">
        <f ca="1">'normal case'!L85/100</f>
        <v>0.02</v>
      </c>
      <c r="F86" s="28">
        <f ca="1">'normal case'!N85/100</f>
        <v>0.06</v>
      </c>
      <c r="G86" s="28">
        <f ca="1">'normal case'!M85/100</f>
        <v>0.04</v>
      </c>
      <c r="H86" s="28">
        <f ca="1">'public finance'!D84</f>
        <v>0</v>
      </c>
      <c r="I86" s="23">
        <f ca="1">'public finance'!E84</f>
        <v>0</v>
      </c>
      <c r="J86" s="153">
        <f ca="1">'public finance'!H84</f>
        <v>0</v>
      </c>
      <c r="K86" s="20">
        <f ca="1">'public finance'!C84/'normal case'!D85</f>
        <v>0.2</v>
      </c>
      <c r="L86" s="23">
        <f ca="1">'public finance'!A84/'normal case'!D85</f>
        <v>0.2</v>
      </c>
      <c r="M86" s="21" t="str">
        <f>IF(controls!$B$44=0,"",'normal case'!AC85)</f>
        <v/>
      </c>
      <c r="N86" s="21" t="str">
        <f>IF(controls!$B$44=0,"",'normal case'!AF85)</f>
        <v/>
      </c>
      <c r="O86" s="203" t="str">
        <f>IF(controls!$B$44=0,"",'external balance'!D85)</f>
        <v/>
      </c>
      <c r="P86" s="203" t="str">
        <f>IF(controls!$B$44=0,"",'external balance'!F85)</f>
        <v/>
      </c>
      <c r="Q86" s="202" t="str">
        <f>IF(controls!$B$44=0,"",'external balance'!H85)</f>
        <v/>
      </c>
      <c r="R86" s="201" t="str">
        <f>IF('inflation, income and interest'!$A$38=2,"",'delay in perception'!K86/100)</f>
        <v/>
      </c>
      <c r="S86" s="20" t="str">
        <f>IF('inflation, income and interest'!$A$38=2,"",('delay in perception'!E86-'delay in perception'!C86)/'delay in perception'!C86)</f>
        <v/>
      </c>
      <c r="T86" s="20" t="str">
        <f>IF('inflation, income and interest'!$A$38=2,"",('delay in perception'!E86-'delay in perception'!B86)/'delay in perception'!B86)</f>
        <v/>
      </c>
      <c r="U86" s="21" t="str">
        <f>IF('inflation, income and interest'!$A$38=2,"",'delay in perception'!E86)</f>
        <v/>
      </c>
      <c r="V86" s="27" t="str">
        <f>IF('inflation, income and interest'!$A$38=2,"",'delay in perception'!D86)</f>
        <v/>
      </c>
      <c r="W86" s="28" t="str">
        <f>IF('inflation, income and interest'!$A$38=2,"",'delay in perception'!M86/100)</f>
        <v/>
      </c>
      <c r="X86" s="24" t="str">
        <f>IF('inflation, income and interest'!$A$38=2,"",'delay in perception'!L86/100)</f>
        <v/>
      </c>
      <c r="Y86" s="201" t="str">
        <f>IF('inflation, income and interest'!$B$38=2,"",(hystere!E86-hystere!B86)/hystere!B86)</f>
        <v/>
      </c>
      <c r="Z86" s="476" t="str">
        <f>IF('inflation, income and interest'!$B$38=2,"",hystere!M86/100)</f>
        <v/>
      </c>
      <c r="AA86" s="21" t="str">
        <f>IF('inflation, income and interest'!$B$38=2,"",hystere!E86)</f>
        <v/>
      </c>
      <c r="AB86" s="27" t="str">
        <f>IF('inflation, income and interest'!$B$38=2,"",hystere!C86)</f>
        <v/>
      </c>
      <c r="AC86" s="20" t="str">
        <f>IF('inflation, income and interest'!$B$38=2,"",hystere!O86/100)</f>
        <v/>
      </c>
      <c r="AD86" s="20" t="str">
        <f>IF('inflation, income and interest'!$B$38=2,"",hystere!N86/100)</f>
        <v/>
      </c>
    </row>
    <row r="87" spans="1:30" ht="14" thickTop="1" thickBot="1">
      <c r="A87" s="32">
        <v>84</v>
      </c>
      <c r="B87" s="20">
        <f ca="1">('normal case'!D86-'normal case'!B86)/'normal case'!B86</f>
        <v>0</v>
      </c>
      <c r="C87" s="26">
        <f ca="1">'normal case'!D86</f>
        <v>100</v>
      </c>
      <c r="D87" s="27">
        <f ca="1">'normal case'!C86</f>
        <v>0</v>
      </c>
      <c r="E87" s="25">
        <f ca="1">'normal case'!L86/100</f>
        <v>0.02</v>
      </c>
      <c r="F87" s="28">
        <f ca="1">'normal case'!N86/100</f>
        <v>0.06</v>
      </c>
      <c r="G87" s="28">
        <f ca="1">'normal case'!M86/100</f>
        <v>0.04</v>
      </c>
      <c r="H87" s="28">
        <f ca="1">'public finance'!D85</f>
        <v>0</v>
      </c>
      <c r="I87" s="23">
        <f ca="1">'public finance'!E85</f>
        <v>0</v>
      </c>
      <c r="J87" s="153">
        <f ca="1">'public finance'!H85</f>
        <v>0</v>
      </c>
      <c r="K87" s="20">
        <f ca="1">'public finance'!C85/'normal case'!D86</f>
        <v>0.2</v>
      </c>
      <c r="L87" s="23">
        <f ca="1">'public finance'!A85/'normal case'!D86</f>
        <v>0.2</v>
      </c>
      <c r="M87" s="21" t="str">
        <f>IF(controls!$B$44=0,"",'normal case'!AC86)</f>
        <v/>
      </c>
      <c r="N87" s="21" t="str">
        <f>IF(controls!$B$44=0,"",'normal case'!AF86)</f>
        <v/>
      </c>
      <c r="O87" s="203" t="str">
        <f>IF(controls!$B$44=0,"",'external balance'!D86)</f>
        <v/>
      </c>
      <c r="P87" s="203" t="str">
        <f>IF(controls!$B$44=0,"",'external balance'!F86)</f>
        <v/>
      </c>
      <c r="Q87" s="202" t="str">
        <f>IF(controls!$B$44=0,"",'external balance'!H86)</f>
        <v/>
      </c>
      <c r="R87" s="201" t="str">
        <f>IF('inflation, income and interest'!$A$38=2,"",'delay in perception'!K87/100)</f>
        <v/>
      </c>
      <c r="S87" s="20" t="str">
        <f>IF('inflation, income and interest'!$A$38=2,"",('delay in perception'!E87-'delay in perception'!C87)/'delay in perception'!C87)</f>
        <v/>
      </c>
      <c r="T87" s="20" t="str">
        <f>IF('inflation, income and interest'!$A$38=2,"",('delay in perception'!E87-'delay in perception'!B87)/'delay in perception'!B87)</f>
        <v/>
      </c>
      <c r="U87" s="21" t="str">
        <f>IF('inflation, income and interest'!$A$38=2,"",'delay in perception'!E87)</f>
        <v/>
      </c>
      <c r="V87" s="27" t="str">
        <f>IF('inflation, income and interest'!$A$38=2,"",'delay in perception'!D87)</f>
        <v/>
      </c>
      <c r="W87" s="28" t="str">
        <f>IF('inflation, income and interest'!$A$38=2,"",'delay in perception'!M87/100)</f>
        <v/>
      </c>
      <c r="X87" s="24" t="str">
        <f>IF('inflation, income and interest'!$A$38=2,"",'delay in perception'!L87/100)</f>
        <v/>
      </c>
      <c r="Y87" s="201" t="str">
        <f>IF('inflation, income and interest'!$B$38=2,"",(hystere!E87-hystere!B87)/hystere!B87)</f>
        <v/>
      </c>
      <c r="Z87" s="476" t="str">
        <f>IF('inflation, income and interest'!$B$38=2,"",hystere!M87/100)</f>
        <v/>
      </c>
      <c r="AA87" s="21" t="str">
        <f>IF('inflation, income and interest'!$B$38=2,"",hystere!E87)</f>
        <v/>
      </c>
      <c r="AB87" s="27" t="str">
        <f>IF('inflation, income and interest'!$B$38=2,"",hystere!C87)</f>
        <v/>
      </c>
      <c r="AC87" s="20" t="str">
        <f>IF('inflation, income and interest'!$B$38=2,"",hystere!O87/100)</f>
        <v/>
      </c>
      <c r="AD87" s="20" t="str">
        <f>IF('inflation, income and interest'!$B$38=2,"",hystere!N87/100)</f>
        <v/>
      </c>
    </row>
    <row r="88" spans="1:30" ht="14" thickTop="1" thickBot="1">
      <c r="A88" s="32">
        <v>85</v>
      </c>
      <c r="B88" s="20">
        <f ca="1">('normal case'!D87-'normal case'!B87)/'normal case'!B87</f>
        <v>0</v>
      </c>
      <c r="C88" s="26">
        <f ca="1">'normal case'!D87</f>
        <v>100</v>
      </c>
      <c r="D88" s="27">
        <f ca="1">'normal case'!C87</f>
        <v>0</v>
      </c>
      <c r="E88" s="25">
        <f ca="1">'normal case'!L87/100</f>
        <v>0.02</v>
      </c>
      <c r="F88" s="28">
        <f ca="1">'normal case'!N87/100</f>
        <v>0.06</v>
      </c>
      <c r="G88" s="28">
        <f ca="1">'normal case'!M87/100</f>
        <v>0.04</v>
      </c>
      <c r="H88" s="28">
        <f ca="1">'public finance'!D86</f>
        <v>0</v>
      </c>
      <c r="I88" s="23">
        <f ca="1">'public finance'!E86</f>
        <v>0</v>
      </c>
      <c r="J88" s="153">
        <f ca="1">'public finance'!H86</f>
        <v>0</v>
      </c>
      <c r="K88" s="20">
        <f ca="1">'public finance'!C86/'normal case'!D87</f>
        <v>0.2</v>
      </c>
      <c r="L88" s="23">
        <f ca="1">'public finance'!A86/'normal case'!D87</f>
        <v>0.2</v>
      </c>
      <c r="M88" s="21" t="str">
        <f>IF(controls!$B$44=0,"",'normal case'!AC87)</f>
        <v/>
      </c>
      <c r="N88" s="21" t="str">
        <f>IF(controls!$B$44=0,"",'normal case'!AF87)</f>
        <v/>
      </c>
      <c r="O88" s="203" t="str">
        <f>IF(controls!$B$44=0,"",'external balance'!D87)</f>
        <v/>
      </c>
      <c r="P88" s="203" t="str">
        <f>IF(controls!$B$44=0,"",'external balance'!F87)</f>
        <v/>
      </c>
      <c r="Q88" s="202" t="str">
        <f>IF(controls!$B$44=0,"",'external balance'!H87)</f>
        <v/>
      </c>
      <c r="R88" s="201" t="str">
        <f>IF('inflation, income and interest'!$A$38=2,"",'delay in perception'!K88/100)</f>
        <v/>
      </c>
      <c r="S88" s="20" t="str">
        <f>IF('inflation, income and interest'!$A$38=2,"",('delay in perception'!E88-'delay in perception'!C88)/'delay in perception'!C88)</f>
        <v/>
      </c>
      <c r="T88" s="20" t="str">
        <f>IF('inflation, income and interest'!$A$38=2,"",('delay in perception'!E88-'delay in perception'!B88)/'delay in perception'!B88)</f>
        <v/>
      </c>
      <c r="U88" s="21" t="str">
        <f>IF('inflation, income and interest'!$A$38=2,"",'delay in perception'!E88)</f>
        <v/>
      </c>
      <c r="V88" s="27" t="str">
        <f>IF('inflation, income and interest'!$A$38=2,"",'delay in perception'!D88)</f>
        <v/>
      </c>
      <c r="W88" s="28" t="str">
        <f>IF('inflation, income and interest'!$A$38=2,"",'delay in perception'!M88/100)</f>
        <v/>
      </c>
      <c r="X88" s="24" t="str">
        <f>IF('inflation, income and interest'!$A$38=2,"",'delay in perception'!L88/100)</f>
        <v/>
      </c>
      <c r="Y88" s="201" t="str">
        <f>IF('inflation, income and interest'!$B$38=2,"",(hystere!E88-hystere!B88)/hystere!B88)</f>
        <v/>
      </c>
      <c r="Z88" s="476" t="str">
        <f>IF('inflation, income and interest'!$B$38=2,"",hystere!M88/100)</f>
        <v/>
      </c>
      <c r="AA88" s="21" t="str">
        <f>IF('inflation, income and interest'!$B$38=2,"",hystere!E88)</f>
        <v/>
      </c>
      <c r="AB88" s="27" t="str">
        <f>IF('inflation, income and interest'!$B$38=2,"",hystere!C88)</f>
        <v/>
      </c>
      <c r="AC88" s="20" t="str">
        <f>IF('inflation, income and interest'!$B$38=2,"",hystere!O88/100)</f>
        <v/>
      </c>
      <c r="AD88" s="20" t="str">
        <f>IF('inflation, income and interest'!$B$38=2,"",hystere!N88/100)</f>
        <v/>
      </c>
    </row>
    <row r="89" spans="1:30" ht="14" thickTop="1" thickBot="1">
      <c r="A89" s="32">
        <v>86</v>
      </c>
      <c r="B89" s="20">
        <f ca="1">('normal case'!D88-'normal case'!B88)/'normal case'!B88</f>
        <v>0</v>
      </c>
      <c r="C89" s="26">
        <f ca="1">'normal case'!D88</f>
        <v>100</v>
      </c>
      <c r="D89" s="27">
        <f ca="1">'normal case'!C88</f>
        <v>0</v>
      </c>
      <c r="E89" s="25">
        <f ca="1">'normal case'!L88/100</f>
        <v>0.02</v>
      </c>
      <c r="F89" s="28">
        <f ca="1">'normal case'!N88/100</f>
        <v>0.06</v>
      </c>
      <c r="G89" s="28">
        <f ca="1">'normal case'!M88/100</f>
        <v>0.04</v>
      </c>
      <c r="H89" s="28">
        <f ca="1">'public finance'!D87</f>
        <v>0</v>
      </c>
      <c r="I89" s="23">
        <f ca="1">'public finance'!E87</f>
        <v>0</v>
      </c>
      <c r="J89" s="153">
        <f ca="1">'public finance'!H87</f>
        <v>0</v>
      </c>
      <c r="K89" s="20">
        <f ca="1">'public finance'!C87/'normal case'!D88</f>
        <v>0.2</v>
      </c>
      <c r="L89" s="23">
        <f ca="1">'public finance'!A87/'normal case'!D88</f>
        <v>0.2</v>
      </c>
      <c r="M89" s="21" t="str">
        <f>IF(controls!$B$44=0,"",'normal case'!AC88)</f>
        <v/>
      </c>
      <c r="N89" s="21" t="str">
        <f>IF(controls!$B$44=0,"",'normal case'!AF88)</f>
        <v/>
      </c>
      <c r="O89" s="203" t="str">
        <f>IF(controls!$B$44=0,"",'external balance'!D88)</f>
        <v/>
      </c>
      <c r="P89" s="203" t="str">
        <f>IF(controls!$B$44=0,"",'external balance'!F88)</f>
        <v/>
      </c>
      <c r="Q89" s="202" t="str">
        <f>IF(controls!$B$44=0,"",'external balance'!H88)</f>
        <v/>
      </c>
      <c r="R89" s="201" t="str">
        <f>IF('inflation, income and interest'!$A$38=2,"",'delay in perception'!K89/100)</f>
        <v/>
      </c>
      <c r="S89" s="20" t="str">
        <f>IF('inflation, income and interest'!$A$38=2,"",('delay in perception'!E89-'delay in perception'!C89)/'delay in perception'!C89)</f>
        <v/>
      </c>
      <c r="T89" s="20" t="str">
        <f>IF('inflation, income and interest'!$A$38=2,"",('delay in perception'!E89-'delay in perception'!B89)/'delay in perception'!B89)</f>
        <v/>
      </c>
      <c r="U89" s="21" t="str">
        <f>IF('inflation, income and interest'!$A$38=2,"",'delay in perception'!E89)</f>
        <v/>
      </c>
      <c r="V89" s="27" t="str">
        <f>IF('inflation, income and interest'!$A$38=2,"",'delay in perception'!D89)</f>
        <v/>
      </c>
      <c r="W89" s="28" t="str">
        <f>IF('inflation, income and interest'!$A$38=2,"",'delay in perception'!M89/100)</f>
        <v/>
      </c>
      <c r="X89" s="24" t="str">
        <f>IF('inflation, income and interest'!$A$38=2,"",'delay in perception'!L89/100)</f>
        <v/>
      </c>
      <c r="Y89" s="201" t="str">
        <f>IF('inflation, income and interest'!$B$38=2,"",(hystere!E89-hystere!B89)/hystere!B89)</f>
        <v/>
      </c>
      <c r="Z89" s="476" t="str">
        <f>IF('inflation, income and interest'!$B$38=2,"",hystere!M89/100)</f>
        <v/>
      </c>
      <c r="AA89" s="21" t="str">
        <f>IF('inflation, income and interest'!$B$38=2,"",hystere!E89)</f>
        <v/>
      </c>
      <c r="AB89" s="27" t="str">
        <f>IF('inflation, income and interest'!$B$38=2,"",hystere!C89)</f>
        <v/>
      </c>
      <c r="AC89" s="20" t="str">
        <f>IF('inflation, income and interest'!$B$38=2,"",hystere!O89/100)</f>
        <v/>
      </c>
      <c r="AD89" s="20" t="str">
        <f>IF('inflation, income and interest'!$B$38=2,"",hystere!N89/100)</f>
        <v/>
      </c>
    </row>
    <row r="90" spans="1:30" ht="14" thickTop="1" thickBot="1">
      <c r="A90" s="32">
        <v>87</v>
      </c>
      <c r="B90" s="20">
        <f ca="1">('normal case'!D89-'normal case'!B89)/'normal case'!B89</f>
        <v>0</v>
      </c>
      <c r="C90" s="26">
        <f ca="1">'normal case'!D89</f>
        <v>100</v>
      </c>
      <c r="D90" s="27">
        <f ca="1">'normal case'!C89</f>
        <v>0</v>
      </c>
      <c r="E90" s="25">
        <f ca="1">'normal case'!L89/100</f>
        <v>0.02</v>
      </c>
      <c r="F90" s="28">
        <f ca="1">'normal case'!N89/100</f>
        <v>0.06</v>
      </c>
      <c r="G90" s="28">
        <f ca="1">'normal case'!M89/100</f>
        <v>0.04</v>
      </c>
      <c r="H90" s="28">
        <f ca="1">'public finance'!D88</f>
        <v>0</v>
      </c>
      <c r="I90" s="23">
        <f ca="1">'public finance'!E88</f>
        <v>0</v>
      </c>
      <c r="J90" s="153">
        <f ca="1">'public finance'!H88</f>
        <v>0</v>
      </c>
      <c r="K90" s="20">
        <f ca="1">'public finance'!C88/'normal case'!D89</f>
        <v>0.2</v>
      </c>
      <c r="L90" s="23">
        <f ca="1">'public finance'!A88/'normal case'!D89</f>
        <v>0.2</v>
      </c>
      <c r="M90" s="21" t="str">
        <f>IF(controls!$B$44=0,"",'normal case'!AC89)</f>
        <v/>
      </c>
      <c r="N90" s="21" t="str">
        <f>IF(controls!$B$44=0,"",'normal case'!AF89)</f>
        <v/>
      </c>
      <c r="O90" s="203" t="str">
        <f>IF(controls!$B$44=0,"",'external balance'!D89)</f>
        <v/>
      </c>
      <c r="P90" s="203" t="str">
        <f>IF(controls!$B$44=0,"",'external balance'!F89)</f>
        <v/>
      </c>
      <c r="Q90" s="202" t="str">
        <f>IF(controls!$B$44=0,"",'external balance'!H89)</f>
        <v/>
      </c>
      <c r="R90" s="201" t="str">
        <f>IF('inflation, income and interest'!$A$38=2,"",'delay in perception'!K90/100)</f>
        <v/>
      </c>
      <c r="S90" s="20" t="str">
        <f>IF('inflation, income and interest'!$A$38=2,"",('delay in perception'!E90-'delay in perception'!C90)/'delay in perception'!C90)</f>
        <v/>
      </c>
      <c r="T90" s="20" t="str">
        <f>IF('inflation, income and interest'!$A$38=2,"",('delay in perception'!E90-'delay in perception'!B90)/'delay in perception'!B90)</f>
        <v/>
      </c>
      <c r="U90" s="21" t="str">
        <f>IF('inflation, income and interest'!$A$38=2,"",'delay in perception'!E90)</f>
        <v/>
      </c>
      <c r="V90" s="27" t="str">
        <f>IF('inflation, income and interest'!$A$38=2,"",'delay in perception'!D90)</f>
        <v/>
      </c>
      <c r="W90" s="28" t="str">
        <f>IF('inflation, income and interest'!$A$38=2,"",'delay in perception'!M90/100)</f>
        <v/>
      </c>
      <c r="X90" s="24" t="str">
        <f>IF('inflation, income and interest'!$A$38=2,"",'delay in perception'!L90/100)</f>
        <v/>
      </c>
      <c r="Y90" s="201" t="str">
        <f>IF('inflation, income and interest'!$B$38=2,"",(hystere!E90-hystere!B90)/hystere!B90)</f>
        <v/>
      </c>
      <c r="Z90" s="476" t="str">
        <f>IF('inflation, income and interest'!$B$38=2,"",hystere!M90/100)</f>
        <v/>
      </c>
      <c r="AA90" s="21" t="str">
        <f>IF('inflation, income and interest'!$B$38=2,"",hystere!E90)</f>
        <v/>
      </c>
      <c r="AB90" s="27" t="str">
        <f>IF('inflation, income and interest'!$B$38=2,"",hystere!C90)</f>
        <v/>
      </c>
      <c r="AC90" s="20" t="str">
        <f>IF('inflation, income and interest'!$B$38=2,"",hystere!O90/100)</f>
        <v/>
      </c>
      <c r="AD90" s="20" t="str">
        <f>IF('inflation, income and interest'!$B$38=2,"",hystere!N90/100)</f>
        <v/>
      </c>
    </row>
    <row r="91" spans="1:30" ht="14" thickTop="1" thickBot="1">
      <c r="A91" s="32">
        <v>88</v>
      </c>
      <c r="B91" s="20">
        <f ca="1">('normal case'!D90-'normal case'!B90)/'normal case'!B90</f>
        <v>0</v>
      </c>
      <c r="C91" s="26">
        <f ca="1">'normal case'!D90</f>
        <v>100</v>
      </c>
      <c r="D91" s="27">
        <f ca="1">'normal case'!C90</f>
        <v>0</v>
      </c>
      <c r="E91" s="25">
        <f ca="1">'normal case'!L90/100</f>
        <v>0.02</v>
      </c>
      <c r="F91" s="28">
        <f ca="1">'normal case'!N90/100</f>
        <v>0.06</v>
      </c>
      <c r="G91" s="28">
        <f ca="1">'normal case'!M90/100</f>
        <v>0.04</v>
      </c>
      <c r="H91" s="28">
        <f ca="1">'public finance'!D89</f>
        <v>0</v>
      </c>
      <c r="I91" s="23">
        <f ca="1">'public finance'!E89</f>
        <v>0</v>
      </c>
      <c r="J91" s="153">
        <f ca="1">'public finance'!H89</f>
        <v>0</v>
      </c>
      <c r="K91" s="20">
        <f ca="1">'public finance'!C89/'normal case'!D90</f>
        <v>0.2</v>
      </c>
      <c r="L91" s="23">
        <f ca="1">'public finance'!A89/'normal case'!D90</f>
        <v>0.2</v>
      </c>
      <c r="M91" s="21" t="str">
        <f>IF(controls!$B$44=0,"",'normal case'!AC90)</f>
        <v/>
      </c>
      <c r="N91" s="21" t="str">
        <f>IF(controls!$B$44=0,"",'normal case'!AF90)</f>
        <v/>
      </c>
      <c r="O91" s="203" t="str">
        <f>IF(controls!$B$44=0,"",'external balance'!D90)</f>
        <v/>
      </c>
      <c r="P91" s="203" t="str">
        <f>IF(controls!$B$44=0,"",'external balance'!F90)</f>
        <v/>
      </c>
      <c r="Q91" s="202" t="str">
        <f>IF(controls!$B$44=0,"",'external balance'!H90)</f>
        <v/>
      </c>
      <c r="R91" s="201" t="str">
        <f>IF('inflation, income and interest'!$A$38=2,"",'delay in perception'!K91/100)</f>
        <v/>
      </c>
      <c r="S91" s="20" t="str">
        <f>IF('inflation, income and interest'!$A$38=2,"",('delay in perception'!E91-'delay in perception'!C91)/'delay in perception'!C91)</f>
        <v/>
      </c>
      <c r="T91" s="20" t="str">
        <f>IF('inflation, income and interest'!$A$38=2,"",('delay in perception'!E91-'delay in perception'!B91)/'delay in perception'!B91)</f>
        <v/>
      </c>
      <c r="U91" s="21" t="str">
        <f>IF('inflation, income and interest'!$A$38=2,"",'delay in perception'!E91)</f>
        <v/>
      </c>
      <c r="V91" s="27" t="str">
        <f>IF('inflation, income and interest'!$A$38=2,"",'delay in perception'!D91)</f>
        <v/>
      </c>
      <c r="W91" s="28" t="str">
        <f>IF('inflation, income and interest'!$A$38=2,"",'delay in perception'!M91/100)</f>
        <v/>
      </c>
      <c r="X91" s="24" t="str">
        <f>IF('inflation, income and interest'!$A$38=2,"",'delay in perception'!L91/100)</f>
        <v/>
      </c>
      <c r="Y91" s="201" t="str">
        <f>IF('inflation, income and interest'!$B$38=2,"",(hystere!E91-hystere!B91)/hystere!B91)</f>
        <v/>
      </c>
      <c r="Z91" s="476" t="str">
        <f>IF('inflation, income and interest'!$B$38=2,"",hystere!M91/100)</f>
        <v/>
      </c>
      <c r="AA91" s="21" t="str">
        <f>IF('inflation, income and interest'!$B$38=2,"",hystere!E91)</f>
        <v/>
      </c>
      <c r="AB91" s="27" t="str">
        <f>IF('inflation, income and interest'!$B$38=2,"",hystere!C91)</f>
        <v/>
      </c>
      <c r="AC91" s="20" t="str">
        <f>IF('inflation, income and interest'!$B$38=2,"",hystere!O91/100)</f>
        <v/>
      </c>
      <c r="AD91" s="20" t="str">
        <f>IF('inflation, income and interest'!$B$38=2,"",hystere!N91/100)</f>
        <v/>
      </c>
    </row>
    <row r="92" spans="1:30" ht="14" thickTop="1" thickBot="1">
      <c r="A92" s="32">
        <v>89</v>
      </c>
      <c r="B92" s="20">
        <f ca="1">('normal case'!D91-'normal case'!B91)/'normal case'!B91</f>
        <v>0</v>
      </c>
      <c r="C92" s="26">
        <f ca="1">'normal case'!D91</f>
        <v>100</v>
      </c>
      <c r="D92" s="27">
        <f ca="1">'normal case'!C91</f>
        <v>0</v>
      </c>
      <c r="E92" s="25">
        <f ca="1">'normal case'!L91/100</f>
        <v>0.02</v>
      </c>
      <c r="F92" s="28">
        <f ca="1">'normal case'!N91/100</f>
        <v>0.06</v>
      </c>
      <c r="G92" s="28">
        <f ca="1">'normal case'!M91/100</f>
        <v>0.04</v>
      </c>
      <c r="H92" s="28">
        <f ca="1">'public finance'!D90</f>
        <v>0</v>
      </c>
      <c r="I92" s="23">
        <f ca="1">'public finance'!E90</f>
        <v>0</v>
      </c>
      <c r="J92" s="153">
        <f ca="1">'public finance'!H90</f>
        <v>0</v>
      </c>
      <c r="K92" s="20">
        <f ca="1">'public finance'!C90/'normal case'!D91</f>
        <v>0.2</v>
      </c>
      <c r="L92" s="23">
        <f ca="1">'public finance'!A90/'normal case'!D91</f>
        <v>0.2</v>
      </c>
      <c r="M92" s="21" t="str">
        <f>IF(controls!$B$44=0,"",'normal case'!AC91)</f>
        <v/>
      </c>
      <c r="N92" s="21" t="str">
        <f>IF(controls!$B$44=0,"",'normal case'!AF91)</f>
        <v/>
      </c>
      <c r="O92" s="203" t="str">
        <f>IF(controls!$B$44=0,"",'external balance'!D91)</f>
        <v/>
      </c>
      <c r="P92" s="203" t="str">
        <f>IF(controls!$B$44=0,"",'external balance'!F91)</f>
        <v/>
      </c>
      <c r="Q92" s="202" t="str">
        <f>IF(controls!$B$44=0,"",'external balance'!H91)</f>
        <v/>
      </c>
      <c r="R92" s="201" t="str">
        <f>IF('inflation, income and interest'!$A$38=2,"",'delay in perception'!K92/100)</f>
        <v/>
      </c>
      <c r="S92" s="20" t="str">
        <f>IF('inflation, income and interest'!$A$38=2,"",('delay in perception'!E92-'delay in perception'!C92)/'delay in perception'!C92)</f>
        <v/>
      </c>
      <c r="T92" s="20" t="str">
        <f>IF('inflation, income and interest'!$A$38=2,"",('delay in perception'!E92-'delay in perception'!B92)/'delay in perception'!B92)</f>
        <v/>
      </c>
      <c r="U92" s="21" t="str">
        <f>IF('inflation, income and interest'!$A$38=2,"",'delay in perception'!E92)</f>
        <v/>
      </c>
      <c r="V92" s="27" t="str">
        <f>IF('inflation, income and interest'!$A$38=2,"",'delay in perception'!D92)</f>
        <v/>
      </c>
      <c r="W92" s="28" t="str">
        <f>IF('inflation, income and interest'!$A$38=2,"",'delay in perception'!M92/100)</f>
        <v/>
      </c>
      <c r="X92" s="24" t="str">
        <f>IF('inflation, income and interest'!$A$38=2,"",'delay in perception'!L92/100)</f>
        <v/>
      </c>
      <c r="Y92" s="201" t="str">
        <f>IF('inflation, income and interest'!$B$38=2,"",(hystere!E92-hystere!B92)/hystere!B92)</f>
        <v/>
      </c>
      <c r="Z92" s="476" t="str">
        <f>IF('inflation, income and interest'!$B$38=2,"",hystere!M92/100)</f>
        <v/>
      </c>
      <c r="AA92" s="21" t="str">
        <f>IF('inflation, income and interest'!$B$38=2,"",hystere!E92)</f>
        <v/>
      </c>
      <c r="AB92" s="27" t="str">
        <f>IF('inflation, income and interest'!$B$38=2,"",hystere!C92)</f>
        <v/>
      </c>
      <c r="AC92" s="20" t="str">
        <f>IF('inflation, income and interest'!$B$38=2,"",hystere!O92/100)</f>
        <v/>
      </c>
      <c r="AD92" s="20" t="str">
        <f>IF('inflation, income and interest'!$B$38=2,"",hystere!N92/100)</f>
        <v/>
      </c>
    </row>
    <row r="93" spans="1:30" ht="14" thickTop="1" thickBot="1">
      <c r="A93" s="32">
        <v>90</v>
      </c>
      <c r="B93" s="20">
        <f ca="1">('normal case'!D92-'normal case'!B92)/'normal case'!B92</f>
        <v>0</v>
      </c>
      <c r="C93" s="26">
        <f ca="1">'normal case'!D92</f>
        <v>100</v>
      </c>
      <c r="D93" s="27">
        <f ca="1">'normal case'!C92</f>
        <v>0</v>
      </c>
      <c r="E93" s="25">
        <f ca="1">'normal case'!L92/100</f>
        <v>0.02</v>
      </c>
      <c r="F93" s="28">
        <f ca="1">'normal case'!N92/100</f>
        <v>0.06</v>
      </c>
      <c r="G93" s="28">
        <f ca="1">'normal case'!M92/100</f>
        <v>0.04</v>
      </c>
      <c r="H93" s="28">
        <f ca="1">'public finance'!D91</f>
        <v>0</v>
      </c>
      <c r="I93" s="23">
        <f ca="1">'public finance'!E91</f>
        <v>0</v>
      </c>
      <c r="J93" s="153">
        <f ca="1">'public finance'!H91</f>
        <v>0</v>
      </c>
      <c r="K93" s="20">
        <f ca="1">'public finance'!C91/'normal case'!D92</f>
        <v>0.2</v>
      </c>
      <c r="L93" s="23">
        <f ca="1">'public finance'!A91/'normal case'!D92</f>
        <v>0.2</v>
      </c>
      <c r="M93" s="21" t="str">
        <f>IF(controls!$B$44=0,"",'normal case'!AC92)</f>
        <v/>
      </c>
      <c r="N93" s="21" t="str">
        <f>IF(controls!$B$44=0,"",'normal case'!AF92)</f>
        <v/>
      </c>
      <c r="O93" s="203" t="str">
        <f>IF(controls!$B$44=0,"",'external balance'!D92)</f>
        <v/>
      </c>
      <c r="P93" s="203" t="str">
        <f>IF(controls!$B$44=0,"",'external balance'!F92)</f>
        <v/>
      </c>
      <c r="Q93" s="202" t="str">
        <f>IF(controls!$B$44=0,"",'external balance'!H92)</f>
        <v/>
      </c>
      <c r="R93" s="201" t="str">
        <f>IF('inflation, income and interest'!$A$38=2,"",'delay in perception'!K93/100)</f>
        <v/>
      </c>
      <c r="S93" s="20" t="str">
        <f>IF('inflation, income and interest'!$A$38=2,"",('delay in perception'!E93-'delay in perception'!C93)/'delay in perception'!C93)</f>
        <v/>
      </c>
      <c r="T93" s="20" t="str">
        <f>IF('inflation, income and interest'!$A$38=2,"",('delay in perception'!E93-'delay in perception'!B93)/'delay in perception'!B93)</f>
        <v/>
      </c>
      <c r="U93" s="21" t="str">
        <f>IF('inflation, income and interest'!$A$38=2,"",'delay in perception'!E93)</f>
        <v/>
      </c>
      <c r="V93" s="27" t="str">
        <f>IF('inflation, income and interest'!$A$38=2,"",'delay in perception'!D93)</f>
        <v/>
      </c>
      <c r="W93" s="28" t="str">
        <f>IF('inflation, income and interest'!$A$38=2,"",'delay in perception'!M93/100)</f>
        <v/>
      </c>
      <c r="X93" s="24" t="str">
        <f>IF('inflation, income and interest'!$A$38=2,"",'delay in perception'!L93/100)</f>
        <v/>
      </c>
      <c r="Y93" s="201" t="str">
        <f>IF('inflation, income and interest'!$B$38=2,"",(hystere!E93-hystere!B93)/hystere!B93)</f>
        <v/>
      </c>
      <c r="Z93" s="476" t="str">
        <f>IF('inflation, income and interest'!$B$38=2,"",hystere!M93/100)</f>
        <v/>
      </c>
      <c r="AA93" s="21" t="str">
        <f>IF('inflation, income and interest'!$B$38=2,"",hystere!E93)</f>
        <v/>
      </c>
      <c r="AB93" s="27" t="str">
        <f>IF('inflation, income and interest'!$B$38=2,"",hystere!C93)</f>
        <v/>
      </c>
      <c r="AC93" s="20" t="str">
        <f>IF('inflation, income and interest'!$B$38=2,"",hystere!O93/100)</f>
        <v/>
      </c>
      <c r="AD93" s="20" t="str">
        <f>IF('inflation, income and interest'!$B$38=2,"",hystere!N93/100)</f>
        <v/>
      </c>
    </row>
    <row r="94" spans="1:30" ht="14" thickTop="1" thickBot="1">
      <c r="A94" s="32">
        <v>91</v>
      </c>
      <c r="B94" s="20">
        <f ca="1">('normal case'!D93-'normal case'!B93)/'normal case'!B93</f>
        <v>0</v>
      </c>
      <c r="C94" s="26">
        <f ca="1">'normal case'!D93</f>
        <v>100</v>
      </c>
      <c r="D94" s="27">
        <f ca="1">'normal case'!C93</f>
        <v>0</v>
      </c>
      <c r="E94" s="25">
        <f ca="1">'normal case'!L93/100</f>
        <v>0.02</v>
      </c>
      <c r="F94" s="28">
        <f ca="1">'normal case'!N93/100</f>
        <v>0.06</v>
      </c>
      <c r="G94" s="28">
        <f ca="1">'normal case'!M93/100</f>
        <v>0.04</v>
      </c>
      <c r="H94" s="28">
        <f ca="1">'public finance'!D92</f>
        <v>0</v>
      </c>
      <c r="I94" s="23">
        <f ca="1">'public finance'!E92</f>
        <v>0</v>
      </c>
      <c r="J94" s="153">
        <f ca="1">'public finance'!H92</f>
        <v>0</v>
      </c>
      <c r="K94" s="20">
        <f ca="1">'public finance'!C92/'normal case'!D93</f>
        <v>0.2</v>
      </c>
      <c r="L94" s="23">
        <f ca="1">'public finance'!A92/'normal case'!D93</f>
        <v>0.2</v>
      </c>
      <c r="M94" s="21" t="str">
        <f>IF(controls!$B$44=0,"",'normal case'!AC93)</f>
        <v/>
      </c>
      <c r="N94" s="21" t="str">
        <f>IF(controls!$B$44=0,"",'normal case'!AF93)</f>
        <v/>
      </c>
      <c r="O94" s="203" t="str">
        <f>IF(controls!$B$44=0,"",'external balance'!D93)</f>
        <v/>
      </c>
      <c r="P94" s="203" t="str">
        <f>IF(controls!$B$44=0,"",'external balance'!F93)</f>
        <v/>
      </c>
      <c r="Q94" s="202" t="str">
        <f>IF(controls!$B$44=0,"",'external balance'!H93)</f>
        <v/>
      </c>
      <c r="R94" s="201" t="str">
        <f>IF('inflation, income and interest'!$A$38=2,"",'delay in perception'!K94/100)</f>
        <v/>
      </c>
      <c r="S94" s="20" t="str">
        <f>IF('inflation, income and interest'!$A$38=2,"",('delay in perception'!E94-'delay in perception'!C94)/'delay in perception'!C94)</f>
        <v/>
      </c>
      <c r="T94" s="20" t="str">
        <f>IF('inflation, income and interest'!$A$38=2,"",('delay in perception'!E94-'delay in perception'!B94)/'delay in perception'!B94)</f>
        <v/>
      </c>
      <c r="U94" s="21" t="str">
        <f>IF('inflation, income and interest'!$A$38=2,"",'delay in perception'!E94)</f>
        <v/>
      </c>
      <c r="V94" s="27" t="str">
        <f>IF('inflation, income and interest'!$A$38=2,"",'delay in perception'!D94)</f>
        <v/>
      </c>
      <c r="W94" s="28" t="str">
        <f>IF('inflation, income and interest'!$A$38=2,"",'delay in perception'!M94/100)</f>
        <v/>
      </c>
      <c r="X94" s="24" t="str">
        <f>IF('inflation, income and interest'!$A$38=2,"",'delay in perception'!L94/100)</f>
        <v/>
      </c>
      <c r="Y94" s="201" t="str">
        <f>IF('inflation, income and interest'!$B$38=2,"",(hystere!E94-hystere!B94)/hystere!B94)</f>
        <v/>
      </c>
      <c r="Z94" s="476" t="str">
        <f>IF('inflation, income and interest'!$B$38=2,"",hystere!M94/100)</f>
        <v/>
      </c>
      <c r="AA94" s="21" t="str">
        <f>IF('inflation, income and interest'!$B$38=2,"",hystere!E94)</f>
        <v/>
      </c>
      <c r="AB94" s="27" t="str">
        <f>IF('inflation, income and interest'!$B$38=2,"",hystere!C94)</f>
        <v/>
      </c>
      <c r="AC94" s="20" t="str">
        <f>IF('inflation, income and interest'!$B$38=2,"",hystere!O94/100)</f>
        <v/>
      </c>
      <c r="AD94" s="20" t="str">
        <f>IF('inflation, income and interest'!$B$38=2,"",hystere!N94/100)</f>
        <v/>
      </c>
    </row>
    <row r="95" spans="1:30" ht="14" thickTop="1" thickBot="1">
      <c r="A95" s="32">
        <v>92</v>
      </c>
      <c r="B95" s="20">
        <f ca="1">('normal case'!D94-'normal case'!B94)/'normal case'!B94</f>
        <v>0</v>
      </c>
      <c r="C95" s="26">
        <f ca="1">'normal case'!D94</f>
        <v>100</v>
      </c>
      <c r="D95" s="27">
        <f ca="1">'normal case'!C94</f>
        <v>0</v>
      </c>
      <c r="E95" s="25">
        <f ca="1">'normal case'!L94/100</f>
        <v>0.02</v>
      </c>
      <c r="F95" s="28">
        <f ca="1">'normal case'!N94/100</f>
        <v>0.06</v>
      </c>
      <c r="G95" s="28">
        <f ca="1">'normal case'!M94/100</f>
        <v>0.04</v>
      </c>
      <c r="H95" s="28">
        <f ca="1">'public finance'!D93</f>
        <v>0</v>
      </c>
      <c r="I95" s="23">
        <f ca="1">'public finance'!E93</f>
        <v>0</v>
      </c>
      <c r="J95" s="153">
        <f ca="1">'public finance'!H93</f>
        <v>0</v>
      </c>
      <c r="K95" s="20">
        <f ca="1">'public finance'!C93/'normal case'!D94</f>
        <v>0.2</v>
      </c>
      <c r="L95" s="23">
        <f ca="1">'public finance'!A93/'normal case'!D94</f>
        <v>0.2</v>
      </c>
      <c r="M95" s="21" t="str">
        <f>IF(controls!$B$44=0,"",'normal case'!AC94)</f>
        <v/>
      </c>
      <c r="N95" s="21" t="str">
        <f>IF(controls!$B$44=0,"",'normal case'!AF94)</f>
        <v/>
      </c>
      <c r="O95" s="203" t="str">
        <f>IF(controls!$B$44=0,"",'external balance'!D94)</f>
        <v/>
      </c>
      <c r="P95" s="203" t="str">
        <f>IF(controls!$B$44=0,"",'external balance'!F94)</f>
        <v/>
      </c>
      <c r="Q95" s="202" t="str">
        <f>IF(controls!$B$44=0,"",'external balance'!H94)</f>
        <v/>
      </c>
      <c r="R95" s="201" t="str">
        <f>IF('inflation, income and interest'!$A$38=2,"",'delay in perception'!K95/100)</f>
        <v/>
      </c>
      <c r="S95" s="20" t="str">
        <f>IF('inflation, income and interest'!$A$38=2,"",('delay in perception'!E95-'delay in perception'!C95)/'delay in perception'!C95)</f>
        <v/>
      </c>
      <c r="T95" s="20" t="str">
        <f>IF('inflation, income and interest'!$A$38=2,"",('delay in perception'!E95-'delay in perception'!B95)/'delay in perception'!B95)</f>
        <v/>
      </c>
      <c r="U95" s="21" t="str">
        <f>IF('inflation, income and interest'!$A$38=2,"",'delay in perception'!E95)</f>
        <v/>
      </c>
      <c r="V95" s="27" t="str">
        <f>IF('inflation, income and interest'!$A$38=2,"",'delay in perception'!D95)</f>
        <v/>
      </c>
      <c r="W95" s="28" t="str">
        <f>IF('inflation, income and interest'!$A$38=2,"",'delay in perception'!M95/100)</f>
        <v/>
      </c>
      <c r="X95" s="24" t="str">
        <f>IF('inflation, income and interest'!$A$38=2,"",'delay in perception'!L95/100)</f>
        <v/>
      </c>
      <c r="Y95" s="201" t="str">
        <f>IF('inflation, income and interest'!$B$38=2,"",(hystere!E95-hystere!B95)/hystere!B95)</f>
        <v/>
      </c>
      <c r="Z95" s="476" t="str">
        <f>IF('inflation, income and interest'!$B$38=2,"",hystere!M95/100)</f>
        <v/>
      </c>
      <c r="AA95" s="21" t="str">
        <f>IF('inflation, income and interest'!$B$38=2,"",hystere!E95)</f>
        <v/>
      </c>
      <c r="AB95" s="27" t="str">
        <f>IF('inflation, income and interest'!$B$38=2,"",hystere!C95)</f>
        <v/>
      </c>
      <c r="AC95" s="20" t="str">
        <f>IF('inflation, income and interest'!$B$38=2,"",hystere!O95/100)</f>
        <v/>
      </c>
      <c r="AD95" s="20" t="str">
        <f>IF('inflation, income and interest'!$B$38=2,"",hystere!N95/100)</f>
        <v/>
      </c>
    </row>
    <row r="96" spans="1:30" ht="14" thickTop="1" thickBot="1">
      <c r="A96" s="32">
        <v>93</v>
      </c>
      <c r="B96" s="20">
        <f ca="1">('normal case'!D95-'normal case'!B95)/'normal case'!B95</f>
        <v>0</v>
      </c>
      <c r="C96" s="26">
        <f ca="1">'normal case'!D95</f>
        <v>100</v>
      </c>
      <c r="D96" s="27">
        <f ca="1">'normal case'!C95</f>
        <v>0</v>
      </c>
      <c r="E96" s="25">
        <f ca="1">'normal case'!L95/100</f>
        <v>0.02</v>
      </c>
      <c r="F96" s="28">
        <f ca="1">'normal case'!N95/100</f>
        <v>0.06</v>
      </c>
      <c r="G96" s="28">
        <f ca="1">'normal case'!M95/100</f>
        <v>0.04</v>
      </c>
      <c r="H96" s="28">
        <f ca="1">'public finance'!D94</f>
        <v>0</v>
      </c>
      <c r="I96" s="23">
        <f ca="1">'public finance'!E94</f>
        <v>0</v>
      </c>
      <c r="J96" s="153">
        <f ca="1">'public finance'!H94</f>
        <v>0</v>
      </c>
      <c r="K96" s="20">
        <f ca="1">'public finance'!C94/'normal case'!D95</f>
        <v>0.2</v>
      </c>
      <c r="L96" s="23">
        <f ca="1">'public finance'!A94/'normal case'!D95</f>
        <v>0.2</v>
      </c>
      <c r="M96" s="21" t="str">
        <f>IF(controls!$B$44=0,"",'normal case'!AC95)</f>
        <v/>
      </c>
      <c r="N96" s="21" t="str">
        <f>IF(controls!$B$44=0,"",'normal case'!AF95)</f>
        <v/>
      </c>
      <c r="O96" s="203" t="str">
        <f>IF(controls!$B$44=0,"",'external balance'!D95)</f>
        <v/>
      </c>
      <c r="P96" s="203" t="str">
        <f>IF(controls!$B$44=0,"",'external balance'!F95)</f>
        <v/>
      </c>
      <c r="Q96" s="202" t="str">
        <f>IF(controls!$B$44=0,"",'external balance'!H95)</f>
        <v/>
      </c>
      <c r="R96" s="201" t="str">
        <f>IF('inflation, income and interest'!$A$38=2,"",'delay in perception'!K96/100)</f>
        <v/>
      </c>
      <c r="S96" s="20" t="str">
        <f>IF('inflation, income and interest'!$A$38=2,"",('delay in perception'!E96-'delay in perception'!C96)/'delay in perception'!C96)</f>
        <v/>
      </c>
      <c r="T96" s="20" t="str">
        <f>IF('inflation, income and interest'!$A$38=2,"",('delay in perception'!E96-'delay in perception'!B96)/'delay in perception'!B96)</f>
        <v/>
      </c>
      <c r="U96" s="21" t="str">
        <f>IF('inflation, income and interest'!$A$38=2,"",'delay in perception'!E96)</f>
        <v/>
      </c>
      <c r="V96" s="27" t="str">
        <f>IF('inflation, income and interest'!$A$38=2,"",'delay in perception'!D96)</f>
        <v/>
      </c>
      <c r="W96" s="28" t="str">
        <f>IF('inflation, income and interest'!$A$38=2,"",'delay in perception'!M96/100)</f>
        <v/>
      </c>
      <c r="X96" s="24" t="str">
        <f>IF('inflation, income and interest'!$A$38=2,"",'delay in perception'!L96/100)</f>
        <v/>
      </c>
      <c r="Y96" s="201" t="str">
        <f>IF('inflation, income and interest'!$B$38=2,"",(hystere!E96-hystere!B96)/hystere!B96)</f>
        <v/>
      </c>
      <c r="Z96" s="476" t="str">
        <f>IF('inflation, income and interest'!$B$38=2,"",hystere!M96/100)</f>
        <v/>
      </c>
      <c r="AA96" s="21" t="str">
        <f>IF('inflation, income and interest'!$B$38=2,"",hystere!E96)</f>
        <v/>
      </c>
      <c r="AB96" s="27" t="str">
        <f>IF('inflation, income and interest'!$B$38=2,"",hystere!C96)</f>
        <v/>
      </c>
      <c r="AC96" s="20" t="str">
        <f>IF('inflation, income and interest'!$B$38=2,"",hystere!O96/100)</f>
        <v/>
      </c>
      <c r="AD96" s="20" t="str">
        <f>IF('inflation, income and interest'!$B$38=2,"",hystere!N96/100)</f>
        <v/>
      </c>
    </row>
    <row r="97" spans="1:30" ht="14" thickTop="1" thickBot="1">
      <c r="A97" s="32">
        <v>94</v>
      </c>
      <c r="B97" s="20">
        <f ca="1">('normal case'!D96-'normal case'!B96)/'normal case'!B96</f>
        <v>0</v>
      </c>
      <c r="C97" s="26">
        <f ca="1">'normal case'!D96</f>
        <v>100</v>
      </c>
      <c r="D97" s="27">
        <f ca="1">'normal case'!C96</f>
        <v>0</v>
      </c>
      <c r="E97" s="25">
        <f ca="1">'normal case'!L96/100</f>
        <v>0.02</v>
      </c>
      <c r="F97" s="28">
        <f ca="1">'normal case'!N96/100</f>
        <v>0.06</v>
      </c>
      <c r="G97" s="28">
        <f ca="1">'normal case'!M96/100</f>
        <v>0.04</v>
      </c>
      <c r="H97" s="28">
        <f ca="1">'public finance'!D95</f>
        <v>0</v>
      </c>
      <c r="I97" s="23">
        <f ca="1">'public finance'!E95</f>
        <v>0</v>
      </c>
      <c r="J97" s="153">
        <f ca="1">'public finance'!H95</f>
        <v>0</v>
      </c>
      <c r="K97" s="20">
        <f ca="1">'public finance'!C95/'normal case'!D96</f>
        <v>0.2</v>
      </c>
      <c r="L97" s="23">
        <f ca="1">'public finance'!A95/'normal case'!D96</f>
        <v>0.2</v>
      </c>
      <c r="M97" s="21" t="str">
        <f>IF(controls!$B$44=0,"",'normal case'!AC96)</f>
        <v/>
      </c>
      <c r="N97" s="21" t="str">
        <f>IF(controls!$B$44=0,"",'normal case'!AF96)</f>
        <v/>
      </c>
      <c r="O97" s="203" t="str">
        <f>IF(controls!$B$44=0,"",'external balance'!D96)</f>
        <v/>
      </c>
      <c r="P97" s="203" t="str">
        <f>IF(controls!$B$44=0,"",'external balance'!F96)</f>
        <v/>
      </c>
      <c r="Q97" s="202" t="str">
        <f>IF(controls!$B$44=0,"",'external balance'!H96)</f>
        <v/>
      </c>
      <c r="R97" s="201" t="str">
        <f>IF('inflation, income and interest'!$A$38=2,"",'delay in perception'!K97/100)</f>
        <v/>
      </c>
      <c r="S97" s="20" t="str">
        <f>IF('inflation, income and interest'!$A$38=2,"",('delay in perception'!E97-'delay in perception'!C97)/'delay in perception'!C97)</f>
        <v/>
      </c>
      <c r="T97" s="20" t="str">
        <f>IF('inflation, income and interest'!$A$38=2,"",('delay in perception'!E97-'delay in perception'!B97)/'delay in perception'!B97)</f>
        <v/>
      </c>
      <c r="U97" s="21" t="str">
        <f>IF('inflation, income and interest'!$A$38=2,"",'delay in perception'!E97)</f>
        <v/>
      </c>
      <c r="V97" s="27" t="str">
        <f>IF('inflation, income and interest'!$A$38=2,"",'delay in perception'!D97)</f>
        <v/>
      </c>
      <c r="W97" s="28" t="str">
        <f>IF('inflation, income and interest'!$A$38=2,"",'delay in perception'!M97/100)</f>
        <v/>
      </c>
      <c r="X97" s="24" t="str">
        <f>IF('inflation, income and interest'!$A$38=2,"",'delay in perception'!L97/100)</f>
        <v/>
      </c>
      <c r="Y97" s="201" t="str">
        <f>IF('inflation, income and interest'!$B$38=2,"",(hystere!E97-hystere!B97)/hystere!B97)</f>
        <v/>
      </c>
      <c r="Z97" s="476" t="str">
        <f>IF('inflation, income and interest'!$B$38=2,"",hystere!M97/100)</f>
        <v/>
      </c>
      <c r="AA97" s="21" t="str">
        <f>IF('inflation, income and interest'!$B$38=2,"",hystere!E97)</f>
        <v/>
      </c>
      <c r="AB97" s="27" t="str">
        <f>IF('inflation, income and interest'!$B$38=2,"",hystere!C97)</f>
        <v/>
      </c>
      <c r="AC97" s="20" t="str">
        <f>IF('inflation, income and interest'!$B$38=2,"",hystere!O97/100)</f>
        <v/>
      </c>
      <c r="AD97" s="20" t="str">
        <f>IF('inflation, income and interest'!$B$38=2,"",hystere!N97/100)</f>
        <v/>
      </c>
    </row>
    <row r="98" spans="1:30" ht="14" thickTop="1" thickBot="1">
      <c r="A98" s="32">
        <v>95</v>
      </c>
      <c r="B98" s="20">
        <f ca="1">('normal case'!D97-'normal case'!B97)/'normal case'!B97</f>
        <v>0</v>
      </c>
      <c r="C98" s="26">
        <f ca="1">'normal case'!D97</f>
        <v>100</v>
      </c>
      <c r="D98" s="27">
        <f ca="1">'normal case'!C97</f>
        <v>0</v>
      </c>
      <c r="E98" s="25">
        <f ca="1">'normal case'!L97/100</f>
        <v>0.02</v>
      </c>
      <c r="F98" s="28">
        <f ca="1">'normal case'!N97/100</f>
        <v>0.06</v>
      </c>
      <c r="G98" s="28">
        <f ca="1">'normal case'!M97/100</f>
        <v>0.04</v>
      </c>
      <c r="H98" s="28">
        <f ca="1">'public finance'!D96</f>
        <v>0</v>
      </c>
      <c r="I98" s="23">
        <f ca="1">'public finance'!E96</f>
        <v>0</v>
      </c>
      <c r="J98" s="153">
        <f ca="1">'public finance'!H96</f>
        <v>0</v>
      </c>
      <c r="K98" s="20">
        <f ca="1">'public finance'!C96/'normal case'!D97</f>
        <v>0.2</v>
      </c>
      <c r="L98" s="23">
        <f ca="1">'public finance'!A96/'normal case'!D97</f>
        <v>0.2</v>
      </c>
      <c r="M98" s="21" t="str">
        <f>IF(controls!$B$44=0,"",'normal case'!AC97)</f>
        <v/>
      </c>
      <c r="N98" s="21" t="str">
        <f>IF(controls!$B$44=0,"",'normal case'!AF97)</f>
        <v/>
      </c>
      <c r="O98" s="203" t="str">
        <f>IF(controls!$B$44=0,"",'external balance'!D97)</f>
        <v/>
      </c>
      <c r="P98" s="203" t="str">
        <f>IF(controls!$B$44=0,"",'external balance'!F97)</f>
        <v/>
      </c>
      <c r="Q98" s="202" t="str">
        <f>IF(controls!$B$44=0,"",'external balance'!H97)</f>
        <v/>
      </c>
      <c r="R98" s="201" t="str">
        <f>IF('inflation, income and interest'!$A$38=2,"",'delay in perception'!K98/100)</f>
        <v/>
      </c>
      <c r="S98" s="20" t="str">
        <f>IF('inflation, income and interest'!$A$38=2,"",('delay in perception'!E98-'delay in perception'!C98)/'delay in perception'!C98)</f>
        <v/>
      </c>
      <c r="T98" s="20" t="str">
        <f>IF('inflation, income and interest'!$A$38=2,"",('delay in perception'!E98-'delay in perception'!B98)/'delay in perception'!B98)</f>
        <v/>
      </c>
      <c r="U98" s="21" t="str">
        <f>IF('inflation, income and interest'!$A$38=2,"",'delay in perception'!E98)</f>
        <v/>
      </c>
      <c r="V98" s="27" t="str">
        <f>IF('inflation, income and interest'!$A$38=2,"",'delay in perception'!D98)</f>
        <v/>
      </c>
      <c r="W98" s="28" t="str">
        <f>IF('inflation, income and interest'!$A$38=2,"",'delay in perception'!M98/100)</f>
        <v/>
      </c>
      <c r="X98" s="24" t="str">
        <f>IF('inflation, income and interest'!$A$38=2,"",'delay in perception'!L98/100)</f>
        <v/>
      </c>
      <c r="Y98" s="201" t="str">
        <f>IF('inflation, income and interest'!$B$38=2,"",(hystere!E98-hystere!B98)/hystere!B98)</f>
        <v/>
      </c>
      <c r="Z98" s="476" t="str">
        <f>IF('inflation, income and interest'!$B$38=2,"",hystere!M98/100)</f>
        <v/>
      </c>
      <c r="AA98" s="21" t="str">
        <f>IF('inflation, income and interest'!$B$38=2,"",hystere!E98)</f>
        <v/>
      </c>
      <c r="AB98" s="27" t="str">
        <f>IF('inflation, income and interest'!$B$38=2,"",hystere!C98)</f>
        <v/>
      </c>
      <c r="AC98" s="20" t="str">
        <f>IF('inflation, income and interest'!$B$38=2,"",hystere!O98/100)</f>
        <v/>
      </c>
      <c r="AD98" s="20" t="str">
        <f>IF('inflation, income and interest'!$B$38=2,"",hystere!N98/100)</f>
        <v/>
      </c>
    </row>
    <row r="99" spans="1:30" ht="14" thickTop="1" thickBot="1">
      <c r="A99" s="32">
        <v>96</v>
      </c>
      <c r="B99" s="20">
        <f ca="1">('normal case'!D98-'normal case'!B98)/'normal case'!B98</f>
        <v>0</v>
      </c>
      <c r="C99" s="26">
        <f ca="1">'normal case'!D98</f>
        <v>100</v>
      </c>
      <c r="D99" s="27">
        <f ca="1">'normal case'!C98</f>
        <v>0</v>
      </c>
      <c r="E99" s="25">
        <f ca="1">'normal case'!L98/100</f>
        <v>0.02</v>
      </c>
      <c r="F99" s="28">
        <f ca="1">'normal case'!N98/100</f>
        <v>0.06</v>
      </c>
      <c r="G99" s="28">
        <f ca="1">'normal case'!M98/100</f>
        <v>0.04</v>
      </c>
      <c r="H99" s="28">
        <f ca="1">'public finance'!D97</f>
        <v>0</v>
      </c>
      <c r="I99" s="23">
        <f ca="1">'public finance'!E97</f>
        <v>0</v>
      </c>
      <c r="J99" s="153">
        <f ca="1">'public finance'!H97</f>
        <v>0</v>
      </c>
      <c r="K99" s="20">
        <f ca="1">'public finance'!C97/'normal case'!D98</f>
        <v>0.2</v>
      </c>
      <c r="L99" s="23">
        <f ca="1">'public finance'!A97/'normal case'!D98</f>
        <v>0.2</v>
      </c>
      <c r="M99" s="21" t="str">
        <f>IF(controls!$B$44=0,"",'normal case'!AC98)</f>
        <v/>
      </c>
      <c r="N99" s="21" t="str">
        <f>IF(controls!$B$44=0,"",'normal case'!AF98)</f>
        <v/>
      </c>
      <c r="O99" s="203" t="str">
        <f>IF(controls!$B$44=0,"",'external balance'!D98)</f>
        <v/>
      </c>
      <c r="P99" s="203" t="str">
        <f>IF(controls!$B$44=0,"",'external balance'!F98)</f>
        <v/>
      </c>
      <c r="Q99" s="202" t="str">
        <f>IF(controls!$B$44=0,"",'external balance'!H98)</f>
        <v/>
      </c>
      <c r="R99" s="201" t="str">
        <f>IF('inflation, income and interest'!$A$38=2,"",'delay in perception'!K99/100)</f>
        <v/>
      </c>
      <c r="S99" s="20" t="str">
        <f>IF('inflation, income and interest'!$A$38=2,"",('delay in perception'!E99-'delay in perception'!C99)/'delay in perception'!C99)</f>
        <v/>
      </c>
      <c r="T99" s="20" t="str">
        <f>IF('inflation, income and interest'!$A$38=2,"",('delay in perception'!E99-'delay in perception'!B99)/'delay in perception'!B99)</f>
        <v/>
      </c>
      <c r="U99" s="21" t="str">
        <f>IF('inflation, income and interest'!$A$38=2,"",'delay in perception'!E99)</f>
        <v/>
      </c>
      <c r="V99" s="27" t="str">
        <f>IF('inflation, income and interest'!$A$38=2,"",'delay in perception'!D99)</f>
        <v/>
      </c>
      <c r="W99" s="28" t="str">
        <f>IF('inflation, income and interest'!$A$38=2,"",'delay in perception'!M99/100)</f>
        <v/>
      </c>
      <c r="X99" s="24" t="str">
        <f>IF('inflation, income and interest'!$A$38=2,"",'delay in perception'!L99/100)</f>
        <v/>
      </c>
      <c r="Y99" s="201" t="str">
        <f>IF('inflation, income and interest'!$B$38=2,"",(hystere!E99-hystere!B99)/hystere!B99)</f>
        <v/>
      </c>
      <c r="Z99" s="476" t="str">
        <f>IF('inflation, income and interest'!$B$38=2,"",hystere!M99/100)</f>
        <v/>
      </c>
      <c r="AA99" s="21" t="str">
        <f>IF('inflation, income and interest'!$B$38=2,"",hystere!E99)</f>
        <v/>
      </c>
      <c r="AB99" s="27" t="str">
        <f>IF('inflation, income and interest'!$B$38=2,"",hystere!C99)</f>
        <v/>
      </c>
      <c r="AC99" s="20" t="str">
        <f>IF('inflation, income and interest'!$B$38=2,"",hystere!O99/100)</f>
        <v/>
      </c>
      <c r="AD99" s="20" t="str">
        <f>IF('inflation, income and interest'!$B$38=2,"",hystere!N99/100)</f>
        <v/>
      </c>
    </row>
    <row r="100" spans="1:30" ht="14" thickTop="1" thickBot="1">
      <c r="A100" s="32">
        <v>97</v>
      </c>
      <c r="B100" s="20">
        <f ca="1">('normal case'!D99-'normal case'!B99)/'normal case'!B99</f>
        <v>0</v>
      </c>
      <c r="C100" s="26">
        <f ca="1">'normal case'!D99</f>
        <v>100</v>
      </c>
      <c r="D100" s="27">
        <f ca="1">'normal case'!C99</f>
        <v>0</v>
      </c>
      <c r="E100" s="25">
        <f ca="1">'normal case'!L99/100</f>
        <v>0.02</v>
      </c>
      <c r="F100" s="28">
        <f ca="1">'normal case'!N99/100</f>
        <v>0.06</v>
      </c>
      <c r="G100" s="28">
        <f ca="1">'normal case'!M99/100</f>
        <v>0.04</v>
      </c>
      <c r="H100" s="28">
        <f ca="1">'public finance'!D98</f>
        <v>0</v>
      </c>
      <c r="I100" s="23">
        <f ca="1">'public finance'!E98</f>
        <v>0</v>
      </c>
      <c r="J100" s="153">
        <f ca="1">'public finance'!H98</f>
        <v>0</v>
      </c>
      <c r="K100" s="20">
        <f ca="1">'public finance'!C98/'normal case'!D99</f>
        <v>0.2</v>
      </c>
      <c r="L100" s="23">
        <f ca="1">'public finance'!A98/'normal case'!D99</f>
        <v>0.2</v>
      </c>
      <c r="M100" s="21" t="str">
        <f>IF(controls!$B$44=0,"",'normal case'!AC99)</f>
        <v/>
      </c>
      <c r="N100" s="21" t="str">
        <f>IF(controls!$B$44=0,"",'normal case'!AF99)</f>
        <v/>
      </c>
      <c r="O100" s="203" t="str">
        <f>IF(controls!$B$44=0,"",'external balance'!D99)</f>
        <v/>
      </c>
      <c r="P100" s="203" t="str">
        <f>IF(controls!$B$44=0,"",'external balance'!F99)</f>
        <v/>
      </c>
      <c r="Q100" s="202" t="str">
        <f>IF(controls!$B$44=0,"",'external balance'!H99)</f>
        <v/>
      </c>
      <c r="R100" s="201" t="str">
        <f>IF('inflation, income and interest'!$A$38=2,"",'delay in perception'!K100/100)</f>
        <v/>
      </c>
      <c r="S100" s="20" t="str">
        <f>IF('inflation, income and interest'!$A$38=2,"",('delay in perception'!E100-'delay in perception'!C100)/'delay in perception'!C100)</f>
        <v/>
      </c>
      <c r="T100" s="20" t="str">
        <f>IF('inflation, income and interest'!$A$38=2,"",('delay in perception'!E100-'delay in perception'!B100)/'delay in perception'!B100)</f>
        <v/>
      </c>
      <c r="U100" s="21" t="str">
        <f>IF('inflation, income and interest'!$A$38=2,"",'delay in perception'!E100)</f>
        <v/>
      </c>
      <c r="V100" s="27" t="str">
        <f>IF('inflation, income and interest'!$A$38=2,"",'delay in perception'!D100)</f>
        <v/>
      </c>
      <c r="W100" s="28" t="str">
        <f>IF('inflation, income and interest'!$A$38=2,"",'delay in perception'!M100/100)</f>
        <v/>
      </c>
      <c r="X100" s="24" t="str">
        <f>IF('inflation, income and interest'!$A$38=2,"",'delay in perception'!L100/100)</f>
        <v/>
      </c>
      <c r="Y100" s="201" t="str">
        <f>IF('inflation, income and interest'!$B$38=2,"",(hystere!E100-hystere!B100)/hystere!B100)</f>
        <v/>
      </c>
      <c r="Z100" s="476" t="str">
        <f>IF('inflation, income and interest'!$B$38=2,"",hystere!M100/100)</f>
        <v/>
      </c>
      <c r="AA100" s="21" t="str">
        <f>IF('inflation, income and interest'!$B$38=2,"",hystere!E100)</f>
        <v/>
      </c>
      <c r="AB100" s="27" t="str">
        <f>IF('inflation, income and interest'!$B$38=2,"",hystere!C100)</f>
        <v/>
      </c>
      <c r="AC100" s="20" t="str">
        <f>IF('inflation, income and interest'!$B$38=2,"",hystere!O100/100)</f>
        <v/>
      </c>
      <c r="AD100" s="20" t="str">
        <f>IF('inflation, income and interest'!$B$38=2,"",hystere!N100/100)</f>
        <v/>
      </c>
    </row>
    <row r="101" spans="1:30" ht="14" thickTop="1" thickBot="1">
      <c r="A101" s="32">
        <v>98</v>
      </c>
      <c r="B101" s="20">
        <f ca="1">('normal case'!D100-'normal case'!B100)/'normal case'!B100</f>
        <v>0</v>
      </c>
      <c r="C101" s="26">
        <f ca="1">'normal case'!D100</f>
        <v>100</v>
      </c>
      <c r="D101" s="27">
        <f ca="1">'normal case'!C100</f>
        <v>0</v>
      </c>
      <c r="E101" s="25">
        <f ca="1">'normal case'!L100/100</f>
        <v>0.02</v>
      </c>
      <c r="F101" s="28">
        <f ca="1">'normal case'!N100/100</f>
        <v>0.06</v>
      </c>
      <c r="G101" s="28">
        <f ca="1">'normal case'!M100/100</f>
        <v>0.04</v>
      </c>
      <c r="H101" s="28">
        <f ca="1">'public finance'!D99</f>
        <v>0</v>
      </c>
      <c r="I101" s="23">
        <f ca="1">'public finance'!E99</f>
        <v>0</v>
      </c>
      <c r="J101" s="153">
        <f ca="1">'public finance'!H99</f>
        <v>0</v>
      </c>
      <c r="K101" s="20">
        <f ca="1">'public finance'!C99/'normal case'!D100</f>
        <v>0.2</v>
      </c>
      <c r="L101" s="23">
        <f ca="1">'public finance'!A99/'normal case'!D100</f>
        <v>0.2</v>
      </c>
      <c r="M101" s="21" t="str">
        <f>IF(controls!$B$44=0,"",'normal case'!AC100)</f>
        <v/>
      </c>
      <c r="N101" s="21" t="str">
        <f>IF(controls!$B$44=0,"",'normal case'!AF100)</f>
        <v/>
      </c>
      <c r="O101" s="203" t="str">
        <f>IF(controls!$B$44=0,"",'external balance'!D100)</f>
        <v/>
      </c>
      <c r="P101" s="203" t="str">
        <f>IF(controls!$B$44=0,"",'external balance'!F100)</f>
        <v/>
      </c>
      <c r="Q101" s="202" t="str">
        <f>IF(controls!$B$44=0,"",'external balance'!H100)</f>
        <v/>
      </c>
      <c r="R101" s="201" t="str">
        <f>IF('inflation, income and interest'!$A$38=2,"",'delay in perception'!K101/100)</f>
        <v/>
      </c>
      <c r="S101" s="20" t="str">
        <f>IF('inflation, income and interest'!$A$38=2,"",('delay in perception'!E101-'delay in perception'!C101)/'delay in perception'!C101)</f>
        <v/>
      </c>
      <c r="T101" s="20" t="str">
        <f>IF('inflation, income and interest'!$A$38=2,"",('delay in perception'!E101-'delay in perception'!B101)/'delay in perception'!B101)</f>
        <v/>
      </c>
      <c r="U101" s="21" t="str">
        <f>IF('inflation, income and interest'!$A$38=2,"",'delay in perception'!E101)</f>
        <v/>
      </c>
      <c r="V101" s="27" t="str">
        <f>IF('inflation, income and interest'!$A$38=2,"",'delay in perception'!D101)</f>
        <v/>
      </c>
      <c r="W101" s="28" t="str">
        <f>IF('inflation, income and interest'!$A$38=2,"",'delay in perception'!M101/100)</f>
        <v/>
      </c>
      <c r="X101" s="24" t="str">
        <f>IF('inflation, income and interest'!$A$38=2,"",'delay in perception'!L101/100)</f>
        <v/>
      </c>
      <c r="Y101" s="201" t="str">
        <f>IF('inflation, income and interest'!$B$38=2,"",(hystere!E101-hystere!B101)/hystere!B101)</f>
        <v/>
      </c>
      <c r="Z101" s="476" t="str">
        <f>IF('inflation, income and interest'!$B$38=2,"",hystere!M101/100)</f>
        <v/>
      </c>
      <c r="AA101" s="21" t="str">
        <f>IF('inflation, income and interest'!$B$38=2,"",hystere!E101)</f>
        <v/>
      </c>
      <c r="AB101" s="27" t="str">
        <f>IF('inflation, income and interest'!$B$38=2,"",hystere!C101)</f>
        <v/>
      </c>
      <c r="AC101" s="20" t="str">
        <f>IF('inflation, income and interest'!$B$38=2,"",hystere!O101/100)</f>
        <v/>
      </c>
      <c r="AD101" s="20" t="str">
        <f>IF('inflation, income and interest'!$B$38=2,"",hystere!N101/100)</f>
        <v/>
      </c>
    </row>
    <row r="102" spans="1:30" ht="14" thickTop="1" thickBot="1">
      <c r="A102" s="32">
        <v>99</v>
      </c>
      <c r="B102" s="20">
        <f ca="1">('normal case'!D101-'normal case'!B101)/'normal case'!B101</f>
        <v>0</v>
      </c>
      <c r="C102" s="26">
        <f ca="1">'normal case'!D101</f>
        <v>100</v>
      </c>
      <c r="D102" s="27">
        <f ca="1">'normal case'!C101</f>
        <v>0</v>
      </c>
      <c r="E102" s="25">
        <f ca="1">'normal case'!L101/100</f>
        <v>0.02</v>
      </c>
      <c r="F102" s="28">
        <f ca="1">'normal case'!N101/100</f>
        <v>0.06</v>
      </c>
      <c r="G102" s="28">
        <f ca="1">'normal case'!M101/100</f>
        <v>0.04</v>
      </c>
      <c r="H102" s="28">
        <f ca="1">'public finance'!D100</f>
        <v>0</v>
      </c>
      <c r="I102" s="23">
        <f ca="1">'public finance'!E100</f>
        <v>0</v>
      </c>
      <c r="J102" s="153">
        <f ca="1">'public finance'!H100</f>
        <v>0</v>
      </c>
      <c r="K102" s="20">
        <f ca="1">'public finance'!C100/'normal case'!D101</f>
        <v>0.2</v>
      </c>
      <c r="L102" s="23">
        <f ca="1">'public finance'!A100/'normal case'!D101</f>
        <v>0.2</v>
      </c>
      <c r="M102" s="21" t="str">
        <f>IF(controls!$B$44=0,"",'normal case'!AC101)</f>
        <v/>
      </c>
      <c r="N102" s="21" t="str">
        <f>IF(controls!$B$44=0,"",'normal case'!AF101)</f>
        <v/>
      </c>
      <c r="O102" s="203" t="str">
        <f>IF(controls!$B$44=0,"",'external balance'!D101)</f>
        <v/>
      </c>
      <c r="P102" s="203" t="str">
        <f>IF(controls!$B$44=0,"",'external balance'!F101)</f>
        <v/>
      </c>
      <c r="Q102" s="202" t="str">
        <f>IF(controls!$B$44=0,"",'external balance'!H101)</f>
        <v/>
      </c>
      <c r="R102" s="201" t="str">
        <f>IF('inflation, income and interest'!$A$38=2,"",'delay in perception'!K102/100)</f>
        <v/>
      </c>
      <c r="S102" s="20" t="str">
        <f>IF('inflation, income and interest'!$A$38=2,"",('delay in perception'!E102-'delay in perception'!C102)/'delay in perception'!C102)</f>
        <v/>
      </c>
      <c r="T102" s="20" t="str">
        <f>IF('inflation, income and interest'!$A$38=2,"",('delay in perception'!E102-'delay in perception'!B102)/'delay in perception'!B102)</f>
        <v/>
      </c>
      <c r="U102" s="21" t="str">
        <f>IF('inflation, income and interest'!$A$38=2,"",'delay in perception'!E102)</f>
        <v/>
      </c>
      <c r="V102" s="27" t="str">
        <f>IF('inflation, income and interest'!$A$38=2,"",'delay in perception'!D102)</f>
        <v/>
      </c>
      <c r="W102" s="28" t="str">
        <f>IF('inflation, income and interest'!$A$38=2,"",'delay in perception'!M102/100)</f>
        <v/>
      </c>
      <c r="X102" s="24" t="str">
        <f>IF('inflation, income and interest'!$A$38=2,"",'delay in perception'!L102/100)</f>
        <v/>
      </c>
      <c r="Y102" s="201" t="str">
        <f>IF('inflation, income and interest'!$B$38=2,"",(hystere!E102-hystere!B102)/hystere!B102)</f>
        <v/>
      </c>
      <c r="Z102" s="476" t="str">
        <f>IF('inflation, income and interest'!$B$38=2,"",hystere!M102/100)</f>
        <v/>
      </c>
      <c r="AA102" s="21" t="str">
        <f>IF('inflation, income and interest'!$B$38=2,"",hystere!E102)</f>
        <v/>
      </c>
      <c r="AB102" s="27" t="str">
        <f>IF('inflation, income and interest'!$B$38=2,"",hystere!C102)</f>
        <v/>
      </c>
      <c r="AC102" s="20" t="str">
        <f>IF('inflation, income and interest'!$B$38=2,"",hystere!O102/100)</f>
        <v/>
      </c>
      <c r="AD102" s="20" t="str">
        <f>IF('inflation, income and interest'!$B$38=2,"",hystere!N102/100)</f>
        <v/>
      </c>
    </row>
    <row r="103" spans="1:30" ht="14" thickTop="1" thickBot="1">
      <c r="A103" s="32">
        <v>100</v>
      </c>
      <c r="B103" s="20">
        <f ca="1">('normal case'!D102-'normal case'!B102)/'normal case'!B102</f>
        <v>0</v>
      </c>
      <c r="C103" s="26">
        <f ca="1">'normal case'!D102</f>
        <v>100</v>
      </c>
      <c r="D103" s="27">
        <f ca="1">'normal case'!C102</f>
        <v>0</v>
      </c>
      <c r="E103" s="25">
        <f ca="1">'normal case'!L102/100</f>
        <v>0.02</v>
      </c>
      <c r="F103" s="28">
        <f ca="1">'normal case'!N102/100</f>
        <v>0.06</v>
      </c>
      <c r="G103" s="28">
        <f ca="1">'normal case'!M102/100</f>
        <v>0.04</v>
      </c>
      <c r="H103" s="28">
        <f ca="1">'public finance'!D101</f>
        <v>0</v>
      </c>
      <c r="I103" s="23">
        <f ca="1">'public finance'!E101</f>
        <v>0</v>
      </c>
      <c r="J103" s="153">
        <f ca="1">'public finance'!H101</f>
        <v>0</v>
      </c>
      <c r="K103" s="20">
        <f ca="1">'public finance'!C101/'normal case'!D102</f>
        <v>0.2</v>
      </c>
      <c r="L103" s="23">
        <f ca="1">'public finance'!A101/'normal case'!D102</f>
        <v>0.2</v>
      </c>
      <c r="M103" s="21" t="str">
        <f>IF(controls!$B$44=0,"",'normal case'!AC102)</f>
        <v/>
      </c>
      <c r="N103" s="21" t="str">
        <f>IF(controls!$B$44=0,"",'normal case'!AF102)</f>
        <v/>
      </c>
      <c r="O103" s="203" t="str">
        <f>IF(controls!$B$44=0,"",'external balance'!D102)</f>
        <v/>
      </c>
      <c r="P103" s="203" t="str">
        <f>IF(controls!$B$44=0,"",'external balance'!F102)</f>
        <v/>
      </c>
      <c r="Q103" s="202" t="str">
        <f>IF(controls!$B$44=0,"",'external balance'!H102)</f>
        <v/>
      </c>
    </row>
    <row r="104" spans="1:30" ht="14" thickTop="1" thickBot="1">
      <c r="A104" s="32">
        <v>101</v>
      </c>
      <c r="B104" s="20">
        <f ca="1">('normal case'!D103-'normal case'!B103)/'normal case'!B103</f>
        <v>0</v>
      </c>
      <c r="C104" s="26">
        <f ca="1">'normal case'!D103</f>
        <v>100</v>
      </c>
      <c r="D104" s="27">
        <f ca="1">'normal case'!C103</f>
        <v>0</v>
      </c>
      <c r="E104" s="25">
        <f ca="1">'normal case'!L103/100</f>
        <v>0.02</v>
      </c>
      <c r="F104" s="28">
        <f ca="1">'normal case'!N103/100</f>
        <v>0.06</v>
      </c>
      <c r="G104" s="28">
        <f ca="1">'normal case'!M103/100</f>
        <v>0.04</v>
      </c>
      <c r="H104" s="28">
        <f ca="1">'public finance'!D102</f>
        <v>0</v>
      </c>
      <c r="I104" s="23">
        <f ca="1">'public finance'!E102</f>
        <v>0</v>
      </c>
      <c r="J104" s="153">
        <f ca="1">'public finance'!H102</f>
        <v>0</v>
      </c>
      <c r="K104" s="20">
        <f ca="1">'public finance'!C102/'normal case'!D103</f>
        <v>0.2</v>
      </c>
      <c r="L104" s="23">
        <f ca="1">'public finance'!A102/'normal case'!D103</f>
        <v>0.2</v>
      </c>
      <c r="M104" s="21" t="str">
        <f>IF(controls!$B$44=0,"",'normal case'!AC103)</f>
        <v/>
      </c>
      <c r="N104" s="21" t="str">
        <f>IF(controls!$B$44=0,"",'normal case'!AF103)</f>
        <v/>
      </c>
      <c r="O104" s="203" t="str">
        <f>IF(controls!$B$44=0,"",'external balance'!D103)</f>
        <v/>
      </c>
      <c r="P104" s="203" t="str">
        <f>IF(controls!$B$44=0,"",'external balance'!F103)</f>
        <v/>
      </c>
      <c r="Q104" s="202" t="str">
        <f>IF(controls!$B$44=0,"",'external balance'!H103)</f>
        <v/>
      </c>
    </row>
    <row r="105" spans="1:30" ht="14" thickTop="1" thickBot="1">
      <c r="A105" s="32">
        <v>102</v>
      </c>
      <c r="B105" s="20">
        <f ca="1">('normal case'!D104-'normal case'!B104)/'normal case'!B104</f>
        <v>0</v>
      </c>
      <c r="C105" s="26">
        <f ca="1">'normal case'!D104</f>
        <v>100</v>
      </c>
      <c r="D105" s="27">
        <f ca="1">'normal case'!C104</f>
        <v>0</v>
      </c>
      <c r="E105" s="25">
        <f ca="1">'normal case'!L104/100</f>
        <v>0.02</v>
      </c>
      <c r="F105" s="28">
        <f ca="1">'normal case'!N104/100</f>
        <v>0.06</v>
      </c>
      <c r="G105" s="28">
        <f ca="1">'normal case'!M104/100</f>
        <v>0.04</v>
      </c>
      <c r="H105" s="28">
        <f ca="1">'public finance'!D103</f>
        <v>0</v>
      </c>
      <c r="I105" s="23">
        <f ca="1">'public finance'!E103</f>
        <v>0</v>
      </c>
      <c r="J105" s="153">
        <f ca="1">'public finance'!H103</f>
        <v>0</v>
      </c>
      <c r="K105" s="20">
        <f ca="1">'public finance'!C103/'normal case'!D104</f>
        <v>0.2</v>
      </c>
      <c r="L105" s="23">
        <f ca="1">'public finance'!A103/'normal case'!D104</f>
        <v>0.2</v>
      </c>
      <c r="M105" s="21" t="str">
        <f>IF(controls!$B$44=0,"",'normal case'!AC104)</f>
        <v/>
      </c>
      <c r="N105" s="21" t="str">
        <f>IF(controls!$B$44=0,"",'normal case'!AF104)</f>
        <v/>
      </c>
      <c r="O105" s="203" t="str">
        <f>IF(controls!$B$44=0,"",'external balance'!D104)</f>
        <v/>
      </c>
      <c r="P105" s="203" t="str">
        <f>IF(controls!$B$44=0,"",'external balance'!F104)</f>
        <v/>
      </c>
      <c r="Q105" s="202" t="str">
        <f>IF(controls!$B$44=0,"",'external balance'!H104)</f>
        <v/>
      </c>
    </row>
    <row r="106" spans="1:30" ht="14" thickTop="1" thickBot="1">
      <c r="A106" s="32">
        <v>103</v>
      </c>
      <c r="B106" s="20">
        <f ca="1">('normal case'!D105-'normal case'!B105)/'normal case'!B105</f>
        <v>0</v>
      </c>
      <c r="C106" s="26">
        <f ca="1">'normal case'!D105</f>
        <v>100</v>
      </c>
      <c r="D106" s="27">
        <f ca="1">'normal case'!C105</f>
        <v>0</v>
      </c>
      <c r="E106" s="25">
        <f ca="1">'normal case'!L105/100</f>
        <v>0.02</v>
      </c>
      <c r="F106" s="28">
        <f ca="1">'normal case'!N105/100</f>
        <v>0.06</v>
      </c>
      <c r="G106" s="28">
        <f ca="1">'normal case'!M105/100</f>
        <v>0.04</v>
      </c>
      <c r="H106" s="28">
        <f ca="1">'public finance'!D104</f>
        <v>0</v>
      </c>
      <c r="I106" s="23">
        <f ca="1">'public finance'!E104</f>
        <v>0</v>
      </c>
      <c r="J106" s="153">
        <f ca="1">'public finance'!H104</f>
        <v>0</v>
      </c>
      <c r="K106" s="20">
        <f ca="1">'public finance'!C104/'normal case'!D105</f>
        <v>0.2</v>
      </c>
      <c r="L106" s="23">
        <f ca="1">'public finance'!A104/'normal case'!D105</f>
        <v>0.2</v>
      </c>
      <c r="M106" s="21" t="str">
        <f>IF(controls!$B$44=0,"",'normal case'!AC105)</f>
        <v/>
      </c>
      <c r="N106" s="21" t="str">
        <f>IF(controls!$B$44=0,"",'normal case'!AF105)</f>
        <v/>
      </c>
      <c r="O106" s="203" t="str">
        <f>IF(controls!$B$44=0,"",'external balance'!D105)</f>
        <v/>
      </c>
      <c r="P106" s="203" t="str">
        <f>IF(controls!$B$44=0,"",'external balance'!F105)</f>
        <v/>
      </c>
      <c r="Q106" s="202" t="str">
        <f>IF(controls!$B$44=0,"",'external balance'!H105)</f>
        <v/>
      </c>
    </row>
    <row r="107" spans="1:30" ht="14" thickTop="1" thickBot="1">
      <c r="A107" s="32">
        <v>104</v>
      </c>
      <c r="B107" s="20">
        <f ca="1">('normal case'!D106-'normal case'!B106)/'normal case'!B106</f>
        <v>0</v>
      </c>
      <c r="C107" s="26">
        <f ca="1">'normal case'!D106</f>
        <v>100</v>
      </c>
      <c r="D107" s="27">
        <f ca="1">'normal case'!C106</f>
        <v>0</v>
      </c>
      <c r="E107" s="25">
        <f ca="1">'normal case'!L106/100</f>
        <v>0.02</v>
      </c>
      <c r="F107" s="28">
        <f ca="1">'normal case'!N106/100</f>
        <v>0.06</v>
      </c>
      <c r="G107" s="28">
        <f ca="1">'normal case'!M106/100</f>
        <v>0.04</v>
      </c>
      <c r="H107" s="28">
        <f ca="1">'public finance'!D105</f>
        <v>0</v>
      </c>
      <c r="I107" s="23">
        <f ca="1">'public finance'!E105</f>
        <v>0</v>
      </c>
      <c r="J107" s="153">
        <f ca="1">'public finance'!H105</f>
        <v>0</v>
      </c>
      <c r="K107" s="20">
        <f ca="1">'public finance'!C105/'normal case'!D106</f>
        <v>0.2</v>
      </c>
      <c r="L107" s="23">
        <f ca="1">'public finance'!A105/'normal case'!D106</f>
        <v>0.2</v>
      </c>
      <c r="M107" s="21" t="str">
        <f>IF(controls!$B$44=0,"",'normal case'!AC106)</f>
        <v/>
      </c>
      <c r="N107" s="21" t="str">
        <f>IF(controls!$B$44=0,"",'normal case'!AF106)</f>
        <v/>
      </c>
      <c r="O107" s="203" t="str">
        <f>IF(controls!$B$44=0,"",'external balance'!D106)</f>
        <v/>
      </c>
      <c r="P107" s="203" t="str">
        <f>IF(controls!$B$44=0,"",'external balance'!F106)</f>
        <v/>
      </c>
      <c r="Q107" s="202" t="str">
        <f>IF(controls!$B$44=0,"",'external balance'!H106)</f>
        <v/>
      </c>
    </row>
    <row r="108" spans="1:30" ht="14" thickTop="1" thickBot="1">
      <c r="A108" s="32">
        <v>105</v>
      </c>
      <c r="B108" s="20">
        <f ca="1">('normal case'!D107-'normal case'!B107)/'normal case'!B107</f>
        <v>0</v>
      </c>
      <c r="C108" s="26">
        <f ca="1">'normal case'!D107</f>
        <v>100</v>
      </c>
      <c r="D108" s="27">
        <f ca="1">'normal case'!C107</f>
        <v>0</v>
      </c>
      <c r="E108" s="25">
        <f ca="1">'normal case'!L107/100</f>
        <v>0.02</v>
      </c>
      <c r="F108" s="28">
        <f ca="1">'normal case'!N107/100</f>
        <v>0.06</v>
      </c>
      <c r="G108" s="28">
        <f ca="1">'normal case'!M107/100</f>
        <v>0.04</v>
      </c>
      <c r="H108" s="28">
        <f ca="1">'public finance'!D106</f>
        <v>0</v>
      </c>
      <c r="I108" s="23">
        <f ca="1">'public finance'!E106</f>
        <v>0</v>
      </c>
      <c r="J108" s="153">
        <f ca="1">'public finance'!H106</f>
        <v>0</v>
      </c>
      <c r="K108" s="20">
        <f ca="1">'public finance'!C106/'normal case'!D107</f>
        <v>0.2</v>
      </c>
      <c r="L108" s="23">
        <f ca="1">'public finance'!A106/'normal case'!D107</f>
        <v>0.2</v>
      </c>
      <c r="M108" s="21" t="str">
        <f>IF(controls!$B$44=0,"",'normal case'!AC107)</f>
        <v/>
      </c>
      <c r="N108" s="21" t="str">
        <f>IF(controls!$B$44=0,"",'normal case'!AF107)</f>
        <v/>
      </c>
      <c r="O108" s="203" t="str">
        <f>IF(controls!$B$44=0,"",'external balance'!D107)</f>
        <v/>
      </c>
      <c r="P108" s="203" t="str">
        <f>IF(controls!$B$44=0,"",'external balance'!F107)</f>
        <v/>
      </c>
      <c r="Q108" s="202" t="str">
        <f>IF(controls!$B$44=0,"",'external balance'!H107)</f>
        <v/>
      </c>
    </row>
    <row r="109" spans="1:30" ht="14" thickTop="1" thickBot="1">
      <c r="A109" s="32">
        <v>106</v>
      </c>
      <c r="B109" s="20">
        <f ca="1">('normal case'!D108-'normal case'!B108)/'normal case'!B108</f>
        <v>0</v>
      </c>
      <c r="C109" s="26">
        <f ca="1">'normal case'!D108</f>
        <v>100</v>
      </c>
      <c r="D109" s="27">
        <f ca="1">'normal case'!C108</f>
        <v>0</v>
      </c>
      <c r="E109" s="25">
        <f ca="1">'normal case'!L108/100</f>
        <v>0.02</v>
      </c>
      <c r="F109" s="28">
        <f ca="1">'normal case'!N108/100</f>
        <v>0.06</v>
      </c>
      <c r="G109" s="28">
        <f ca="1">'normal case'!M108/100</f>
        <v>0.04</v>
      </c>
      <c r="H109" s="28">
        <f ca="1">'public finance'!D107</f>
        <v>0</v>
      </c>
      <c r="I109" s="23">
        <f ca="1">'public finance'!E107</f>
        <v>0</v>
      </c>
      <c r="J109" s="153">
        <f ca="1">'public finance'!H107</f>
        <v>0</v>
      </c>
      <c r="K109" s="20">
        <f ca="1">'public finance'!C107/'normal case'!D108</f>
        <v>0.2</v>
      </c>
      <c r="L109" s="23">
        <f ca="1">'public finance'!A107/'normal case'!D108</f>
        <v>0.2</v>
      </c>
      <c r="M109" s="21" t="str">
        <f>IF(controls!$B$44=0,"",'normal case'!AC108)</f>
        <v/>
      </c>
      <c r="N109" s="21" t="str">
        <f>IF(controls!$B$44=0,"",'normal case'!AF108)</f>
        <v/>
      </c>
      <c r="O109" s="203" t="str">
        <f>IF(controls!$B$44=0,"",'external balance'!D108)</f>
        <v/>
      </c>
      <c r="P109" s="203" t="str">
        <f>IF(controls!$B$44=0,"",'external balance'!F108)</f>
        <v/>
      </c>
      <c r="Q109" s="202" t="str">
        <f>IF(controls!$B$44=0,"",'external balance'!H108)</f>
        <v/>
      </c>
    </row>
    <row r="110" spans="1:30" ht="14" thickTop="1" thickBot="1">
      <c r="A110" s="32">
        <v>107</v>
      </c>
      <c r="B110" s="20">
        <f ca="1">('normal case'!D109-'normal case'!B109)/'normal case'!B109</f>
        <v>0</v>
      </c>
      <c r="C110" s="26">
        <f ca="1">'normal case'!D109</f>
        <v>100</v>
      </c>
      <c r="D110" s="27">
        <f ca="1">'normal case'!C109</f>
        <v>0</v>
      </c>
      <c r="E110" s="25">
        <f ca="1">'normal case'!L109/100</f>
        <v>0.02</v>
      </c>
      <c r="F110" s="28">
        <f ca="1">'normal case'!N109/100</f>
        <v>0.06</v>
      </c>
      <c r="G110" s="28">
        <f ca="1">'normal case'!M109/100</f>
        <v>0.04</v>
      </c>
      <c r="H110" s="28">
        <f ca="1">'public finance'!D108</f>
        <v>0</v>
      </c>
      <c r="I110" s="23">
        <f ca="1">'public finance'!E108</f>
        <v>0</v>
      </c>
      <c r="J110" s="153">
        <f ca="1">'public finance'!H108</f>
        <v>0</v>
      </c>
      <c r="K110" s="20">
        <f ca="1">'public finance'!C108/'normal case'!D109</f>
        <v>0.2</v>
      </c>
      <c r="L110" s="23">
        <f ca="1">'public finance'!A108/'normal case'!D109</f>
        <v>0.2</v>
      </c>
      <c r="M110" s="21" t="str">
        <f>IF(controls!$B$44=0,"",'normal case'!AC109)</f>
        <v/>
      </c>
      <c r="N110" s="21" t="str">
        <f>IF(controls!$B$44=0,"",'normal case'!AF109)</f>
        <v/>
      </c>
      <c r="O110" s="203" t="str">
        <f>IF(controls!$B$44=0,"",'external balance'!D109)</f>
        <v/>
      </c>
      <c r="P110" s="203" t="str">
        <f>IF(controls!$B$44=0,"",'external balance'!F109)</f>
        <v/>
      </c>
      <c r="Q110" s="202" t="str">
        <f>IF(controls!$B$44=0,"",'external balance'!H109)</f>
        <v/>
      </c>
    </row>
    <row r="111" spans="1:30" ht="14" thickTop="1" thickBot="1">
      <c r="A111" s="32">
        <v>108</v>
      </c>
      <c r="B111" s="20">
        <f ca="1">('normal case'!D110-'normal case'!B110)/'normal case'!B110</f>
        <v>0</v>
      </c>
      <c r="C111" s="26">
        <f ca="1">'normal case'!D110</f>
        <v>100</v>
      </c>
      <c r="D111" s="27">
        <f ca="1">'normal case'!C110</f>
        <v>0</v>
      </c>
      <c r="E111" s="25">
        <f ca="1">'normal case'!L110/100</f>
        <v>0.02</v>
      </c>
      <c r="F111" s="28">
        <f ca="1">'normal case'!N110/100</f>
        <v>0.06</v>
      </c>
      <c r="G111" s="28">
        <f ca="1">'normal case'!M110/100</f>
        <v>0.04</v>
      </c>
      <c r="H111" s="28">
        <f ca="1">'public finance'!D109</f>
        <v>0</v>
      </c>
      <c r="I111" s="23">
        <f ca="1">'public finance'!E109</f>
        <v>0</v>
      </c>
      <c r="J111" s="153">
        <f ca="1">'public finance'!H109</f>
        <v>0</v>
      </c>
      <c r="K111" s="20">
        <f ca="1">'public finance'!C109/'normal case'!D110</f>
        <v>0.2</v>
      </c>
      <c r="L111" s="23">
        <f ca="1">'public finance'!A109/'normal case'!D110</f>
        <v>0.2</v>
      </c>
      <c r="M111" s="21" t="str">
        <f>IF(controls!$B$44=0,"",'normal case'!AC110)</f>
        <v/>
      </c>
      <c r="N111" s="21" t="str">
        <f>IF(controls!$B$44=0,"",'normal case'!AF110)</f>
        <v/>
      </c>
      <c r="O111" s="203" t="str">
        <f>IF(controls!$B$44=0,"",'external balance'!D110)</f>
        <v/>
      </c>
      <c r="P111" s="203" t="str">
        <f>IF(controls!$B$44=0,"",'external balance'!F110)</f>
        <v/>
      </c>
      <c r="Q111" s="202" t="str">
        <f>IF(controls!$B$44=0,"",'external balance'!H110)</f>
        <v/>
      </c>
    </row>
    <row r="112" spans="1:30" ht="14" thickTop="1" thickBot="1">
      <c r="A112" s="32">
        <v>109</v>
      </c>
      <c r="B112" s="20">
        <f ca="1">('normal case'!D111-'normal case'!B111)/'normal case'!B111</f>
        <v>0</v>
      </c>
      <c r="C112" s="26">
        <f ca="1">'normal case'!D111</f>
        <v>100</v>
      </c>
      <c r="D112" s="27">
        <f ca="1">'normal case'!C111</f>
        <v>0</v>
      </c>
      <c r="E112" s="25">
        <f ca="1">'normal case'!L111/100</f>
        <v>0.02</v>
      </c>
      <c r="F112" s="28">
        <f ca="1">'normal case'!N111/100</f>
        <v>0.06</v>
      </c>
      <c r="G112" s="28">
        <f ca="1">'normal case'!M111/100</f>
        <v>0.04</v>
      </c>
      <c r="H112" s="28">
        <f ca="1">'public finance'!D110</f>
        <v>0</v>
      </c>
      <c r="I112" s="23">
        <f ca="1">'public finance'!E110</f>
        <v>0</v>
      </c>
      <c r="J112" s="153">
        <f ca="1">'public finance'!H110</f>
        <v>0</v>
      </c>
      <c r="K112" s="20">
        <f ca="1">'public finance'!C110/'normal case'!D111</f>
        <v>0.2</v>
      </c>
      <c r="L112" s="23">
        <f ca="1">'public finance'!A110/'normal case'!D111</f>
        <v>0.2</v>
      </c>
      <c r="M112" s="21" t="str">
        <f>IF(controls!$B$44=0,"",'normal case'!AC111)</f>
        <v/>
      </c>
      <c r="N112" s="21" t="str">
        <f>IF(controls!$B$44=0,"",'normal case'!AF111)</f>
        <v/>
      </c>
      <c r="O112" s="203" t="str">
        <f>IF(controls!$B$44=0,"",'external balance'!D111)</f>
        <v/>
      </c>
      <c r="P112" s="203" t="str">
        <f>IF(controls!$B$44=0,"",'external balance'!F111)</f>
        <v/>
      </c>
      <c r="Q112" s="202" t="str">
        <f>IF(controls!$B$44=0,"",'external balance'!H111)</f>
        <v/>
      </c>
    </row>
    <row r="113" spans="1:17" ht="14" thickTop="1" thickBot="1">
      <c r="A113" s="32">
        <v>110</v>
      </c>
      <c r="B113" s="20">
        <f ca="1">('normal case'!D112-'normal case'!B112)/'normal case'!B112</f>
        <v>0</v>
      </c>
      <c r="C113" s="26">
        <f ca="1">'normal case'!D112</f>
        <v>100</v>
      </c>
      <c r="D113" s="27">
        <f ca="1">'normal case'!C112</f>
        <v>0</v>
      </c>
      <c r="E113" s="25">
        <f ca="1">'normal case'!L112/100</f>
        <v>0.02</v>
      </c>
      <c r="F113" s="28">
        <f ca="1">'normal case'!N112/100</f>
        <v>0.06</v>
      </c>
      <c r="G113" s="28">
        <f ca="1">'normal case'!M112/100</f>
        <v>0.04</v>
      </c>
      <c r="H113" s="28">
        <f ca="1">'public finance'!D111</f>
        <v>0</v>
      </c>
      <c r="I113" s="23">
        <f ca="1">'public finance'!E111</f>
        <v>0</v>
      </c>
      <c r="J113" s="153">
        <f ca="1">'public finance'!H111</f>
        <v>0</v>
      </c>
      <c r="K113" s="20">
        <f ca="1">'public finance'!C111/'normal case'!D112</f>
        <v>0.2</v>
      </c>
      <c r="L113" s="23">
        <f ca="1">'public finance'!A111/'normal case'!D112</f>
        <v>0.2</v>
      </c>
      <c r="M113" s="21" t="str">
        <f>IF(controls!$B$44=0,"",'normal case'!AC112)</f>
        <v/>
      </c>
      <c r="N113" s="21" t="str">
        <f>IF(controls!$B$44=0,"",'normal case'!AF112)</f>
        <v/>
      </c>
      <c r="O113" s="203" t="str">
        <f>IF(controls!$B$44=0,"",'external balance'!D112)</f>
        <v/>
      </c>
      <c r="P113" s="203" t="str">
        <f>IF(controls!$B$44=0,"",'external balance'!F112)</f>
        <v/>
      </c>
      <c r="Q113" s="202" t="str">
        <f>IF(controls!$B$44=0,"",'external balance'!H112)</f>
        <v/>
      </c>
    </row>
    <row r="114" spans="1:17" ht="14" thickTop="1" thickBot="1">
      <c r="A114" s="32">
        <v>111</v>
      </c>
      <c r="B114" s="20">
        <f ca="1">('normal case'!D113-'normal case'!B113)/'normal case'!B113</f>
        <v>0</v>
      </c>
      <c r="C114" s="26">
        <f ca="1">'normal case'!D113</f>
        <v>100</v>
      </c>
      <c r="D114" s="27">
        <f ca="1">'normal case'!C113</f>
        <v>0</v>
      </c>
      <c r="E114" s="25">
        <f ca="1">'normal case'!L113/100</f>
        <v>0.02</v>
      </c>
      <c r="F114" s="28">
        <f ca="1">'normal case'!N113/100</f>
        <v>0.06</v>
      </c>
      <c r="G114" s="28">
        <f ca="1">'normal case'!M113/100</f>
        <v>0.04</v>
      </c>
      <c r="H114" s="28">
        <f ca="1">'public finance'!D112</f>
        <v>0</v>
      </c>
      <c r="I114" s="23">
        <f ca="1">'public finance'!E112</f>
        <v>0</v>
      </c>
      <c r="J114" s="153">
        <f ca="1">'public finance'!H112</f>
        <v>0</v>
      </c>
      <c r="K114" s="20">
        <f ca="1">'public finance'!C112/'normal case'!D113</f>
        <v>0.2</v>
      </c>
      <c r="L114" s="23">
        <f ca="1">'public finance'!A112/'normal case'!D113</f>
        <v>0.2</v>
      </c>
      <c r="M114" s="21" t="str">
        <f>IF(controls!$B$44=0,"",'normal case'!AC113)</f>
        <v/>
      </c>
      <c r="N114" s="21" t="str">
        <f>IF(controls!$B$44=0,"",'normal case'!AF113)</f>
        <v/>
      </c>
      <c r="O114" s="203" t="str">
        <f>IF(controls!$B$44=0,"",'external balance'!D113)</f>
        <v/>
      </c>
      <c r="P114" s="203" t="str">
        <f>IF(controls!$B$44=0,"",'external balance'!F113)</f>
        <v/>
      </c>
      <c r="Q114" s="202" t="str">
        <f>IF(controls!$B$44=0,"",'external balance'!H113)</f>
        <v/>
      </c>
    </row>
    <row r="115" spans="1:17" ht="14" thickTop="1" thickBot="1">
      <c r="A115" s="32">
        <v>112</v>
      </c>
      <c r="B115" s="20">
        <f ca="1">('normal case'!D114-'normal case'!B114)/'normal case'!B114</f>
        <v>0</v>
      </c>
      <c r="C115" s="26">
        <f ca="1">'normal case'!D114</f>
        <v>100</v>
      </c>
      <c r="D115" s="27">
        <f ca="1">'normal case'!C114</f>
        <v>0</v>
      </c>
      <c r="E115" s="25">
        <f ca="1">'normal case'!L114/100</f>
        <v>0.02</v>
      </c>
      <c r="F115" s="28">
        <f ca="1">'normal case'!N114/100</f>
        <v>0.06</v>
      </c>
      <c r="G115" s="28">
        <f ca="1">'normal case'!M114/100</f>
        <v>0.04</v>
      </c>
      <c r="H115" s="28">
        <f ca="1">'public finance'!D113</f>
        <v>0</v>
      </c>
      <c r="I115" s="23">
        <f ca="1">'public finance'!E113</f>
        <v>0</v>
      </c>
      <c r="J115" s="153">
        <f ca="1">'public finance'!H113</f>
        <v>0</v>
      </c>
      <c r="K115" s="20">
        <f ca="1">'public finance'!C113/'normal case'!D114</f>
        <v>0.2</v>
      </c>
      <c r="L115" s="23">
        <f ca="1">'public finance'!A113/'normal case'!D114</f>
        <v>0.2</v>
      </c>
      <c r="M115" s="21" t="str">
        <f>IF(controls!$B$44=0,"",'normal case'!AC114)</f>
        <v/>
      </c>
      <c r="N115" s="21" t="str">
        <f>IF(controls!$B$44=0,"",'normal case'!AF114)</f>
        <v/>
      </c>
      <c r="O115" s="203" t="str">
        <f>IF(controls!$B$44=0,"",'external balance'!D114)</f>
        <v/>
      </c>
      <c r="P115" s="203" t="str">
        <f>IF(controls!$B$44=0,"",'external balance'!F114)</f>
        <v/>
      </c>
      <c r="Q115" s="202" t="str">
        <f>IF(controls!$B$44=0,"",'external balance'!H114)</f>
        <v/>
      </c>
    </row>
    <row r="116" spans="1:17" ht="14" thickTop="1" thickBot="1">
      <c r="A116" s="32">
        <v>113</v>
      </c>
      <c r="B116" s="20">
        <f ca="1">('normal case'!D115-'normal case'!B115)/'normal case'!B115</f>
        <v>0</v>
      </c>
      <c r="C116" s="26">
        <f ca="1">'normal case'!D115</f>
        <v>100</v>
      </c>
      <c r="D116" s="27">
        <f ca="1">'normal case'!C115</f>
        <v>0</v>
      </c>
      <c r="E116" s="25">
        <f ca="1">'normal case'!L115/100</f>
        <v>0.02</v>
      </c>
      <c r="F116" s="28">
        <f ca="1">'normal case'!N115/100</f>
        <v>0.06</v>
      </c>
      <c r="G116" s="28">
        <f ca="1">'normal case'!M115/100</f>
        <v>0.04</v>
      </c>
      <c r="H116" s="28">
        <f ca="1">'public finance'!D114</f>
        <v>0</v>
      </c>
      <c r="I116" s="23">
        <f ca="1">'public finance'!E114</f>
        <v>0</v>
      </c>
      <c r="J116" s="153">
        <f ca="1">'public finance'!H114</f>
        <v>0</v>
      </c>
      <c r="K116" s="20">
        <f ca="1">'public finance'!C114/'normal case'!D115</f>
        <v>0.2</v>
      </c>
      <c r="L116" s="23">
        <f ca="1">'public finance'!A114/'normal case'!D115</f>
        <v>0.2</v>
      </c>
      <c r="M116" s="21" t="str">
        <f>IF(controls!$B$44=0,"",'normal case'!AC115)</f>
        <v/>
      </c>
      <c r="N116" s="21" t="str">
        <f>IF(controls!$B$44=0,"",'normal case'!AF115)</f>
        <v/>
      </c>
      <c r="O116" s="203" t="str">
        <f>IF(controls!$B$44=0,"",'external balance'!D115)</f>
        <v/>
      </c>
      <c r="P116" s="203" t="str">
        <f>IF(controls!$B$44=0,"",'external balance'!F115)</f>
        <v/>
      </c>
      <c r="Q116" s="202" t="str">
        <f>IF(controls!$B$44=0,"",'external balance'!H115)</f>
        <v/>
      </c>
    </row>
    <row r="117" spans="1:17" ht="14" thickTop="1" thickBot="1">
      <c r="A117" s="32">
        <v>114</v>
      </c>
      <c r="B117" s="20">
        <f ca="1">('normal case'!D116-'normal case'!B116)/'normal case'!B116</f>
        <v>0</v>
      </c>
      <c r="C117" s="26">
        <f ca="1">'normal case'!D116</f>
        <v>100</v>
      </c>
      <c r="D117" s="27">
        <f ca="1">'normal case'!C116</f>
        <v>0</v>
      </c>
      <c r="E117" s="25">
        <f ca="1">'normal case'!L116/100</f>
        <v>0.02</v>
      </c>
      <c r="F117" s="28">
        <f ca="1">'normal case'!N116/100</f>
        <v>0.06</v>
      </c>
      <c r="G117" s="28">
        <f ca="1">'normal case'!M116/100</f>
        <v>0.04</v>
      </c>
      <c r="H117" s="28">
        <f ca="1">'public finance'!D115</f>
        <v>0</v>
      </c>
      <c r="I117" s="23">
        <f ca="1">'public finance'!E115</f>
        <v>0</v>
      </c>
      <c r="J117" s="153">
        <f ca="1">'public finance'!H115</f>
        <v>0</v>
      </c>
      <c r="K117" s="20">
        <f ca="1">'public finance'!C115/'normal case'!D116</f>
        <v>0.2</v>
      </c>
      <c r="L117" s="23">
        <f ca="1">'public finance'!A115/'normal case'!D116</f>
        <v>0.2</v>
      </c>
      <c r="M117" s="21" t="str">
        <f>IF(controls!$B$44=0,"",'normal case'!AC116)</f>
        <v/>
      </c>
      <c r="N117" s="21" t="str">
        <f>IF(controls!$B$44=0,"",'normal case'!AF116)</f>
        <v/>
      </c>
      <c r="O117" s="203" t="str">
        <f>IF(controls!$B$44=0,"",'external balance'!D116)</f>
        <v/>
      </c>
      <c r="P117" s="203" t="str">
        <f>IF(controls!$B$44=0,"",'external balance'!F116)</f>
        <v/>
      </c>
      <c r="Q117" s="202" t="str">
        <f>IF(controls!$B$44=0,"",'external balance'!H116)</f>
        <v/>
      </c>
    </row>
    <row r="118" spans="1:17" ht="14" thickTop="1" thickBot="1">
      <c r="A118" s="32">
        <v>115</v>
      </c>
      <c r="B118" s="20">
        <f ca="1">('normal case'!D117-'normal case'!B117)/'normal case'!B117</f>
        <v>0</v>
      </c>
      <c r="C118" s="26">
        <f ca="1">'normal case'!D117</f>
        <v>100</v>
      </c>
      <c r="D118" s="27">
        <f ca="1">'normal case'!C117</f>
        <v>0</v>
      </c>
      <c r="E118" s="25">
        <f ca="1">'normal case'!L117/100</f>
        <v>0.02</v>
      </c>
      <c r="F118" s="28">
        <f ca="1">'normal case'!N117/100</f>
        <v>0.06</v>
      </c>
      <c r="G118" s="28">
        <f ca="1">'normal case'!M117/100</f>
        <v>0.04</v>
      </c>
      <c r="H118" s="28">
        <f ca="1">'public finance'!D116</f>
        <v>0</v>
      </c>
      <c r="I118" s="23">
        <f ca="1">'public finance'!E116</f>
        <v>0</v>
      </c>
      <c r="J118" s="153">
        <f ca="1">'public finance'!H116</f>
        <v>0</v>
      </c>
      <c r="K118" s="20">
        <f ca="1">'public finance'!C116/'normal case'!D117</f>
        <v>0.2</v>
      </c>
      <c r="L118" s="23">
        <f ca="1">'public finance'!A116/'normal case'!D117</f>
        <v>0.2</v>
      </c>
      <c r="M118" s="21" t="str">
        <f>IF(controls!$B$44=0,"",'normal case'!AC117)</f>
        <v/>
      </c>
      <c r="N118" s="21" t="str">
        <f>IF(controls!$B$44=0,"",'normal case'!AF117)</f>
        <v/>
      </c>
      <c r="O118" s="203" t="str">
        <f>IF(controls!$B$44=0,"",'external balance'!D117)</f>
        <v/>
      </c>
      <c r="P118" s="203" t="str">
        <f>IF(controls!$B$44=0,"",'external balance'!F117)</f>
        <v/>
      </c>
      <c r="Q118" s="202" t="str">
        <f>IF(controls!$B$44=0,"",'external balance'!H117)</f>
        <v/>
      </c>
    </row>
    <row r="119" spans="1:17" ht="14" thickTop="1" thickBot="1">
      <c r="A119" s="32">
        <v>116</v>
      </c>
      <c r="B119" s="20">
        <f ca="1">('normal case'!D118-'normal case'!B118)/'normal case'!B118</f>
        <v>0</v>
      </c>
      <c r="C119" s="26">
        <f ca="1">'normal case'!D118</f>
        <v>100</v>
      </c>
      <c r="D119" s="27">
        <f ca="1">'normal case'!C118</f>
        <v>0</v>
      </c>
      <c r="E119" s="25">
        <f ca="1">'normal case'!L118/100</f>
        <v>0.02</v>
      </c>
      <c r="F119" s="28">
        <f ca="1">'normal case'!N118/100</f>
        <v>0.06</v>
      </c>
      <c r="G119" s="28">
        <f ca="1">'normal case'!M118/100</f>
        <v>0.04</v>
      </c>
      <c r="H119" s="28">
        <f ca="1">'public finance'!D117</f>
        <v>0</v>
      </c>
      <c r="I119" s="23">
        <f ca="1">'public finance'!E117</f>
        <v>0</v>
      </c>
      <c r="J119" s="153">
        <f ca="1">'public finance'!H117</f>
        <v>0</v>
      </c>
      <c r="K119" s="20">
        <f ca="1">'public finance'!C117/'normal case'!D118</f>
        <v>0.2</v>
      </c>
      <c r="L119" s="23">
        <f ca="1">'public finance'!A117/'normal case'!D118</f>
        <v>0.2</v>
      </c>
      <c r="M119" s="21" t="str">
        <f>IF(controls!$B$44=0,"",'normal case'!AC118)</f>
        <v/>
      </c>
      <c r="N119" s="21" t="str">
        <f>IF(controls!$B$44=0,"",'normal case'!AF118)</f>
        <v/>
      </c>
      <c r="O119" s="203" t="str">
        <f>IF(controls!$B$44=0,"",'external balance'!D118)</f>
        <v/>
      </c>
      <c r="P119" s="203" t="str">
        <f>IF(controls!$B$44=0,"",'external balance'!F118)</f>
        <v/>
      </c>
      <c r="Q119" s="202" t="str">
        <f>IF(controls!$B$44=0,"",'external balance'!H118)</f>
        <v/>
      </c>
    </row>
    <row r="120" spans="1:17" ht="14" thickTop="1" thickBot="1">
      <c r="A120" s="32">
        <v>117</v>
      </c>
      <c r="B120" s="20">
        <f ca="1">('normal case'!D119-'normal case'!B119)/'normal case'!B119</f>
        <v>0</v>
      </c>
      <c r="C120" s="26">
        <f ca="1">'normal case'!D119</f>
        <v>100</v>
      </c>
      <c r="D120" s="27">
        <f ca="1">'normal case'!C119</f>
        <v>0</v>
      </c>
      <c r="E120" s="25">
        <f ca="1">'normal case'!L119/100</f>
        <v>0.02</v>
      </c>
      <c r="F120" s="28">
        <f ca="1">'normal case'!N119/100</f>
        <v>0.06</v>
      </c>
      <c r="G120" s="28">
        <f ca="1">'normal case'!M119/100</f>
        <v>0.04</v>
      </c>
      <c r="H120" s="28">
        <f ca="1">'public finance'!D118</f>
        <v>0</v>
      </c>
      <c r="I120" s="23">
        <f ca="1">'public finance'!E118</f>
        <v>0</v>
      </c>
      <c r="J120" s="153">
        <f ca="1">'public finance'!H118</f>
        <v>0</v>
      </c>
      <c r="K120" s="20">
        <f ca="1">'public finance'!C118/'normal case'!D119</f>
        <v>0.2</v>
      </c>
      <c r="L120" s="23">
        <f ca="1">'public finance'!A118/'normal case'!D119</f>
        <v>0.2</v>
      </c>
      <c r="M120" s="21" t="str">
        <f>IF(controls!$B$44=0,"",'normal case'!AC119)</f>
        <v/>
      </c>
      <c r="N120" s="21" t="str">
        <f>IF(controls!$B$44=0,"",'normal case'!AF119)</f>
        <v/>
      </c>
      <c r="O120" s="203" t="str">
        <f>IF(controls!$B$44=0,"",'external balance'!D119)</f>
        <v/>
      </c>
      <c r="P120" s="203" t="str">
        <f>IF(controls!$B$44=0,"",'external balance'!F119)</f>
        <v/>
      </c>
      <c r="Q120" s="202" t="str">
        <f>IF(controls!$B$44=0,"",'external balance'!H119)</f>
        <v/>
      </c>
    </row>
    <row r="121" spans="1:17" ht="14" thickTop="1" thickBot="1">
      <c r="A121" s="32">
        <v>118</v>
      </c>
      <c r="B121" s="20">
        <f ca="1">('normal case'!D120-'normal case'!B120)/'normal case'!B120</f>
        <v>0</v>
      </c>
      <c r="C121" s="26">
        <f ca="1">'normal case'!D120</f>
        <v>100</v>
      </c>
      <c r="D121" s="27">
        <f ca="1">'normal case'!C120</f>
        <v>0</v>
      </c>
      <c r="E121" s="25">
        <f ca="1">'normal case'!L120/100</f>
        <v>0.02</v>
      </c>
      <c r="F121" s="28">
        <f ca="1">'normal case'!N120/100</f>
        <v>0.06</v>
      </c>
      <c r="G121" s="28">
        <f ca="1">'normal case'!M120/100</f>
        <v>0.04</v>
      </c>
      <c r="H121" s="28">
        <f ca="1">'public finance'!D119</f>
        <v>0</v>
      </c>
      <c r="I121" s="23">
        <f ca="1">'public finance'!E119</f>
        <v>0</v>
      </c>
      <c r="J121" s="153">
        <f ca="1">'public finance'!H119</f>
        <v>0</v>
      </c>
      <c r="K121" s="20">
        <f ca="1">'public finance'!C119/'normal case'!D120</f>
        <v>0.2</v>
      </c>
      <c r="L121" s="23">
        <f ca="1">'public finance'!A119/'normal case'!D120</f>
        <v>0.2</v>
      </c>
      <c r="M121" s="21" t="str">
        <f>IF(controls!$B$44=0,"",'normal case'!AC120)</f>
        <v/>
      </c>
      <c r="N121" s="21" t="str">
        <f>IF(controls!$B$44=0,"",'normal case'!AF120)</f>
        <v/>
      </c>
      <c r="O121" s="203" t="str">
        <f>IF(controls!$B$44=0,"",'external balance'!D120)</f>
        <v/>
      </c>
      <c r="P121" s="203" t="str">
        <f>IF(controls!$B$44=0,"",'external balance'!F120)</f>
        <v/>
      </c>
      <c r="Q121" s="202" t="str">
        <f>IF(controls!$B$44=0,"",'external balance'!H120)</f>
        <v/>
      </c>
    </row>
    <row r="122" spans="1:17" ht="14" thickTop="1" thickBot="1">
      <c r="A122" s="32">
        <v>119</v>
      </c>
      <c r="B122" s="20">
        <f ca="1">('normal case'!D121-'normal case'!B121)/'normal case'!B121</f>
        <v>0</v>
      </c>
      <c r="C122" s="26">
        <f ca="1">'normal case'!D121</f>
        <v>100</v>
      </c>
      <c r="D122" s="27">
        <f ca="1">'normal case'!C121</f>
        <v>0</v>
      </c>
      <c r="E122" s="25">
        <f ca="1">'normal case'!L121/100</f>
        <v>0.02</v>
      </c>
      <c r="F122" s="28">
        <f ca="1">'normal case'!N121/100</f>
        <v>0.06</v>
      </c>
      <c r="G122" s="28">
        <f ca="1">'normal case'!M121/100</f>
        <v>0.04</v>
      </c>
      <c r="H122" s="28">
        <f ca="1">'public finance'!D120</f>
        <v>0</v>
      </c>
      <c r="I122" s="23">
        <f ca="1">'public finance'!E120</f>
        <v>0</v>
      </c>
      <c r="J122" s="153">
        <f ca="1">'public finance'!H120</f>
        <v>0</v>
      </c>
      <c r="K122" s="20">
        <f ca="1">'public finance'!C120/'normal case'!D121</f>
        <v>0.2</v>
      </c>
      <c r="L122" s="23">
        <f ca="1">'public finance'!A120/'normal case'!D121</f>
        <v>0.2</v>
      </c>
      <c r="M122" s="21" t="str">
        <f>IF(controls!$B$44=0,"",'normal case'!AC121)</f>
        <v/>
      </c>
      <c r="N122" s="21" t="str">
        <f>IF(controls!$B$44=0,"",'normal case'!AF121)</f>
        <v/>
      </c>
      <c r="O122" s="203" t="str">
        <f>IF(controls!$B$44=0,"",'external balance'!D121)</f>
        <v/>
      </c>
      <c r="P122" s="203" t="str">
        <f>IF(controls!$B$44=0,"",'external balance'!F121)</f>
        <v/>
      </c>
      <c r="Q122" s="202" t="str">
        <f>IF(controls!$B$44=0,"",'external balance'!H121)</f>
        <v/>
      </c>
    </row>
    <row r="123" spans="1:17" ht="14" thickTop="1" thickBot="1">
      <c r="A123" s="32">
        <v>120</v>
      </c>
      <c r="B123" s="20">
        <f ca="1">('normal case'!D122-'normal case'!B122)/'normal case'!B122</f>
        <v>0</v>
      </c>
      <c r="C123" s="26">
        <f ca="1">'normal case'!D122</f>
        <v>100</v>
      </c>
      <c r="D123" s="27">
        <f ca="1">'normal case'!C122</f>
        <v>0</v>
      </c>
      <c r="E123" s="25">
        <f ca="1">'normal case'!L122/100</f>
        <v>0.02</v>
      </c>
      <c r="F123" s="28">
        <f ca="1">'normal case'!N122/100</f>
        <v>0.06</v>
      </c>
      <c r="G123" s="28">
        <f ca="1">'normal case'!M122/100</f>
        <v>0.04</v>
      </c>
      <c r="H123" s="28">
        <f ca="1">'public finance'!D121</f>
        <v>0</v>
      </c>
      <c r="I123" s="23">
        <f ca="1">'public finance'!E121</f>
        <v>0</v>
      </c>
      <c r="J123" s="153">
        <f ca="1">'public finance'!H121</f>
        <v>0</v>
      </c>
      <c r="K123" s="20">
        <f ca="1">'public finance'!C121/'normal case'!D122</f>
        <v>0.2</v>
      </c>
      <c r="L123" s="23">
        <f ca="1">'public finance'!A121/'normal case'!D122</f>
        <v>0.2</v>
      </c>
      <c r="M123" s="21" t="str">
        <f>IF(controls!$B$44=0,"",'normal case'!AC122)</f>
        <v/>
      </c>
      <c r="N123" s="21" t="str">
        <f>IF(controls!$B$44=0,"",'normal case'!AF122)</f>
        <v/>
      </c>
      <c r="O123" s="203" t="str">
        <f>IF(controls!$B$44=0,"",'external balance'!D122)</f>
        <v/>
      </c>
      <c r="P123" s="203" t="str">
        <f>IF(controls!$B$44=0,"",'external balance'!F122)</f>
        <v/>
      </c>
      <c r="Q123" s="202" t="str">
        <f>IF(controls!$B$44=0,"",'external balance'!H122)</f>
        <v/>
      </c>
    </row>
    <row r="124" spans="1:17" ht="14" thickTop="1" thickBot="1">
      <c r="A124" s="32">
        <v>121</v>
      </c>
      <c r="B124" s="20">
        <f ca="1">('normal case'!D123-'normal case'!B123)/'normal case'!B123</f>
        <v>0</v>
      </c>
      <c r="C124" s="26">
        <f ca="1">'normal case'!D123</f>
        <v>100</v>
      </c>
      <c r="D124" s="27">
        <f ca="1">'normal case'!C123</f>
        <v>0</v>
      </c>
      <c r="E124" s="25">
        <f ca="1">'normal case'!L123/100</f>
        <v>0.02</v>
      </c>
      <c r="F124" s="28">
        <f ca="1">'normal case'!N123/100</f>
        <v>0.06</v>
      </c>
      <c r="G124" s="28">
        <f ca="1">'normal case'!M123/100</f>
        <v>0.04</v>
      </c>
      <c r="H124" s="28">
        <f ca="1">'public finance'!D122</f>
        <v>0</v>
      </c>
      <c r="I124" s="23">
        <f ca="1">'public finance'!E122</f>
        <v>0</v>
      </c>
      <c r="J124" s="153">
        <f ca="1">'public finance'!H122</f>
        <v>0</v>
      </c>
      <c r="K124" s="20">
        <f ca="1">'public finance'!C122/'normal case'!D123</f>
        <v>0.2</v>
      </c>
      <c r="L124" s="23">
        <f ca="1">'public finance'!A122/'normal case'!D123</f>
        <v>0.2</v>
      </c>
      <c r="M124" s="21" t="str">
        <f>IF(controls!$B$44=0,"",'normal case'!AC123)</f>
        <v/>
      </c>
      <c r="N124" s="21" t="str">
        <f>IF(controls!$B$44=0,"",'normal case'!AF123)</f>
        <v/>
      </c>
      <c r="O124" s="203" t="str">
        <f>IF(controls!$B$44=0,"",'external balance'!D123)</f>
        <v/>
      </c>
      <c r="P124" s="203" t="str">
        <f>IF(controls!$B$44=0,"",'external balance'!F123)</f>
        <v/>
      </c>
      <c r="Q124" s="202" t="str">
        <f>IF(controls!$B$44=0,"",'external balance'!H123)</f>
        <v/>
      </c>
    </row>
    <row r="125" spans="1:17" ht="14" thickTop="1" thickBot="1">
      <c r="A125" s="32">
        <v>122</v>
      </c>
      <c r="B125" s="20">
        <f ca="1">('normal case'!D124-'normal case'!B124)/'normal case'!B124</f>
        <v>0</v>
      </c>
      <c r="C125" s="26">
        <f ca="1">'normal case'!D124</f>
        <v>100</v>
      </c>
      <c r="D125" s="27">
        <f ca="1">'normal case'!C124</f>
        <v>0</v>
      </c>
      <c r="E125" s="25">
        <f ca="1">'normal case'!L124/100</f>
        <v>0.02</v>
      </c>
      <c r="F125" s="28">
        <f ca="1">'normal case'!N124/100</f>
        <v>0.06</v>
      </c>
      <c r="G125" s="28">
        <f ca="1">'normal case'!M124/100</f>
        <v>0.04</v>
      </c>
      <c r="H125" s="28">
        <f ca="1">'public finance'!D123</f>
        <v>0</v>
      </c>
      <c r="I125" s="23">
        <f ca="1">'public finance'!E123</f>
        <v>0</v>
      </c>
      <c r="J125" s="153">
        <f ca="1">'public finance'!H123</f>
        <v>0</v>
      </c>
      <c r="K125" s="20">
        <f ca="1">'public finance'!C123/'normal case'!D124</f>
        <v>0.2</v>
      </c>
      <c r="L125" s="23">
        <f ca="1">'public finance'!A123/'normal case'!D124</f>
        <v>0.2</v>
      </c>
      <c r="M125" s="21" t="str">
        <f>IF(controls!$B$44=0,"",'normal case'!AC124)</f>
        <v/>
      </c>
      <c r="N125" s="21" t="str">
        <f>IF(controls!$B$44=0,"",'normal case'!AF124)</f>
        <v/>
      </c>
      <c r="O125" s="203" t="str">
        <f>IF(controls!$B$44=0,"",'external balance'!D124)</f>
        <v/>
      </c>
      <c r="P125" s="203" t="str">
        <f>IF(controls!$B$44=0,"",'external balance'!F124)</f>
        <v/>
      </c>
      <c r="Q125" s="202" t="str">
        <f>IF(controls!$B$44=0,"",'external balance'!H124)</f>
        <v/>
      </c>
    </row>
    <row r="126" spans="1:17" ht="14" thickTop="1" thickBot="1">
      <c r="A126" s="32">
        <v>123</v>
      </c>
      <c r="B126" s="20">
        <f ca="1">('normal case'!D125-'normal case'!B125)/'normal case'!B125</f>
        <v>0</v>
      </c>
      <c r="C126" s="26">
        <f ca="1">'normal case'!D125</f>
        <v>100</v>
      </c>
      <c r="D126" s="27">
        <f ca="1">'normal case'!C125</f>
        <v>0</v>
      </c>
      <c r="E126" s="25">
        <f ca="1">'normal case'!L125/100</f>
        <v>0.02</v>
      </c>
      <c r="F126" s="28">
        <f ca="1">'normal case'!N125/100</f>
        <v>0.06</v>
      </c>
      <c r="G126" s="28">
        <f ca="1">'normal case'!M125/100</f>
        <v>0.04</v>
      </c>
      <c r="H126" s="28">
        <f ca="1">'public finance'!D124</f>
        <v>0</v>
      </c>
      <c r="I126" s="23">
        <f ca="1">'public finance'!E124</f>
        <v>0</v>
      </c>
      <c r="J126" s="153">
        <f ca="1">'public finance'!H124</f>
        <v>0</v>
      </c>
      <c r="K126" s="20">
        <f ca="1">'public finance'!C124/'normal case'!D125</f>
        <v>0.2</v>
      </c>
      <c r="L126" s="23">
        <f ca="1">'public finance'!A124/'normal case'!D125</f>
        <v>0.2</v>
      </c>
      <c r="M126" s="21" t="str">
        <f>IF(controls!$B$44=0,"",'normal case'!AC125)</f>
        <v/>
      </c>
      <c r="N126" s="21" t="str">
        <f>IF(controls!$B$44=0,"",'normal case'!AF125)</f>
        <v/>
      </c>
      <c r="O126" s="203" t="str">
        <f>IF(controls!$B$44=0,"",'external balance'!D125)</f>
        <v/>
      </c>
      <c r="P126" s="203" t="str">
        <f>IF(controls!$B$44=0,"",'external balance'!F125)</f>
        <v/>
      </c>
      <c r="Q126" s="202" t="str">
        <f>IF(controls!$B$44=0,"",'external balance'!H125)</f>
        <v/>
      </c>
    </row>
    <row r="127" spans="1:17" ht="14" thickTop="1" thickBot="1">
      <c r="A127" s="32">
        <v>124</v>
      </c>
      <c r="B127" s="20">
        <f ca="1">('normal case'!D126-'normal case'!B126)/'normal case'!B126</f>
        <v>0</v>
      </c>
      <c r="C127" s="26">
        <f ca="1">'normal case'!D126</f>
        <v>100</v>
      </c>
      <c r="D127" s="27">
        <f ca="1">'normal case'!C126</f>
        <v>0</v>
      </c>
      <c r="E127" s="25">
        <f ca="1">'normal case'!L126/100</f>
        <v>0.02</v>
      </c>
      <c r="F127" s="28">
        <f ca="1">'normal case'!N126/100</f>
        <v>0.06</v>
      </c>
      <c r="G127" s="28">
        <f ca="1">'normal case'!M126/100</f>
        <v>0.04</v>
      </c>
      <c r="H127" s="28">
        <f ca="1">'public finance'!D125</f>
        <v>0</v>
      </c>
      <c r="I127" s="23">
        <f ca="1">'public finance'!E125</f>
        <v>0</v>
      </c>
      <c r="J127" s="153">
        <f ca="1">'public finance'!H125</f>
        <v>0</v>
      </c>
      <c r="K127" s="20">
        <f ca="1">'public finance'!C125/'normal case'!D126</f>
        <v>0.2</v>
      </c>
      <c r="L127" s="23">
        <f ca="1">'public finance'!A125/'normal case'!D126</f>
        <v>0.2</v>
      </c>
      <c r="M127" s="21" t="str">
        <f>IF(controls!$B$44=0,"",'normal case'!AC126)</f>
        <v/>
      </c>
      <c r="N127" s="21" t="str">
        <f>IF(controls!$B$44=0,"",'normal case'!AF126)</f>
        <v/>
      </c>
      <c r="O127" s="203" t="str">
        <f>IF(controls!$B$44=0,"",'external balance'!D126)</f>
        <v/>
      </c>
      <c r="P127" s="203" t="str">
        <f>IF(controls!$B$44=0,"",'external balance'!F126)</f>
        <v/>
      </c>
      <c r="Q127" s="202" t="str">
        <f>IF(controls!$B$44=0,"",'external balance'!H126)</f>
        <v/>
      </c>
    </row>
    <row r="128" spans="1:17" ht="14" thickTop="1" thickBot="1">
      <c r="A128" s="32">
        <v>125</v>
      </c>
      <c r="B128" s="20">
        <f ca="1">('normal case'!D127-'normal case'!B127)/'normal case'!B127</f>
        <v>0</v>
      </c>
      <c r="C128" s="26">
        <f ca="1">'normal case'!D127</f>
        <v>100</v>
      </c>
      <c r="D128" s="27">
        <f ca="1">'normal case'!C127</f>
        <v>0</v>
      </c>
      <c r="E128" s="25">
        <f ca="1">'normal case'!L127/100</f>
        <v>0.02</v>
      </c>
      <c r="F128" s="28">
        <f ca="1">'normal case'!N127/100</f>
        <v>0.06</v>
      </c>
      <c r="G128" s="28">
        <f ca="1">'normal case'!M127/100</f>
        <v>0.04</v>
      </c>
      <c r="H128" s="28">
        <f ca="1">'public finance'!D126</f>
        <v>0</v>
      </c>
      <c r="I128" s="23">
        <f ca="1">'public finance'!E126</f>
        <v>0</v>
      </c>
      <c r="J128" s="153">
        <f ca="1">'public finance'!H126</f>
        <v>0</v>
      </c>
      <c r="K128" s="20">
        <f ca="1">'public finance'!C126/'normal case'!D127</f>
        <v>0.2</v>
      </c>
      <c r="L128" s="23">
        <f ca="1">'public finance'!A126/'normal case'!D127</f>
        <v>0.2</v>
      </c>
      <c r="M128" s="21" t="str">
        <f>IF(controls!$B$44=0,"",'normal case'!AC127)</f>
        <v/>
      </c>
      <c r="N128" s="21" t="str">
        <f>IF(controls!$B$44=0,"",'normal case'!AF127)</f>
        <v/>
      </c>
      <c r="O128" s="203" t="str">
        <f>IF(controls!$B$44=0,"",'external balance'!D127)</f>
        <v/>
      </c>
      <c r="P128" s="203" t="str">
        <f>IF(controls!$B$44=0,"",'external balance'!F127)</f>
        <v/>
      </c>
      <c r="Q128" s="202" t="str">
        <f>IF(controls!$B$44=0,"",'external balance'!H127)</f>
        <v/>
      </c>
    </row>
    <row r="129" spans="1:17" ht="14" thickTop="1" thickBot="1">
      <c r="A129" s="32">
        <v>126</v>
      </c>
      <c r="B129" s="20">
        <f ca="1">('normal case'!D128-'normal case'!B128)/'normal case'!B128</f>
        <v>0</v>
      </c>
      <c r="C129" s="26">
        <f ca="1">'normal case'!D128</f>
        <v>100</v>
      </c>
      <c r="D129" s="27">
        <f ca="1">'normal case'!C128</f>
        <v>0</v>
      </c>
      <c r="E129" s="25">
        <f ca="1">'normal case'!L128/100</f>
        <v>0.02</v>
      </c>
      <c r="F129" s="28">
        <f ca="1">'normal case'!N128/100</f>
        <v>0.06</v>
      </c>
      <c r="G129" s="28">
        <f ca="1">'normal case'!M128/100</f>
        <v>0.04</v>
      </c>
      <c r="H129" s="28">
        <f ca="1">'public finance'!D127</f>
        <v>0</v>
      </c>
      <c r="I129" s="23">
        <f ca="1">'public finance'!E127</f>
        <v>0</v>
      </c>
      <c r="J129" s="153">
        <f ca="1">'public finance'!H127</f>
        <v>0</v>
      </c>
      <c r="K129" s="20">
        <f ca="1">'public finance'!C127/'normal case'!D128</f>
        <v>0.2</v>
      </c>
      <c r="L129" s="23">
        <f ca="1">'public finance'!A127/'normal case'!D128</f>
        <v>0.2</v>
      </c>
      <c r="M129" s="21" t="str">
        <f>IF(controls!$B$44=0,"",'normal case'!AC128)</f>
        <v/>
      </c>
      <c r="N129" s="21" t="str">
        <f>IF(controls!$B$44=0,"",'normal case'!AF128)</f>
        <v/>
      </c>
      <c r="O129" s="203" t="str">
        <f>IF(controls!$B$44=0,"",'external balance'!D128)</f>
        <v/>
      </c>
      <c r="P129" s="203" t="str">
        <f>IF(controls!$B$44=0,"",'external balance'!F128)</f>
        <v/>
      </c>
      <c r="Q129" s="202" t="str">
        <f>IF(controls!$B$44=0,"",'external balance'!H128)</f>
        <v/>
      </c>
    </row>
    <row r="130" spans="1:17" ht="14" thickTop="1" thickBot="1">
      <c r="A130" s="32">
        <v>127</v>
      </c>
      <c r="B130" s="20">
        <f ca="1">('normal case'!D129-'normal case'!B129)/'normal case'!B129</f>
        <v>0</v>
      </c>
      <c r="C130" s="26">
        <f ca="1">'normal case'!D129</f>
        <v>100</v>
      </c>
      <c r="D130" s="27">
        <f ca="1">'normal case'!C129</f>
        <v>0</v>
      </c>
      <c r="E130" s="25">
        <f ca="1">'normal case'!L129/100</f>
        <v>0.02</v>
      </c>
      <c r="F130" s="28">
        <f ca="1">'normal case'!N129/100</f>
        <v>0.06</v>
      </c>
      <c r="G130" s="28">
        <f ca="1">'normal case'!M129/100</f>
        <v>0.04</v>
      </c>
      <c r="H130" s="28">
        <f ca="1">'public finance'!D128</f>
        <v>0</v>
      </c>
      <c r="I130" s="23">
        <f ca="1">'public finance'!E128</f>
        <v>0</v>
      </c>
      <c r="J130" s="153">
        <f ca="1">'public finance'!H128</f>
        <v>0</v>
      </c>
      <c r="K130" s="20">
        <f ca="1">'public finance'!C128/'normal case'!D129</f>
        <v>0.2</v>
      </c>
      <c r="L130" s="23">
        <f ca="1">'public finance'!A128/'normal case'!D129</f>
        <v>0.2</v>
      </c>
      <c r="M130" s="21" t="str">
        <f>IF(controls!$B$44=0,"",'normal case'!AC129)</f>
        <v/>
      </c>
      <c r="N130" s="21" t="str">
        <f>IF(controls!$B$44=0,"",'normal case'!AF129)</f>
        <v/>
      </c>
      <c r="O130" s="203" t="str">
        <f>IF(controls!$B$44=0,"",'external balance'!D129)</f>
        <v/>
      </c>
      <c r="P130" s="203" t="str">
        <f>IF(controls!$B$44=0,"",'external balance'!F129)</f>
        <v/>
      </c>
      <c r="Q130" s="202" t="str">
        <f>IF(controls!$B$44=0,"",'external balance'!H129)</f>
        <v/>
      </c>
    </row>
    <row r="131" spans="1:17" ht="14" thickTop="1" thickBot="1">
      <c r="A131" s="32">
        <v>128</v>
      </c>
      <c r="B131" s="20">
        <f ca="1">('normal case'!D130-'normal case'!B130)/'normal case'!B130</f>
        <v>0</v>
      </c>
      <c r="C131" s="26">
        <f ca="1">'normal case'!D130</f>
        <v>100</v>
      </c>
      <c r="D131" s="27">
        <f ca="1">'normal case'!C130</f>
        <v>0</v>
      </c>
      <c r="E131" s="25">
        <f ca="1">'normal case'!L130/100</f>
        <v>0.02</v>
      </c>
      <c r="F131" s="28">
        <f ca="1">'normal case'!N130/100</f>
        <v>0.06</v>
      </c>
      <c r="G131" s="28">
        <f ca="1">'normal case'!M130/100</f>
        <v>0.04</v>
      </c>
      <c r="H131" s="28">
        <f ca="1">'public finance'!D129</f>
        <v>0</v>
      </c>
      <c r="I131" s="23">
        <f ca="1">'public finance'!E129</f>
        <v>0</v>
      </c>
      <c r="J131" s="153">
        <f ca="1">'public finance'!H129</f>
        <v>0</v>
      </c>
      <c r="K131" s="20">
        <f ca="1">'public finance'!C129/'normal case'!D130</f>
        <v>0.2</v>
      </c>
      <c r="L131" s="23">
        <f ca="1">'public finance'!A129/'normal case'!D130</f>
        <v>0.2</v>
      </c>
      <c r="M131" s="21" t="str">
        <f>IF(controls!$B$44=0,"",'normal case'!AC130)</f>
        <v/>
      </c>
      <c r="N131" s="21" t="str">
        <f>IF(controls!$B$44=0,"",'normal case'!AF130)</f>
        <v/>
      </c>
      <c r="O131" s="203" t="str">
        <f>IF(controls!$B$44=0,"",'external balance'!D130)</f>
        <v/>
      </c>
      <c r="P131" s="203" t="str">
        <f>IF(controls!$B$44=0,"",'external balance'!F130)</f>
        <v/>
      </c>
      <c r="Q131" s="202" t="str">
        <f>IF(controls!$B$44=0,"",'external balance'!H130)</f>
        <v/>
      </c>
    </row>
    <row r="132" spans="1:17" ht="14" thickTop="1" thickBot="1">
      <c r="A132" s="32">
        <v>129</v>
      </c>
      <c r="B132" s="20">
        <f ca="1">('normal case'!D131-'normal case'!B131)/'normal case'!B131</f>
        <v>0</v>
      </c>
      <c r="C132" s="26">
        <f ca="1">'normal case'!D131</f>
        <v>100</v>
      </c>
      <c r="D132" s="27">
        <f ca="1">'normal case'!C131</f>
        <v>0</v>
      </c>
      <c r="E132" s="25">
        <f ca="1">'normal case'!L131/100</f>
        <v>0.02</v>
      </c>
      <c r="F132" s="28">
        <f ca="1">'normal case'!N131/100</f>
        <v>0.06</v>
      </c>
      <c r="G132" s="28">
        <f ca="1">'normal case'!M131/100</f>
        <v>0.04</v>
      </c>
      <c r="H132" s="28">
        <f ca="1">'public finance'!D130</f>
        <v>0</v>
      </c>
      <c r="I132" s="23">
        <f ca="1">'public finance'!E130</f>
        <v>0</v>
      </c>
      <c r="J132" s="153">
        <f ca="1">'public finance'!H130</f>
        <v>0</v>
      </c>
      <c r="K132" s="20">
        <f ca="1">'public finance'!C130/'normal case'!D131</f>
        <v>0.2</v>
      </c>
      <c r="L132" s="23">
        <f ca="1">'public finance'!A130/'normal case'!D131</f>
        <v>0.2</v>
      </c>
      <c r="M132" s="21" t="str">
        <f>IF(controls!$B$44=0,"",'normal case'!AC131)</f>
        <v/>
      </c>
      <c r="N132" s="21" t="str">
        <f>IF(controls!$B$44=0,"",'normal case'!AF131)</f>
        <v/>
      </c>
      <c r="O132" s="203" t="str">
        <f>IF(controls!$B$44=0,"",'external balance'!D131)</f>
        <v/>
      </c>
      <c r="P132" s="203" t="str">
        <f>IF(controls!$B$44=0,"",'external balance'!F131)</f>
        <v/>
      </c>
      <c r="Q132" s="202" t="str">
        <f>IF(controls!$B$44=0,"",'external balance'!H131)</f>
        <v/>
      </c>
    </row>
    <row r="133" spans="1:17" ht="14" thickTop="1" thickBot="1">
      <c r="A133" s="32">
        <v>130</v>
      </c>
      <c r="B133" s="20">
        <f ca="1">('normal case'!D132-'normal case'!B132)/'normal case'!B132</f>
        <v>0</v>
      </c>
      <c r="C133" s="26">
        <f ca="1">'normal case'!D132</f>
        <v>100</v>
      </c>
      <c r="D133" s="27">
        <f ca="1">'normal case'!C132</f>
        <v>0</v>
      </c>
      <c r="E133" s="25">
        <f ca="1">'normal case'!L132/100</f>
        <v>0.02</v>
      </c>
      <c r="F133" s="28">
        <f ca="1">'normal case'!N132/100</f>
        <v>0.06</v>
      </c>
      <c r="G133" s="28">
        <f ca="1">'normal case'!M132/100</f>
        <v>0.04</v>
      </c>
      <c r="H133" s="28">
        <f ca="1">'public finance'!D131</f>
        <v>0</v>
      </c>
      <c r="I133" s="23">
        <f ca="1">'public finance'!E131</f>
        <v>0</v>
      </c>
      <c r="J133" s="153">
        <f ca="1">'public finance'!H131</f>
        <v>0</v>
      </c>
      <c r="K133" s="20">
        <f ca="1">'public finance'!C131/'normal case'!D132</f>
        <v>0.2</v>
      </c>
      <c r="L133" s="23">
        <f ca="1">'public finance'!A131/'normal case'!D132</f>
        <v>0.2</v>
      </c>
      <c r="M133" s="21" t="str">
        <f>IF(controls!$B$44=0,"",'normal case'!AC132)</f>
        <v/>
      </c>
      <c r="N133" s="21" t="str">
        <f>IF(controls!$B$44=0,"",'normal case'!AF132)</f>
        <v/>
      </c>
      <c r="O133" s="203" t="str">
        <f>IF(controls!$B$44=0,"",'external balance'!D132)</f>
        <v/>
      </c>
      <c r="P133" s="203" t="str">
        <f>IF(controls!$B$44=0,"",'external balance'!F132)</f>
        <v/>
      </c>
      <c r="Q133" s="202" t="str">
        <f>IF(controls!$B$44=0,"",'external balance'!H132)</f>
        <v/>
      </c>
    </row>
    <row r="134" spans="1:17" ht="14" thickTop="1" thickBot="1">
      <c r="A134" s="32">
        <v>131</v>
      </c>
      <c r="B134" s="20">
        <f ca="1">('normal case'!D133-'normal case'!B133)/'normal case'!B133</f>
        <v>0</v>
      </c>
      <c r="C134" s="26">
        <f ca="1">'normal case'!D133</f>
        <v>100</v>
      </c>
      <c r="D134" s="27">
        <f ca="1">'normal case'!C133</f>
        <v>0</v>
      </c>
      <c r="E134" s="25">
        <f ca="1">'normal case'!L133/100</f>
        <v>0.02</v>
      </c>
      <c r="F134" s="28">
        <f ca="1">'normal case'!N133/100</f>
        <v>0.06</v>
      </c>
      <c r="G134" s="28">
        <f ca="1">'normal case'!M133/100</f>
        <v>0.04</v>
      </c>
      <c r="H134" s="28">
        <f ca="1">'public finance'!D132</f>
        <v>0</v>
      </c>
      <c r="I134" s="23">
        <f ca="1">'public finance'!E132</f>
        <v>0</v>
      </c>
      <c r="J134" s="153">
        <f ca="1">'public finance'!H132</f>
        <v>0</v>
      </c>
      <c r="K134" s="20">
        <f ca="1">'public finance'!C132/'normal case'!D133</f>
        <v>0.2</v>
      </c>
      <c r="L134" s="23">
        <f ca="1">'public finance'!A132/'normal case'!D133</f>
        <v>0.2</v>
      </c>
      <c r="M134" s="21" t="str">
        <f>IF(controls!$B$44=0,"",'normal case'!AC133)</f>
        <v/>
      </c>
      <c r="N134" s="21" t="str">
        <f>IF(controls!$B$44=0,"",'normal case'!AF133)</f>
        <v/>
      </c>
      <c r="O134" s="203" t="str">
        <f>IF(controls!$B$44=0,"",'external balance'!D133)</f>
        <v/>
      </c>
      <c r="P134" s="203" t="str">
        <f>IF(controls!$B$44=0,"",'external balance'!F133)</f>
        <v/>
      </c>
      <c r="Q134" s="202" t="str">
        <f>IF(controls!$B$44=0,"",'external balance'!H133)</f>
        <v/>
      </c>
    </row>
    <row r="135" spans="1:17" ht="14" thickTop="1" thickBot="1">
      <c r="A135" s="32">
        <v>132</v>
      </c>
      <c r="B135" s="20">
        <f ca="1">('normal case'!D134-'normal case'!B134)/'normal case'!B134</f>
        <v>0</v>
      </c>
      <c r="C135" s="26">
        <f ca="1">'normal case'!D134</f>
        <v>100</v>
      </c>
      <c r="D135" s="27">
        <f ca="1">'normal case'!C134</f>
        <v>0</v>
      </c>
      <c r="E135" s="25">
        <f ca="1">'normal case'!L134/100</f>
        <v>0.02</v>
      </c>
      <c r="F135" s="28">
        <f ca="1">'normal case'!N134/100</f>
        <v>0.06</v>
      </c>
      <c r="G135" s="28">
        <f ca="1">'normal case'!M134/100</f>
        <v>0.04</v>
      </c>
      <c r="H135" s="28">
        <f ca="1">'public finance'!D133</f>
        <v>0</v>
      </c>
      <c r="I135" s="23">
        <f ca="1">'public finance'!E133</f>
        <v>0</v>
      </c>
      <c r="J135" s="153">
        <f ca="1">'public finance'!H133</f>
        <v>0</v>
      </c>
      <c r="K135" s="20">
        <f ca="1">'public finance'!C133/'normal case'!D134</f>
        <v>0.2</v>
      </c>
      <c r="L135" s="23">
        <f ca="1">'public finance'!A133/'normal case'!D134</f>
        <v>0.2</v>
      </c>
      <c r="M135" s="21" t="str">
        <f>IF(controls!$B$44=0,"",'normal case'!AC134)</f>
        <v/>
      </c>
      <c r="N135" s="21" t="str">
        <f>IF(controls!$B$44=0,"",'normal case'!AF134)</f>
        <v/>
      </c>
      <c r="O135" s="203" t="str">
        <f>IF(controls!$B$44=0,"",'external balance'!D134)</f>
        <v/>
      </c>
      <c r="P135" s="203" t="str">
        <f>IF(controls!$B$44=0,"",'external balance'!F134)</f>
        <v/>
      </c>
      <c r="Q135" s="202" t="str">
        <f>IF(controls!$B$44=0,"",'external balance'!H134)</f>
        <v/>
      </c>
    </row>
    <row r="136" spans="1:17" ht="14" thickTop="1" thickBot="1">
      <c r="A136" s="32">
        <v>133</v>
      </c>
      <c r="B136" s="20">
        <f ca="1">('normal case'!D135-'normal case'!B135)/'normal case'!B135</f>
        <v>0</v>
      </c>
      <c r="C136" s="26">
        <f ca="1">'normal case'!D135</f>
        <v>100</v>
      </c>
      <c r="D136" s="27">
        <f ca="1">'normal case'!C135</f>
        <v>0</v>
      </c>
      <c r="E136" s="25">
        <f ca="1">'normal case'!L135/100</f>
        <v>0.02</v>
      </c>
      <c r="F136" s="28">
        <f ca="1">'normal case'!N135/100</f>
        <v>0.06</v>
      </c>
      <c r="G136" s="28">
        <f ca="1">'normal case'!M135/100</f>
        <v>0.04</v>
      </c>
      <c r="H136" s="28">
        <f ca="1">'public finance'!D134</f>
        <v>0</v>
      </c>
      <c r="I136" s="23">
        <f ca="1">'public finance'!E134</f>
        <v>0</v>
      </c>
      <c r="J136" s="153">
        <f ca="1">'public finance'!H134</f>
        <v>0</v>
      </c>
      <c r="K136" s="20">
        <f ca="1">'public finance'!C134/'normal case'!D135</f>
        <v>0.2</v>
      </c>
      <c r="L136" s="23">
        <f ca="1">'public finance'!A134/'normal case'!D135</f>
        <v>0.2</v>
      </c>
      <c r="M136" s="21" t="str">
        <f>IF(controls!$B$44=0,"",'normal case'!AC135)</f>
        <v/>
      </c>
      <c r="N136" s="21" t="str">
        <f>IF(controls!$B$44=0,"",'normal case'!AF135)</f>
        <v/>
      </c>
      <c r="O136" s="203" t="str">
        <f>IF(controls!$B$44=0,"",'external balance'!D135)</f>
        <v/>
      </c>
      <c r="P136" s="203" t="str">
        <f>IF(controls!$B$44=0,"",'external balance'!F135)</f>
        <v/>
      </c>
      <c r="Q136" s="202" t="str">
        <f>IF(controls!$B$44=0,"",'external balance'!H135)</f>
        <v/>
      </c>
    </row>
    <row r="137" spans="1:17" ht="14" thickTop="1" thickBot="1">
      <c r="A137" s="32">
        <v>134</v>
      </c>
      <c r="B137" s="20">
        <f ca="1">('normal case'!D136-'normal case'!B136)/'normal case'!B136</f>
        <v>0</v>
      </c>
      <c r="C137" s="26">
        <f ca="1">'normal case'!D136</f>
        <v>100</v>
      </c>
      <c r="D137" s="27">
        <f ca="1">'normal case'!C136</f>
        <v>0</v>
      </c>
      <c r="E137" s="25">
        <f ca="1">'normal case'!L136/100</f>
        <v>0.02</v>
      </c>
      <c r="F137" s="28">
        <f ca="1">'normal case'!N136/100</f>
        <v>0.06</v>
      </c>
      <c r="G137" s="28">
        <f ca="1">'normal case'!M136/100</f>
        <v>0.04</v>
      </c>
      <c r="H137" s="28">
        <f ca="1">'public finance'!D135</f>
        <v>0</v>
      </c>
      <c r="I137" s="23">
        <f ca="1">'public finance'!E135</f>
        <v>0</v>
      </c>
      <c r="J137" s="153">
        <f ca="1">'public finance'!H135</f>
        <v>0</v>
      </c>
      <c r="K137" s="20">
        <f ca="1">'public finance'!C135/'normal case'!D136</f>
        <v>0.2</v>
      </c>
      <c r="L137" s="23">
        <f ca="1">'public finance'!A135/'normal case'!D136</f>
        <v>0.2</v>
      </c>
      <c r="M137" s="21" t="str">
        <f>IF(controls!$B$44=0,"",'normal case'!AC136)</f>
        <v/>
      </c>
      <c r="N137" s="21" t="str">
        <f>IF(controls!$B$44=0,"",'normal case'!AF136)</f>
        <v/>
      </c>
      <c r="O137" s="203" t="str">
        <f>IF(controls!$B$44=0,"",'external balance'!D136)</f>
        <v/>
      </c>
      <c r="P137" s="203" t="str">
        <f>IF(controls!$B$44=0,"",'external balance'!F136)</f>
        <v/>
      </c>
      <c r="Q137" s="202" t="str">
        <f>IF(controls!$B$44=0,"",'external balance'!H136)</f>
        <v/>
      </c>
    </row>
    <row r="138" spans="1:17" ht="14" thickTop="1" thickBot="1">
      <c r="A138" s="32">
        <v>135</v>
      </c>
      <c r="B138" s="20">
        <f ca="1">('normal case'!D137-'normal case'!B137)/'normal case'!B137</f>
        <v>0</v>
      </c>
      <c r="C138" s="26">
        <f ca="1">'normal case'!D137</f>
        <v>100</v>
      </c>
      <c r="D138" s="27">
        <f ca="1">'normal case'!C137</f>
        <v>0</v>
      </c>
      <c r="E138" s="25">
        <f ca="1">'normal case'!L137/100</f>
        <v>0.02</v>
      </c>
      <c r="F138" s="28">
        <f ca="1">'normal case'!N137/100</f>
        <v>0.06</v>
      </c>
      <c r="G138" s="28">
        <f ca="1">'normal case'!M137/100</f>
        <v>0.04</v>
      </c>
      <c r="H138" s="28">
        <f ca="1">'public finance'!D136</f>
        <v>0</v>
      </c>
      <c r="I138" s="23">
        <f ca="1">'public finance'!E136</f>
        <v>0</v>
      </c>
      <c r="J138" s="153">
        <f ca="1">'public finance'!H136</f>
        <v>0</v>
      </c>
      <c r="K138" s="20">
        <f ca="1">'public finance'!C136/'normal case'!D137</f>
        <v>0.2</v>
      </c>
      <c r="L138" s="23">
        <f ca="1">'public finance'!A136/'normal case'!D137</f>
        <v>0.2</v>
      </c>
      <c r="M138" s="21" t="str">
        <f>IF(controls!$B$44=0,"",'normal case'!AC137)</f>
        <v/>
      </c>
      <c r="N138" s="21" t="str">
        <f>IF(controls!$B$44=0,"",'normal case'!AF137)</f>
        <v/>
      </c>
      <c r="O138" s="203" t="str">
        <f>IF(controls!$B$44=0,"",'external balance'!D137)</f>
        <v/>
      </c>
      <c r="P138" s="203" t="str">
        <f>IF(controls!$B$44=0,"",'external balance'!F137)</f>
        <v/>
      </c>
      <c r="Q138" s="202" t="str">
        <f>IF(controls!$B$44=0,"",'external balance'!H137)</f>
        <v/>
      </c>
    </row>
    <row r="139" spans="1:17" ht="14" thickTop="1" thickBot="1">
      <c r="A139" s="32">
        <v>136</v>
      </c>
      <c r="B139" s="20">
        <f ca="1">('normal case'!D138-'normal case'!B138)/'normal case'!B138</f>
        <v>0</v>
      </c>
      <c r="C139" s="26">
        <f ca="1">'normal case'!D138</f>
        <v>100</v>
      </c>
      <c r="D139" s="27">
        <f ca="1">'normal case'!C138</f>
        <v>0</v>
      </c>
      <c r="E139" s="25">
        <f ca="1">'normal case'!L138/100</f>
        <v>0.02</v>
      </c>
      <c r="F139" s="28">
        <f ca="1">'normal case'!N138/100</f>
        <v>0.06</v>
      </c>
      <c r="G139" s="28">
        <f ca="1">'normal case'!M138/100</f>
        <v>0.04</v>
      </c>
      <c r="H139" s="28">
        <f ca="1">'public finance'!D137</f>
        <v>0</v>
      </c>
      <c r="I139" s="23">
        <f ca="1">'public finance'!E137</f>
        <v>0</v>
      </c>
      <c r="J139" s="153">
        <f ca="1">'public finance'!H137</f>
        <v>0</v>
      </c>
      <c r="K139" s="20">
        <f ca="1">'public finance'!C137/'normal case'!D138</f>
        <v>0.2</v>
      </c>
      <c r="L139" s="23">
        <f ca="1">'public finance'!A137/'normal case'!D138</f>
        <v>0.2</v>
      </c>
      <c r="M139" s="21" t="str">
        <f>IF(controls!$B$44=0,"",'normal case'!AC138)</f>
        <v/>
      </c>
      <c r="N139" s="21" t="str">
        <f>IF(controls!$B$44=0,"",'normal case'!AF138)</f>
        <v/>
      </c>
      <c r="O139" s="203" t="str">
        <f>IF(controls!$B$44=0,"",'external balance'!D138)</f>
        <v/>
      </c>
      <c r="P139" s="203" t="str">
        <f>IF(controls!$B$44=0,"",'external balance'!F138)</f>
        <v/>
      </c>
      <c r="Q139" s="202" t="str">
        <f>IF(controls!$B$44=0,"",'external balance'!H138)</f>
        <v/>
      </c>
    </row>
    <row r="140" spans="1:17" ht="14" thickTop="1" thickBot="1">
      <c r="A140" s="32">
        <v>137</v>
      </c>
      <c r="B140" s="20">
        <f ca="1">('normal case'!D139-'normal case'!B139)/'normal case'!B139</f>
        <v>0</v>
      </c>
      <c r="C140" s="26">
        <f ca="1">'normal case'!D139</f>
        <v>100</v>
      </c>
      <c r="D140" s="27">
        <f ca="1">'normal case'!C139</f>
        <v>0</v>
      </c>
      <c r="E140" s="25">
        <f ca="1">'normal case'!L139/100</f>
        <v>0.02</v>
      </c>
      <c r="F140" s="28">
        <f ca="1">'normal case'!N139/100</f>
        <v>0.06</v>
      </c>
      <c r="G140" s="28">
        <f ca="1">'normal case'!M139/100</f>
        <v>0.04</v>
      </c>
      <c r="H140" s="28">
        <f ca="1">'public finance'!D138</f>
        <v>0</v>
      </c>
      <c r="I140" s="23">
        <f ca="1">'public finance'!E138</f>
        <v>0</v>
      </c>
      <c r="J140" s="153">
        <f ca="1">'public finance'!H138</f>
        <v>0</v>
      </c>
      <c r="K140" s="20">
        <f ca="1">'public finance'!C138/'normal case'!D139</f>
        <v>0.2</v>
      </c>
      <c r="L140" s="23">
        <f ca="1">'public finance'!A138/'normal case'!D139</f>
        <v>0.2</v>
      </c>
      <c r="M140" s="21" t="str">
        <f>IF(controls!$B$44=0,"",'normal case'!AC139)</f>
        <v/>
      </c>
      <c r="N140" s="21" t="str">
        <f>IF(controls!$B$44=0,"",'normal case'!AF139)</f>
        <v/>
      </c>
      <c r="O140" s="203" t="str">
        <f>IF(controls!$B$44=0,"",'external balance'!D139)</f>
        <v/>
      </c>
      <c r="P140" s="203" t="str">
        <f>IF(controls!$B$44=0,"",'external balance'!F139)</f>
        <v/>
      </c>
      <c r="Q140" s="202" t="str">
        <f>IF(controls!$B$44=0,"",'external balance'!H139)</f>
        <v/>
      </c>
    </row>
    <row r="141" spans="1:17" ht="14" thickTop="1" thickBot="1">
      <c r="A141" s="32">
        <v>138</v>
      </c>
      <c r="B141" s="20">
        <f ca="1">('normal case'!D140-'normal case'!B140)/'normal case'!B140</f>
        <v>0</v>
      </c>
      <c r="C141" s="26">
        <f ca="1">'normal case'!D140</f>
        <v>100</v>
      </c>
      <c r="D141" s="27">
        <f ca="1">'normal case'!C140</f>
        <v>0</v>
      </c>
      <c r="E141" s="25">
        <f ca="1">'normal case'!L140/100</f>
        <v>0.02</v>
      </c>
      <c r="F141" s="28">
        <f ca="1">'normal case'!N140/100</f>
        <v>0.06</v>
      </c>
      <c r="G141" s="28">
        <f ca="1">'normal case'!M140/100</f>
        <v>0.04</v>
      </c>
      <c r="H141" s="28">
        <f ca="1">'public finance'!D139</f>
        <v>0</v>
      </c>
      <c r="I141" s="23">
        <f ca="1">'public finance'!E139</f>
        <v>0</v>
      </c>
      <c r="J141" s="153">
        <f ca="1">'public finance'!H139</f>
        <v>0</v>
      </c>
      <c r="K141" s="20">
        <f ca="1">'public finance'!C139/'normal case'!D140</f>
        <v>0.2</v>
      </c>
      <c r="L141" s="23">
        <f ca="1">'public finance'!A139/'normal case'!D140</f>
        <v>0.2</v>
      </c>
      <c r="M141" s="21" t="str">
        <f>IF(controls!$B$44=0,"",'normal case'!AC140)</f>
        <v/>
      </c>
      <c r="N141" s="21" t="str">
        <f>IF(controls!$B$44=0,"",'normal case'!AF140)</f>
        <v/>
      </c>
      <c r="O141" s="203" t="str">
        <f>IF(controls!$B$44=0,"",'external balance'!D140)</f>
        <v/>
      </c>
      <c r="P141" s="203" t="str">
        <f>IF(controls!$B$44=0,"",'external balance'!F140)</f>
        <v/>
      </c>
      <c r="Q141" s="202" t="str">
        <f>IF(controls!$B$44=0,"",'external balance'!H140)</f>
        <v/>
      </c>
    </row>
    <row r="142" spans="1:17" ht="14" thickTop="1" thickBot="1">
      <c r="A142" s="32">
        <v>139</v>
      </c>
      <c r="B142" s="20">
        <f ca="1">('normal case'!D141-'normal case'!B141)/'normal case'!B141</f>
        <v>0</v>
      </c>
      <c r="C142" s="26">
        <f ca="1">'normal case'!D141</f>
        <v>100</v>
      </c>
      <c r="D142" s="27">
        <f ca="1">'normal case'!C141</f>
        <v>0</v>
      </c>
      <c r="E142" s="25">
        <f ca="1">'normal case'!L141/100</f>
        <v>0.02</v>
      </c>
      <c r="F142" s="28">
        <f ca="1">'normal case'!N141/100</f>
        <v>0.06</v>
      </c>
      <c r="G142" s="28">
        <f ca="1">'normal case'!M141/100</f>
        <v>0.04</v>
      </c>
      <c r="H142" s="28">
        <f ca="1">'public finance'!D140</f>
        <v>0</v>
      </c>
      <c r="I142" s="23">
        <f ca="1">'public finance'!E140</f>
        <v>0</v>
      </c>
      <c r="J142" s="153">
        <f ca="1">'public finance'!H140</f>
        <v>0</v>
      </c>
      <c r="K142" s="20">
        <f ca="1">'public finance'!C140/'normal case'!D141</f>
        <v>0.2</v>
      </c>
      <c r="L142" s="23">
        <f ca="1">'public finance'!A140/'normal case'!D141</f>
        <v>0.2</v>
      </c>
      <c r="M142" s="21" t="str">
        <f>IF(controls!$B$44=0,"",'normal case'!AC141)</f>
        <v/>
      </c>
      <c r="N142" s="21" t="str">
        <f>IF(controls!$B$44=0,"",'normal case'!AF141)</f>
        <v/>
      </c>
      <c r="O142" s="203" t="str">
        <f>IF(controls!$B$44=0,"",'external balance'!D141)</f>
        <v/>
      </c>
      <c r="P142" s="203" t="str">
        <f>IF(controls!$B$44=0,"",'external balance'!F141)</f>
        <v/>
      </c>
      <c r="Q142" s="202" t="str">
        <f>IF(controls!$B$44=0,"",'external balance'!H141)</f>
        <v/>
      </c>
    </row>
    <row r="143" spans="1:17" ht="14" thickTop="1" thickBot="1">
      <c r="A143" s="32">
        <v>140</v>
      </c>
      <c r="B143" s="20">
        <f ca="1">('normal case'!D142-'normal case'!B142)/'normal case'!B142</f>
        <v>0</v>
      </c>
      <c r="C143" s="26">
        <f ca="1">'normal case'!D142</f>
        <v>100</v>
      </c>
      <c r="D143" s="27">
        <f ca="1">'normal case'!C142</f>
        <v>0</v>
      </c>
      <c r="E143" s="25">
        <f ca="1">'normal case'!L142/100</f>
        <v>0.02</v>
      </c>
      <c r="F143" s="28">
        <f ca="1">'normal case'!N142/100</f>
        <v>0.06</v>
      </c>
      <c r="G143" s="28">
        <f ca="1">'normal case'!M142/100</f>
        <v>0.04</v>
      </c>
      <c r="H143" s="28">
        <f ca="1">'public finance'!D141</f>
        <v>0</v>
      </c>
      <c r="I143" s="23">
        <f ca="1">'public finance'!E141</f>
        <v>0</v>
      </c>
      <c r="J143" s="153">
        <f ca="1">'public finance'!H141</f>
        <v>0</v>
      </c>
      <c r="K143" s="20">
        <f ca="1">'public finance'!C141/'normal case'!D142</f>
        <v>0.2</v>
      </c>
      <c r="L143" s="23">
        <f ca="1">'public finance'!A141/'normal case'!D142</f>
        <v>0.2</v>
      </c>
      <c r="M143" s="21" t="str">
        <f>IF(controls!$B$44=0,"",'normal case'!AC142)</f>
        <v/>
      </c>
      <c r="N143" s="21" t="str">
        <f>IF(controls!$B$44=0,"",'normal case'!AF142)</f>
        <v/>
      </c>
      <c r="O143" s="203" t="str">
        <f>IF(controls!$B$44=0,"",'external balance'!D142)</f>
        <v/>
      </c>
      <c r="P143" s="203" t="str">
        <f>IF(controls!$B$44=0,"",'external balance'!F142)</f>
        <v/>
      </c>
      <c r="Q143" s="202" t="str">
        <f>IF(controls!$B$44=0,"",'external balance'!H142)</f>
        <v/>
      </c>
    </row>
    <row r="144" spans="1:17" ht="14" thickTop="1" thickBot="1">
      <c r="A144" s="32">
        <v>141</v>
      </c>
      <c r="B144" s="20">
        <f ca="1">('normal case'!D143-'normal case'!B143)/'normal case'!B143</f>
        <v>0</v>
      </c>
      <c r="C144" s="26">
        <f ca="1">'normal case'!D143</f>
        <v>100</v>
      </c>
      <c r="D144" s="27">
        <f ca="1">'normal case'!C143</f>
        <v>0</v>
      </c>
      <c r="E144" s="25">
        <f ca="1">'normal case'!L143/100</f>
        <v>0.02</v>
      </c>
      <c r="F144" s="28">
        <f ca="1">'normal case'!N143/100</f>
        <v>0.06</v>
      </c>
      <c r="G144" s="28">
        <f ca="1">'normal case'!M143/100</f>
        <v>0.04</v>
      </c>
      <c r="H144" s="28">
        <f ca="1">'public finance'!D142</f>
        <v>0</v>
      </c>
      <c r="I144" s="23">
        <f ca="1">'public finance'!E142</f>
        <v>0</v>
      </c>
      <c r="J144" s="153">
        <f ca="1">'public finance'!H142</f>
        <v>0</v>
      </c>
      <c r="K144" s="20">
        <f ca="1">'public finance'!C142/'normal case'!D143</f>
        <v>0.2</v>
      </c>
      <c r="L144" s="23">
        <f ca="1">'public finance'!A142/'normal case'!D143</f>
        <v>0.2</v>
      </c>
      <c r="M144" s="21" t="str">
        <f>IF(controls!$B$44=0,"",'normal case'!AC143)</f>
        <v/>
      </c>
      <c r="N144" s="21" t="str">
        <f>IF(controls!$B$44=0,"",'normal case'!AF143)</f>
        <v/>
      </c>
      <c r="O144" s="203" t="str">
        <f>IF(controls!$B$44=0,"",'external balance'!D143)</f>
        <v/>
      </c>
      <c r="P144" s="203" t="str">
        <f>IF(controls!$B$44=0,"",'external balance'!F143)</f>
        <v/>
      </c>
      <c r="Q144" s="202" t="str">
        <f>IF(controls!$B$44=0,"",'external balance'!H143)</f>
        <v/>
      </c>
    </row>
    <row r="145" spans="1:17" ht="14" thickTop="1" thickBot="1">
      <c r="A145" s="32">
        <v>142</v>
      </c>
      <c r="B145" s="20">
        <f ca="1">('normal case'!D144-'normal case'!B144)/'normal case'!B144</f>
        <v>0</v>
      </c>
      <c r="C145" s="26">
        <f ca="1">'normal case'!D144</f>
        <v>100</v>
      </c>
      <c r="D145" s="27">
        <f ca="1">'normal case'!C144</f>
        <v>0</v>
      </c>
      <c r="E145" s="25">
        <f ca="1">'normal case'!L144/100</f>
        <v>0.02</v>
      </c>
      <c r="F145" s="28">
        <f ca="1">'normal case'!N144/100</f>
        <v>0.06</v>
      </c>
      <c r="G145" s="28">
        <f ca="1">'normal case'!M144/100</f>
        <v>0.04</v>
      </c>
      <c r="H145" s="28">
        <f ca="1">'public finance'!D143</f>
        <v>0</v>
      </c>
      <c r="I145" s="23">
        <f ca="1">'public finance'!E143</f>
        <v>0</v>
      </c>
      <c r="J145" s="153">
        <f ca="1">'public finance'!H143</f>
        <v>0</v>
      </c>
      <c r="K145" s="20">
        <f ca="1">'public finance'!C143/'normal case'!D144</f>
        <v>0.2</v>
      </c>
      <c r="L145" s="23">
        <f ca="1">'public finance'!A143/'normal case'!D144</f>
        <v>0.2</v>
      </c>
      <c r="M145" s="21" t="str">
        <f>IF(controls!$B$44=0,"",'normal case'!AC144)</f>
        <v/>
      </c>
      <c r="N145" s="21" t="str">
        <f>IF(controls!$B$44=0,"",'normal case'!AF144)</f>
        <v/>
      </c>
      <c r="O145" s="203" t="str">
        <f>IF(controls!$B$44=0,"",'external balance'!D144)</f>
        <v/>
      </c>
      <c r="P145" s="203" t="str">
        <f>IF(controls!$B$44=0,"",'external balance'!F144)</f>
        <v/>
      </c>
      <c r="Q145" s="202" t="str">
        <f>IF(controls!$B$44=0,"",'external balance'!H144)</f>
        <v/>
      </c>
    </row>
    <row r="146" spans="1:17" ht="14" thickTop="1" thickBot="1">
      <c r="A146" s="32">
        <v>143</v>
      </c>
      <c r="B146" s="20">
        <f ca="1">('normal case'!D145-'normal case'!B145)/'normal case'!B145</f>
        <v>0</v>
      </c>
      <c r="C146" s="26">
        <f ca="1">'normal case'!D145</f>
        <v>100</v>
      </c>
      <c r="D146" s="27">
        <f ca="1">'normal case'!C145</f>
        <v>0</v>
      </c>
      <c r="E146" s="25">
        <f ca="1">'normal case'!L145/100</f>
        <v>0.02</v>
      </c>
      <c r="F146" s="28">
        <f ca="1">'normal case'!N145/100</f>
        <v>0.06</v>
      </c>
      <c r="G146" s="28">
        <f ca="1">'normal case'!M145/100</f>
        <v>0.04</v>
      </c>
      <c r="H146" s="28">
        <f ca="1">'public finance'!D144</f>
        <v>0</v>
      </c>
      <c r="I146" s="23">
        <f ca="1">'public finance'!E144</f>
        <v>0</v>
      </c>
      <c r="J146" s="153">
        <f ca="1">'public finance'!H144</f>
        <v>0</v>
      </c>
      <c r="K146" s="20">
        <f ca="1">'public finance'!C144/'normal case'!D145</f>
        <v>0.2</v>
      </c>
      <c r="L146" s="23">
        <f ca="1">'public finance'!A144/'normal case'!D145</f>
        <v>0.2</v>
      </c>
      <c r="M146" s="21" t="str">
        <f>IF(controls!$B$44=0,"",'normal case'!AC145)</f>
        <v/>
      </c>
      <c r="N146" s="21" t="str">
        <f>IF(controls!$B$44=0,"",'normal case'!AF145)</f>
        <v/>
      </c>
      <c r="O146" s="203" t="str">
        <f>IF(controls!$B$44=0,"",'external balance'!D145)</f>
        <v/>
      </c>
      <c r="P146" s="203" t="str">
        <f>IF(controls!$B$44=0,"",'external balance'!F145)</f>
        <v/>
      </c>
      <c r="Q146" s="202" t="str">
        <f>IF(controls!$B$44=0,"",'external balance'!H145)</f>
        <v/>
      </c>
    </row>
    <row r="147" spans="1:17" ht="14" thickTop="1" thickBot="1">
      <c r="A147" s="32">
        <v>144</v>
      </c>
      <c r="B147" s="20">
        <f ca="1">('normal case'!D146-'normal case'!B146)/'normal case'!B146</f>
        <v>0</v>
      </c>
      <c r="C147" s="26">
        <f ca="1">'normal case'!D146</f>
        <v>100</v>
      </c>
      <c r="D147" s="27">
        <f ca="1">'normal case'!C146</f>
        <v>0</v>
      </c>
      <c r="E147" s="25">
        <f ca="1">'normal case'!L146/100</f>
        <v>0.02</v>
      </c>
      <c r="F147" s="28">
        <f ca="1">'normal case'!N146/100</f>
        <v>0.06</v>
      </c>
      <c r="G147" s="28">
        <f ca="1">'normal case'!M146/100</f>
        <v>0.04</v>
      </c>
      <c r="H147" s="28">
        <f ca="1">'public finance'!D145</f>
        <v>0</v>
      </c>
      <c r="I147" s="23">
        <f ca="1">'public finance'!E145</f>
        <v>0</v>
      </c>
      <c r="J147" s="153">
        <f ca="1">'public finance'!H145</f>
        <v>0</v>
      </c>
      <c r="K147" s="20">
        <f ca="1">'public finance'!C145/'normal case'!D146</f>
        <v>0.2</v>
      </c>
      <c r="L147" s="23">
        <f ca="1">'public finance'!A145/'normal case'!D146</f>
        <v>0.2</v>
      </c>
      <c r="M147" s="21" t="str">
        <f>IF(controls!$B$44=0,"",'normal case'!AC146)</f>
        <v/>
      </c>
      <c r="N147" s="21" t="str">
        <f>IF(controls!$B$44=0,"",'normal case'!AF146)</f>
        <v/>
      </c>
      <c r="O147" s="203" t="str">
        <f>IF(controls!$B$44=0,"",'external balance'!D146)</f>
        <v/>
      </c>
      <c r="P147" s="203" t="str">
        <f>IF(controls!$B$44=0,"",'external balance'!F146)</f>
        <v/>
      </c>
      <c r="Q147" s="202" t="str">
        <f>IF(controls!$B$44=0,"",'external balance'!H146)</f>
        <v/>
      </c>
    </row>
    <row r="148" spans="1:17" ht="14" thickTop="1" thickBot="1">
      <c r="A148" s="32">
        <v>145</v>
      </c>
      <c r="B148" s="20">
        <f ca="1">('normal case'!D147-'normal case'!B147)/'normal case'!B147</f>
        <v>0</v>
      </c>
      <c r="C148" s="26">
        <f ca="1">'normal case'!D147</f>
        <v>100</v>
      </c>
      <c r="D148" s="27">
        <f ca="1">'normal case'!C147</f>
        <v>0</v>
      </c>
      <c r="E148" s="25">
        <f ca="1">'normal case'!L147/100</f>
        <v>0.02</v>
      </c>
      <c r="F148" s="28">
        <f ca="1">'normal case'!N147/100</f>
        <v>0.06</v>
      </c>
      <c r="G148" s="28">
        <f ca="1">'normal case'!M147/100</f>
        <v>0.04</v>
      </c>
      <c r="H148" s="28">
        <f ca="1">'public finance'!D146</f>
        <v>0</v>
      </c>
      <c r="I148" s="23">
        <f ca="1">'public finance'!E146</f>
        <v>0</v>
      </c>
      <c r="J148" s="153">
        <f ca="1">'public finance'!H146</f>
        <v>0</v>
      </c>
      <c r="K148" s="20">
        <f ca="1">'public finance'!C146/'normal case'!D147</f>
        <v>0.2</v>
      </c>
      <c r="L148" s="23">
        <f ca="1">'public finance'!A146/'normal case'!D147</f>
        <v>0.2</v>
      </c>
      <c r="M148" s="21" t="str">
        <f>IF(controls!$B$44=0,"",'normal case'!AC147)</f>
        <v/>
      </c>
      <c r="N148" s="21" t="str">
        <f>IF(controls!$B$44=0,"",'normal case'!AF147)</f>
        <v/>
      </c>
      <c r="O148" s="203" t="str">
        <f>IF(controls!$B$44=0,"",'external balance'!D147)</f>
        <v/>
      </c>
      <c r="P148" s="203" t="str">
        <f>IF(controls!$B$44=0,"",'external balance'!F147)</f>
        <v/>
      </c>
      <c r="Q148" s="202" t="str">
        <f>IF(controls!$B$44=0,"",'external balance'!H147)</f>
        <v/>
      </c>
    </row>
    <row r="149" spans="1:17" ht="14" thickTop="1" thickBot="1">
      <c r="A149" s="32">
        <v>146</v>
      </c>
      <c r="B149" s="20">
        <f ca="1">('normal case'!D148-'normal case'!B148)/'normal case'!B148</f>
        <v>0</v>
      </c>
      <c r="C149" s="26">
        <f ca="1">'normal case'!D148</f>
        <v>100</v>
      </c>
      <c r="D149" s="27">
        <f ca="1">'normal case'!C148</f>
        <v>0</v>
      </c>
      <c r="E149" s="25">
        <f ca="1">'normal case'!L148/100</f>
        <v>0.02</v>
      </c>
      <c r="F149" s="28">
        <f ca="1">'normal case'!N148/100</f>
        <v>0.06</v>
      </c>
      <c r="G149" s="28">
        <f ca="1">'normal case'!M148/100</f>
        <v>0.04</v>
      </c>
      <c r="H149" s="28">
        <f ca="1">'public finance'!D147</f>
        <v>0</v>
      </c>
      <c r="I149" s="23">
        <f ca="1">'public finance'!E147</f>
        <v>0</v>
      </c>
      <c r="J149" s="153">
        <f ca="1">'public finance'!H147</f>
        <v>0</v>
      </c>
      <c r="K149" s="20">
        <f ca="1">'public finance'!C147/'normal case'!D148</f>
        <v>0.2</v>
      </c>
      <c r="L149" s="23">
        <f ca="1">'public finance'!A147/'normal case'!D148</f>
        <v>0.2</v>
      </c>
      <c r="M149" s="21" t="str">
        <f>IF(controls!$B$44=0,"",'normal case'!AC148)</f>
        <v/>
      </c>
      <c r="N149" s="21" t="str">
        <f>IF(controls!$B$44=0,"",'normal case'!AF148)</f>
        <v/>
      </c>
      <c r="O149" s="203" t="str">
        <f>IF(controls!$B$44=0,"",'external balance'!D148)</f>
        <v/>
      </c>
      <c r="P149" s="203" t="str">
        <f>IF(controls!$B$44=0,"",'external balance'!F148)</f>
        <v/>
      </c>
      <c r="Q149" s="202" t="str">
        <f>IF(controls!$B$44=0,"",'external balance'!H148)</f>
        <v/>
      </c>
    </row>
    <row r="150" spans="1:17" ht="14" thickTop="1" thickBot="1">
      <c r="A150" s="32">
        <v>147</v>
      </c>
      <c r="B150" s="20">
        <f ca="1">('normal case'!D149-'normal case'!B149)/'normal case'!B149</f>
        <v>0</v>
      </c>
      <c r="C150" s="26">
        <f ca="1">'normal case'!D149</f>
        <v>100</v>
      </c>
      <c r="D150" s="27">
        <f ca="1">'normal case'!C149</f>
        <v>0</v>
      </c>
      <c r="E150" s="25">
        <f ca="1">'normal case'!L149/100</f>
        <v>0.02</v>
      </c>
      <c r="F150" s="28">
        <f ca="1">'normal case'!N149/100</f>
        <v>0.06</v>
      </c>
      <c r="G150" s="28">
        <f ca="1">'normal case'!M149/100</f>
        <v>0.04</v>
      </c>
      <c r="H150" s="28">
        <f ca="1">'public finance'!D148</f>
        <v>0</v>
      </c>
      <c r="I150" s="23">
        <f ca="1">'public finance'!E148</f>
        <v>0</v>
      </c>
      <c r="J150" s="153">
        <f ca="1">'public finance'!H148</f>
        <v>0</v>
      </c>
      <c r="K150" s="20">
        <f ca="1">'public finance'!C148/'normal case'!D149</f>
        <v>0.2</v>
      </c>
      <c r="L150" s="23">
        <f ca="1">'public finance'!A148/'normal case'!D149</f>
        <v>0.2</v>
      </c>
      <c r="M150" s="21" t="str">
        <f>IF(controls!$B$44=0,"",'normal case'!AC149)</f>
        <v/>
      </c>
      <c r="N150" s="21" t="str">
        <f>IF(controls!$B$44=0,"",'normal case'!AF149)</f>
        <v/>
      </c>
      <c r="O150" s="203" t="str">
        <f>IF(controls!$B$44=0,"",'external balance'!D149)</f>
        <v/>
      </c>
      <c r="P150" s="203" t="str">
        <f>IF(controls!$B$44=0,"",'external balance'!F149)</f>
        <v/>
      </c>
      <c r="Q150" s="202" t="str">
        <f>IF(controls!$B$44=0,"",'external balance'!H149)</f>
        <v/>
      </c>
    </row>
    <row r="151" spans="1:17" ht="14" thickTop="1" thickBot="1">
      <c r="A151" s="32">
        <v>148</v>
      </c>
      <c r="B151" s="20">
        <f ca="1">('normal case'!D150-'normal case'!B150)/'normal case'!B150</f>
        <v>0</v>
      </c>
      <c r="C151" s="26">
        <f ca="1">'normal case'!D150</f>
        <v>100</v>
      </c>
      <c r="D151" s="27">
        <f ca="1">'normal case'!C150</f>
        <v>0</v>
      </c>
      <c r="E151" s="25">
        <f ca="1">'normal case'!L150/100</f>
        <v>0.02</v>
      </c>
      <c r="F151" s="28">
        <f ca="1">'normal case'!N150/100</f>
        <v>0.06</v>
      </c>
      <c r="G151" s="28">
        <f ca="1">'normal case'!M150/100</f>
        <v>0.04</v>
      </c>
      <c r="H151" s="28">
        <f ca="1">'public finance'!D149</f>
        <v>0</v>
      </c>
      <c r="I151" s="23">
        <f ca="1">'public finance'!E149</f>
        <v>0</v>
      </c>
      <c r="J151" s="153">
        <f ca="1">'public finance'!H149</f>
        <v>0</v>
      </c>
      <c r="K151" s="20">
        <f ca="1">'public finance'!C149/'normal case'!D150</f>
        <v>0.2</v>
      </c>
      <c r="L151" s="23">
        <f ca="1">'public finance'!A149/'normal case'!D150</f>
        <v>0.2</v>
      </c>
      <c r="M151" s="21" t="str">
        <f>IF(controls!$B$44=0,"",'normal case'!AC150)</f>
        <v/>
      </c>
      <c r="N151" s="21" t="str">
        <f>IF(controls!$B$44=0,"",'normal case'!AF150)</f>
        <v/>
      </c>
      <c r="O151" s="203" t="str">
        <f>IF(controls!$B$44=0,"",'external balance'!D150)</f>
        <v/>
      </c>
      <c r="P151" s="203" t="str">
        <f>IF(controls!$B$44=0,"",'external balance'!F150)</f>
        <v/>
      </c>
      <c r="Q151" s="202" t="str">
        <f>IF(controls!$B$44=0,"",'external balance'!H150)</f>
        <v/>
      </c>
    </row>
    <row r="152" spans="1:17" ht="14" thickTop="1" thickBot="1">
      <c r="A152" s="32">
        <v>149</v>
      </c>
      <c r="B152" s="20">
        <f ca="1">('normal case'!D151-'normal case'!B151)/'normal case'!B151</f>
        <v>0</v>
      </c>
      <c r="C152" s="26">
        <f ca="1">'normal case'!D151</f>
        <v>100</v>
      </c>
      <c r="D152" s="27">
        <f ca="1">'normal case'!C151</f>
        <v>0</v>
      </c>
      <c r="E152" s="25">
        <f ca="1">'normal case'!L151/100</f>
        <v>0.02</v>
      </c>
      <c r="F152" s="28">
        <f ca="1">'normal case'!N151/100</f>
        <v>0.06</v>
      </c>
      <c r="G152" s="28">
        <f ca="1">'normal case'!M151/100</f>
        <v>0.04</v>
      </c>
      <c r="H152" s="28">
        <f ca="1">'public finance'!D150</f>
        <v>0</v>
      </c>
      <c r="I152" s="23">
        <f ca="1">'public finance'!E150</f>
        <v>0</v>
      </c>
      <c r="J152" s="153">
        <f ca="1">'public finance'!H150</f>
        <v>0</v>
      </c>
      <c r="K152" s="20">
        <f ca="1">'public finance'!C150/'normal case'!D151</f>
        <v>0.2</v>
      </c>
      <c r="L152" s="23">
        <f ca="1">'public finance'!A150/'normal case'!D151</f>
        <v>0.2</v>
      </c>
      <c r="M152" s="21" t="str">
        <f>IF(controls!$B$44=0,"",'normal case'!AC151)</f>
        <v/>
      </c>
      <c r="N152" s="21" t="str">
        <f>IF(controls!$B$44=0,"",'normal case'!AF151)</f>
        <v/>
      </c>
      <c r="O152" s="203" t="str">
        <f>IF(controls!$B$44=0,"",'external balance'!D151)</f>
        <v/>
      </c>
      <c r="P152" s="203" t="str">
        <f>IF(controls!$B$44=0,"",'external balance'!F151)</f>
        <v/>
      </c>
      <c r="Q152" s="202" t="str">
        <f>IF(controls!$B$44=0,"",'external balance'!H151)</f>
        <v/>
      </c>
    </row>
    <row r="153" spans="1:17" ht="14" thickTop="1" thickBot="1">
      <c r="A153" s="32">
        <v>150</v>
      </c>
      <c r="B153" s="20">
        <f ca="1">('normal case'!D152-'normal case'!B152)/'normal case'!B152</f>
        <v>0</v>
      </c>
      <c r="C153" s="26">
        <f ca="1">'normal case'!D152</f>
        <v>100</v>
      </c>
      <c r="D153" s="27">
        <f ca="1">'normal case'!C152</f>
        <v>0</v>
      </c>
      <c r="E153" s="25">
        <f ca="1">'normal case'!L152/100</f>
        <v>0.02</v>
      </c>
      <c r="F153" s="28">
        <f ca="1">'normal case'!N152/100</f>
        <v>0.06</v>
      </c>
      <c r="G153" s="28">
        <f ca="1">'normal case'!M152/100</f>
        <v>0.04</v>
      </c>
      <c r="H153" s="28">
        <f ca="1">'public finance'!D151</f>
        <v>0</v>
      </c>
      <c r="I153" s="23">
        <f ca="1">'public finance'!E151</f>
        <v>0</v>
      </c>
      <c r="J153" s="153">
        <f ca="1">'public finance'!H151</f>
        <v>0</v>
      </c>
      <c r="K153" s="20">
        <f ca="1">'public finance'!C151/'normal case'!D152</f>
        <v>0.2</v>
      </c>
      <c r="L153" s="23">
        <f ca="1">'public finance'!A151/'normal case'!D152</f>
        <v>0.2</v>
      </c>
      <c r="M153" s="21" t="str">
        <f>IF(controls!$B$44=0,"",'normal case'!AC152)</f>
        <v/>
      </c>
      <c r="N153" s="21" t="str">
        <f>IF(controls!$B$44=0,"",'normal case'!AF152)</f>
        <v/>
      </c>
      <c r="O153" s="203" t="str">
        <f>IF(controls!$B$44=0,"",'external balance'!D152)</f>
        <v/>
      </c>
      <c r="P153" s="203" t="str">
        <f>IF(controls!$B$44=0,"",'external balance'!F152)</f>
        <v/>
      </c>
      <c r="Q153" s="202" t="str">
        <f>IF(controls!$B$44=0,"",'external balance'!H152)</f>
        <v/>
      </c>
    </row>
    <row r="154" spans="1:17" ht="14" thickTop="1" thickBot="1">
      <c r="A154" s="32">
        <v>151</v>
      </c>
      <c r="B154" s="20">
        <f ca="1">('normal case'!D153-'normal case'!B153)/'normal case'!B153</f>
        <v>0</v>
      </c>
      <c r="C154" s="26">
        <f ca="1">'normal case'!D153</f>
        <v>100</v>
      </c>
      <c r="D154" s="27">
        <f ca="1">'normal case'!C153</f>
        <v>0</v>
      </c>
      <c r="E154" s="25">
        <f ca="1">'normal case'!L153/100</f>
        <v>0.02</v>
      </c>
      <c r="F154" s="28">
        <f ca="1">'normal case'!N153/100</f>
        <v>0.06</v>
      </c>
      <c r="G154" s="28">
        <f ca="1">'normal case'!M153/100</f>
        <v>0.04</v>
      </c>
      <c r="H154" s="28">
        <f ca="1">'public finance'!D152</f>
        <v>0</v>
      </c>
      <c r="I154" s="23">
        <f ca="1">'public finance'!E152</f>
        <v>0</v>
      </c>
      <c r="J154" s="153">
        <f ca="1">'public finance'!H152</f>
        <v>0</v>
      </c>
      <c r="K154" s="20">
        <f ca="1">'public finance'!C152/'normal case'!D153</f>
        <v>0.2</v>
      </c>
      <c r="L154" s="23">
        <f ca="1">'public finance'!A152/'normal case'!D153</f>
        <v>0.2</v>
      </c>
      <c r="M154" s="21" t="str">
        <f>IF(controls!$B$44=0,"",'normal case'!AC153)</f>
        <v/>
      </c>
      <c r="N154" s="21" t="str">
        <f>IF(controls!$B$44=0,"",'normal case'!AF153)</f>
        <v/>
      </c>
      <c r="O154" s="203" t="str">
        <f>IF(controls!$B$44=0,"",'external balance'!D153)</f>
        <v/>
      </c>
      <c r="P154" s="203" t="str">
        <f>IF(controls!$B$44=0,"",'external balance'!F153)</f>
        <v/>
      </c>
      <c r="Q154" s="202" t="str">
        <f>IF(controls!$B$44=0,"",'external balance'!H153)</f>
        <v/>
      </c>
    </row>
    <row r="155" spans="1:17" ht="14" thickTop="1" thickBot="1">
      <c r="A155" s="32">
        <v>152</v>
      </c>
      <c r="B155" s="20">
        <f ca="1">('normal case'!D154-'normal case'!B154)/'normal case'!B154</f>
        <v>0</v>
      </c>
      <c r="C155" s="26">
        <f ca="1">'normal case'!D154</f>
        <v>100</v>
      </c>
      <c r="D155" s="27">
        <f ca="1">'normal case'!C154</f>
        <v>0</v>
      </c>
      <c r="E155" s="25">
        <f ca="1">'normal case'!L154/100</f>
        <v>0.02</v>
      </c>
      <c r="F155" s="28">
        <f ca="1">'normal case'!N154/100</f>
        <v>0.06</v>
      </c>
      <c r="G155" s="28">
        <f ca="1">'normal case'!M154/100</f>
        <v>0.04</v>
      </c>
      <c r="H155" s="28">
        <f ca="1">'public finance'!D153</f>
        <v>0</v>
      </c>
      <c r="I155" s="23">
        <f ca="1">'public finance'!E153</f>
        <v>0</v>
      </c>
      <c r="J155" s="153">
        <f ca="1">'public finance'!H153</f>
        <v>0</v>
      </c>
      <c r="K155" s="20">
        <f ca="1">'public finance'!C153/'normal case'!D154</f>
        <v>0.2</v>
      </c>
      <c r="L155" s="23">
        <f ca="1">'public finance'!A153/'normal case'!D154</f>
        <v>0.2</v>
      </c>
      <c r="M155" s="21" t="str">
        <f>IF(controls!$B$44=0,"",'normal case'!AC154)</f>
        <v/>
      </c>
      <c r="N155" s="21" t="str">
        <f>IF(controls!$B$44=0,"",'normal case'!AF154)</f>
        <v/>
      </c>
      <c r="O155" s="203" t="str">
        <f>IF(controls!$B$44=0,"",'external balance'!D154)</f>
        <v/>
      </c>
      <c r="P155" s="203" t="str">
        <f>IF(controls!$B$44=0,"",'external balance'!F154)</f>
        <v/>
      </c>
      <c r="Q155" s="202" t="str">
        <f>IF(controls!$B$44=0,"",'external balance'!H154)</f>
        <v/>
      </c>
    </row>
    <row r="156" spans="1:17" ht="14" thickTop="1" thickBot="1">
      <c r="A156" s="32">
        <v>153</v>
      </c>
      <c r="B156" s="20">
        <f ca="1">('normal case'!D155-'normal case'!B155)/'normal case'!B155</f>
        <v>0</v>
      </c>
      <c r="C156" s="26">
        <f ca="1">'normal case'!D155</f>
        <v>100</v>
      </c>
      <c r="D156" s="27">
        <f ca="1">'normal case'!C155</f>
        <v>0</v>
      </c>
      <c r="E156" s="25">
        <f ca="1">'normal case'!L155/100</f>
        <v>0.02</v>
      </c>
      <c r="F156" s="28">
        <f ca="1">'normal case'!N155/100</f>
        <v>0.06</v>
      </c>
      <c r="G156" s="28">
        <f ca="1">'normal case'!M155/100</f>
        <v>0.04</v>
      </c>
      <c r="H156" s="28">
        <f ca="1">'public finance'!D154</f>
        <v>0</v>
      </c>
      <c r="I156" s="23">
        <f ca="1">'public finance'!E154</f>
        <v>0</v>
      </c>
      <c r="J156" s="153">
        <f ca="1">'public finance'!H154</f>
        <v>0</v>
      </c>
      <c r="K156" s="20">
        <f ca="1">'public finance'!C154/'normal case'!D155</f>
        <v>0.2</v>
      </c>
      <c r="L156" s="23">
        <f ca="1">'public finance'!A154/'normal case'!D155</f>
        <v>0.2</v>
      </c>
      <c r="M156" s="21" t="str">
        <f>IF(controls!$B$44=0,"",'normal case'!AC155)</f>
        <v/>
      </c>
      <c r="N156" s="21" t="str">
        <f>IF(controls!$B$44=0,"",'normal case'!AF155)</f>
        <v/>
      </c>
      <c r="O156" s="203" t="str">
        <f>IF(controls!$B$44=0,"",'external balance'!D155)</f>
        <v/>
      </c>
      <c r="P156" s="203" t="str">
        <f>IF(controls!$B$44=0,"",'external balance'!F155)</f>
        <v/>
      </c>
      <c r="Q156" s="202" t="str">
        <f>IF(controls!$B$44=0,"",'external balance'!H155)</f>
        <v/>
      </c>
    </row>
    <row r="157" spans="1:17" ht="14" thickTop="1" thickBot="1">
      <c r="A157" s="32">
        <v>154</v>
      </c>
      <c r="B157" s="20">
        <f ca="1">('normal case'!D156-'normal case'!B156)/'normal case'!B156</f>
        <v>0</v>
      </c>
      <c r="C157" s="26">
        <f ca="1">'normal case'!D156</f>
        <v>100</v>
      </c>
      <c r="D157" s="27">
        <f ca="1">'normal case'!C156</f>
        <v>0</v>
      </c>
      <c r="E157" s="25">
        <f ca="1">'normal case'!L156/100</f>
        <v>0.02</v>
      </c>
      <c r="F157" s="28">
        <f ca="1">'normal case'!N156/100</f>
        <v>0.06</v>
      </c>
      <c r="G157" s="28">
        <f ca="1">'normal case'!M156/100</f>
        <v>0.04</v>
      </c>
      <c r="H157" s="28">
        <f ca="1">'public finance'!D155</f>
        <v>0</v>
      </c>
      <c r="I157" s="23">
        <f ca="1">'public finance'!E155</f>
        <v>0</v>
      </c>
      <c r="J157" s="153">
        <f ca="1">'public finance'!H155</f>
        <v>0</v>
      </c>
      <c r="K157" s="20">
        <f ca="1">'public finance'!C155/'normal case'!D156</f>
        <v>0.2</v>
      </c>
      <c r="L157" s="23">
        <f ca="1">'public finance'!A155/'normal case'!D156</f>
        <v>0.2</v>
      </c>
      <c r="M157" s="21" t="str">
        <f>IF(controls!$B$44=0,"",'normal case'!AC156)</f>
        <v/>
      </c>
      <c r="N157" s="21" t="str">
        <f>IF(controls!$B$44=0,"",'normal case'!AF156)</f>
        <v/>
      </c>
      <c r="O157" s="203" t="str">
        <f>IF(controls!$B$44=0,"",'external balance'!D156)</f>
        <v/>
      </c>
      <c r="P157" s="203" t="str">
        <f>IF(controls!$B$44=0,"",'external balance'!F156)</f>
        <v/>
      </c>
      <c r="Q157" s="202" t="str">
        <f>IF(controls!$B$44=0,"",'external balance'!H156)</f>
        <v/>
      </c>
    </row>
    <row r="158" spans="1:17" ht="14" thickTop="1" thickBot="1">
      <c r="A158" s="32">
        <v>155</v>
      </c>
      <c r="B158" s="20">
        <f ca="1">('normal case'!D157-'normal case'!B157)/'normal case'!B157</f>
        <v>0</v>
      </c>
      <c r="C158" s="26">
        <f ca="1">'normal case'!D157</f>
        <v>100</v>
      </c>
      <c r="D158" s="27">
        <f ca="1">'normal case'!C157</f>
        <v>0</v>
      </c>
      <c r="E158" s="25">
        <f ca="1">'normal case'!L157/100</f>
        <v>0.02</v>
      </c>
      <c r="F158" s="28">
        <f ca="1">'normal case'!N157/100</f>
        <v>0.06</v>
      </c>
      <c r="G158" s="28">
        <f ca="1">'normal case'!M157/100</f>
        <v>0.04</v>
      </c>
      <c r="H158" s="28">
        <f ca="1">'public finance'!D156</f>
        <v>0</v>
      </c>
      <c r="I158" s="23">
        <f ca="1">'public finance'!E156</f>
        <v>0</v>
      </c>
      <c r="J158" s="153">
        <f ca="1">'public finance'!H156</f>
        <v>0</v>
      </c>
      <c r="K158" s="20">
        <f ca="1">'public finance'!C156/'normal case'!D157</f>
        <v>0.2</v>
      </c>
      <c r="L158" s="23">
        <f ca="1">'public finance'!A156/'normal case'!D157</f>
        <v>0.2</v>
      </c>
      <c r="M158" s="21" t="str">
        <f>IF(controls!$B$44=0,"",'normal case'!AC157)</f>
        <v/>
      </c>
      <c r="N158" s="21" t="str">
        <f>IF(controls!$B$44=0,"",'normal case'!AF157)</f>
        <v/>
      </c>
      <c r="O158" s="203" t="str">
        <f>IF(controls!$B$44=0,"",'external balance'!D157)</f>
        <v/>
      </c>
      <c r="P158" s="203" t="str">
        <f>IF(controls!$B$44=0,"",'external balance'!F157)</f>
        <v/>
      </c>
      <c r="Q158" s="202" t="str">
        <f>IF(controls!$B$44=0,"",'external balance'!H157)</f>
        <v/>
      </c>
    </row>
    <row r="159" spans="1:17" ht="14" thickTop="1" thickBot="1">
      <c r="A159" s="32">
        <v>156</v>
      </c>
      <c r="B159" s="20">
        <f ca="1">('normal case'!D158-'normal case'!B158)/'normal case'!B158</f>
        <v>0</v>
      </c>
      <c r="C159" s="26">
        <f ca="1">'normal case'!D158</f>
        <v>100</v>
      </c>
      <c r="D159" s="27">
        <f ca="1">'normal case'!C158</f>
        <v>0</v>
      </c>
      <c r="E159" s="25">
        <f ca="1">'normal case'!L158/100</f>
        <v>0.02</v>
      </c>
      <c r="F159" s="28">
        <f ca="1">'normal case'!N158/100</f>
        <v>0.06</v>
      </c>
      <c r="G159" s="28">
        <f ca="1">'normal case'!M158/100</f>
        <v>0.04</v>
      </c>
      <c r="H159" s="28">
        <f ca="1">'public finance'!D157</f>
        <v>0</v>
      </c>
      <c r="I159" s="23">
        <f ca="1">'public finance'!E157</f>
        <v>0</v>
      </c>
      <c r="J159" s="153">
        <f ca="1">'public finance'!H157</f>
        <v>0</v>
      </c>
      <c r="K159" s="20">
        <f ca="1">'public finance'!C157/'normal case'!D158</f>
        <v>0.2</v>
      </c>
      <c r="L159" s="23">
        <f ca="1">'public finance'!A157/'normal case'!D158</f>
        <v>0.2</v>
      </c>
      <c r="M159" s="21" t="str">
        <f>IF(controls!$B$44=0,"",'normal case'!AC158)</f>
        <v/>
      </c>
      <c r="N159" s="21" t="str">
        <f>IF(controls!$B$44=0,"",'normal case'!AF158)</f>
        <v/>
      </c>
      <c r="O159" s="203" t="str">
        <f>IF(controls!$B$44=0,"",'external balance'!D158)</f>
        <v/>
      </c>
      <c r="P159" s="203" t="str">
        <f>IF(controls!$B$44=0,"",'external balance'!F158)</f>
        <v/>
      </c>
      <c r="Q159" s="202" t="str">
        <f>IF(controls!$B$44=0,"",'external balance'!H158)</f>
        <v/>
      </c>
    </row>
    <row r="160" spans="1:17" ht="14" thickTop="1" thickBot="1">
      <c r="A160" s="32">
        <v>157</v>
      </c>
      <c r="B160" s="20">
        <f ca="1">('normal case'!D159-'normal case'!B159)/'normal case'!B159</f>
        <v>0</v>
      </c>
      <c r="C160" s="26">
        <f ca="1">'normal case'!D159</f>
        <v>100</v>
      </c>
      <c r="D160" s="27">
        <f ca="1">'normal case'!C159</f>
        <v>0</v>
      </c>
      <c r="E160" s="25">
        <f ca="1">'normal case'!L159/100</f>
        <v>0.02</v>
      </c>
      <c r="F160" s="28">
        <f ca="1">'normal case'!N159/100</f>
        <v>0.06</v>
      </c>
      <c r="G160" s="28">
        <f ca="1">'normal case'!M159/100</f>
        <v>0.04</v>
      </c>
      <c r="H160" s="28">
        <f ca="1">'public finance'!D158</f>
        <v>0</v>
      </c>
      <c r="I160" s="23">
        <f ca="1">'public finance'!E158</f>
        <v>0</v>
      </c>
      <c r="J160" s="153">
        <f ca="1">'public finance'!H158</f>
        <v>0</v>
      </c>
      <c r="K160" s="20">
        <f ca="1">'public finance'!C158/'normal case'!D159</f>
        <v>0.2</v>
      </c>
      <c r="L160" s="23">
        <f ca="1">'public finance'!A158/'normal case'!D159</f>
        <v>0.2</v>
      </c>
      <c r="M160" s="21" t="str">
        <f>IF(controls!$B$44=0,"",'normal case'!AC159)</f>
        <v/>
      </c>
      <c r="N160" s="21" t="str">
        <f>IF(controls!$B$44=0,"",'normal case'!AF159)</f>
        <v/>
      </c>
      <c r="O160" s="203" t="str">
        <f>IF(controls!$B$44=0,"",'external balance'!D159)</f>
        <v/>
      </c>
      <c r="P160" s="203" t="str">
        <f>IF(controls!$B$44=0,"",'external balance'!F159)</f>
        <v/>
      </c>
      <c r="Q160" s="202" t="str">
        <f>IF(controls!$B$44=0,"",'external balance'!H159)</f>
        <v/>
      </c>
    </row>
    <row r="161" spans="1:17" ht="14" thickTop="1" thickBot="1">
      <c r="A161" s="32">
        <v>158</v>
      </c>
      <c r="B161" s="20">
        <f ca="1">('normal case'!D160-'normal case'!B160)/'normal case'!B160</f>
        <v>0</v>
      </c>
      <c r="C161" s="26">
        <f ca="1">'normal case'!D160</f>
        <v>100</v>
      </c>
      <c r="D161" s="27">
        <f ca="1">'normal case'!C160</f>
        <v>0</v>
      </c>
      <c r="E161" s="25">
        <f ca="1">'normal case'!L160/100</f>
        <v>0.02</v>
      </c>
      <c r="F161" s="28">
        <f ca="1">'normal case'!N160/100</f>
        <v>0.06</v>
      </c>
      <c r="G161" s="28">
        <f ca="1">'normal case'!M160/100</f>
        <v>0.04</v>
      </c>
      <c r="H161" s="28">
        <f ca="1">'public finance'!D159</f>
        <v>0</v>
      </c>
      <c r="I161" s="23">
        <f ca="1">'public finance'!E159</f>
        <v>0</v>
      </c>
      <c r="J161" s="153">
        <f ca="1">'public finance'!H159</f>
        <v>0</v>
      </c>
      <c r="K161" s="20">
        <f ca="1">'public finance'!C159/'normal case'!D160</f>
        <v>0.2</v>
      </c>
      <c r="L161" s="23">
        <f ca="1">'public finance'!A159/'normal case'!D160</f>
        <v>0.2</v>
      </c>
      <c r="M161" s="21" t="str">
        <f>IF(controls!$B$44=0,"",'normal case'!AC160)</f>
        <v/>
      </c>
      <c r="N161" s="21" t="str">
        <f>IF(controls!$B$44=0,"",'normal case'!AF160)</f>
        <v/>
      </c>
      <c r="O161" s="203" t="str">
        <f>IF(controls!$B$44=0,"",'external balance'!D160)</f>
        <v/>
      </c>
      <c r="P161" s="203" t="str">
        <f>IF(controls!$B$44=0,"",'external balance'!F160)</f>
        <v/>
      </c>
      <c r="Q161" s="202" t="str">
        <f>IF(controls!$B$44=0,"",'external balance'!H160)</f>
        <v/>
      </c>
    </row>
    <row r="162" spans="1:17" ht="14" thickTop="1" thickBot="1">
      <c r="A162" s="32">
        <v>159</v>
      </c>
      <c r="B162" s="20">
        <f ca="1">('normal case'!D161-'normal case'!B161)/'normal case'!B161</f>
        <v>0</v>
      </c>
      <c r="C162" s="26">
        <f ca="1">'normal case'!D161</f>
        <v>100</v>
      </c>
      <c r="D162" s="27">
        <f ca="1">'normal case'!C161</f>
        <v>0</v>
      </c>
      <c r="E162" s="25">
        <f ca="1">'normal case'!L161/100</f>
        <v>0.02</v>
      </c>
      <c r="F162" s="28">
        <f ca="1">'normal case'!N161/100</f>
        <v>0.06</v>
      </c>
      <c r="G162" s="28">
        <f ca="1">'normal case'!M161/100</f>
        <v>0.04</v>
      </c>
      <c r="H162" s="28">
        <f ca="1">'public finance'!D160</f>
        <v>0</v>
      </c>
      <c r="I162" s="23">
        <f ca="1">'public finance'!E160</f>
        <v>0</v>
      </c>
      <c r="J162" s="153">
        <f ca="1">'public finance'!H160</f>
        <v>0</v>
      </c>
      <c r="K162" s="20">
        <f ca="1">'public finance'!C160/'normal case'!D161</f>
        <v>0.2</v>
      </c>
      <c r="L162" s="23">
        <f ca="1">'public finance'!A160/'normal case'!D161</f>
        <v>0.2</v>
      </c>
      <c r="M162" s="21" t="str">
        <f>IF(controls!$B$44=0,"",'normal case'!AC161)</f>
        <v/>
      </c>
      <c r="N162" s="21" t="str">
        <f>IF(controls!$B$44=0,"",'normal case'!AF161)</f>
        <v/>
      </c>
      <c r="O162" s="203" t="str">
        <f>IF(controls!$B$44=0,"",'external balance'!D161)</f>
        <v/>
      </c>
      <c r="P162" s="203" t="str">
        <f>IF(controls!$B$44=0,"",'external balance'!F161)</f>
        <v/>
      </c>
      <c r="Q162" s="202" t="str">
        <f>IF(controls!$B$44=0,"",'external balance'!H161)</f>
        <v/>
      </c>
    </row>
    <row r="163" spans="1:17" ht="14" thickTop="1" thickBot="1">
      <c r="A163" s="32">
        <v>160</v>
      </c>
      <c r="B163" s="20">
        <f ca="1">('normal case'!D162-'normal case'!B162)/'normal case'!B162</f>
        <v>0</v>
      </c>
      <c r="C163" s="26">
        <f ca="1">'normal case'!D162</f>
        <v>100</v>
      </c>
      <c r="D163" s="27">
        <f ca="1">'normal case'!C162</f>
        <v>0</v>
      </c>
      <c r="E163" s="25">
        <f ca="1">'normal case'!L162/100</f>
        <v>0.02</v>
      </c>
      <c r="F163" s="28">
        <f ca="1">'normal case'!N162/100</f>
        <v>0.06</v>
      </c>
      <c r="G163" s="28">
        <f ca="1">'normal case'!M162/100</f>
        <v>0.04</v>
      </c>
      <c r="H163" s="28">
        <f ca="1">'public finance'!D161</f>
        <v>0</v>
      </c>
      <c r="I163" s="23">
        <f ca="1">'public finance'!E161</f>
        <v>0</v>
      </c>
      <c r="J163" s="153">
        <f ca="1">'public finance'!H161</f>
        <v>0</v>
      </c>
      <c r="K163" s="20">
        <f ca="1">'public finance'!C161/'normal case'!D162</f>
        <v>0.2</v>
      </c>
      <c r="L163" s="23">
        <f ca="1">'public finance'!A161/'normal case'!D162</f>
        <v>0.2</v>
      </c>
      <c r="M163" s="21" t="str">
        <f>IF(controls!$B$44=0,"",'normal case'!AC162)</f>
        <v/>
      </c>
      <c r="N163" s="21" t="str">
        <f>IF(controls!$B$44=0,"",'normal case'!AF162)</f>
        <v/>
      </c>
      <c r="O163" s="203" t="str">
        <f>IF(controls!$B$44=0,"",'external balance'!D162)</f>
        <v/>
      </c>
      <c r="P163" s="203" t="str">
        <f>IF(controls!$B$44=0,"",'external balance'!F162)</f>
        <v/>
      </c>
      <c r="Q163" s="202" t="str">
        <f>IF(controls!$B$44=0,"",'external balance'!H162)</f>
        <v/>
      </c>
    </row>
    <row r="164" spans="1:17" ht="14" thickTop="1" thickBot="1">
      <c r="A164" s="32">
        <v>161</v>
      </c>
      <c r="B164" s="20">
        <f ca="1">('normal case'!D163-'normal case'!B163)/'normal case'!B163</f>
        <v>0</v>
      </c>
      <c r="C164" s="26">
        <f ca="1">'normal case'!D163</f>
        <v>100</v>
      </c>
      <c r="D164" s="27">
        <f ca="1">'normal case'!C163</f>
        <v>0</v>
      </c>
      <c r="E164" s="25">
        <f ca="1">'normal case'!L163/100</f>
        <v>0.02</v>
      </c>
      <c r="F164" s="28">
        <f ca="1">'normal case'!N163/100</f>
        <v>0.06</v>
      </c>
      <c r="G164" s="28">
        <f ca="1">'normal case'!M163/100</f>
        <v>0.04</v>
      </c>
      <c r="H164" s="28">
        <f ca="1">'public finance'!D162</f>
        <v>0</v>
      </c>
      <c r="I164" s="23">
        <f ca="1">'public finance'!E162</f>
        <v>0</v>
      </c>
      <c r="J164" s="153">
        <f ca="1">'public finance'!H162</f>
        <v>0</v>
      </c>
      <c r="K164" s="20">
        <f ca="1">'public finance'!C162/'normal case'!D163</f>
        <v>0.2</v>
      </c>
      <c r="L164" s="23">
        <f ca="1">'public finance'!A162/'normal case'!D163</f>
        <v>0.2</v>
      </c>
      <c r="M164" s="21" t="str">
        <f>IF(controls!$B$44=0,"",'normal case'!AC163)</f>
        <v/>
      </c>
      <c r="N164" s="21" t="str">
        <f>IF(controls!$B$44=0,"",'normal case'!AF163)</f>
        <v/>
      </c>
      <c r="O164" s="203" t="str">
        <f>IF(controls!$B$44=0,"",'external balance'!D163)</f>
        <v/>
      </c>
      <c r="P164" s="203" t="str">
        <f>IF(controls!$B$44=0,"",'external balance'!F163)</f>
        <v/>
      </c>
      <c r="Q164" s="202" t="str">
        <f>IF(controls!$B$44=0,"",'external balance'!H163)</f>
        <v/>
      </c>
    </row>
    <row r="165" spans="1:17" ht="14" thickTop="1" thickBot="1">
      <c r="A165" s="32">
        <v>162</v>
      </c>
      <c r="B165" s="20">
        <f ca="1">('normal case'!D164-'normal case'!B164)/'normal case'!B164</f>
        <v>0</v>
      </c>
      <c r="C165" s="26">
        <f ca="1">'normal case'!D164</f>
        <v>100</v>
      </c>
      <c r="D165" s="27">
        <f ca="1">'normal case'!C164</f>
        <v>0</v>
      </c>
      <c r="E165" s="25">
        <f ca="1">'normal case'!L164/100</f>
        <v>0.02</v>
      </c>
      <c r="F165" s="28">
        <f ca="1">'normal case'!N164/100</f>
        <v>0.06</v>
      </c>
      <c r="G165" s="28">
        <f ca="1">'normal case'!M164/100</f>
        <v>0.04</v>
      </c>
      <c r="H165" s="28">
        <f ca="1">'public finance'!D163</f>
        <v>0</v>
      </c>
      <c r="I165" s="23">
        <f ca="1">'public finance'!E163</f>
        <v>0</v>
      </c>
      <c r="J165" s="153">
        <f ca="1">'public finance'!H163</f>
        <v>0</v>
      </c>
      <c r="K165" s="20">
        <f ca="1">'public finance'!C163/'normal case'!D164</f>
        <v>0.2</v>
      </c>
      <c r="L165" s="23">
        <f ca="1">'public finance'!A163/'normal case'!D164</f>
        <v>0.2</v>
      </c>
      <c r="M165" s="21" t="str">
        <f>IF(controls!$B$44=0,"",'normal case'!AC164)</f>
        <v/>
      </c>
      <c r="N165" s="21" t="str">
        <f>IF(controls!$B$44=0,"",'normal case'!AF164)</f>
        <v/>
      </c>
      <c r="O165" s="203" t="str">
        <f>IF(controls!$B$44=0,"",'external balance'!D164)</f>
        <v/>
      </c>
      <c r="P165" s="203" t="str">
        <f>IF(controls!$B$44=0,"",'external balance'!F164)</f>
        <v/>
      </c>
      <c r="Q165" s="202" t="str">
        <f>IF(controls!$B$44=0,"",'external balance'!H164)</f>
        <v/>
      </c>
    </row>
    <row r="166" spans="1:17" ht="14" thickTop="1" thickBot="1">
      <c r="A166" s="32">
        <v>163</v>
      </c>
      <c r="B166" s="20">
        <f ca="1">('normal case'!D165-'normal case'!B165)/'normal case'!B165</f>
        <v>0</v>
      </c>
      <c r="C166" s="26">
        <f ca="1">'normal case'!D165</f>
        <v>100</v>
      </c>
      <c r="D166" s="27">
        <f ca="1">'normal case'!C165</f>
        <v>0</v>
      </c>
      <c r="E166" s="25">
        <f ca="1">'normal case'!L165/100</f>
        <v>0.02</v>
      </c>
      <c r="F166" s="28">
        <f ca="1">'normal case'!N165/100</f>
        <v>0.06</v>
      </c>
      <c r="G166" s="28">
        <f ca="1">'normal case'!M165/100</f>
        <v>0.04</v>
      </c>
      <c r="H166" s="28">
        <f ca="1">'public finance'!D164</f>
        <v>0</v>
      </c>
      <c r="I166" s="23">
        <f ca="1">'public finance'!E164</f>
        <v>0</v>
      </c>
      <c r="J166" s="153">
        <f ca="1">'public finance'!H164</f>
        <v>0</v>
      </c>
      <c r="K166" s="20">
        <f ca="1">'public finance'!C164/'normal case'!D165</f>
        <v>0.2</v>
      </c>
      <c r="L166" s="23">
        <f ca="1">'public finance'!A164/'normal case'!D165</f>
        <v>0.2</v>
      </c>
      <c r="M166" s="21" t="str">
        <f>IF(controls!$B$44=0,"",'normal case'!AC165)</f>
        <v/>
      </c>
      <c r="N166" s="21" t="str">
        <f>IF(controls!$B$44=0,"",'normal case'!AF165)</f>
        <v/>
      </c>
      <c r="O166" s="203" t="str">
        <f>IF(controls!$B$44=0,"",'external balance'!D165)</f>
        <v/>
      </c>
      <c r="P166" s="203" t="str">
        <f>IF(controls!$B$44=0,"",'external balance'!F165)</f>
        <v/>
      </c>
      <c r="Q166" s="202" t="str">
        <f>IF(controls!$B$44=0,"",'external balance'!H165)</f>
        <v/>
      </c>
    </row>
    <row r="167" spans="1:17" ht="14" thickTop="1" thickBot="1">
      <c r="A167" s="32">
        <v>164</v>
      </c>
      <c r="B167" s="20">
        <f ca="1">('normal case'!D166-'normal case'!B166)/'normal case'!B166</f>
        <v>0</v>
      </c>
      <c r="C167" s="26">
        <f ca="1">'normal case'!D166</f>
        <v>100</v>
      </c>
      <c r="D167" s="27">
        <f ca="1">'normal case'!C166</f>
        <v>0</v>
      </c>
      <c r="E167" s="25">
        <f ca="1">'normal case'!L166/100</f>
        <v>0.02</v>
      </c>
      <c r="F167" s="28">
        <f ca="1">'normal case'!N166/100</f>
        <v>0.06</v>
      </c>
      <c r="G167" s="28">
        <f ca="1">'normal case'!M166/100</f>
        <v>0.04</v>
      </c>
      <c r="H167" s="28">
        <f ca="1">'public finance'!D165</f>
        <v>0</v>
      </c>
      <c r="I167" s="23">
        <f ca="1">'public finance'!E165</f>
        <v>0</v>
      </c>
      <c r="J167" s="153">
        <f ca="1">'public finance'!H165</f>
        <v>0</v>
      </c>
      <c r="K167" s="20">
        <f ca="1">'public finance'!C165/'normal case'!D166</f>
        <v>0.2</v>
      </c>
      <c r="L167" s="23">
        <f ca="1">'public finance'!A165/'normal case'!D166</f>
        <v>0.2</v>
      </c>
      <c r="M167" s="21" t="str">
        <f>IF(controls!$B$44=0,"",'normal case'!AC166)</f>
        <v/>
      </c>
      <c r="N167" s="21" t="str">
        <f>IF(controls!$B$44=0,"",'normal case'!AF166)</f>
        <v/>
      </c>
      <c r="O167" s="203" t="str">
        <f>IF(controls!$B$44=0,"",'external balance'!D166)</f>
        <v/>
      </c>
      <c r="P167" s="203" t="str">
        <f>IF(controls!$B$44=0,"",'external balance'!F166)</f>
        <v/>
      </c>
      <c r="Q167" s="202" t="str">
        <f>IF(controls!$B$44=0,"",'external balance'!H166)</f>
        <v/>
      </c>
    </row>
    <row r="168" spans="1:17" ht="14" thickTop="1" thickBot="1">
      <c r="A168" s="32">
        <v>165</v>
      </c>
      <c r="B168" s="20">
        <f ca="1">('normal case'!D167-'normal case'!B167)/'normal case'!B167</f>
        <v>0</v>
      </c>
      <c r="C168" s="26">
        <f ca="1">'normal case'!D167</f>
        <v>100</v>
      </c>
      <c r="D168" s="27">
        <f ca="1">'normal case'!C167</f>
        <v>0</v>
      </c>
      <c r="E168" s="25">
        <f ca="1">'normal case'!L167/100</f>
        <v>0.02</v>
      </c>
      <c r="F168" s="28">
        <f ca="1">'normal case'!N167/100</f>
        <v>0.06</v>
      </c>
      <c r="G168" s="28">
        <f ca="1">'normal case'!M167/100</f>
        <v>0.04</v>
      </c>
      <c r="H168" s="28">
        <f ca="1">'public finance'!D166</f>
        <v>0</v>
      </c>
      <c r="I168" s="23">
        <f ca="1">'public finance'!E166</f>
        <v>0</v>
      </c>
      <c r="J168" s="153">
        <f ca="1">'public finance'!H166</f>
        <v>0</v>
      </c>
      <c r="K168" s="20">
        <f ca="1">'public finance'!C166/'normal case'!D167</f>
        <v>0.2</v>
      </c>
      <c r="L168" s="23">
        <f ca="1">'public finance'!A166/'normal case'!D167</f>
        <v>0.2</v>
      </c>
      <c r="M168" s="21" t="str">
        <f>IF(controls!$B$44=0,"",'normal case'!AC167)</f>
        <v/>
      </c>
      <c r="N168" s="21" t="str">
        <f>IF(controls!$B$44=0,"",'normal case'!AF167)</f>
        <v/>
      </c>
      <c r="O168" s="203" t="str">
        <f>IF(controls!$B$44=0,"",'external balance'!D167)</f>
        <v/>
      </c>
      <c r="P168" s="203" t="str">
        <f>IF(controls!$B$44=0,"",'external balance'!F167)</f>
        <v/>
      </c>
      <c r="Q168" s="202" t="str">
        <f>IF(controls!$B$44=0,"",'external balance'!H167)</f>
        <v/>
      </c>
    </row>
    <row r="169" spans="1:17" ht="14" thickTop="1" thickBot="1">
      <c r="A169" s="32">
        <v>166</v>
      </c>
      <c r="B169" s="20">
        <f ca="1">('normal case'!D168-'normal case'!B168)/'normal case'!B168</f>
        <v>0</v>
      </c>
      <c r="C169" s="26">
        <f ca="1">'normal case'!D168</f>
        <v>100</v>
      </c>
      <c r="D169" s="27">
        <f ca="1">'normal case'!C168</f>
        <v>0</v>
      </c>
      <c r="E169" s="25">
        <f ca="1">'normal case'!L168/100</f>
        <v>0.02</v>
      </c>
      <c r="F169" s="28">
        <f ca="1">'normal case'!N168/100</f>
        <v>0.06</v>
      </c>
      <c r="G169" s="28">
        <f ca="1">'normal case'!M168/100</f>
        <v>0.04</v>
      </c>
      <c r="H169" s="28">
        <f ca="1">'public finance'!D167</f>
        <v>0</v>
      </c>
      <c r="I169" s="23">
        <f ca="1">'public finance'!E167</f>
        <v>0</v>
      </c>
      <c r="J169" s="153">
        <f ca="1">'public finance'!H167</f>
        <v>0</v>
      </c>
      <c r="K169" s="20">
        <f ca="1">'public finance'!C167/'normal case'!D168</f>
        <v>0.2</v>
      </c>
      <c r="L169" s="23">
        <f ca="1">'public finance'!A167/'normal case'!D168</f>
        <v>0.2</v>
      </c>
      <c r="M169" s="21" t="str">
        <f>IF(controls!$B$44=0,"",'normal case'!AC168)</f>
        <v/>
      </c>
      <c r="N169" s="21" t="str">
        <f>IF(controls!$B$44=0,"",'normal case'!AF168)</f>
        <v/>
      </c>
      <c r="O169" s="203" t="str">
        <f>IF(controls!$B$44=0,"",'external balance'!D168)</f>
        <v/>
      </c>
      <c r="P169" s="203" t="str">
        <f>IF(controls!$B$44=0,"",'external balance'!F168)</f>
        <v/>
      </c>
      <c r="Q169" s="202" t="str">
        <f>IF(controls!$B$44=0,"",'external balance'!H168)</f>
        <v/>
      </c>
    </row>
    <row r="170" spans="1:17" ht="14" thickTop="1" thickBot="1">
      <c r="A170" s="32">
        <v>167</v>
      </c>
      <c r="B170" s="20">
        <f ca="1">('normal case'!D169-'normal case'!B169)/'normal case'!B169</f>
        <v>0</v>
      </c>
      <c r="C170" s="26">
        <f ca="1">'normal case'!D169</f>
        <v>100</v>
      </c>
      <c r="D170" s="27">
        <f ca="1">'normal case'!C169</f>
        <v>0</v>
      </c>
      <c r="E170" s="25">
        <f ca="1">'normal case'!L169/100</f>
        <v>0.02</v>
      </c>
      <c r="F170" s="28">
        <f ca="1">'normal case'!N169/100</f>
        <v>0.06</v>
      </c>
      <c r="G170" s="28">
        <f ca="1">'normal case'!M169/100</f>
        <v>0.04</v>
      </c>
      <c r="H170" s="28">
        <f ca="1">'public finance'!D168</f>
        <v>0</v>
      </c>
      <c r="I170" s="23">
        <f ca="1">'public finance'!E168</f>
        <v>0</v>
      </c>
      <c r="J170" s="153">
        <f ca="1">'public finance'!H168</f>
        <v>0</v>
      </c>
      <c r="K170" s="20">
        <f ca="1">'public finance'!C168/'normal case'!D169</f>
        <v>0.2</v>
      </c>
      <c r="L170" s="23">
        <f ca="1">'public finance'!A168/'normal case'!D169</f>
        <v>0.2</v>
      </c>
      <c r="M170" s="21" t="str">
        <f>IF(controls!$B$44=0,"",'normal case'!AC169)</f>
        <v/>
      </c>
      <c r="N170" s="21" t="str">
        <f>IF(controls!$B$44=0,"",'normal case'!AF169)</f>
        <v/>
      </c>
      <c r="O170" s="203" t="str">
        <f>IF(controls!$B$44=0,"",'external balance'!D169)</f>
        <v/>
      </c>
      <c r="P170" s="203" t="str">
        <f>IF(controls!$B$44=0,"",'external balance'!F169)</f>
        <v/>
      </c>
      <c r="Q170" s="202" t="str">
        <f>IF(controls!$B$44=0,"",'external balance'!H169)</f>
        <v/>
      </c>
    </row>
    <row r="171" spans="1:17" ht="14" thickTop="1" thickBot="1">
      <c r="A171" s="32">
        <v>168</v>
      </c>
      <c r="B171" s="20">
        <f ca="1">('normal case'!D170-'normal case'!B170)/'normal case'!B170</f>
        <v>0</v>
      </c>
      <c r="C171" s="26">
        <f ca="1">'normal case'!D170</f>
        <v>100</v>
      </c>
      <c r="D171" s="27">
        <f ca="1">'normal case'!C170</f>
        <v>0</v>
      </c>
      <c r="E171" s="25">
        <f ca="1">'normal case'!L170/100</f>
        <v>0.02</v>
      </c>
      <c r="F171" s="28">
        <f ca="1">'normal case'!N170/100</f>
        <v>0.06</v>
      </c>
      <c r="G171" s="28">
        <f ca="1">'normal case'!M170/100</f>
        <v>0.04</v>
      </c>
      <c r="H171" s="28">
        <f ca="1">'public finance'!D169</f>
        <v>0</v>
      </c>
      <c r="I171" s="23">
        <f ca="1">'public finance'!E169</f>
        <v>0</v>
      </c>
      <c r="J171" s="153">
        <f ca="1">'public finance'!H169</f>
        <v>0</v>
      </c>
      <c r="K171" s="20">
        <f ca="1">'public finance'!C169/'normal case'!D170</f>
        <v>0.2</v>
      </c>
      <c r="L171" s="23">
        <f ca="1">'public finance'!A169/'normal case'!D170</f>
        <v>0.2</v>
      </c>
      <c r="M171" s="21" t="str">
        <f>IF(controls!$B$44=0,"",'normal case'!AC170)</f>
        <v/>
      </c>
      <c r="N171" s="21" t="str">
        <f>IF(controls!$B$44=0,"",'normal case'!AF170)</f>
        <v/>
      </c>
      <c r="O171" s="203" t="str">
        <f>IF(controls!$B$44=0,"",'external balance'!D170)</f>
        <v/>
      </c>
      <c r="P171" s="203" t="str">
        <f>IF(controls!$B$44=0,"",'external balance'!F170)</f>
        <v/>
      </c>
      <c r="Q171" s="202" t="str">
        <f>IF(controls!$B$44=0,"",'external balance'!H170)</f>
        <v/>
      </c>
    </row>
    <row r="172" spans="1:17" ht="14" thickTop="1" thickBot="1">
      <c r="A172" s="32">
        <v>169</v>
      </c>
      <c r="B172" s="20">
        <f ca="1">('normal case'!D171-'normal case'!B171)/'normal case'!B171</f>
        <v>0</v>
      </c>
      <c r="C172" s="26">
        <f ca="1">'normal case'!D171</f>
        <v>100</v>
      </c>
      <c r="D172" s="27">
        <f ca="1">'normal case'!C171</f>
        <v>0</v>
      </c>
      <c r="E172" s="25">
        <f ca="1">'normal case'!L171/100</f>
        <v>0.02</v>
      </c>
      <c r="F172" s="28">
        <f ca="1">'normal case'!N171/100</f>
        <v>0.06</v>
      </c>
      <c r="G172" s="28">
        <f ca="1">'normal case'!M171/100</f>
        <v>0.04</v>
      </c>
      <c r="H172" s="28">
        <f ca="1">'public finance'!D170</f>
        <v>0</v>
      </c>
      <c r="I172" s="23">
        <f ca="1">'public finance'!E170</f>
        <v>0</v>
      </c>
      <c r="J172" s="153">
        <f ca="1">'public finance'!H170</f>
        <v>0</v>
      </c>
      <c r="K172" s="20">
        <f ca="1">'public finance'!C170/'normal case'!D171</f>
        <v>0.2</v>
      </c>
      <c r="L172" s="23">
        <f ca="1">'public finance'!A170/'normal case'!D171</f>
        <v>0.2</v>
      </c>
      <c r="M172" s="21" t="str">
        <f>IF(controls!$B$44=0,"",'normal case'!AC171)</f>
        <v/>
      </c>
      <c r="N172" s="21" t="str">
        <f>IF(controls!$B$44=0,"",'normal case'!AF171)</f>
        <v/>
      </c>
      <c r="O172" s="203" t="str">
        <f>IF(controls!$B$44=0,"",'external balance'!D171)</f>
        <v/>
      </c>
      <c r="P172" s="203" t="str">
        <f>IF(controls!$B$44=0,"",'external balance'!F171)</f>
        <v/>
      </c>
      <c r="Q172" s="202" t="str">
        <f>IF(controls!$B$44=0,"",'external balance'!H171)</f>
        <v/>
      </c>
    </row>
    <row r="173" spans="1:17" ht="14" thickTop="1" thickBot="1">
      <c r="A173" s="32">
        <v>170</v>
      </c>
      <c r="B173" s="20">
        <f ca="1">('normal case'!D172-'normal case'!B172)/'normal case'!B172</f>
        <v>0</v>
      </c>
      <c r="C173" s="26">
        <f ca="1">'normal case'!D172</f>
        <v>100</v>
      </c>
      <c r="D173" s="27">
        <f ca="1">'normal case'!C172</f>
        <v>0</v>
      </c>
      <c r="E173" s="25">
        <f ca="1">'normal case'!L172/100</f>
        <v>0.02</v>
      </c>
      <c r="F173" s="28">
        <f ca="1">'normal case'!N172/100</f>
        <v>0.06</v>
      </c>
      <c r="G173" s="28">
        <f ca="1">'normal case'!M172/100</f>
        <v>0.04</v>
      </c>
      <c r="H173" s="28">
        <f ca="1">'public finance'!D171</f>
        <v>0</v>
      </c>
      <c r="I173" s="23">
        <f ca="1">'public finance'!E171</f>
        <v>0</v>
      </c>
      <c r="J173" s="153">
        <f ca="1">'public finance'!H171</f>
        <v>0</v>
      </c>
      <c r="K173" s="20">
        <f ca="1">'public finance'!C171/'normal case'!D172</f>
        <v>0.2</v>
      </c>
      <c r="L173" s="23">
        <f ca="1">'public finance'!A171/'normal case'!D172</f>
        <v>0.2</v>
      </c>
      <c r="M173" s="21" t="str">
        <f>IF(controls!$B$44=0,"",'normal case'!AC172)</f>
        <v/>
      </c>
      <c r="N173" s="21" t="str">
        <f>IF(controls!$B$44=0,"",'normal case'!AF172)</f>
        <v/>
      </c>
      <c r="O173" s="203" t="str">
        <f>IF(controls!$B$44=0,"",'external balance'!D172)</f>
        <v/>
      </c>
      <c r="P173" s="203" t="str">
        <f>IF(controls!$B$44=0,"",'external balance'!F172)</f>
        <v/>
      </c>
      <c r="Q173" s="202" t="str">
        <f>IF(controls!$B$44=0,"",'external balance'!H172)</f>
        <v/>
      </c>
    </row>
    <row r="174" spans="1:17" ht="14" thickTop="1" thickBot="1">
      <c r="A174" s="32">
        <v>171</v>
      </c>
      <c r="B174" s="20">
        <f ca="1">('normal case'!D173-'normal case'!B173)/'normal case'!B173</f>
        <v>0</v>
      </c>
      <c r="C174" s="26">
        <f ca="1">'normal case'!D173</f>
        <v>100</v>
      </c>
      <c r="D174" s="27">
        <f ca="1">'normal case'!C173</f>
        <v>0</v>
      </c>
      <c r="E174" s="25">
        <f ca="1">'normal case'!L173/100</f>
        <v>0.02</v>
      </c>
      <c r="F174" s="28">
        <f ca="1">'normal case'!N173/100</f>
        <v>0.06</v>
      </c>
      <c r="G174" s="28">
        <f ca="1">'normal case'!M173/100</f>
        <v>0.04</v>
      </c>
      <c r="H174" s="28">
        <f ca="1">'public finance'!D172</f>
        <v>0</v>
      </c>
      <c r="I174" s="23">
        <f ca="1">'public finance'!E172</f>
        <v>0</v>
      </c>
      <c r="J174" s="153">
        <f ca="1">'public finance'!H172</f>
        <v>0</v>
      </c>
      <c r="K174" s="20">
        <f ca="1">'public finance'!C172/'normal case'!D173</f>
        <v>0.2</v>
      </c>
      <c r="L174" s="23">
        <f ca="1">'public finance'!A172/'normal case'!D173</f>
        <v>0.2</v>
      </c>
      <c r="M174" s="21" t="str">
        <f>IF(controls!$B$44=0,"",'normal case'!AC173)</f>
        <v/>
      </c>
      <c r="N174" s="21" t="str">
        <f>IF(controls!$B$44=0,"",'normal case'!AF173)</f>
        <v/>
      </c>
      <c r="O174" s="203" t="str">
        <f>IF(controls!$B$44=0,"",'external balance'!D173)</f>
        <v/>
      </c>
      <c r="P174" s="203" t="str">
        <f>IF(controls!$B$44=0,"",'external balance'!F173)</f>
        <v/>
      </c>
      <c r="Q174" s="202" t="str">
        <f>IF(controls!$B$44=0,"",'external balance'!H173)</f>
        <v/>
      </c>
    </row>
    <row r="175" spans="1:17" ht="14" thickTop="1" thickBot="1">
      <c r="A175" s="32">
        <v>172</v>
      </c>
      <c r="B175" s="20">
        <f ca="1">('normal case'!D174-'normal case'!B174)/'normal case'!B174</f>
        <v>0</v>
      </c>
      <c r="C175" s="26">
        <f ca="1">'normal case'!D174</f>
        <v>100</v>
      </c>
      <c r="D175" s="27">
        <f ca="1">'normal case'!C174</f>
        <v>0</v>
      </c>
      <c r="E175" s="25">
        <f ca="1">'normal case'!L174/100</f>
        <v>0.02</v>
      </c>
      <c r="F175" s="28">
        <f ca="1">'normal case'!N174/100</f>
        <v>0.06</v>
      </c>
      <c r="G175" s="28">
        <f ca="1">'normal case'!M174/100</f>
        <v>0.04</v>
      </c>
      <c r="H175" s="28">
        <f ca="1">'public finance'!D173</f>
        <v>0</v>
      </c>
      <c r="I175" s="23">
        <f ca="1">'public finance'!E173</f>
        <v>0</v>
      </c>
      <c r="J175" s="153">
        <f ca="1">'public finance'!H173</f>
        <v>0</v>
      </c>
      <c r="K175" s="20">
        <f ca="1">'public finance'!C173/'normal case'!D174</f>
        <v>0.2</v>
      </c>
      <c r="L175" s="23">
        <f ca="1">'public finance'!A173/'normal case'!D174</f>
        <v>0.2</v>
      </c>
      <c r="M175" s="21" t="str">
        <f>IF(controls!$B$44=0,"",'normal case'!AC174)</f>
        <v/>
      </c>
      <c r="N175" s="21" t="str">
        <f>IF(controls!$B$44=0,"",'normal case'!AF174)</f>
        <v/>
      </c>
      <c r="O175" s="203" t="str">
        <f>IF(controls!$B$44=0,"",'external balance'!D174)</f>
        <v/>
      </c>
      <c r="P175" s="203" t="str">
        <f>IF(controls!$B$44=0,"",'external balance'!F174)</f>
        <v/>
      </c>
      <c r="Q175" s="202" t="str">
        <f>IF(controls!$B$44=0,"",'external balance'!H174)</f>
        <v/>
      </c>
    </row>
    <row r="176" spans="1:17" ht="14" thickTop="1" thickBot="1">
      <c r="A176" s="32">
        <v>173</v>
      </c>
      <c r="B176" s="20">
        <f ca="1">('normal case'!D175-'normal case'!B175)/'normal case'!B175</f>
        <v>0</v>
      </c>
      <c r="C176" s="26">
        <f ca="1">'normal case'!D175</f>
        <v>100</v>
      </c>
      <c r="D176" s="27">
        <f ca="1">'normal case'!C175</f>
        <v>0</v>
      </c>
      <c r="E176" s="25">
        <f ca="1">'normal case'!L175/100</f>
        <v>0.02</v>
      </c>
      <c r="F176" s="28">
        <f ca="1">'normal case'!N175/100</f>
        <v>0.06</v>
      </c>
      <c r="G176" s="28">
        <f ca="1">'normal case'!M175/100</f>
        <v>0.04</v>
      </c>
      <c r="H176" s="28">
        <f ca="1">'public finance'!D174</f>
        <v>0</v>
      </c>
      <c r="I176" s="23">
        <f ca="1">'public finance'!E174</f>
        <v>0</v>
      </c>
      <c r="J176" s="153">
        <f ca="1">'public finance'!H174</f>
        <v>0</v>
      </c>
      <c r="K176" s="20">
        <f ca="1">'public finance'!C174/'normal case'!D175</f>
        <v>0.2</v>
      </c>
      <c r="L176" s="23">
        <f ca="1">'public finance'!A174/'normal case'!D175</f>
        <v>0.2</v>
      </c>
      <c r="M176" s="21" t="str">
        <f>IF(controls!$B$44=0,"",'normal case'!AC175)</f>
        <v/>
      </c>
      <c r="N176" s="21" t="str">
        <f>IF(controls!$B$44=0,"",'normal case'!AF175)</f>
        <v/>
      </c>
      <c r="O176" s="203" t="str">
        <f>IF(controls!$B$44=0,"",'external balance'!D175)</f>
        <v/>
      </c>
      <c r="P176" s="203" t="str">
        <f>IF(controls!$B$44=0,"",'external balance'!F175)</f>
        <v/>
      </c>
      <c r="Q176" s="202" t="str">
        <f>IF(controls!$B$44=0,"",'external balance'!H175)</f>
        <v/>
      </c>
    </row>
    <row r="177" spans="1:17" ht="14" thickTop="1" thickBot="1">
      <c r="A177" s="32">
        <v>174</v>
      </c>
      <c r="B177" s="20">
        <f ca="1">('normal case'!D176-'normal case'!B176)/'normal case'!B176</f>
        <v>0</v>
      </c>
      <c r="C177" s="26">
        <f ca="1">'normal case'!D176</f>
        <v>100</v>
      </c>
      <c r="D177" s="27">
        <f ca="1">'normal case'!C176</f>
        <v>0</v>
      </c>
      <c r="E177" s="25">
        <f ca="1">'normal case'!L176/100</f>
        <v>0.02</v>
      </c>
      <c r="F177" s="28">
        <f ca="1">'normal case'!N176/100</f>
        <v>0.06</v>
      </c>
      <c r="G177" s="28">
        <f ca="1">'normal case'!M176/100</f>
        <v>0.04</v>
      </c>
      <c r="H177" s="28">
        <f ca="1">'public finance'!D175</f>
        <v>0</v>
      </c>
      <c r="I177" s="23">
        <f ca="1">'public finance'!E175</f>
        <v>0</v>
      </c>
      <c r="J177" s="153">
        <f ca="1">'public finance'!H175</f>
        <v>0</v>
      </c>
      <c r="K177" s="20">
        <f ca="1">'public finance'!C175/'normal case'!D176</f>
        <v>0.2</v>
      </c>
      <c r="L177" s="23">
        <f ca="1">'public finance'!A175/'normal case'!D176</f>
        <v>0.2</v>
      </c>
      <c r="M177" s="21" t="str">
        <f>IF(controls!$B$44=0,"",'normal case'!AC176)</f>
        <v/>
      </c>
      <c r="N177" s="21" t="str">
        <f>IF(controls!$B$44=0,"",'normal case'!AF176)</f>
        <v/>
      </c>
      <c r="O177" s="203" t="str">
        <f>IF(controls!$B$44=0,"",'external balance'!D176)</f>
        <v/>
      </c>
      <c r="P177" s="203" t="str">
        <f>IF(controls!$B$44=0,"",'external balance'!F176)</f>
        <v/>
      </c>
      <c r="Q177" s="202" t="str">
        <f>IF(controls!$B$44=0,"",'external balance'!H176)</f>
        <v/>
      </c>
    </row>
    <row r="178" spans="1:17" ht="14" thickTop="1" thickBot="1">
      <c r="A178" s="32">
        <v>175</v>
      </c>
      <c r="B178" s="20">
        <f ca="1">('normal case'!D177-'normal case'!B177)/'normal case'!B177</f>
        <v>0</v>
      </c>
      <c r="C178" s="26">
        <f ca="1">'normal case'!D177</f>
        <v>100</v>
      </c>
      <c r="D178" s="27">
        <f ca="1">'normal case'!C177</f>
        <v>0</v>
      </c>
      <c r="E178" s="25">
        <f ca="1">'normal case'!L177/100</f>
        <v>0.02</v>
      </c>
      <c r="F178" s="28">
        <f ca="1">'normal case'!N177/100</f>
        <v>0.06</v>
      </c>
      <c r="G178" s="28">
        <f ca="1">'normal case'!M177/100</f>
        <v>0.04</v>
      </c>
      <c r="H178" s="28">
        <f ca="1">'public finance'!D176</f>
        <v>0</v>
      </c>
      <c r="I178" s="23">
        <f ca="1">'public finance'!E176</f>
        <v>0</v>
      </c>
      <c r="J178" s="153">
        <f ca="1">'public finance'!H176</f>
        <v>0</v>
      </c>
      <c r="K178" s="20">
        <f ca="1">'public finance'!C176/'normal case'!D177</f>
        <v>0.2</v>
      </c>
      <c r="L178" s="23">
        <f ca="1">'public finance'!A176/'normal case'!D177</f>
        <v>0.2</v>
      </c>
      <c r="M178" s="21" t="str">
        <f>IF(controls!$B$44=0,"",'normal case'!AC177)</f>
        <v/>
      </c>
      <c r="N178" s="21" t="str">
        <f>IF(controls!$B$44=0,"",'normal case'!AF177)</f>
        <v/>
      </c>
      <c r="O178" s="203" t="str">
        <f>IF(controls!$B$44=0,"",'external balance'!D177)</f>
        <v/>
      </c>
      <c r="P178" s="203" t="str">
        <f>IF(controls!$B$44=0,"",'external balance'!F177)</f>
        <v/>
      </c>
      <c r="Q178" s="202" t="str">
        <f>IF(controls!$B$44=0,"",'external balance'!H177)</f>
        <v/>
      </c>
    </row>
    <row r="179" spans="1:17" ht="14" thickTop="1" thickBot="1">
      <c r="A179" s="32">
        <v>176</v>
      </c>
      <c r="B179" s="20">
        <f ca="1">('normal case'!D178-'normal case'!B178)/'normal case'!B178</f>
        <v>0</v>
      </c>
      <c r="C179" s="26">
        <f ca="1">'normal case'!D178</f>
        <v>100</v>
      </c>
      <c r="D179" s="27">
        <f ca="1">'normal case'!C178</f>
        <v>0</v>
      </c>
      <c r="E179" s="25">
        <f ca="1">'normal case'!L178/100</f>
        <v>0.02</v>
      </c>
      <c r="F179" s="28">
        <f ca="1">'normal case'!N178/100</f>
        <v>0.06</v>
      </c>
      <c r="G179" s="28">
        <f ca="1">'normal case'!M178/100</f>
        <v>0.04</v>
      </c>
      <c r="H179" s="28">
        <f ca="1">'public finance'!D177</f>
        <v>0</v>
      </c>
      <c r="I179" s="23">
        <f ca="1">'public finance'!E177</f>
        <v>0</v>
      </c>
      <c r="J179" s="153">
        <f ca="1">'public finance'!H177</f>
        <v>0</v>
      </c>
      <c r="K179" s="20">
        <f ca="1">'public finance'!C177/'normal case'!D178</f>
        <v>0.2</v>
      </c>
      <c r="L179" s="23">
        <f ca="1">'public finance'!A177/'normal case'!D178</f>
        <v>0.2</v>
      </c>
      <c r="M179" s="21" t="str">
        <f>IF(controls!$B$44=0,"",'normal case'!AC178)</f>
        <v/>
      </c>
      <c r="N179" s="21" t="str">
        <f>IF(controls!$B$44=0,"",'normal case'!AF178)</f>
        <v/>
      </c>
      <c r="O179" s="203" t="str">
        <f>IF(controls!$B$44=0,"",'external balance'!D178)</f>
        <v/>
      </c>
      <c r="P179" s="203" t="str">
        <f>IF(controls!$B$44=0,"",'external balance'!F178)</f>
        <v/>
      </c>
      <c r="Q179" s="202" t="str">
        <f>IF(controls!$B$44=0,"",'external balance'!H178)</f>
        <v/>
      </c>
    </row>
    <row r="180" spans="1:17" ht="14" thickTop="1" thickBot="1">
      <c r="A180" s="32">
        <v>177</v>
      </c>
      <c r="B180" s="20">
        <f ca="1">('normal case'!D179-'normal case'!B179)/'normal case'!B179</f>
        <v>0</v>
      </c>
      <c r="C180" s="26">
        <f ca="1">'normal case'!D179</f>
        <v>100</v>
      </c>
      <c r="D180" s="27">
        <f ca="1">'normal case'!C179</f>
        <v>0</v>
      </c>
      <c r="E180" s="25">
        <f ca="1">'normal case'!L179/100</f>
        <v>0.02</v>
      </c>
      <c r="F180" s="28">
        <f ca="1">'normal case'!N179/100</f>
        <v>0.06</v>
      </c>
      <c r="G180" s="28">
        <f ca="1">'normal case'!M179/100</f>
        <v>0.04</v>
      </c>
      <c r="H180" s="28">
        <f ca="1">'public finance'!D178</f>
        <v>0</v>
      </c>
      <c r="I180" s="23">
        <f ca="1">'public finance'!E178</f>
        <v>0</v>
      </c>
      <c r="J180" s="153">
        <f ca="1">'public finance'!H178</f>
        <v>0</v>
      </c>
      <c r="K180" s="20">
        <f ca="1">'public finance'!C178/'normal case'!D179</f>
        <v>0.2</v>
      </c>
      <c r="L180" s="23">
        <f ca="1">'public finance'!A178/'normal case'!D179</f>
        <v>0.2</v>
      </c>
      <c r="M180" s="21" t="str">
        <f>IF(controls!$B$44=0,"",'normal case'!AC179)</f>
        <v/>
      </c>
      <c r="N180" s="21" t="str">
        <f>IF(controls!$B$44=0,"",'normal case'!AF179)</f>
        <v/>
      </c>
      <c r="O180" s="203" t="str">
        <f>IF(controls!$B$44=0,"",'external balance'!D179)</f>
        <v/>
      </c>
      <c r="P180" s="203" t="str">
        <f>IF(controls!$B$44=0,"",'external balance'!F179)</f>
        <v/>
      </c>
      <c r="Q180" s="202" t="str">
        <f>IF(controls!$B$44=0,"",'external balance'!H179)</f>
        <v/>
      </c>
    </row>
    <row r="181" spans="1:17" ht="14" thickTop="1" thickBot="1">
      <c r="A181" s="32">
        <v>178</v>
      </c>
      <c r="B181" s="20">
        <f ca="1">('normal case'!D180-'normal case'!B180)/'normal case'!B180</f>
        <v>0</v>
      </c>
      <c r="C181" s="26">
        <f ca="1">'normal case'!D180</f>
        <v>100</v>
      </c>
      <c r="D181" s="27">
        <f ca="1">'normal case'!C180</f>
        <v>0</v>
      </c>
      <c r="E181" s="25">
        <f ca="1">'normal case'!L180/100</f>
        <v>0.02</v>
      </c>
      <c r="F181" s="28">
        <f ca="1">'normal case'!N180/100</f>
        <v>0.06</v>
      </c>
      <c r="G181" s="28">
        <f ca="1">'normal case'!M180/100</f>
        <v>0.04</v>
      </c>
      <c r="H181" s="28">
        <f ca="1">'public finance'!D179</f>
        <v>0</v>
      </c>
      <c r="I181" s="23">
        <f ca="1">'public finance'!E179</f>
        <v>0</v>
      </c>
      <c r="J181" s="153">
        <f ca="1">'public finance'!H179</f>
        <v>0</v>
      </c>
      <c r="K181" s="20">
        <f ca="1">'public finance'!C179/'normal case'!D180</f>
        <v>0.2</v>
      </c>
      <c r="L181" s="23">
        <f ca="1">'public finance'!A179/'normal case'!D180</f>
        <v>0.2</v>
      </c>
      <c r="M181" s="21" t="str">
        <f>IF(controls!$B$44=0,"",'normal case'!AC180)</f>
        <v/>
      </c>
      <c r="N181" s="21" t="str">
        <f>IF(controls!$B$44=0,"",'normal case'!AF180)</f>
        <v/>
      </c>
      <c r="O181" s="203" t="str">
        <f>IF(controls!$B$44=0,"",'external balance'!D180)</f>
        <v/>
      </c>
      <c r="P181" s="203" t="str">
        <f>IF(controls!$B$44=0,"",'external balance'!F180)</f>
        <v/>
      </c>
      <c r="Q181" s="202" t="str">
        <f>IF(controls!$B$44=0,"",'external balance'!H180)</f>
        <v/>
      </c>
    </row>
    <row r="182" spans="1:17" ht="14" thickTop="1" thickBot="1">
      <c r="A182" s="32">
        <v>179</v>
      </c>
      <c r="B182" s="20">
        <f ca="1">('normal case'!D181-'normal case'!B181)/'normal case'!B181</f>
        <v>0</v>
      </c>
      <c r="C182" s="26">
        <f ca="1">'normal case'!D181</f>
        <v>100</v>
      </c>
      <c r="D182" s="27">
        <f ca="1">'normal case'!C181</f>
        <v>0</v>
      </c>
      <c r="E182" s="25">
        <f ca="1">'normal case'!L181/100</f>
        <v>0.02</v>
      </c>
      <c r="F182" s="28">
        <f ca="1">'normal case'!N181/100</f>
        <v>0.06</v>
      </c>
      <c r="G182" s="28">
        <f ca="1">'normal case'!M181/100</f>
        <v>0.04</v>
      </c>
      <c r="H182" s="28">
        <f ca="1">'public finance'!D180</f>
        <v>0</v>
      </c>
      <c r="I182" s="23">
        <f ca="1">'public finance'!E180</f>
        <v>0</v>
      </c>
      <c r="J182" s="153">
        <f ca="1">'public finance'!H180</f>
        <v>0</v>
      </c>
      <c r="K182" s="20">
        <f ca="1">'public finance'!C180/'normal case'!D181</f>
        <v>0.2</v>
      </c>
      <c r="L182" s="23">
        <f ca="1">'public finance'!A180/'normal case'!D181</f>
        <v>0.2</v>
      </c>
      <c r="M182" s="21" t="str">
        <f>IF(controls!$B$44=0,"",'normal case'!AC181)</f>
        <v/>
      </c>
      <c r="N182" s="21" t="str">
        <f>IF(controls!$B$44=0,"",'normal case'!AF181)</f>
        <v/>
      </c>
      <c r="O182" s="203" t="str">
        <f>IF(controls!$B$44=0,"",'external balance'!D181)</f>
        <v/>
      </c>
      <c r="P182" s="203" t="str">
        <f>IF(controls!$B$44=0,"",'external balance'!F181)</f>
        <v/>
      </c>
      <c r="Q182" s="202" t="str">
        <f>IF(controls!$B$44=0,"",'external balance'!H181)</f>
        <v/>
      </c>
    </row>
    <row r="183" spans="1:17" ht="14" thickTop="1" thickBot="1">
      <c r="A183" s="32">
        <v>180</v>
      </c>
      <c r="B183" s="20">
        <f ca="1">('normal case'!D182-'normal case'!B182)/'normal case'!B182</f>
        <v>0</v>
      </c>
      <c r="C183" s="26">
        <f ca="1">'normal case'!D182</f>
        <v>100</v>
      </c>
      <c r="D183" s="27">
        <f ca="1">'normal case'!C182</f>
        <v>0</v>
      </c>
      <c r="E183" s="25">
        <f ca="1">'normal case'!L182/100</f>
        <v>0.02</v>
      </c>
      <c r="F183" s="28">
        <f ca="1">'normal case'!N182/100</f>
        <v>0.06</v>
      </c>
      <c r="G183" s="28">
        <f ca="1">'normal case'!M182/100</f>
        <v>0.04</v>
      </c>
      <c r="H183" s="28">
        <f ca="1">'public finance'!D181</f>
        <v>0</v>
      </c>
      <c r="I183" s="23">
        <f ca="1">'public finance'!E181</f>
        <v>0</v>
      </c>
      <c r="J183" s="153">
        <f ca="1">'public finance'!H181</f>
        <v>0</v>
      </c>
      <c r="K183" s="20">
        <f ca="1">'public finance'!C181/'normal case'!D182</f>
        <v>0.2</v>
      </c>
      <c r="L183" s="23">
        <f ca="1">'public finance'!A181/'normal case'!D182</f>
        <v>0.2</v>
      </c>
      <c r="M183" s="21" t="str">
        <f>IF(controls!$B$44=0,"",'normal case'!AC182)</f>
        <v/>
      </c>
      <c r="N183" s="21" t="str">
        <f>IF(controls!$B$44=0,"",'normal case'!AF182)</f>
        <v/>
      </c>
      <c r="O183" s="203" t="str">
        <f>IF(controls!$B$44=0,"",'external balance'!D182)</f>
        <v/>
      </c>
      <c r="P183" s="203" t="str">
        <f>IF(controls!$B$44=0,"",'external balance'!F182)</f>
        <v/>
      </c>
      <c r="Q183" s="202" t="str">
        <f>IF(controls!$B$44=0,"",'external balance'!H182)</f>
        <v/>
      </c>
    </row>
    <row r="184" spans="1:17" ht="14" thickTop="1" thickBot="1">
      <c r="A184" s="32">
        <v>181</v>
      </c>
      <c r="B184" s="20">
        <f ca="1">('normal case'!D183-'normal case'!B183)/'normal case'!B183</f>
        <v>0</v>
      </c>
      <c r="C184" s="26">
        <f ca="1">'normal case'!D183</f>
        <v>100</v>
      </c>
      <c r="D184" s="27">
        <f ca="1">'normal case'!C183</f>
        <v>0</v>
      </c>
      <c r="E184" s="25">
        <f ca="1">'normal case'!L183/100</f>
        <v>0.02</v>
      </c>
      <c r="F184" s="28">
        <f ca="1">'normal case'!N183/100</f>
        <v>0.06</v>
      </c>
      <c r="G184" s="28">
        <f ca="1">'normal case'!M183/100</f>
        <v>0.04</v>
      </c>
      <c r="H184" s="28">
        <f ca="1">'public finance'!D182</f>
        <v>0</v>
      </c>
      <c r="I184" s="23">
        <f ca="1">'public finance'!E182</f>
        <v>0</v>
      </c>
      <c r="J184" s="153">
        <f ca="1">'public finance'!H182</f>
        <v>0</v>
      </c>
      <c r="K184" s="20">
        <f ca="1">'public finance'!C182/'normal case'!D183</f>
        <v>0.2</v>
      </c>
      <c r="L184" s="23">
        <f ca="1">'public finance'!A182/'normal case'!D183</f>
        <v>0.2</v>
      </c>
      <c r="M184" s="21" t="str">
        <f>IF(controls!$B$44=0,"",'normal case'!AC183)</f>
        <v/>
      </c>
      <c r="N184" s="21" t="str">
        <f>IF(controls!$B$44=0,"",'normal case'!AF183)</f>
        <v/>
      </c>
      <c r="O184" s="203" t="str">
        <f>IF(controls!$B$44=0,"",'external balance'!D183)</f>
        <v/>
      </c>
      <c r="P184" s="203" t="str">
        <f>IF(controls!$B$44=0,"",'external balance'!F183)</f>
        <v/>
      </c>
      <c r="Q184" s="202" t="str">
        <f>IF(controls!$B$44=0,"",'external balance'!H183)</f>
        <v/>
      </c>
    </row>
    <row r="185" spans="1:17" ht="14" thickTop="1" thickBot="1">
      <c r="A185" s="32">
        <v>182</v>
      </c>
      <c r="B185" s="20">
        <f ca="1">('normal case'!D184-'normal case'!B184)/'normal case'!B184</f>
        <v>0</v>
      </c>
      <c r="C185" s="26">
        <f ca="1">'normal case'!D184</f>
        <v>100</v>
      </c>
      <c r="D185" s="27">
        <f ca="1">'normal case'!C184</f>
        <v>0</v>
      </c>
      <c r="E185" s="25">
        <f ca="1">'normal case'!L184/100</f>
        <v>0.02</v>
      </c>
      <c r="F185" s="28">
        <f ca="1">'normal case'!N184/100</f>
        <v>0.06</v>
      </c>
      <c r="G185" s="28">
        <f ca="1">'normal case'!M184/100</f>
        <v>0.04</v>
      </c>
      <c r="H185" s="28">
        <f ca="1">'public finance'!D183</f>
        <v>0</v>
      </c>
      <c r="I185" s="23">
        <f ca="1">'public finance'!E183</f>
        <v>0</v>
      </c>
      <c r="J185" s="153">
        <f ca="1">'public finance'!H183</f>
        <v>0</v>
      </c>
      <c r="K185" s="20">
        <f ca="1">'public finance'!C183/'normal case'!D184</f>
        <v>0.2</v>
      </c>
      <c r="L185" s="23">
        <f ca="1">'public finance'!A183/'normal case'!D184</f>
        <v>0.2</v>
      </c>
      <c r="M185" s="21" t="str">
        <f>IF(controls!$B$44=0,"",'normal case'!AC184)</f>
        <v/>
      </c>
      <c r="N185" s="21" t="str">
        <f>IF(controls!$B$44=0,"",'normal case'!AF184)</f>
        <v/>
      </c>
      <c r="O185" s="203" t="str">
        <f>IF(controls!$B$44=0,"",'external balance'!D184)</f>
        <v/>
      </c>
      <c r="P185" s="203" t="str">
        <f>IF(controls!$B$44=0,"",'external balance'!F184)</f>
        <v/>
      </c>
      <c r="Q185" s="202" t="str">
        <f>IF(controls!$B$44=0,"",'external balance'!H184)</f>
        <v/>
      </c>
    </row>
    <row r="186" spans="1:17" ht="14" thickTop="1" thickBot="1">
      <c r="A186" s="32">
        <v>183</v>
      </c>
      <c r="B186" s="20">
        <f ca="1">('normal case'!D185-'normal case'!B185)/'normal case'!B185</f>
        <v>0</v>
      </c>
      <c r="C186" s="26">
        <f ca="1">'normal case'!D185</f>
        <v>100</v>
      </c>
      <c r="D186" s="27">
        <f ca="1">'normal case'!C185</f>
        <v>0</v>
      </c>
      <c r="E186" s="25">
        <f ca="1">'normal case'!L185/100</f>
        <v>0.02</v>
      </c>
      <c r="F186" s="28">
        <f ca="1">'normal case'!N185/100</f>
        <v>0.06</v>
      </c>
      <c r="G186" s="28">
        <f ca="1">'normal case'!M185/100</f>
        <v>0.04</v>
      </c>
      <c r="H186" s="28">
        <f ca="1">'public finance'!D184</f>
        <v>0</v>
      </c>
      <c r="I186" s="23">
        <f ca="1">'public finance'!E184</f>
        <v>0</v>
      </c>
      <c r="J186" s="153">
        <f ca="1">'public finance'!H184</f>
        <v>0</v>
      </c>
      <c r="K186" s="20">
        <f ca="1">'public finance'!C184/'normal case'!D185</f>
        <v>0.2</v>
      </c>
      <c r="L186" s="23">
        <f ca="1">'public finance'!A184/'normal case'!D185</f>
        <v>0.2</v>
      </c>
      <c r="M186" s="21" t="str">
        <f>IF(controls!$B$44=0,"",'normal case'!AC185)</f>
        <v/>
      </c>
      <c r="N186" s="21" t="str">
        <f>IF(controls!$B$44=0,"",'normal case'!AF185)</f>
        <v/>
      </c>
      <c r="O186" s="203" t="str">
        <f>IF(controls!$B$44=0,"",'external balance'!D185)</f>
        <v/>
      </c>
      <c r="P186" s="203" t="str">
        <f>IF(controls!$B$44=0,"",'external balance'!F185)</f>
        <v/>
      </c>
      <c r="Q186" s="202" t="str">
        <f>IF(controls!$B$44=0,"",'external balance'!H185)</f>
        <v/>
      </c>
    </row>
    <row r="187" spans="1:17" ht="14" thickTop="1" thickBot="1">
      <c r="A187" s="32">
        <v>184</v>
      </c>
      <c r="B187" s="20">
        <f ca="1">('normal case'!D186-'normal case'!B186)/'normal case'!B186</f>
        <v>0</v>
      </c>
      <c r="C187" s="26">
        <f ca="1">'normal case'!D186</f>
        <v>100</v>
      </c>
      <c r="D187" s="27">
        <f ca="1">'normal case'!C186</f>
        <v>0</v>
      </c>
      <c r="E187" s="25">
        <f ca="1">'normal case'!L186/100</f>
        <v>0.02</v>
      </c>
      <c r="F187" s="28">
        <f ca="1">'normal case'!N186/100</f>
        <v>0.06</v>
      </c>
      <c r="G187" s="28">
        <f ca="1">'normal case'!M186/100</f>
        <v>0.04</v>
      </c>
      <c r="H187" s="28">
        <f ca="1">'public finance'!D185</f>
        <v>0</v>
      </c>
      <c r="I187" s="23">
        <f ca="1">'public finance'!E185</f>
        <v>0</v>
      </c>
      <c r="J187" s="153">
        <f ca="1">'public finance'!H185</f>
        <v>0</v>
      </c>
      <c r="K187" s="20">
        <f ca="1">'public finance'!C185/'normal case'!D186</f>
        <v>0.2</v>
      </c>
      <c r="L187" s="23">
        <f ca="1">'public finance'!A185/'normal case'!D186</f>
        <v>0.2</v>
      </c>
      <c r="M187" s="21" t="str">
        <f>IF(controls!$B$44=0,"",'normal case'!AC186)</f>
        <v/>
      </c>
      <c r="N187" s="21" t="str">
        <f>IF(controls!$B$44=0,"",'normal case'!AF186)</f>
        <v/>
      </c>
      <c r="O187" s="203" t="str">
        <f>IF(controls!$B$44=0,"",'external balance'!D186)</f>
        <v/>
      </c>
      <c r="P187" s="203" t="str">
        <f>IF(controls!$B$44=0,"",'external balance'!F186)</f>
        <v/>
      </c>
      <c r="Q187" s="202" t="str">
        <f>IF(controls!$B$44=0,"",'external balance'!H186)</f>
        <v/>
      </c>
    </row>
    <row r="188" spans="1:17" ht="14" thickTop="1" thickBot="1">
      <c r="A188" s="32">
        <v>185</v>
      </c>
      <c r="B188" s="20">
        <f ca="1">('normal case'!D187-'normal case'!B187)/'normal case'!B187</f>
        <v>0</v>
      </c>
      <c r="C188" s="26">
        <f ca="1">'normal case'!D187</f>
        <v>100</v>
      </c>
      <c r="D188" s="27">
        <f ca="1">'normal case'!C187</f>
        <v>0</v>
      </c>
      <c r="E188" s="25">
        <f ca="1">'normal case'!L187/100</f>
        <v>0.02</v>
      </c>
      <c r="F188" s="28">
        <f ca="1">'normal case'!N187/100</f>
        <v>0.06</v>
      </c>
      <c r="G188" s="28">
        <f ca="1">'normal case'!M187/100</f>
        <v>0.04</v>
      </c>
      <c r="H188" s="28">
        <f ca="1">'public finance'!D186</f>
        <v>0</v>
      </c>
      <c r="I188" s="23">
        <f ca="1">'public finance'!E186</f>
        <v>0</v>
      </c>
      <c r="J188" s="153">
        <f ca="1">'public finance'!H186</f>
        <v>0</v>
      </c>
      <c r="K188" s="20">
        <f ca="1">'public finance'!C186/'normal case'!D187</f>
        <v>0.2</v>
      </c>
      <c r="L188" s="23">
        <f ca="1">'public finance'!A186/'normal case'!D187</f>
        <v>0.2</v>
      </c>
      <c r="M188" s="21" t="str">
        <f>IF(controls!$B$44=0,"",'normal case'!AC187)</f>
        <v/>
      </c>
      <c r="N188" s="21" t="str">
        <f>IF(controls!$B$44=0,"",'normal case'!AF187)</f>
        <v/>
      </c>
      <c r="O188" s="203" t="str">
        <f>IF(controls!$B$44=0,"",'external balance'!D187)</f>
        <v/>
      </c>
      <c r="P188" s="203" t="str">
        <f>IF(controls!$B$44=0,"",'external balance'!F187)</f>
        <v/>
      </c>
      <c r="Q188" s="202" t="str">
        <f>IF(controls!$B$44=0,"",'external balance'!H187)</f>
        <v/>
      </c>
    </row>
    <row r="189" spans="1:17" ht="14" thickTop="1" thickBot="1">
      <c r="A189" s="32">
        <v>186</v>
      </c>
      <c r="B189" s="20">
        <f ca="1">('normal case'!D188-'normal case'!B188)/'normal case'!B188</f>
        <v>0</v>
      </c>
      <c r="C189" s="26">
        <f ca="1">'normal case'!D188</f>
        <v>100</v>
      </c>
      <c r="D189" s="27">
        <f ca="1">'normal case'!C188</f>
        <v>0</v>
      </c>
      <c r="E189" s="25">
        <f ca="1">'normal case'!L188/100</f>
        <v>0.02</v>
      </c>
      <c r="F189" s="28">
        <f ca="1">'normal case'!N188/100</f>
        <v>0.06</v>
      </c>
      <c r="G189" s="28">
        <f ca="1">'normal case'!M188/100</f>
        <v>0.04</v>
      </c>
      <c r="H189" s="28">
        <f ca="1">'public finance'!D187</f>
        <v>0</v>
      </c>
      <c r="I189" s="23">
        <f ca="1">'public finance'!E187</f>
        <v>0</v>
      </c>
      <c r="J189" s="153">
        <f ca="1">'public finance'!H187</f>
        <v>0</v>
      </c>
      <c r="K189" s="20">
        <f ca="1">'public finance'!C187/'normal case'!D188</f>
        <v>0.2</v>
      </c>
      <c r="L189" s="23">
        <f ca="1">'public finance'!A187/'normal case'!D188</f>
        <v>0.2</v>
      </c>
      <c r="M189" s="21" t="str">
        <f>IF(controls!$B$44=0,"",'normal case'!AC188)</f>
        <v/>
      </c>
      <c r="N189" s="21" t="str">
        <f>IF(controls!$B$44=0,"",'normal case'!AF188)</f>
        <v/>
      </c>
      <c r="O189" s="203" t="str">
        <f>IF(controls!$B$44=0,"",'external balance'!D188)</f>
        <v/>
      </c>
      <c r="P189" s="203" t="str">
        <f>IF(controls!$B$44=0,"",'external balance'!F188)</f>
        <v/>
      </c>
      <c r="Q189" s="202" t="str">
        <f>IF(controls!$B$44=0,"",'external balance'!H188)</f>
        <v/>
      </c>
    </row>
    <row r="190" spans="1:17" ht="14" thickTop="1" thickBot="1">
      <c r="A190" s="32">
        <v>187</v>
      </c>
      <c r="B190" s="20">
        <f ca="1">('normal case'!D189-'normal case'!B189)/'normal case'!B189</f>
        <v>0</v>
      </c>
      <c r="C190" s="26">
        <f ca="1">'normal case'!D189</f>
        <v>100</v>
      </c>
      <c r="D190" s="27">
        <f ca="1">'normal case'!C189</f>
        <v>0</v>
      </c>
      <c r="E190" s="25">
        <f ca="1">'normal case'!L189/100</f>
        <v>0.02</v>
      </c>
      <c r="F190" s="28">
        <f ca="1">'normal case'!N189/100</f>
        <v>0.06</v>
      </c>
      <c r="G190" s="28">
        <f ca="1">'normal case'!M189/100</f>
        <v>0.04</v>
      </c>
      <c r="H190" s="28">
        <f ca="1">'public finance'!D188</f>
        <v>0</v>
      </c>
      <c r="I190" s="23">
        <f ca="1">'public finance'!E188</f>
        <v>0</v>
      </c>
      <c r="J190" s="153">
        <f ca="1">'public finance'!H188</f>
        <v>0</v>
      </c>
      <c r="K190" s="20">
        <f ca="1">'public finance'!C188/'normal case'!D189</f>
        <v>0.2</v>
      </c>
      <c r="L190" s="23">
        <f ca="1">'public finance'!A188/'normal case'!D189</f>
        <v>0.2</v>
      </c>
      <c r="M190" s="21" t="str">
        <f>IF(controls!$B$44=0,"",'normal case'!AC189)</f>
        <v/>
      </c>
      <c r="N190" s="21" t="str">
        <f>IF(controls!$B$44=0,"",'normal case'!AF189)</f>
        <v/>
      </c>
      <c r="O190" s="203" t="str">
        <f>IF(controls!$B$44=0,"",'external balance'!D189)</f>
        <v/>
      </c>
      <c r="P190" s="203" t="str">
        <f>IF(controls!$B$44=0,"",'external balance'!F189)</f>
        <v/>
      </c>
      <c r="Q190" s="202" t="str">
        <f>IF(controls!$B$44=0,"",'external balance'!H189)</f>
        <v/>
      </c>
    </row>
    <row r="191" spans="1:17" ht="14" thickTop="1" thickBot="1">
      <c r="A191" s="32">
        <v>188</v>
      </c>
      <c r="B191" s="20">
        <f ca="1">('normal case'!D190-'normal case'!B190)/'normal case'!B190</f>
        <v>0</v>
      </c>
      <c r="C191" s="26">
        <f ca="1">'normal case'!D190</f>
        <v>100</v>
      </c>
      <c r="D191" s="27">
        <f ca="1">'normal case'!C190</f>
        <v>0</v>
      </c>
      <c r="E191" s="25">
        <f ca="1">'normal case'!L190/100</f>
        <v>0.02</v>
      </c>
      <c r="F191" s="28">
        <f ca="1">'normal case'!N190/100</f>
        <v>0.06</v>
      </c>
      <c r="G191" s="28">
        <f ca="1">'normal case'!M190/100</f>
        <v>0.04</v>
      </c>
      <c r="H191" s="28">
        <f ca="1">'public finance'!D189</f>
        <v>0</v>
      </c>
      <c r="I191" s="23">
        <f ca="1">'public finance'!E189</f>
        <v>0</v>
      </c>
      <c r="J191" s="153">
        <f ca="1">'public finance'!H189</f>
        <v>0</v>
      </c>
      <c r="K191" s="20">
        <f ca="1">'public finance'!C189/'normal case'!D190</f>
        <v>0.2</v>
      </c>
      <c r="L191" s="23">
        <f ca="1">'public finance'!A189/'normal case'!D190</f>
        <v>0.2</v>
      </c>
      <c r="M191" s="21" t="str">
        <f>IF(controls!$B$44=0,"",'normal case'!AC190)</f>
        <v/>
      </c>
      <c r="N191" s="21" t="str">
        <f>IF(controls!$B$44=0,"",'normal case'!AF190)</f>
        <v/>
      </c>
      <c r="O191" s="203" t="str">
        <f>IF(controls!$B$44=0,"",'external balance'!D190)</f>
        <v/>
      </c>
      <c r="P191" s="203" t="str">
        <f>IF(controls!$B$44=0,"",'external balance'!F190)</f>
        <v/>
      </c>
      <c r="Q191" s="202" t="str">
        <f>IF(controls!$B$44=0,"",'external balance'!H190)</f>
        <v/>
      </c>
    </row>
    <row r="192" spans="1:17" ht="14" thickTop="1" thickBot="1">
      <c r="A192" s="32">
        <v>189</v>
      </c>
      <c r="B192" s="20">
        <f ca="1">('normal case'!D191-'normal case'!B191)/'normal case'!B191</f>
        <v>0</v>
      </c>
      <c r="C192" s="26">
        <f ca="1">'normal case'!D191</f>
        <v>100</v>
      </c>
      <c r="D192" s="27">
        <f ca="1">'normal case'!C191</f>
        <v>0</v>
      </c>
      <c r="E192" s="25">
        <f ca="1">'normal case'!L191/100</f>
        <v>0.02</v>
      </c>
      <c r="F192" s="28">
        <f ca="1">'normal case'!N191/100</f>
        <v>0.06</v>
      </c>
      <c r="G192" s="28">
        <f ca="1">'normal case'!M191/100</f>
        <v>0.04</v>
      </c>
      <c r="H192" s="28">
        <f ca="1">'public finance'!D190</f>
        <v>0</v>
      </c>
      <c r="I192" s="23">
        <f ca="1">'public finance'!E190</f>
        <v>0</v>
      </c>
      <c r="J192" s="153">
        <f ca="1">'public finance'!H190</f>
        <v>0</v>
      </c>
      <c r="K192" s="20">
        <f ca="1">'public finance'!C190/'normal case'!D191</f>
        <v>0.2</v>
      </c>
      <c r="L192" s="23">
        <f ca="1">'public finance'!A190/'normal case'!D191</f>
        <v>0.2</v>
      </c>
      <c r="M192" s="21" t="str">
        <f>IF(controls!$B$44=0,"",'normal case'!AC191)</f>
        <v/>
      </c>
      <c r="N192" s="21" t="str">
        <f>IF(controls!$B$44=0,"",'normal case'!AF191)</f>
        <v/>
      </c>
      <c r="O192" s="203" t="str">
        <f>IF(controls!$B$44=0,"",'external balance'!D191)</f>
        <v/>
      </c>
      <c r="P192" s="203" t="str">
        <f>IF(controls!$B$44=0,"",'external balance'!F191)</f>
        <v/>
      </c>
      <c r="Q192" s="202" t="str">
        <f>IF(controls!$B$44=0,"",'external balance'!H191)</f>
        <v/>
      </c>
    </row>
    <row r="193" spans="1:17" ht="14" thickTop="1" thickBot="1">
      <c r="A193" s="32">
        <v>190</v>
      </c>
      <c r="B193" s="20">
        <f ca="1">('normal case'!D192-'normal case'!B192)/'normal case'!B192</f>
        <v>0</v>
      </c>
      <c r="C193" s="26">
        <f ca="1">'normal case'!D192</f>
        <v>100</v>
      </c>
      <c r="D193" s="27">
        <f ca="1">'normal case'!C192</f>
        <v>0</v>
      </c>
      <c r="E193" s="25">
        <f ca="1">'normal case'!L192/100</f>
        <v>0.02</v>
      </c>
      <c r="F193" s="28">
        <f ca="1">'normal case'!N192/100</f>
        <v>0.06</v>
      </c>
      <c r="G193" s="28">
        <f ca="1">'normal case'!M192/100</f>
        <v>0.04</v>
      </c>
      <c r="H193" s="28">
        <f ca="1">'public finance'!D191</f>
        <v>0</v>
      </c>
      <c r="I193" s="23">
        <f ca="1">'public finance'!E191</f>
        <v>0</v>
      </c>
      <c r="J193" s="153">
        <f ca="1">'public finance'!H191</f>
        <v>0</v>
      </c>
      <c r="K193" s="20">
        <f ca="1">'public finance'!C191/'normal case'!D192</f>
        <v>0.2</v>
      </c>
      <c r="L193" s="23">
        <f ca="1">'public finance'!A191/'normal case'!D192</f>
        <v>0.2</v>
      </c>
      <c r="M193" s="21" t="str">
        <f>IF(controls!$B$44=0,"",'normal case'!AC192)</f>
        <v/>
      </c>
      <c r="N193" s="21" t="str">
        <f>IF(controls!$B$44=0,"",'normal case'!AF192)</f>
        <v/>
      </c>
      <c r="O193" s="203" t="str">
        <f>IF(controls!$B$44=0,"",'external balance'!D192)</f>
        <v/>
      </c>
      <c r="P193" s="203" t="str">
        <f>IF(controls!$B$44=0,"",'external balance'!F192)</f>
        <v/>
      </c>
      <c r="Q193" s="202" t="str">
        <f>IF(controls!$B$44=0,"",'external balance'!H192)</f>
        <v/>
      </c>
    </row>
    <row r="194" spans="1:17" ht="14" thickTop="1" thickBot="1">
      <c r="A194" s="32">
        <v>191</v>
      </c>
      <c r="B194" s="20">
        <f ca="1">('normal case'!D193-'normal case'!B193)/'normal case'!B193</f>
        <v>0</v>
      </c>
      <c r="C194" s="26">
        <f ca="1">'normal case'!D193</f>
        <v>100</v>
      </c>
      <c r="D194" s="27">
        <f ca="1">'normal case'!C193</f>
        <v>0</v>
      </c>
      <c r="E194" s="25">
        <f ca="1">'normal case'!L193/100</f>
        <v>0.02</v>
      </c>
      <c r="F194" s="28">
        <f ca="1">'normal case'!N193/100</f>
        <v>0.06</v>
      </c>
      <c r="G194" s="28">
        <f ca="1">'normal case'!M193/100</f>
        <v>0.04</v>
      </c>
      <c r="H194" s="28">
        <f ca="1">'public finance'!D192</f>
        <v>0</v>
      </c>
      <c r="I194" s="23">
        <f ca="1">'public finance'!E192</f>
        <v>0</v>
      </c>
      <c r="J194" s="153">
        <f ca="1">'public finance'!H192</f>
        <v>0</v>
      </c>
      <c r="K194" s="20">
        <f ca="1">'public finance'!C192/'normal case'!D193</f>
        <v>0.2</v>
      </c>
      <c r="L194" s="23">
        <f ca="1">'public finance'!A192/'normal case'!D193</f>
        <v>0.2</v>
      </c>
      <c r="M194" s="21" t="str">
        <f>IF(controls!$B$44=0,"",'normal case'!AC193)</f>
        <v/>
      </c>
      <c r="N194" s="21" t="str">
        <f>IF(controls!$B$44=0,"",'normal case'!AF193)</f>
        <v/>
      </c>
      <c r="O194" s="203" t="str">
        <f>IF(controls!$B$44=0,"",'external balance'!D193)</f>
        <v/>
      </c>
      <c r="P194" s="203" t="str">
        <f>IF(controls!$B$44=0,"",'external balance'!F193)</f>
        <v/>
      </c>
      <c r="Q194" s="202" t="str">
        <f>IF(controls!$B$44=0,"",'external balance'!H193)</f>
        <v/>
      </c>
    </row>
    <row r="195" spans="1:17" ht="14" thickTop="1" thickBot="1">
      <c r="A195" s="32">
        <v>192</v>
      </c>
      <c r="B195" s="20">
        <f ca="1">('normal case'!D194-'normal case'!B194)/'normal case'!B194</f>
        <v>0</v>
      </c>
      <c r="C195" s="26">
        <f ca="1">'normal case'!D194</f>
        <v>100</v>
      </c>
      <c r="D195" s="27">
        <f ca="1">'normal case'!C194</f>
        <v>0</v>
      </c>
      <c r="E195" s="25">
        <f ca="1">'normal case'!L194/100</f>
        <v>0.02</v>
      </c>
      <c r="F195" s="28">
        <f ca="1">'normal case'!N194/100</f>
        <v>0.06</v>
      </c>
      <c r="G195" s="28">
        <f ca="1">'normal case'!M194/100</f>
        <v>0.04</v>
      </c>
      <c r="H195" s="28">
        <f ca="1">'public finance'!D193</f>
        <v>0</v>
      </c>
      <c r="I195" s="23">
        <f ca="1">'public finance'!E193</f>
        <v>0</v>
      </c>
      <c r="J195" s="153">
        <f ca="1">'public finance'!H193</f>
        <v>0</v>
      </c>
      <c r="K195" s="20">
        <f ca="1">'public finance'!C193/'normal case'!D194</f>
        <v>0.2</v>
      </c>
      <c r="L195" s="23">
        <f ca="1">'public finance'!A193/'normal case'!D194</f>
        <v>0.2</v>
      </c>
      <c r="M195" s="21" t="str">
        <f>IF(controls!$B$44=0,"",'normal case'!AC194)</f>
        <v/>
      </c>
      <c r="N195" s="21" t="str">
        <f>IF(controls!$B$44=0,"",'normal case'!AF194)</f>
        <v/>
      </c>
      <c r="O195" s="203" t="str">
        <f>IF(controls!$B$44=0,"",'external balance'!D194)</f>
        <v/>
      </c>
      <c r="P195" s="203" t="str">
        <f>IF(controls!$B$44=0,"",'external balance'!F194)</f>
        <v/>
      </c>
      <c r="Q195" s="202" t="str">
        <f>IF(controls!$B$44=0,"",'external balance'!H194)</f>
        <v/>
      </c>
    </row>
    <row r="196" spans="1:17" ht="14" thickTop="1" thickBot="1">
      <c r="A196" s="32">
        <v>193</v>
      </c>
      <c r="B196" s="20">
        <f ca="1">('normal case'!D195-'normal case'!B195)/'normal case'!B195</f>
        <v>0</v>
      </c>
      <c r="C196" s="26">
        <f ca="1">'normal case'!D195</f>
        <v>100</v>
      </c>
      <c r="D196" s="27">
        <f ca="1">'normal case'!C195</f>
        <v>0</v>
      </c>
      <c r="E196" s="25">
        <f ca="1">'normal case'!L195/100</f>
        <v>0.02</v>
      </c>
      <c r="F196" s="28">
        <f ca="1">'normal case'!N195/100</f>
        <v>0.06</v>
      </c>
      <c r="G196" s="28">
        <f ca="1">'normal case'!M195/100</f>
        <v>0.04</v>
      </c>
      <c r="H196" s="28">
        <f ca="1">'public finance'!D194</f>
        <v>0</v>
      </c>
      <c r="I196" s="23">
        <f ca="1">'public finance'!E194</f>
        <v>0</v>
      </c>
      <c r="J196" s="153">
        <f ca="1">'public finance'!H194</f>
        <v>0</v>
      </c>
      <c r="K196" s="20">
        <f ca="1">'public finance'!C194/'normal case'!D195</f>
        <v>0.2</v>
      </c>
      <c r="L196" s="23">
        <f ca="1">'public finance'!A194/'normal case'!D195</f>
        <v>0.2</v>
      </c>
      <c r="M196" s="21" t="str">
        <f>IF(controls!$B$44=0,"",'normal case'!AC195)</f>
        <v/>
      </c>
      <c r="N196" s="21" t="str">
        <f>IF(controls!$B$44=0,"",'normal case'!AF195)</f>
        <v/>
      </c>
      <c r="O196" s="203" t="str">
        <f>IF(controls!$B$44=0,"",'external balance'!D195)</f>
        <v/>
      </c>
      <c r="P196" s="203" t="str">
        <f>IF(controls!$B$44=0,"",'external balance'!F195)</f>
        <v/>
      </c>
      <c r="Q196" s="202" t="str">
        <f>IF(controls!$B$44=0,"",'external balance'!H195)</f>
        <v/>
      </c>
    </row>
    <row r="197" spans="1:17" ht="14" thickTop="1" thickBot="1">
      <c r="A197" s="32">
        <v>194</v>
      </c>
      <c r="B197" s="20">
        <f ca="1">('normal case'!D196-'normal case'!B196)/'normal case'!B196</f>
        <v>0</v>
      </c>
      <c r="C197" s="26">
        <f ca="1">'normal case'!D196</f>
        <v>100</v>
      </c>
      <c r="D197" s="27">
        <f ca="1">'normal case'!C196</f>
        <v>0</v>
      </c>
      <c r="E197" s="25">
        <f ca="1">'normal case'!L196/100</f>
        <v>0.02</v>
      </c>
      <c r="F197" s="28">
        <f ca="1">'normal case'!N196/100</f>
        <v>0.06</v>
      </c>
      <c r="G197" s="28">
        <f ca="1">'normal case'!M196/100</f>
        <v>0.04</v>
      </c>
      <c r="H197" s="28">
        <f ca="1">'public finance'!D195</f>
        <v>0</v>
      </c>
      <c r="I197" s="23">
        <f ca="1">'public finance'!E195</f>
        <v>0</v>
      </c>
      <c r="J197" s="153">
        <f ca="1">'public finance'!H195</f>
        <v>0</v>
      </c>
      <c r="K197" s="20">
        <f ca="1">'public finance'!C195/'normal case'!D196</f>
        <v>0.2</v>
      </c>
      <c r="L197" s="23">
        <f ca="1">'public finance'!A195/'normal case'!D196</f>
        <v>0.2</v>
      </c>
      <c r="M197" s="21" t="str">
        <f>IF(controls!$B$44=0,"",'normal case'!AC196)</f>
        <v/>
      </c>
      <c r="N197" s="21" t="str">
        <f>IF(controls!$B$44=0,"",'normal case'!AF196)</f>
        <v/>
      </c>
      <c r="O197" s="203" t="str">
        <f>IF(controls!$B$44=0,"",'external balance'!D196)</f>
        <v/>
      </c>
      <c r="P197" s="203" t="str">
        <f>IF(controls!$B$44=0,"",'external balance'!F196)</f>
        <v/>
      </c>
      <c r="Q197" s="202" t="str">
        <f>IF(controls!$B$44=0,"",'external balance'!H196)</f>
        <v/>
      </c>
    </row>
    <row r="198" spans="1:17" ht="14" thickTop="1" thickBot="1">
      <c r="A198" s="32">
        <v>195</v>
      </c>
      <c r="B198" s="20">
        <f ca="1">('normal case'!D197-'normal case'!B197)/'normal case'!B197</f>
        <v>0</v>
      </c>
      <c r="C198" s="26">
        <f ca="1">'normal case'!D197</f>
        <v>100</v>
      </c>
      <c r="D198" s="27">
        <f ca="1">'normal case'!C197</f>
        <v>0</v>
      </c>
      <c r="E198" s="25">
        <f ca="1">'normal case'!L197/100</f>
        <v>0.02</v>
      </c>
      <c r="F198" s="28">
        <f ca="1">'normal case'!N197/100</f>
        <v>0.06</v>
      </c>
      <c r="G198" s="28">
        <f ca="1">'normal case'!M197/100</f>
        <v>0.04</v>
      </c>
      <c r="H198" s="28">
        <f ca="1">'public finance'!D196</f>
        <v>0</v>
      </c>
      <c r="I198" s="23">
        <f ca="1">'public finance'!E196</f>
        <v>0</v>
      </c>
      <c r="J198" s="153">
        <f ca="1">'public finance'!H196</f>
        <v>0</v>
      </c>
      <c r="K198" s="20">
        <f ca="1">'public finance'!C196/'normal case'!D197</f>
        <v>0.2</v>
      </c>
      <c r="L198" s="23">
        <f ca="1">'public finance'!A196/'normal case'!D197</f>
        <v>0.2</v>
      </c>
      <c r="M198" s="21" t="str">
        <f>IF(controls!$B$44=0,"",'normal case'!AC197)</f>
        <v/>
      </c>
      <c r="N198" s="21" t="str">
        <f>IF(controls!$B$44=0,"",'normal case'!AF197)</f>
        <v/>
      </c>
      <c r="O198" s="203" t="str">
        <f>IF(controls!$B$44=0,"",'external balance'!D197)</f>
        <v/>
      </c>
      <c r="P198" s="203" t="str">
        <f>IF(controls!$B$44=0,"",'external balance'!F197)</f>
        <v/>
      </c>
      <c r="Q198" s="202" t="str">
        <f>IF(controls!$B$44=0,"",'external balance'!H197)</f>
        <v/>
      </c>
    </row>
    <row r="199" spans="1:17" ht="14" thickTop="1" thickBot="1">
      <c r="A199" s="32">
        <v>196</v>
      </c>
      <c r="B199" s="20">
        <f ca="1">('normal case'!D198-'normal case'!B198)/'normal case'!B198</f>
        <v>0</v>
      </c>
      <c r="C199" s="26">
        <f ca="1">'normal case'!D198</f>
        <v>100</v>
      </c>
      <c r="D199" s="27">
        <f ca="1">'normal case'!C198</f>
        <v>0</v>
      </c>
      <c r="E199" s="25">
        <f ca="1">'normal case'!L198/100</f>
        <v>0.02</v>
      </c>
      <c r="F199" s="28">
        <f ca="1">'normal case'!N198/100</f>
        <v>0.06</v>
      </c>
      <c r="G199" s="28">
        <f ca="1">'normal case'!M198/100</f>
        <v>0.04</v>
      </c>
      <c r="H199" s="28">
        <f ca="1">'public finance'!D197</f>
        <v>0</v>
      </c>
      <c r="I199" s="23">
        <f ca="1">'public finance'!E197</f>
        <v>0</v>
      </c>
      <c r="J199" s="153">
        <f ca="1">'public finance'!H197</f>
        <v>0</v>
      </c>
      <c r="K199" s="20">
        <f ca="1">'public finance'!C197/'normal case'!D198</f>
        <v>0.2</v>
      </c>
      <c r="L199" s="23">
        <f ca="1">'public finance'!A197/'normal case'!D198</f>
        <v>0.2</v>
      </c>
      <c r="M199" s="21" t="str">
        <f>IF(controls!$B$44=0,"",'normal case'!AC198)</f>
        <v/>
      </c>
      <c r="N199" s="21" t="str">
        <f>IF(controls!$B$44=0,"",'normal case'!AF198)</f>
        <v/>
      </c>
      <c r="O199" s="203" t="str">
        <f>IF(controls!$B$44=0,"",'external balance'!D198)</f>
        <v/>
      </c>
      <c r="P199" s="203" t="str">
        <f>IF(controls!$B$44=0,"",'external balance'!F198)</f>
        <v/>
      </c>
      <c r="Q199" s="202" t="str">
        <f>IF(controls!$B$44=0,"",'external balance'!H198)</f>
        <v/>
      </c>
    </row>
    <row r="200" spans="1:17" ht="14" thickTop="1" thickBot="1">
      <c r="A200" s="32">
        <v>197</v>
      </c>
      <c r="B200" s="20">
        <f ca="1">('normal case'!D199-'normal case'!B199)/'normal case'!B199</f>
        <v>0</v>
      </c>
      <c r="C200" s="26">
        <f ca="1">'normal case'!D199</f>
        <v>100</v>
      </c>
      <c r="D200" s="27">
        <f ca="1">'normal case'!C199</f>
        <v>0</v>
      </c>
      <c r="E200" s="25">
        <f ca="1">'normal case'!L199/100</f>
        <v>0.02</v>
      </c>
      <c r="F200" s="28">
        <f ca="1">'normal case'!N199/100</f>
        <v>0.06</v>
      </c>
      <c r="G200" s="28">
        <f ca="1">'normal case'!M199/100</f>
        <v>0.04</v>
      </c>
      <c r="H200" s="28">
        <f ca="1">'public finance'!D198</f>
        <v>0</v>
      </c>
      <c r="I200" s="23">
        <f ca="1">'public finance'!E198</f>
        <v>0</v>
      </c>
      <c r="J200" s="153">
        <f ca="1">'public finance'!H198</f>
        <v>0</v>
      </c>
      <c r="K200" s="20">
        <f ca="1">'public finance'!C198/'normal case'!D199</f>
        <v>0.2</v>
      </c>
      <c r="L200" s="23">
        <f ca="1">'public finance'!A198/'normal case'!D199</f>
        <v>0.2</v>
      </c>
      <c r="M200" s="21" t="str">
        <f>IF(controls!$B$44=0,"",'normal case'!AC199)</f>
        <v/>
      </c>
      <c r="N200" s="21" t="str">
        <f>IF(controls!$B$44=0,"",'normal case'!AF199)</f>
        <v/>
      </c>
      <c r="O200" s="203" t="str">
        <f>IF(controls!$B$44=0,"",'external balance'!D199)</f>
        <v/>
      </c>
      <c r="P200" s="203" t="str">
        <f>IF(controls!$B$44=0,"",'external balance'!F199)</f>
        <v/>
      </c>
      <c r="Q200" s="202" t="str">
        <f>IF(controls!$B$44=0,"",'external balance'!H199)</f>
        <v/>
      </c>
    </row>
    <row r="201" spans="1:17" ht="14" thickTop="1" thickBot="1">
      <c r="A201" s="32">
        <v>198</v>
      </c>
      <c r="B201" s="20">
        <f ca="1">('normal case'!D200-'normal case'!B200)/'normal case'!B200</f>
        <v>0</v>
      </c>
      <c r="C201" s="26">
        <f ca="1">'normal case'!D200</f>
        <v>100</v>
      </c>
      <c r="D201" s="27">
        <f ca="1">'normal case'!C200</f>
        <v>0</v>
      </c>
      <c r="E201" s="25">
        <f ca="1">'normal case'!L200/100</f>
        <v>0.02</v>
      </c>
      <c r="F201" s="28">
        <f ca="1">'normal case'!N200/100</f>
        <v>0.06</v>
      </c>
      <c r="G201" s="28">
        <f ca="1">'normal case'!M200/100</f>
        <v>0.04</v>
      </c>
      <c r="H201" s="28">
        <f ca="1">'public finance'!D199</f>
        <v>0</v>
      </c>
      <c r="I201" s="23">
        <f ca="1">'public finance'!E199</f>
        <v>0</v>
      </c>
      <c r="J201" s="153">
        <f ca="1">'public finance'!H199</f>
        <v>0</v>
      </c>
      <c r="K201" s="20">
        <f ca="1">'public finance'!C199/'normal case'!D200</f>
        <v>0.2</v>
      </c>
      <c r="L201" s="23">
        <f ca="1">'public finance'!A199/'normal case'!D200</f>
        <v>0.2</v>
      </c>
      <c r="M201" s="21" t="str">
        <f>IF(controls!$B$44=0,"",'normal case'!AC200)</f>
        <v/>
      </c>
      <c r="N201" s="21" t="str">
        <f>IF(controls!$B$44=0,"",'normal case'!AF200)</f>
        <v/>
      </c>
      <c r="O201" s="203" t="str">
        <f>IF(controls!$B$44=0,"",'external balance'!D200)</f>
        <v/>
      </c>
      <c r="P201" s="203" t="str">
        <f>IF(controls!$B$44=0,"",'external balance'!F200)</f>
        <v/>
      </c>
      <c r="Q201" s="202" t="str">
        <f>IF(controls!$B$44=0,"",'external balance'!H200)</f>
        <v/>
      </c>
    </row>
    <row r="202" spans="1:17" ht="14" thickTop="1" thickBot="1">
      <c r="A202" s="32">
        <v>199</v>
      </c>
      <c r="B202" s="20">
        <f ca="1">('normal case'!D201-'normal case'!B201)/'normal case'!B201</f>
        <v>0</v>
      </c>
      <c r="C202" s="26">
        <f ca="1">'normal case'!D201</f>
        <v>100</v>
      </c>
      <c r="D202" s="27">
        <f ca="1">'normal case'!C201</f>
        <v>0</v>
      </c>
      <c r="E202" s="25">
        <f ca="1">'normal case'!L201/100</f>
        <v>0.02</v>
      </c>
      <c r="F202" s="28">
        <f ca="1">'normal case'!N201/100</f>
        <v>0.06</v>
      </c>
      <c r="G202" s="28">
        <f ca="1">'normal case'!M201/100</f>
        <v>0.04</v>
      </c>
      <c r="H202" s="28">
        <f ca="1">'public finance'!D200</f>
        <v>0</v>
      </c>
      <c r="I202" s="23">
        <f ca="1">'public finance'!E200</f>
        <v>0</v>
      </c>
      <c r="J202" s="153">
        <f ca="1">'public finance'!H200</f>
        <v>0</v>
      </c>
      <c r="K202" s="20">
        <f ca="1">'public finance'!C200/'normal case'!D201</f>
        <v>0.2</v>
      </c>
      <c r="L202" s="23">
        <f ca="1">'public finance'!A200/'normal case'!D201</f>
        <v>0.2</v>
      </c>
      <c r="M202" s="21" t="str">
        <f>IF(controls!$B$44=0,"",'normal case'!AC201)</f>
        <v/>
      </c>
      <c r="N202" s="21" t="str">
        <f>IF(controls!$B$44=0,"",'normal case'!AF201)</f>
        <v/>
      </c>
      <c r="O202" s="203" t="str">
        <f>IF(controls!$B$44=0,"",'external balance'!D201)</f>
        <v/>
      </c>
      <c r="P202" s="203" t="str">
        <f>IF(controls!$B$44=0,"",'external balance'!F201)</f>
        <v/>
      </c>
      <c r="Q202" s="202" t="str">
        <f>IF(controls!$B$44=0,"",'external balance'!H201)</f>
        <v/>
      </c>
    </row>
    <row r="203" spans="1:17" ht="14" thickTop="1" thickBot="1">
      <c r="A203" s="32">
        <v>200</v>
      </c>
      <c r="B203" s="20">
        <f ca="1">('normal case'!D202-'normal case'!B202)/'normal case'!B202</f>
        <v>0</v>
      </c>
      <c r="C203" s="26">
        <f ca="1">'normal case'!D202</f>
        <v>100</v>
      </c>
      <c r="D203" s="27">
        <f ca="1">'normal case'!C202</f>
        <v>0</v>
      </c>
      <c r="E203" s="25">
        <f ca="1">'normal case'!L202/100</f>
        <v>0.02</v>
      </c>
      <c r="F203" s="28">
        <f ca="1">'normal case'!N202/100</f>
        <v>0.06</v>
      </c>
      <c r="G203" s="28">
        <f ca="1">'normal case'!M202/100</f>
        <v>0.04</v>
      </c>
      <c r="H203" s="28">
        <f ca="1">'public finance'!D201</f>
        <v>0</v>
      </c>
      <c r="I203" s="23">
        <f ca="1">'public finance'!E201</f>
        <v>0</v>
      </c>
      <c r="J203" s="153">
        <f ca="1">'public finance'!H201</f>
        <v>0</v>
      </c>
      <c r="K203" s="20">
        <f ca="1">'public finance'!C201/'normal case'!D202</f>
        <v>0.2</v>
      </c>
      <c r="L203" s="23">
        <f ca="1">'public finance'!A201/'normal case'!D202</f>
        <v>0.2</v>
      </c>
      <c r="M203" s="21" t="str">
        <f>IF(controls!$B$44=0,"",'normal case'!AC202)</f>
        <v/>
      </c>
      <c r="N203" s="21" t="str">
        <f>IF(controls!$B$44=0,"",'normal case'!AF202)</f>
        <v/>
      </c>
      <c r="O203" s="203" t="str">
        <f>IF(controls!$B$44=0,"",'external balance'!D202)</f>
        <v/>
      </c>
      <c r="P203" s="203" t="str">
        <f>IF(controls!$B$44=0,"",'external balance'!F202)</f>
        <v/>
      </c>
      <c r="Q203" s="202" t="str">
        <f>IF(controls!$B$44=0,"",'external balance'!H202)</f>
        <v/>
      </c>
    </row>
    <row r="204" spans="1:17" ht="14" thickTop="1" thickBot="1">
      <c r="A204" s="32">
        <v>201</v>
      </c>
      <c r="B204" s="20">
        <f ca="1">('normal case'!D203-'normal case'!B203)/'normal case'!B203</f>
        <v>0</v>
      </c>
      <c r="C204" s="26">
        <f ca="1">'normal case'!D203</f>
        <v>100</v>
      </c>
      <c r="D204" s="27">
        <f ca="1">'normal case'!C203</f>
        <v>0</v>
      </c>
      <c r="E204" s="25">
        <f ca="1">'normal case'!L203/100</f>
        <v>0.02</v>
      </c>
      <c r="F204" s="28">
        <f ca="1">'normal case'!N203/100</f>
        <v>0.06</v>
      </c>
      <c r="G204" s="28">
        <f ca="1">'normal case'!M203/100</f>
        <v>0.04</v>
      </c>
      <c r="H204" s="28">
        <f ca="1">'public finance'!D202</f>
        <v>0</v>
      </c>
      <c r="I204" s="23">
        <f ca="1">'public finance'!E202</f>
        <v>0</v>
      </c>
      <c r="J204" s="153">
        <f ca="1">'public finance'!H202</f>
        <v>0</v>
      </c>
      <c r="K204" s="20">
        <f ca="1">'public finance'!C202/'normal case'!D203</f>
        <v>0.2</v>
      </c>
      <c r="L204" s="23">
        <f ca="1">'public finance'!A202/'normal case'!D203</f>
        <v>0.2</v>
      </c>
      <c r="M204" s="21" t="str">
        <f>IF(controls!$B$44=0,"",'normal case'!AC203)</f>
        <v/>
      </c>
      <c r="N204" s="21" t="str">
        <f>IF(controls!$B$44=0,"",'normal case'!AF203)</f>
        <v/>
      </c>
      <c r="O204" s="203" t="str">
        <f>IF(controls!$B$44=0,"",'external balance'!D203)</f>
        <v/>
      </c>
      <c r="P204" s="203" t="str">
        <f>IF(controls!$B$44=0,"",'external balance'!F203)</f>
        <v/>
      </c>
      <c r="Q204" s="202" t="str">
        <f>IF(controls!$B$44=0,"",'external balance'!H203)</f>
        <v/>
      </c>
    </row>
    <row r="205" spans="1:17" ht="14" thickTop="1" thickBot="1">
      <c r="A205" s="32">
        <v>202</v>
      </c>
      <c r="B205" s="20">
        <f ca="1">('normal case'!D204-'normal case'!B204)/'normal case'!B204</f>
        <v>0</v>
      </c>
      <c r="C205" s="26">
        <f ca="1">'normal case'!D204</f>
        <v>100</v>
      </c>
      <c r="D205" s="27">
        <f ca="1">'normal case'!C204</f>
        <v>0</v>
      </c>
      <c r="E205" s="25">
        <f ca="1">'normal case'!L204/100</f>
        <v>0.02</v>
      </c>
      <c r="F205" s="28">
        <f ca="1">'normal case'!N204/100</f>
        <v>0.06</v>
      </c>
      <c r="G205" s="28">
        <f ca="1">'normal case'!M204/100</f>
        <v>0.04</v>
      </c>
      <c r="H205" s="28">
        <f ca="1">'public finance'!D203</f>
        <v>0</v>
      </c>
      <c r="I205" s="23">
        <f ca="1">'public finance'!E203</f>
        <v>0</v>
      </c>
      <c r="J205" s="153">
        <f ca="1">'public finance'!H203</f>
        <v>0</v>
      </c>
      <c r="K205" s="20">
        <f ca="1">'public finance'!C203/'normal case'!D204</f>
        <v>0.2</v>
      </c>
      <c r="L205" s="23">
        <f ca="1">'public finance'!A203/'normal case'!D204</f>
        <v>0.2</v>
      </c>
      <c r="M205" s="21" t="str">
        <f>IF(controls!$B$44=0,"",'normal case'!AC204)</f>
        <v/>
      </c>
      <c r="N205" s="21" t="str">
        <f>IF(controls!$B$44=0,"",'normal case'!AF204)</f>
        <v/>
      </c>
      <c r="O205" s="203" t="str">
        <f>IF(controls!$B$44=0,"",'external balance'!D204)</f>
        <v/>
      </c>
      <c r="P205" s="203" t="str">
        <f>IF(controls!$B$44=0,"",'external balance'!F204)</f>
        <v/>
      </c>
      <c r="Q205" s="202" t="str">
        <f>IF(controls!$B$44=0,"",'external balance'!H204)</f>
        <v/>
      </c>
    </row>
    <row r="206" spans="1:17" ht="14" thickTop="1" thickBot="1">
      <c r="A206" s="32">
        <v>203</v>
      </c>
      <c r="B206" s="20">
        <f ca="1">('normal case'!D205-'normal case'!B205)/'normal case'!B205</f>
        <v>0</v>
      </c>
      <c r="C206" s="26">
        <f ca="1">'normal case'!D205</f>
        <v>100</v>
      </c>
      <c r="D206" s="27">
        <f ca="1">'normal case'!C205</f>
        <v>0</v>
      </c>
      <c r="E206" s="25">
        <f ca="1">'normal case'!L205/100</f>
        <v>0.02</v>
      </c>
      <c r="F206" s="28">
        <f ca="1">'normal case'!N205/100</f>
        <v>0.06</v>
      </c>
      <c r="G206" s="28">
        <f ca="1">'normal case'!M205/100</f>
        <v>0.04</v>
      </c>
      <c r="H206" s="28">
        <f ca="1">'public finance'!D204</f>
        <v>0</v>
      </c>
      <c r="I206" s="23">
        <f ca="1">'public finance'!E204</f>
        <v>0</v>
      </c>
      <c r="J206" s="153">
        <f ca="1">'public finance'!H204</f>
        <v>0</v>
      </c>
      <c r="K206" s="20">
        <f ca="1">'public finance'!C204/'normal case'!D205</f>
        <v>0.2</v>
      </c>
      <c r="L206" s="23">
        <f ca="1">'public finance'!A204/'normal case'!D205</f>
        <v>0.2</v>
      </c>
      <c r="M206" s="21" t="str">
        <f>IF(controls!$B$44=0,"",'normal case'!AC205)</f>
        <v/>
      </c>
      <c r="N206" s="21" t="str">
        <f>IF(controls!$B$44=0,"",'normal case'!AF205)</f>
        <v/>
      </c>
      <c r="O206" s="203" t="str">
        <f>IF(controls!$B$44=0,"",'external balance'!D205)</f>
        <v/>
      </c>
      <c r="P206" s="203" t="str">
        <f>IF(controls!$B$44=0,"",'external balance'!F205)</f>
        <v/>
      </c>
      <c r="Q206" s="202" t="str">
        <f>IF(controls!$B$44=0,"",'external balance'!H205)</f>
        <v/>
      </c>
    </row>
    <row r="207" spans="1:17" ht="14" thickTop="1" thickBot="1">
      <c r="A207" s="32">
        <v>204</v>
      </c>
      <c r="B207" s="20">
        <f ca="1">('normal case'!D206-'normal case'!B206)/'normal case'!B206</f>
        <v>0</v>
      </c>
      <c r="C207" s="26">
        <f ca="1">'normal case'!D206</f>
        <v>100</v>
      </c>
      <c r="D207" s="27">
        <f ca="1">'normal case'!C206</f>
        <v>0</v>
      </c>
      <c r="E207" s="25">
        <f ca="1">'normal case'!L206/100</f>
        <v>0.02</v>
      </c>
      <c r="F207" s="28">
        <f ca="1">'normal case'!N206/100</f>
        <v>0.06</v>
      </c>
      <c r="G207" s="28">
        <f ca="1">'normal case'!M206/100</f>
        <v>0.04</v>
      </c>
      <c r="H207" s="28">
        <f ca="1">'public finance'!D205</f>
        <v>0</v>
      </c>
      <c r="I207" s="23">
        <f ca="1">'public finance'!E205</f>
        <v>0</v>
      </c>
      <c r="J207" s="153">
        <f ca="1">'public finance'!H205</f>
        <v>0</v>
      </c>
      <c r="K207" s="20">
        <f ca="1">'public finance'!C205/'normal case'!D206</f>
        <v>0.2</v>
      </c>
      <c r="L207" s="23">
        <f ca="1">'public finance'!A205/'normal case'!D206</f>
        <v>0.2</v>
      </c>
      <c r="M207" s="21" t="str">
        <f>IF(controls!$B$44=0,"",'normal case'!AC206)</f>
        <v/>
      </c>
      <c r="N207" s="21" t="str">
        <f>IF(controls!$B$44=0,"",'normal case'!AF206)</f>
        <v/>
      </c>
      <c r="O207" s="203" t="str">
        <f>IF(controls!$B$44=0,"",'external balance'!D206)</f>
        <v/>
      </c>
      <c r="P207" s="203" t="str">
        <f>IF(controls!$B$44=0,"",'external balance'!F206)</f>
        <v/>
      </c>
      <c r="Q207" s="202" t="str">
        <f>IF(controls!$B$44=0,"",'external balance'!H206)</f>
        <v/>
      </c>
    </row>
    <row r="208" spans="1:17" ht="14" thickTop="1" thickBot="1">
      <c r="A208" s="32">
        <v>205</v>
      </c>
      <c r="B208" s="20">
        <f ca="1">('normal case'!D207-'normal case'!B207)/'normal case'!B207</f>
        <v>0</v>
      </c>
      <c r="C208" s="26">
        <f ca="1">'normal case'!D207</f>
        <v>100</v>
      </c>
      <c r="D208" s="27">
        <f ca="1">'normal case'!C207</f>
        <v>0</v>
      </c>
      <c r="E208" s="25">
        <f ca="1">'normal case'!L207/100</f>
        <v>0.02</v>
      </c>
      <c r="F208" s="28">
        <f ca="1">'normal case'!N207/100</f>
        <v>0.06</v>
      </c>
      <c r="G208" s="28">
        <f ca="1">'normal case'!M207/100</f>
        <v>0.04</v>
      </c>
      <c r="H208" s="28">
        <f ca="1">'public finance'!D206</f>
        <v>0</v>
      </c>
      <c r="I208" s="23">
        <f ca="1">'public finance'!E206</f>
        <v>0</v>
      </c>
      <c r="J208" s="153">
        <f ca="1">'public finance'!H206</f>
        <v>0</v>
      </c>
      <c r="K208" s="20">
        <f ca="1">'public finance'!C206/'normal case'!D207</f>
        <v>0.2</v>
      </c>
      <c r="L208" s="23">
        <f ca="1">'public finance'!A206/'normal case'!D207</f>
        <v>0.2</v>
      </c>
      <c r="M208" s="21" t="str">
        <f>IF(controls!$B$44=0,"",'normal case'!AC207)</f>
        <v/>
      </c>
      <c r="N208" s="21" t="str">
        <f>IF(controls!$B$44=0,"",'normal case'!AF207)</f>
        <v/>
      </c>
      <c r="O208" s="203" t="str">
        <f>IF(controls!$B$44=0,"",'external balance'!D207)</f>
        <v/>
      </c>
      <c r="P208" s="203" t="str">
        <f>IF(controls!$B$44=0,"",'external balance'!F207)</f>
        <v/>
      </c>
      <c r="Q208" s="202" t="str">
        <f>IF(controls!$B$44=0,"",'external balance'!H207)</f>
        <v/>
      </c>
    </row>
    <row r="209" spans="1:17" ht="14" thickTop="1" thickBot="1">
      <c r="A209" s="32">
        <v>206</v>
      </c>
      <c r="B209" s="20">
        <f ca="1">('normal case'!D208-'normal case'!B208)/'normal case'!B208</f>
        <v>0</v>
      </c>
      <c r="C209" s="26">
        <f ca="1">'normal case'!D208</f>
        <v>100</v>
      </c>
      <c r="D209" s="27">
        <f ca="1">'normal case'!C208</f>
        <v>0</v>
      </c>
      <c r="E209" s="25">
        <f ca="1">'normal case'!L208/100</f>
        <v>0.02</v>
      </c>
      <c r="F209" s="28">
        <f ca="1">'normal case'!N208/100</f>
        <v>0.06</v>
      </c>
      <c r="G209" s="28">
        <f ca="1">'normal case'!M208/100</f>
        <v>0.04</v>
      </c>
      <c r="H209" s="28">
        <f ca="1">'public finance'!D207</f>
        <v>0</v>
      </c>
      <c r="I209" s="23">
        <f ca="1">'public finance'!E207</f>
        <v>0</v>
      </c>
      <c r="J209" s="153">
        <f ca="1">'public finance'!H207</f>
        <v>0</v>
      </c>
      <c r="K209" s="20">
        <f ca="1">'public finance'!C207/'normal case'!D208</f>
        <v>0.2</v>
      </c>
      <c r="L209" s="23">
        <f ca="1">'public finance'!A207/'normal case'!D208</f>
        <v>0.2</v>
      </c>
      <c r="M209" s="21" t="str">
        <f>IF(controls!$B$44=0,"",'normal case'!AC208)</f>
        <v/>
      </c>
      <c r="N209" s="21" t="str">
        <f>IF(controls!$B$44=0,"",'normal case'!AF208)</f>
        <v/>
      </c>
      <c r="O209" s="203" t="str">
        <f>IF(controls!$B$44=0,"",'external balance'!D208)</f>
        <v/>
      </c>
      <c r="P209" s="203" t="str">
        <f>IF(controls!$B$44=0,"",'external balance'!F208)</f>
        <v/>
      </c>
      <c r="Q209" s="202" t="str">
        <f>IF(controls!$B$44=0,"",'external balance'!H208)</f>
        <v/>
      </c>
    </row>
    <row r="210" spans="1:17" ht="14" thickTop="1" thickBot="1">
      <c r="A210" s="32">
        <v>207</v>
      </c>
      <c r="B210" s="20">
        <f ca="1">('normal case'!D209-'normal case'!B209)/'normal case'!B209</f>
        <v>0</v>
      </c>
      <c r="C210" s="26">
        <f ca="1">'normal case'!D209</f>
        <v>100</v>
      </c>
      <c r="D210" s="27">
        <f ca="1">'normal case'!C209</f>
        <v>0</v>
      </c>
      <c r="E210" s="25">
        <f ca="1">'normal case'!L209/100</f>
        <v>0.02</v>
      </c>
      <c r="F210" s="28">
        <f ca="1">'normal case'!N209/100</f>
        <v>0.06</v>
      </c>
      <c r="G210" s="28">
        <f ca="1">'normal case'!M209/100</f>
        <v>0.04</v>
      </c>
      <c r="H210" s="28">
        <f ca="1">'public finance'!D208</f>
        <v>0</v>
      </c>
      <c r="I210" s="23">
        <f ca="1">'public finance'!E208</f>
        <v>0</v>
      </c>
      <c r="J210" s="153">
        <f ca="1">'public finance'!H208</f>
        <v>0</v>
      </c>
      <c r="K210" s="20">
        <f ca="1">'public finance'!C208/'normal case'!D209</f>
        <v>0.2</v>
      </c>
      <c r="L210" s="23">
        <f ca="1">'public finance'!A208/'normal case'!D209</f>
        <v>0.2</v>
      </c>
      <c r="M210" s="21" t="str">
        <f>IF(controls!$B$44=0,"",'normal case'!AC209)</f>
        <v/>
      </c>
      <c r="N210" s="21" t="str">
        <f>IF(controls!$B$44=0,"",'normal case'!AF209)</f>
        <v/>
      </c>
      <c r="O210" s="203" t="str">
        <f>IF(controls!$B$44=0,"",'external balance'!D209)</f>
        <v/>
      </c>
      <c r="P210" s="203" t="str">
        <f>IF(controls!$B$44=0,"",'external balance'!F209)</f>
        <v/>
      </c>
      <c r="Q210" s="202" t="str">
        <f>IF(controls!$B$44=0,"",'external balance'!H209)</f>
        <v/>
      </c>
    </row>
    <row r="211" spans="1:17" ht="14" thickTop="1" thickBot="1">
      <c r="A211" s="32">
        <v>208</v>
      </c>
      <c r="B211" s="20">
        <f ca="1">('normal case'!D210-'normal case'!B210)/'normal case'!B210</f>
        <v>0</v>
      </c>
      <c r="C211" s="26">
        <f ca="1">'normal case'!D210</f>
        <v>100</v>
      </c>
      <c r="D211" s="27">
        <f ca="1">'normal case'!C210</f>
        <v>0</v>
      </c>
      <c r="E211" s="25">
        <f ca="1">'normal case'!L210/100</f>
        <v>0.02</v>
      </c>
      <c r="F211" s="28">
        <f ca="1">'normal case'!N210/100</f>
        <v>0.06</v>
      </c>
      <c r="G211" s="28">
        <f ca="1">'normal case'!M210/100</f>
        <v>0.04</v>
      </c>
      <c r="H211" s="28">
        <f ca="1">'public finance'!D209</f>
        <v>0</v>
      </c>
      <c r="I211" s="23">
        <f ca="1">'public finance'!E209</f>
        <v>0</v>
      </c>
      <c r="J211" s="153">
        <f ca="1">'public finance'!H209</f>
        <v>0</v>
      </c>
      <c r="K211" s="20">
        <f ca="1">'public finance'!C209/'normal case'!D210</f>
        <v>0.2</v>
      </c>
      <c r="L211" s="23">
        <f ca="1">'public finance'!A209/'normal case'!D210</f>
        <v>0.2</v>
      </c>
      <c r="M211" s="21" t="str">
        <f>IF(controls!$B$44=0,"",'normal case'!AC210)</f>
        <v/>
      </c>
      <c r="N211" s="21" t="str">
        <f>IF(controls!$B$44=0,"",'normal case'!AF210)</f>
        <v/>
      </c>
      <c r="O211" s="203" t="str">
        <f>IF(controls!$B$44=0,"",'external balance'!D210)</f>
        <v/>
      </c>
      <c r="P211" s="203" t="str">
        <f>IF(controls!$B$44=0,"",'external balance'!F210)</f>
        <v/>
      </c>
      <c r="Q211" s="202" t="str">
        <f>IF(controls!$B$44=0,"",'external balance'!H210)</f>
        <v/>
      </c>
    </row>
    <row r="212" spans="1:17" ht="14" thickTop="1" thickBot="1">
      <c r="A212" s="32">
        <v>209</v>
      </c>
      <c r="B212" s="20">
        <f ca="1">('normal case'!D211-'normal case'!B211)/'normal case'!B211</f>
        <v>0</v>
      </c>
      <c r="C212" s="26">
        <f ca="1">'normal case'!D211</f>
        <v>100</v>
      </c>
      <c r="D212" s="27">
        <f ca="1">'normal case'!C211</f>
        <v>0</v>
      </c>
      <c r="E212" s="25">
        <f ca="1">'normal case'!L211/100</f>
        <v>0.02</v>
      </c>
      <c r="F212" s="28">
        <f ca="1">'normal case'!N211/100</f>
        <v>0.06</v>
      </c>
      <c r="G212" s="28">
        <f ca="1">'normal case'!M211/100</f>
        <v>0.04</v>
      </c>
      <c r="H212" s="28">
        <f ca="1">'public finance'!D210</f>
        <v>0</v>
      </c>
      <c r="I212" s="23">
        <f ca="1">'public finance'!E210</f>
        <v>0</v>
      </c>
      <c r="J212" s="153">
        <f ca="1">'public finance'!H210</f>
        <v>0</v>
      </c>
      <c r="K212" s="20">
        <f ca="1">'public finance'!C210/'normal case'!D211</f>
        <v>0.2</v>
      </c>
      <c r="L212" s="23">
        <f ca="1">'public finance'!A210/'normal case'!D211</f>
        <v>0.2</v>
      </c>
      <c r="M212" s="21" t="str">
        <f>IF(controls!$B$44=0,"",'normal case'!AC211)</f>
        <v/>
      </c>
      <c r="N212" s="21" t="str">
        <f>IF(controls!$B$44=0,"",'normal case'!AF211)</f>
        <v/>
      </c>
      <c r="O212" s="203" t="str">
        <f>IF(controls!$B$44=0,"",'external balance'!D211)</f>
        <v/>
      </c>
      <c r="P212" s="203" t="str">
        <f>IF(controls!$B$44=0,"",'external balance'!F211)</f>
        <v/>
      </c>
      <c r="Q212" s="202" t="str">
        <f>IF(controls!$B$44=0,"",'external balance'!H211)</f>
        <v/>
      </c>
    </row>
    <row r="213" spans="1:17" ht="14" thickTop="1" thickBot="1">
      <c r="A213" s="32">
        <v>210</v>
      </c>
      <c r="B213" s="20">
        <f ca="1">('normal case'!D212-'normal case'!B212)/'normal case'!B212</f>
        <v>0</v>
      </c>
      <c r="C213" s="26">
        <f ca="1">'normal case'!D212</f>
        <v>100</v>
      </c>
      <c r="D213" s="27">
        <f ca="1">'normal case'!C212</f>
        <v>0</v>
      </c>
      <c r="E213" s="25">
        <f ca="1">'normal case'!L212/100</f>
        <v>0.02</v>
      </c>
      <c r="F213" s="28">
        <f ca="1">'normal case'!N212/100</f>
        <v>0.06</v>
      </c>
      <c r="G213" s="28">
        <f ca="1">'normal case'!M212/100</f>
        <v>0.04</v>
      </c>
      <c r="H213" s="28">
        <f ca="1">'public finance'!D211</f>
        <v>0</v>
      </c>
      <c r="I213" s="23">
        <f ca="1">'public finance'!E211</f>
        <v>0</v>
      </c>
      <c r="J213" s="153">
        <f ca="1">'public finance'!H211</f>
        <v>0</v>
      </c>
      <c r="K213" s="20">
        <f ca="1">'public finance'!C211/'normal case'!D212</f>
        <v>0.2</v>
      </c>
      <c r="L213" s="23">
        <f ca="1">'public finance'!A211/'normal case'!D212</f>
        <v>0.2</v>
      </c>
      <c r="M213" s="21" t="str">
        <f>IF(controls!$B$44=0,"",'normal case'!AC212)</f>
        <v/>
      </c>
      <c r="N213" s="21" t="str">
        <f>IF(controls!$B$44=0,"",'normal case'!AF212)</f>
        <v/>
      </c>
      <c r="O213" s="203" t="str">
        <f>IF(controls!$B$44=0,"",'external balance'!D212)</f>
        <v/>
      </c>
      <c r="P213" s="203" t="str">
        <f>IF(controls!$B$44=0,"",'external balance'!F212)</f>
        <v/>
      </c>
      <c r="Q213" s="202" t="str">
        <f>IF(controls!$B$44=0,"",'external balance'!H212)</f>
        <v/>
      </c>
    </row>
    <row r="214" spans="1:17" ht="14" thickTop="1" thickBot="1">
      <c r="A214" s="32">
        <v>211</v>
      </c>
      <c r="B214" s="20">
        <f ca="1">('normal case'!D213-'normal case'!B213)/'normal case'!B213</f>
        <v>0</v>
      </c>
      <c r="C214" s="26">
        <f ca="1">'normal case'!D213</f>
        <v>100</v>
      </c>
      <c r="D214" s="27">
        <f ca="1">'normal case'!C213</f>
        <v>0</v>
      </c>
      <c r="E214" s="25">
        <f ca="1">'normal case'!L213/100</f>
        <v>0.02</v>
      </c>
      <c r="F214" s="28">
        <f ca="1">'normal case'!N213/100</f>
        <v>0.06</v>
      </c>
      <c r="G214" s="28">
        <f ca="1">'normal case'!M213/100</f>
        <v>0.04</v>
      </c>
      <c r="H214" s="28">
        <f ca="1">'public finance'!D212</f>
        <v>0</v>
      </c>
      <c r="I214" s="23">
        <f ca="1">'public finance'!E212</f>
        <v>0</v>
      </c>
      <c r="J214" s="153">
        <f ca="1">'public finance'!H212</f>
        <v>0</v>
      </c>
      <c r="K214" s="20">
        <f ca="1">'public finance'!C212/'normal case'!D213</f>
        <v>0.2</v>
      </c>
      <c r="L214" s="23">
        <f ca="1">'public finance'!A212/'normal case'!D213</f>
        <v>0.2</v>
      </c>
      <c r="M214" s="21" t="str">
        <f>IF(controls!$B$44=0,"",'normal case'!AC213)</f>
        <v/>
      </c>
      <c r="N214" s="21" t="str">
        <f>IF(controls!$B$44=0,"",'normal case'!AF213)</f>
        <v/>
      </c>
      <c r="O214" s="203" t="str">
        <f>IF(controls!$B$44=0,"",'external balance'!D213)</f>
        <v/>
      </c>
      <c r="P214" s="203" t="str">
        <f>IF(controls!$B$44=0,"",'external balance'!F213)</f>
        <v/>
      </c>
      <c r="Q214" s="202" t="str">
        <f>IF(controls!$B$44=0,"",'external balance'!H213)</f>
        <v/>
      </c>
    </row>
    <row r="215" spans="1:17" ht="14" thickTop="1" thickBot="1">
      <c r="A215" s="32">
        <v>212</v>
      </c>
      <c r="B215" s="20">
        <f ca="1">('normal case'!D214-'normal case'!B214)/'normal case'!B214</f>
        <v>0</v>
      </c>
      <c r="C215" s="26">
        <f ca="1">'normal case'!D214</f>
        <v>100</v>
      </c>
      <c r="D215" s="27">
        <f ca="1">'normal case'!C214</f>
        <v>0</v>
      </c>
      <c r="E215" s="25">
        <f ca="1">'normal case'!L214/100</f>
        <v>0.02</v>
      </c>
      <c r="F215" s="28">
        <f ca="1">'normal case'!N214/100</f>
        <v>0.06</v>
      </c>
      <c r="G215" s="28">
        <f ca="1">'normal case'!M214/100</f>
        <v>0.04</v>
      </c>
      <c r="H215" s="28">
        <f ca="1">'public finance'!D213</f>
        <v>0</v>
      </c>
      <c r="I215" s="23">
        <f ca="1">'public finance'!E213</f>
        <v>0</v>
      </c>
      <c r="J215" s="153">
        <f ca="1">'public finance'!H213</f>
        <v>0</v>
      </c>
      <c r="K215" s="20">
        <f ca="1">'public finance'!C213/'normal case'!D214</f>
        <v>0.2</v>
      </c>
      <c r="L215" s="23">
        <f ca="1">'public finance'!A213/'normal case'!D214</f>
        <v>0.2</v>
      </c>
      <c r="M215" s="21" t="str">
        <f>IF(controls!$B$44=0,"",'normal case'!AC214)</f>
        <v/>
      </c>
      <c r="N215" s="21" t="str">
        <f>IF(controls!$B$44=0,"",'normal case'!AF214)</f>
        <v/>
      </c>
      <c r="O215" s="203" t="str">
        <f>IF(controls!$B$44=0,"",'external balance'!D214)</f>
        <v/>
      </c>
      <c r="P215" s="203" t="str">
        <f>IF(controls!$B$44=0,"",'external balance'!F214)</f>
        <v/>
      </c>
      <c r="Q215" s="202" t="str">
        <f>IF(controls!$B$44=0,"",'external balance'!H214)</f>
        <v/>
      </c>
    </row>
    <row r="216" spans="1:17" ht="14" thickTop="1" thickBot="1">
      <c r="A216" s="32">
        <v>213</v>
      </c>
      <c r="B216" s="20">
        <f ca="1">('normal case'!D215-'normal case'!B215)/'normal case'!B215</f>
        <v>0</v>
      </c>
      <c r="C216" s="26">
        <f ca="1">'normal case'!D215</f>
        <v>100</v>
      </c>
      <c r="D216" s="27">
        <f ca="1">'normal case'!C215</f>
        <v>0</v>
      </c>
      <c r="E216" s="25">
        <f ca="1">'normal case'!L215/100</f>
        <v>0.02</v>
      </c>
      <c r="F216" s="28">
        <f ca="1">'normal case'!N215/100</f>
        <v>0.06</v>
      </c>
      <c r="G216" s="28">
        <f ca="1">'normal case'!M215/100</f>
        <v>0.04</v>
      </c>
      <c r="H216" s="28">
        <f ca="1">'public finance'!D214</f>
        <v>0</v>
      </c>
      <c r="I216" s="23">
        <f ca="1">'public finance'!E214</f>
        <v>0</v>
      </c>
      <c r="J216" s="153">
        <f ca="1">'public finance'!H214</f>
        <v>0</v>
      </c>
      <c r="K216" s="20">
        <f ca="1">'public finance'!C214/'normal case'!D215</f>
        <v>0.2</v>
      </c>
      <c r="L216" s="23">
        <f ca="1">'public finance'!A214/'normal case'!D215</f>
        <v>0.2</v>
      </c>
      <c r="M216" s="21" t="str">
        <f>IF(controls!$B$44=0,"",'normal case'!AC215)</f>
        <v/>
      </c>
      <c r="N216" s="21" t="str">
        <f>IF(controls!$B$44=0,"",'normal case'!AF215)</f>
        <v/>
      </c>
      <c r="O216" s="203" t="str">
        <f>IF(controls!$B$44=0,"",'external balance'!D215)</f>
        <v/>
      </c>
      <c r="P216" s="203" t="str">
        <f>IF(controls!$B$44=0,"",'external balance'!F215)</f>
        <v/>
      </c>
      <c r="Q216" s="202" t="str">
        <f>IF(controls!$B$44=0,"",'external balance'!H215)</f>
        <v/>
      </c>
    </row>
    <row r="217" spans="1:17" ht="14" thickTop="1" thickBot="1">
      <c r="A217" s="32">
        <v>214</v>
      </c>
      <c r="B217" s="20">
        <f ca="1">('normal case'!D216-'normal case'!B216)/'normal case'!B216</f>
        <v>0</v>
      </c>
      <c r="C217" s="26">
        <f ca="1">'normal case'!D216</f>
        <v>100</v>
      </c>
      <c r="D217" s="27">
        <f ca="1">'normal case'!C216</f>
        <v>0</v>
      </c>
      <c r="E217" s="25">
        <f ca="1">'normal case'!L216/100</f>
        <v>0.02</v>
      </c>
      <c r="F217" s="28">
        <f ca="1">'normal case'!N216/100</f>
        <v>0.06</v>
      </c>
      <c r="G217" s="28">
        <f ca="1">'normal case'!M216/100</f>
        <v>0.04</v>
      </c>
      <c r="H217" s="28">
        <f ca="1">'public finance'!D215</f>
        <v>0</v>
      </c>
      <c r="I217" s="23">
        <f ca="1">'public finance'!E215</f>
        <v>0</v>
      </c>
      <c r="J217" s="153">
        <f ca="1">'public finance'!H215</f>
        <v>0</v>
      </c>
      <c r="K217" s="20">
        <f ca="1">'public finance'!C215/'normal case'!D216</f>
        <v>0.2</v>
      </c>
      <c r="L217" s="23">
        <f ca="1">'public finance'!A215/'normal case'!D216</f>
        <v>0.2</v>
      </c>
      <c r="M217" s="21" t="str">
        <f>IF(controls!$B$44=0,"",'normal case'!AC216)</f>
        <v/>
      </c>
      <c r="N217" s="21" t="str">
        <f>IF(controls!$B$44=0,"",'normal case'!AF216)</f>
        <v/>
      </c>
      <c r="O217" s="203" t="str">
        <f>IF(controls!$B$44=0,"",'external balance'!D216)</f>
        <v/>
      </c>
      <c r="P217" s="203" t="str">
        <f>IF(controls!$B$44=0,"",'external balance'!F216)</f>
        <v/>
      </c>
      <c r="Q217" s="202" t="str">
        <f>IF(controls!$B$44=0,"",'external balance'!H216)</f>
        <v/>
      </c>
    </row>
    <row r="218" spans="1:17" ht="14" thickTop="1" thickBot="1">
      <c r="A218" s="32">
        <v>215</v>
      </c>
      <c r="B218" s="20">
        <f ca="1">('normal case'!D217-'normal case'!B217)/'normal case'!B217</f>
        <v>0</v>
      </c>
      <c r="C218" s="26">
        <f ca="1">'normal case'!D217</f>
        <v>100</v>
      </c>
      <c r="D218" s="27">
        <f ca="1">'normal case'!C217</f>
        <v>0</v>
      </c>
      <c r="E218" s="25">
        <f ca="1">'normal case'!L217/100</f>
        <v>0.02</v>
      </c>
      <c r="F218" s="28">
        <f ca="1">'normal case'!N217/100</f>
        <v>0.06</v>
      </c>
      <c r="G218" s="28">
        <f ca="1">'normal case'!M217/100</f>
        <v>0.04</v>
      </c>
      <c r="H218" s="28">
        <f ca="1">'public finance'!D216</f>
        <v>0</v>
      </c>
      <c r="I218" s="23">
        <f ca="1">'public finance'!E216</f>
        <v>0</v>
      </c>
      <c r="J218" s="153">
        <f ca="1">'public finance'!H216</f>
        <v>0</v>
      </c>
      <c r="K218" s="20">
        <f ca="1">'public finance'!C216/'normal case'!D217</f>
        <v>0.2</v>
      </c>
      <c r="L218" s="23">
        <f ca="1">'public finance'!A216/'normal case'!D217</f>
        <v>0.2</v>
      </c>
      <c r="M218" s="21" t="str">
        <f>IF(controls!$B$44=0,"",'normal case'!AC217)</f>
        <v/>
      </c>
      <c r="N218" s="21" t="str">
        <f>IF(controls!$B$44=0,"",'normal case'!AF217)</f>
        <v/>
      </c>
      <c r="O218" s="203" t="str">
        <f>IF(controls!$B$44=0,"",'external balance'!D217)</f>
        <v/>
      </c>
      <c r="P218" s="203" t="str">
        <f>IF(controls!$B$44=0,"",'external balance'!F217)</f>
        <v/>
      </c>
      <c r="Q218" s="202" t="str">
        <f>IF(controls!$B$44=0,"",'external balance'!H217)</f>
        <v/>
      </c>
    </row>
    <row r="219" spans="1:17" ht="14" thickTop="1" thickBot="1">
      <c r="A219" s="32">
        <v>216</v>
      </c>
      <c r="B219" s="20">
        <f ca="1">('normal case'!D218-'normal case'!B218)/'normal case'!B218</f>
        <v>0</v>
      </c>
      <c r="C219" s="26">
        <f ca="1">'normal case'!D218</f>
        <v>100</v>
      </c>
      <c r="D219" s="27">
        <f ca="1">'normal case'!C218</f>
        <v>0</v>
      </c>
      <c r="E219" s="25">
        <f ca="1">'normal case'!L218/100</f>
        <v>0.02</v>
      </c>
      <c r="F219" s="28">
        <f ca="1">'normal case'!N218/100</f>
        <v>0.06</v>
      </c>
      <c r="G219" s="28">
        <f ca="1">'normal case'!M218/100</f>
        <v>0.04</v>
      </c>
      <c r="H219" s="28">
        <f ca="1">'public finance'!D217</f>
        <v>0</v>
      </c>
      <c r="I219" s="23">
        <f ca="1">'public finance'!E217</f>
        <v>0</v>
      </c>
      <c r="J219" s="153">
        <f ca="1">'public finance'!H217</f>
        <v>0</v>
      </c>
      <c r="K219" s="20">
        <f ca="1">'public finance'!C217/'normal case'!D218</f>
        <v>0.2</v>
      </c>
      <c r="L219" s="23">
        <f ca="1">'public finance'!A217/'normal case'!D218</f>
        <v>0.2</v>
      </c>
      <c r="M219" s="21" t="str">
        <f>IF(controls!$B$44=0,"",'normal case'!AC218)</f>
        <v/>
      </c>
      <c r="N219" s="21" t="str">
        <f>IF(controls!$B$44=0,"",'normal case'!AF218)</f>
        <v/>
      </c>
      <c r="O219" s="203" t="str">
        <f>IF(controls!$B$44=0,"",'external balance'!D218)</f>
        <v/>
      </c>
      <c r="P219" s="203" t="str">
        <f>IF(controls!$B$44=0,"",'external balance'!F218)</f>
        <v/>
      </c>
      <c r="Q219" s="202" t="str">
        <f>IF(controls!$B$44=0,"",'external balance'!H218)</f>
        <v/>
      </c>
    </row>
    <row r="220" spans="1:17" ht="14" thickTop="1" thickBot="1">
      <c r="A220" s="32">
        <v>217</v>
      </c>
      <c r="B220" s="20">
        <f ca="1">('normal case'!D219-'normal case'!B219)/'normal case'!B219</f>
        <v>0</v>
      </c>
      <c r="C220" s="26">
        <f ca="1">'normal case'!D219</f>
        <v>100</v>
      </c>
      <c r="D220" s="27">
        <f ca="1">'normal case'!C219</f>
        <v>0</v>
      </c>
      <c r="E220" s="25">
        <f ca="1">'normal case'!L219/100</f>
        <v>0.02</v>
      </c>
      <c r="F220" s="28">
        <f ca="1">'normal case'!N219/100</f>
        <v>0.06</v>
      </c>
      <c r="G220" s="28">
        <f ca="1">'normal case'!M219/100</f>
        <v>0.04</v>
      </c>
      <c r="H220" s="28">
        <f ca="1">'public finance'!D218</f>
        <v>0</v>
      </c>
      <c r="I220" s="23">
        <f ca="1">'public finance'!E218</f>
        <v>0</v>
      </c>
      <c r="J220" s="153">
        <f ca="1">'public finance'!H218</f>
        <v>0</v>
      </c>
      <c r="K220" s="20">
        <f ca="1">'public finance'!C218/'normal case'!D219</f>
        <v>0.2</v>
      </c>
      <c r="L220" s="23">
        <f ca="1">'public finance'!A218/'normal case'!D219</f>
        <v>0.2</v>
      </c>
      <c r="M220" s="21" t="str">
        <f>IF(controls!$B$44=0,"",'normal case'!AC219)</f>
        <v/>
      </c>
      <c r="N220" s="21" t="str">
        <f>IF(controls!$B$44=0,"",'normal case'!AF219)</f>
        <v/>
      </c>
      <c r="O220" s="203" t="str">
        <f>IF(controls!$B$44=0,"",'external balance'!D219)</f>
        <v/>
      </c>
      <c r="P220" s="203" t="str">
        <f>IF(controls!$B$44=0,"",'external balance'!F219)</f>
        <v/>
      </c>
      <c r="Q220" s="202" t="str">
        <f>IF(controls!$B$44=0,"",'external balance'!H219)</f>
        <v/>
      </c>
    </row>
    <row r="221" spans="1:17" ht="14" thickTop="1" thickBot="1">
      <c r="A221" s="32">
        <v>218</v>
      </c>
      <c r="B221" s="20">
        <f ca="1">('normal case'!D220-'normal case'!B220)/'normal case'!B220</f>
        <v>0</v>
      </c>
      <c r="C221" s="26">
        <f ca="1">'normal case'!D220</f>
        <v>100</v>
      </c>
      <c r="D221" s="27">
        <f ca="1">'normal case'!C220</f>
        <v>0</v>
      </c>
      <c r="E221" s="25">
        <f ca="1">'normal case'!L220/100</f>
        <v>0.02</v>
      </c>
      <c r="F221" s="28">
        <f ca="1">'normal case'!N220/100</f>
        <v>0.06</v>
      </c>
      <c r="G221" s="28">
        <f ca="1">'normal case'!M220/100</f>
        <v>0.04</v>
      </c>
      <c r="H221" s="28">
        <f ca="1">'public finance'!D219</f>
        <v>0</v>
      </c>
      <c r="I221" s="23">
        <f ca="1">'public finance'!E219</f>
        <v>0</v>
      </c>
      <c r="J221" s="153">
        <f ca="1">'public finance'!H219</f>
        <v>0</v>
      </c>
      <c r="K221" s="20">
        <f ca="1">'public finance'!C219/'normal case'!D220</f>
        <v>0.2</v>
      </c>
      <c r="L221" s="23">
        <f ca="1">'public finance'!A219/'normal case'!D220</f>
        <v>0.2</v>
      </c>
      <c r="M221" s="21" t="str">
        <f>IF(controls!$B$44=0,"",'normal case'!AC220)</f>
        <v/>
      </c>
      <c r="N221" s="21" t="str">
        <f>IF(controls!$B$44=0,"",'normal case'!AF220)</f>
        <v/>
      </c>
      <c r="O221" s="203" t="str">
        <f>IF(controls!$B$44=0,"",'external balance'!D220)</f>
        <v/>
      </c>
      <c r="P221" s="203" t="str">
        <f>IF(controls!$B$44=0,"",'external balance'!F220)</f>
        <v/>
      </c>
      <c r="Q221" s="202" t="str">
        <f>IF(controls!$B$44=0,"",'external balance'!H220)</f>
        <v/>
      </c>
    </row>
    <row r="222" spans="1:17" ht="14" thickTop="1" thickBot="1">
      <c r="A222" s="32">
        <v>219</v>
      </c>
      <c r="B222" s="20">
        <f ca="1">('normal case'!D221-'normal case'!B221)/'normal case'!B221</f>
        <v>0</v>
      </c>
      <c r="C222" s="26">
        <f ca="1">'normal case'!D221</f>
        <v>100</v>
      </c>
      <c r="D222" s="27">
        <f ca="1">'normal case'!C221</f>
        <v>0</v>
      </c>
      <c r="E222" s="25">
        <f ca="1">'normal case'!L221/100</f>
        <v>0.02</v>
      </c>
      <c r="F222" s="28">
        <f ca="1">'normal case'!N221/100</f>
        <v>0.06</v>
      </c>
      <c r="G222" s="28">
        <f ca="1">'normal case'!M221/100</f>
        <v>0.04</v>
      </c>
      <c r="H222" s="28">
        <f ca="1">'public finance'!D220</f>
        <v>0</v>
      </c>
      <c r="I222" s="23">
        <f ca="1">'public finance'!E220</f>
        <v>0</v>
      </c>
      <c r="J222" s="153">
        <f ca="1">'public finance'!H220</f>
        <v>0</v>
      </c>
      <c r="K222" s="20">
        <f ca="1">'public finance'!C220/'normal case'!D221</f>
        <v>0.2</v>
      </c>
      <c r="L222" s="23">
        <f ca="1">'public finance'!A220/'normal case'!D221</f>
        <v>0.2</v>
      </c>
      <c r="M222" s="21" t="str">
        <f>IF(controls!$B$44=0,"",'normal case'!AC221)</f>
        <v/>
      </c>
      <c r="N222" s="21" t="str">
        <f>IF(controls!$B$44=0,"",'normal case'!AF221)</f>
        <v/>
      </c>
      <c r="O222" s="203" t="str">
        <f>IF(controls!$B$44=0,"",'external balance'!D221)</f>
        <v/>
      </c>
      <c r="P222" s="203" t="str">
        <f>IF(controls!$B$44=0,"",'external balance'!F221)</f>
        <v/>
      </c>
      <c r="Q222" s="202" t="str">
        <f>IF(controls!$B$44=0,"",'external balance'!H221)</f>
        <v/>
      </c>
    </row>
    <row r="223" spans="1:17" ht="14" thickTop="1" thickBot="1">
      <c r="A223" s="32">
        <v>220</v>
      </c>
      <c r="B223" s="20">
        <f ca="1">('normal case'!D222-'normal case'!B222)/'normal case'!B222</f>
        <v>0</v>
      </c>
      <c r="C223" s="26">
        <f ca="1">'normal case'!D222</f>
        <v>100</v>
      </c>
      <c r="D223" s="27">
        <f ca="1">'normal case'!C222</f>
        <v>0</v>
      </c>
      <c r="E223" s="25">
        <f ca="1">'normal case'!L222/100</f>
        <v>0.02</v>
      </c>
      <c r="F223" s="28">
        <f ca="1">'normal case'!N222/100</f>
        <v>0.06</v>
      </c>
      <c r="G223" s="28">
        <f ca="1">'normal case'!M222/100</f>
        <v>0.04</v>
      </c>
      <c r="H223" s="28">
        <f ca="1">'public finance'!D221</f>
        <v>0</v>
      </c>
      <c r="I223" s="23">
        <f ca="1">'public finance'!E221</f>
        <v>0</v>
      </c>
      <c r="J223" s="153">
        <f ca="1">'public finance'!H221</f>
        <v>0</v>
      </c>
      <c r="K223" s="20">
        <f ca="1">'public finance'!C221/'normal case'!D222</f>
        <v>0.2</v>
      </c>
      <c r="L223" s="23">
        <f ca="1">'public finance'!A221/'normal case'!D222</f>
        <v>0.2</v>
      </c>
      <c r="M223" s="21" t="str">
        <f>IF(controls!$B$44=0,"",'normal case'!AC222)</f>
        <v/>
      </c>
      <c r="N223" s="21" t="str">
        <f>IF(controls!$B$44=0,"",'normal case'!AF222)</f>
        <v/>
      </c>
      <c r="O223" s="203" t="str">
        <f>IF(controls!$B$44=0,"",'external balance'!D222)</f>
        <v/>
      </c>
      <c r="P223" s="203" t="str">
        <f>IF(controls!$B$44=0,"",'external balance'!F222)</f>
        <v/>
      </c>
      <c r="Q223" s="202" t="str">
        <f>IF(controls!$B$44=0,"",'external balance'!H222)</f>
        <v/>
      </c>
    </row>
    <row r="224" spans="1:17" ht="14" thickTop="1" thickBot="1">
      <c r="A224" s="32">
        <v>221</v>
      </c>
      <c r="B224" s="20">
        <f ca="1">('normal case'!D223-'normal case'!B223)/'normal case'!B223</f>
        <v>0</v>
      </c>
      <c r="C224" s="26">
        <f ca="1">'normal case'!D223</f>
        <v>100</v>
      </c>
      <c r="D224" s="27">
        <f ca="1">'normal case'!C223</f>
        <v>0</v>
      </c>
      <c r="E224" s="25">
        <f ca="1">'normal case'!L223/100</f>
        <v>0.02</v>
      </c>
      <c r="F224" s="28">
        <f ca="1">'normal case'!N223/100</f>
        <v>0.06</v>
      </c>
      <c r="G224" s="28">
        <f ca="1">'normal case'!M223/100</f>
        <v>0.04</v>
      </c>
      <c r="H224" s="28">
        <f ca="1">'public finance'!D222</f>
        <v>0</v>
      </c>
      <c r="I224" s="23">
        <f ca="1">'public finance'!E222</f>
        <v>0</v>
      </c>
      <c r="J224" s="153">
        <f ca="1">'public finance'!H222</f>
        <v>0</v>
      </c>
      <c r="K224" s="20">
        <f ca="1">'public finance'!C222/'normal case'!D223</f>
        <v>0.2</v>
      </c>
      <c r="L224" s="23">
        <f ca="1">'public finance'!A222/'normal case'!D223</f>
        <v>0.2</v>
      </c>
      <c r="M224" s="21" t="str">
        <f>IF(controls!$B$44=0,"",'normal case'!AC223)</f>
        <v/>
      </c>
      <c r="N224" s="21" t="str">
        <f>IF(controls!$B$44=0,"",'normal case'!AF223)</f>
        <v/>
      </c>
      <c r="O224" s="203" t="str">
        <f>IF(controls!$B$44=0,"",'external balance'!D223)</f>
        <v/>
      </c>
      <c r="P224" s="203" t="str">
        <f>IF(controls!$B$44=0,"",'external balance'!F223)</f>
        <v/>
      </c>
      <c r="Q224" s="202" t="str">
        <f>IF(controls!$B$44=0,"",'external balance'!H223)</f>
        <v/>
      </c>
    </row>
    <row r="225" spans="1:17" ht="14" thickTop="1" thickBot="1">
      <c r="A225" s="32">
        <v>222</v>
      </c>
      <c r="B225" s="20">
        <f ca="1">('normal case'!D224-'normal case'!B224)/'normal case'!B224</f>
        <v>0</v>
      </c>
      <c r="C225" s="26">
        <f ca="1">'normal case'!D224</f>
        <v>100</v>
      </c>
      <c r="D225" s="27">
        <f ca="1">'normal case'!C224</f>
        <v>0</v>
      </c>
      <c r="E225" s="25">
        <f ca="1">'normal case'!L224/100</f>
        <v>0.02</v>
      </c>
      <c r="F225" s="28">
        <f ca="1">'normal case'!N224/100</f>
        <v>0.06</v>
      </c>
      <c r="G225" s="28">
        <f ca="1">'normal case'!M224/100</f>
        <v>0.04</v>
      </c>
      <c r="H225" s="28">
        <f ca="1">'public finance'!D223</f>
        <v>0</v>
      </c>
      <c r="I225" s="23">
        <f ca="1">'public finance'!E223</f>
        <v>0</v>
      </c>
      <c r="J225" s="153">
        <f ca="1">'public finance'!H223</f>
        <v>0</v>
      </c>
      <c r="K225" s="20">
        <f ca="1">'public finance'!C223/'normal case'!D224</f>
        <v>0.2</v>
      </c>
      <c r="L225" s="23">
        <f ca="1">'public finance'!A223/'normal case'!D224</f>
        <v>0.2</v>
      </c>
      <c r="M225" s="21" t="str">
        <f>IF(controls!$B$44=0,"",'normal case'!AC224)</f>
        <v/>
      </c>
      <c r="N225" s="21" t="str">
        <f>IF(controls!$B$44=0,"",'normal case'!AF224)</f>
        <v/>
      </c>
      <c r="O225" s="203" t="str">
        <f>IF(controls!$B$44=0,"",'external balance'!D224)</f>
        <v/>
      </c>
      <c r="P225" s="203" t="str">
        <f>IF(controls!$B$44=0,"",'external balance'!F224)</f>
        <v/>
      </c>
      <c r="Q225" s="202" t="str">
        <f>IF(controls!$B$44=0,"",'external balance'!H224)</f>
        <v/>
      </c>
    </row>
    <row r="226" spans="1:17" ht="14" thickTop="1" thickBot="1">
      <c r="A226" s="32">
        <v>223</v>
      </c>
      <c r="B226" s="20">
        <f ca="1">('normal case'!D225-'normal case'!B225)/'normal case'!B225</f>
        <v>0</v>
      </c>
      <c r="C226" s="26">
        <f ca="1">'normal case'!D225</f>
        <v>100</v>
      </c>
      <c r="D226" s="27">
        <f ca="1">'normal case'!C225</f>
        <v>0</v>
      </c>
      <c r="E226" s="25">
        <f ca="1">'normal case'!L225/100</f>
        <v>0.02</v>
      </c>
      <c r="F226" s="28">
        <f ca="1">'normal case'!N225/100</f>
        <v>0.06</v>
      </c>
      <c r="G226" s="28">
        <f ca="1">'normal case'!M225/100</f>
        <v>0.04</v>
      </c>
      <c r="H226" s="28">
        <f ca="1">'public finance'!D224</f>
        <v>0</v>
      </c>
      <c r="I226" s="23">
        <f ca="1">'public finance'!E224</f>
        <v>0</v>
      </c>
      <c r="J226" s="153">
        <f ca="1">'public finance'!H224</f>
        <v>0</v>
      </c>
      <c r="K226" s="20">
        <f ca="1">'public finance'!C224/'normal case'!D225</f>
        <v>0.2</v>
      </c>
      <c r="L226" s="23">
        <f ca="1">'public finance'!A224/'normal case'!D225</f>
        <v>0.2</v>
      </c>
      <c r="M226" s="21" t="str">
        <f>IF(controls!$B$44=0,"",'normal case'!AC225)</f>
        <v/>
      </c>
      <c r="N226" s="21" t="str">
        <f>IF(controls!$B$44=0,"",'normal case'!AF225)</f>
        <v/>
      </c>
      <c r="O226" s="203" t="str">
        <f>IF(controls!$B$44=0,"",'external balance'!D225)</f>
        <v/>
      </c>
      <c r="P226" s="203" t="str">
        <f>IF(controls!$B$44=0,"",'external balance'!F225)</f>
        <v/>
      </c>
      <c r="Q226" s="202" t="str">
        <f>IF(controls!$B$44=0,"",'external balance'!H225)</f>
        <v/>
      </c>
    </row>
    <row r="227" spans="1:17" ht="14" thickTop="1" thickBot="1">
      <c r="A227" s="32">
        <v>224</v>
      </c>
      <c r="B227" s="20">
        <f ca="1">('normal case'!D226-'normal case'!B226)/'normal case'!B226</f>
        <v>0</v>
      </c>
      <c r="C227" s="26">
        <f ca="1">'normal case'!D226</f>
        <v>100</v>
      </c>
      <c r="D227" s="27">
        <f ca="1">'normal case'!C226</f>
        <v>0</v>
      </c>
      <c r="E227" s="25">
        <f ca="1">'normal case'!L226/100</f>
        <v>0.02</v>
      </c>
      <c r="F227" s="28">
        <f ca="1">'normal case'!N226/100</f>
        <v>0.06</v>
      </c>
      <c r="G227" s="28">
        <f ca="1">'normal case'!M226/100</f>
        <v>0.04</v>
      </c>
      <c r="H227" s="28">
        <f ca="1">'public finance'!D225</f>
        <v>0</v>
      </c>
      <c r="I227" s="23">
        <f ca="1">'public finance'!E225</f>
        <v>0</v>
      </c>
      <c r="J227" s="153">
        <f ca="1">'public finance'!H225</f>
        <v>0</v>
      </c>
      <c r="K227" s="20">
        <f ca="1">'public finance'!C225/'normal case'!D226</f>
        <v>0.2</v>
      </c>
      <c r="L227" s="23">
        <f ca="1">'public finance'!A225/'normal case'!D226</f>
        <v>0.2</v>
      </c>
      <c r="M227" s="21" t="str">
        <f>IF(controls!$B$44=0,"",'normal case'!AC226)</f>
        <v/>
      </c>
      <c r="N227" s="21" t="str">
        <f>IF(controls!$B$44=0,"",'normal case'!AF226)</f>
        <v/>
      </c>
      <c r="O227" s="203" t="str">
        <f>IF(controls!$B$44=0,"",'external balance'!D226)</f>
        <v/>
      </c>
      <c r="P227" s="203" t="str">
        <f>IF(controls!$B$44=0,"",'external balance'!F226)</f>
        <v/>
      </c>
      <c r="Q227" s="202" t="str">
        <f>IF(controls!$B$44=0,"",'external balance'!H226)</f>
        <v/>
      </c>
    </row>
    <row r="228" spans="1:17" ht="14" thickTop="1" thickBot="1">
      <c r="A228" s="32">
        <v>225</v>
      </c>
      <c r="B228" s="20">
        <f ca="1">('normal case'!D227-'normal case'!B227)/'normal case'!B227</f>
        <v>0</v>
      </c>
      <c r="C228" s="26">
        <f ca="1">'normal case'!D227</f>
        <v>100</v>
      </c>
      <c r="D228" s="27">
        <f ca="1">'normal case'!C227</f>
        <v>0</v>
      </c>
      <c r="E228" s="25">
        <f ca="1">'normal case'!L227/100</f>
        <v>0.02</v>
      </c>
      <c r="F228" s="28">
        <f ca="1">'normal case'!N227/100</f>
        <v>0.06</v>
      </c>
      <c r="G228" s="28">
        <f ca="1">'normal case'!M227/100</f>
        <v>0.04</v>
      </c>
      <c r="H228" s="28">
        <f ca="1">'public finance'!D226</f>
        <v>0</v>
      </c>
      <c r="I228" s="23">
        <f ca="1">'public finance'!E226</f>
        <v>0</v>
      </c>
      <c r="J228" s="153">
        <f ca="1">'public finance'!H226</f>
        <v>0</v>
      </c>
      <c r="K228" s="20">
        <f ca="1">'public finance'!C226/'normal case'!D227</f>
        <v>0.2</v>
      </c>
      <c r="L228" s="23">
        <f ca="1">'public finance'!A226/'normal case'!D227</f>
        <v>0.2</v>
      </c>
      <c r="M228" s="21" t="str">
        <f>IF(controls!$B$44=0,"",'normal case'!AC227)</f>
        <v/>
      </c>
      <c r="N228" s="21" t="str">
        <f>IF(controls!$B$44=0,"",'normal case'!AF227)</f>
        <v/>
      </c>
      <c r="O228" s="203" t="str">
        <f>IF(controls!$B$44=0,"",'external balance'!D227)</f>
        <v/>
      </c>
      <c r="P228" s="203" t="str">
        <f>IF(controls!$B$44=0,"",'external balance'!F227)</f>
        <v/>
      </c>
      <c r="Q228" s="202" t="str">
        <f>IF(controls!$B$44=0,"",'external balance'!H227)</f>
        <v/>
      </c>
    </row>
    <row r="229" spans="1:17" ht="14" thickTop="1" thickBot="1">
      <c r="A229" s="32">
        <v>226</v>
      </c>
      <c r="B229" s="20">
        <f ca="1">('normal case'!D228-'normal case'!B228)/'normal case'!B228</f>
        <v>0</v>
      </c>
      <c r="C229" s="26">
        <f ca="1">'normal case'!D228</f>
        <v>100</v>
      </c>
      <c r="D229" s="27">
        <f ca="1">'normal case'!C228</f>
        <v>0</v>
      </c>
      <c r="E229" s="25">
        <f ca="1">'normal case'!L228/100</f>
        <v>0.02</v>
      </c>
      <c r="F229" s="28">
        <f ca="1">'normal case'!N228/100</f>
        <v>0.06</v>
      </c>
      <c r="G229" s="28">
        <f ca="1">'normal case'!M228/100</f>
        <v>0.04</v>
      </c>
      <c r="H229" s="28">
        <f ca="1">'public finance'!D227</f>
        <v>0</v>
      </c>
      <c r="I229" s="23">
        <f ca="1">'public finance'!E227</f>
        <v>0</v>
      </c>
      <c r="J229" s="153">
        <f ca="1">'public finance'!H227</f>
        <v>0</v>
      </c>
      <c r="K229" s="20">
        <f ca="1">'public finance'!C227/'normal case'!D228</f>
        <v>0.2</v>
      </c>
      <c r="L229" s="23">
        <f ca="1">'public finance'!A227/'normal case'!D228</f>
        <v>0.2</v>
      </c>
      <c r="M229" s="21" t="str">
        <f>IF(controls!$B$44=0,"",'normal case'!AC228)</f>
        <v/>
      </c>
      <c r="N229" s="21" t="str">
        <f>IF(controls!$B$44=0,"",'normal case'!AF228)</f>
        <v/>
      </c>
      <c r="O229" s="203" t="str">
        <f>IF(controls!$B$44=0,"",'external balance'!D228)</f>
        <v/>
      </c>
      <c r="P229" s="203" t="str">
        <f>IF(controls!$B$44=0,"",'external balance'!F228)</f>
        <v/>
      </c>
      <c r="Q229" s="202" t="str">
        <f>IF(controls!$B$44=0,"",'external balance'!H228)</f>
        <v/>
      </c>
    </row>
    <row r="230" spans="1:17" ht="14" thickTop="1" thickBot="1">
      <c r="A230" s="32">
        <v>227</v>
      </c>
      <c r="B230" s="20">
        <f ca="1">('normal case'!D229-'normal case'!B229)/'normal case'!B229</f>
        <v>0</v>
      </c>
      <c r="C230" s="26">
        <f ca="1">'normal case'!D229</f>
        <v>100</v>
      </c>
      <c r="D230" s="27">
        <f ca="1">'normal case'!C229</f>
        <v>0</v>
      </c>
      <c r="E230" s="25">
        <f ca="1">'normal case'!L229/100</f>
        <v>0.02</v>
      </c>
      <c r="F230" s="28">
        <f ca="1">'normal case'!N229/100</f>
        <v>0.06</v>
      </c>
      <c r="G230" s="28">
        <f ca="1">'normal case'!M229/100</f>
        <v>0.04</v>
      </c>
      <c r="H230" s="28">
        <f ca="1">'public finance'!D228</f>
        <v>0</v>
      </c>
      <c r="I230" s="23">
        <f ca="1">'public finance'!E228</f>
        <v>0</v>
      </c>
      <c r="J230" s="153">
        <f ca="1">'public finance'!H228</f>
        <v>0</v>
      </c>
      <c r="K230" s="20">
        <f ca="1">'public finance'!C228/'normal case'!D229</f>
        <v>0.2</v>
      </c>
      <c r="L230" s="23">
        <f ca="1">'public finance'!A228/'normal case'!D229</f>
        <v>0.2</v>
      </c>
      <c r="M230" s="21" t="str">
        <f>IF(controls!$B$44=0,"",'normal case'!AC229)</f>
        <v/>
      </c>
      <c r="N230" s="21" t="str">
        <f>IF(controls!$B$44=0,"",'normal case'!AF229)</f>
        <v/>
      </c>
      <c r="O230" s="203" t="str">
        <f>IF(controls!$B$44=0,"",'external balance'!D229)</f>
        <v/>
      </c>
      <c r="P230" s="203" t="str">
        <f>IF(controls!$B$44=0,"",'external balance'!F229)</f>
        <v/>
      </c>
      <c r="Q230" s="202" t="str">
        <f>IF(controls!$B$44=0,"",'external balance'!H229)</f>
        <v/>
      </c>
    </row>
    <row r="231" spans="1:17" ht="14" thickTop="1" thickBot="1">
      <c r="A231" s="32">
        <v>228</v>
      </c>
      <c r="B231" s="20">
        <f ca="1">('normal case'!D230-'normal case'!B230)/'normal case'!B230</f>
        <v>0</v>
      </c>
      <c r="C231" s="26">
        <f ca="1">'normal case'!D230</f>
        <v>100</v>
      </c>
      <c r="D231" s="27">
        <f ca="1">'normal case'!C230</f>
        <v>0</v>
      </c>
      <c r="E231" s="25">
        <f ca="1">'normal case'!L230/100</f>
        <v>0.02</v>
      </c>
      <c r="F231" s="28">
        <f ca="1">'normal case'!N230/100</f>
        <v>0.06</v>
      </c>
      <c r="G231" s="28">
        <f ca="1">'normal case'!M230/100</f>
        <v>0.04</v>
      </c>
      <c r="H231" s="28">
        <f ca="1">'public finance'!D229</f>
        <v>0</v>
      </c>
      <c r="I231" s="23">
        <f ca="1">'public finance'!E229</f>
        <v>0</v>
      </c>
      <c r="J231" s="153">
        <f ca="1">'public finance'!H229</f>
        <v>0</v>
      </c>
      <c r="K231" s="20">
        <f ca="1">'public finance'!C229/'normal case'!D230</f>
        <v>0.2</v>
      </c>
      <c r="L231" s="23">
        <f ca="1">'public finance'!A229/'normal case'!D230</f>
        <v>0.2</v>
      </c>
      <c r="M231" s="21" t="str">
        <f>IF(controls!$B$44=0,"",'normal case'!AC230)</f>
        <v/>
      </c>
      <c r="N231" s="21" t="str">
        <f>IF(controls!$B$44=0,"",'normal case'!AF230)</f>
        <v/>
      </c>
      <c r="O231" s="203" t="str">
        <f>IF(controls!$B$44=0,"",'external balance'!D230)</f>
        <v/>
      </c>
      <c r="P231" s="203" t="str">
        <f>IF(controls!$B$44=0,"",'external balance'!F230)</f>
        <v/>
      </c>
      <c r="Q231" s="202" t="str">
        <f>IF(controls!$B$44=0,"",'external balance'!H230)</f>
        <v/>
      </c>
    </row>
    <row r="232" spans="1:17" ht="14" thickTop="1" thickBot="1">
      <c r="A232" s="32">
        <v>229</v>
      </c>
      <c r="B232" s="20">
        <f ca="1">('normal case'!D231-'normal case'!B231)/'normal case'!B231</f>
        <v>0</v>
      </c>
      <c r="C232" s="26">
        <f ca="1">'normal case'!D231</f>
        <v>100</v>
      </c>
      <c r="D232" s="27">
        <f ca="1">'normal case'!C231</f>
        <v>0</v>
      </c>
      <c r="E232" s="25">
        <f ca="1">'normal case'!L231/100</f>
        <v>0.02</v>
      </c>
      <c r="F232" s="28">
        <f ca="1">'normal case'!N231/100</f>
        <v>0.06</v>
      </c>
      <c r="G232" s="28">
        <f ca="1">'normal case'!M231/100</f>
        <v>0.04</v>
      </c>
      <c r="H232" s="28">
        <f ca="1">'public finance'!D230</f>
        <v>0</v>
      </c>
      <c r="I232" s="23">
        <f ca="1">'public finance'!E230</f>
        <v>0</v>
      </c>
      <c r="J232" s="153">
        <f ca="1">'public finance'!H230</f>
        <v>0</v>
      </c>
      <c r="K232" s="20">
        <f ca="1">'public finance'!C230/'normal case'!D231</f>
        <v>0.2</v>
      </c>
      <c r="L232" s="23">
        <f ca="1">'public finance'!A230/'normal case'!D231</f>
        <v>0.2</v>
      </c>
      <c r="M232" s="21" t="str">
        <f>IF(controls!$B$44=0,"",'normal case'!AC231)</f>
        <v/>
      </c>
      <c r="N232" s="21" t="str">
        <f>IF(controls!$B$44=0,"",'normal case'!AF231)</f>
        <v/>
      </c>
      <c r="O232" s="203" t="str">
        <f>IF(controls!$B$44=0,"",'external balance'!D231)</f>
        <v/>
      </c>
      <c r="P232" s="203" t="str">
        <f>IF(controls!$B$44=0,"",'external balance'!F231)</f>
        <v/>
      </c>
      <c r="Q232" s="202" t="str">
        <f>IF(controls!$B$44=0,"",'external balance'!H231)</f>
        <v/>
      </c>
    </row>
    <row r="233" spans="1:17" ht="14" thickTop="1" thickBot="1">
      <c r="A233" s="32">
        <v>230</v>
      </c>
      <c r="B233" s="20">
        <f ca="1">('normal case'!D232-'normal case'!B232)/'normal case'!B232</f>
        <v>0</v>
      </c>
      <c r="C233" s="26">
        <f ca="1">'normal case'!D232</f>
        <v>100</v>
      </c>
      <c r="D233" s="27">
        <f ca="1">'normal case'!C232</f>
        <v>0</v>
      </c>
      <c r="E233" s="25">
        <f ca="1">'normal case'!L232/100</f>
        <v>0.02</v>
      </c>
      <c r="F233" s="28">
        <f ca="1">'normal case'!N232/100</f>
        <v>0.06</v>
      </c>
      <c r="G233" s="28">
        <f ca="1">'normal case'!M232/100</f>
        <v>0.04</v>
      </c>
      <c r="H233" s="28">
        <f ca="1">'public finance'!D231</f>
        <v>0</v>
      </c>
      <c r="I233" s="23">
        <f ca="1">'public finance'!E231</f>
        <v>0</v>
      </c>
      <c r="J233" s="153">
        <f ca="1">'public finance'!H231</f>
        <v>0</v>
      </c>
      <c r="K233" s="20">
        <f ca="1">'public finance'!C231/'normal case'!D232</f>
        <v>0.2</v>
      </c>
      <c r="L233" s="23">
        <f ca="1">'public finance'!A231/'normal case'!D232</f>
        <v>0.2</v>
      </c>
      <c r="M233" s="21" t="str">
        <f>IF(controls!$B$44=0,"",'normal case'!AC232)</f>
        <v/>
      </c>
      <c r="N233" s="21" t="str">
        <f>IF(controls!$B$44=0,"",'normal case'!AF232)</f>
        <v/>
      </c>
      <c r="O233" s="203" t="str">
        <f>IF(controls!$B$44=0,"",'external balance'!D232)</f>
        <v/>
      </c>
      <c r="P233" s="203" t="str">
        <f>IF(controls!$B$44=0,"",'external balance'!F232)</f>
        <v/>
      </c>
      <c r="Q233" s="202" t="str">
        <f>IF(controls!$B$44=0,"",'external balance'!H232)</f>
        <v/>
      </c>
    </row>
    <row r="234" spans="1:17" ht="14" thickTop="1" thickBot="1">
      <c r="A234" s="32">
        <v>231</v>
      </c>
      <c r="B234" s="20">
        <f ca="1">('normal case'!D233-'normal case'!B233)/'normal case'!B233</f>
        <v>0</v>
      </c>
      <c r="C234" s="26">
        <f ca="1">'normal case'!D233</f>
        <v>100</v>
      </c>
      <c r="D234" s="27">
        <f ca="1">'normal case'!C233</f>
        <v>0</v>
      </c>
      <c r="E234" s="25">
        <f ca="1">'normal case'!L233/100</f>
        <v>0.02</v>
      </c>
      <c r="F234" s="28">
        <f ca="1">'normal case'!N233/100</f>
        <v>0.06</v>
      </c>
      <c r="G234" s="28">
        <f ca="1">'normal case'!M233/100</f>
        <v>0.04</v>
      </c>
      <c r="H234" s="28">
        <f ca="1">'public finance'!D232</f>
        <v>0</v>
      </c>
      <c r="I234" s="23">
        <f ca="1">'public finance'!E232</f>
        <v>0</v>
      </c>
      <c r="J234" s="153">
        <f ca="1">'public finance'!H232</f>
        <v>0</v>
      </c>
      <c r="K234" s="20">
        <f ca="1">'public finance'!C232/'normal case'!D233</f>
        <v>0.2</v>
      </c>
      <c r="L234" s="23">
        <f ca="1">'public finance'!A232/'normal case'!D233</f>
        <v>0.2</v>
      </c>
      <c r="M234" s="21" t="str">
        <f>IF(controls!$B$44=0,"",'normal case'!AC233)</f>
        <v/>
      </c>
      <c r="N234" s="21" t="str">
        <f>IF(controls!$B$44=0,"",'normal case'!AF233)</f>
        <v/>
      </c>
      <c r="O234" s="203" t="str">
        <f>IF(controls!$B$44=0,"",'external balance'!D233)</f>
        <v/>
      </c>
      <c r="P234" s="203" t="str">
        <f>IF(controls!$B$44=0,"",'external balance'!F233)</f>
        <v/>
      </c>
      <c r="Q234" s="202" t="str">
        <f>IF(controls!$B$44=0,"",'external balance'!H233)</f>
        <v/>
      </c>
    </row>
    <row r="235" spans="1:17" ht="14" thickTop="1" thickBot="1">
      <c r="A235" s="32">
        <v>232</v>
      </c>
      <c r="B235" s="20">
        <f ca="1">('normal case'!D234-'normal case'!B234)/'normal case'!B234</f>
        <v>0</v>
      </c>
      <c r="C235" s="26">
        <f ca="1">'normal case'!D234</f>
        <v>100</v>
      </c>
      <c r="D235" s="27">
        <f ca="1">'normal case'!C234</f>
        <v>0</v>
      </c>
      <c r="E235" s="25">
        <f ca="1">'normal case'!L234/100</f>
        <v>0.02</v>
      </c>
      <c r="F235" s="28">
        <f ca="1">'normal case'!N234/100</f>
        <v>0.06</v>
      </c>
      <c r="G235" s="28">
        <f ca="1">'normal case'!M234/100</f>
        <v>0.04</v>
      </c>
      <c r="H235" s="28">
        <f ca="1">'public finance'!D233</f>
        <v>0</v>
      </c>
      <c r="I235" s="23">
        <f ca="1">'public finance'!E233</f>
        <v>0</v>
      </c>
      <c r="J235" s="153">
        <f ca="1">'public finance'!H233</f>
        <v>0</v>
      </c>
      <c r="K235" s="20">
        <f ca="1">'public finance'!C233/'normal case'!D234</f>
        <v>0.2</v>
      </c>
      <c r="L235" s="23">
        <f ca="1">'public finance'!A233/'normal case'!D234</f>
        <v>0.2</v>
      </c>
      <c r="M235" s="21" t="str">
        <f>IF(controls!$B$44=0,"",'normal case'!AC234)</f>
        <v/>
      </c>
      <c r="N235" s="21" t="str">
        <f>IF(controls!$B$44=0,"",'normal case'!AF234)</f>
        <v/>
      </c>
      <c r="O235" s="203" t="str">
        <f>IF(controls!$B$44=0,"",'external balance'!D234)</f>
        <v/>
      </c>
      <c r="P235" s="203" t="str">
        <f>IF(controls!$B$44=0,"",'external balance'!F234)</f>
        <v/>
      </c>
      <c r="Q235" s="202" t="str">
        <f>IF(controls!$B$44=0,"",'external balance'!H234)</f>
        <v/>
      </c>
    </row>
    <row r="236" spans="1:17" ht="14" thickTop="1" thickBot="1">
      <c r="A236" s="32">
        <v>233</v>
      </c>
      <c r="B236" s="20">
        <f ca="1">('normal case'!D235-'normal case'!B235)/'normal case'!B235</f>
        <v>0</v>
      </c>
      <c r="C236" s="26">
        <f ca="1">'normal case'!D235</f>
        <v>100</v>
      </c>
      <c r="D236" s="27">
        <f ca="1">'normal case'!C235</f>
        <v>0</v>
      </c>
      <c r="E236" s="25">
        <f ca="1">'normal case'!L235/100</f>
        <v>0.02</v>
      </c>
      <c r="F236" s="28">
        <f ca="1">'normal case'!N235/100</f>
        <v>0.06</v>
      </c>
      <c r="G236" s="28">
        <f ca="1">'normal case'!M235/100</f>
        <v>0.04</v>
      </c>
      <c r="H236" s="28">
        <f ca="1">'public finance'!D234</f>
        <v>0</v>
      </c>
      <c r="I236" s="23">
        <f ca="1">'public finance'!E234</f>
        <v>0</v>
      </c>
      <c r="J236" s="153">
        <f ca="1">'public finance'!H234</f>
        <v>0</v>
      </c>
      <c r="K236" s="20">
        <f ca="1">'public finance'!C234/'normal case'!D235</f>
        <v>0.2</v>
      </c>
      <c r="L236" s="23">
        <f ca="1">'public finance'!A234/'normal case'!D235</f>
        <v>0.2</v>
      </c>
      <c r="M236" s="21" t="str">
        <f>IF(controls!$B$44=0,"",'normal case'!AC235)</f>
        <v/>
      </c>
      <c r="N236" s="21" t="str">
        <f>IF(controls!$B$44=0,"",'normal case'!AF235)</f>
        <v/>
      </c>
      <c r="O236" s="203" t="str">
        <f>IF(controls!$B$44=0,"",'external balance'!D235)</f>
        <v/>
      </c>
      <c r="P236" s="203" t="str">
        <f>IF(controls!$B$44=0,"",'external balance'!F235)</f>
        <v/>
      </c>
      <c r="Q236" s="202" t="str">
        <f>IF(controls!$B$44=0,"",'external balance'!H235)</f>
        <v/>
      </c>
    </row>
    <row r="237" spans="1:17" ht="14" thickTop="1" thickBot="1">
      <c r="A237" s="32">
        <v>234</v>
      </c>
      <c r="B237" s="20">
        <f ca="1">('normal case'!D236-'normal case'!B236)/'normal case'!B236</f>
        <v>0</v>
      </c>
      <c r="C237" s="26">
        <f ca="1">'normal case'!D236</f>
        <v>100</v>
      </c>
      <c r="D237" s="27">
        <f ca="1">'normal case'!C236</f>
        <v>0</v>
      </c>
      <c r="E237" s="25">
        <f ca="1">'normal case'!L236/100</f>
        <v>0.02</v>
      </c>
      <c r="F237" s="28">
        <f ca="1">'normal case'!N236/100</f>
        <v>0.06</v>
      </c>
      <c r="G237" s="28">
        <f ca="1">'normal case'!M236/100</f>
        <v>0.04</v>
      </c>
      <c r="H237" s="28">
        <f ca="1">'public finance'!D235</f>
        <v>0</v>
      </c>
      <c r="I237" s="23">
        <f ca="1">'public finance'!E235</f>
        <v>0</v>
      </c>
      <c r="J237" s="153">
        <f ca="1">'public finance'!H235</f>
        <v>0</v>
      </c>
      <c r="K237" s="20">
        <f ca="1">'public finance'!C235/'normal case'!D236</f>
        <v>0.2</v>
      </c>
      <c r="L237" s="23">
        <f ca="1">'public finance'!A235/'normal case'!D236</f>
        <v>0.2</v>
      </c>
      <c r="M237" s="21" t="str">
        <f>IF(controls!$B$44=0,"",'normal case'!AC236)</f>
        <v/>
      </c>
      <c r="N237" s="21" t="str">
        <f>IF(controls!$B$44=0,"",'normal case'!AF236)</f>
        <v/>
      </c>
      <c r="O237" s="203" t="str">
        <f>IF(controls!$B$44=0,"",'external balance'!D236)</f>
        <v/>
      </c>
      <c r="P237" s="203" t="str">
        <f>IF(controls!$B$44=0,"",'external balance'!F236)</f>
        <v/>
      </c>
      <c r="Q237" s="202" t="str">
        <f>IF(controls!$B$44=0,"",'external balance'!H236)</f>
        <v/>
      </c>
    </row>
    <row r="238" spans="1:17" ht="14" thickTop="1" thickBot="1">
      <c r="A238" s="32">
        <v>235</v>
      </c>
      <c r="B238" s="20">
        <f ca="1">('normal case'!D237-'normal case'!B237)/'normal case'!B237</f>
        <v>0</v>
      </c>
      <c r="C238" s="26">
        <f ca="1">'normal case'!D237</f>
        <v>100</v>
      </c>
      <c r="D238" s="27">
        <f ca="1">'normal case'!C237</f>
        <v>0</v>
      </c>
      <c r="E238" s="25">
        <f ca="1">'normal case'!L237/100</f>
        <v>0.02</v>
      </c>
      <c r="F238" s="28">
        <f ca="1">'normal case'!N237/100</f>
        <v>0.06</v>
      </c>
      <c r="G238" s="28">
        <f ca="1">'normal case'!M237/100</f>
        <v>0.04</v>
      </c>
      <c r="H238" s="28">
        <f ca="1">'public finance'!D236</f>
        <v>0</v>
      </c>
      <c r="I238" s="23">
        <f ca="1">'public finance'!E236</f>
        <v>0</v>
      </c>
      <c r="J238" s="153">
        <f ca="1">'public finance'!H236</f>
        <v>0</v>
      </c>
      <c r="K238" s="20">
        <f ca="1">'public finance'!C236/'normal case'!D237</f>
        <v>0.2</v>
      </c>
      <c r="L238" s="23">
        <f ca="1">'public finance'!A236/'normal case'!D237</f>
        <v>0.2</v>
      </c>
      <c r="M238" s="21" t="str">
        <f>IF(controls!$B$44=0,"",'normal case'!AC237)</f>
        <v/>
      </c>
      <c r="N238" s="21" t="str">
        <f>IF(controls!$B$44=0,"",'normal case'!AF237)</f>
        <v/>
      </c>
      <c r="O238" s="203" t="str">
        <f>IF(controls!$B$44=0,"",'external balance'!D237)</f>
        <v/>
      </c>
      <c r="P238" s="203" t="str">
        <f>IF(controls!$B$44=0,"",'external balance'!F237)</f>
        <v/>
      </c>
      <c r="Q238" s="202" t="str">
        <f>IF(controls!$B$44=0,"",'external balance'!H237)</f>
        <v/>
      </c>
    </row>
    <row r="239" spans="1:17" ht="14" thickTop="1" thickBot="1">
      <c r="A239" s="32">
        <v>236</v>
      </c>
      <c r="B239" s="20">
        <f ca="1">('normal case'!D238-'normal case'!B238)/'normal case'!B238</f>
        <v>0</v>
      </c>
      <c r="C239" s="26">
        <f ca="1">'normal case'!D238</f>
        <v>100</v>
      </c>
      <c r="D239" s="27">
        <f ca="1">'normal case'!C238</f>
        <v>0</v>
      </c>
      <c r="E239" s="25">
        <f ca="1">'normal case'!L238/100</f>
        <v>0.02</v>
      </c>
      <c r="F239" s="28">
        <f ca="1">'normal case'!N238/100</f>
        <v>0.06</v>
      </c>
      <c r="G239" s="28">
        <f ca="1">'normal case'!M238/100</f>
        <v>0.04</v>
      </c>
      <c r="H239" s="28">
        <f ca="1">'public finance'!D237</f>
        <v>0</v>
      </c>
      <c r="I239" s="23">
        <f ca="1">'public finance'!E237</f>
        <v>0</v>
      </c>
      <c r="J239" s="153">
        <f ca="1">'public finance'!H237</f>
        <v>0</v>
      </c>
      <c r="K239" s="20">
        <f ca="1">'public finance'!C237/'normal case'!D238</f>
        <v>0.2</v>
      </c>
      <c r="L239" s="23">
        <f ca="1">'public finance'!A237/'normal case'!D238</f>
        <v>0.2</v>
      </c>
      <c r="M239" s="21" t="str">
        <f>IF(controls!$B$44=0,"",'normal case'!AC238)</f>
        <v/>
      </c>
      <c r="N239" s="21" t="str">
        <f>IF(controls!$B$44=0,"",'normal case'!AF238)</f>
        <v/>
      </c>
      <c r="O239" s="203" t="str">
        <f>IF(controls!$B$44=0,"",'external balance'!D238)</f>
        <v/>
      </c>
      <c r="P239" s="203" t="str">
        <f>IF(controls!$B$44=0,"",'external balance'!F238)</f>
        <v/>
      </c>
      <c r="Q239" s="202" t="str">
        <f>IF(controls!$B$44=0,"",'external balance'!H238)</f>
        <v/>
      </c>
    </row>
    <row r="240" spans="1:17" ht="14" thickTop="1" thickBot="1">
      <c r="A240" s="32">
        <v>237</v>
      </c>
      <c r="B240" s="20">
        <f ca="1">('normal case'!D239-'normal case'!B239)/'normal case'!B239</f>
        <v>0</v>
      </c>
      <c r="C240" s="26">
        <f ca="1">'normal case'!D239</f>
        <v>100</v>
      </c>
      <c r="D240" s="27">
        <f ca="1">'normal case'!C239</f>
        <v>0</v>
      </c>
      <c r="E240" s="25">
        <f ca="1">'normal case'!L239/100</f>
        <v>0.02</v>
      </c>
      <c r="F240" s="28">
        <f ca="1">'normal case'!N239/100</f>
        <v>0.06</v>
      </c>
      <c r="G240" s="28">
        <f ca="1">'normal case'!M239/100</f>
        <v>0.04</v>
      </c>
      <c r="H240" s="28">
        <f ca="1">'public finance'!D238</f>
        <v>0</v>
      </c>
      <c r="I240" s="23">
        <f ca="1">'public finance'!E238</f>
        <v>0</v>
      </c>
      <c r="J240" s="153">
        <f ca="1">'public finance'!H238</f>
        <v>0</v>
      </c>
      <c r="K240" s="20">
        <f ca="1">'public finance'!C238/'normal case'!D239</f>
        <v>0.2</v>
      </c>
      <c r="L240" s="23">
        <f ca="1">'public finance'!A238/'normal case'!D239</f>
        <v>0.2</v>
      </c>
      <c r="M240" s="21" t="str">
        <f>IF(controls!$B$44=0,"",'normal case'!AC239)</f>
        <v/>
      </c>
      <c r="N240" s="21" t="str">
        <f>IF(controls!$B$44=0,"",'normal case'!AF239)</f>
        <v/>
      </c>
      <c r="O240" s="203" t="str">
        <f>IF(controls!$B$44=0,"",'external balance'!D239)</f>
        <v/>
      </c>
      <c r="P240" s="203" t="str">
        <f>IF(controls!$B$44=0,"",'external balance'!F239)</f>
        <v/>
      </c>
      <c r="Q240" s="202" t="str">
        <f>IF(controls!$B$44=0,"",'external balance'!H239)</f>
        <v/>
      </c>
    </row>
    <row r="241" spans="1:17" ht="14" thickTop="1" thickBot="1">
      <c r="A241" s="32">
        <v>238</v>
      </c>
      <c r="B241" s="20">
        <f ca="1">('normal case'!D240-'normal case'!B240)/'normal case'!B240</f>
        <v>0</v>
      </c>
      <c r="C241" s="26">
        <f ca="1">'normal case'!D240</f>
        <v>100</v>
      </c>
      <c r="D241" s="27">
        <f ca="1">'normal case'!C240</f>
        <v>0</v>
      </c>
      <c r="E241" s="25">
        <f ca="1">'normal case'!L240/100</f>
        <v>0.02</v>
      </c>
      <c r="F241" s="28">
        <f ca="1">'normal case'!N240/100</f>
        <v>0.06</v>
      </c>
      <c r="G241" s="28">
        <f ca="1">'normal case'!M240/100</f>
        <v>0.04</v>
      </c>
      <c r="H241" s="28">
        <f ca="1">'public finance'!D239</f>
        <v>0</v>
      </c>
      <c r="I241" s="23">
        <f ca="1">'public finance'!E239</f>
        <v>0</v>
      </c>
      <c r="J241" s="153">
        <f ca="1">'public finance'!H239</f>
        <v>0</v>
      </c>
      <c r="K241" s="20">
        <f ca="1">'public finance'!C239/'normal case'!D240</f>
        <v>0.2</v>
      </c>
      <c r="L241" s="23">
        <f ca="1">'public finance'!A239/'normal case'!D240</f>
        <v>0.2</v>
      </c>
      <c r="M241" s="21" t="str">
        <f>IF(controls!$B$44=0,"",'normal case'!AC240)</f>
        <v/>
      </c>
      <c r="N241" s="21" t="str">
        <f>IF(controls!$B$44=0,"",'normal case'!AF240)</f>
        <v/>
      </c>
      <c r="O241" s="203" t="str">
        <f>IF(controls!$B$44=0,"",'external balance'!D240)</f>
        <v/>
      </c>
      <c r="P241" s="203" t="str">
        <f>IF(controls!$B$44=0,"",'external balance'!F240)</f>
        <v/>
      </c>
      <c r="Q241" s="202" t="str">
        <f>IF(controls!$B$44=0,"",'external balance'!H240)</f>
        <v/>
      </c>
    </row>
    <row r="242" spans="1:17" ht="14" thickTop="1" thickBot="1">
      <c r="A242" s="32">
        <v>239</v>
      </c>
      <c r="B242" s="20">
        <f ca="1">('normal case'!D241-'normal case'!B241)/'normal case'!B241</f>
        <v>0</v>
      </c>
      <c r="C242" s="26">
        <f ca="1">'normal case'!D241</f>
        <v>100</v>
      </c>
      <c r="D242" s="27">
        <f ca="1">'normal case'!C241</f>
        <v>0</v>
      </c>
      <c r="E242" s="25">
        <f ca="1">'normal case'!L241/100</f>
        <v>0.02</v>
      </c>
      <c r="F242" s="28">
        <f ca="1">'normal case'!N241/100</f>
        <v>0.06</v>
      </c>
      <c r="G242" s="28">
        <f ca="1">'normal case'!M241/100</f>
        <v>0.04</v>
      </c>
      <c r="H242" s="28">
        <f ca="1">'public finance'!D240</f>
        <v>0</v>
      </c>
      <c r="I242" s="23">
        <f ca="1">'public finance'!E240</f>
        <v>0</v>
      </c>
      <c r="J242" s="153">
        <f ca="1">'public finance'!H240</f>
        <v>0</v>
      </c>
      <c r="K242" s="20">
        <f ca="1">'public finance'!C240/'normal case'!D241</f>
        <v>0.2</v>
      </c>
      <c r="L242" s="23">
        <f ca="1">'public finance'!A240/'normal case'!D241</f>
        <v>0.2</v>
      </c>
      <c r="M242" s="21" t="str">
        <f>IF(controls!$B$44=0,"",'normal case'!AC241)</f>
        <v/>
      </c>
      <c r="N242" s="21" t="str">
        <f>IF(controls!$B$44=0,"",'normal case'!AF241)</f>
        <v/>
      </c>
      <c r="O242" s="203" t="str">
        <f>IF(controls!$B$44=0,"",'external balance'!D241)</f>
        <v/>
      </c>
      <c r="P242" s="203" t="str">
        <f>IF(controls!$B$44=0,"",'external balance'!F241)</f>
        <v/>
      </c>
      <c r="Q242" s="202" t="str">
        <f>IF(controls!$B$44=0,"",'external balance'!H241)</f>
        <v/>
      </c>
    </row>
    <row r="243" spans="1:17" ht="14" thickTop="1" thickBot="1">
      <c r="A243" s="32">
        <v>240</v>
      </c>
      <c r="B243" s="20">
        <f ca="1">('normal case'!D242-'normal case'!B242)/'normal case'!B242</f>
        <v>0</v>
      </c>
      <c r="C243" s="26">
        <f ca="1">'normal case'!D242</f>
        <v>100</v>
      </c>
      <c r="D243" s="27">
        <f ca="1">'normal case'!C242</f>
        <v>0</v>
      </c>
      <c r="E243" s="25">
        <f ca="1">'normal case'!L242/100</f>
        <v>0.02</v>
      </c>
      <c r="F243" s="28">
        <f ca="1">'normal case'!N242/100</f>
        <v>0.06</v>
      </c>
      <c r="G243" s="28">
        <f ca="1">'normal case'!M242/100</f>
        <v>0.04</v>
      </c>
      <c r="H243" s="28">
        <f ca="1">'public finance'!D241</f>
        <v>0</v>
      </c>
      <c r="I243" s="23">
        <f ca="1">'public finance'!E241</f>
        <v>0</v>
      </c>
      <c r="J243" s="153">
        <f ca="1">'public finance'!H241</f>
        <v>0</v>
      </c>
      <c r="K243" s="20">
        <f ca="1">'public finance'!C241/'normal case'!D242</f>
        <v>0.2</v>
      </c>
      <c r="L243" s="23">
        <f ca="1">'public finance'!A241/'normal case'!D242</f>
        <v>0.2</v>
      </c>
      <c r="M243" s="21" t="str">
        <f>IF(controls!$B$44=0,"",'normal case'!AC242)</f>
        <v/>
      </c>
      <c r="N243" s="21" t="str">
        <f>IF(controls!$B$44=0,"",'normal case'!AF242)</f>
        <v/>
      </c>
      <c r="O243" s="203" t="str">
        <f>IF(controls!$B$44=0,"",'external balance'!D242)</f>
        <v/>
      </c>
      <c r="P243" s="203" t="str">
        <f>IF(controls!$B$44=0,"",'external balance'!F242)</f>
        <v/>
      </c>
      <c r="Q243" s="202" t="str">
        <f>IF(controls!$B$44=0,"",'external balance'!H242)</f>
        <v/>
      </c>
    </row>
    <row r="244" spans="1:17" ht="14" thickTop="1" thickBot="1">
      <c r="A244" s="32">
        <v>241</v>
      </c>
      <c r="B244" s="20">
        <f ca="1">('normal case'!D243-'normal case'!B243)/'normal case'!B243</f>
        <v>0</v>
      </c>
      <c r="C244" s="26">
        <f ca="1">'normal case'!D243</f>
        <v>100</v>
      </c>
      <c r="D244" s="27">
        <f ca="1">'normal case'!C243</f>
        <v>0</v>
      </c>
      <c r="E244" s="25">
        <f ca="1">'normal case'!L243/100</f>
        <v>0.02</v>
      </c>
      <c r="F244" s="28">
        <f ca="1">'normal case'!N243/100</f>
        <v>0.06</v>
      </c>
      <c r="G244" s="28">
        <f ca="1">'normal case'!M243/100</f>
        <v>0.04</v>
      </c>
      <c r="H244" s="28">
        <f ca="1">'public finance'!D242</f>
        <v>0</v>
      </c>
      <c r="I244" s="23">
        <f ca="1">'public finance'!E242</f>
        <v>0</v>
      </c>
      <c r="J244" s="153">
        <f ca="1">'public finance'!H242</f>
        <v>0</v>
      </c>
      <c r="K244" s="20">
        <f ca="1">'public finance'!C242/'normal case'!D243</f>
        <v>0.2</v>
      </c>
      <c r="L244" s="23">
        <f ca="1">'public finance'!A242/'normal case'!D243</f>
        <v>0.2</v>
      </c>
      <c r="M244" s="21" t="str">
        <f>IF(controls!$B$44=0,"",'normal case'!AC243)</f>
        <v/>
      </c>
      <c r="N244" s="21" t="str">
        <f>IF(controls!$B$44=0,"",'normal case'!AF243)</f>
        <v/>
      </c>
      <c r="O244" s="203" t="str">
        <f>IF(controls!$B$44=0,"",'external balance'!D243)</f>
        <v/>
      </c>
      <c r="P244" s="203" t="str">
        <f>IF(controls!$B$44=0,"",'external balance'!F243)</f>
        <v/>
      </c>
      <c r="Q244" s="202" t="str">
        <f>IF(controls!$B$44=0,"",'external balance'!H243)</f>
        <v/>
      </c>
    </row>
    <row r="245" spans="1:17" ht="14" thickTop="1" thickBot="1">
      <c r="A245" s="32">
        <v>242</v>
      </c>
      <c r="B245" s="20">
        <f ca="1">('normal case'!D244-'normal case'!B244)/'normal case'!B244</f>
        <v>0</v>
      </c>
      <c r="C245" s="26">
        <f ca="1">'normal case'!D244</f>
        <v>100</v>
      </c>
      <c r="D245" s="27">
        <f ca="1">'normal case'!C244</f>
        <v>0</v>
      </c>
      <c r="E245" s="25">
        <f ca="1">'normal case'!L244/100</f>
        <v>0.02</v>
      </c>
      <c r="F245" s="28">
        <f ca="1">'normal case'!N244/100</f>
        <v>0.06</v>
      </c>
      <c r="G245" s="28">
        <f ca="1">'normal case'!M244/100</f>
        <v>0.04</v>
      </c>
      <c r="H245" s="28">
        <f ca="1">'public finance'!D243</f>
        <v>0</v>
      </c>
      <c r="I245" s="23">
        <f ca="1">'public finance'!E243</f>
        <v>0</v>
      </c>
      <c r="J245" s="153">
        <f ca="1">'public finance'!H243</f>
        <v>0</v>
      </c>
      <c r="K245" s="20">
        <f ca="1">'public finance'!C243/'normal case'!D244</f>
        <v>0.2</v>
      </c>
      <c r="L245" s="23">
        <f ca="1">'public finance'!A243/'normal case'!D244</f>
        <v>0.2</v>
      </c>
      <c r="M245" s="21" t="str">
        <f>IF(controls!$B$44=0,"",'normal case'!AC244)</f>
        <v/>
      </c>
      <c r="N245" s="21" t="str">
        <f>IF(controls!$B$44=0,"",'normal case'!AF244)</f>
        <v/>
      </c>
      <c r="O245" s="203" t="str">
        <f>IF(controls!$B$44=0,"",'external balance'!D244)</f>
        <v/>
      </c>
      <c r="P245" s="203" t="str">
        <f>IF(controls!$B$44=0,"",'external balance'!F244)</f>
        <v/>
      </c>
      <c r="Q245" s="202" t="str">
        <f>IF(controls!$B$44=0,"",'external balance'!H244)</f>
        <v/>
      </c>
    </row>
    <row r="246" spans="1:17" ht="14" thickTop="1" thickBot="1">
      <c r="A246" s="32">
        <v>243</v>
      </c>
      <c r="B246" s="20">
        <f ca="1">('normal case'!D245-'normal case'!B245)/'normal case'!B245</f>
        <v>0</v>
      </c>
      <c r="C246" s="26">
        <f ca="1">'normal case'!D245</f>
        <v>100</v>
      </c>
      <c r="D246" s="27">
        <f ca="1">'normal case'!C245</f>
        <v>0</v>
      </c>
      <c r="E246" s="25">
        <f ca="1">'normal case'!L245/100</f>
        <v>0.02</v>
      </c>
      <c r="F246" s="28">
        <f ca="1">'normal case'!N245/100</f>
        <v>0.06</v>
      </c>
      <c r="G246" s="28">
        <f ca="1">'normal case'!M245/100</f>
        <v>0.04</v>
      </c>
      <c r="H246" s="28">
        <f ca="1">'public finance'!D244</f>
        <v>0</v>
      </c>
      <c r="I246" s="23">
        <f ca="1">'public finance'!E244</f>
        <v>0</v>
      </c>
      <c r="J246" s="153">
        <f ca="1">'public finance'!H244</f>
        <v>0</v>
      </c>
      <c r="K246" s="20">
        <f ca="1">'public finance'!C244/'normal case'!D245</f>
        <v>0.2</v>
      </c>
      <c r="L246" s="23">
        <f ca="1">'public finance'!A244/'normal case'!D245</f>
        <v>0.2</v>
      </c>
      <c r="M246" s="21" t="str">
        <f>IF(controls!$B$44=0,"",'normal case'!AC245)</f>
        <v/>
      </c>
      <c r="N246" s="21" t="str">
        <f>IF(controls!$B$44=0,"",'normal case'!AF245)</f>
        <v/>
      </c>
      <c r="O246" s="203" t="str">
        <f>IF(controls!$B$44=0,"",'external balance'!D245)</f>
        <v/>
      </c>
      <c r="P246" s="203" t="str">
        <f>IF(controls!$B$44=0,"",'external balance'!F245)</f>
        <v/>
      </c>
      <c r="Q246" s="202" t="str">
        <f>IF(controls!$B$44=0,"",'external balance'!H245)</f>
        <v/>
      </c>
    </row>
    <row r="247" spans="1:17" ht="14" thickTop="1" thickBot="1">
      <c r="A247" s="32">
        <v>244</v>
      </c>
      <c r="B247" s="20">
        <f ca="1">('normal case'!D246-'normal case'!B246)/'normal case'!B246</f>
        <v>0</v>
      </c>
      <c r="C247" s="26">
        <f ca="1">'normal case'!D246</f>
        <v>100</v>
      </c>
      <c r="D247" s="27">
        <f ca="1">'normal case'!C246</f>
        <v>0</v>
      </c>
      <c r="E247" s="25">
        <f ca="1">'normal case'!L246/100</f>
        <v>0.02</v>
      </c>
      <c r="F247" s="28">
        <f ca="1">'normal case'!N246/100</f>
        <v>0.06</v>
      </c>
      <c r="G247" s="28">
        <f ca="1">'normal case'!M246/100</f>
        <v>0.04</v>
      </c>
      <c r="H247" s="28">
        <f ca="1">'public finance'!D245</f>
        <v>0</v>
      </c>
      <c r="I247" s="23">
        <f ca="1">'public finance'!E245</f>
        <v>0</v>
      </c>
      <c r="J247" s="153">
        <f ca="1">'public finance'!H245</f>
        <v>0</v>
      </c>
      <c r="K247" s="20">
        <f ca="1">'public finance'!C245/'normal case'!D246</f>
        <v>0.2</v>
      </c>
      <c r="L247" s="23">
        <f ca="1">'public finance'!A245/'normal case'!D246</f>
        <v>0.2</v>
      </c>
      <c r="M247" s="21" t="str">
        <f>IF(controls!$B$44=0,"",'normal case'!AC246)</f>
        <v/>
      </c>
      <c r="N247" s="21" t="str">
        <f>IF(controls!$B$44=0,"",'normal case'!AF246)</f>
        <v/>
      </c>
      <c r="O247" s="203" t="str">
        <f>IF(controls!$B$44=0,"",'external balance'!D246)</f>
        <v/>
      </c>
      <c r="P247" s="203" t="str">
        <f>IF(controls!$B$44=0,"",'external balance'!F246)</f>
        <v/>
      </c>
      <c r="Q247" s="202" t="str">
        <f>IF(controls!$B$44=0,"",'external balance'!H246)</f>
        <v/>
      </c>
    </row>
    <row r="248" spans="1:17" ht="14" thickTop="1" thickBot="1">
      <c r="A248" s="32">
        <v>245</v>
      </c>
      <c r="B248" s="20">
        <f ca="1">('normal case'!D247-'normal case'!B247)/'normal case'!B247</f>
        <v>0</v>
      </c>
      <c r="C248" s="26">
        <f ca="1">'normal case'!D247</f>
        <v>100</v>
      </c>
      <c r="D248" s="27">
        <f ca="1">'normal case'!C247</f>
        <v>0</v>
      </c>
      <c r="E248" s="25">
        <f ca="1">'normal case'!L247/100</f>
        <v>0.02</v>
      </c>
      <c r="F248" s="28">
        <f ca="1">'normal case'!N247/100</f>
        <v>0.06</v>
      </c>
      <c r="G248" s="28">
        <f ca="1">'normal case'!M247/100</f>
        <v>0.04</v>
      </c>
      <c r="H248" s="28">
        <f ca="1">'public finance'!D246</f>
        <v>0</v>
      </c>
      <c r="I248" s="23">
        <f ca="1">'public finance'!E246</f>
        <v>0</v>
      </c>
      <c r="J248" s="153">
        <f ca="1">'public finance'!H246</f>
        <v>0</v>
      </c>
      <c r="K248" s="20">
        <f ca="1">'public finance'!C246/'normal case'!D247</f>
        <v>0.2</v>
      </c>
      <c r="L248" s="23">
        <f ca="1">'public finance'!A246/'normal case'!D247</f>
        <v>0.2</v>
      </c>
      <c r="M248" s="21" t="str">
        <f>IF(controls!$B$44=0,"",'normal case'!AC247)</f>
        <v/>
      </c>
      <c r="N248" s="21" t="str">
        <f>IF(controls!$B$44=0,"",'normal case'!AF247)</f>
        <v/>
      </c>
      <c r="O248" s="203" t="str">
        <f>IF(controls!$B$44=0,"",'external balance'!D247)</f>
        <v/>
      </c>
      <c r="P248" s="203" t="str">
        <f>IF(controls!$B$44=0,"",'external balance'!F247)</f>
        <v/>
      </c>
      <c r="Q248" s="202" t="str">
        <f>IF(controls!$B$44=0,"",'external balance'!H247)</f>
        <v/>
      </c>
    </row>
    <row r="249" spans="1:17" ht="14" thickTop="1" thickBot="1">
      <c r="A249" s="32">
        <v>246</v>
      </c>
      <c r="B249" s="20">
        <f ca="1">('normal case'!D248-'normal case'!B248)/'normal case'!B248</f>
        <v>0</v>
      </c>
      <c r="C249" s="26">
        <f ca="1">'normal case'!D248</f>
        <v>100</v>
      </c>
      <c r="D249" s="27">
        <f ca="1">'normal case'!C248</f>
        <v>0</v>
      </c>
      <c r="E249" s="25">
        <f ca="1">'normal case'!L248/100</f>
        <v>0.02</v>
      </c>
      <c r="F249" s="28">
        <f ca="1">'normal case'!N248/100</f>
        <v>0.06</v>
      </c>
      <c r="G249" s="28">
        <f ca="1">'normal case'!M248/100</f>
        <v>0.04</v>
      </c>
      <c r="H249" s="28">
        <f ca="1">'public finance'!D247</f>
        <v>0</v>
      </c>
      <c r="I249" s="23">
        <f ca="1">'public finance'!E247</f>
        <v>0</v>
      </c>
      <c r="J249" s="153">
        <f ca="1">'public finance'!H247</f>
        <v>0</v>
      </c>
      <c r="K249" s="20">
        <f ca="1">'public finance'!C247/'normal case'!D248</f>
        <v>0.2</v>
      </c>
      <c r="L249" s="23">
        <f ca="1">'public finance'!A247/'normal case'!D248</f>
        <v>0.2</v>
      </c>
      <c r="M249" s="21" t="str">
        <f>IF(controls!$B$44=0,"",'normal case'!AC248)</f>
        <v/>
      </c>
      <c r="N249" s="21" t="str">
        <f>IF(controls!$B$44=0,"",'normal case'!AF248)</f>
        <v/>
      </c>
      <c r="O249" s="203" t="str">
        <f>IF(controls!$B$44=0,"",'external balance'!D248)</f>
        <v/>
      </c>
      <c r="P249" s="203" t="str">
        <f>IF(controls!$B$44=0,"",'external balance'!F248)</f>
        <v/>
      </c>
      <c r="Q249" s="202" t="str">
        <f>IF(controls!$B$44=0,"",'external balance'!H248)</f>
        <v/>
      </c>
    </row>
    <row r="250" spans="1:17" ht="14" thickTop="1" thickBot="1">
      <c r="A250" s="32">
        <v>247</v>
      </c>
      <c r="B250" s="20">
        <f ca="1">('normal case'!D249-'normal case'!B249)/'normal case'!B249</f>
        <v>0</v>
      </c>
      <c r="C250" s="26">
        <f ca="1">'normal case'!D249</f>
        <v>100</v>
      </c>
      <c r="D250" s="27">
        <f ca="1">'normal case'!C249</f>
        <v>0</v>
      </c>
      <c r="E250" s="25">
        <f ca="1">'normal case'!L249/100</f>
        <v>0.02</v>
      </c>
      <c r="F250" s="28">
        <f ca="1">'normal case'!N249/100</f>
        <v>0.06</v>
      </c>
      <c r="G250" s="28">
        <f ca="1">'normal case'!M249/100</f>
        <v>0.04</v>
      </c>
      <c r="H250" s="28">
        <f ca="1">'public finance'!D248</f>
        <v>0</v>
      </c>
      <c r="I250" s="23">
        <f ca="1">'public finance'!E248</f>
        <v>0</v>
      </c>
      <c r="J250" s="153">
        <f ca="1">'public finance'!H248</f>
        <v>0</v>
      </c>
      <c r="K250" s="20">
        <f ca="1">'public finance'!C248/'normal case'!D249</f>
        <v>0.2</v>
      </c>
      <c r="L250" s="23">
        <f ca="1">'public finance'!A248/'normal case'!D249</f>
        <v>0.2</v>
      </c>
      <c r="M250" s="21" t="str">
        <f>IF(controls!$B$44=0,"",'normal case'!AC249)</f>
        <v/>
      </c>
      <c r="N250" s="21" t="str">
        <f>IF(controls!$B$44=0,"",'normal case'!AF249)</f>
        <v/>
      </c>
      <c r="O250" s="203" t="str">
        <f>IF(controls!$B$44=0,"",'external balance'!D249)</f>
        <v/>
      </c>
      <c r="P250" s="203" t="str">
        <f>IF(controls!$B$44=0,"",'external balance'!F249)</f>
        <v/>
      </c>
      <c r="Q250" s="202" t="str">
        <f>IF(controls!$B$44=0,"",'external balance'!H249)</f>
        <v/>
      </c>
    </row>
    <row r="251" spans="1:17" ht="14" thickTop="1" thickBot="1">
      <c r="A251" s="32">
        <v>248</v>
      </c>
      <c r="B251" s="20">
        <f ca="1">('normal case'!D250-'normal case'!B250)/'normal case'!B250</f>
        <v>0</v>
      </c>
      <c r="C251" s="26">
        <f ca="1">'normal case'!D250</f>
        <v>100</v>
      </c>
      <c r="D251" s="27">
        <f ca="1">'normal case'!C250</f>
        <v>0</v>
      </c>
      <c r="E251" s="25">
        <f ca="1">'normal case'!L250/100</f>
        <v>0.02</v>
      </c>
      <c r="F251" s="28">
        <f ca="1">'normal case'!N250/100</f>
        <v>0.06</v>
      </c>
      <c r="G251" s="28">
        <f ca="1">'normal case'!M250/100</f>
        <v>0.04</v>
      </c>
      <c r="H251" s="28">
        <f ca="1">'public finance'!D249</f>
        <v>0</v>
      </c>
      <c r="I251" s="23">
        <f ca="1">'public finance'!E249</f>
        <v>0</v>
      </c>
      <c r="J251" s="153">
        <f ca="1">'public finance'!H249</f>
        <v>0</v>
      </c>
      <c r="K251" s="20">
        <f ca="1">'public finance'!C249/'normal case'!D250</f>
        <v>0.2</v>
      </c>
      <c r="L251" s="23">
        <f ca="1">'public finance'!A249/'normal case'!D250</f>
        <v>0.2</v>
      </c>
      <c r="M251" s="21" t="str">
        <f>IF(controls!$B$44=0,"",'normal case'!AC250)</f>
        <v/>
      </c>
      <c r="N251" s="21" t="str">
        <f>IF(controls!$B$44=0,"",'normal case'!AF250)</f>
        <v/>
      </c>
      <c r="O251" s="203" t="str">
        <f>IF(controls!$B$44=0,"",'external balance'!D250)</f>
        <v/>
      </c>
      <c r="P251" s="203" t="str">
        <f>IF(controls!$B$44=0,"",'external balance'!F250)</f>
        <v/>
      </c>
      <c r="Q251" s="202" t="str">
        <f>IF(controls!$B$44=0,"",'external balance'!H250)</f>
        <v/>
      </c>
    </row>
    <row r="252" spans="1:17" ht="14" thickTop="1" thickBot="1">
      <c r="A252" s="32">
        <v>249</v>
      </c>
      <c r="B252" s="20">
        <f ca="1">('normal case'!D251-'normal case'!B251)/'normal case'!B251</f>
        <v>0</v>
      </c>
      <c r="C252" s="26">
        <f ca="1">'normal case'!D251</f>
        <v>100</v>
      </c>
      <c r="D252" s="27">
        <f ca="1">'normal case'!C251</f>
        <v>0</v>
      </c>
      <c r="E252" s="25">
        <f ca="1">'normal case'!L251/100</f>
        <v>0.02</v>
      </c>
      <c r="F252" s="28">
        <f ca="1">'normal case'!N251/100</f>
        <v>0.06</v>
      </c>
      <c r="G252" s="28">
        <f ca="1">'normal case'!M251/100</f>
        <v>0.04</v>
      </c>
      <c r="H252" s="28">
        <f ca="1">'public finance'!D250</f>
        <v>0</v>
      </c>
      <c r="I252" s="23">
        <f ca="1">'public finance'!E250</f>
        <v>0</v>
      </c>
      <c r="J252" s="153">
        <f ca="1">'public finance'!H250</f>
        <v>0</v>
      </c>
      <c r="K252" s="20">
        <f ca="1">'public finance'!C250/'normal case'!D251</f>
        <v>0.2</v>
      </c>
      <c r="L252" s="23">
        <f ca="1">'public finance'!A250/'normal case'!D251</f>
        <v>0.2</v>
      </c>
      <c r="M252" s="21" t="str">
        <f>IF(controls!$B$44=0,"",'normal case'!AC251)</f>
        <v/>
      </c>
      <c r="N252" s="21" t="str">
        <f>IF(controls!$B$44=0,"",'normal case'!AF251)</f>
        <v/>
      </c>
      <c r="O252" s="203" t="str">
        <f>IF(controls!$B$44=0,"",'external balance'!D251)</f>
        <v/>
      </c>
      <c r="P252" s="203" t="str">
        <f>IF(controls!$B$44=0,"",'external balance'!F251)</f>
        <v/>
      </c>
      <c r="Q252" s="202" t="str">
        <f>IF(controls!$B$44=0,"",'external balance'!H251)</f>
        <v/>
      </c>
    </row>
    <row r="253" spans="1:17" ht="14" thickTop="1" thickBot="1">
      <c r="A253" s="32">
        <v>250</v>
      </c>
      <c r="B253" s="20">
        <f ca="1">('normal case'!D252-'normal case'!B252)/'normal case'!B252</f>
        <v>0</v>
      </c>
      <c r="C253" s="26">
        <f ca="1">'normal case'!D252</f>
        <v>100</v>
      </c>
      <c r="D253" s="27">
        <f ca="1">'normal case'!C252</f>
        <v>0</v>
      </c>
      <c r="E253" s="25">
        <f ca="1">'normal case'!L252/100</f>
        <v>0.02</v>
      </c>
      <c r="F253" s="28">
        <f ca="1">'normal case'!N252/100</f>
        <v>0.06</v>
      </c>
      <c r="G253" s="28">
        <f ca="1">'normal case'!M252/100</f>
        <v>0.04</v>
      </c>
      <c r="H253" s="28">
        <f ca="1">'public finance'!D251</f>
        <v>0</v>
      </c>
      <c r="I253" s="23">
        <f ca="1">'public finance'!E251</f>
        <v>0</v>
      </c>
      <c r="J253" s="153">
        <f ca="1">'public finance'!H251</f>
        <v>0</v>
      </c>
      <c r="K253" s="20">
        <f ca="1">'public finance'!C251/'normal case'!D252</f>
        <v>0.2</v>
      </c>
      <c r="L253" s="23">
        <f ca="1">'public finance'!A251/'normal case'!D252</f>
        <v>0.2</v>
      </c>
      <c r="M253" s="21" t="str">
        <f>IF(controls!$B$44=0,"",'normal case'!AC252)</f>
        <v/>
      </c>
      <c r="N253" s="21" t="str">
        <f>IF(controls!$B$44=0,"",'normal case'!AF252)</f>
        <v/>
      </c>
      <c r="O253" s="203" t="str">
        <f>IF(controls!$B$44=0,"",'external balance'!D252)</f>
        <v/>
      </c>
      <c r="P253" s="203" t="str">
        <f>IF(controls!$B$44=0,"",'external balance'!F252)</f>
        <v/>
      </c>
      <c r="Q253" s="202" t="str">
        <f>IF(controls!$B$44=0,"",'external balance'!H252)</f>
        <v/>
      </c>
    </row>
    <row r="254" spans="1:17" ht="14" thickTop="1" thickBot="1">
      <c r="A254" s="32">
        <v>251</v>
      </c>
      <c r="B254" s="20">
        <f ca="1">('normal case'!D253-'normal case'!B253)/'normal case'!B253</f>
        <v>0</v>
      </c>
      <c r="C254" s="26">
        <f ca="1">'normal case'!D253</f>
        <v>100</v>
      </c>
      <c r="D254" s="27">
        <f ca="1">'normal case'!C253</f>
        <v>0</v>
      </c>
      <c r="E254" s="25">
        <f ca="1">'normal case'!L253/100</f>
        <v>0.02</v>
      </c>
      <c r="F254" s="28">
        <f ca="1">'normal case'!N253/100</f>
        <v>0.06</v>
      </c>
      <c r="G254" s="28">
        <f ca="1">'normal case'!M253/100</f>
        <v>0.04</v>
      </c>
      <c r="H254" s="28">
        <f ca="1">'public finance'!D252</f>
        <v>0</v>
      </c>
      <c r="I254" s="23">
        <f ca="1">'public finance'!E252</f>
        <v>0</v>
      </c>
      <c r="J254" s="153">
        <f ca="1">'public finance'!H252</f>
        <v>0</v>
      </c>
      <c r="K254" s="20">
        <f ca="1">'public finance'!C252/'normal case'!D253</f>
        <v>0.2</v>
      </c>
      <c r="L254" s="23">
        <f ca="1">'public finance'!A252/'normal case'!D253</f>
        <v>0.2</v>
      </c>
      <c r="M254" s="21" t="str">
        <f>IF(controls!$B$44=0,"",'normal case'!AC253)</f>
        <v/>
      </c>
      <c r="N254" s="21" t="str">
        <f>IF(controls!$B$44=0,"",'normal case'!AF253)</f>
        <v/>
      </c>
      <c r="O254" s="203" t="str">
        <f>IF(controls!$B$44=0,"",'external balance'!D253)</f>
        <v/>
      </c>
      <c r="P254" s="203" t="str">
        <f>IF(controls!$B$44=0,"",'external balance'!F253)</f>
        <v/>
      </c>
      <c r="Q254" s="202" t="str">
        <f>IF(controls!$B$44=0,"",'external balance'!H253)</f>
        <v/>
      </c>
    </row>
    <row r="255" spans="1:17" ht="14" thickTop="1" thickBot="1">
      <c r="A255" s="32">
        <v>252</v>
      </c>
      <c r="B255" s="20">
        <f ca="1">('normal case'!D254-'normal case'!B254)/'normal case'!B254</f>
        <v>0</v>
      </c>
      <c r="C255" s="26">
        <f ca="1">'normal case'!D254</f>
        <v>100</v>
      </c>
      <c r="D255" s="27">
        <f ca="1">'normal case'!C254</f>
        <v>0</v>
      </c>
      <c r="E255" s="25">
        <f ca="1">'normal case'!L254/100</f>
        <v>0.02</v>
      </c>
      <c r="F255" s="28">
        <f ca="1">'normal case'!N254/100</f>
        <v>0.06</v>
      </c>
      <c r="G255" s="28">
        <f ca="1">'normal case'!M254/100</f>
        <v>0.04</v>
      </c>
      <c r="H255" s="28">
        <f ca="1">'public finance'!D253</f>
        <v>0</v>
      </c>
      <c r="I255" s="23">
        <f ca="1">'public finance'!E253</f>
        <v>0</v>
      </c>
      <c r="J255" s="153">
        <f ca="1">'public finance'!H253</f>
        <v>0</v>
      </c>
      <c r="K255" s="20">
        <f ca="1">'public finance'!C253/'normal case'!D254</f>
        <v>0.2</v>
      </c>
      <c r="L255" s="23">
        <f ca="1">'public finance'!A253/'normal case'!D254</f>
        <v>0.2</v>
      </c>
      <c r="M255" s="21" t="str">
        <f>IF(controls!$B$44=0,"",'normal case'!AC254)</f>
        <v/>
      </c>
      <c r="N255" s="21" t="str">
        <f>IF(controls!$B$44=0,"",'normal case'!AF254)</f>
        <v/>
      </c>
      <c r="O255" s="203" t="str">
        <f>IF(controls!$B$44=0,"",'external balance'!D254)</f>
        <v/>
      </c>
      <c r="P255" s="203" t="str">
        <f>IF(controls!$B$44=0,"",'external balance'!F254)</f>
        <v/>
      </c>
      <c r="Q255" s="202" t="str">
        <f>IF(controls!$B$44=0,"",'external balance'!H254)</f>
        <v/>
      </c>
    </row>
    <row r="256" spans="1:17" ht="14" thickTop="1" thickBot="1">
      <c r="A256" s="32">
        <v>253</v>
      </c>
      <c r="B256" s="20">
        <f ca="1">('normal case'!D255-'normal case'!B255)/'normal case'!B255</f>
        <v>0</v>
      </c>
      <c r="C256" s="26">
        <f ca="1">'normal case'!D255</f>
        <v>100</v>
      </c>
      <c r="D256" s="27">
        <f ca="1">'normal case'!C255</f>
        <v>0</v>
      </c>
      <c r="E256" s="25">
        <f ca="1">'normal case'!L255/100</f>
        <v>0.02</v>
      </c>
      <c r="F256" s="28">
        <f ca="1">'normal case'!N255/100</f>
        <v>0.06</v>
      </c>
      <c r="G256" s="28">
        <f ca="1">'normal case'!M255/100</f>
        <v>0.04</v>
      </c>
      <c r="H256" s="28">
        <f ca="1">'public finance'!D254</f>
        <v>0</v>
      </c>
      <c r="I256" s="23">
        <f ca="1">'public finance'!E254</f>
        <v>0</v>
      </c>
      <c r="J256" s="153">
        <f ca="1">'public finance'!H254</f>
        <v>0</v>
      </c>
      <c r="K256" s="20">
        <f ca="1">'public finance'!C254/'normal case'!D255</f>
        <v>0.2</v>
      </c>
      <c r="L256" s="23">
        <f ca="1">'public finance'!A254/'normal case'!D255</f>
        <v>0.2</v>
      </c>
      <c r="M256" s="21" t="str">
        <f>IF(controls!$B$44=0,"",'normal case'!AC255)</f>
        <v/>
      </c>
      <c r="N256" s="21" t="str">
        <f>IF(controls!$B$44=0,"",'normal case'!AF255)</f>
        <v/>
      </c>
      <c r="O256" s="203" t="str">
        <f>IF(controls!$B$44=0,"",'external balance'!D255)</f>
        <v/>
      </c>
      <c r="P256" s="203" t="str">
        <f>IF(controls!$B$44=0,"",'external balance'!F255)</f>
        <v/>
      </c>
      <c r="Q256" s="202" t="str">
        <f>IF(controls!$B$44=0,"",'external balance'!H255)</f>
        <v/>
      </c>
    </row>
    <row r="257" spans="1:17" ht="14" thickTop="1" thickBot="1">
      <c r="A257" s="32">
        <v>254</v>
      </c>
      <c r="B257" s="20">
        <f ca="1">('normal case'!D256-'normal case'!B256)/'normal case'!B256</f>
        <v>0</v>
      </c>
      <c r="C257" s="26">
        <f ca="1">'normal case'!D256</f>
        <v>100</v>
      </c>
      <c r="D257" s="27">
        <f ca="1">'normal case'!C256</f>
        <v>0</v>
      </c>
      <c r="E257" s="25">
        <f ca="1">'normal case'!L256/100</f>
        <v>0.02</v>
      </c>
      <c r="F257" s="28">
        <f ca="1">'normal case'!N256/100</f>
        <v>0.06</v>
      </c>
      <c r="G257" s="28">
        <f ca="1">'normal case'!M256/100</f>
        <v>0.04</v>
      </c>
      <c r="H257" s="28">
        <f ca="1">'public finance'!D255</f>
        <v>0</v>
      </c>
      <c r="I257" s="23">
        <f ca="1">'public finance'!E255</f>
        <v>0</v>
      </c>
      <c r="J257" s="153">
        <f ca="1">'public finance'!H255</f>
        <v>0</v>
      </c>
      <c r="K257" s="20">
        <f ca="1">'public finance'!C255/'normal case'!D256</f>
        <v>0.2</v>
      </c>
      <c r="L257" s="23">
        <f ca="1">'public finance'!A255/'normal case'!D256</f>
        <v>0.2</v>
      </c>
      <c r="M257" s="21" t="str">
        <f>IF(controls!$B$44=0,"",'normal case'!AC256)</f>
        <v/>
      </c>
      <c r="N257" s="21" t="str">
        <f>IF(controls!$B$44=0,"",'normal case'!AF256)</f>
        <v/>
      </c>
      <c r="O257" s="203" t="str">
        <f>IF(controls!$B$44=0,"",'external balance'!D256)</f>
        <v/>
      </c>
      <c r="P257" s="203" t="str">
        <f>IF(controls!$B$44=0,"",'external balance'!F256)</f>
        <v/>
      </c>
      <c r="Q257" s="202" t="str">
        <f>IF(controls!$B$44=0,"",'external balance'!H256)</f>
        <v/>
      </c>
    </row>
    <row r="258" spans="1:17" ht="14" thickTop="1" thickBot="1">
      <c r="A258" s="32">
        <v>255</v>
      </c>
      <c r="B258" s="20">
        <f ca="1">('normal case'!D257-'normal case'!B257)/'normal case'!B257</f>
        <v>0</v>
      </c>
      <c r="C258" s="26">
        <f ca="1">'normal case'!D257</f>
        <v>100</v>
      </c>
      <c r="D258" s="27">
        <f ca="1">'normal case'!C257</f>
        <v>0</v>
      </c>
      <c r="E258" s="25">
        <f ca="1">'normal case'!L257/100</f>
        <v>0.02</v>
      </c>
      <c r="F258" s="28">
        <f ca="1">'normal case'!N257/100</f>
        <v>0.06</v>
      </c>
      <c r="G258" s="28">
        <f ca="1">'normal case'!M257/100</f>
        <v>0.04</v>
      </c>
      <c r="H258" s="28">
        <f ca="1">'public finance'!D256</f>
        <v>0</v>
      </c>
      <c r="I258" s="23">
        <f ca="1">'public finance'!E256</f>
        <v>0</v>
      </c>
      <c r="J258" s="153">
        <f ca="1">'public finance'!H256</f>
        <v>0</v>
      </c>
      <c r="K258" s="20">
        <f ca="1">'public finance'!C256/'normal case'!D257</f>
        <v>0.2</v>
      </c>
      <c r="L258" s="23">
        <f ca="1">'public finance'!A256/'normal case'!D257</f>
        <v>0.2</v>
      </c>
      <c r="M258" s="21" t="str">
        <f>IF(controls!$B$44=0,"",'normal case'!AC257)</f>
        <v/>
      </c>
      <c r="N258" s="21" t="str">
        <f>IF(controls!$B$44=0,"",'normal case'!AF257)</f>
        <v/>
      </c>
      <c r="O258" s="203" t="str">
        <f>IF(controls!$B$44=0,"",'external balance'!D257)</f>
        <v/>
      </c>
      <c r="P258" s="203" t="str">
        <f>IF(controls!$B$44=0,"",'external balance'!F257)</f>
        <v/>
      </c>
      <c r="Q258" s="202" t="str">
        <f>IF(controls!$B$44=0,"",'external balance'!H257)</f>
        <v/>
      </c>
    </row>
    <row r="259" spans="1:17" ht="14" thickTop="1" thickBot="1">
      <c r="A259" s="32">
        <v>256</v>
      </c>
      <c r="B259" s="20">
        <f ca="1">('normal case'!D258-'normal case'!B258)/'normal case'!B258</f>
        <v>0</v>
      </c>
      <c r="C259" s="26">
        <f ca="1">'normal case'!D258</f>
        <v>100</v>
      </c>
      <c r="D259" s="27">
        <f ca="1">'normal case'!C258</f>
        <v>0</v>
      </c>
      <c r="E259" s="25">
        <f ca="1">'normal case'!L258/100</f>
        <v>0.02</v>
      </c>
      <c r="F259" s="28">
        <f ca="1">'normal case'!N258/100</f>
        <v>0.06</v>
      </c>
      <c r="G259" s="28">
        <f ca="1">'normal case'!M258/100</f>
        <v>0.04</v>
      </c>
      <c r="H259" s="28">
        <f ca="1">'public finance'!D257</f>
        <v>0</v>
      </c>
      <c r="I259" s="23">
        <f ca="1">'public finance'!E257</f>
        <v>0</v>
      </c>
      <c r="J259" s="153">
        <f ca="1">'public finance'!H257</f>
        <v>0</v>
      </c>
      <c r="K259" s="20">
        <f ca="1">'public finance'!C257/'normal case'!D258</f>
        <v>0.2</v>
      </c>
      <c r="L259" s="23">
        <f ca="1">'public finance'!A257/'normal case'!D258</f>
        <v>0.2</v>
      </c>
      <c r="M259" s="21" t="str">
        <f>IF(controls!$B$44=0,"",'normal case'!AC258)</f>
        <v/>
      </c>
      <c r="N259" s="21" t="str">
        <f>IF(controls!$B$44=0,"",'normal case'!AF258)</f>
        <v/>
      </c>
      <c r="O259" s="203" t="str">
        <f>IF(controls!$B$44=0,"",'external balance'!D258)</f>
        <v/>
      </c>
      <c r="P259" s="203" t="str">
        <f>IF(controls!$B$44=0,"",'external balance'!F258)</f>
        <v/>
      </c>
      <c r="Q259" s="202" t="str">
        <f>IF(controls!$B$44=0,"",'external balance'!H258)</f>
        <v/>
      </c>
    </row>
    <row r="260" spans="1:17" ht="14" thickTop="1" thickBot="1">
      <c r="A260" s="32">
        <v>257</v>
      </c>
      <c r="B260" s="20">
        <f ca="1">('normal case'!D259-'normal case'!B259)/'normal case'!B259</f>
        <v>0</v>
      </c>
      <c r="C260" s="26">
        <f ca="1">'normal case'!D259</f>
        <v>100</v>
      </c>
      <c r="D260" s="27">
        <f ca="1">'normal case'!C259</f>
        <v>0</v>
      </c>
      <c r="E260" s="25">
        <f ca="1">'normal case'!L259/100</f>
        <v>0.02</v>
      </c>
      <c r="F260" s="28">
        <f ca="1">'normal case'!N259/100</f>
        <v>0.06</v>
      </c>
      <c r="G260" s="28">
        <f ca="1">'normal case'!M259/100</f>
        <v>0.04</v>
      </c>
      <c r="H260" s="28">
        <f ca="1">'public finance'!D258</f>
        <v>0</v>
      </c>
      <c r="I260" s="23">
        <f ca="1">'public finance'!E258</f>
        <v>0</v>
      </c>
      <c r="J260" s="153">
        <f ca="1">'public finance'!H258</f>
        <v>0</v>
      </c>
      <c r="K260" s="20">
        <f ca="1">'public finance'!C258/'normal case'!D259</f>
        <v>0.2</v>
      </c>
      <c r="L260" s="23">
        <f ca="1">'public finance'!A258/'normal case'!D259</f>
        <v>0.2</v>
      </c>
      <c r="M260" s="21" t="str">
        <f>IF(controls!$B$44=0,"",'normal case'!AC259)</f>
        <v/>
      </c>
      <c r="N260" s="21" t="str">
        <f>IF(controls!$B$44=0,"",'normal case'!AF259)</f>
        <v/>
      </c>
      <c r="O260" s="203" t="str">
        <f>IF(controls!$B$44=0,"",'external balance'!D259)</f>
        <v/>
      </c>
      <c r="P260" s="203" t="str">
        <f>IF(controls!$B$44=0,"",'external balance'!F259)</f>
        <v/>
      </c>
      <c r="Q260" s="202" t="str">
        <f>IF(controls!$B$44=0,"",'external balance'!H259)</f>
        <v/>
      </c>
    </row>
    <row r="261" spans="1:17" ht="14" thickTop="1" thickBot="1">
      <c r="A261" s="32">
        <v>258</v>
      </c>
      <c r="B261" s="20">
        <f ca="1">('normal case'!D260-'normal case'!B260)/'normal case'!B260</f>
        <v>0</v>
      </c>
      <c r="C261" s="26">
        <f ca="1">'normal case'!D260</f>
        <v>100</v>
      </c>
      <c r="D261" s="27">
        <f ca="1">'normal case'!C260</f>
        <v>0</v>
      </c>
      <c r="E261" s="25">
        <f ca="1">'normal case'!L260/100</f>
        <v>0.02</v>
      </c>
      <c r="F261" s="28">
        <f ca="1">'normal case'!N260/100</f>
        <v>0.06</v>
      </c>
      <c r="G261" s="28">
        <f ca="1">'normal case'!M260/100</f>
        <v>0.04</v>
      </c>
      <c r="H261" s="28">
        <f ca="1">'public finance'!D259</f>
        <v>0</v>
      </c>
      <c r="I261" s="23">
        <f ca="1">'public finance'!E259</f>
        <v>0</v>
      </c>
      <c r="J261" s="153">
        <f ca="1">'public finance'!H259</f>
        <v>0</v>
      </c>
      <c r="K261" s="20">
        <f ca="1">'public finance'!C259/'normal case'!D260</f>
        <v>0.2</v>
      </c>
      <c r="L261" s="23">
        <f ca="1">'public finance'!A259/'normal case'!D260</f>
        <v>0.2</v>
      </c>
      <c r="M261" s="21" t="str">
        <f>IF(controls!$B$44=0,"",'normal case'!AC260)</f>
        <v/>
      </c>
      <c r="N261" s="21" t="str">
        <f>IF(controls!$B$44=0,"",'normal case'!AF260)</f>
        <v/>
      </c>
      <c r="O261" s="203" t="str">
        <f>IF(controls!$B$44=0,"",'external balance'!D260)</f>
        <v/>
      </c>
      <c r="P261" s="203" t="str">
        <f>IF(controls!$B$44=0,"",'external balance'!F260)</f>
        <v/>
      </c>
      <c r="Q261" s="202" t="str">
        <f>IF(controls!$B$44=0,"",'external balance'!H260)</f>
        <v/>
      </c>
    </row>
    <row r="262" spans="1:17" ht="14" thickTop="1" thickBot="1">
      <c r="A262" s="32">
        <v>259</v>
      </c>
      <c r="B262" s="20">
        <f ca="1">('normal case'!D261-'normal case'!B261)/'normal case'!B261</f>
        <v>0</v>
      </c>
      <c r="C262" s="26">
        <f ca="1">'normal case'!D261</f>
        <v>100</v>
      </c>
      <c r="D262" s="27">
        <f ca="1">'normal case'!C261</f>
        <v>0</v>
      </c>
      <c r="E262" s="25">
        <f ca="1">'normal case'!L261/100</f>
        <v>0.02</v>
      </c>
      <c r="F262" s="28">
        <f ca="1">'normal case'!N261/100</f>
        <v>0.06</v>
      </c>
      <c r="G262" s="28">
        <f ca="1">'normal case'!M261/100</f>
        <v>0.04</v>
      </c>
      <c r="H262" s="28">
        <f ca="1">'public finance'!D260</f>
        <v>0</v>
      </c>
      <c r="I262" s="23">
        <f ca="1">'public finance'!E260</f>
        <v>0</v>
      </c>
      <c r="J262" s="153">
        <f ca="1">'public finance'!H260</f>
        <v>0</v>
      </c>
      <c r="K262" s="20">
        <f ca="1">'public finance'!C260/'normal case'!D261</f>
        <v>0.2</v>
      </c>
      <c r="L262" s="23">
        <f ca="1">'public finance'!A260/'normal case'!D261</f>
        <v>0.2</v>
      </c>
      <c r="M262" s="21" t="str">
        <f>IF(controls!$B$44=0,"",'normal case'!AC261)</f>
        <v/>
      </c>
      <c r="N262" s="21" t="str">
        <f>IF(controls!$B$44=0,"",'normal case'!AF261)</f>
        <v/>
      </c>
      <c r="O262" s="203" t="str">
        <f>IF(controls!$B$44=0,"",'external balance'!D261)</f>
        <v/>
      </c>
      <c r="P262" s="203" t="str">
        <f>IF(controls!$B$44=0,"",'external balance'!F261)</f>
        <v/>
      </c>
      <c r="Q262" s="202" t="str">
        <f>IF(controls!$B$44=0,"",'external balance'!H261)</f>
        <v/>
      </c>
    </row>
    <row r="263" spans="1:17" ht="14" thickTop="1" thickBot="1">
      <c r="A263" s="32">
        <v>260</v>
      </c>
      <c r="B263" s="20">
        <f ca="1">('normal case'!D262-'normal case'!B262)/'normal case'!B262</f>
        <v>0</v>
      </c>
      <c r="C263" s="26">
        <f ca="1">'normal case'!D262</f>
        <v>100</v>
      </c>
      <c r="D263" s="27">
        <f ca="1">'normal case'!C262</f>
        <v>0</v>
      </c>
      <c r="E263" s="25">
        <f ca="1">'normal case'!L262/100</f>
        <v>0.02</v>
      </c>
      <c r="F263" s="28">
        <f ca="1">'normal case'!N262/100</f>
        <v>0.06</v>
      </c>
      <c r="G263" s="28">
        <f ca="1">'normal case'!M262/100</f>
        <v>0.04</v>
      </c>
      <c r="H263" s="28">
        <f ca="1">'public finance'!D261</f>
        <v>0</v>
      </c>
      <c r="I263" s="23">
        <f ca="1">'public finance'!E261</f>
        <v>0</v>
      </c>
      <c r="J263" s="153">
        <f ca="1">'public finance'!H261</f>
        <v>0</v>
      </c>
      <c r="K263" s="20">
        <f ca="1">'public finance'!C261/'normal case'!D262</f>
        <v>0.2</v>
      </c>
      <c r="L263" s="23">
        <f ca="1">'public finance'!A261/'normal case'!D262</f>
        <v>0.2</v>
      </c>
      <c r="M263" s="21" t="str">
        <f>IF(controls!$B$44=0,"",'normal case'!AC262)</f>
        <v/>
      </c>
      <c r="N263" s="21" t="str">
        <f>IF(controls!$B$44=0,"",'normal case'!AF262)</f>
        <v/>
      </c>
      <c r="O263" s="203" t="str">
        <f>IF(controls!$B$44=0,"",'external balance'!D262)</f>
        <v/>
      </c>
      <c r="P263" s="203" t="str">
        <f>IF(controls!$B$44=0,"",'external balance'!F262)</f>
        <v/>
      </c>
      <c r="Q263" s="202" t="str">
        <f>IF(controls!$B$44=0,"",'external balance'!H262)</f>
        <v/>
      </c>
    </row>
    <row r="264" spans="1:17" ht="14" thickTop="1" thickBot="1">
      <c r="A264" s="32">
        <v>261</v>
      </c>
      <c r="B264" s="20">
        <f ca="1">('normal case'!D263-'normal case'!B263)/'normal case'!B263</f>
        <v>0</v>
      </c>
      <c r="C264" s="26">
        <f ca="1">'normal case'!D263</f>
        <v>100</v>
      </c>
      <c r="D264" s="27">
        <f ca="1">'normal case'!C263</f>
        <v>0</v>
      </c>
      <c r="E264" s="25">
        <f ca="1">'normal case'!L263/100</f>
        <v>0.02</v>
      </c>
      <c r="F264" s="28">
        <f ca="1">'normal case'!N263/100</f>
        <v>0.06</v>
      </c>
      <c r="G264" s="28">
        <f ca="1">'normal case'!M263/100</f>
        <v>0.04</v>
      </c>
      <c r="H264" s="28">
        <f ca="1">'public finance'!D262</f>
        <v>0</v>
      </c>
      <c r="I264" s="23">
        <f ca="1">'public finance'!E262</f>
        <v>0</v>
      </c>
      <c r="J264" s="153">
        <f ca="1">'public finance'!H262</f>
        <v>0</v>
      </c>
      <c r="K264" s="20">
        <f ca="1">'public finance'!C262/'normal case'!D263</f>
        <v>0.2</v>
      </c>
      <c r="L264" s="23">
        <f ca="1">'public finance'!A262/'normal case'!D263</f>
        <v>0.2</v>
      </c>
      <c r="M264" s="21" t="str">
        <f>IF(controls!$B$44=0,"",'normal case'!AC263)</f>
        <v/>
      </c>
      <c r="N264" s="21" t="str">
        <f>IF(controls!$B$44=0,"",'normal case'!AF263)</f>
        <v/>
      </c>
      <c r="O264" s="203" t="str">
        <f>IF(controls!$B$44=0,"",'external balance'!D263)</f>
        <v/>
      </c>
      <c r="P264" s="203" t="str">
        <f>IF(controls!$B$44=0,"",'external balance'!F263)</f>
        <v/>
      </c>
      <c r="Q264" s="202" t="str">
        <f>IF(controls!$B$44=0,"",'external balance'!H263)</f>
        <v/>
      </c>
    </row>
    <row r="265" spans="1:17" ht="14" thickTop="1" thickBot="1">
      <c r="A265" s="32">
        <v>262</v>
      </c>
      <c r="B265" s="20">
        <f ca="1">('normal case'!D264-'normal case'!B264)/'normal case'!B264</f>
        <v>0</v>
      </c>
      <c r="C265" s="26">
        <f ca="1">'normal case'!D264</f>
        <v>100</v>
      </c>
      <c r="D265" s="27">
        <f ca="1">'normal case'!C264</f>
        <v>0</v>
      </c>
      <c r="E265" s="25">
        <f ca="1">'normal case'!L264/100</f>
        <v>0.02</v>
      </c>
      <c r="F265" s="28">
        <f ca="1">'normal case'!N264/100</f>
        <v>0.06</v>
      </c>
      <c r="G265" s="28">
        <f ca="1">'normal case'!M264/100</f>
        <v>0.04</v>
      </c>
      <c r="H265" s="28">
        <f ca="1">'public finance'!D263</f>
        <v>0</v>
      </c>
      <c r="I265" s="23">
        <f ca="1">'public finance'!E263</f>
        <v>0</v>
      </c>
      <c r="J265" s="153">
        <f ca="1">'public finance'!H263</f>
        <v>0</v>
      </c>
      <c r="K265" s="20">
        <f ca="1">'public finance'!C263/'normal case'!D264</f>
        <v>0.2</v>
      </c>
      <c r="L265" s="23">
        <f ca="1">'public finance'!A263/'normal case'!D264</f>
        <v>0.2</v>
      </c>
      <c r="M265" s="21" t="str">
        <f>IF(controls!$B$44=0,"",'normal case'!AC264)</f>
        <v/>
      </c>
      <c r="N265" s="21" t="str">
        <f>IF(controls!$B$44=0,"",'normal case'!AF264)</f>
        <v/>
      </c>
      <c r="O265" s="203" t="str">
        <f>IF(controls!$B$44=0,"",'external balance'!D264)</f>
        <v/>
      </c>
      <c r="P265" s="203" t="str">
        <f>IF(controls!$B$44=0,"",'external balance'!F264)</f>
        <v/>
      </c>
      <c r="Q265" s="202" t="str">
        <f>IF(controls!$B$44=0,"",'external balance'!H264)</f>
        <v/>
      </c>
    </row>
    <row r="266" spans="1:17" ht="14" thickTop="1" thickBot="1">
      <c r="A266" s="32">
        <v>263</v>
      </c>
      <c r="B266" s="20">
        <f ca="1">('normal case'!D265-'normal case'!B265)/'normal case'!B265</f>
        <v>0</v>
      </c>
      <c r="C266" s="26">
        <f ca="1">'normal case'!D265</f>
        <v>100</v>
      </c>
      <c r="D266" s="27">
        <f ca="1">'normal case'!C265</f>
        <v>0</v>
      </c>
      <c r="E266" s="25">
        <f ca="1">'normal case'!L265/100</f>
        <v>0.02</v>
      </c>
      <c r="F266" s="28">
        <f ca="1">'normal case'!N265/100</f>
        <v>0.06</v>
      </c>
      <c r="G266" s="28">
        <f ca="1">'normal case'!M265/100</f>
        <v>0.04</v>
      </c>
      <c r="H266" s="28">
        <f ca="1">'public finance'!D264</f>
        <v>0</v>
      </c>
      <c r="I266" s="23">
        <f ca="1">'public finance'!E264</f>
        <v>0</v>
      </c>
      <c r="J266" s="153">
        <f ca="1">'public finance'!H264</f>
        <v>0</v>
      </c>
      <c r="K266" s="20">
        <f ca="1">'public finance'!C264/'normal case'!D265</f>
        <v>0.2</v>
      </c>
      <c r="L266" s="23">
        <f ca="1">'public finance'!A264/'normal case'!D265</f>
        <v>0.2</v>
      </c>
      <c r="M266" s="21" t="str">
        <f>IF(controls!$B$44=0,"",'normal case'!AC265)</f>
        <v/>
      </c>
      <c r="N266" s="21" t="str">
        <f>IF(controls!$B$44=0,"",'normal case'!AF265)</f>
        <v/>
      </c>
      <c r="O266" s="203" t="str">
        <f>IF(controls!$B$44=0,"",'external balance'!D265)</f>
        <v/>
      </c>
      <c r="P266" s="203" t="str">
        <f>IF(controls!$B$44=0,"",'external balance'!F265)</f>
        <v/>
      </c>
      <c r="Q266" s="202" t="str">
        <f>IF(controls!$B$44=0,"",'external balance'!H265)</f>
        <v/>
      </c>
    </row>
    <row r="267" spans="1:17" ht="14" thickTop="1" thickBot="1">
      <c r="A267" s="32">
        <v>264</v>
      </c>
      <c r="B267" s="20">
        <f ca="1">('normal case'!D266-'normal case'!B266)/'normal case'!B266</f>
        <v>0</v>
      </c>
      <c r="C267" s="26">
        <f ca="1">'normal case'!D266</f>
        <v>100</v>
      </c>
      <c r="D267" s="27">
        <f ca="1">'normal case'!C266</f>
        <v>0</v>
      </c>
      <c r="E267" s="25">
        <f ca="1">'normal case'!L266/100</f>
        <v>0.02</v>
      </c>
      <c r="F267" s="28">
        <f ca="1">'normal case'!N266/100</f>
        <v>0.06</v>
      </c>
      <c r="G267" s="28">
        <f ca="1">'normal case'!M266/100</f>
        <v>0.04</v>
      </c>
      <c r="H267" s="28">
        <f ca="1">'public finance'!D265</f>
        <v>0</v>
      </c>
      <c r="I267" s="23">
        <f ca="1">'public finance'!E265</f>
        <v>0</v>
      </c>
      <c r="J267" s="153">
        <f ca="1">'public finance'!H265</f>
        <v>0</v>
      </c>
      <c r="K267" s="20">
        <f ca="1">'public finance'!C265/'normal case'!D266</f>
        <v>0.2</v>
      </c>
      <c r="L267" s="23">
        <f ca="1">'public finance'!A265/'normal case'!D266</f>
        <v>0.2</v>
      </c>
      <c r="M267" s="21" t="str">
        <f>IF(controls!$B$44=0,"",'normal case'!AC266)</f>
        <v/>
      </c>
      <c r="N267" s="21" t="str">
        <f>IF(controls!$B$44=0,"",'normal case'!AF266)</f>
        <v/>
      </c>
      <c r="O267" s="203" t="str">
        <f>IF(controls!$B$44=0,"",'external balance'!D266)</f>
        <v/>
      </c>
      <c r="P267" s="203" t="str">
        <f>IF(controls!$B$44=0,"",'external balance'!F266)</f>
        <v/>
      </c>
      <c r="Q267" s="202" t="str">
        <f>IF(controls!$B$44=0,"",'external balance'!H266)</f>
        <v/>
      </c>
    </row>
    <row r="268" spans="1:17" ht="14" thickTop="1" thickBot="1">
      <c r="A268" s="32">
        <v>265</v>
      </c>
      <c r="B268" s="20">
        <f ca="1">('normal case'!D267-'normal case'!B267)/'normal case'!B267</f>
        <v>0</v>
      </c>
      <c r="C268" s="26">
        <f ca="1">'normal case'!D267</f>
        <v>100</v>
      </c>
      <c r="D268" s="27">
        <f ca="1">'normal case'!C267</f>
        <v>0</v>
      </c>
      <c r="E268" s="25">
        <f ca="1">'normal case'!L267/100</f>
        <v>0.02</v>
      </c>
      <c r="F268" s="28">
        <f ca="1">'normal case'!N267/100</f>
        <v>0.06</v>
      </c>
      <c r="G268" s="28">
        <f ca="1">'normal case'!M267/100</f>
        <v>0.04</v>
      </c>
      <c r="H268" s="28">
        <f ca="1">'public finance'!D266</f>
        <v>0</v>
      </c>
      <c r="I268" s="23">
        <f ca="1">'public finance'!E266</f>
        <v>0</v>
      </c>
      <c r="J268" s="153">
        <f ca="1">'public finance'!H266</f>
        <v>0</v>
      </c>
      <c r="K268" s="20">
        <f ca="1">'public finance'!C266/'normal case'!D267</f>
        <v>0.2</v>
      </c>
      <c r="L268" s="23">
        <f ca="1">'public finance'!A266/'normal case'!D267</f>
        <v>0.2</v>
      </c>
      <c r="M268" s="21" t="str">
        <f>IF(controls!$B$44=0,"",'normal case'!AC267)</f>
        <v/>
      </c>
      <c r="N268" s="21" t="str">
        <f>IF(controls!$B$44=0,"",'normal case'!AF267)</f>
        <v/>
      </c>
      <c r="O268" s="203" t="str">
        <f>IF(controls!$B$44=0,"",'external balance'!D267)</f>
        <v/>
      </c>
      <c r="P268" s="203" t="str">
        <f>IF(controls!$B$44=0,"",'external balance'!F267)</f>
        <v/>
      </c>
      <c r="Q268" s="202" t="str">
        <f>IF(controls!$B$44=0,"",'external balance'!H267)</f>
        <v/>
      </c>
    </row>
    <row r="269" spans="1:17" ht="14" thickTop="1" thickBot="1">
      <c r="A269" s="32">
        <v>266</v>
      </c>
      <c r="B269" s="20">
        <f ca="1">('normal case'!D268-'normal case'!B268)/'normal case'!B268</f>
        <v>0</v>
      </c>
      <c r="C269" s="26">
        <f ca="1">'normal case'!D268</f>
        <v>100</v>
      </c>
      <c r="D269" s="27">
        <f ca="1">'normal case'!C268</f>
        <v>0</v>
      </c>
      <c r="E269" s="25">
        <f ca="1">'normal case'!L268/100</f>
        <v>0.02</v>
      </c>
      <c r="F269" s="28">
        <f ca="1">'normal case'!N268/100</f>
        <v>0.06</v>
      </c>
      <c r="G269" s="28">
        <f ca="1">'normal case'!M268/100</f>
        <v>0.04</v>
      </c>
      <c r="H269" s="28">
        <f ca="1">'public finance'!D267</f>
        <v>0</v>
      </c>
      <c r="I269" s="23">
        <f ca="1">'public finance'!E267</f>
        <v>0</v>
      </c>
      <c r="J269" s="153">
        <f ca="1">'public finance'!H267</f>
        <v>0</v>
      </c>
      <c r="K269" s="20">
        <f ca="1">'public finance'!C267/'normal case'!D268</f>
        <v>0.2</v>
      </c>
      <c r="L269" s="23">
        <f ca="1">'public finance'!A267/'normal case'!D268</f>
        <v>0.2</v>
      </c>
      <c r="M269" s="21" t="str">
        <f>IF(controls!$B$44=0,"",'normal case'!AC268)</f>
        <v/>
      </c>
      <c r="N269" s="21" t="str">
        <f>IF(controls!$B$44=0,"",'normal case'!AF268)</f>
        <v/>
      </c>
      <c r="O269" s="203" t="str">
        <f>IF(controls!$B$44=0,"",'external balance'!D268)</f>
        <v/>
      </c>
      <c r="P269" s="203" t="str">
        <f>IF(controls!$B$44=0,"",'external balance'!F268)</f>
        <v/>
      </c>
      <c r="Q269" s="202" t="str">
        <f>IF(controls!$B$44=0,"",'external balance'!H268)</f>
        <v/>
      </c>
    </row>
    <row r="270" spans="1:17" ht="14" thickTop="1" thickBot="1">
      <c r="A270" s="32">
        <v>267</v>
      </c>
      <c r="B270" s="20">
        <f ca="1">('normal case'!D269-'normal case'!B269)/'normal case'!B269</f>
        <v>0</v>
      </c>
      <c r="C270" s="26">
        <f ca="1">'normal case'!D269</f>
        <v>100</v>
      </c>
      <c r="D270" s="27">
        <f ca="1">'normal case'!C269</f>
        <v>0</v>
      </c>
      <c r="E270" s="25">
        <f ca="1">'normal case'!L269/100</f>
        <v>0.02</v>
      </c>
      <c r="F270" s="28">
        <f ca="1">'normal case'!N269/100</f>
        <v>0.06</v>
      </c>
      <c r="G270" s="28">
        <f ca="1">'normal case'!M269/100</f>
        <v>0.04</v>
      </c>
      <c r="H270" s="28">
        <f ca="1">'public finance'!D268</f>
        <v>0</v>
      </c>
      <c r="I270" s="23">
        <f ca="1">'public finance'!E268</f>
        <v>0</v>
      </c>
      <c r="J270" s="153">
        <f ca="1">'public finance'!H268</f>
        <v>0</v>
      </c>
      <c r="K270" s="20">
        <f ca="1">'public finance'!C268/'normal case'!D269</f>
        <v>0.2</v>
      </c>
      <c r="L270" s="23">
        <f ca="1">'public finance'!A268/'normal case'!D269</f>
        <v>0.2</v>
      </c>
      <c r="M270" s="21" t="str">
        <f>IF(controls!$B$44=0,"",'normal case'!AC269)</f>
        <v/>
      </c>
      <c r="N270" s="21" t="str">
        <f>IF(controls!$B$44=0,"",'normal case'!AF269)</f>
        <v/>
      </c>
      <c r="O270" s="203" t="str">
        <f>IF(controls!$B$44=0,"",'external balance'!D269)</f>
        <v/>
      </c>
      <c r="P270" s="203" t="str">
        <f>IF(controls!$B$44=0,"",'external balance'!F269)</f>
        <v/>
      </c>
      <c r="Q270" s="202" t="str">
        <f>IF(controls!$B$44=0,"",'external balance'!H269)</f>
        <v/>
      </c>
    </row>
    <row r="271" spans="1:17" ht="14" thickTop="1" thickBot="1">
      <c r="A271" s="32">
        <v>268</v>
      </c>
      <c r="B271" s="20">
        <f ca="1">('normal case'!D270-'normal case'!B270)/'normal case'!B270</f>
        <v>0</v>
      </c>
      <c r="C271" s="26">
        <f ca="1">'normal case'!D270</f>
        <v>100</v>
      </c>
      <c r="D271" s="27">
        <f ca="1">'normal case'!C270</f>
        <v>0</v>
      </c>
      <c r="E271" s="25">
        <f ca="1">'normal case'!L270/100</f>
        <v>0.02</v>
      </c>
      <c r="F271" s="28">
        <f ca="1">'normal case'!N270/100</f>
        <v>0.06</v>
      </c>
      <c r="G271" s="28">
        <f ca="1">'normal case'!M270/100</f>
        <v>0.04</v>
      </c>
      <c r="H271" s="28">
        <f ca="1">'public finance'!D269</f>
        <v>0</v>
      </c>
      <c r="I271" s="23">
        <f ca="1">'public finance'!E269</f>
        <v>0</v>
      </c>
      <c r="J271" s="153">
        <f ca="1">'public finance'!H269</f>
        <v>0</v>
      </c>
      <c r="K271" s="20">
        <f ca="1">'public finance'!C269/'normal case'!D270</f>
        <v>0.2</v>
      </c>
      <c r="L271" s="23">
        <f ca="1">'public finance'!A269/'normal case'!D270</f>
        <v>0.2</v>
      </c>
      <c r="M271" s="21" t="str">
        <f>IF(controls!$B$44=0,"",'normal case'!AC270)</f>
        <v/>
      </c>
      <c r="N271" s="21" t="str">
        <f>IF(controls!$B$44=0,"",'normal case'!AF270)</f>
        <v/>
      </c>
      <c r="O271" s="203" t="str">
        <f>IF(controls!$B$44=0,"",'external balance'!D270)</f>
        <v/>
      </c>
      <c r="P271" s="203" t="str">
        <f>IF(controls!$B$44=0,"",'external balance'!F270)</f>
        <v/>
      </c>
      <c r="Q271" s="202" t="str">
        <f>IF(controls!$B$44=0,"",'external balance'!H270)</f>
        <v/>
      </c>
    </row>
    <row r="272" spans="1:17" ht="14" thickTop="1" thickBot="1">
      <c r="A272" s="32">
        <v>269</v>
      </c>
      <c r="B272" s="20">
        <f ca="1">('normal case'!D271-'normal case'!B271)/'normal case'!B271</f>
        <v>0</v>
      </c>
      <c r="C272" s="26">
        <f ca="1">'normal case'!D271</f>
        <v>100</v>
      </c>
      <c r="D272" s="27">
        <f ca="1">'normal case'!C271</f>
        <v>0</v>
      </c>
      <c r="E272" s="25">
        <f ca="1">'normal case'!L271/100</f>
        <v>0.02</v>
      </c>
      <c r="F272" s="28">
        <f ca="1">'normal case'!N271/100</f>
        <v>0.06</v>
      </c>
      <c r="G272" s="28">
        <f ca="1">'normal case'!M271/100</f>
        <v>0.04</v>
      </c>
      <c r="H272" s="28">
        <f ca="1">'public finance'!D270</f>
        <v>0</v>
      </c>
      <c r="I272" s="23">
        <f ca="1">'public finance'!E270</f>
        <v>0</v>
      </c>
      <c r="J272" s="153">
        <f ca="1">'public finance'!H270</f>
        <v>0</v>
      </c>
      <c r="K272" s="20">
        <f ca="1">'public finance'!C270/'normal case'!D271</f>
        <v>0.2</v>
      </c>
      <c r="L272" s="23">
        <f ca="1">'public finance'!A270/'normal case'!D271</f>
        <v>0.2</v>
      </c>
      <c r="M272" s="21" t="str">
        <f>IF(controls!$B$44=0,"",'normal case'!AC271)</f>
        <v/>
      </c>
      <c r="N272" s="21" t="str">
        <f>IF(controls!$B$44=0,"",'normal case'!AF271)</f>
        <v/>
      </c>
      <c r="O272" s="203" t="str">
        <f>IF(controls!$B$44=0,"",'external balance'!D271)</f>
        <v/>
      </c>
      <c r="P272" s="203" t="str">
        <f>IF(controls!$B$44=0,"",'external balance'!F271)</f>
        <v/>
      </c>
      <c r="Q272" s="202" t="str">
        <f>IF(controls!$B$44=0,"",'external balance'!H271)</f>
        <v/>
      </c>
    </row>
    <row r="273" spans="1:17" ht="14" thickTop="1" thickBot="1">
      <c r="A273" s="32">
        <v>270</v>
      </c>
      <c r="B273" s="20">
        <f ca="1">('normal case'!D272-'normal case'!B272)/'normal case'!B272</f>
        <v>0</v>
      </c>
      <c r="C273" s="26">
        <f ca="1">'normal case'!D272</f>
        <v>100</v>
      </c>
      <c r="D273" s="27">
        <f ca="1">'normal case'!C272</f>
        <v>0</v>
      </c>
      <c r="E273" s="25">
        <f ca="1">'normal case'!L272/100</f>
        <v>0.02</v>
      </c>
      <c r="F273" s="28">
        <f ca="1">'normal case'!N272/100</f>
        <v>0.06</v>
      </c>
      <c r="G273" s="28">
        <f ca="1">'normal case'!M272/100</f>
        <v>0.04</v>
      </c>
      <c r="H273" s="28">
        <f ca="1">'public finance'!D271</f>
        <v>0</v>
      </c>
      <c r="I273" s="23">
        <f ca="1">'public finance'!E271</f>
        <v>0</v>
      </c>
      <c r="J273" s="153">
        <f ca="1">'public finance'!H271</f>
        <v>0</v>
      </c>
      <c r="K273" s="20">
        <f ca="1">'public finance'!C271/'normal case'!D272</f>
        <v>0.2</v>
      </c>
      <c r="L273" s="23">
        <f ca="1">'public finance'!A271/'normal case'!D272</f>
        <v>0.2</v>
      </c>
      <c r="M273" s="21" t="str">
        <f>IF(controls!$B$44=0,"",'normal case'!AC272)</f>
        <v/>
      </c>
      <c r="N273" s="21" t="str">
        <f>IF(controls!$B$44=0,"",'normal case'!AF272)</f>
        <v/>
      </c>
      <c r="O273" s="203" t="str">
        <f>IF(controls!$B$44=0,"",'external balance'!D272)</f>
        <v/>
      </c>
      <c r="P273" s="203" t="str">
        <f>IF(controls!$B$44=0,"",'external balance'!F272)</f>
        <v/>
      </c>
      <c r="Q273" s="202" t="str">
        <f>IF(controls!$B$44=0,"",'external balance'!H272)</f>
        <v/>
      </c>
    </row>
    <row r="274" spans="1:17" ht="14" thickTop="1" thickBot="1">
      <c r="A274" s="32">
        <v>271</v>
      </c>
      <c r="B274" s="20">
        <f ca="1">('normal case'!D273-'normal case'!B273)/'normal case'!B273</f>
        <v>0</v>
      </c>
      <c r="C274" s="26">
        <f ca="1">'normal case'!D273</f>
        <v>100</v>
      </c>
      <c r="D274" s="27">
        <f ca="1">'normal case'!C273</f>
        <v>0</v>
      </c>
      <c r="E274" s="25">
        <f ca="1">'normal case'!L273/100</f>
        <v>0.02</v>
      </c>
      <c r="F274" s="28">
        <f ca="1">'normal case'!N273/100</f>
        <v>0.06</v>
      </c>
      <c r="G274" s="28">
        <f ca="1">'normal case'!M273/100</f>
        <v>0.04</v>
      </c>
      <c r="H274" s="28">
        <f ca="1">'public finance'!D272</f>
        <v>0</v>
      </c>
      <c r="I274" s="23">
        <f ca="1">'public finance'!E272</f>
        <v>0</v>
      </c>
      <c r="J274" s="153">
        <f ca="1">'public finance'!H272</f>
        <v>0</v>
      </c>
      <c r="K274" s="20">
        <f ca="1">'public finance'!C272/'normal case'!D273</f>
        <v>0.2</v>
      </c>
      <c r="L274" s="23">
        <f ca="1">'public finance'!A272/'normal case'!D273</f>
        <v>0.2</v>
      </c>
      <c r="M274" s="21" t="str">
        <f>IF(controls!$B$44=0,"",'normal case'!AC273)</f>
        <v/>
      </c>
      <c r="N274" s="21" t="str">
        <f>IF(controls!$B$44=0,"",'normal case'!AF273)</f>
        <v/>
      </c>
      <c r="O274" s="203" t="str">
        <f>IF(controls!$B$44=0,"",'external balance'!D273)</f>
        <v/>
      </c>
      <c r="P274" s="203" t="str">
        <f>IF(controls!$B$44=0,"",'external balance'!F273)</f>
        <v/>
      </c>
      <c r="Q274" s="202" t="str">
        <f>IF(controls!$B$44=0,"",'external balance'!H273)</f>
        <v/>
      </c>
    </row>
    <row r="275" spans="1:17" ht="14" thickTop="1" thickBot="1">
      <c r="A275" s="32">
        <v>272</v>
      </c>
      <c r="B275" s="20">
        <f ca="1">('normal case'!D274-'normal case'!B274)/'normal case'!B274</f>
        <v>0</v>
      </c>
      <c r="C275" s="26">
        <f ca="1">'normal case'!D274</f>
        <v>100</v>
      </c>
      <c r="D275" s="27">
        <f ca="1">'normal case'!C274</f>
        <v>0</v>
      </c>
      <c r="E275" s="25">
        <f ca="1">'normal case'!L274/100</f>
        <v>0.02</v>
      </c>
      <c r="F275" s="28">
        <f ca="1">'normal case'!N274/100</f>
        <v>0.06</v>
      </c>
      <c r="G275" s="28">
        <f ca="1">'normal case'!M274/100</f>
        <v>0.04</v>
      </c>
      <c r="H275" s="28">
        <f ca="1">'public finance'!D273</f>
        <v>0</v>
      </c>
      <c r="I275" s="23">
        <f ca="1">'public finance'!E273</f>
        <v>0</v>
      </c>
      <c r="J275" s="153">
        <f ca="1">'public finance'!H273</f>
        <v>0</v>
      </c>
      <c r="K275" s="20">
        <f ca="1">'public finance'!C273/'normal case'!D274</f>
        <v>0.2</v>
      </c>
      <c r="L275" s="23">
        <f ca="1">'public finance'!A273/'normal case'!D274</f>
        <v>0.2</v>
      </c>
      <c r="M275" s="21" t="str">
        <f>IF(controls!$B$44=0,"",'normal case'!AC274)</f>
        <v/>
      </c>
      <c r="N275" s="21" t="str">
        <f>IF(controls!$B$44=0,"",'normal case'!AF274)</f>
        <v/>
      </c>
      <c r="O275" s="203" t="str">
        <f>IF(controls!$B$44=0,"",'external balance'!D274)</f>
        <v/>
      </c>
      <c r="P275" s="203" t="str">
        <f>IF(controls!$B$44=0,"",'external balance'!F274)</f>
        <v/>
      </c>
      <c r="Q275" s="202" t="str">
        <f>IF(controls!$B$44=0,"",'external balance'!H274)</f>
        <v/>
      </c>
    </row>
    <row r="276" spans="1:17" ht="14" thickTop="1" thickBot="1">
      <c r="A276" s="32">
        <v>273</v>
      </c>
      <c r="B276" s="20">
        <f ca="1">('normal case'!D275-'normal case'!B275)/'normal case'!B275</f>
        <v>0</v>
      </c>
      <c r="C276" s="26">
        <f ca="1">'normal case'!D275</f>
        <v>100</v>
      </c>
      <c r="D276" s="27">
        <f ca="1">'normal case'!C275</f>
        <v>0</v>
      </c>
      <c r="E276" s="25">
        <f ca="1">'normal case'!L275/100</f>
        <v>0.02</v>
      </c>
      <c r="F276" s="28">
        <f ca="1">'normal case'!N275/100</f>
        <v>0.06</v>
      </c>
      <c r="G276" s="28">
        <f ca="1">'normal case'!M275/100</f>
        <v>0.04</v>
      </c>
      <c r="H276" s="28">
        <f ca="1">'public finance'!D274</f>
        <v>0</v>
      </c>
      <c r="I276" s="23">
        <f ca="1">'public finance'!E274</f>
        <v>0</v>
      </c>
      <c r="J276" s="153">
        <f ca="1">'public finance'!H274</f>
        <v>0</v>
      </c>
      <c r="K276" s="20">
        <f ca="1">'public finance'!C274/'normal case'!D275</f>
        <v>0.2</v>
      </c>
      <c r="L276" s="23">
        <f ca="1">'public finance'!A274/'normal case'!D275</f>
        <v>0.2</v>
      </c>
      <c r="M276" s="21" t="str">
        <f>IF(controls!$B$44=0,"",'normal case'!AC275)</f>
        <v/>
      </c>
      <c r="N276" s="21" t="str">
        <f>IF(controls!$B$44=0,"",'normal case'!AF275)</f>
        <v/>
      </c>
      <c r="O276" s="203" t="str">
        <f>IF(controls!$B$44=0,"",'external balance'!D275)</f>
        <v/>
      </c>
      <c r="P276" s="203" t="str">
        <f>IF(controls!$B$44=0,"",'external balance'!F275)</f>
        <v/>
      </c>
      <c r="Q276" s="202" t="str">
        <f>IF(controls!$B$44=0,"",'external balance'!H275)</f>
        <v/>
      </c>
    </row>
    <row r="277" spans="1:17" ht="14" thickTop="1" thickBot="1">
      <c r="A277" s="32">
        <v>274</v>
      </c>
      <c r="B277" s="20">
        <f ca="1">('normal case'!D276-'normal case'!B276)/'normal case'!B276</f>
        <v>0</v>
      </c>
      <c r="C277" s="26">
        <f ca="1">'normal case'!D276</f>
        <v>100</v>
      </c>
      <c r="D277" s="27">
        <f ca="1">'normal case'!C276</f>
        <v>0</v>
      </c>
      <c r="E277" s="25">
        <f ca="1">'normal case'!L276/100</f>
        <v>0.02</v>
      </c>
      <c r="F277" s="28">
        <f ca="1">'normal case'!N276/100</f>
        <v>0.06</v>
      </c>
      <c r="G277" s="28">
        <f ca="1">'normal case'!M276/100</f>
        <v>0.04</v>
      </c>
      <c r="H277" s="28">
        <f ca="1">'public finance'!D275</f>
        <v>0</v>
      </c>
      <c r="I277" s="23">
        <f ca="1">'public finance'!E275</f>
        <v>0</v>
      </c>
      <c r="J277" s="153">
        <f ca="1">'public finance'!H275</f>
        <v>0</v>
      </c>
      <c r="K277" s="20">
        <f ca="1">'public finance'!C275/'normal case'!D276</f>
        <v>0.2</v>
      </c>
      <c r="L277" s="23">
        <f ca="1">'public finance'!A275/'normal case'!D276</f>
        <v>0.2</v>
      </c>
      <c r="M277" s="21" t="str">
        <f>IF(controls!$B$44=0,"",'normal case'!AC276)</f>
        <v/>
      </c>
      <c r="N277" s="21" t="str">
        <f>IF(controls!$B$44=0,"",'normal case'!AF276)</f>
        <v/>
      </c>
      <c r="O277" s="203" t="str">
        <f>IF(controls!$B$44=0,"",'external balance'!D276)</f>
        <v/>
      </c>
      <c r="P277" s="203" t="str">
        <f>IF(controls!$B$44=0,"",'external balance'!F276)</f>
        <v/>
      </c>
      <c r="Q277" s="202" t="str">
        <f>IF(controls!$B$44=0,"",'external balance'!H276)</f>
        <v/>
      </c>
    </row>
    <row r="278" spans="1:17" ht="14" thickTop="1" thickBot="1">
      <c r="A278" s="32">
        <v>275</v>
      </c>
      <c r="B278" s="20">
        <f ca="1">('normal case'!D277-'normal case'!B277)/'normal case'!B277</f>
        <v>0</v>
      </c>
      <c r="C278" s="26">
        <f ca="1">'normal case'!D277</f>
        <v>100</v>
      </c>
      <c r="D278" s="27">
        <f ca="1">'normal case'!C277</f>
        <v>0</v>
      </c>
      <c r="E278" s="25">
        <f ca="1">'normal case'!L277/100</f>
        <v>0.02</v>
      </c>
      <c r="F278" s="28">
        <f ca="1">'normal case'!N277/100</f>
        <v>0.06</v>
      </c>
      <c r="G278" s="28">
        <f ca="1">'normal case'!M277/100</f>
        <v>0.04</v>
      </c>
      <c r="H278" s="28">
        <f ca="1">'public finance'!D276</f>
        <v>0</v>
      </c>
      <c r="I278" s="23">
        <f ca="1">'public finance'!E276</f>
        <v>0</v>
      </c>
      <c r="J278" s="153">
        <f ca="1">'public finance'!H276</f>
        <v>0</v>
      </c>
      <c r="K278" s="20">
        <f ca="1">'public finance'!C276/'normal case'!D277</f>
        <v>0.2</v>
      </c>
      <c r="L278" s="23">
        <f ca="1">'public finance'!A276/'normal case'!D277</f>
        <v>0.2</v>
      </c>
      <c r="M278" s="21" t="str">
        <f>IF(controls!$B$44=0,"",'normal case'!AC277)</f>
        <v/>
      </c>
      <c r="N278" s="21" t="str">
        <f>IF(controls!$B$44=0,"",'normal case'!AF277)</f>
        <v/>
      </c>
      <c r="O278" s="203" t="str">
        <f>IF(controls!$B$44=0,"",'external balance'!D277)</f>
        <v/>
      </c>
      <c r="P278" s="203" t="str">
        <f>IF(controls!$B$44=0,"",'external balance'!F277)</f>
        <v/>
      </c>
      <c r="Q278" s="202" t="str">
        <f>IF(controls!$B$44=0,"",'external balance'!H277)</f>
        <v/>
      </c>
    </row>
    <row r="279" spans="1:17" ht="14" thickTop="1" thickBot="1">
      <c r="A279" s="32">
        <v>276</v>
      </c>
      <c r="B279" s="20">
        <f ca="1">('normal case'!D278-'normal case'!B278)/'normal case'!B278</f>
        <v>0</v>
      </c>
      <c r="C279" s="26">
        <f ca="1">'normal case'!D278</f>
        <v>100</v>
      </c>
      <c r="D279" s="27">
        <f ca="1">'normal case'!C278</f>
        <v>0</v>
      </c>
      <c r="E279" s="25">
        <f ca="1">'normal case'!L278/100</f>
        <v>0.02</v>
      </c>
      <c r="F279" s="28">
        <f ca="1">'normal case'!N278/100</f>
        <v>0.06</v>
      </c>
      <c r="G279" s="28">
        <f ca="1">'normal case'!M278/100</f>
        <v>0.04</v>
      </c>
      <c r="H279" s="28">
        <f ca="1">'public finance'!D277</f>
        <v>0</v>
      </c>
      <c r="I279" s="23">
        <f ca="1">'public finance'!E277</f>
        <v>0</v>
      </c>
      <c r="J279" s="153">
        <f ca="1">'public finance'!H277</f>
        <v>0</v>
      </c>
      <c r="K279" s="20">
        <f ca="1">'public finance'!C277/'normal case'!D278</f>
        <v>0.2</v>
      </c>
      <c r="L279" s="23">
        <f ca="1">'public finance'!A277/'normal case'!D278</f>
        <v>0.2</v>
      </c>
      <c r="M279" s="21" t="str">
        <f>IF(controls!$B$44=0,"",'normal case'!AC278)</f>
        <v/>
      </c>
      <c r="N279" s="21" t="str">
        <f>IF(controls!$B$44=0,"",'normal case'!AF278)</f>
        <v/>
      </c>
      <c r="O279" s="203" t="str">
        <f>IF(controls!$B$44=0,"",'external balance'!D278)</f>
        <v/>
      </c>
      <c r="P279" s="203" t="str">
        <f>IF(controls!$B$44=0,"",'external balance'!F278)</f>
        <v/>
      </c>
      <c r="Q279" s="202" t="str">
        <f>IF(controls!$B$44=0,"",'external balance'!H278)</f>
        <v/>
      </c>
    </row>
    <row r="280" spans="1:17" ht="14" thickTop="1" thickBot="1">
      <c r="A280" s="32">
        <v>277</v>
      </c>
      <c r="B280" s="20">
        <f ca="1">('normal case'!D279-'normal case'!B279)/'normal case'!B279</f>
        <v>0</v>
      </c>
      <c r="C280" s="26">
        <f ca="1">'normal case'!D279</f>
        <v>100</v>
      </c>
      <c r="D280" s="27">
        <f ca="1">'normal case'!C279</f>
        <v>0</v>
      </c>
      <c r="E280" s="25">
        <f ca="1">'normal case'!L279/100</f>
        <v>0.02</v>
      </c>
      <c r="F280" s="28">
        <f ca="1">'normal case'!N279/100</f>
        <v>0.06</v>
      </c>
      <c r="G280" s="28">
        <f ca="1">'normal case'!M279/100</f>
        <v>0.04</v>
      </c>
      <c r="H280" s="28">
        <f ca="1">'public finance'!D278</f>
        <v>0</v>
      </c>
      <c r="I280" s="23">
        <f ca="1">'public finance'!E278</f>
        <v>0</v>
      </c>
      <c r="J280" s="153">
        <f ca="1">'public finance'!H278</f>
        <v>0</v>
      </c>
      <c r="K280" s="20">
        <f ca="1">'public finance'!C278/'normal case'!D279</f>
        <v>0.2</v>
      </c>
      <c r="L280" s="23">
        <f ca="1">'public finance'!A278/'normal case'!D279</f>
        <v>0.2</v>
      </c>
      <c r="M280" s="21" t="str">
        <f>IF(controls!$B$44=0,"",'normal case'!AC279)</f>
        <v/>
      </c>
      <c r="N280" s="21" t="str">
        <f>IF(controls!$B$44=0,"",'normal case'!AF279)</f>
        <v/>
      </c>
      <c r="O280" s="203" t="str">
        <f>IF(controls!$B$44=0,"",'external balance'!D279)</f>
        <v/>
      </c>
      <c r="P280" s="203" t="str">
        <f>IF(controls!$B$44=0,"",'external balance'!F279)</f>
        <v/>
      </c>
      <c r="Q280" s="202" t="str">
        <f>IF(controls!$B$44=0,"",'external balance'!H279)</f>
        <v/>
      </c>
    </row>
    <row r="281" spans="1:17" ht="14" thickTop="1" thickBot="1">
      <c r="A281" s="32">
        <v>278</v>
      </c>
      <c r="B281" s="20">
        <f ca="1">('normal case'!D280-'normal case'!B280)/'normal case'!B280</f>
        <v>0</v>
      </c>
      <c r="C281" s="26">
        <f ca="1">'normal case'!D280</f>
        <v>100</v>
      </c>
      <c r="D281" s="27">
        <f ca="1">'normal case'!C280</f>
        <v>0</v>
      </c>
      <c r="E281" s="25">
        <f ca="1">'normal case'!L280/100</f>
        <v>0.02</v>
      </c>
      <c r="F281" s="28">
        <f ca="1">'normal case'!N280/100</f>
        <v>0.06</v>
      </c>
      <c r="G281" s="28">
        <f ca="1">'normal case'!M280/100</f>
        <v>0.04</v>
      </c>
      <c r="H281" s="28">
        <f ca="1">'public finance'!D279</f>
        <v>0</v>
      </c>
      <c r="I281" s="23">
        <f ca="1">'public finance'!E279</f>
        <v>0</v>
      </c>
      <c r="J281" s="153">
        <f ca="1">'public finance'!H279</f>
        <v>0</v>
      </c>
      <c r="K281" s="20">
        <f ca="1">'public finance'!C279/'normal case'!D280</f>
        <v>0.2</v>
      </c>
      <c r="L281" s="23">
        <f ca="1">'public finance'!A279/'normal case'!D280</f>
        <v>0.2</v>
      </c>
      <c r="M281" s="21" t="str">
        <f>IF(controls!$B$44=0,"",'normal case'!AC280)</f>
        <v/>
      </c>
      <c r="N281" s="21" t="str">
        <f>IF(controls!$B$44=0,"",'normal case'!AF280)</f>
        <v/>
      </c>
      <c r="O281" s="203" t="str">
        <f>IF(controls!$B$44=0,"",'external balance'!D280)</f>
        <v/>
      </c>
      <c r="P281" s="203" t="str">
        <f>IF(controls!$B$44=0,"",'external balance'!F280)</f>
        <v/>
      </c>
      <c r="Q281" s="202" t="str">
        <f>IF(controls!$B$44=0,"",'external balance'!H280)</f>
        <v/>
      </c>
    </row>
    <row r="282" spans="1:17" ht="14" thickTop="1" thickBot="1">
      <c r="A282" s="32">
        <v>279</v>
      </c>
      <c r="B282" s="20">
        <f ca="1">('normal case'!D281-'normal case'!B281)/'normal case'!B281</f>
        <v>0</v>
      </c>
      <c r="C282" s="26">
        <f ca="1">'normal case'!D281</f>
        <v>100</v>
      </c>
      <c r="D282" s="27">
        <f ca="1">'normal case'!C281</f>
        <v>0</v>
      </c>
      <c r="E282" s="25">
        <f ca="1">'normal case'!L281/100</f>
        <v>0.02</v>
      </c>
      <c r="F282" s="28">
        <f ca="1">'normal case'!N281/100</f>
        <v>0.06</v>
      </c>
      <c r="G282" s="28">
        <f ca="1">'normal case'!M281/100</f>
        <v>0.04</v>
      </c>
      <c r="H282" s="28">
        <f ca="1">'public finance'!D280</f>
        <v>0</v>
      </c>
      <c r="I282" s="23">
        <f ca="1">'public finance'!E280</f>
        <v>0</v>
      </c>
      <c r="J282" s="153">
        <f ca="1">'public finance'!H280</f>
        <v>0</v>
      </c>
      <c r="K282" s="20">
        <f ca="1">'public finance'!C280/'normal case'!D281</f>
        <v>0.2</v>
      </c>
      <c r="L282" s="23">
        <f ca="1">'public finance'!A280/'normal case'!D281</f>
        <v>0.2</v>
      </c>
      <c r="M282" s="21" t="str">
        <f>IF(controls!$B$44=0,"",'normal case'!AC281)</f>
        <v/>
      </c>
      <c r="N282" s="21" t="str">
        <f>IF(controls!$B$44=0,"",'normal case'!AF281)</f>
        <v/>
      </c>
      <c r="O282" s="203" t="str">
        <f>IF(controls!$B$44=0,"",'external balance'!D281)</f>
        <v/>
      </c>
      <c r="P282" s="203" t="str">
        <f>IF(controls!$B$44=0,"",'external balance'!F281)</f>
        <v/>
      </c>
      <c r="Q282" s="202" t="str">
        <f>IF(controls!$B$44=0,"",'external balance'!H281)</f>
        <v/>
      </c>
    </row>
    <row r="283" spans="1:17" ht="14" thickTop="1" thickBot="1">
      <c r="A283" s="32">
        <v>280</v>
      </c>
      <c r="B283" s="20">
        <f ca="1">('normal case'!D282-'normal case'!B282)/'normal case'!B282</f>
        <v>0</v>
      </c>
      <c r="C283" s="26">
        <f ca="1">'normal case'!D282</f>
        <v>100</v>
      </c>
      <c r="D283" s="27">
        <f ca="1">'normal case'!C282</f>
        <v>0</v>
      </c>
      <c r="E283" s="25">
        <f ca="1">'normal case'!L282/100</f>
        <v>0.02</v>
      </c>
      <c r="F283" s="28">
        <f ca="1">'normal case'!N282/100</f>
        <v>0.06</v>
      </c>
      <c r="G283" s="28">
        <f ca="1">'normal case'!M282/100</f>
        <v>0.04</v>
      </c>
      <c r="H283" s="28">
        <f ca="1">'public finance'!D281</f>
        <v>0</v>
      </c>
      <c r="I283" s="23">
        <f ca="1">'public finance'!E281</f>
        <v>0</v>
      </c>
      <c r="J283" s="153">
        <f ca="1">'public finance'!H281</f>
        <v>0</v>
      </c>
      <c r="K283" s="20">
        <f ca="1">'public finance'!C281/'normal case'!D282</f>
        <v>0.2</v>
      </c>
      <c r="L283" s="23">
        <f ca="1">'public finance'!A281/'normal case'!D282</f>
        <v>0.2</v>
      </c>
      <c r="M283" s="21" t="str">
        <f>IF(controls!$B$44=0,"",'normal case'!AC282)</f>
        <v/>
      </c>
      <c r="N283" s="21" t="str">
        <f>IF(controls!$B$44=0,"",'normal case'!AF282)</f>
        <v/>
      </c>
      <c r="O283" s="203" t="str">
        <f>IF(controls!$B$44=0,"",'external balance'!D282)</f>
        <v/>
      </c>
      <c r="P283" s="203" t="str">
        <f>IF(controls!$B$44=0,"",'external balance'!F282)</f>
        <v/>
      </c>
      <c r="Q283" s="202" t="str">
        <f>IF(controls!$B$44=0,"",'external balance'!H282)</f>
        <v/>
      </c>
    </row>
    <row r="284" spans="1:17" ht="14" thickTop="1" thickBot="1">
      <c r="A284" s="32">
        <v>281</v>
      </c>
      <c r="B284" s="20">
        <f ca="1">('normal case'!D283-'normal case'!B283)/'normal case'!B283</f>
        <v>0</v>
      </c>
      <c r="C284" s="26">
        <f ca="1">'normal case'!D283</f>
        <v>100</v>
      </c>
      <c r="D284" s="27">
        <f ca="1">'normal case'!C283</f>
        <v>0</v>
      </c>
      <c r="E284" s="25">
        <f ca="1">'normal case'!L283/100</f>
        <v>0.02</v>
      </c>
      <c r="F284" s="28">
        <f ca="1">'normal case'!N283/100</f>
        <v>0.06</v>
      </c>
      <c r="G284" s="28">
        <f ca="1">'normal case'!M283/100</f>
        <v>0.04</v>
      </c>
      <c r="H284" s="28">
        <f ca="1">'public finance'!D282</f>
        <v>0</v>
      </c>
      <c r="I284" s="23">
        <f ca="1">'public finance'!E282</f>
        <v>0</v>
      </c>
      <c r="J284" s="153">
        <f ca="1">'public finance'!H282</f>
        <v>0</v>
      </c>
      <c r="K284" s="20">
        <f ca="1">'public finance'!C282/'normal case'!D283</f>
        <v>0.2</v>
      </c>
      <c r="L284" s="23">
        <f ca="1">'public finance'!A282/'normal case'!D283</f>
        <v>0.2</v>
      </c>
      <c r="M284" s="21" t="str">
        <f>IF(controls!$B$44=0,"",'normal case'!AC283)</f>
        <v/>
      </c>
      <c r="N284" s="21" t="str">
        <f>IF(controls!$B$44=0,"",'normal case'!AF283)</f>
        <v/>
      </c>
      <c r="O284" s="203" t="str">
        <f>IF(controls!$B$44=0,"",'external balance'!D283)</f>
        <v/>
      </c>
      <c r="P284" s="203" t="str">
        <f>IF(controls!$B$44=0,"",'external balance'!F283)</f>
        <v/>
      </c>
      <c r="Q284" s="202" t="str">
        <f>IF(controls!$B$44=0,"",'external balance'!H283)</f>
        <v/>
      </c>
    </row>
    <row r="285" spans="1:17" ht="14" thickTop="1" thickBot="1">
      <c r="A285" s="32">
        <v>282</v>
      </c>
      <c r="B285" s="20">
        <f ca="1">('normal case'!D284-'normal case'!B284)/'normal case'!B284</f>
        <v>0</v>
      </c>
      <c r="C285" s="26">
        <f ca="1">'normal case'!D284</f>
        <v>100</v>
      </c>
      <c r="D285" s="27">
        <f ca="1">'normal case'!C284</f>
        <v>0</v>
      </c>
      <c r="E285" s="25">
        <f ca="1">'normal case'!L284/100</f>
        <v>0.02</v>
      </c>
      <c r="F285" s="28">
        <f ca="1">'normal case'!N284/100</f>
        <v>0.06</v>
      </c>
      <c r="G285" s="28">
        <f ca="1">'normal case'!M284/100</f>
        <v>0.04</v>
      </c>
      <c r="H285" s="28">
        <f ca="1">'public finance'!D283</f>
        <v>0</v>
      </c>
      <c r="I285" s="23">
        <f ca="1">'public finance'!E283</f>
        <v>0</v>
      </c>
      <c r="J285" s="153">
        <f ca="1">'public finance'!H283</f>
        <v>0</v>
      </c>
      <c r="K285" s="20">
        <f ca="1">'public finance'!C283/'normal case'!D284</f>
        <v>0.2</v>
      </c>
      <c r="L285" s="23">
        <f ca="1">'public finance'!A283/'normal case'!D284</f>
        <v>0.2</v>
      </c>
      <c r="M285" s="21" t="str">
        <f>IF(controls!$B$44=0,"",'normal case'!AC284)</f>
        <v/>
      </c>
      <c r="N285" s="21" t="str">
        <f>IF(controls!$B$44=0,"",'normal case'!AF284)</f>
        <v/>
      </c>
      <c r="O285" s="203" t="str">
        <f>IF(controls!$B$44=0,"",'external balance'!D284)</f>
        <v/>
      </c>
      <c r="P285" s="203" t="str">
        <f>IF(controls!$B$44=0,"",'external balance'!F284)</f>
        <v/>
      </c>
      <c r="Q285" s="202" t="str">
        <f>IF(controls!$B$44=0,"",'external balance'!H284)</f>
        <v/>
      </c>
    </row>
    <row r="286" spans="1:17" ht="14" thickTop="1" thickBot="1">
      <c r="A286" s="32">
        <v>283</v>
      </c>
      <c r="B286" s="20">
        <f ca="1">('normal case'!D285-'normal case'!B285)/'normal case'!B285</f>
        <v>0</v>
      </c>
      <c r="C286" s="26">
        <f ca="1">'normal case'!D285</f>
        <v>100</v>
      </c>
      <c r="D286" s="27">
        <f ca="1">'normal case'!C285</f>
        <v>0</v>
      </c>
      <c r="E286" s="25">
        <f ca="1">'normal case'!L285/100</f>
        <v>0.02</v>
      </c>
      <c r="F286" s="28">
        <f ca="1">'normal case'!N285/100</f>
        <v>0.06</v>
      </c>
      <c r="G286" s="28">
        <f ca="1">'normal case'!M285/100</f>
        <v>0.04</v>
      </c>
      <c r="H286" s="28">
        <f ca="1">'public finance'!D284</f>
        <v>0</v>
      </c>
      <c r="I286" s="23">
        <f ca="1">'public finance'!E284</f>
        <v>0</v>
      </c>
      <c r="J286" s="153">
        <f ca="1">'public finance'!H284</f>
        <v>0</v>
      </c>
      <c r="K286" s="20">
        <f ca="1">'public finance'!C284/'normal case'!D285</f>
        <v>0.2</v>
      </c>
      <c r="L286" s="23">
        <f ca="1">'public finance'!A284/'normal case'!D285</f>
        <v>0.2</v>
      </c>
      <c r="M286" s="21" t="str">
        <f>IF(controls!$B$44=0,"",'normal case'!AC285)</f>
        <v/>
      </c>
      <c r="N286" s="21" t="str">
        <f>IF(controls!$B$44=0,"",'normal case'!AF285)</f>
        <v/>
      </c>
      <c r="O286" s="203" t="str">
        <f>IF(controls!$B$44=0,"",'external balance'!D285)</f>
        <v/>
      </c>
      <c r="P286" s="203" t="str">
        <f>IF(controls!$B$44=0,"",'external balance'!F285)</f>
        <v/>
      </c>
      <c r="Q286" s="202" t="str">
        <f>IF(controls!$B$44=0,"",'external balance'!H285)</f>
        <v/>
      </c>
    </row>
    <row r="287" spans="1:17" ht="14" thickTop="1" thickBot="1">
      <c r="A287" s="32">
        <v>284</v>
      </c>
      <c r="B287" s="20">
        <f ca="1">('normal case'!D286-'normal case'!B286)/'normal case'!B286</f>
        <v>0</v>
      </c>
      <c r="C287" s="26">
        <f ca="1">'normal case'!D286</f>
        <v>100</v>
      </c>
      <c r="D287" s="27">
        <f ca="1">'normal case'!C286</f>
        <v>0</v>
      </c>
      <c r="E287" s="25">
        <f ca="1">'normal case'!L286/100</f>
        <v>0.02</v>
      </c>
      <c r="F287" s="28">
        <f ca="1">'normal case'!N286/100</f>
        <v>0.06</v>
      </c>
      <c r="G287" s="28">
        <f ca="1">'normal case'!M286/100</f>
        <v>0.04</v>
      </c>
      <c r="H287" s="28">
        <f ca="1">'public finance'!D285</f>
        <v>0</v>
      </c>
      <c r="I287" s="23">
        <f ca="1">'public finance'!E285</f>
        <v>0</v>
      </c>
      <c r="J287" s="153">
        <f ca="1">'public finance'!H285</f>
        <v>0</v>
      </c>
      <c r="K287" s="20">
        <f ca="1">'public finance'!C285/'normal case'!D286</f>
        <v>0.2</v>
      </c>
      <c r="L287" s="23">
        <f ca="1">'public finance'!A285/'normal case'!D286</f>
        <v>0.2</v>
      </c>
      <c r="M287" s="21" t="str">
        <f>IF(controls!$B$44=0,"",'normal case'!AC286)</f>
        <v/>
      </c>
      <c r="N287" s="21" t="str">
        <f>IF(controls!$B$44=0,"",'normal case'!AF286)</f>
        <v/>
      </c>
      <c r="O287" s="203" t="str">
        <f>IF(controls!$B$44=0,"",'external balance'!D286)</f>
        <v/>
      </c>
      <c r="P287" s="203" t="str">
        <f>IF(controls!$B$44=0,"",'external balance'!F286)</f>
        <v/>
      </c>
      <c r="Q287" s="202" t="str">
        <f>IF(controls!$B$44=0,"",'external balance'!H286)</f>
        <v/>
      </c>
    </row>
    <row r="288" spans="1:17" ht="14" thickTop="1" thickBot="1">
      <c r="A288" s="32">
        <v>285</v>
      </c>
      <c r="B288" s="20">
        <f ca="1">('normal case'!D287-'normal case'!B287)/'normal case'!B287</f>
        <v>0</v>
      </c>
      <c r="C288" s="26">
        <f ca="1">'normal case'!D287</f>
        <v>100</v>
      </c>
      <c r="D288" s="27">
        <f ca="1">'normal case'!C287</f>
        <v>0</v>
      </c>
      <c r="E288" s="25">
        <f ca="1">'normal case'!L287/100</f>
        <v>0.02</v>
      </c>
      <c r="F288" s="28">
        <f ca="1">'normal case'!N287/100</f>
        <v>0.06</v>
      </c>
      <c r="G288" s="28">
        <f ca="1">'normal case'!M287/100</f>
        <v>0.04</v>
      </c>
      <c r="H288" s="28">
        <f ca="1">'public finance'!D286</f>
        <v>0</v>
      </c>
      <c r="I288" s="23">
        <f ca="1">'public finance'!E286</f>
        <v>0</v>
      </c>
      <c r="J288" s="153">
        <f ca="1">'public finance'!H286</f>
        <v>0</v>
      </c>
      <c r="K288" s="20">
        <f ca="1">'public finance'!C286/'normal case'!D287</f>
        <v>0.2</v>
      </c>
      <c r="L288" s="23">
        <f ca="1">'public finance'!A286/'normal case'!D287</f>
        <v>0.2</v>
      </c>
      <c r="M288" s="21" t="str">
        <f>IF(controls!$B$44=0,"",'normal case'!AC287)</f>
        <v/>
      </c>
      <c r="N288" s="21" t="str">
        <f>IF(controls!$B$44=0,"",'normal case'!AF287)</f>
        <v/>
      </c>
      <c r="O288" s="203" t="str">
        <f>IF(controls!$B$44=0,"",'external balance'!D287)</f>
        <v/>
      </c>
      <c r="P288" s="203" t="str">
        <f>IF(controls!$B$44=0,"",'external balance'!F287)</f>
        <v/>
      </c>
      <c r="Q288" s="202" t="str">
        <f>IF(controls!$B$44=0,"",'external balance'!H287)</f>
        <v/>
      </c>
    </row>
    <row r="289" spans="1:17" ht="14" thickTop="1" thickBot="1">
      <c r="A289" s="32">
        <v>286</v>
      </c>
      <c r="B289" s="20">
        <f ca="1">('normal case'!D288-'normal case'!B288)/'normal case'!B288</f>
        <v>0</v>
      </c>
      <c r="C289" s="26">
        <f ca="1">'normal case'!D288</f>
        <v>100</v>
      </c>
      <c r="D289" s="27">
        <f ca="1">'normal case'!C288</f>
        <v>0</v>
      </c>
      <c r="E289" s="25">
        <f ca="1">'normal case'!L288/100</f>
        <v>0.02</v>
      </c>
      <c r="F289" s="28">
        <f ca="1">'normal case'!N288/100</f>
        <v>0.06</v>
      </c>
      <c r="G289" s="28">
        <f ca="1">'normal case'!M288/100</f>
        <v>0.04</v>
      </c>
      <c r="H289" s="28">
        <f ca="1">'public finance'!D287</f>
        <v>0</v>
      </c>
      <c r="I289" s="23">
        <f ca="1">'public finance'!E287</f>
        <v>0</v>
      </c>
      <c r="J289" s="153">
        <f ca="1">'public finance'!H287</f>
        <v>0</v>
      </c>
      <c r="K289" s="20">
        <f ca="1">'public finance'!C287/'normal case'!D288</f>
        <v>0.2</v>
      </c>
      <c r="L289" s="23">
        <f ca="1">'public finance'!A287/'normal case'!D288</f>
        <v>0.2</v>
      </c>
      <c r="M289" s="21" t="str">
        <f>IF(controls!$B$44=0,"",'normal case'!AC288)</f>
        <v/>
      </c>
      <c r="N289" s="21" t="str">
        <f>IF(controls!$B$44=0,"",'normal case'!AF288)</f>
        <v/>
      </c>
      <c r="O289" s="203" t="str">
        <f>IF(controls!$B$44=0,"",'external balance'!D288)</f>
        <v/>
      </c>
      <c r="P289" s="203" t="str">
        <f>IF(controls!$B$44=0,"",'external balance'!F288)</f>
        <v/>
      </c>
      <c r="Q289" s="202" t="str">
        <f>IF(controls!$B$44=0,"",'external balance'!H288)</f>
        <v/>
      </c>
    </row>
    <row r="290" spans="1:17" ht="14" thickTop="1" thickBot="1">
      <c r="A290" s="32">
        <v>287</v>
      </c>
      <c r="B290" s="20">
        <f ca="1">('normal case'!D289-'normal case'!B289)/'normal case'!B289</f>
        <v>0</v>
      </c>
      <c r="C290" s="26">
        <f ca="1">'normal case'!D289</f>
        <v>100</v>
      </c>
      <c r="D290" s="27">
        <f ca="1">'normal case'!C289</f>
        <v>0</v>
      </c>
      <c r="E290" s="25">
        <f ca="1">'normal case'!L289/100</f>
        <v>0.02</v>
      </c>
      <c r="F290" s="28">
        <f ca="1">'normal case'!N289/100</f>
        <v>0.06</v>
      </c>
      <c r="G290" s="28">
        <f ca="1">'normal case'!M289/100</f>
        <v>0.04</v>
      </c>
      <c r="H290" s="28">
        <f ca="1">'public finance'!D288</f>
        <v>0</v>
      </c>
      <c r="I290" s="23">
        <f ca="1">'public finance'!E288</f>
        <v>0</v>
      </c>
      <c r="J290" s="153">
        <f ca="1">'public finance'!H288</f>
        <v>0</v>
      </c>
      <c r="K290" s="20">
        <f ca="1">'public finance'!C288/'normal case'!D289</f>
        <v>0.2</v>
      </c>
      <c r="L290" s="23">
        <f ca="1">'public finance'!A288/'normal case'!D289</f>
        <v>0.2</v>
      </c>
      <c r="M290" s="21" t="str">
        <f>IF(controls!$B$44=0,"",'normal case'!AC289)</f>
        <v/>
      </c>
      <c r="N290" s="21" t="str">
        <f>IF(controls!$B$44=0,"",'normal case'!AF289)</f>
        <v/>
      </c>
      <c r="O290" s="203" t="str">
        <f>IF(controls!$B$44=0,"",'external balance'!D289)</f>
        <v/>
      </c>
      <c r="P290" s="203" t="str">
        <f>IF(controls!$B$44=0,"",'external balance'!F289)</f>
        <v/>
      </c>
      <c r="Q290" s="202" t="str">
        <f>IF(controls!$B$44=0,"",'external balance'!H289)</f>
        <v/>
      </c>
    </row>
    <row r="291" spans="1:17" ht="14" thickTop="1" thickBot="1">
      <c r="A291" s="32">
        <v>288</v>
      </c>
      <c r="B291" s="20">
        <f ca="1">('normal case'!D290-'normal case'!B290)/'normal case'!B290</f>
        <v>0</v>
      </c>
      <c r="C291" s="26">
        <f ca="1">'normal case'!D290</f>
        <v>100</v>
      </c>
      <c r="D291" s="27">
        <f ca="1">'normal case'!C290</f>
        <v>0</v>
      </c>
      <c r="E291" s="25">
        <f ca="1">'normal case'!L290/100</f>
        <v>0.02</v>
      </c>
      <c r="F291" s="28">
        <f ca="1">'normal case'!N290/100</f>
        <v>0.06</v>
      </c>
      <c r="G291" s="28">
        <f ca="1">'normal case'!M290/100</f>
        <v>0.04</v>
      </c>
      <c r="H291" s="28">
        <f ca="1">'public finance'!D289</f>
        <v>0</v>
      </c>
      <c r="I291" s="23">
        <f ca="1">'public finance'!E289</f>
        <v>0</v>
      </c>
      <c r="J291" s="153">
        <f ca="1">'public finance'!H289</f>
        <v>0</v>
      </c>
      <c r="K291" s="20">
        <f ca="1">'public finance'!C289/'normal case'!D290</f>
        <v>0.2</v>
      </c>
      <c r="L291" s="23">
        <f ca="1">'public finance'!A289/'normal case'!D290</f>
        <v>0.2</v>
      </c>
      <c r="M291" s="21" t="str">
        <f>IF(controls!$B$44=0,"",'normal case'!AC290)</f>
        <v/>
      </c>
      <c r="N291" s="21" t="str">
        <f>IF(controls!$B$44=0,"",'normal case'!AF290)</f>
        <v/>
      </c>
      <c r="O291" s="203" t="str">
        <f>IF(controls!$B$44=0,"",'external balance'!D290)</f>
        <v/>
      </c>
      <c r="P291" s="203" t="str">
        <f>IF(controls!$B$44=0,"",'external balance'!F290)</f>
        <v/>
      </c>
      <c r="Q291" s="202" t="str">
        <f>IF(controls!$B$44=0,"",'external balance'!H290)</f>
        <v/>
      </c>
    </row>
    <row r="292" spans="1:17" ht="14" thickTop="1" thickBot="1">
      <c r="A292" s="32">
        <v>289</v>
      </c>
      <c r="B292" s="20">
        <f ca="1">('normal case'!D291-'normal case'!B291)/'normal case'!B291</f>
        <v>0</v>
      </c>
      <c r="C292" s="26">
        <f ca="1">'normal case'!D291</f>
        <v>100</v>
      </c>
      <c r="D292" s="27">
        <f ca="1">'normal case'!C291</f>
        <v>0</v>
      </c>
      <c r="E292" s="25">
        <f ca="1">'normal case'!L291/100</f>
        <v>0.02</v>
      </c>
      <c r="F292" s="28">
        <f ca="1">'normal case'!N291/100</f>
        <v>0.06</v>
      </c>
      <c r="G292" s="28">
        <f ca="1">'normal case'!M291/100</f>
        <v>0.04</v>
      </c>
      <c r="H292" s="28">
        <f ca="1">'public finance'!D290</f>
        <v>0</v>
      </c>
      <c r="I292" s="23">
        <f ca="1">'public finance'!E290</f>
        <v>0</v>
      </c>
      <c r="J292" s="153">
        <f ca="1">'public finance'!H290</f>
        <v>0</v>
      </c>
      <c r="K292" s="20">
        <f ca="1">'public finance'!C290/'normal case'!D291</f>
        <v>0.2</v>
      </c>
      <c r="L292" s="23">
        <f ca="1">'public finance'!A290/'normal case'!D291</f>
        <v>0.2</v>
      </c>
      <c r="M292" s="21" t="str">
        <f>IF(controls!$B$44=0,"",'normal case'!AC291)</f>
        <v/>
      </c>
      <c r="N292" s="21" t="str">
        <f>IF(controls!$B$44=0,"",'normal case'!AF291)</f>
        <v/>
      </c>
      <c r="O292" s="203" t="str">
        <f>IF(controls!$B$44=0,"",'external balance'!D291)</f>
        <v/>
      </c>
      <c r="P292" s="203" t="str">
        <f>IF(controls!$B$44=0,"",'external balance'!F291)</f>
        <v/>
      </c>
      <c r="Q292" s="202" t="str">
        <f>IF(controls!$B$44=0,"",'external balance'!H291)</f>
        <v/>
      </c>
    </row>
    <row r="293" spans="1:17" ht="14" thickTop="1" thickBot="1">
      <c r="A293" s="32">
        <v>290</v>
      </c>
      <c r="B293" s="20">
        <f ca="1">('normal case'!D292-'normal case'!B292)/'normal case'!B292</f>
        <v>0</v>
      </c>
      <c r="C293" s="26">
        <f ca="1">'normal case'!D292</f>
        <v>100</v>
      </c>
      <c r="D293" s="27">
        <f ca="1">'normal case'!C292</f>
        <v>0</v>
      </c>
      <c r="E293" s="25">
        <f ca="1">'normal case'!L292/100</f>
        <v>0.02</v>
      </c>
      <c r="F293" s="28">
        <f ca="1">'normal case'!N292/100</f>
        <v>0.06</v>
      </c>
      <c r="G293" s="28">
        <f ca="1">'normal case'!M292/100</f>
        <v>0.04</v>
      </c>
      <c r="H293" s="28">
        <f ca="1">'public finance'!D291</f>
        <v>0</v>
      </c>
      <c r="I293" s="23">
        <f ca="1">'public finance'!E291</f>
        <v>0</v>
      </c>
      <c r="J293" s="153">
        <f ca="1">'public finance'!H291</f>
        <v>0</v>
      </c>
      <c r="K293" s="20">
        <f ca="1">'public finance'!C291/'normal case'!D292</f>
        <v>0.2</v>
      </c>
      <c r="L293" s="23">
        <f ca="1">'public finance'!A291/'normal case'!D292</f>
        <v>0.2</v>
      </c>
      <c r="M293" s="21" t="str">
        <f>IF(controls!$B$44=0,"",'normal case'!AC292)</f>
        <v/>
      </c>
      <c r="N293" s="21" t="str">
        <f>IF(controls!$B$44=0,"",'normal case'!AF292)</f>
        <v/>
      </c>
      <c r="O293" s="203" t="str">
        <f>IF(controls!$B$44=0,"",'external balance'!D292)</f>
        <v/>
      </c>
      <c r="P293" s="203" t="str">
        <f>IF(controls!$B$44=0,"",'external balance'!F292)</f>
        <v/>
      </c>
      <c r="Q293" s="202" t="str">
        <f>IF(controls!$B$44=0,"",'external balance'!H292)</f>
        <v/>
      </c>
    </row>
    <row r="294" spans="1:17" ht="14" thickTop="1" thickBot="1">
      <c r="A294" s="32">
        <v>291</v>
      </c>
      <c r="B294" s="20">
        <f ca="1">('normal case'!D293-'normal case'!B293)/'normal case'!B293</f>
        <v>0</v>
      </c>
      <c r="C294" s="26">
        <f ca="1">'normal case'!D293</f>
        <v>100</v>
      </c>
      <c r="D294" s="27">
        <f ca="1">'normal case'!C293</f>
        <v>0</v>
      </c>
      <c r="E294" s="25">
        <f ca="1">'normal case'!L293/100</f>
        <v>0.02</v>
      </c>
      <c r="F294" s="28">
        <f ca="1">'normal case'!N293/100</f>
        <v>0.06</v>
      </c>
      <c r="G294" s="28">
        <f ca="1">'normal case'!M293/100</f>
        <v>0.04</v>
      </c>
      <c r="H294" s="28">
        <f ca="1">'public finance'!D292</f>
        <v>0</v>
      </c>
      <c r="I294" s="23">
        <f ca="1">'public finance'!E292</f>
        <v>0</v>
      </c>
      <c r="J294" s="153">
        <f ca="1">'public finance'!H292</f>
        <v>0</v>
      </c>
      <c r="K294" s="20">
        <f ca="1">'public finance'!C292/'normal case'!D293</f>
        <v>0.2</v>
      </c>
      <c r="L294" s="23">
        <f ca="1">'public finance'!A292/'normal case'!D293</f>
        <v>0.2</v>
      </c>
      <c r="M294" s="21" t="str">
        <f>IF(controls!$B$44=0,"",'normal case'!AC293)</f>
        <v/>
      </c>
      <c r="N294" s="21" t="str">
        <f>IF(controls!$B$44=0,"",'normal case'!AF293)</f>
        <v/>
      </c>
      <c r="O294" s="203" t="str">
        <f>IF(controls!$B$44=0,"",'external balance'!D293)</f>
        <v/>
      </c>
      <c r="P294" s="203" t="str">
        <f>IF(controls!$B$44=0,"",'external balance'!F293)</f>
        <v/>
      </c>
      <c r="Q294" s="202" t="str">
        <f>IF(controls!$B$44=0,"",'external balance'!H293)</f>
        <v/>
      </c>
    </row>
    <row r="295" spans="1:17" ht="14" thickTop="1" thickBot="1">
      <c r="A295" s="32">
        <v>292</v>
      </c>
      <c r="B295" s="20">
        <f ca="1">('normal case'!D294-'normal case'!B294)/'normal case'!B294</f>
        <v>0</v>
      </c>
      <c r="C295" s="26">
        <f ca="1">'normal case'!D294</f>
        <v>100</v>
      </c>
      <c r="D295" s="27">
        <f ca="1">'normal case'!C294</f>
        <v>0</v>
      </c>
      <c r="E295" s="25">
        <f ca="1">'normal case'!L294/100</f>
        <v>0.02</v>
      </c>
      <c r="F295" s="28">
        <f ca="1">'normal case'!N294/100</f>
        <v>0.06</v>
      </c>
      <c r="G295" s="28">
        <f ca="1">'normal case'!M294/100</f>
        <v>0.04</v>
      </c>
      <c r="H295" s="28">
        <f ca="1">'public finance'!D293</f>
        <v>0</v>
      </c>
      <c r="I295" s="23">
        <f ca="1">'public finance'!E293</f>
        <v>0</v>
      </c>
      <c r="J295" s="153">
        <f ca="1">'public finance'!H293</f>
        <v>0</v>
      </c>
      <c r="K295" s="20">
        <f ca="1">'public finance'!C293/'normal case'!D294</f>
        <v>0.2</v>
      </c>
      <c r="L295" s="23">
        <f ca="1">'public finance'!A293/'normal case'!D294</f>
        <v>0.2</v>
      </c>
      <c r="M295" s="21" t="str">
        <f>IF(controls!$B$44=0,"",'normal case'!AC294)</f>
        <v/>
      </c>
      <c r="N295" s="21" t="str">
        <f>IF(controls!$B$44=0,"",'normal case'!AF294)</f>
        <v/>
      </c>
      <c r="O295" s="203" t="str">
        <f>IF(controls!$B$44=0,"",'external balance'!D294)</f>
        <v/>
      </c>
      <c r="P295" s="203" t="str">
        <f>IF(controls!$B$44=0,"",'external balance'!F294)</f>
        <v/>
      </c>
      <c r="Q295" s="202" t="str">
        <f>IF(controls!$B$44=0,"",'external balance'!H294)</f>
        <v/>
      </c>
    </row>
    <row r="296" spans="1:17" ht="14" thickTop="1" thickBot="1">
      <c r="A296" s="32">
        <v>293</v>
      </c>
      <c r="B296" s="20">
        <f ca="1">('normal case'!D295-'normal case'!B295)/'normal case'!B295</f>
        <v>0</v>
      </c>
      <c r="C296" s="26">
        <f ca="1">'normal case'!D295</f>
        <v>100</v>
      </c>
      <c r="D296" s="27">
        <f ca="1">'normal case'!C295</f>
        <v>0</v>
      </c>
      <c r="E296" s="25">
        <f ca="1">'normal case'!L295/100</f>
        <v>0.02</v>
      </c>
      <c r="F296" s="28">
        <f ca="1">'normal case'!N295/100</f>
        <v>0.06</v>
      </c>
      <c r="G296" s="28">
        <f ca="1">'normal case'!M295/100</f>
        <v>0.04</v>
      </c>
      <c r="H296" s="28">
        <f ca="1">'public finance'!D294</f>
        <v>0</v>
      </c>
      <c r="I296" s="23">
        <f ca="1">'public finance'!E294</f>
        <v>0</v>
      </c>
      <c r="J296" s="153">
        <f ca="1">'public finance'!H294</f>
        <v>0</v>
      </c>
      <c r="K296" s="20">
        <f ca="1">'public finance'!C294/'normal case'!D295</f>
        <v>0.2</v>
      </c>
      <c r="L296" s="23">
        <f ca="1">'public finance'!A294/'normal case'!D295</f>
        <v>0.2</v>
      </c>
      <c r="M296" s="21" t="str">
        <f>IF(controls!$B$44=0,"",'normal case'!AC295)</f>
        <v/>
      </c>
      <c r="N296" s="21" t="str">
        <f>IF(controls!$B$44=0,"",'normal case'!AF295)</f>
        <v/>
      </c>
      <c r="O296" s="203" t="str">
        <f>IF(controls!$B$44=0,"",'external balance'!D295)</f>
        <v/>
      </c>
      <c r="P296" s="203" t="str">
        <f>IF(controls!$B$44=0,"",'external balance'!F295)</f>
        <v/>
      </c>
      <c r="Q296" s="202" t="str">
        <f>IF(controls!$B$44=0,"",'external balance'!H295)</f>
        <v/>
      </c>
    </row>
    <row r="297" spans="1:17" ht="14" thickTop="1" thickBot="1">
      <c r="A297" s="32">
        <v>294</v>
      </c>
      <c r="B297" s="20">
        <f ca="1">('normal case'!D296-'normal case'!B296)/'normal case'!B296</f>
        <v>0</v>
      </c>
      <c r="C297" s="26">
        <f ca="1">'normal case'!D296</f>
        <v>100</v>
      </c>
      <c r="D297" s="27">
        <f ca="1">'normal case'!C296</f>
        <v>0</v>
      </c>
      <c r="E297" s="25">
        <f ca="1">'normal case'!L296/100</f>
        <v>0.02</v>
      </c>
      <c r="F297" s="28">
        <f ca="1">'normal case'!N296/100</f>
        <v>0.06</v>
      </c>
      <c r="G297" s="28">
        <f ca="1">'normal case'!M296/100</f>
        <v>0.04</v>
      </c>
      <c r="H297" s="28">
        <f ca="1">'public finance'!D295</f>
        <v>0</v>
      </c>
      <c r="I297" s="23">
        <f ca="1">'public finance'!E295</f>
        <v>0</v>
      </c>
      <c r="J297" s="153">
        <f ca="1">'public finance'!H295</f>
        <v>0</v>
      </c>
      <c r="K297" s="20">
        <f ca="1">'public finance'!C295/'normal case'!D296</f>
        <v>0.2</v>
      </c>
      <c r="L297" s="23">
        <f ca="1">'public finance'!A295/'normal case'!D296</f>
        <v>0.2</v>
      </c>
      <c r="M297" s="21" t="str">
        <f>IF(controls!$B$44=0,"",'normal case'!AC296)</f>
        <v/>
      </c>
      <c r="N297" s="21" t="str">
        <f>IF(controls!$B$44=0,"",'normal case'!AF296)</f>
        <v/>
      </c>
      <c r="O297" s="203" t="str">
        <f>IF(controls!$B$44=0,"",'external balance'!D296)</f>
        <v/>
      </c>
      <c r="P297" s="203" t="str">
        <f>IF(controls!$B$44=0,"",'external balance'!F296)</f>
        <v/>
      </c>
      <c r="Q297" s="202" t="str">
        <f>IF(controls!$B$44=0,"",'external balance'!H296)</f>
        <v/>
      </c>
    </row>
    <row r="298" spans="1:17" ht="14" thickTop="1" thickBot="1">
      <c r="A298" s="32">
        <v>295</v>
      </c>
      <c r="B298" s="20">
        <f ca="1">('normal case'!D297-'normal case'!B297)/'normal case'!B297</f>
        <v>0</v>
      </c>
      <c r="C298" s="26">
        <f ca="1">'normal case'!D297</f>
        <v>100</v>
      </c>
      <c r="D298" s="27">
        <f ca="1">'normal case'!C297</f>
        <v>0</v>
      </c>
      <c r="E298" s="25">
        <f ca="1">'normal case'!L297/100</f>
        <v>0.02</v>
      </c>
      <c r="F298" s="28">
        <f ca="1">'normal case'!N297/100</f>
        <v>0.06</v>
      </c>
      <c r="G298" s="28">
        <f ca="1">'normal case'!M297/100</f>
        <v>0.04</v>
      </c>
      <c r="H298" s="28">
        <f ca="1">'public finance'!D296</f>
        <v>0</v>
      </c>
      <c r="I298" s="23">
        <f ca="1">'public finance'!E296</f>
        <v>0</v>
      </c>
      <c r="J298" s="153">
        <f ca="1">'public finance'!H296</f>
        <v>0</v>
      </c>
      <c r="K298" s="20">
        <f ca="1">'public finance'!C296/'normal case'!D297</f>
        <v>0.2</v>
      </c>
      <c r="L298" s="23">
        <f ca="1">'public finance'!A296/'normal case'!D297</f>
        <v>0.2</v>
      </c>
      <c r="M298" s="21" t="str">
        <f>IF(controls!$B$44=0,"",'normal case'!AC297)</f>
        <v/>
      </c>
      <c r="N298" s="21" t="str">
        <f>IF(controls!$B$44=0,"",'normal case'!AF297)</f>
        <v/>
      </c>
      <c r="O298" s="203" t="str">
        <f>IF(controls!$B$44=0,"",'external balance'!D297)</f>
        <v/>
      </c>
      <c r="P298" s="203" t="str">
        <f>IF(controls!$B$44=0,"",'external balance'!F297)</f>
        <v/>
      </c>
      <c r="Q298" s="202" t="str">
        <f>IF(controls!$B$44=0,"",'external balance'!H297)</f>
        <v/>
      </c>
    </row>
    <row r="299" spans="1:17" ht="14" thickTop="1" thickBot="1">
      <c r="A299" s="32">
        <v>296</v>
      </c>
      <c r="B299" s="20">
        <f ca="1">('normal case'!D298-'normal case'!B298)/'normal case'!B298</f>
        <v>0</v>
      </c>
      <c r="C299" s="26">
        <f ca="1">'normal case'!D298</f>
        <v>100</v>
      </c>
      <c r="D299" s="27">
        <f ca="1">'normal case'!C298</f>
        <v>0</v>
      </c>
      <c r="E299" s="25">
        <f ca="1">'normal case'!L298/100</f>
        <v>0.02</v>
      </c>
      <c r="F299" s="28">
        <f ca="1">'normal case'!N298/100</f>
        <v>0.06</v>
      </c>
      <c r="G299" s="28">
        <f ca="1">'normal case'!M298/100</f>
        <v>0.04</v>
      </c>
      <c r="H299" s="28">
        <f ca="1">'public finance'!D297</f>
        <v>0</v>
      </c>
      <c r="I299" s="23">
        <f ca="1">'public finance'!E297</f>
        <v>0</v>
      </c>
      <c r="J299" s="153">
        <f ca="1">'public finance'!H297</f>
        <v>0</v>
      </c>
      <c r="K299" s="20">
        <f ca="1">'public finance'!C297/'normal case'!D298</f>
        <v>0.2</v>
      </c>
      <c r="L299" s="23">
        <f ca="1">'public finance'!A297/'normal case'!D298</f>
        <v>0.2</v>
      </c>
      <c r="M299" s="21" t="str">
        <f>IF(controls!$B$44=0,"",'normal case'!AC298)</f>
        <v/>
      </c>
      <c r="N299" s="21" t="str">
        <f>IF(controls!$B$44=0,"",'normal case'!AF298)</f>
        <v/>
      </c>
      <c r="O299" s="203" t="str">
        <f>IF(controls!$B$44=0,"",'external balance'!D298)</f>
        <v/>
      </c>
      <c r="P299" s="203" t="str">
        <f>IF(controls!$B$44=0,"",'external balance'!F298)</f>
        <v/>
      </c>
      <c r="Q299" s="202" t="str">
        <f>IF(controls!$B$44=0,"",'external balance'!H298)</f>
        <v/>
      </c>
    </row>
    <row r="300" spans="1:17" ht="14" thickTop="1" thickBot="1">
      <c r="A300" s="32">
        <v>297</v>
      </c>
      <c r="B300" s="20">
        <f ca="1">('normal case'!D299-'normal case'!B299)/'normal case'!B299</f>
        <v>0</v>
      </c>
      <c r="C300" s="26">
        <f ca="1">'normal case'!D299</f>
        <v>100</v>
      </c>
      <c r="D300" s="27">
        <f ca="1">'normal case'!C299</f>
        <v>0</v>
      </c>
      <c r="E300" s="25">
        <f ca="1">'normal case'!L299/100</f>
        <v>0.02</v>
      </c>
      <c r="F300" s="28">
        <f ca="1">'normal case'!N299/100</f>
        <v>0.06</v>
      </c>
      <c r="G300" s="28">
        <f ca="1">'normal case'!M299/100</f>
        <v>0.04</v>
      </c>
      <c r="H300" s="28">
        <f ca="1">'public finance'!D298</f>
        <v>0</v>
      </c>
      <c r="I300" s="23">
        <f ca="1">'public finance'!E298</f>
        <v>0</v>
      </c>
      <c r="J300" s="153">
        <f ca="1">'public finance'!H298</f>
        <v>0</v>
      </c>
      <c r="K300" s="20">
        <f ca="1">'public finance'!C298/'normal case'!D299</f>
        <v>0.2</v>
      </c>
      <c r="L300" s="23">
        <f ca="1">'public finance'!A298/'normal case'!D299</f>
        <v>0.2</v>
      </c>
      <c r="M300" s="21" t="str">
        <f>IF(controls!$B$44=0,"",'normal case'!AC299)</f>
        <v/>
      </c>
      <c r="N300" s="21" t="str">
        <f>IF(controls!$B$44=0,"",'normal case'!AF299)</f>
        <v/>
      </c>
      <c r="O300" s="203" t="str">
        <f>IF(controls!$B$44=0,"",'external balance'!D299)</f>
        <v/>
      </c>
      <c r="P300" s="203" t="str">
        <f>IF(controls!$B$44=0,"",'external balance'!F299)</f>
        <v/>
      </c>
      <c r="Q300" s="202" t="str">
        <f>IF(controls!$B$44=0,"",'external balance'!H299)</f>
        <v/>
      </c>
    </row>
    <row r="301" spans="1:17" ht="14" thickTop="1" thickBot="1">
      <c r="A301" s="32">
        <v>298</v>
      </c>
      <c r="B301" s="20">
        <f ca="1">('normal case'!D300-'normal case'!B300)/'normal case'!B300</f>
        <v>0</v>
      </c>
      <c r="C301" s="26">
        <f ca="1">'normal case'!D300</f>
        <v>100</v>
      </c>
      <c r="D301" s="27">
        <f ca="1">'normal case'!C300</f>
        <v>0</v>
      </c>
      <c r="E301" s="25">
        <f ca="1">'normal case'!L300/100</f>
        <v>0.02</v>
      </c>
      <c r="F301" s="28">
        <f ca="1">'normal case'!N300/100</f>
        <v>0.06</v>
      </c>
      <c r="G301" s="28">
        <f ca="1">'normal case'!M300/100</f>
        <v>0.04</v>
      </c>
      <c r="H301" s="28">
        <f ca="1">'public finance'!D299</f>
        <v>0</v>
      </c>
      <c r="I301" s="23">
        <f ca="1">'public finance'!E299</f>
        <v>0</v>
      </c>
      <c r="J301" s="153">
        <f ca="1">'public finance'!H299</f>
        <v>0</v>
      </c>
      <c r="K301" s="20">
        <f ca="1">'public finance'!C299/'normal case'!D300</f>
        <v>0.2</v>
      </c>
      <c r="L301" s="23">
        <f ca="1">'public finance'!A299/'normal case'!D300</f>
        <v>0.2</v>
      </c>
      <c r="M301" s="21" t="str">
        <f>IF(controls!$B$44=0,"",'normal case'!AC300)</f>
        <v/>
      </c>
      <c r="N301" s="21" t="str">
        <f>IF(controls!$B$44=0,"",'normal case'!AF300)</f>
        <v/>
      </c>
      <c r="O301" s="203" t="str">
        <f>IF(controls!$B$44=0,"",'external balance'!D300)</f>
        <v/>
      </c>
      <c r="P301" s="203" t="str">
        <f>IF(controls!$B$44=0,"",'external balance'!F300)</f>
        <v/>
      </c>
      <c r="Q301" s="202" t="str">
        <f>IF(controls!$B$44=0,"",'external balance'!H300)</f>
        <v/>
      </c>
    </row>
    <row r="302" spans="1:17" ht="14" thickTop="1" thickBot="1">
      <c r="A302" s="32">
        <v>299</v>
      </c>
      <c r="B302" s="20">
        <f ca="1">('normal case'!D301-'normal case'!B301)/'normal case'!B301</f>
        <v>0</v>
      </c>
      <c r="C302" s="26">
        <f ca="1">'normal case'!D301</f>
        <v>100</v>
      </c>
      <c r="D302" s="27">
        <f ca="1">'normal case'!C301</f>
        <v>0</v>
      </c>
      <c r="E302" s="25">
        <f ca="1">'normal case'!L301/100</f>
        <v>0.02</v>
      </c>
      <c r="F302" s="28">
        <f ca="1">'normal case'!N301/100</f>
        <v>0.06</v>
      </c>
      <c r="G302" s="28">
        <f ca="1">'normal case'!M301/100</f>
        <v>0.04</v>
      </c>
      <c r="H302" s="28">
        <f ca="1">'public finance'!D300</f>
        <v>0</v>
      </c>
      <c r="I302" s="23">
        <f ca="1">'public finance'!E300</f>
        <v>0</v>
      </c>
      <c r="J302" s="153">
        <f ca="1">'public finance'!H300</f>
        <v>0</v>
      </c>
      <c r="K302" s="20">
        <f ca="1">'public finance'!C300/'normal case'!D301</f>
        <v>0.2</v>
      </c>
      <c r="L302" s="23">
        <f ca="1">'public finance'!A300/'normal case'!D301</f>
        <v>0.2</v>
      </c>
      <c r="M302" s="21" t="str">
        <f>IF(controls!$B$44=0,"",'normal case'!AC301)</f>
        <v/>
      </c>
      <c r="N302" s="21" t="str">
        <f>IF(controls!$B$44=0,"",'normal case'!AF301)</f>
        <v/>
      </c>
      <c r="O302" s="203" t="str">
        <f>IF(controls!$B$44=0,"",'external balance'!D301)</f>
        <v/>
      </c>
      <c r="P302" s="203" t="str">
        <f>IF(controls!$B$44=0,"",'external balance'!F301)</f>
        <v/>
      </c>
      <c r="Q302" s="202" t="str">
        <f>IF(controls!$B$44=0,"",'external balance'!H301)</f>
        <v/>
      </c>
    </row>
    <row r="303" spans="1:17" ht="14" thickTop="1" thickBot="1">
      <c r="A303" s="32">
        <v>300</v>
      </c>
      <c r="B303" s="20">
        <f ca="1">('normal case'!D302-'normal case'!B302)/'normal case'!B302</f>
        <v>0</v>
      </c>
      <c r="C303" s="26">
        <f ca="1">'normal case'!D302</f>
        <v>100</v>
      </c>
      <c r="D303" s="27">
        <f ca="1">'normal case'!C302</f>
        <v>0</v>
      </c>
      <c r="E303" s="25">
        <f ca="1">'normal case'!L302/100</f>
        <v>0.02</v>
      </c>
      <c r="F303" s="28">
        <f ca="1">'normal case'!N302/100</f>
        <v>0.06</v>
      </c>
      <c r="G303" s="28">
        <f ca="1">'normal case'!M302/100</f>
        <v>0.04</v>
      </c>
      <c r="H303" s="28">
        <f ca="1">'public finance'!D301</f>
        <v>0</v>
      </c>
      <c r="I303" s="23">
        <f ca="1">'public finance'!E301</f>
        <v>0</v>
      </c>
      <c r="J303" s="153">
        <f ca="1">'public finance'!H301</f>
        <v>0</v>
      </c>
      <c r="K303" s="20">
        <f ca="1">'public finance'!C301/'normal case'!D302</f>
        <v>0.2</v>
      </c>
      <c r="L303" s="23">
        <f ca="1">'public finance'!A301/'normal case'!D302</f>
        <v>0.2</v>
      </c>
      <c r="M303" s="21" t="str">
        <f>IF(controls!$B$44=0,"",'normal case'!AC302)</f>
        <v/>
      </c>
      <c r="N303" s="21" t="str">
        <f>IF(controls!$B$44=0,"",'normal case'!AF302)</f>
        <v/>
      </c>
      <c r="O303" s="203" t="str">
        <f>IF(controls!$B$44=0,"",'external balance'!D302)</f>
        <v/>
      </c>
      <c r="P303" s="203" t="str">
        <f>IF(controls!$B$44=0,"",'external balance'!F302)</f>
        <v/>
      </c>
      <c r="Q303" s="202" t="str">
        <f>IF(controls!$B$44=0,"",'external balance'!H302)</f>
        <v/>
      </c>
    </row>
    <row r="304" spans="1:17" ht="14" thickTop="1" thickBot="1">
      <c r="A304" s="32">
        <v>301</v>
      </c>
      <c r="B304" s="20">
        <f ca="1">('normal case'!D303-'normal case'!B303)/'normal case'!B303</f>
        <v>0</v>
      </c>
      <c r="C304" s="26">
        <f ca="1">'normal case'!D303</f>
        <v>100</v>
      </c>
      <c r="D304" s="27">
        <f ca="1">'normal case'!C303</f>
        <v>0</v>
      </c>
      <c r="E304" s="25">
        <f ca="1">'normal case'!L303/100</f>
        <v>0.02</v>
      </c>
      <c r="F304" s="28">
        <f ca="1">'normal case'!N303/100</f>
        <v>0.06</v>
      </c>
      <c r="G304" s="28">
        <f ca="1">'normal case'!M303/100</f>
        <v>0.04</v>
      </c>
      <c r="H304" s="28">
        <f ca="1">'public finance'!D302</f>
        <v>0</v>
      </c>
      <c r="I304" s="23">
        <f ca="1">'public finance'!E302</f>
        <v>0</v>
      </c>
      <c r="J304" s="153">
        <f ca="1">'public finance'!H302</f>
        <v>0</v>
      </c>
      <c r="K304" s="20">
        <f ca="1">'public finance'!C302/'normal case'!D303</f>
        <v>0.2</v>
      </c>
      <c r="L304" s="23">
        <f ca="1">'public finance'!A302/'normal case'!D303</f>
        <v>0.2</v>
      </c>
      <c r="M304" s="21" t="str">
        <f>IF(controls!$B$44=0,"",'normal case'!AC303)</f>
        <v/>
      </c>
      <c r="N304" s="21" t="str">
        <f>IF(controls!$B$44=0,"",'normal case'!AF303)</f>
        <v/>
      </c>
      <c r="O304" s="203" t="str">
        <f>IF(controls!$B$44=0,"",'external balance'!D303)</f>
        <v/>
      </c>
      <c r="P304" s="203" t="str">
        <f>IF(controls!$B$44=0,"",'external balance'!F303)</f>
        <v/>
      </c>
      <c r="Q304" s="202" t="str">
        <f>IF(controls!$B$44=0,"",'external balance'!H303)</f>
        <v/>
      </c>
    </row>
    <row r="305" spans="1:17" ht="14" thickTop="1" thickBot="1">
      <c r="A305" s="32">
        <v>302</v>
      </c>
      <c r="B305" s="20">
        <f ca="1">('normal case'!D304-'normal case'!B304)/'normal case'!B304</f>
        <v>0</v>
      </c>
      <c r="C305" s="26">
        <f ca="1">'normal case'!D304</f>
        <v>100</v>
      </c>
      <c r="D305" s="27">
        <f ca="1">'normal case'!C304</f>
        <v>0</v>
      </c>
      <c r="E305" s="25">
        <f ca="1">'normal case'!L304/100</f>
        <v>0.02</v>
      </c>
      <c r="F305" s="28">
        <f ca="1">'normal case'!N304/100</f>
        <v>0.06</v>
      </c>
      <c r="G305" s="28">
        <f ca="1">'normal case'!M304/100</f>
        <v>0.04</v>
      </c>
      <c r="H305" s="28">
        <f ca="1">'public finance'!D303</f>
        <v>0</v>
      </c>
      <c r="I305" s="23">
        <f ca="1">'public finance'!E303</f>
        <v>0</v>
      </c>
      <c r="J305" s="153">
        <f ca="1">'public finance'!H303</f>
        <v>0</v>
      </c>
      <c r="K305" s="20">
        <f ca="1">'public finance'!C303/'normal case'!D304</f>
        <v>0.2</v>
      </c>
      <c r="L305" s="23">
        <f ca="1">'public finance'!A303/'normal case'!D304</f>
        <v>0.2</v>
      </c>
      <c r="M305" s="21" t="str">
        <f>IF(controls!$B$44=0,"",'normal case'!AC304)</f>
        <v/>
      </c>
      <c r="N305" s="21" t="str">
        <f>IF(controls!$B$44=0,"",'normal case'!AF304)</f>
        <v/>
      </c>
      <c r="O305" s="203" t="str">
        <f>IF(controls!$B$44=0,"",'external balance'!D304)</f>
        <v/>
      </c>
      <c r="P305" s="203" t="str">
        <f>IF(controls!$B$44=0,"",'external balance'!F304)</f>
        <v/>
      </c>
      <c r="Q305" s="202" t="str">
        <f>IF(controls!$B$44=0,"",'external balance'!H304)</f>
        <v/>
      </c>
    </row>
    <row r="306" spans="1:17" ht="14" thickTop="1" thickBot="1">
      <c r="A306" s="32">
        <v>303</v>
      </c>
      <c r="B306" s="20">
        <f ca="1">('normal case'!D305-'normal case'!B305)/'normal case'!B305</f>
        <v>0</v>
      </c>
      <c r="C306" s="26">
        <f ca="1">'normal case'!D305</f>
        <v>100</v>
      </c>
      <c r="D306" s="27">
        <f ca="1">'normal case'!C305</f>
        <v>0</v>
      </c>
      <c r="E306" s="25">
        <f ca="1">'normal case'!L305/100</f>
        <v>0.02</v>
      </c>
      <c r="F306" s="28">
        <f ca="1">'normal case'!N305/100</f>
        <v>0.06</v>
      </c>
      <c r="G306" s="28">
        <f ca="1">'normal case'!M305/100</f>
        <v>0.04</v>
      </c>
      <c r="H306" s="28">
        <f ca="1">'public finance'!D304</f>
        <v>0</v>
      </c>
      <c r="I306" s="23">
        <f ca="1">'public finance'!E304</f>
        <v>0</v>
      </c>
      <c r="J306" s="153">
        <f ca="1">'public finance'!H304</f>
        <v>0</v>
      </c>
      <c r="K306" s="20">
        <f ca="1">'public finance'!C304/'normal case'!D305</f>
        <v>0.2</v>
      </c>
      <c r="L306" s="23">
        <f ca="1">'public finance'!A304/'normal case'!D305</f>
        <v>0.2</v>
      </c>
      <c r="M306" s="21" t="str">
        <f>IF(controls!$B$44=0,"",'normal case'!AC305)</f>
        <v/>
      </c>
      <c r="N306" s="21" t="str">
        <f>IF(controls!$B$44=0,"",'normal case'!AF305)</f>
        <v/>
      </c>
      <c r="O306" s="203" t="str">
        <f>IF(controls!$B$44=0,"",'external balance'!D305)</f>
        <v/>
      </c>
      <c r="P306" s="203" t="str">
        <f>IF(controls!$B$44=0,"",'external balance'!F305)</f>
        <v/>
      </c>
      <c r="Q306" s="202" t="str">
        <f>IF(controls!$B$44=0,"",'external balance'!H305)</f>
        <v/>
      </c>
    </row>
    <row r="307" spans="1:17" ht="14" thickTop="1" thickBot="1">
      <c r="A307" s="32">
        <v>304</v>
      </c>
      <c r="B307" s="20">
        <f ca="1">('normal case'!D306-'normal case'!B306)/'normal case'!B306</f>
        <v>0</v>
      </c>
      <c r="C307" s="26">
        <f ca="1">'normal case'!D306</f>
        <v>100</v>
      </c>
      <c r="D307" s="27">
        <f ca="1">'normal case'!C306</f>
        <v>0</v>
      </c>
      <c r="E307" s="25">
        <f ca="1">'normal case'!L306/100</f>
        <v>0.02</v>
      </c>
      <c r="F307" s="28">
        <f ca="1">'normal case'!N306/100</f>
        <v>0.06</v>
      </c>
      <c r="G307" s="28">
        <f ca="1">'normal case'!M306/100</f>
        <v>0.04</v>
      </c>
      <c r="H307" s="28">
        <f ca="1">'public finance'!D305</f>
        <v>0</v>
      </c>
      <c r="I307" s="23">
        <f ca="1">'public finance'!E305</f>
        <v>0</v>
      </c>
      <c r="J307" s="153">
        <f ca="1">'public finance'!H305</f>
        <v>0</v>
      </c>
      <c r="K307" s="20">
        <f ca="1">'public finance'!C305/'normal case'!D306</f>
        <v>0.2</v>
      </c>
      <c r="L307" s="23">
        <f ca="1">'public finance'!A305/'normal case'!D306</f>
        <v>0.2</v>
      </c>
      <c r="M307" s="21" t="str">
        <f>IF(controls!$B$44=0,"",'normal case'!AC306)</f>
        <v/>
      </c>
      <c r="N307" s="21" t="str">
        <f>IF(controls!$B$44=0,"",'normal case'!AF306)</f>
        <v/>
      </c>
      <c r="O307" s="203" t="str">
        <f>IF(controls!$B$44=0,"",'external balance'!D306)</f>
        <v/>
      </c>
      <c r="P307" s="203" t="str">
        <f>IF(controls!$B$44=0,"",'external balance'!F306)</f>
        <v/>
      </c>
      <c r="Q307" s="202" t="str">
        <f>IF(controls!$B$44=0,"",'external balance'!H306)</f>
        <v/>
      </c>
    </row>
    <row r="308" spans="1:17" ht="14" thickTop="1" thickBot="1">
      <c r="A308" s="32">
        <v>305</v>
      </c>
      <c r="B308" s="20">
        <f ca="1">('normal case'!D307-'normal case'!B307)/'normal case'!B307</f>
        <v>0</v>
      </c>
      <c r="C308" s="26">
        <f ca="1">'normal case'!D307</f>
        <v>100</v>
      </c>
      <c r="D308" s="27">
        <f ca="1">'normal case'!C307</f>
        <v>0</v>
      </c>
      <c r="E308" s="25">
        <f ca="1">'normal case'!L307/100</f>
        <v>0.02</v>
      </c>
      <c r="F308" s="28">
        <f ca="1">'normal case'!N307/100</f>
        <v>0.06</v>
      </c>
      <c r="G308" s="28">
        <f ca="1">'normal case'!M307/100</f>
        <v>0.04</v>
      </c>
      <c r="H308" s="28">
        <f ca="1">'public finance'!D306</f>
        <v>0</v>
      </c>
      <c r="I308" s="23">
        <f ca="1">'public finance'!E306</f>
        <v>0</v>
      </c>
      <c r="J308" s="153">
        <f ca="1">'public finance'!H306</f>
        <v>0</v>
      </c>
      <c r="K308" s="20">
        <f ca="1">'public finance'!C306/'normal case'!D307</f>
        <v>0.2</v>
      </c>
      <c r="L308" s="23">
        <f ca="1">'public finance'!A306/'normal case'!D307</f>
        <v>0.2</v>
      </c>
      <c r="M308" s="21" t="str">
        <f>IF(controls!$B$44=0,"",'normal case'!AC307)</f>
        <v/>
      </c>
      <c r="N308" s="21" t="str">
        <f>IF(controls!$B$44=0,"",'normal case'!AF307)</f>
        <v/>
      </c>
      <c r="O308" s="203" t="str">
        <f>IF(controls!$B$44=0,"",'external balance'!D307)</f>
        <v/>
      </c>
      <c r="P308" s="203" t="str">
        <f>IF(controls!$B$44=0,"",'external balance'!F307)</f>
        <v/>
      </c>
      <c r="Q308" s="202" t="str">
        <f>IF(controls!$B$44=0,"",'external balance'!H307)</f>
        <v/>
      </c>
    </row>
    <row r="309" spans="1:17" ht="14" thickTop="1" thickBot="1">
      <c r="A309" s="32">
        <v>306</v>
      </c>
      <c r="B309" s="20">
        <f ca="1">('normal case'!D308-'normal case'!B308)/'normal case'!B308</f>
        <v>0</v>
      </c>
      <c r="C309" s="26">
        <f ca="1">'normal case'!D308</f>
        <v>100</v>
      </c>
      <c r="D309" s="27">
        <f ca="1">'normal case'!C308</f>
        <v>0</v>
      </c>
      <c r="E309" s="25">
        <f ca="1">'normal case'!L308/100</f>
        <v>0.02</v>
      </c>
      <c r="F309" s="28">
        <f ca="1">'normal case'!N308/100</f>
        <v>0.06</v>
      </c>
      <c r="G309" s="28">
        <f ca="1">'normal case'!M308/100</f>
        <v>0.04</v>
      </c>
      <c r="H309" s="28">
        <f ca="1">'public finance'!D307</f>
        <v>0</v>
      </c>
      <c r="I309" s="23">
        <f ca="1">'public finance'!E307</f>
        <v>0</v>
      </c>
      <c r="J309" s="153">
        <f ca="1">'public finance'!H307</f>
        <v>0</v>
      </c>
      <c r="K309" s="20">
        <f ca="1">'public finance'!C307/'normal case'!D308</f>
        <v>0.2</v>
      </c>
      <c r="L309" s="23">
        <f ca="1">'public finance'!A307/'normal case'!D308</f>
        <v>0.2</v>
      </c>
      <c r="M309" s="21" t="str">
        <f>IF(controls!$B$44=0,"",'normal case'!AC308)</f>
        <v/>
      </c>
      <c r="N309" s="21" t="str">
        <f>IF(controls!$B$44=0,"",'normal case'!AF308)</f>
        <v/>
      </c>
      <c r="O309" s="203" t="str">
        <f>IF(controls!$B$44=0,"",'external balance'!D308)</f>
        <v/>
      </c>
      <c r="P309" s="203" t="str">
        <f>IF(controls!$B$44=0,"",'external balance'!F308)</f>
        <v/>
      </c>
      <c r="Q309" s="202" t="str">
        <f>IF(controls!$B$44=0,"",'external balance'!H308)</f>
        <v/>
      </c>
    </row>
    <row r="310" spans="1:17" ht="14" thickTop="1" thickBot="1">
      <c r="A310" s="32">
        <v>307</v>
      </c>
      <c r="B310" s="20">
        <f ca="1">('normal case'!D309-'normal case'!B309)/'normal case'!B309</f>
        <v>0</v>
      </c>
      <c r="C310" s="26">
        <f ca="1">'normal case'!D309</f>
        <v>100</v>
      </c>
      <c r="D310" s="27">
        <f ca="1">'normal case'!C309</f>
        <v>0</v>
      </c>
      <c r="E310" s="25">
        <f ca="1">'normal case'!L309/100</f>
        <v>0.02</v>
      </c>
      <c r="F310" s="28">
        <f ca="1">'normal case'!N309/100</f>
        <v>0.06</v>
      </c>
      <c r="G310" s="28">
        <f ca="1">'normal case'!M309/100</f>
        <v>0.04</v>
      </c>
      <c r="H310" s="28">
        <f ca="1">'public finance'!D308</f>
        <v>0</v>
      </c>
      <c r="I310" s="23">
        <f ca="1">'public finance'!E308</f>
        <v>0</v>
      </c>
      <c r="J310" s="153">
        <f ca="1">'public finance'!H308</f>
        <v>0</v>
      </c>
      <c r="K310" s="20">
        <f ca="1">'public finance'!C308/'normal case'!D309</f>
        <v>0.2</v>
      </c>
      <c r="L310" s="23">
        <f ca="1">'public finance'!A308/'normal case'!D309</f>
        <v>0.2</v>
      </c>
      <c r="M310" s="21" t="str">
        <f>IF(controls!$B$44=0,"",'normal case'!AC309)</f>
        <v/>
      </c>
      <c r="N310" s="21" t="str">
        <f>IF(controls!$B$44=0,"",'normal case'!AF309)</f>
        <v/>
      </c>
      <c r="O310" s="203" t="str">
        <f>IF(controls!$B$44=0,"",'external balance'!D309)</f>
        <v/>
      </c>
      <c r="P310" s="203" t="str">
        <f>IF(controls!$B$44=0,"",'external balance'!F309)</f>
        <v/>
      </c>
      <c r="Q310" s="202" t="str">
        <f>IF(controls!$B$44=0,"",'external balance'!H309)</f>
        <v/>
      </c>
    </row>
    <row r="311" spans="1:17" ht="14" thickTop="1" thickBot="1">
      <c r="A311" s="32">
        <v>308</v>
      </c>
      <c r="B311" s="20">
        <f ca="1">('normal case'!D310-'normal case'!B310)/'normal case'!B310</f>
        <v>0</v>
      </c>
      <c r="C311" s="26">
        <f ca="1">'normal case'!D310</f>
        <v>100</v>
      </c>
      <c r="D311" s="27">
        <f ca="1">'normal case'!C310</f>
        <v>0</v>
      </c>
      <c r="E311" s="25">
        <f ca="1">'normal case'!L310/100</f>
        <v>0.02</v>
      </c>
      <c r="F311" s="28">
        <f ca="1">'normal case'!N310/100</f>
        <v>0.06</v>
      </c>
      <c r="G311" s="28">
        <f ca="1">'normal case'!M310/100</f>
        <v>0.04</v>
      </c>
      <c r="H311" s="28">
        <f ca="1">'public finance'!D309</f>
        <v>0</v>
      </c>
      <c r="I311" s="23">
        <f ca="1">'public finance'!E309</f>
        <v>0</v>
      </c>
      <c r="J311" s="153">
        <f ca="1">'public finance'!H309</f>
        <v>0</v>
      </c>
      <c r="K311" s="20">
        <f ca="1">'public finance'!C309/'normal case'!D310</f>
        <v>0.2</v>
      </c>
      <c r="L311" s="23">
        <f ca="1">'public finance'!A309/'normal case'!D310</f>
        <v>0.2</v>
      </c>
      <c r="M311" s="21" t="str">
        <f>IF(controls!$B$44=0,"",'normal case'!AC310)</f>
        <v/>
      </c>
      <c r="N311" s="21" t="str">
        <f>IF(controls!$B$44=0,"",'normal case'!AF310)</f>
        <v/>
      </c>
      <c r="O311" s="203" t="str">
        <f>IF(controls!$B$44=0,"",'external balance'!D310)</f>
        <v/>
      </c>
      <c r="P311" s="203" t="str">
        <f>IF(controls!$B$44=0,"",'external balance'!F310)</f>
        <v/>
      </c>
      <c r="Q311" s="202" t="str">
        <f>IF(controls!$B$44=0,"",'external balance'!H310)</f>
        <v/>
      </c>
    </row>
    <row r="312" spans="1:17" ht="14" thickTop="1" thickBot="1">
      <c r="A312" s="32">
        <v>309</v>
      </c>
      <c r="B312" s="20">
        <f ca="1">('normal case'!D311-'normal case'!B311)/'normal case'!B311</f>
        <v>0</v>
      </c>
      <c r="C312" s="26">
        <f ca="1">'normal case'!D311</f>
        <v>100</v>
      </c>
      <c r="D312" s="27">
        <f ca="1">'normal case'!C311</f>
        <v>0</v>
      </c>
      <c r="E312" s="25">
        <f ca="1">'normal case'!L311/100</f>
        <v>0.02</v>
      </c>
      <c r="F312" s="28">
        <f ca="1">'normal case'!N311/100</f>
        <v>0.06</v>
      </c>
      <c r="G312" s="28">
        <f ca="1">'normal case'!M311/100</f>
        <v>0.04</v>
      </c>
      <c r="H312" s="28">
        <f ca="1">'public finance'!D310</f>
        <v>0</v>
      </c>
      <c r="I312" s="23">
        <f ca="1">'public finance'!E310</f>
        <v>0</v>
      </c>
      <c r="J312" s="153">
        <f ca="1">'public finance'!H310</f>
        <v>0</v>
      </c>
      <c r="K312" s="20">
        <f ca="1">'public finance'!C310/'normal case'!D311</f>
        <v>0.2</v>
      </c>
      <c r="L312" s="23">
        <f ca="1">'public finance'!A310/'normal case'!D311</f>
        <v>0.2</v>
      </c>
      <c r="M312" s="21" t="str">
        <f>IF(controls!$B$44=0,"",'normal case'!AC311)</f>
        <v/>
      </c>
      <c r="N312" s="21" t="str">
        <f>IF(controls!$B$44=0,"",'normal case'!AF311)</f>
        <v/>
      </c>
      <c r="O312" s="203" t="str">
        <f>IF(controls!$B$44=0,"",'external balance'!D311)</f>
        <v/>
      </c>
      <c r="P312" s="203" t="str">
        <f>IF(controls!$B$44=0,"",'external balance'!F311)</f>
        <v/>
      </c>
      <c r="Q312" s="202" t="str">
        <f>IF(controls!$B$44=0,"",'external balance'!H311)</f>
        <v/>
      </c>
    </row>
    <row r="313" spans="1:17" ht="14" thickTop="1" thickBot="1">
      <c r="A313" s="32">
        <v>310</v>
      </c>
      <c r="B313" s="20">
        <f ca="1">('normal case'!D312-'normal case'!B312)/'normal case'!B312</f>
        <v>0</v>
      </c>
      <c r="C313" s="26">
        <f ca="1">'normal case'!D312</f>
        <v>100</v>
      </c>
      <c r="D313" s="27">
        <f ca="1">'normal case'!C312</f>
        <v>0</v>
      </c>
      <c r="E313" s="25">
        <f ca="1">'normal case'!L312/100</f>
        <v>0.02</v>
      </c>
      <c r="F313" s="28">
        <f ca="1">'normal case'!N312/100</f>
        <v>0.06</v>
      </c>
      <c r="G313" s="28">
        <f ca="1">'normal case'!M312/100</f>
        <v>0.04</v>
      </c>
      <c r="H313" s="28">
        <f ca="1">'public finance'!D311</f>
        <v>0</v>
      </c>
      <c r="I313" s="23">
        <f ca="1">'public finance'!E311</f>
        <v>0</v>
      </c>
      <c r="J313" s="153">
        <f ca="1">'public finance'!H311</f>
        <v>0</v>
      </c>
      <c r="K313" s="20">
        <f ca="1">'public finance'!C311/'normal case'!D312</f>
        <v>0.2</v>
      </c>
      <c r="L313" s="23">
        <f ca="1">'public finance'!A311/'normal case'!D312</f>
        <v>0.2</v>
      </c>
      <c r="M313" s="21" t="str">
        <f>IF(controls!$B$44=0,"",'normal case'!AC312)</f>
        <v/>
      </c>
      <c r="N313" s="21" t="str">
        <f>IF(controls!$B$44=0,"",'normal case'!AF312)</f>
        <v/>
      </c>
      <c r="O313" s="203" t="str">
        <f>IF(controls!$B$44=0,"",'external balance'!D312)</f>
        <v/>
      </c>
      <c r="P313" s="203" t="str">
        <f>IF(controls!$B$44=0,"",'external balance'!F312)</f>
        <v/>
      </c>
      <c r="Q313" s="202" t="str">
        <f>IF(controls!$B$44=0,"",'external balance'!H312)</f>
        <v/>
      </c>
    </row>
    <row r="314" spans="1:17" ht="14" thickTop="1" thickBot="1">
      <c r="A314" s="32">
        <v>311</v>
      </c>
      <c r="B314" s="20">
        <f ca="1">('normal case'!D313-'normal case'!B313)/'normal case'!B313</f>
        <v>0</v>
      </c>
      <c r="C314" s="26">
        <f ca="1">'normal case'!D313</f>
        <v>100</v>
      </c>
      <c r="D314" s="27">
        <f ca="1">'normal case'!C313</f>
        <v>0</v>
      </c>
      <c r="E314" s="25">
        <f ca="1">'normal case'!L313/100</f>
        <v>0.02</v>
      </c>
      <c r="F314" s="28">
        <f ca="1">'normal case'!N313/100</f>
        <v>0.06</v>
      </c>
      <c r="G314" s="28">
        <f ca="1">'normal case'!M313/100</f>
        <v>0.04</v>
      </c>
      <c r="H314" s="28">
        <f ca="1">'public finance'!D312</f>
        <v>0</v>
      </c>
      <c r="I314" s="23">
        <f ca="1">'public finance'!E312</f>
        <v>0</v>
      </c>
      <c r="J314" s="153">
        <f ca="1">'public finance'!H312</f>
        <v>0</v>
      </c>
      <c r="K314" s="20">
        <f ca="1">'public finance'!C312/'normal case'!D313</f>
        <v>0.2</v>
      </c>
      <c r="L314" s="23">
        <f ca="1">'public finance'!A312/'normal case'!D313</f>
        <v>0.2</v>
      </c>
      <c r="M314" s="21" t="str">
        <f>IF(controls!$B$44=0,"",'normal case'!AC313)</f>
        <v/>
      </c>
      <c r="N314" s="21" t="str">
        <f>IF(controls!$B$44=0,"",'normal case'!AF313)</f>
        <v/>
      </c>
      <c r="O314" s="203" t="str">
        <f>IF(controls!$B$44=0,"",'external balance'!D313)</f>
        <v/>
      </c>
      <c r="P314" s="203" t="str">
        <f>IF(controls!$B$44=0,"",'external balance'!F313)</f>
        <v/>
      </c>
      <c r="Q314" s="202" t="str">
        <f>IF(controls!$B$44=0,"",'external balance'!H313)</f>
        <v/>
      </c>
    </row>
    <row r="315" spans="1:17" ht="14" thickTop="1" thickBot="1">
      <c r="A315" s="32">
        <v>312</v>
      </c>
      <c r="B315" s="20">
        <f ca="1">('normal case'!D314-'normal case'!B314)/'normal case'!B314</f>
        <v>0</v>
      </c>
      <c r="C315" s="26">
        <f ca="1">'normal case'!D314</f>
        <v>100</v>
      </c>
      <c r="D315" s="27">
        <f ca="1">'normal case'!C314</f>
        <v>0</v>
      </c>
      <c r="E315" s="25">
        <f ca="1">'normal case'!L314/100</f>
        <v>0.02</v>
      </c>
      <c r="F315" s="28">
        <f ca="1">'normal case'!N314/100</f>
        <v>0.06</v>
      </c>
      <c r="G315" s="28">
        <f ca="1">'normal case'!M314/100</f>
        <v>0.04</v>
      </c>
      <c r="H315" s="28">
        <f ca="1">'public finance'!D313</f>
        <v>0</v>
      </c>
      <c r="I315" s="23">
        <f ca="1">'public finance'!E313</f>
        <v>0</v>
      </c>
      <c r="J315" s="153">
        <f ca="1">'public finance'!H313</f>
        <v>0</v>
      </c>
      <c r="K315" s="20">
        <f ca="1">'public finance'!C313/'normal case'!D314</f>
        <v>0.2</v>
      </c>
      <c r="L315" s="23">
        <f ca="1">'public finance'!A313/'normal case'!D314</f>
        <v>0.2</v>
      </c>
      <c r="M315" s="21" t="str">
        <f>IF(controls!$B$44=0,"",'normal case'!AC314)</f>
        <v/>
      </c>
      <c r="N315" s="21" t="str">
        <f>IF(controls!$B$44=0,"",'normal case'!AF314)</f>
        <v/>
      </c>
      <c r="O315" s="203" t="str">
        <f>IF(controls!$B$44=0,"",'external balance'!D314)</f>
        <v/>
      </c>
      <c r="P315" s="203" t="str">
        <f>IF(controls!$B$44=0,"",'external balance'!F314)</f>
        <v/>
      </c>
      <c r="Q315" s="202" t="str">
        <f>IF(controls!$B$44=0,"",'external balance'!H314)</f>
        <v/>
      </c>
    </row>
    <row r="316" spans="1:17" ht="14" thickTop="1" thickBot="1">
      <c r="A316" s="32">
        <v>313</v>
      </c>
      <c r="B316" s="20">
        <f ca="1">('normal case'!D315-'normal case'!B315)/'normal case'!B315</f>
        <v>0</v>
      </c>
      <c r="C316" s="26">
        <f ca="1">'normal case'!D315</f>
        <v>100</v>
      </c>
      <c r="D316" s="27">
        <f ca="1">'normal case'!C315</f>
        <v>0</v>
      </c>
      <c r="E316" s="25">
        <f ca="1">'normal case'!L315/100</f>
        <v>0.02</v>
      </c>
      <c r="F316" s="28">
        <f ca="1">'normal case'!N315/100</f>
        <v>0.06</v>
      </c>
      <c r="G316" s="28">
        <f ca="1">'normal case'!M315/100</f>
        <v>0.04</v>
      </c>
      <c r="H316" s="28">
        <f ca="1">'public finance'!D314</f>
        <v>0</v>
      </c>
      <c r="I316" s="23">
        <f ca="1">'public finance'!E314</f>
        <v>0</v>
      </c>
      <c r="J316" s="153">
        <f ca="1">'public finance'!H314</f>
        <v>0</v>
      </c>
      <c r="K316" s="20">
        <f ca="1">'public finance'!C314/'normal case'!D315</f>
        <v>0.2</v>
      </c>
      <c r="L316" s="23">
        <f ca="1">'public finance'!A314/'normal case'!D315</f>
        <v>0.2</v>
      </c>
      <c r="M316" s="21" t="str">
        <f>IF(controls!$B$44=0,"",'normal case'!AC315)</f>
        <v/>
      </c>
      <c r="N316" s="21" t="str">
        <f>IF(controls!$B$44=0,"",'normal case'!AF315)</f>
        <v/>
      </c>
      <c r="O316" s="203" t="str">
        <f>IF(controls!$B$44=0,"",'external balance'!D315)</f>
        <v/>
      </c>
      <c r="P316" s="203" t="str">
        <f>IF(controls!$B$44=0,"",'external balance'!F315)</f>
        <v/>
      </c>
      <c r="Q316" s="202" t="str">
        <f>IF(controls!$B$44=0,"",'external balance'!H315)</f>
        <v/>
      </c>
    </row>
    <row r="317" spans="1:17" ht="14" thickTop="1" thickBot="1">
      <c r="A317" s="32">
        <v>314</v>
      </c>
      <c r="B317" s="20">
        <f ca="1">('normal case'!D316-'normal case'!B316)/'normal case'!B316</f>
        <v>0</v>
      </c>
      <c r="C317" s="26">
        <f ca="1">'normal case'!D316</f>
        <v>100</v>
      </c>
      <c r="D317" s="27">
        <f ca="1">'normal case'!C316</f>
        <v>0</v>
      </c>
      <c r="E317" s="25">
        <f ca="1">'normal case'!L316/100</f>
        <v>0.02</v>
      </c>
      <c r="F317" s="28">
        <f ca="1">'normal case'!N316/100</f>
        <v>0.06</v>
      </c>
      <c r="G317" s="28">
        <f ca="1">'normal case'!M316/100</f>
        <v>0.04</v>
      </c>
      <c r="H317" s="28">
        <f ca="1">'public finance'!D315</f>
        <v>0</v>
      </c>
      <c r="I317" s="23">
        <f ca="1">'public finance'!E315</f>
        <v>0</v>
      </c>
      <c r="J317" s="153">
        <f ca="1">'public finance'!H315</f>
        <v>0</v>
      </c>
      <c r="K317" s="20">
        <f ca="1">'public finance'!C315/'normal case'!D316</f>
        <v>0.2</v>
      </c>
      <c r="L317" s="23">
        <f ca="1">'public finance'!A315/'normal case'!D316</f>
        <v>0.2</v>
      </c>
      <c r="M317" s="21" t="str">
        <f>IF(controls!$B$44=0,"",'normal case'!AC316)</f>
        <v/>
      </c>
      <c r="N317" s="21" t="str">
        <f>IF(controls!$B$44=0,"",'normal case'!AF316)</f>
        <v/>
      </c>
      <c r="O317" s="203" t="str">
        <f>IF(controls!$B$44=0,"",'external balance'!D316)</f>
        <v/>
      </c>
      <c r="P317" s="203" t="str">
        <f>IF(controls!$B$44=0,"",'external balance'!F316)</f>
        <v/>
      </c>
      <c r="Q317" s="202" t="str">
        <f>IF(controls!$B$44=0,"",'external balance'!H316)</f>
        <v/>
      </c>
    </row>
    <row r="318" spans="1:17" ht="14" thickTop="1" thickBot="1">
      <c r="A318" s="32">
        <v>315</v>
      </c>
      <c r="B318" s="20">
        <f ca="1">('normal case'!D317-'normal case'!B317)/'normal case'!B317</f>
        <v>0</v>
      </c>
      <c r="C318" s="26">
        <f ca="1">'normal case'!D317</f>
        <v>100</v>
      </c>
      <c r="D318" s="27">
        <f ca="1">'normal case'!C317</f>
        <v>0</v>
      </c>
      <c r="E318" s="25">
        <f ca="1">'normal case'!L317/100</f>
        <v>0.02</v>
      </c>
      <c r="F318" s="28">
        <f ca="1">'normal case'!N317/100</f>
        <v>0.06</v>
      </c>
      <c r="G318" s="28">
        <f ca="1">'normal case'!M317/100</f>
        <v>0.04</v>
      </c>
      <c r="H318" s="28">
        <f ca="1">'public finance'!D316</f>
        <v>0</v>
      </c>
      <c r="I318" s="23">
        <f ca="1">'public finance'!E316</f>
        <v>0</v>
      </c>
      <c r="J318" s="153">
        <f ca="1">'public finance'!H316</f>
        <v>0</v>
      </c>
      <c r="K318" s="20">
        <f ca="1">'public finance'!C316/'normal case'!D317</f>
        <v>0.2</v>
      </c>
      <c r="L318" s="23">
        <f ca="1">'public finance'!A316/'normal case'!D317</f>
        <v>0.2</v>
      </c>
      <c r="M318" s="21" t="str">
        <f>IF(controls!$B$44=0,"",'normal case'!AC317)</f>
        <v/>
      </c>
      <c r="N318" s="21" t="str">
        <f>IF(controls!$B$44=0,"",'normal case'!AF317)</f>
        <v/>
      </c>
      <c r="O318" s="203" t="str">
        <f>IF(controls!$B$44=0,"",'external balance'!D317)</f>
        <v/>
      </c>
      <c r="P318" s="203" t="str">
        <f>IF(controls!$B$44=0,"",'external balance'!F317)</f>
        <v/>
      </c>
      <c r="Q318" s="202" t="str">
        <f>IF(controls!$B$44=0,"",'external balance'!H317)</f>
        <v/>
      </c>
    </row>
    <row r="319" spans="1:17" ht="14" thickTop="1" thickBot="1">
      <c r="A319" s="32">
        <v>316</v>
      </c>
      <c r="B319" s="20">
        <f ca="1">('normal case'!D318-'normal case'!B318)/'normal case'!B318</f>
        <v>0</v>
      </c>
      <c r="C319" s="26">
        <f ca="1">'normal case'!D318</f>
        <v>100</v>
      </c>
      <c r="D319" s="27">
        <f ca="1">'normal case'!C318</f>
        <v>0</v>
      </c>
      <c r="E319" s="25">
        <f ca="1">'normal case'!L318/100</f>
        <v>0.02</v>
      </c>
      <c r="F319" s="28">
        <f ca="1">'normal case'!N318/100</f>
        <v>0.06</v>
      </c>
      <c r="G319" s="28">
        <f ca="1">'normal case'!M318/100</f>
        <v>0.04</v>
      </c>
      <c r="H319" s="28">
        <f ca="1">'public finance'!D317</f>
        <v>0</v>
      </c>
      <c r="I319" s="23">
        <f ca="1">'public finance'!E317</f>
        <v>0</v>
      </c>
      <c r="J319" s="153">
        <f ca="1">'public finance'!H317</f>
        <v>0</v>
      </c>
      <c r="K319" s="20">
        <f ca="1">'public finance'!C317/'normal case'!D318</f>
        <v>0.2</v>
      </c>
      <c r="L319" s="23">
        <f ca="1">'public finance'!A317/'normal case'!D318</f>
        <v>0.2</v>
      </c>
      <c r="M319" s="21" t="str">
        <f>IF(controls!$B$44=0,"",'normal case'!AC318)</f>
        <v/>
      </c>
      <c r="N319" s="21" t="str">
        <f>IF(controls!$B$44=0,"",'normal case'!AF318)</f>
        <v/>
      </c>
      <c r="O319" s="203" t="str">
        <f>IF(controls!$B$44=0,"",'external balance'!D318)</f>
        <v/>
      </c>
      <c r="P319" s="203" t="str">
        <f>IF(controls!$B$44=0,"",'external balance'!F318)</f>
        <v/>
      </c>
      <c r="Q319" s="202" t="str">
        <f>IF(controls!$B$44=0,"",'external balance'!H318)</f>
        <v/>
      </c>
    </row>
    <row r="320" spans="1:17" ht="14" thickTop="1" thickBot="1">
      <c r="A320" s="32">
        <v>317</v>
      </c>
      <c r="B320" s="20">
        <f ca="1">('normal case'!D319-'normal case'!B319)/'normal case'!B319</f>
        <v>0</v>
      </c>
      <c r="C320" s="26">
        <f ca="1">'normal case'!D319</f>
        <v>100</v>
      </c>
      <c r="D320" s="27">
        <f ca="1">'normal case'!C319</f>
        <v>0</v>
      </c>
      <c r="E320" s="25">
        <f ca="1">'normal case'!L319/100</f>
        <v>0.02</v>
      </c>
      <c r="F320" s="28">
        <f ca="1">'normal case'!N319/100</f>
        <v>0.06</v>
      </c>
      <c r="G320" s="28">
        <f ca="1">'normal case'!M319/100</f>
        <v>0.04</v>
      </c>
      <c r="H320" s="28">
        <f ca="1">'public finance'!D318</f>
        <v>0</v>
      </c>
      <c r="I320" s="23">
        <f ca="1">'public finance'!E318</f>
        <v>0</v>
      </c>
      <c r="J320" s="153">
        <f ca="1">'public finance'!H318</f>
        <v>0</v>
      </c>
      <c r="K320" s="20">
        <f ca="1">'public finance'!C318/'normal case'!D319</f>
        <v>0.2</v>
      </c>
      <c r="L320" s="23">
        <f ca="1">'public finance'!A318/'normal case'!D319</f>
        <v>0.2</v>
      </c>
      <c r="M320" s="21" t="str">
        <f>IF(controls!$B$44=0,"",'normal case'!AC319)</f>
        <v/>
      </c>
      <c r="N320" s="21" t="str">
        <f>IF(controls!$B$44=0,"",'normal case'!AF319)</f>
        <v/>
      </c>
      <c r="O320" s="203" t="str">
        <f>IF(controls!$B$44=0,"",'external balance'!D319)</f>
        <v/>
      </c>
      <c r="P320" s="203" t="str">
        <f>IF(controls!$B$44=0,"",'external balance'!F319)</f>
        <v/>
      </c>
      <c r="Q320" s="202" t="str">
        <f>IF(controls!$B$44=0,"",'external balance'!H319)</f>
        <v/>
      </c>
    </row>
    <row r="321" spans="1:17" ht="14" thickTop="1" thickBot="1">
      <c r="A321" s="32">
        <v>318</v>
      </c>
      <c r="B321" s="20">
        <f ca="1">('normal case'!D320-'normal case'!B320)/'normal case'!B320</f>
        <v>0</v>
      </c>
      <c r="C321" s="26">
        <f ca="1">'normal case'!D320</f>
        <v>100</v>
      </c>
      <c r="D321" s="27">
        <f ca="1">'normal case'!C320</f>
        <v>0</v>
      </c>
      <c r="E321" s="25">
        <f ca="1">'normal case'!L320/100</f>
        <v>0.02</v>
      </c>
      <c r="F321" s="28">
        <f ca="1">'normal case'!N320/100</f>
        <v>0.06</v>
      </c>
      <c r="G321" s="28">
        <f ca="1">'normal case'!M320/100</f>
        <v>0.04</v>
      </c>
      <c r="H321" s="28">
        <f ca="1">'public finance'!D319</f>
        <v>0</v>
      </c>
      <c r="I321" s="23">
        <f ca="1">'public finance'!E319</f>
        <v>0</v>
      </c>
      <c r="J321" s="153">
        <f ca="1">'public finance'!H319</f>
        <v>0</v>
      </c>
      <c r="K321" s="20">
        <f ca="1">'public finance'!C319/'normal case'!D320</f>
        <v>0.2</v>
      </c>
      <c r="L321" s="23">
        <f ca="1">'public finance'!A319/'normal case'!D320</f>
        <v>0.2</v>
      </c>
      <c r="M321" s="21" t="str">
        <f>IF(controls!$B$44=0,"",'normal case'!AC320)</f>
        <v/>
      </c>
      <c r="N321" s="21" t="str">
        <f>IF(controls!$B$44=0,"",'normal case'!AF320)</f>
        <v/>
      </c>
      <c r="O321" s="203" t="str">
        <f>IF(controls!$B$44=0,"",'external balance'!D320)</f>
        <v/>
      </c>
      <c r="P321" s="203" t="str">
        <f>IF(controls!$B$44=0,"",'external balance'!F320)</f>
        <v/>
      </c>
      <c r="Q321" s="202" t="str">
        <f>IF(controls!$B$44=0,"",'external balance'!H320)</f>
        <v/>
      </c>
    </row>
    <row r="322" spans="1:17" ht="14" thickTop="1" thickBot="1">
      <c r="A322" s="32">
        <v>319</v>
      </c>
      <c r="B322" s="20">
        <f ca="1">('normal case'!D321-'normal case'!B321)/'normal case'!B321</f>
        <v>0</v>
      </c>
      <c r="C322" s="26">
        <f ca="1">'normal case'!D321</f>
        <v>100</v>
      </c>
      <c r="D322" s="27">
        <f ca="1">'normal case'!C321</f>
        <v>0</v>
      </c>
      <c r="E322" s="25">
        <f ca="1">'normal case'!L321/100</f>
        <v>0.02</v>
      </c>
      <c r="F322" s="28">
        <f ca="1">'normal case'!N321/100</f>
        <v>0.06</v>
      </c>
      <c r="G322" s="28">
        <f ca="1">'normal case'!M321/100</f>
        <v>0.04</v>
      </c>
      <c r="H322" s="28">
        <f ca="1">'public finance'!D320</f>
        <v>0</v>
      </c>
      <c r="I322" s="23">
        <f ca="1">'public finance'!E320</f>
        <v>0</v>
      </c>
      <c r="J322" s="153">
        <f ca="1">'public finance'!H320</f>
        <v>0</v>
      </c>
      <c r="K322" s="20">
        <f ca="1">'public finance'!C320/'normal case'!D321</f>
        <v>0.2</v>
      </c>
      <c r="L322" s="23">
        <f ca="1">'public finance'!A320/'normal case'!D321</f>
        <v>0.2</v>
      </c>
      <c r="M322" s="21" t="str">
        <f>IF(controls!$B$44=0,"",'normal case'!AC321)</f>
        <v/>
      </c>
      <c r="N322" s="21" t="str">
        <f>IF(controls!$B$44=0,"",'normal case'!AF321)</f>
        <v/>
      </c>
      <c r="O322" s="203" t="str">
        <f>IF(controls!$B$44=0,"",'external balance'!D321)</f>
        <v/>
      </c>
      <c r="P322" s="203" t="str">
        <f>IF(controls!$B$44=0,"",'external balance'!F321)</f>
        <v/>
      </c>
      <c r="Q322" s="202" t="str">
        <f>IF(controls!$B$44=0,"",'external balance'!H321)</f>
        <v/>
      </c>
    </row>
    <row r="323" spans="1:17" ht="14" thickTop="1" thickBot="1">
      <c r="A323" s="32">
        <v>320</v>
      </c>
      <c r="B323" s="20">
        <f ca="1">('normal case'!D322-'normal case'!B322)/'normal case'!B322</f>
        <v>0</v>
      </c>
      <c r="C323" s="26">
        <f ca="1">'normal case'!D322</f>
        <v>100</v>
      </c>
      <c r="D323" s="27">
        <f ca="1">'normal case'!C322</f>
        <v>0</v>
      </c>
      <c r="E323" s="25">
        <f ca="1">'normal case'!L322/100</f>
        <v>0.02</v>
      </c>
      <c r="F323" s="28">
        <f ca="1">'normal case'!N322/100</f>
        <v>0.06</v>
      </c>
      <c r="G323" s="28">
        <f ca="1">'normal case'!M322/100</f>
        <v>0.04</v>
      </c>
      <c r="H323" s="28">
        <f ca="1">'public finance'!D321</f>
        <v>0</v>
      </c>
      <c r="I323" s="23">
        <f ca="1">'public finance'!E321</f>
        <v>0</v>
      </c>
      <c r="J323" s="153">
        <f ca="1">'public finance'!H321</f>
        <v>0</v>
      </c>
      <c r="K323" s="20">
        <f ca="1">'public finance'!C321/'normal case'!D322</f>
        <v>0.2</v>
      </c>
      <c r="L323" s="23">
        <f ca="1">'public finance'!A321/'normal case'!D322</f>
        <v>0.2</v>
      </c>
      <c r="M323" s="21" t="str">
        <f>IF(controls!$B$44=0,"",'normal case'!AC322)</f>
        <v/>
      </c>
      <c r="N323" s="21" t="str">
        <f>IF(controls!$B$44=0,"",'normal case'!AF322)</f>
        <v/>
      </c>
      <c r="O323" s="203" t="str">
        <f>IF(controls!$B$44=0,"",'external balance'!D322)</f>
        <v/>
      </c>
      <c r="P323" s="203" t="str">
        <f>IF(controls!$B$44=0,"",'external balance'!F322)</f>
        <v/>
      </c>
      <c r="Q323" s="202" t="str">
        <f>IF(controls!$B$44=0,"",'external balance'!H322)</f>
        <v/>
      </c>
    </row>
    <row r="324" spans="1:17" ht="14" thickTop="1" thickBot="1">
      <c r="A324" s="32">
        <v>321</v>
      </c>
      <c r="B324" s="20">
        <f ca="1">('normal case'!D323-'normal case'!B323)/'normal case'!B323</f>
        <v>0</v>
      </c>
      <c r="C324" s="26">
        <f ca="1">'normal case'!D323</f>
        <v>100</v>
      </c>
      <c r="D324" s="27">
        <f ca="1">'normal case'!C323</f>
        <v>0</v>
      </c>
      <c r="E324" s="25">
        <f ca="1">'normal case'!L323/100</f>
        <v>0.02</v>
      </c>
      <c r="F324" s="28">
        <f ca="1">'normal case'!N323/100</f>
        <v>0.06</v>
      </c>
      <c r="G324" s="28">
        <f ca="1">'normal case'!M323/100</f>
        <v>0.04</v>
      </c>
      <c r="H324" s="28">
        <f ca="1">'public finance'!D322</f>
        <v>0</v>
      </c>
      <c r="I324" s="23">
        <f ca="1">'public finance'!E322</f>
        <v>0</v>
      </c>
      <c r="J324" s="153">
        <f ca="1">'public finance'!H322</f>
        <v>0</v>
      </c>
      <c r="K324" s="20">
        <f ca="1">'public finance'!C322/'normal case'!D323</f>
        <v>0.2</v>
      </c>
      <c r="L324" s="23">
        <f ca="1">'public finance'!A322/'normal case'!D323</f>
        <v>0.2</v>
      </c>
      <c r="M324" s="21" t="str">
        <f>IF(controls!$B$44=0,"",'normal case'!AC323)</f>
        <v/>
      </c>
      <c r="N324" s="21" t="str">
        <f>IF(controls!$B$44=0,"",'normal case'!AF323)</f>
        <v/>
      </c>
      <c r="O324" s="203" t="str">
        <f>IF(controls!$B$44=0,"",'external balance'!D323)</f>
        <v/>
      </c>
      <c r="P324" s="203" t="str">
        <f>IF(controls!$B$44=0,"",'external balance'!F323)</f>
        <v/>
      </c>
      <c r="Q324" s="202" t="str">
        <f>IF(controls!$B$44=0,"",'external balance'!H323)</f>
        <v/>
      </c>
    </row>
    <row r="325" spans="1:17" ht="14" thickTop="1" thickBot="1">
      <c r="A325" s="32">
        <v>322</v>
      </c>
      <c r="B325" s="20">
        <f ca="1">('normal case'!D324-'normal case'!B324)/'normal case'!B324</f>
        <v>0</v>
      </c>
      <c r="C325" s="26">
        <f ca="1">'normal case'!D324</f>
        <v>100</v>
      </c>
      <c r="D325" s="27">
        <f ca="1">'normal case'!C324</f>
        <v>0</v>
      </c>
      <c r="E325" s="25">
        <f ca="1">'normal case'!L324/100</f>
        <v>0.02</v>
      </c>
      <c r="F325" s="28">
        <f ca="1">'normal case'!N324/100</f>
        <v>0.06</v>
      </c>
      <c r="G325" s="28">
        <f ca="1">'normal case'!M324/100</f>
        <v>0.04</v>
      </c>
      <c r="H325" s="28">
        <f ca="1">'public finance'!D323</f>
        <v>0</v>
      </c>
      <c r="I325" s="23">
        <f ca="1">'public finance'!E323</f>
        <v>0</v>
      </c>
      <c r="J325" s="153">
        <f ca="1">'public finance'!H323</f>
        <v>0</v>
      </c>
      <c r="K325" s="20">
        <f ca="1">'public finance'!C323/'normal case'!D324</f>
        <v>0.2</v>
      </c>
      <c r="L325" s="23">
        <f ca="1">'public finance'!A323/'normal case'!D324</f>
        <v>0.2</v>
      </c>
      <c r="M325" s="21" t="str">
        <f>IF(controls!$B$44=0,"",'normal case'!AC324)</f>
        <v/>
      </c>
      <c r="N325" s="21" t="str">
        <f>IF(controls!$B$44=0,"",'normal case'!AF324)</f>
        <v/>
      </c>
      <c r="O325" s="203" t="str">
        <f>IF(controls!$B$44=0,"",'external balance'!D324)</f>
        <v/>
      </c>
      <c r="P325" s="203" t="str">
        <f>IF(controls!$B$44=0,"",'external balance'!F324)</f>
        <v/>
      </c>
      <c r="Q325" s="202" t="str">
        <f>IF(controls!$B$44=0,"",'external balance'!H324)</f>
        <v/>
      </c>
    </row>
    <row r="326" spans="1:17" ht="14" thickTop="1" thickBot="1">
      <c r="A326" s="32">
        <v>323</v>
      </c>
      <c r="B326" s="20">
        <f ca="1">('normal case'!D325-'normal case'!B325)/'normal case'!B325</f>
        <v>0</v>
      </c>
      <c r="C326" s="26">
        <f ca="1">'normal case'!D325</f>
        <v>100</v>
      </c>
      <c r="D326" s="27">
        <f ca="1">'normal case'!C325</f>
        <v>0</v>
      </c>
      <c r="E326" s="25">
        <f ca="1">'normal case'!L325/100</f>
        <v>0.02</v>
      </c>
      <c r="F326" s="28">
        <f ca="1">'normal case'!N325/100</f>
        <v>0.06</v>
      </c>
      <c r="G326" s="28">
        <f ca="1">'normal case'!M325/100</f>
        <v>0.04</v>
      </c>
      <c r="H326" s="28">
        <f ca="1">'public finance'!D324</f>
        <v>0</v>
      </c>
      <c r="I326" s="23">
        <f ca="1">'public finance'!E324</f>
        <v>0</v>
      </c>
      <c r="J326" s="153">
        <f ca="1">'public finance'!H324</f>
        <v>0</v>
      </c>
      <c r="K326" s="20">
        <f ca="1">'public finance'!C324/'normal case'!D325</f>
        <v>0.2</v>
      </c>
      <c r="L326" s="23">
        <f ca="1">'public finance'!A324/'normal case'!D325</f>
        <v>0.2</v>
      </c>
      <c r="M326" s="21" t="str">
        <f>IF(controls!$B$44=0,"",'normal case'!AC325)</f>
        <v/>
      </c>
      <c r="N326" s="21" t="str">
        <f>IF(controls!$B$44=0,"",'normal case'!AF325)</f>
        <v/>
      </c>
      <c r="O326" s="203" t="str">
        <f>IF(controls!$B$44=0,"",'external balance'!D325)</f>
        <v/>
      </c>
      <c r="P326" s="203" t="str">
        <f>IF(controls!$B$44=0,"",'external balance'!F325)</f>
        <v/>
      </c>
      <c r="Q326" s="202" t="str">
        <f>IF(controls!$B$44=0,"",'external balance'!H325)</f>
        <v/>
      </c>
    </row>
    <row r="327" spans="1:17" ht="14" thickTop="1" thickBot="1">
      <c r="A327" s="32">
        <v>324</v>
      </c>
      <c r="B327" s="20">
        <f ca="1">('normal case'!D326-'normal case'!B326)/'normal case'!B326</f>
        <v>0</v>
      </c>
      <c r="C327" s="26">
        <f ca="1">'normal case'!D326</f>
        <v>100</v>
      </c>
      <c r="D327" s="27">
        <f ca="1">'normal case'!C326</f>
        <v>0</v>
      </c>
      <c r="E327" s="25">
        <f ca="1">'normal case'!L326/100</f>
        <v>0.02</v>
      </c>
      <c r="F327" s="28">
        <f ca="1">'normal case'!N326/100</f>
        <v>0.06</v>
      </c>
      <c r="G327" s="28">
        <f ca="1">'normal case'!M326/100</f>
        <v>0.04</v>
      </c>
      <c r="H327" s="28">
        <f ca="1">'public finance'!D325</f>
        <v>0</v>
      </c>
      <c r="I327" s="23">
        <f ca="1">'public finance'!E325</f>
        <v>0</v>
      </c>
      <c r="J327" s="153">
        <f ca="1">'public finance'!H325</f>
        <v>0</v>
      </c>
      <c r="K327" s="20">
        <f ca="1">'public finance'!C325/'normal case'!D326</f>
        <v>0.2</v>
      </c>
      <c r="L327" s="23">
        <f ca="1">'public finance'!A325/'normal case'!D326</f>
        <v>0.2</v>
      </c>
      <c r="M327" s="21" t="str">
        <f>IF(controls!$B$44=0,"",'normal case'!AC326)</f>
        <v/>
      </c>
      <c r="N327" s="21" t="str">
        <f>IF(controls!$B$44=0,"",'normal case'!AF326)</f>
        <v/>
      </c>
      <c r="O327" s="203" t="str">
        <f>IF(controls!$B$44=0,"",'external balance'!D326)</f>
        <v/>
      </c>
      <c r="P327" s="203" t="str">
        <f>IF(controls!$B$44=0,"",'external balance'!F326)</f>
        <v/>
      </c>
      <c r="Q327" s="202" t="str">
        <f>IF(controls!$B$44=0,"",'external balance'!H326)</f>
        <v/>
      </c>
    </row>
    <row r="328" spans="1:17" ht="14" thickTop="1" thickBot="1">
      <c r="A328" s="32">
        <v>325</v>
      </c>
      <c r="B328" s="20">
        <f ca="1">('normal case'!D327-'normal case'!B327)/'normal case'!B327</f>
        <v>0</v>
      </c>
      <c r="C328" s="26">
        <f ca="1">'normal case'!D327</f>
        <v>100</v>
      </c>
      <c r="D328" s="27">
        <f ca="1">'normal case'!C327</f>
        <v>0</v>
      </c>
      <c r="E328" s="25">
        <f ca="1">'normal case'!L327/100</f>
        <v>0.02</v>
      </c>
      <c r="F328" s="28">
        <f ca="1">'normal case'!N327/100</f>
        <v>0.06</v>
      </c>
      <c r="G328" s="28">
        <f ca="1">'normal case'!M327/100</f>
        <v>0.04</v>
      </c>
      <c r="H328" s="28">
        <f ca="1">'public finance'!D326</f>
        <v>0</v>
      </c>
      <c r="I328" s="23">
        <f ca="1">'public finance'!E326</f>
        <v>0</v>
      </c>
      <c r="J328" s="153">
        <f ca="1">'public finance'!H326</f>
        <v>0</v>
      </c>
      <c r="K328" s="20">
        <f ca="1">'public finance'!C326/'normal case'!D327</f>
        <v>0.2</v>
      </c>
      <c r="L328" s="23">
        <f ca="1">'public finance'!A326/'normal case'!D327</f>
        <v>0.2</v>
      </c>
      <c r="M328" s="21" t="str">
        <f>IF(controls!$B$44=0,"",'normal case'!AC327)</f>
        <v/>
      </c>
      <c r="N328" s="21" t="str">
        <f>IF(controls!$B$44=0,"",'normal case'!AF327)</f>
        <v/>
      </c>
      <c r="O328" s="203" t="str">
        <f>IF(controls!$B$44=0,"",'external balance'!D327)</f>
        <v/>
      </c>
      <c r="P328" s="203" t="str">
        <f>IF(controls!$B$44=0,"",'external balance'!F327)</f>
        <v/>
      </c>
      <c r="Q328" s="202" t="str">
        <f>IF(controls!$B$44=0,"",'external balance'!H327)</f>
        <v/>
      </c>
    </row>
    <row r="329" spans="1:17" ht="14" thickTop="1" thickBot="1">
      <c r="A329" s="32">
        <v>326</v>
      </c>
      <c r="B329" s="20">
        <f ca="1">('normal case'!D328-'normal case'!B328)/'normal case'!B328</f>
        <v>0</v>
      </c>
      <c r="C329" s="26">
        <f ca="1">'normal case'!D328</f>
        <v>100</v>
      </c>
      <c r="D329" s="27">
        <f ca="1">'normal case'!C328</f>
        <v>0</v>
      </c>
      <c r="E329" s="25">
        <f ca="1">'normal case'!L328/100</f>
        <v>0.02</v>
      </c>
      <c r="F329" s="28">
        <f ca="1">'normal case'!N328/100</f>
        <v>0.06</v>
      </c>
      <c r="G329" s="28">
        <f ca="1">'normal case'!M328/100</f>
        <v>0.04</v>
      </c>
      <c r="H329" s="28">
        <f ca="1">'public finance'!D327</f>
        <v>0</v>
      </c>
      <c r="I329" s="23">
        <f ca="1">'public finance'!E327</f>
        <v>0</v>
      </c>
      <c r="J329" s="153">
        <f ca="1">'public finance'!H327</f>
        <v>0</v>
      </c>
      <c r="K329" s="20">
        <f ca="1">'public finance'!C327/'normal case'!D328</f>
        <v>0.2</v>
      </c>
      <c r="L329" s="23">
        <f ca="1">'public finance'!A327/'normal case'!D328</f>
        <v>0.2</v>
      </c>
      <c r="M329" s="21" t="str">
        <f>IF(controls!$B$44=0,"",'normal case'!AC328)</f>
        <v/>
      </c>
      <c r="N329" s="21" t="str">
        <f>IF(controls!$B$44=0,"",'normal case'!AF328)</f>
        <v/>
      </c>
      <c r="O329" s="203" t="str">
        <f>IF(controls!$B$44=0,"",'external balance'!D328)</f>
        <v/>
      </c>
      <c r="P329" s="203" t="str">
        <f>IF(controls!$B$44=0,"",'external balance'!F328)</f>
        <v/>
      </c>
      <c r="Q329" s="202" t="str">
        <f>IF(controls!$B$44=0,"",'external balance'!H328)</f>
        <v/>
      </c>
    </row>
    <row r="330" spans="1:17" ht="14" thickTop="1" thickBot="1">
      <c r="A330" s="32">
        <v>327</v>
      </c>
      <c r="B330" s="20">
        <f ca="1">('normal case'!D329-'normal case'!B329)/'normal case'!B329</f>
        <v>0</v>
      </c>
      <c r="C330" s="26">
        <f ca="1">'normal case'!D329</f>
        <v>100</v>
      </c>
      <c r="D330" s="27">
        <f ca="1">'normal case'!C329</f>
        <v>0</v>
      </c>
      <c r="E330" s="25">
        <f ca="1">'normal case'!L329/100</f>
        <v>0.02</v>
      </c>
      <c r="F330" s="28">
        <f ca="1">'normal case'!N329/100</f>
        <v>0.06</v>
      </c>
      <c r="G330" s="28">
        <f ca="1">'normal case'!M329/100</f>
        <v>0.04</v>
      </c>
      <c r="H330" s="28">
        <f ca="1">'public finance'!D328</f>
        <v>0</v>
      </c>
      <c r="I330" s="23">
        <f ca="1">'public finance'!E328</f>
        <v>0</v>
      </c>
      <c r="J330" s="153">
        <f ca="1">'public finance'!H328</f>
        <v>0</v>
      </c>
      <c r="K330" s="20">
        <f ca="1">'public finance'!C328/'normal case'!D329</f>
        <v>0.2</v>
      </c>
      <c r="L330" s="23">
        <f ca="1">'public finance'!A328/'normal case'!D329</f>
        <v>0.2</v>
      </c>
      <c r="M330" s="21" t="str">
        <f>IF(controls!$B$44=0,"",'normal case'!AC329)</f>
        <v/>
      </c>
      <c r="N330" s="21" t="str">
        <f>IF(controls!$B$44=0,"",'normal case'!AF329)</f>
        <v/>
      </c>
      <c r="O330" s="203" t="str">
        <f>IF(controls!$B$44=0,"",'external balance'!D329)</f>
        <v/>
      </c>
      <c r="P330" s="203" t="str">
        <f>IF(controls!$B$44=0,"",'external balance'!F329)</f>
        <v/>
      </c>
      <c r="Q330" s="202" t="str">
        <f>IF(controls!$B$44=0,"",'external balance'!H329)</f>
        <v/>
      </c>
    </row>
    <row r="331" spans="1:17" ht="14" thickTop="1" thickBot="1">
      <c r="A331" s="32">
        <v>328</v>
      </c>
      <c r="B331" s="20">
        <f ca="1">('normal case'!D330-'normal case'!B330)/'normal case'!B330</f>
        <v>0</v>
      </c>
      <c r="C331" s="26">
        <f ca="1">'normal case'!D330</f>
        <v>100</v>
      </c>
      <c r="D331" s="27">
        <f ca="1">'normal case'!C330</f>
        <v>0</v>
      </c>
      <c r="E331" s="25">
        <f ca="1">'normal case'!L330/100</f>
        <v>0.02</v>
      </c>
      <c r="F331" s="28">
        <f ca="1">'normal case'!N330/100</f>
        <v>0.06</v>
      </c>
      <c r="G331" s="28">
        <f ca="1">'normal case'!M330/100</f>
        <v>0.04</v>
      </c>
      <c r="H331" s="28">
        <f ca="1">'public finance'!D329</f>
        <v>0</v>
      </c>
      <c r="I331" s="23">
        <f ca="1">'public finance'!E329</f>
        <v>0</v>
      </c>
      <c r="J331" s="153">
        <f ca="1">'public finance'!H329</f>
        <v>0</v>
      </c>
      <c r="K331" s="20">
        <f ca="1">'public finance'!C329/'normal case'!D330</f>
        <v>0.2</v>
      </c>
      <c r="L331" s="23">
        <f ca="1">'public finance'!A329/'normal case'!D330</f>
        <v>0.2</v>
      </c>
      <c r="M331" s="21" t="str">
        <f>IF(controls!$B$44=0,"",'normal case'!AC330)</f>
        <v/>
      </c>
      <c r="N331" s="21" t="str">
        <f>IF(controls!$B$44=0,"",'normal case'!AF330)</f>
        <v/>
      </c>
      <c r="O331" s="203" t="str">
        <f>IF(controls!$B$44=0,"",'external balance'!D330)</f>
        <v/>
      </c>
      <c r="P331" s="203" t="str">
        <f>IF(controls!$B$44=0,"",'external balance'!F330)</f>
        <v/>
      </c>
      <c r="Q331" s="202" t="str">
        <f>IF(controls!$B$44=0,"",'external balance'!H330)</f>
        <v/>
      </c>
    </row>
    <row r="332" spans="1:17" ht="14" thickTop="1" thickBot="1">
      <c r="A332" s="32">
        <v>329</v>
      </c>
      <c r="B332" s="20">
        <f ca="1">('normal case'!D331-'normal case'!B331)/'normal case'!B331</f>
        <v>0</v>
      </c>
      <c r="C332" s="26">
        <f ca="1">'normal case'!D331</f>
        <v>100</v>
      </c>
      <c r="D332" s="27">
        <f ca="1">'normal case'!C331</f>
        <v>0</v>
      </c>
      <c r="E332" s="25">
        <f ca="1">'normal case'!L331/100</f>
        <v>0.02</v>
      </c>
      <c r="F332" s="28">
        <f ca="1">'normal case'!N331/100</f>
        <v>0.06</v>
      </c>
      <c r="G332" s="28">
        <f ca="1">'normal case'!M331/100</f>
        <v>0.04</v>
      </c>
      <c r="H332" s="28">
        <f ca="1">'public finance'!D330</f>
        <v>0</v>
      </c>
      <c r="I332" s="23">
        <f ca="1">'public finance'!E330</f>
        <v>0</v>
      </c>
      <c r="J332" s="153">
        <f ca="1">'public finance'!H330</f>
        <v>0</v>
      </c>
      <c r="K332" s="20">
        <f ca="1">'public finance'!C330/'normal case'!D331</f>
        <v>0.2</v>
      </c>
      <c r="L332" s="23">
        <f ca="1">'public finance'!A330/'normal case'!D331</f>
        <v>0.2</v>
      </c>
      <c r="M332" s="21" t="str">
        <f>IF(controls!$B$44=0,"",'normal case'!AC331)</f>
        <v/>
      </c>
      <c r="N332" s="21" t="str">
        <f>IF(controls!$B$44=0,"",'normal case'!AF331)</f>
        <v/>
      </c>
      <c r="O332" s="203" t="str">
        <f>IF(controls!$B$44=0,"",'external balance'!D331)</f>
        <v/>
      </c>
      <c r="P332" s="203" t="str">
        <f>IF(controls!$B$44=0,"",'external balance'!F331)</f>
        <v/>
      </c>
      <c r="Q332" s="202" t="str">
        <f>IF(controls!$B$44=0,"",'external balance'!H331)</f>
        <v/>
      </c>
    </row>
    <row r="333" spans="1:17" ht="14" thickTop="1" thickBot="1">
      <c r="A333" s="32">
        <v>330</v>
      </c>
      <c r="B333" s="20">
        <f ca="1">('normal case'!D332-'normal case'!B332)/'normal case'!B332</f>
        <v>0</v>
      </c>
      <c r="C333" s="26">
        <f ca="1">'normal case'!D332</f>
        <v>100</v>
      </c>
      <c r="D333" s="27">
        <f ca="1">'normal case'!C332</f>
        <v>0</v>
      </c>
      <c r="E333" s="25">
        <f ca="1">'normal case'!L332/100</f>
        <v>0.02</v>
      </c>
      <c r="F333" s="28">
        <f ca="1">'normal case'!N332/100</f>
        <v>0.06</v>
      </c>
      <c r="G333" s="28">
        <f ca="1">'normal case'!M332/100</f>
        <v>0.04</v>
      </c>
      <c r="H333" s="28">
        <f ca="1">'public finance'!D331</f>
        <v>0</v>
      </c>
      <c r="I333" s="23">
        <f ca="1">'public finance'!E331</f>
        <v>0</v>
      </c>
      <c r="J333" s="153">
        <f ca="1">'public finance'!H331</f>
        <v>0</v>
      </c>
      <c r="K333" s="20">
        <f ca="1">'public finance'!C331/'normal case'!D332</f>
        <v>0.2</v>
      </c>
      <c r="L333" s="23">
        <f ca="1">'public finance'!A331/'normal case'!D332</f>
        <v>0.2</v>
      </c>
      <c r="M333" s="21" t="str">
        <f>IF(controls!$B$44=0,"",'normal case'!AC332)</f>
        <v/>
      </c>
      <c r="N333" s="21" t="str">
        <f>IF(controls!$B$44=0,"",'normal case'!AF332)</f>
        <v/>
      </c>
      <c r="O333" s="203" t="str">
        <f>IF(controls!$B$44=0,"",'external balance'!D332)</f>
        <v/>
      </c>
      <c r="P333" s="203" t="str">
        <f>IF(controls!$B$44=0,"",'external balance'!F332)</f>
        <v/>
      </c>
      <c r="Q333" s="202" t="str">
        <f>IF(controls!$B$44=0,"",'external balance'!H332)</f>
        <v/>
      </c>
    </row>
    <row r="334" spans="1:17" ht="14" thickTop="1" thickBot="1">
      <c r="A334" s="32">
        <v>331</v>
      </c>
      <c r="B334" s="20">
        <f ca="1">('normal case'!D333-'normal case'!B333)/'normal case'!B333</f>
        <v>0</v>
      </c>
      <c r="C334" s="26">
        <f ca="1">'normal case'!D333</f>
        <v>100</v>
      </c>
      <c r="D334" s="27">
        <f ca="1">'normal case'!C333</f>
        <v>0</v>
      </c>
      <c r="E334" s="25">
        <f ca="1">'normal case'!L333/100</f>
        <v>0.02</v>
      </c>
      <c r="F334" s="28">
        <f ca="1">'normal case'!N333/100</f>
        <v>0.06</v>
      </c>
      <c r="G334" s="28">
        <f ca="1">'normal case'!M333/100</f>
        <v>0.04</v>
      </c>
      <c r="H334" s="28">
        <f ca="1">'public finance'!D332</f>
        <v>0</v>
      </c>
      <c r="I334" s="23">
        <f ca="1">'public finance'!E332</f>
        <v>0</v>
      </c>
      <c r="J334" s="153">
        <f ca="1">'public finance'!H332</f>
        <v>0</v>
      </c>
      <c r="K334" s="20">
        <f ca="1">'public finance'!C332/'normal case'!D333</f>
        <v>0.2</v>
      </c>
      <c r="L334" s="23">
        <f ca="1">'public finance'!A332/'normal case'!D333</f>
        <v>0.2</v>
      </c>
      <c r="M334" s="21" t="str">
        <f>IF(controls!$B$44=0,"",'normal case'!AC333)</f>
        <v/>
      </c>
      <c r="N334" s="21" t="str">
        <f>IF(controls!$B$44=0,"",'normal case'!AF333)</f>
        <v/>
      </c>
      <c r="O334" s="203" t="str">
        <f>IF(controls!$B$44=0,"",'external balance'!D333)</f>
        <v/>
      </c>
      <c r="P334" s="203" t="str">
        <f>IF(controls!$B$44=0,"",'external balance'!F333)</f>
        <v/>
      </c>
      <c r="Q334" s="202" t="str">
        <f>IF(controls!$B$44=0,"",'external balance'!H333)</f>
        <v/>
      </c>
    </row>
    <row r="335" spans="1:17" ht="14" thickTop="1" thickBot="1">
      <c r="A335" s="32">
        <v>332</v>
      </c>
      <c r="B335" s="20">
        <f ca="1">('normal case'!D334-'normal case'!B334)/'normal case'!B334</f>
        <v>0</v>
      </c>
      <c r="C335" s="26">
        <f ca="1">'normal case'!D334</f>
        <v>100</v>
      </c>
      <c r="D335" s="27">
        <f ca="1">'normal case'!C334</f>
        <v>0</v>
      </c>
      <c r="E335" s="25">
        <f ca="1">'normal case'!L334/100</f>
        <v>0.02</v>
      </c>
      <c r="F335" s="28">
        <f ca="1">'normal case'!N334/100</f>
        <v>0.06</v>
      </c>
      <c r="G335" s="28">
        <f ca="1">'normal case'!M334/100</f>
        <v>0.04</v>
      </c>
      <c r="H335" s="28">
        <f ca="1">'public finance'!D333</f>
        <v>0</v>
      </c>
      <c r="I335" s="23">
        <f ca="1">'public finance'!E333</f>
        <v>0</v>
      </c>
      <c r="J335" s="153">
        <f ca="1">'public finance'!H333</f>
        <v>0</v>
      </c>
      <c r="K335" s="20">
        <f ca="1">'public finance'!C333/'normal case'!D334</f>
        <v>0.2</v>
      </c>
      <c r="L335" s="23">
        <f ca="1">'public finance'!A333/'normal case'!D334</f>
        <v>0.2</v>
      </c>
      <c r="M335" s="21" t="str">
        <f>IF(controls!$B$44=0,"",'normal case'!AC334)</f>
        <v/>
      </c>
      <c r="N335" s="21" t="str">
        <f>IF(controls!$B$44=0,"",'normal case'!AF334)</f>
        <v/>
      </c>
      <c r="O335" s="203" t="str">
        <f>IF(controls!$B$44=0,"",'external balance'!D334)</f>
        <v/>
      </c>
      <c r="P335" s="203" t="str">
        <f>IF(controls!$B$44=0,"",'external balance'!F334)</f>
        <v/>
      </c>
      <c r="Q335" s="202" t="str">
        <f>IF(controls!$B$44=0,"",'external balance'!H334)</f>
        <v/>
      </c>
    </row>
    <row r="336" spans="1:17" ht="14" thickTop="1" thickBot="1">
      <c r="A336" s="32">
        <v>333</v>
      </c>
      <c r="B336" s="20">
        <f ca="1">('normal case'!D335-'normal case'!B335)/'normal case'!B335</f>
        <v>0</v>
      </c>
      <c r="C336" s="26">
        <f ca="1">'normal case'!D335</f>
        <v>100</v>
      </c>
      <c r="D336" s="27">
        <f ca="1">'normal case'!C335</f>
        <v>0</v>
      </c>
      <c r="E336" s="25">
        <f ca="1">'normal case'!L335/100</f>
        <v>0.02</v>
      </c>
      <c r="F336" s="28">
        <f ca="1">'normal case'!N335/100</f>
        <v>0.06</v>
      </c>
      <c r="G336" s="28">
        <f ca="1">'normal case'!M335/100</f>
        <v>0.04</v>
      </c>
      <c r="H336" s="28">
        <f ca="1">'public finance'!D334</f>
        <v>0</v>
      </c>
      <c r="I336" s="23">
        <f ca="1">'public finance'!E334</f>
        <v>0</v>
      </c>
      <c r="J336" s="153">
        <f ca="1">'public finance'!H334</f>
        <v>0</v>
      </c>
      <c r="K336" s="20">
        <f ca="1">'public finance'!C334/'normal case'!D335</f>
        <v>0.2</v>
      </c>
      <c r="L336" s="23">
        <f ca="1">'public finance'!A334/'normal case'!D335</f>
        <v>0.2</v>
      </c>
      <c r="M336" s="21" t="str">
        <f>IF(controls!$B$44=0,"",'normal case'!AC335)</f>
        <v/>
      </c>
      <c r="N336" s="21" t="str">
        <f>IF(controls!$B$44=0,"",'normal case'!AF335)</f>
        <v/>
      </c>
      <c r="O336" s="203" t="str">
        <f>IF(controls!$B$44=0,"",'external balance'!D335)</f>
        <v/>
      </c>
      <c r="P336" s="203" t="str">
        <f>IF(controls!$B$44=0,"",'external balance'!F335)</f>
        <v/>
      </c>
      <c r="Q336" s="202" t="str">
        <f>IF(controls!$B$44=0,"",'external balance'!H335)</f>
        <v/>
      </c>
    </row>
    <row r="337" spans="1:17" ht="14" thickTop="1" thickBot="1">
      <c r="A337" s="32">
        <v>334</v>
      </c>
      <c r="B337" s="20">
        <f ca="1">('normal case'!D336-'normal case'!B336)/'normal case'!B336</f>
        <v>0</v>
      </c>
      <c r="C337" s="26">
        <f ca="1">'normal case'!D336</f>
        <v>100</v>
      </c>
      <c r="D337" s="27">
        <f ca="1">'normal case'!C336</f>
        <v>0</v>
      </c>
      <c r="E337" s="25">
        <f ca="1">'normal case'!L336/100</f>
        <v>0.02</v>
      </c>
      <c r="F337" s="28">
        <f ca="1">'normal case'!N336/100</f>
        <v>0.06</v>
      </c>
      <c r="G337" s="28">
        <f ca="1">'normal case'!M336/100</f>
        <v>0.04</v>
      </c>
      <c r="H337" s="28">
        <f ca="1">'public finance'!D335</f>
        <v>0</v>
      </c>
      <c r="I337" s="23">
        <f ca="1">'public finance'!E335</f>
        <v>0</v>
      </c>
      <c r="J337" s="153">
        <f ca="1">'public finance'!H335</f>
        <v>0</v>
      </c>
      <c r="K337" s="20">
        <f ca="1">'public finance'!C335/'normal case'!D336</f>
        <v>0.2</v>
      </c>
      <c r="L337" s="23">
        <f ca="1">'public finance'!A335/'normal case'!D336</f>
        <v>0.2</v>
      </c>
      <c r="M337" s="21" t="str">
        <f>IF(controls!$B$44=0,"",'normal case'!AC336)</f>
        <v/>
      </c>
      <c r="N337" s="21" t="str">
        <f>IF(controls!$B$44=0,"",'normal case'!AF336)</f>
        <v/>
      </c>
      <c r="O337" s="203" t="str">
        <f>IF(controls!$B$44=0,"",'external balance'!D336)</f>
        <v/>
      </c>
      <c r="P337" s="203" t="str">
        <f>IF(controls!$B$44=0,"",'external balance'!F336)</f>
        <v/>
      </c>
      <c r="Q337" s="202" t="str">
        <f>IF(controls!$B$44=0,"",'external balance'!H336)</f>
        <v/>
      </c>
    </row>
    <row r="338" spans="1:17" ht="14" thickTop="1" thickBot="1">
      <c r="A338" s="32">
        <v>335</v>
      </c>
      <c r="B338" s="20">
        <f ca="1">('normal case'!D337-'normal case'!B337)/'normal case'!B337</f>
        <v>0</v>
      </c>
      <c r="C338" s="26">
        <f ca="1">'normal case'!D337</f>
        <v>100</v>
      </c>
      <c r="D338" s="27">
        <f ca="1">'normal case'!C337</f>
        <v>0</v>
      </c>
      <c r="E338" s="25">
        <f ca="1">'normal case'!L337/100</f>
        <v>0.02</v>
      </c>
      <c r="F338" s="28">
        <f ca="1">'normal case'!N337/100</f>
        <v>0.06</v>
      </c>
      <c r="G338" s="28">
        <f ca="1">'normal case'!M337/100</f>
        <v>0.04</v>
      </c>
      <c r="H338" s="28">
        <f ca="1">'public finance'!D336</f>
        <v>0</v>
      </c>
      <c r="I338" s="23">
        <f ca="1">'public finance'!E336</f>
        <v>0</v>
      </c>
      <c r="J338" s="153">
        <f ca="1">'public finance'!H336</f>
        <v>0</v>
      </c>
      <c r="K338" s="20">
        <f ca="1">'public finance'!C336/'normal case'!D337</f>
        <v>0.2</v>
      </c>
      <c r="L338" s="23">
        <f ca="1">'public finance'!A336/'normal case'!D337</f>
        <v>0.2</v>
      </c>
      <c r="M338" s="21" t="str">
        <f>IF(controls!$B$44=0,"",'normal case'!AC337)</f>
        <v/>
      </c>
      <c r="N338" s="21" t="str">
        <f>IF(controls!$B$44=0,"",'normal case'!AF337)</f>
        <v/>
      </c>
      <c r="O338" s="203" t="str">
        <f>IF(controls!$B$44=0,"",'external balance'!D337)</f>
        <v/>
      </c>
      <c r="P338" s="203" t="str">
        <f>IF(controls!$B$44=0,"",'external balance'!F337)</f>
        <v/>
      </c>
      <c r="Q338" s="202" t="str">
        <f>IF(controls!$B$44=0,"",'external balance'!H337)</f>
        <v/>
      </c>
    </row>
    <row r="339" spans="1:17" ht="14" thickTop="1" thickBot="1">
      <c r="A339" s="32">
        <v>336</v>
      </c>
      <c r="B339" s="20">
        <f ca="1">('normal case'!D338-'normal case'!B338)/'normal case'!B338</f>
        <v>0</v>
      </c>
      <c r="C339" s="26">
        <f ca="1">'normal case'!D338</f>
        <v>100</v>
      </c>
      <c r="D339" s="27">
        <f ca="1">'normal case'!C338</f>
        <v>0</v>
      </c>
      <c r="E339" s="25">
        <f ca="1">'normal case'!L338/100</f>
        <v>0.02</v>
      </c>
      <c r="F339" s="28">
        <f ca="1">'normal case'!N338/100</f>
        <v>0.06</v>
      </c>
      <c r="G339" s="28">
        <f ca="1">'normal case'!M338/100</f>
        <v>0.04</v>
      </c>
      <c r="H339" s="28">
        <f ca="1">'public finance'!D337</f>
        <v>0</v>
      </c>
      <c r="I339" s="23">
        <f ca="1">'public finance'!E337</f>
        <v>0</v>
      </c>
      <c r="J339" s="153">
        <f ca="1">'public finance'!H337</f>
        <v>0</v>
      </c>
      <c r="K339" s="20">
        <f ca="1">'public finance'!C337/'normal case'!D338</f>
        <v>0.2</v>
      </c>
      <c r="L339" s="23">
        <f ca="1">'public finance'!A337/'normal case'!D338</f>
        <v>0.2</v>
      </c>
      <c r="M339" s="21" t="str">
        <f>IF(controls!$B$44=0,"",'normal case'!AC338)</f>
        <v/>
      </c>
      <c r="N339" s="21" t="str">
        <f>IF(controls!$B$44=0,"",'normal case'!AF338)</f>
        <v/>
      </c>
      <c r="O339" s="203" t="str">
        <f>IF(controls!$B$44=0,"",'external balance'!D338)</f>
        <v/>
      </c>
      <c r="P339" s="203" t="str">
        <f>IF(controls!$B$44=0,"",'external balance'!F338)</f>
        <v/>
      </c>
      <c r="Q339" s="202" t="str">
        <f>IF(controls!$B$44=0,"",'external balance'!H338)</f>
        <v/>
      </c>
    </row>
    <row r="340" spans="1:17" ht="14" thickTop="1" thickBot="1">
      <c r="A340" s="32">
        <v>337</v>
      </c>
      <c r="B340" s="20">
        <f ca="1">('normal case'!D339-'normal case'!B339)/'normal case'!B339</f>
        <v>0</v>
      </c>
      <c r="C340" s="26">
        <f ca="1">'normal case'!D339</f>
        <v>100</v>
      </c>
      <c r="D340" s="27">
        <f ca="1">'normal case'!C339</f>
        <v>0</v>
      </c>
      <c r="E340" s="25">
        <f ca="1">'normal case'!L339/100</f>
        <v>0.02</v>
      </c>
      <c r="F340" s="28">
        <f ca="1">'normal case'!N339/100</f>
        <v>0.06</v>
      </c>
      <c r="G340" s="28">
        <f ca="1">'normal case'!M339/100</f>
        <v>0.04</v>
      </c>
      <c r="H340" s="28">
        <f ca="1">'public finance'!D338</f>
        <v>0</v>
      </c>
      <c r="I340" s="23">
        <f ca="1">'public finance'!E338</f>
        <v>0</v>
      </c>
      <c r="J340" s="153">
        <f ca="1">'public finance'!H338</f>
        <v>0</v>
      </c>
      <c r="K340" s="20">
        <f ca="1">'public finance'!C338/'normal case'!D339</f>
        <v>0.2</v>
      </c>
      <c r="L340" s="23">
        <f ca="1">'public finance'!A338/'normal case'!D339</f>
        <v>0.2</v>
      </c>
      <c r="M340" s="21" t="str">
        <f>IF(controls!$B$44=0,"",'normal case'!AC339)</f>
        <v/>
      </c>
      <c r="N340" s="21" t="str">
        <f>IF(controls!$B$44=0,"",'normal case'!AF339)</f>
        <v/>
      </c>
      <c r="O340" s="203" t="str">
        <f>IF(controls!$B$44=0,"",'external balance'!D339)</f>
        <v/>
      </c>
      <c r="P340" s="203" t="str">
        <f>IF(controls!$B$44=0,"",'external balance'!F339)</f>
        <v/>
      </c>
      <c r="Q340" s="202" t="str">
        <f>IF(controls!$B$44=0,"",'external balance'!H339)</f>
        <v/>
      </c>
    </row>
    <row r="341" spans="1:17" ht="14" thickTop="1" thickBot="1">
      <c r="A341" s="32">
        <v>338</v>
      </c>
      <c r="B341" s="20">
        <f ca="1">('normal case'!D340-'normal case'!B340)/'normal case'!B340</f>
        <v>0</v>
      </c>
      <c r="C341" s="26">
        <f ca="1">'normal case'!D340</f>
        <v>100</v>
      </c>
      <c r="D341" s="27">
        <f ca="1">'normal case'!C340</f>
        <v>0</v>
      </c>
      <c r="E341" s="25">
        <f ca="1">'normal case'!L340/100</f>
        <v>0.02</v>
      </c>
      <c r="F341" s="28">
        <f ca="1">'normal case'!N340/100</f>
        <v>0.06</v>
      </c>
      <c r="G341" s="28">
        <f ca="1">'normal case'!M340/100</f>
        <v>0.04</v>
      </c>
      <c r="H341" s="28">
        <f ca="1">'public finance'!D339</f>
        <v>0</v>
      </c>
      <c r="I341" s="23">
        <f ca="1">'public finance'!E339</f>
        <v>0</v>
      </c>
      <c r="J341" s="153">
        <f ca="1">'public finance'!H339</f>
        <v>0</v>
      </c>
      <c r="K341" s="20">
        <f ca="1">'public finance'!C339/'normal case'!D340</f>
        <v>0.2</v>
      </c>
      <c r="L341" s="23">
        <f ca="1">'public finance'!A339/'normal case'!D340</f>
        <v>0.2</v>
      </c>
      <c r="M341" s="21" t="str">
        <f>IF(controls!$B$44=0,"",'normal case'!AC340)</f>
        <v/>
      </c>
      <c r="N341" s="21" t="str">
        <f>IF(controls!$B$44=0,"",'normal case'!AF340)</f>
        <v/>
      </c>
      <c r="O341" s="203" t="str">
        <f>IF(controls!$B$44=0,"",'external balance'!D340)</f>
        <v/>
      </c>
      <c r="P341" s="203" t="str">
        <f>IF(controls!$B$44=0,"",'external balance'!F340)</f>
        <v/>
      </c>
      <c r="Q341" s="202" t="str">
        <f>IF(controls!$B$44=0,"",'external balance'!H340)</f>
        <v/>
      </c>
    </row>
    <row r="342" spans="1:17" ht="14" thickTop="1" thickBot="1">
      <c r="A342" s="32">
        <v>339</v>
      </c>
      <c r="B342" s="20">
        <f ca="1">('normal case'!D341-'normal case'!B341)/'normal case'!B341</f>
        <v>0</v>
      </c>
      <c r="C342" s="26">
        <f ca="1">'normal case'!D341</f>
        <v>100</v>
      </c>
      <c r="D342" s="27">
        <f ca="1">'normal case'!C341</f>
        <v>0</v>
      </c>
      <c r="E342" s="25">
        <f ca="1">'normal case'!L341/100</f>
        <v>0.02</v>
      </c>
      <c r="F342" s="28">
        <f ca="1">'normal case'!N341/100</f>
        <v>0.06</v>
      </c>
      <c r="G342" s="28">
        <f ca="1">'normal case'!M341/100</f>
        <v>0.04</v>
      </c>
      <c r="H342" s="28">
        <f ca="1">'public finance'!D340</f>
        <v>0</v>
      </c>
      <c r="I342" s="23">
        <f ca="1">'public finance'!E340</f>
        <v>0</v>
      </c>
      <c r="J342" s="153">
        <f ca="1">'public finance'!H340</f>
        <v>0</v>
      </c>
      <c r="K342" s="20">
        <f ca="1">'public finance'!C340/'normal case'!D341</f>
        <v>0.2</v>
      </c>
      <c r="L342" s="23">
        <f ca="1">'public finance'!A340/'normal case'!D341</f>
        <v>0.2</v>
      </c>
      <c r="M342" s="21" t="str">
        <f>IF(controls!$B$44=0,"",'normal case'!AC341)</f>
        <v/>
      </c>
      <c r="N342" s="21" t="str">
        <f>IF(controls!$B$44=0,"",'normal case'!AF341)</f>
        <v/>
      </c>
      <c r="O342" s="203" t="str">
        <f>IF(controls!$B$44=0,"",'external balance'!D341)</f>
        <v/>
      </c>
      <c r="P342" s="203" t="str">
        <f>IF(controls!$B$44=0,"",'external balance'!F341)</f>
        <v/>
      </c>
      <c r="Q342" s="202" t="str">
        <f>IF(controls!$B$44=0,"",'external balance'!H341)</f>
        <v/>
      </c>
    </row>
    <row r="343" spans="1:17" ht="14" thickTop="1" thickBot="1">
      <c r="A343" s="32">
        <v>340</v>
      </c>
      <c r="B343" s="20">
        <f ca="1">('normal case'!D342-'normal case'!B342)/'normal case'!B342</f>
        <v>0</v>
      </c>
      <c r="C343" s="26">
        <f ca="1">'normal case'!D342</f>
        <v>100</v>
      </c>
      <c r="D343" s="27">
        <f ca="1">'normal case'!C342</f>
        <v>0</v>
      </c>
      <c r="E343" s="25">
        <f ca="1">'normal case'!L342/100</f>
        <v>0.02</v>
      </c>
      <c r="F343" s="28">
        <f ca="1">'normal case'!N342/100</f>
        <v>0.06</v>
      </c>
      <c r="G343" s="28">
        <f ca="1">'normal case'!M342/100</f>
        <v>0.04</v>
      </c>
      <c r="H343" s="28">
        <f ca="1">'public finance'!D341</f>
        <v>0</v>
      </c>
      <c r="I343" s="23">
        <f ca="1">'public finance'!E341</f>
        <v>0</v>
      </c>
      <c r="J343" s="153">
        <f ca="1">'public finance'!H341</f>
        <v>0</v>
      </c>
      <c r="K343" s="20">
        <f ca="1">'public finance'!C341/'normal case'!D342</f>
        <v>0.2</v>
      </c>
      <c r="L343" s="23">
        <f ca="1">'public finance'!A341/'normal case'!D342</f>
        <v>0.2</v>
      </c>
      <c r="M343" s="21" t="str">
        <f>IF(controls!$B$44=0,"",'normal case'!AC342)</f>
        <v/>
      </c>
      <c r="N343" s="21" t="str">
        <f>IF(controls!$B$44=0,"",'normal case'!AF342)</f>
        <v/>
      </c>
      <c r="O343" s="203" t="str">
        <f>IF(controls!$B$44=0,"",'external balance'!D342)</f>
        <v/>
      </c>
      <c r="P343" s="203" t="str">
        <f>IF(controls!$B$44=0,"",'external balance'!F342)</f>
        <v/>
      </c>
      <c r="Q343" s="202" t="str">
        <f>IF(controls!$B$44=0,"",'external balance'!H342)</f>
        <v/>
      </c>
    </row>
    <row r="344" spans="1:17" ht="14" thickTop="1" thickBot="1">
      <c r="A344" s="32">
        <v>341</v>
      </c>
      <c r="B344" s="20">
        <f ca="1">('normal case'!D343-'normal case'!B343)/'normal case'!B343</f>
        <v>0</v>
      </c>
      <c r="C344" s="26">
        <f ca="1">'normal case'!D343</f>
        <v>100</v>
      </c>
      <c r="D344" s="27">
        <f ca="1">'normal case'!C343</f>
        <v>0</v>
      </c>
      <c r="E344" s="25">
        <f ca="1">'normal case'!L343/100</f>
        <v>0.02</v>
      </c>
      <c r="F344" s="28">
        <f ca="1">'normal case'!N343/100</f>
        <v>0.06</v>
      </c>
      <c r="G344" s="28">
        <f ca="1">'normal case'!M343/100</f>
        <v>0.04</v>
      </c>
      <c r="H344" s="28">
        <f ca="1">'public finance'!D342</f>
        <v>0</v>
      </c>
      <c r="I344" s="23">
        <f ca="1">'public finance'!E342</f>
        <v>0</v>
      </c>
      <c r="J344" s="153">
        <f ca="1">'public finance'!H342</f>
        <v>0</v>
      </c>
      <c r="K344" s="20">
        <f ca="1">'public finance'!C342/'normal case'!D343</f>
        <v>0.2</v>
      </c>
      <c r="L344" s="23">
        <f ca="1">'public finance'!A342/'normal case'!D343</f>
        <v>0.2</v>
      </c>
      <c r="M344" s="21" t="str">
        <f>IF(controls!$B$44=0,"",'normal case'!AC343)</f>
        <v/>
      </c>
      <c r="N344" s="21" t="str">
        <f>IF(controls!$B$44=0,"",'normal case'!AF343)</f>
        <v/>
      </c>
      <c r="O344" s="203" t="str">
        <f>IF(controls!$B$44=0,"",'external balance'!D343)</f>
        <v/>
      </c>
      <c r="P344" s="203" t="str">
        <f>IF(controls!$B$44=0,"",'external balance'!F343)</f>
        <v/>
      </c>
      <c r="Q344" s="202" t="str">
        <f>IF(controls!$B$44=0,"",'external balance'!H343)</f>
        <v/>
      </c>
    </row>
    <row r="345" spans="1:17" ht="14" thickTop="1" thickBot="1">
      <c r="A345" s="32">
        <v>342</v>
      </c>
      <c r="B345" s="20">
        <f ca="1">('normal case'!D344-'normal case'!B344)/'normal case'!B344</f>
        <v>0</v>
      </c>
      <c r="C345" s="26">
        <f ca="1">'normal case'!D344</f>
        <v>100</v>
      </c>
      <c r="D345" s="27">
        <f ca="1">'normal case'!C344</f>
        <v>0</v>
      </c>
      <c r="E345" s="25">
        <f ca="1">'normal case'!L344/100</f>
        <v>0.02</v>
      </c>
      <c r="F345" s="28">
        <f ca="1">'normal case'!N344/100</f>
        <v>0.06</v>
      </c>
      <c r="G345" s="28">
        <f ca="1">'normal case'!M344/100</f>
        <v>0.04</v>
      </c>
      <c r="H345" s="28">
        <f ca="1">'public finance'!D343</f>
        <v>0</v>
      </c>
      <c r="I345" s="23">
        <f ca="1">'public finance'!E343</f>
        <v>0</v>
      </c>
      <c r="J345" s="153">
        <f ca="1">'public finance'!H343</f>
        <v>0</v>
      </c>
      <c r="K345" s="20">
        <f ca="1">'public finance'!C343/'normal case'!D344</f>
        <v>0.2</v>
      </c>
      <c r="L345" s="23">
        <f ca="1">'public finance'!A343/'normal case'!D344</f>
        <v>0.2</v>
      </c>
      <c r="M345" s="21" t="str">
        <f>IF(controls!$B$44=0,"",'normal case'!AC344)</f>
        <v/>
      </c>
      <c r="N345" s="21" t="str">
        <f>IF(controls!$B$44=0,"",'normal case'!AF344)</f>
        <v/>
      </c>
      <c r="O345" s="203" t="str">
        <f>IF(controls!$B$44=0,"",'external balance'!D344)</f>
        <v/>
      </c>
      <c r="P345" s="203" t="str">
        <f>IF(controls!$B$44=0,"",'external balance'!F344)</f>
        <v/>
      </c>
      <c r="Q345" s="202" t="str">
        <f>IF(controls!$B$44=0,"",'external balance'!H344)</f>
        <v/>
      </c>
    </row>
    <row r="346" spans="1:17" ht="14" thickTop="1" thickBot="1">
      <c r="A346" s="32">
        <v>343</v>
      </c>
      <c r="B346" s="20">
        <f ca="1">('normal case'!D345-'normal case'!B345)/'normal case'!B345</f>
        <v>0</v>
      </c>
      <c r="C346" s="26">
        <f ca="1">'normal case'!D345</f>
        <v>100</v>
      </c>
      <c r="D346" s="27">
        <f ca="1">'normal case'!C345</f>
        <v>0</v>
      </c>
      <c r="E346" s="25">
        <f ca="1">'normal case'!L345/100</f>
        <v>0.02</v>
      </c>
      <c r="F346" s="28">
        <f ca="1">'normal case'!N345/100</f>
        <v>0.06</v>
      </c>
      <c r="G346" s="28">
        <f ca="1">'normal case'!M345/100</f>
        <v>0.04</v>
      </c>
      <c r="H346" s="28">
        <f ca="1">'public finance'!D344</f>
        <v>0</v>
      </c>
      <c r="I346" s="23">
        <f ca="1">'public finance'!E344</f>
        <v>0</v>
      </c>
      <c r="J346" s="153">
        <f ca="1">'public finance'!H344</f>
        <v>0</v>
      </c>
      <c r="K346" s="20">
        <f ca="1">'public finance'!C344/'normal case'!D345</f>
        <v>0.2</v>
      </c>
      <c r="L346" s="23">
        <f ca="1">'public finance'!A344/'normal case'!D345</f>
        <v>0.2</v>
      </c>
      <c r="M346" s="21" t="str">
        <f>IF(controls!$B$44=0,"",'normal case'!AC345)</f>
        <v/>
      </c>
      <c r="N346" s="21" t="str">
        <f>IF(controls!$B$44=0,"",'normal case'!AF345)</f>
        <v/>
      </c>
      <c r="O346" s="203" t="str">
        <f>IF(controls!$B$44=0,"",'external balance'!D345)</f>
        <v/>
      </c>
      <c r="P346" s="203" t="str">
        <f>IF(controls!$B$44=0,"",'external balance'!F345)</f>
        <v/>
      </c>
      <c r="Q346" s="202" t="str">
        <f>IF(controls!$B$44=0,"",'external balance'!H345)</f>
        <v/>
      </c>
    </row>
    <row r="347" spans="1:17" ht="14" thickTop="1" thickBot="1">
      <c r="A347" s="32">
        <v>344</v>
      </c>
      <c r="B347" s="20">
        <f ca="1">('normal case'!D346-'normal case'!B346)/'normal case'!B346</f>
        <v>0</v>
      </c>
      <c r="C347" s="26">
        <f ca="1">'normal case'!D346</f>
        <v>100</v>
      </c>
      <c r="D347" s="27">
        <f ca="1">'normal case'!C346</f>
        <v>0</v>
      </c>
      <c r="E347" s="25">
        <f ca="1">'normal case'!L346/100</f>
        <v>0.02</v>
      </c>
      <c r="F347" s="28">
        <f ca="1">'normal case'!N346/100</f>
        <v>0.06</v>
      </c>
      <c r="G347" s="28">
        <f ca="1">'normal case'!M346/100</f>
        <v>0.04</v>
      </c>
      <c r="H347" s="28">
        <f ca="1">'public finance'!D345</f>
        <v>0</v>
      </c>
      <c r="I347" s="23">
        <f ca="1">'public finance'!E345</f>
        <v>0</v>
      </c>
      <c r="J347" s="153">
        <f ca="1">'public finance'!H345</f>
        <v>0</v>
      </c>
      <c r="K347" s="20">
        <f ca="1">'public finance'!C345/'normal case'!D346</f>
        <v>0.2</v>
      </c>
      <c r="L347" s="23">
        <f ca="1">'public finance'!A345/'normal case'!D346</f>
        <v>0.2</v>
      </c>
      <c r="M347" s="21" t="str">
        <f>IF(controls!$B$44=0,"",'normal case'!AC346)</f>
        <v/>
      </c>
      <c r="N347" s="21" t="str">
        <f>IF(controls!$B$44=0,"",'normal case'!AF346)</f>
        <v/>
      </c>
      <c r="O347" s="203" t="str">
        <f>IF(controls!$B$44=0,"",'external balance'!D346)</f>
        <v/>
      </c>
      <c r="P347" s="203" t="str">
        <f>IF(controls!$B$44=0,"",'external balance'!F346)</f>
        <v/>
      </c>
      <c r="Q347" s="202" t="str">
        <f>IF(controls!$B$44=0,"",'external balance'!H346)</f>
        <v/>
      </c>
    </row>
    <row r="348" spans="1:17" ht="14" thickTop="1" thickBot="1">
      <c r="A348" s="32">
        <v>345</v>
      </c>
      <c r="B348" s="20">
        <f ca="1">('normal case'!D347-'normal case'!B347)/'normal case'!B347</f>
        <v>0</v>
      </c>
      <c r="C348" s="26">
        <f ca="1">'normal case'!D347</f>
        <v>100</v>
      </c>
      <c r="D348" s="27">
        <f ca="1">'normal case'!C347</f>
        <v>0</v>
      </c>
      <c r="E348" s="25">
        <f ca="1">'normal case'!L347/100</f>
        <v>0.02</v>
      </c>
      <c r="F348" s="28">
        <f ca="1">'normal case'!N347/100</f>
        <v>0.06</v>
      </c>
      <c r="G348" s="28">
        <f ca="1">'normal case'!M347/100</f>
        <v>0.04</v>
      </c>
      <c r="H348" s="28">
        <f ca="1">'public finance'!D346</f>
        <v>0</v>
      </c>
      <c r="I348" s="23">
        <f ca="1">'public finance'!E346</f>
        <v>0</v>
      </c>
      <c r="J348" s="153">
        <f ca="1">'public finance'!H346</f>
        <v>0</v>
      </c>
      <c r="K348" s="20">
        <f ca="1">'public finance'!C346/'normal case'!D347</f>
        <v>0.2</v>
      </c>
      <c r="L348" s="23">
        <f ca="1">'public finance'!A346/'normal case'!D347</f>
        <v>0.2</v>
      </c>
      <c r="M348" s="21" t="str">
        <f>IF(controls!$B$44=0,"",'normal case'!AC347)</f>
        <v/>
      </c>
      <c r="N348" s="21" t="str">
        <f>IF(controls!$B$44=0,"",'normal case'!AF347)</f>
        <v/>
      </c>
      <c r="O348" s="203" t="str">
        <f>IF(controls!$B$44=0,"",'external balance'!D347)</f>
        <v/>
      </c>
      <c r="P348" s="203" t="str">
        <f>IF(controls!$B$44=0,"",'external balance'!F347)</f>
        <v/>
      </c>
      <c r="Q348" s="202" t="str">
        <f>IF(controls!$B$44=0,"",'external balance'!H347)</f>
        <v/>
      </c>
    </row>
    <row r="349" spans="1:17" ht="14" thickTop="1" thickBot="1">
      <c r="A349" s="32">
        <v>346</v>
      </c>
      <c r="B349" s="20">
        <f ca="1">('normal case'!D348-'normal case'!B348)/'normal case'!B348</f>
        <v>0</v>
      </c>
      <c r="C349" s="26">
        <f ca="1">'normal case'!D348</f>
        <v>100</v>
      </c>
      <c r="D349" s="27">
        <f ca="1">'normal case'!C348</f>
        <v>0</v>
      </c>
      <c r="E349" s="25">
        <f ca="1">'normal case'!L348/100</f>
        <v>0.02</v>
      </c>
      <c r="F349" s="28">
        <f ca="1">'normal case'!N348/100</f>
        <v>0.06</v>
      </c>
      <c r="G349" s="28">
        <f ca="1">'normal case'!M348/100</f>
        <v>0.04</v>
      </c>
      <c r="H349" s="28">
        <f ca="1">'public finance'!D347</f>
        <v>0</v>
      </c>
      <c r="I349" s="23">
        <f ca="1">'public finance'!E347</f>
        <v>0</v>
      </c>
      <c r="J349" s="153">
        <f ca="1">'public finance'!H347</f>
        <v>0</v>
      </c>
      <c r="K349" s="20">
        <f ca="1">'public finance'!C347/'normal case'!D348</f>
        <v>0.2</v>
      </c>
      <c r="L349" s="23">
        <f ca="1">'public finance'!A347/'normal case'!D348</f>
        <v>0.2</v>
      </c>
      <c r="M349" s="21" t="str">
        <f>IF(controls!$B$44=0,"",'normal case'!AC348)</f>
        <v/>
      </c>
      <c r="N349" s="21" t="str">
        <f>IF(controls!$B$44=0,"",'normal case'!AF348)</f>
        <v/>
      </c>
      <c r="O349" s="203" t="str">
        <f>IF(controls!$B$44=0,"",'external balance'!D348)</f>
        <v/>
      </c>
      <c r="P349" s="203" t="str">
        <f>IF(controls!$B$44=0,"",'external balance'!F348)</f>
        <v/>
      </c>
      <c r="Q349" s="202" t="str">
        <f>IF(controls!$B$44=0,"",'external balance'!H348)</f>
        <v/>
      </c>
    </row>
    <row r="350" spans="1:17" ht="14" thickTop="1" thickBot="1">
      <c r="A350" s="32">
        <v>347</v>
      </c>
      <c r="B350" s="20">
        <f ca="1">('normal case'!D349-'normal case'!B349)/'normal case'!B349</f>
        <v>0</v>
      </c>
      <c r="C350" s="26">
        <f ca="1">'normal case'!D349</f>
        <v>100</v>
      </c>
      <c r="D350" s="27">
        <f ca="1">'normal case'!C349</f>
        <v>0</v>
      </c>
      <c r="E350" s="25">
        <f ca="1">'normal case'!L349/100</f>
        <v>0.02</v>
      </c>
      <c r="F350" s="28">
        <f ca="1">'normal case'!N349/100</f>
        <v>0.06</v>
      </c>
      <c r="G350" s="28">
        <f ca="1">'normal case'!M349/100</f>
        <v>0.04</v>
      </c>
      <c r="H350" s="28">
        <f ca="1">'public finance'!D348</f>
        <v>0</v>
      </c>
      <c r="I350" s="23">
        <f ca="1">'public finance'!E348</f>
        <v>0</v>
      </c>
      <c r="J350" s="153">
        <f ca="1">'public finance'!H348</f>
        <v>0</v>
      </c>
      <c r="K350" s="20">
        <f ca="1">'public finance'!C348/'normal case'!D349</f>
        <v>0.2</v>
      </c>
      <c r="L350" s="23">
        <f ca="1">'public finance'!A348/'normal case'!D349</f>
        <v>0.2</v>
      </c>
      <c r="M350" s="21" t="str">
        <f>IF(controls!$B$44=0,"",'normal case'!AC349)</f>
        <v/>
      </c>
      <c r="N350" s="21" t="str">
        <f>IF(controls!$B$44=0,"",'normal case'!AF349)</f>
        <v/>
      </c>
      <c r="O350" s="203" t="str">
        <f>IF(controls!$B$44=0,"",'external balance'!D349)</f>
        <v/>
      </c>
      <c r="P350" s="203" t="str">
        <f>IF(controls!$B$44=0,"",'external balance'!F349)</f>
        <v/>
      </c>
      <c r="Q350" s="202" t="str">
        <f>IF(controls!$B$44=0,"",'external balance'!H349)</f>
        <v/>
      </c>
    </row>
    <row r="351" spans="1:17" ht="14" thickTop="1" thickBot="1">
      <c r="A351" s="32">
        <v>348</v>
      </c>
      <c r="B351" s="20">
        <f ca="1">('normal case'!D350-'normal case'!B350)/'normal case'!B350</f>
        <v>0</v>
      </c>
      <c r="C351" s="26">
        <f ca="1">'normal case'!D350</f>
        <v>100</v>
      </c>
      <c r="D351" s="27">
        <f ca="1">'normal case'!C350</f>
        <v>0</v>
      </c>
      <c r="E351" s="25">
        <f ca="1">'normal case'!L350/100</f>
        <v>0.02</v>
      </c>
      <c r="F351" s="28">
        <f ca="1">'normal case'!N350/100</f>
        <v>0.06</v>
      </c>
      <c r="G351" s="28">
        <f ca="1">'normal case'!M350/100</f>
        <v>0.04</v>
      </c>
      <c r="H351" s="28">
        <f ca="1">'public finance'!D349</f>
        <v>0</v>
      </c>
      <c r="I351" s="23">
        <f ca="1">'public finance'!E349</f>
        <v>0</v>
      </c>
      <c r="J351" s="153">
        <f ca="1">'public finance'!H349</f>
        <v>0</v>
      </c>
      <c r="K351" s="20">
        <f ca="1">'public finance'!C349/'normal case'!D350</f>
        <v>0.2</v>
      </c>
      <c r="L351" s="23">
        <f ca="1">'public finance'!A349/'normal case'!D350</f>
        <v>0.2</v>
      </c>
      <c r="M351" s="21" t="str">
        <f>IF(controls!$B$44=0,"",'normal case'!AC350)</f>
        <v/>
      </c>
      <c r="N351" s="21" t="str">
        <f>IF(controls!$B$44=0,"",'normal case'!AF350)</f>
        <v/>
      </c>
      <c r="O351" s="203" t="str">
        <f>IF(controls!$B$44=0,"",'external balance'!D350)</f>
        <v/>
      </c>
      <c r="P351" s="203" t="str">
        <f>IF(controls!$B$44=0,"",'external balance'!F350)</f>
        <v/>
      </c>
      <c r="Q351" s="202" t="str">
        <f>IF(controls!$B$44=0,"",'external balance'!H350)</f>
        <v/>
      </c>
    </row>
    <row r="352" spans="1:17" ht="14" thickTop="1" thickBot="1">
      <c r="A352" s="32">
        <v>349</v>
      </c>
      <c r="B352" s="20">
        <f ca="1">('normal case'!D351-'normal case'!B351)/'normal case'!B351</f>
        <v>0</v>
      </c>
      <c r="C352" s="26">
        <f ca="1">'normal case'!D351</f>
        <v>100</v>
      </c>
      <c r="D352" s="27">
        <f ca="1">'normal case'!C351</f>
        <v>0</v>
      </c>
      <c r="E352" s="25">
        <f ca="1">'normal case'!L351/100</f>
        <v>0.02</v>
      </c>
      <c r="F352" s="28">
        <f ca="1">'normal case'!N351/100</f>
        <v>0.06</v>
      </c>
      <c r="G352" s="28">
        <f ca="1">'normal case'!M351/100</f>
        <v>0.04</v>
      </c>
      <c r="H352" s="28">
        <f ca="1">'public finance'!D350</f>
        <v>0</v>
      </c>
      <c r="I352" s="23">
        <f ca="1">'public finance'!E350</f>
        <v>0</v>
      </c>
      <c r="J352" s="153">
        <f ca="1">'public finance'!H350</f>
        <v>0</v>
      </c>
      <c r="K352" s="20">
        <f ca="1">'public finance'!C350/'normal case'!D351</f>
        <v>0.2</v>
      </c>
      <c r="L352" s="23">
        <f ca="1">'public finance'!A350/'normal case'!D351</f>
        <v>0.2</v>
      </c>
      <c r="M352" s="21" t="str">
        <f>IF(controls!$B$44=0,"",'normal case'!AC351)</f>
        <v/>
      </c>
      <c r="N352" s="21" t="str">
        <f>IF(controls!$B$44=0,"",'normal case'!AF351)</f>
        <v/>
      </c>
      <c r="O352" s="203" t="str">
        <f>IF(controls!$B$44=0,"",'external balance'!D351)</f>
        <v/>
      </c>
      <c r="P352" s="203" t="str">
        <f>IF(controls!$B$44=0,"",'external balance'!F351)</f>
        <v/>
      </c>
      <c r="Q352" s="202" t="str">
        <f>IF(controls!$B$44=0,"",'external balance'!H351)</f>
        <v/>
      </c>
    </row>
    <row r="353" spans="1:17" ht="14" thickTop="1" thickBot="1">
      <c r="A353" s="32">
        <v>350</v>
      </c>
      <c r="B353" s="20">
        <f ca="1">('normal case'!D352-'normal case'!B352)/'normal case'!B352</f>
        <v>0</v>
      </c>
      <c r="C353" s="26">
        <f ca="1">'normal case'!D352</f>
        <v>100</v>
      </c>
      <c r="D353" s="27">
        <f ca="1">'normal case'!C352</f>
        <v>0</v>
      </c>
      <c r="E353" s="25">
        <f ca="1">'normal case'!L352/100</f>
        <v>0.02</v>
      </c>
      <c r="F353" s="28">
        <f ca="1">'normal case'!N352/100</f>
        <v>0.06</v>
      </c>
      <c r="G353" s="28">
        <f ca="1">'normal case'!M352/100</f>
        <v>0.04</v>
      </c>
      <c r="H353" s="28">
        <f ca="1">'public finance'!D351</f>
        <v>0</v>
      </c>
      <c r="I353" s="23">
        <f ca="1">'public finance'!E351</f>
        <v>0</v>
      </c>
      <c r="J353" s="153">
        <f ca="1">'public finance'!H351</f>
        <v>0</v>
      </c>
      <c r="K353" s="20">
        <f ca="1">'public finance'!C351/'normal case'!D352</f>
        <v>0.2</v>
      </c>
      <c r="L353" s="23">
        <f ca="1">'public finance'!A351/'normal case'!D352</f>
        <v>0.2</v>
      </c>
      <c r="M353" s="21" t="str">
        <f>IF(controls!$B$44=0,"",'normal case'!AC352)</f>
        <v/>
      </c>
      <c r="N353" s="21" t="str">
        <f>IF(controls!$B$44=0,"",'normal case'!AF352)</f>
        <v/>
      </c>
      <c r="O353" s="203" t="str">
        <f>IF(controls!$B$44=0,"",'external balance'!D352)</f>
        <v/>
      </c>
      <c r="P353" s="203" t="str">
        <f>IF(controls!$B$44=0,"",'external balance'!F352)</f>
        <v/>
      </c>
      <c r="Q353" s="202" t="str">
        <f>IF(controls!$B$44=0,"",'external balance'!H352)</f>
        <v/>
      </c>
    </row>
    <row r="354" spans="1:17" ht="14" thickTop="1" thickBot="1">
      <c r="A354" s="32">
        <v>351</v>
      </c>
      <c r="B354" s="20">
        <f ca="1">('normal case'!D353-'normal case'!B353)/'normal case'!B353</f>
        <v>0</v>
      </c>
      <c r="C354" s="26">
        <f ca="1">'normal case'!D353</f>
        <v>100</v>
      </c>
      <c r="D354" s="27">
        <f ca="1">'normal case'!C353</f>
        <v>0</v>
      </c>
      <c r="E354" s="25">
        <f ca="1">'normal case'!L353/100</f>
        <v>0.02</v>
      </c>
      <c r="F354" s="28">
        <f ca="1">'normal case'!N353/100</f>
        <v>0.06</v>
      </c>
      <c r="G354" s="28">
        <f ca="1">'normal case'!M353/100</f>
        <v>0.04</v>
      </c>
      <c r="H354" s="28">
        <f ca="1">'public finance'!D352</f>
        <v>0</v>
      </c>
      <c r="I354" s="23">
        <f ca="1">'public finance'!E352</f>
        <v>0</v>
      </c>
      <c r="J354" s="153">
        <f ca="1">'public finance'!H352</f>
        <v>0</v>
      </c>
      <c r="K354" s="20">
        <f ca="1">'public finance'!C352/'normal case'!D353</f>
        <v>0.2</v>
      </c>
      <c r="L354" s="23">
        <f ca="1">'public finance'!A352/'normal case'!D353</f>
        <v>0.2</v>
      </c>
      <c r="M354" s="21" t="str">
        <f>IF(controls!$B$44=0,"",'normal case'!AC353)</f>
        <v/>
      </c>
      <c r="N354" s="21" t="str">
        <f>IF(controls!$B$44=0,"",'normal case'!AF353)</f>
        <v/>
      </c>
      <c r="O354" s="203" t="str">
        <f>IF(controls!$B$44=0,"",'external balance'!D353)</f>
        <v/>
      </c>
      <c r="P354" s="203" t="str">
        <f>IF(controls!$B$44=0,"",'external balance'!F353)</f>
        <v/>
      </c>
      <c r="Q354" s="202" t="str">
        <f>IF(controls!$B$44=0,"",'external balance'!H353)</f>
        <v/>
      </c>
    </row>
    <row r="355" spans="1:17" ht="14" thickTop="1" thickBot="1">
      <c r="A355" s="32">
        <v>352</v>
      </c>
      <c r="B355" s="20">
        <f ca="1">('normal case'!D354-'normal case'!B354)/'normal case'!B354</f>
        <v>0</v>
      </c>
      <c r="C355" s="26">
        <f ca="1">'normal case'!D354</f>
        <v>100</v>
      </c>
      <c r="D355" s="27">
        <f ca="1">'normal case'!C354</f>
        <v>0</v>
      </c>
      <c r="E355" s="25">
        <f ca="1">'normal case'!L354/100</f>
        <v>0.02</v>
      </c>
      <c r="F355" s="28">
        <f ca="1">'normal case'!N354/100</f>
        <v>0.06</v>
      </c>
      <c r="G355" s="28">
        <f ca="1">'normal case'!M354/100</f>
        <v>0.04</v>
      </c>
      <c r="H355" s="28">
        <f ca="1">'public finance'!D353</f>
        <v>0</v>
      </c>
      <c r="I355" s="23">
        <f ca="1">'public finance'!E353</f>
        <v>0</v>
      </c>
      <c r="J355" s="153">
        <f ca="1">'public finance'!H353</f>
        <v>0</v>
      </c>
      <c r="K355" s="20">
        <f ca="1">'public finance'!C353/'normal case'!D354</f>
        <v>0.2</v>
      </c>
      <c r="L355" s="23">
        <f ca="1">'public finance'!A353/'normal case'!D354</f>
        <v>0.2</v>
      </c>
      <c r="M355" s="21" t="str">
        <f>IF(controls!$B$44=0,"",'normal case'!AC354)</f>
        <v/>
      </c>
      <c r="N355" s="21" t="str">
        <f>IF(controls!$B$44=0,"",'normal case'!AF354)</f>
        <v/>
      </c>
      <c r="O355" s="203" t="str">
        <f>IF(controls!$B$44=0,"",'external balance'!D354)</f>
        <v/>
      </c>
      <c r="P355" s="203" t="str">
        <f>IF(controls!$B$44=0,"",'external balance'!F354)</f>
        <v/>
      </c>
      <c r="Q355" s="202" t="str">
        <f>IF(controls!$B$44=0,"",'external balance'!H354)</f>
        <v/>
      </c>
    </row>
    <row r="356" spans="1:17" ht="14" thickTop="1" thickBot="1">
      <c r="A356" s="32">
        <v>353</v>
      </c>
      <c r="B356" s="20">
        <f ca="1">('normal case'!D355-'normal case'!B355)/'normal case'!B355</f>
        <v>0</v>
      </c>
      <c r="C356" s="26">
        <f ca="1">'normal case'!D355</f>
        <v>100</v>
      </c>
      <c r="D356" s="27">
        <f ca="1">'normal case'!C355</f>
        <v>0</v>
      </c>
      <c r="E356" s="25">
        <f ca="1">'normal case'!L355/100</f>
        <v>0.02</v>
      </c>
      <c r="F356" s="28">
        <f ca="1">'normal case'!N355/100</f>
        <v>0.06</v>
      </c>
      <c r="G356" s="28">
        <f ca="1">'normal case'!M355/100</f>
        <v>0.04</v>
      </c>
      <c r="H356" s="28">
        <f ca="1">'public finance'!D354</f>
        <v>0</v>
      </c>
      <c r="I356" s="23">
        <f ca="1">'public finance'!E354</f>
        <v>0</v>
      </c>
      <c r="J356" s="153">
        <f ca="1">'public finance'!H354</f>
        <v>0</v>
      </c>
      <c r="K356" s="20">
        <f ca="1">'public finance'!C354/'normal case'!D355</f>
        <v>0.2</v>
      </c>
      <c r="L356" s="23">
        <f ca="1">'public finance'!A354/'normal case'!D355</f>
        <v>0.2</v>
      </c>
      <c r="M356" s="21" t="str">
        <f>IF(controls!$B$44=0,"",'normal case'!AC355)</f>
        <v/>
      </c>
      <c r="N356" s="21" t="str">
        <f>IF(controls!$B$44=0,"",'normal case'!AF355)</f>
        <v/>
      </c>
      <c r="O356" s="203" t="str">
        <f>IF(controls!$B$44=0,"",'external balance'!D355)</f>
        <v/>
      </c>
      <c r="P356" s="203" t="str">
        <f>IF(controls!$B$44=0,"",'external balance'!F355)</f>
        <v/>
      </c>
      <c r="Q356" s="202" t="str">
        <f>IF(controls!$B$44=0,"",'external balance'!H355)</f>
        <v/>
      </c>
    </row>
    <row r="357" spans="1:17" ht="14" thickTop="1" thickBot="1">
      <c r="A357" s="32">
        <v>354</v>
      </c>
      <c r="B357" s="20">
        <f ca="1">('normal case'!D356-'normal case'!B356)/'normal case'!B356</f>
        <v>0</v>
      </c>
      <c r="C357" s="26">
        <f ca="1">'normal case'!D356</f>
        <v>100</v>
      </c>
      <c r="D357" s="27">
        <f ca="1">'normal case'!C356</f>
        <v>0</v>
      </c>
      <c r="E357" s="25">
        <f ca="1">'normal case'!L356/100</f>
        <v>0.02</v>
      </c>
      <c r="F357" s="28">
        <f ca="1">'normal case'!N356/100</f>
        <v>0.06</v>
      </c>
      <c r="G357" s="28">
        <f ca="1">'normal case'!M356/100</f>
        <v>0.04</v>
      </c>
      <c r="H357" s="28">
        <f ca="1">'public finance'!D355</f>
        <v>0</v>
      </c>
      <c r="I357" s="23">
        <f ca="1">'public finance'!E355</f>
        <v>0</v>
      </c>
      <c r="J357" s="153">
        <f ca="1">'public finance'!H355</f>
        <v>0</v>
      </c>
      <c r="K357" s="20">
        <f ca="1">'public finance'!C355/'normal case'!D356</f>
        <v>0.2</v>
      </c>
      <c r="L357" s="23">
        <f ca="1">'public finance'!A355/'normal case'!D356</f>
        <v>0.2</v>
      </c>
      <c r="M357" s="21" t="str">
        <f>IF(controls!$B$44=0,"",'normal case'!AC356)</f>
        <v/>
      </c>
      <c r="N357" s="21" t="str">
        <f>IF(controls!$B$44=0,"",'normal case'!AF356)</f>
        <v/>
      </c>
      <c r="O357" s="203" t="str">
        <f>IF(controls!$B$44=0,"",'external balance'!D356)</f>
        <v/>
      </c>
      <c r="P357" s="203" t="str">
        <f>IF(controls!$B$44=0,"",'external balance'!F356)</f>
        <v/>
      </c>
      <c r="Q357" s="202" t="str">
        <f>IF(controls!$B$44=0,"",'external balance'!H356)</f>
        <v/>
      </c>
    </row>
    <row r="358" spans="1:17" ht="14" thickTop="1" thickBot="1">
      <c r="A358" s="32">
        <v>355</v>
      </c>
      <c r="B358" s="20">
        <f ca="1">('normal case'!D357-'normal case'!B357)/'normal case'!B357</f>
        <v>0</v>
      </c>
      <c r="C358" s="26">
        <f ca="1">'normal case'!D357</f>
        <v>100</v>
      </c>
      <c r="D358" s="27">
        <f ca="1">'normal case'!C357</f>
        <v>0</v>
      </c>
      <c r="E358" s="25">
        <f ca="1">'normal case'!L357/100</f>
        <v>0.02</v>
      </c>
      <c r="F358" s="28">
        <f ca="1">'normal case'!N357/100</f>
        <v>0.06</v>
      </c>
      <c r="G358" s="28">
        <f ca="1">'normal case'!M357/100</f>
        <v>0.04</v>
      </c>
      <c r="H358" s="28">
        <f ca="1">'public finance'!D356</f>
        <v>0</v>
      </c>
      <c r="I358" s="23">
        <f ca="1">'public finance'!E356</f>
        <v>0</v>
      </c>
      <c r="J358" s="153">
        <f ca="1">'public finance'!H356</f>
        <v>0</v>
      </c>
      <c r="K358" s="20">
        <f ca="1">'public finance'!C356/'normal case'!D357</f>
        <v>0.2</v>
      </c>
      <c r="L358" s="23">
        <f ca="1">'public finance'!A356/'normal case'!D357</f>
        <v>0.2</v>
      </c>
      <c r="M358" s="21" t="str">
        <f>IF(controls!$B$44=0,"",'normal case'!AC357)</f>
        <v/>
      </c>
      <c r="N358" s="21" t="str">
        <f>IF(controls!$B$44=0,"",'normal case'!AF357)</f>
        <v/>
      </c>
      <c r="O358" s="203" t="str">
        <f>IF(controls!$B$44=0,"",'external balance'!D357)</f>
        <v/>
      </c>
      <c r="P358" s="203" t="str">
        <f>IF(controls!$B$44=0,"",'external balance'!F357)</f>
        <v/>
      </c>
      <c r="Q358" s="202" t="str">
        <f>IF(controls!$B$44=0,"",'external balance'!H357)</f>
        <v/>
      </c>
    </row>
    <row r="359" spans="1:17" ht="14" thickTop="1" thickBot="1">
      <c r="A359" s="32">
        <v>356</v>
      </c>
      <c r="B359" s="20">
        <f ca="1">('normal case'!D358-'normal case'!B358)/'normal case'!B358</f>
        <v>0</v>
      </c>
      <c r="C359" s="26">
        <f ca="1">'normal case'!D358</f>
        <v>100</v>
      </c>
      <c r="D359" s="27">
        <f ca="1">'normal case'!C358</f>
        <v>0</v>
      </c>
      <c r="E359" s="25">
        <f ca="1">'normal case'!L358/100</f>
        <v>0.02</v>
      </c>
      <c r="F359" s="28">
        <f ca="1">'normal case'!N358/100</f>
        <v>0.06</v>
      </c>
      <c r="G359" s="28">
        <f ca="1">'normal case'!M358/100</f>
        <v>0.04</v>
      </c>
      <c r="H359" s="28">
        <f ca="1">'public finance'!D357</f>
        <v>0</v>
      </c>
      <c r="I359" s="23">
        <f ca="1">'public finance'!E357</f>
        <v>0</v>
      </c>
      <c r="J359" s="153">
        <f ca="1">'public finance'!H357</f>
        <v>0</v>
      </c>
      <c r="K359" s="20">
        <f ca="1">'public finance'!C357/'normal case'!D358</f>
        <v>0.2</v>
      </c>
      <c r="L359" s="23">
        <f ca="1">'public finance'!A357/'normal case'!D358</f>
        <v>0.2</v>
      </c>
      <c r="M359" s="21" t="str">
        <f>IF(controls!$B$44=0,"",'normal case'!AC358)</f>
        <v/>
      </c>
      <c r="N359" s="21" t="str">
        <f>IF(controls!$B$44=0,"",'normal case'!AF358)</f>
        <v/>
      </c>
      <c r="O359" s="203" t="str">
        <f>IF(controls!$B$44=0,"",'external balance'!D358)</f>
        <v/>
      </c>
      <c r="P359" s="203" t="str">
        <f>IF(controls!$B$44=0,"",'external balance'!F358)</f>
        <v/>
      </c>
      <c r="Q359" s="202" t="str">
        <f>IF(controls!$B$44=0,"",'external balance'!H358)</f>
        <v/>
      </c>
    </row>
    <row r="360" spans="1:17" ht="14" thickTop="1" thickBot="1">
      <c r="A360" s="32">
        <v>357</v>
      </c>
      <c r="B360" s="20">
        <f ca="1">('normal case'!D359-'normal case'!B359)/'normal case'!B359</f>
        <v>0</v>
      </c>
      <c r="C360" s="26">
        <f ca="1">'normal case'!D359</f>
        <v>100</v>
      </c>
      <c r="D360" s="27">
        <f ca="1">'normal case'!C359</f>
        <v>0</v>
      </c>
      <c r="E360" s="25">
        <f ca="1">'normal case'!L359/100</f>
        <v>0.02</v>
      </c>
      <c r="F360" s="28">
        <f ca="1">'normal case'!N359/100</f>
        <v>0.06</v>
      </c>
      <c r="G360" s="28">
        <f ca="1">'normal case'!M359/100</f>
        <v>0.04</v>
      </c>
      <c r="H360" s="28">
        <f ca="1">'public finance'!D358</f>
        <v>0</v>
      </c>
      <c r="I360" s="23">
        <f ca="1">'public finance'!E358</f>
        <v>0</v>
      </c>
      <c r="J360" s="153">
        <f ca="1">'public finance'!H358</f>
        <v>0</v>
      </c>
      <c r="K360" s="20">
        <f ca="1">'public finance'!C358/'normal case'!D359</f>
        <v>0.2</v>
      </c>
      <c r="L360" s="23">
        <f ca="1">'public finance'!A358/'normal case'!D359</f>
        <v>0.2</v>
      </c>
      <c r="M360" s="21" t="str">
        <f>IF(controls!$B$44=0,"",'normal case'!AC359)</f>
        <v/>
      </c>
      <c r="N360" s="21" t="str">
        <f>IF(controls!$B$44=0,"",'normal case'!AF359)</f>
        <v/>
      </c>
      <c r="O360" s="203" t="str">
        <f>IF(controls!$B$44=0,"",'external balance'!D359)</f>
        <v/>
      </c>
      <c r="P360" s="203" t="str">
        <f>IF(controls!$B$44=0,"",'external balance'!F359)</f>
        <v/>
      </c>
      <c r="Q360" s="202" t="str">
        <f>IF(controls!$B$44=0,"",'external balance'!H359)</f>
        <v/>
      </c>
    </row>
    <row r="361" spans="1:17" ht="14" thickTop="1" thickBot="1">
      <c r="A361" s="32">
        <v>358</v>
      </c>
      <c r="B361" s="20">
        <f ca="1">('normal case'!D360-'normal case'!B360)/'normal case'!B360</f>
        <v>0</v>
      </c>
      <c r="C361" s="26">
        <f ca="1">'normal case'!D360</f>
        <v>100</v>
      </c>
      <c r="D361" s="27">
        <f ca="1">'normal case'!C360</f>
        <v>0</v>
      </c>
      <c r="E361" s="25">
        <f ca="1">'normal case'!L360/100</f>
        <v>0.02</v>
      </c>
      <c r="F361" s="28">
        <f ca="1">'normal case'!N360/100</f>
        <v>0.06</v>
      </c>
      <c r="G361" s="28">
        <f ca="1">'normal case'!M360/100</f>
        <v>0.04</v>
      </c>
      <c r="H361" s="28">
        <f ca="1">'public finance'!D359</f>
        <v>0</v>
      </c>
      <c r="I361" s="23">
        <f ca="1">'public finance'!E359</f>
        <v>0</v>
      </c>
      <c r="J361" s="153">
        <f ca="1">'public finance'!H359</f>
        <v>0</v>
      </c>
      <c r="K361" s="20">
        <f ca="1">'public finance'!C359/'normal case'!D360</f>
        <v>0.2</v>
      </c>
      <c r="L361" s="23">
        <f ca="1">'public finance'!A359/'normal case'!D360</f>
        <v>0.2</v>
      </c>
      <c r="M361" s="21" t="str">
        <f>IF(controls!$B$44=0,"",'normal case'!AC360)</f>
        <v/>
      </c>
      <c r="N361" s="21" t="str">
        <f>IF(controls!$B$44=0,"",'normal case'!AF360)</f>
        <v/>
      </c>
      <c r="O361" s="203" t="str">
        <f>IF(controls!$B$44=0,"",'external balance'!D360)</f>
        <v/>
      </c>
      <c r="P361" s="203" t="str">
        <f>IF(controls!$B$44=0,"",'external balance'!F360)</f>
        <v/>
      </c>
      <c r="Q361" s="202" t="str">
        <f>IF(controls!$B$44=0,"",'external balance'!H360)</f>
        <v/>
      </c>
    </row>
    <row r="362" spans="1:17" ht="14" thickTop="1" thickBot="1">
      <c r="A362" s="32">
        <v>359</v>
      </c>
      <c r="B362" s="20">
        <f ca="1">('normal case'!D361-'normal case'!B361)/'normal case'!B361</f>
        <v>0</v>
      </c>
      <c r="C362" s="26">
        <f ca="1">'normal case'!D361</f>
        <v>100</v>
      </c>
      <c r="D362" s="27">
        <f ca="1">'normal case'!C361</f>
        <v>0</v>
      </c>
      <c r="E362" s="25">
        <f ca="1">'normal case'!L361/100</f>
        <v>0.02</v>
      </c>
      <c r="F362" s="28">
        <f ca="1">'normal case'!N361/100</f>
        <v>0.06</v>
      </c>
      <c r="G362" s="28">
        <f ca="1">'normal case'!M361/100</f>
        <v>0.04</v>
      </c>
      <c r="H362" s="28">
        <f ca="1">'public finance'!D360</f>
        <v>0</v>
      </c>
      <c r="I362" s="23">
        <f ca="1">'public finance'!E360</f>
        <v>0</v>
      </c>
      <c r="J362" s="153">
        <f ca="1">'public finance'!H360</f>
        <v>0</v>
      </c>
      <c r="K362" s="20">
        <f ca="1">'public finance'!C360/'normal case'!D361</f>
        <v>0.2</v>
      </c>
      <c r="L362" s="23">
        <f ca="1">'public finance'!A360/'normal case'!D361</f>
        <v>0.2</v>
      </c>
      <c r="M362" s="21" t="str">
        <f>IF(controls!$B$44=0,"",'normal case'!AC361)</f>
        <v/>
      </c>
      <c r="N362" s="21" t="str">
        <f>IF(controls!$B$44=0,"",'normal case'!AF361)</f>
        <v/>
      </c>
      <c r="O362" s="203" t="str">
        <f>IF(controls!$B$44=0,"",'external balance'!D361)</f>
        <v/>
      </c>
      <c r="P362" s="203" t="str">
        <f>IF(controls!$B$44=0,"",'external balance'!F361)</f>
        <v/>
      </c>
      <c r="Q362" s="202" t="str">
        <f>IF(controls!$B$44=0,"",'external balance'!H361)</f>
        <v/>
      </c>
    </row>
    <row r="363" spans="1:17" ht="14" thickTop="1" thickBot="1">
      <c r="A363" s="32">
        <v>360</v>
      </c>
      <c r="B363" s="20">
        <f ca="1">('normal case'!D362-'normal case'!B362)/'normal case'!B362</f>
        <v>0</v>
      </c>
      <c r="C363" s="26">
        <f ca="1">'normal case'!D362</f>
        <v>100</v>
      </c>
      <c r="D363" s="27">
        <f ca="1">'normal case'!C362</f>
        <v>0</v>
      </c>
      <c r="E363" s="25">
        <f ca="1">'normal case'!L362/100</f>
        <v>0.02</v>
      </c>
      <c r="F363" s="28">
        <f ca="1">'normal case'!N362/100</f>
        <v>0.06</v>
      </c>
      <c r="G363" s="28">
        <f ca="1">'normal case'!M362/100</f>
        <v>0.04</v>
      </c>
      <c r="H363" s="28">
        <f ca="1">'public finance'!D361</f>
        <v>0</v>
      </c>
      <c r="I363" s="23">
        <f ca="1">'public finance'!E361</f>
        <v>0</v>
      </c>
      <c r="J363" s="153">
        <f ca="1">'public finance'!H361</f>
        <v>0</v>
      </c>
      <c r="K363" s="20">
        <f ca="1">'public finance'!C361/'normal case'!D362</f>
        <v>0.2</v>
      </c>
      <c r="L363" s="23">
        <f ca="1">'public finance'!A361/'normal case'!D362</f>
        <v>0.2</v>
      </c>
      <c r="M363" s="21" t="str">
        <f>IF(controls!$B$44=0,"",'normal case'!AC362)</f>
        <v/>
      </c>
      <c r="N363" s="21" t="str">
        <f>IF(controls!$B$44=0,"",'normal case'!AF362)</f>
        <v/>
      </c>
      <c r="O363" s="203" t="str">
        <f>IF(controls!$B$44=0,"",'external balance'!D362)</f>
        <v/>
      </c>
      <c r="P363" s="203" t="str">
        <f>IF(controls!$B$44=0,"",'external balance'!F362)</f>
        <v/>
      </c>
      <c r="Q363" s="202" t="str">
        <f>IF(controls!$B$44=0,"",'external balance'!H362)</f>
        <v/>
      </c>
    </row>
    <row r="364" spans="1:17" ht="14" thickTop="1" thickBot="1">
      <c r="A364" s="32">
        <v>361</v>
      </c>
      <c r="B364" s="20">
        <f ca="1">('normal case'!D363-'normal case'!B363)/'normal case'!B363</f>
        <v>0</v>
      </c>
      <c r="C364" s="26">
        <f ca="1">'normal case'!D363</f>
        <v>100</v>
      </c>
      <c r="D364" s="27">
        <f ca="1">'normal case'!C363</f>
        <v>0</v>
      </c>
      <c r="E364" s="25">
        <f ca="1">'normal case'!L363/100</f>
        <v>0.02</v>
      </c>
      <c r="F364" s="28">
        <f ca="1">'normal case'!N363/100</f>
        <v>0.06</v>
      </c>
      <c r="G364" s="28">
        <f ca="1">'normal case'!M363/100</f>
        <v>0.04</v>
      </c>
      <c r="H364" s="28">
        <f ca="1">'public finance'!D362</f>
        <v>0</v>
      </c>
      <c r="I364" s="23">
        <f ca="1">'public finance'!E362</f>
        <v>0</v>
      </c>
      <c r="J364" s="153">
        <f ca="1">'public finance'!H362</f>
        <v>0</v>
      </c>
      <c r="K364" s="20">
        <f ca="1">'public finance'!C362/'normal case'!D363</f>
        <v>0.2</v>
      </c>
      <c r="L364" s="23">
        <f ca="1">'public finance'!A362/'normal case'!D363</f>
        <v>0.2</v>
      </c>
      <c r="M364" s="21" t="str">
        <f>IF(controls!$B$44=0,"",'normal case'!AC363)</f>
        <v/>
      </c>
      <c r="N364" s="21" t="str">
        <f>IF(controls!$B$44=0,"",'normal case'!AF363)</f>
        <v/>
      </c>
      <c r="O364" s="203" t="str">
        <f>IF(controls!$B$44=0,"",'external balance'!D363)</f>
        <v/>
      </c>
      <c r="P364" s="203" t="str">
        <f>IF(controls!$B$44=0,"",'external balance'!F363)</f>
        <v/>
      </c>
      <c r="Q364" s="202" t="str">
        <f>IF(controls!$B$44=0,"",'external balance'!H363)</f>
        <v/>
      </c>
    </row>
    <row r="365" spans="1:17" ht="14" thickTop="1" thickBot="1">
      <c r="A365" s="32">
        <v>362</v>
      </c>
      <c r="B365" s="20">
        <f ca="1">('normal case'!D364-'normal case'!B364)/'normal case'!B364</f>
        <v>0</v>
      </c>
      <c r="C365" s="26">
        <f ca="1">'normal case'!D364</f>
        <v>100</v>
      </c>
      <c r="D365" s="27">
        <f ca="1">'normal case'!C364</f>
        <v>0</v>
      </c>
      <c r="E365" s="25">
        <f ca="1">'normal case'!L364/100</f>
        <v>0.02</v>
      </c>
      <c r="F365" s="28">
        <f ca="1">'normal case'!N364/100</f>
        <v>0.06</v>
      </c>
      <c r="G365" s="28">
        <f ca="1">'normal case'!M364/100</f>
        <v>0.04</v>
      </c>
      <c r="H365" s="28">
        <f ca="1">'public finance'!D363</f>
        <v>0</v>
      </c>
      <c r="I365" s="23">
        <f ca="1">'public finance'!E363</f>
        <v>0</v>
      </c>
      <c r="J365" s="153">
        <f ca="1">'public finance'!H363</f>
        <v>0</v>
      </c>
      <c r="K365" s="20">
        <f ca="1">'public finance'!C363/'normal case'!D364</f>
        <v>0.2</v>
      </c>
      <c r="L365" s="23">
        <f ca="1">'public finance'!A363/'normal case'!D364</f>
        <v>0.2</v>
      </c>
      <c r="M365" s="21" t="str">
        <f>IF(controls!$B$44=0,"",'normal case'!AC364)</f>
        <v/>
      </c>
      <c r="N365" s="21" t="str">
        <f>IF(controls!$B$44=0,"",'normal case'!AF364)</f>
        <v/>
      </c>
      <c r="O365" s="203" t="str">
        <f>IF(controls!$B$44=0,"",'external balance'!D364)</f>
        <v/>
      </c>
      <c r="P365" s="203" t="str">
        <f>IF(controls!$B$44=0,"",'external balance'!F364)</f>
        <v/>
      </c>
      <c r="Q365" s="202" t="str">
        <f>IF(controls!$B$44=0,"",'external balance'!H364)</f>
        <v/>
      </c>
    </row>
    <row r="366" spans="1:17" ht="14" thickTop="1" thickBot="1">
      <c r="A366" s="32">
        <v>363</v>
      </c>
      <c r="B366" s="20">
        <f ca="1">('normal case'!D365-'normal case'!B365)/'normal case'!B365</f>
        <v>0</v>
      </c>
      <c r="C366" s="26">
        <f ca="1">'normal case'!D365</f>
        <v>100</v>
      </c>
      <c r="D366" s="27">
        <f ca="1">'normal case'!C365</f>
        <v>0</v>
      </c>
      <c r="E366" s="25">
        <f ca="1">'normal case'!L365/100</f>
        <v>0.02</v>
      </c>
      <c r="F366" s="28">
        <f ca="1">'normal case'!N365/100</f>
        <v>0.06</v>
      </c>
      <c r="G366" s="28">
        <f ca="1">'normal case'!M365/100</f>
        <v>0.04</v>
      </c>
      <c r="H366" s="28">
        <f ca="1">'public finance'!D364</f>
        <v>0</v>
      </c>
      <c r="I366" s="23">
        <f ca="1">'public finance'!E364</f>
        <v>0</v>
      </c>
      <c r="J366" s="153">
        <f ca="1">'public finance'!H364</f>
        <v>0</v>
      </c>
      <c r="K366" s="20">
        <f ca="1">'public finance'!C364/'normal case'!D365</f>
        <v>0.2</v>
      </c>
      <c r="L366" s="23">
        <f ca="1">'public finance'!A364/'normal case'!D365</f>
        <v>0.2</v>
      </c>
      <c r="M366" s="21" t="str">
        <f>IF(controls!$B$44=0,"",'normal case'!AC365)</f>
        <v/>
      </c>
      <c r="N366" s="21" t="str">
        <f>IF(controls!$B$44=0,"",'normal case'!AF365)</f>
        <v/>
      </c>
      <c r="O366" s="203" t="str">
        <f>IF(controls!$B$44=0,"",'external balance'!D365)</f>
        <v/>
      </c>
      <c r="P366" s="203" t="str">
        <f>IF(controls!$B$44=0,"",'external balance'!F365)</f>
        <v/>
      </c>
      <c r="Q366" s="202" t="str">
        <f>IF(controls!$B$44=0,"",'external balance'!H365)</f>
        <v/>
      </c>
    </row>
    <row r="367" spans="1:17" ht="14" thickTop="1" thickBot="1">
      <c r="A367" s="32">
        <v>364</v>
      </c>
      <c r="B367" s="20">
        <f ca="1">('normal case'!D366-'normal case'!B366)/'normal case'!B366</f>
        <v>0</v>
      </c>
      <c r="C367" s="26">
        <f ca="1">'normal case'!D366</f>
        <v>100</v>
      </c>
      <c r="D367" s="27">
        <f ca="1">'normal case'!C366</f>
        <v>0</v>
      </c>
      <c r="E367" s="25">
        <f ca="1">'normal case'!L366/100</f>
        <v>0.02</v>
      </c>
      <c r="F367" s="28">
        <f ca="1">'normal case'!N366/100</f>
        <v>0.06</v>
      </c>
      <c r="G367" s="28">
        <f ca="1">'normal case'!M366/100</f>
        <v>0.04</v>
      </c>
      <c r="H367" s="28">
        <f ca="1">'public finance'!D365</f>
        <v>0</v>
      </c>
      <c r="I367" s="23">
        <f ca="1">'public finance'!E365</f>
        <v>0</v>
      </c>
      <c r="J367" s="153">
        <f ca="1">'public finance'!H365</f>
        <v>0</v>
      </c>
      <c r="K367" s="20">
        <f ca="1">'public finance'!C365/'normal case'!D366</f>
        <v>0.2</v>
      </c>
      <c r="L367" s="23">
        <f ca="1">'public finance'!A365/'normal case'!D366</f>
        <v>0.2</v>
      </c>
      <c r="M367" s="21" t="str">
        <f>IF(controls!$B$44=0,"",'normal case'!AC366)</f>
        <v/>
      </c>
      <c r="N367" s="21" t="str">
        <f>IF(controls!$B$44=0,"",'normal case'!AF366)</f>
        <v/>
      </c>
      <c r="O367" s="203" t="str">
        <f>IF(controls!$B$44=0,"",'external balance'!D366)</f>
        <v/>
      </c>
      <c r="P367" s="203" t="str">
        <f>IF(controls!$B$44=0,"",'external balance'!F366)</f>
        <v/>
      </c>
      <c r="Q367" s="202" t="str">
        <f>IF(controls!$B$44=0,"",'external balance'!H366)</f>
        <v/>
      </c>
    </row>
    <row r="368" spans="1:17" ht="14" thickTop="1" thickBot="1">
      <c r="A368" s="32">
        <v>365</v>
      </c>
      <c r="B368" s="20">
        <f ca="1">('normal case'!D367-'normal case'!B367)/'normal case'!B367</f>
        <v>0</v>
      </c>
      <c r="C368" s="26">
        <f ca="1">'normal case'!D367</f>
        <v>100</v>
      </c>
      <c r="D368" s="27">
        <f ca="1">'normal case'!C367</f>
        <v>0</v>
      </c>
      <c r="E368" s="25">
        <f ca="1">'normal case'!L367/100</f>
        <v>0.02</v>
      </c>
      <c r="F368" s="28">
        <f ca="1">'normal case'!N367/100</f>
        <v>0.06</v>
      </c>
      <c r="G368" s="28">
        <f ca="1">'normal case'!M367/100</f>
        <v>0.04</v>
      </c>
      <c r="H368" s="28">
        <f ca="1">'public finance'!D366</f>
        <v>0</v>
      </c>
      <c r="I368" s="23">
        <f ca="1">'public finance'!E366</f>
        <v>0</v>
      </c>
      <c r="J368" s="153">
        <f ca="1">'public finance'!H366</f>
        <v>0</v>
      </c>
      <c r="K368" s="20">
        <f ca="1">'public finance'!C366/'normal case'!D367</f>
        <v>0.2</v>
      </c>
      <c r="L368" s="23">
        <f ca="1">'public finance'!A366/'normal case'!D367</f>
        <v>0.2</v>
      </c>
      <c r="M368" s="21" t="str">
        <f>IF(controls!$B$44=0,"",'normal case'!AC367)</f>
        <v/>
      </c>
      <c r="N368" s="21" t="str">
        <f>IF(controls!$B$44=0,"",'normal case'!AF367)</f>
        <v/>
      </c>
      <c r="O368" s="203" t="str">
        <f>IF(controls!$B$44=0,"",'external balance'!D367)</f>
        <v/>
      </c>
      <c r="P368" s="203" t="str">
        <f>IF(controls!$B$44=0,"",'external balance'!F367)</f>
        <v/>
      </c>
      <c r="Q368" s="202" t="str">
        <f>IF(controls!$B$44=0,"",'external balance'!H367)</f>
        <v/>
      </c>
    </row>
    <row r="369" spans="1:17" ht="14" thickTop="1" thickBot="1">
      <c r="A369" s="32">
        <v>366</v>
      </c>
      <c r="B369" s="20">
        <f ca="1">('normal case'!D368-'normal case'!B368)/'normal case'!B368</f>
        <v>0</v>
      </c>
      <c r="C369" s="26">
        <f ca="1">'normal case'!D368</f>
        <v>100</v>
      </c>
      <c r="D369" s="27">
        <f ca="1">'normal case'!C368</f>
        <v>0</v>
      </c>
      <c r="E369" s="25">
        <f ca="1">'normal case'!L368/100</f>
        <v>0.02</v>
      </c>
      <c r="F369" s="28">
        <f ca="1">'normal case'!N368/100</f>
        <v>0.06</v>
      </c>
      <c r="G369" s="28">
        <f ca="1">'normal case'!M368/100</f>
        <v>0.04</v>
      </c>
      <c r="H369" s="28">
        <f ca="1">'public finance'!D367</f>
        <v>0</v>
      </c>
      <c r="I369" s="23">
        <f ca="1">'public finance'!E367</f>
        <v>0</v>
      </c>
      <c r="J369" s="153">
        <f ca="1">'public finance'!H367</f>
        <v>0</v>
      </c>
      <c r="K369" s="20">
        <f ca="1">'public finance'!C367/'normal case'!D368</f>
        <v>0.2</v>
      </c>
      <c r="L369" s="23">
        <f ca="1">'public finance'!A367/'normal case'!D368</f>
        <v>0.2</v>
      </c>
      <c r="M369" s="21" t="str">
        <f>IF(controls!$B$44=0,"",'normal case'!AC368)</f>
        <v/>
      </c>
      <c r="N369" s="21" t="str">
        <f>IF(controls!$B$44=0,"",'normal case'!AF368)</f>
        <v/>
      </c>
      <c r="O369" s="203" t="str">
        <f>IF(controls!$B$44=0,"",'external balance'!D368)</f>
        <v/>
      </c>
      <c r="P369" s="203" t="str">
        <f>IF(controls!$B$44=0,"",'external balance'!F368)</f>
        <v/>
      </c>
      <c r="Q369" s="202" t="str">
        <f>IF(controls!$B$44=0,"",'external balance'!H368)</f>
        <v/>
      </c>
    </row>
    <row r="370" spans="1:17" ht="14" thickTop="1" thickBot="1">
      <c r="A370" s="32">
        <v>367</v>
      </c>
      <c r="B370" s="20">
        <f ca="1">('normal case'!D369-'normal case'!B369)/'normal case'!B369</f>
        <v>0</v>
      </c>
      <c r="C370" s="26">
        <f ca="1">'normal case'!D369</f>
        <v>100</v>
      </c>
      <c r="D370" s="27">
        <f ca="1">'normal case'!C369</f>
        <v>0</v>
      </c>
      <c r="E370" s="25">
        <f ca="1">'normal case'!L369/100</f>
        <v>0.02</v>
      </c>
      <c r="F370" s="28">
        <f ca="1">'normal case'!N369/100</f>
        <v>0.06</v>
      </c>
      <c r="G370" s="28">
        <f ca="1">'normal case'!M369/100</f>
        <v>0.04</v>
      </c>
      <c r="H370" s="28">
        <f ca="1">'public finance'!D368</f>
        <v>0</v>
      </c>
      <c r="I370" s="23">
        <f ca="1">'public finance'!E368</f>
        <v>0</v>
      </c>
      <c r="J370" s="153">
        <f ca="1">'public finance'!H368</f>
        <v>0</v>
      </c>
      <c r="K370" s="20">
        <f ca="1">'public finance'!C368/'normal case'!D369</f>
        <v>0.2</v>
      </c>
      <c r="L370" s="23">
        <f ca="1">'public finance'!A368/'normal case'!D369</f>
        <v>0.2</v>
      </c>
      <c r="M370" s="21" t="str">
        <f>IF(controls!$B$44=0,"",'normal case'!AC369)</f>
        <v/>
      </c>
      <c r="N370" s="21" t="str">
        <f>IF(controls!$B$44=0,"",'normal case'!AF369)</f>
        <v/>
      </c>
      <c r="O370" s="203" t="str">
        <f>IF(controls!$B$44=0,"",'external balance'!D369)</f>
        <v/>
      </c>
      <c r="P370" s="203" t="str">
        <f>IF(controls!$B$44=0,"",'external balance'!F369)</f>
        <v/>
      </c>
      <c r="Q370" s="202" t="str">
        <f>IF(controls!$B$44=0,"",'external balance'!H369)</f>
        <v/>
      </c>
    </row>
    <row r="371" spans="1:17" ht="14" thickTop="1" thickBot="1">
      <c r="A371" s="32">
        <v>368</v>
      </c>
      <c r="B371" s="20">
        <f ca="1">('normal case'!D370-'normal case'!B370)/'normal case'!B370</f>
        <v>0</v>
      </c>
      <c r="C371" s="26">
        <f ca="1">'normal case'!D370</f>
        <v>100</v>
      </c>
      <c r="D371" s="27">
        <f ca="1">'normal case'!C370</f>
        <v>0</v>
      </c>
      <c r="E371" s="25">
        <f ca="1">'normal case'!L370/100</f>
        <v>0.02</v>
      </c>
      <c r="F371" s="28">
        <f ca="1">'normal case'!N370/100</f>
        <v>0.06</v>
      </c>
      <c r="G371" s="28">
        <f ca="1">'normal case'!M370/100</f>
        <v>0.04</v>
      </c>
      <c r="H371" s="28">
        <f ca="1">'public finance'!D369</f>
        <v>0</v>
      </c>
      <c r="I371" s="23">
        <f ca="1">'public finance'!E369</f>
        <v>0</v>
      </c>
      <c r="J371" s="153">
        <f ca="1">'public finance'!H369</f>
        <v>0</v>
      </c>
      <c r="K371" s="20">
        <f ca="1">'public finance'!C369/'normal case'!D370</f>
        <v>0.2</v>
      </c>
      <c r="L371" s="23">
        <f ca="1">'public finance'!A369/'normal case'!D370</f>
        <v>0.2</v>
      </c>
      <c r="M371" s="21" t="str">
        <f>IF(controls!$B$44=0,"",'normal case'!AC370)</f>
        <v/>
      </c>
      <c r="N371" s="21" t="str">
        <f>IF(controls!$B$44=0,"",'normal case'!AF370)</f>
        <v/>
      </c>
      <c r="O371" s="203" t="str">
        <f>IF(controls!$B$44=0,"",'external balance'!D370)</f>
        <v/>
      </c>
      <c r="P371" s="203" t="str">
        <f>IF(controls!$B$44=0,"",'external balance'!F370)</f>
        <v/>
      </c>
      <c r="Q371" s="202" t="str">
        <f>IF(controls!$B$44=0,"",'external balance'!H370)</f>
        <v/>
      </c>
    </row>
    <row r="372" spans="1:17" ht="14" thickTop="1" thickBot="1">
      <c r="A372" s="32">
        <v>369</v>
      </c>
      <c r="B372" s="20">
        <f ca="1">('normal case'!D371-'normal case'!B371)/'normal case'!B371</f>
        <v>0</v>
      </c>
      <c r="C372" s="26">
        <f ca="1">'normal case'!D371</f>
        <v>100</v>
      </c>
      <c r="D372" s="27">
        <f ca="1">'normal case'!C371</f>
        <v>0</v>
      </c>
      <c r="E372" s="25">
        <f ca="1">'normal case'!L371/100</f>
        <v>0.02</v>
      </c>
      <c r="F372" s="28">
        <f ca="1">'normal case'!N371/100</f>
        <v>0.06</v>
      </c>
      <c r="G372" s="28">
        <f ca="1">'normal case'!M371/100</f>
        <v>0.04</v>
      </c>
      <c r="H372" s="28">
        <f ca="1">'public finance'!D370</f>
        <v>0</v>
      </c>
      <c r="I372" s="23">
        <f ca="1">'public finance'!E370</f>
        <v>0</v>
      </c>
      <c r="J372" s="153">
        <f ca="1">'public finance'!H370</f>
        <v>0</v>
      </c>
      <c r="K372" s="20">
        <f ca="1">'public finance'!C370/'normal case'!D371</f>
        <v>0.2</v>
      </c>
      <c r="L372" s="23">
        <f ca="1">'public finance'!A370/'normal case'!D371</f>
        <v>0.2</v>
      </c>
      <c r="M372" s="21" t="str">
        <f>IF(controls!$B$44=0,"",'normal case'!AC371)</f>
        <v/>
      </c>
      <c r="N372" s="21" t="str">
        <f>IF(controls!$B$44=0,"",'normal case'!AF371)</f>
        <v/>
      </c>
      <c r="O372" s="203" t="str">
        <f>IF(controls!$B$44=0,"",'external balance'!D371)</f>
        <v/>
      </c>
      <c r="P372" s="203" t="str">
        <f>IF(controls!$B$44=0,"",'external balance'!F371)</f>
        <v/>
      </c>
      <c r="Q372" s="202" t="str">
        <f>IF(controls!$B$44=0,"",'external balance'!H371)</f>
        <v/>
      </c>
    </row>
    <row r="373" spans="1:17" ht="14" thickTop="1" thickBot="1">
      <c r="A373" s="32">
        <v>370</v>
      </c>
      <c r="B373" s="20">
        <f ca="1">('normal case'!D372-'normal case'!B372)/'normal case'!B372</f>
        <v>0</v>
      </c>
      <c r="C373" s="26">
        <f ca="1">'normal case'!D372</f>
        <v>100</v>
      </c>
      <c r="D373" s="27">
        <f ca="1">'normal case'!C372</f>
        <v>0</v>
      </c>
      <c r="E373" s="25">
        <f ca="1">'normal case'!L372/100</f>
        <v>0.02</v>
      </c>
      <c r="F373" s="28">
        <f ca="1">'normal case'!N372/100</f>
        <v>0.06</v>
      </c>
      <c r="G373" s="28">
        <f ca="1">'normal case'!M372/100</f>
        <v>0.04</v>
      </c>
      <c r="H373" s="28">
        <f ca="1">'public finance'!D371</f>
        <v>0</v>
      </c>
      <c r="I373" s="23">
        <f ca="1">'public finance'!E371</f>
        <v>0</v>
      </c>
      <c r="J373" s="153">
        <f ca="1">'public finance'!H371</f>
        <v>0</v>
      </c>
      <c r="K373" s="20">
        <f ca="1">'public finance'!C371/'normal case'!D372</f>
        <v>0.2</v>
      </c>
      <c r="L373" s="23">
        <f ca="1">'public finance'!A371/'normal case'!D372</f>
        <v>0.2</v>
      </c>
      <c r="M373" s="21" t="str">
        <f>IF(controls!$B$44=0,"",'normal case'!AC372)</f>
        <v/>
      </c>
      <c r="N373" s="21" t="str">
        <f>IF(controls!$B$44=0,"",'normal case'!AF372)</f>
        <v/>
      </c>
      <c r="O373" s="203" t="str">
        <f>IF(controls!$B$44=0,"",'external balance'!D372)</f>
        <v/>
      </c>
      <c r="P373" s="203" t="str">
        <f>IF(controls!$B$44=0,"",'external balance'!F372)</f>
        <v/>
      </c>
      <c r="Q373" s="202" t="str">
        <f>IF(controls!$B$44=0,"",'external balance'!H372)</f>
        <v/>
      </c>
    </row>
    <row r="374" spans="1:17" ht="14" thickTop="1" thickBot="1">
      <c r="A374" s="32">
        <v>371</v>
      </c>
      <c r="B374" s="20">
        <f ca="1">('normal case'!D373-'normal case'!B373)/'normal case'!B373</f>
        <v>0</v>
      </c>
      <c r="C374" s="26">
        <f ca="1">'normal case'!D373</f>
        <v>100</v>
      </c>
      <c r="D374" s="27">
        <f ca="1">'normal case'!C373</f>
        <v>0</v>
      </c>
      <c r="E374" s="25">
        <f ca="1">'normal case'!L373/100</f>
        <v>0.02</v>
      </c>
      <c r="F374" s="28">
        <f ca="1">'normal case'!N373/100</f>
        <v>0.06</v>
      </c>
      <c r="G374" s="28">
        <f ca="1">'normal case'!M373/100</f>
        <v>0.04</v>
      </c>
      <c r="H374" s="28">
        <f ca="1">'public finance'!D372</f>
        <v>0</v>
      </c>
      <c r="I374" s="23">
        <f ca="1">'public finance'!E372</f>
        <v>0</v>
      </c>
      <c r="J374" s="153">
        <f ca="1">'public finance'!H372</f>
        <v>0</v>
      </c>
      <c r="K374" s="20">
        <f ca="1">'public finance'!C372/'normal case'!D373</f>
        <v>0.2</v>
      </c>
      <c r="L374" s="23">
        <f ca="1">'public finance'!A372/'normal case'!D373</f>
        <v>0.2</v>
      </c>
      <c r="M374" s="21" t="str">
        <f>IF(controls!$B$44=0,"",'normal case'!AC373)</f>
        <v/>
      </c>
      <c r="N374" s="21" t="str">
        <f>IF(controls!$B$44=0,"",'normal case'!AF373)</f>
        <v/>
      </c>
      <c r="O374" s="203" t="str">
        <f>IF(controls!$B$44=0,"",'external balance'!D373)</f>
        <v/>
      </c>
      <c r="P374" s="203" t="str">
        <f>IF(controls!$B$44=0,"",'external balance'!F373)</f>
        <v/>
      </c>
      <c r="Q374" s="202" t="str">
        <f>IF(controls!$B$44=0,"",'external balance'!H373)</f>
        <v/>
      </c>
    </row>
    <row r="375" spans="1:17" ht="14" thickTop="1" thickBot="1">
      <c r="A375" s="32">
        <v>372</v>
      </c>
      <c r="B375" s="20">
        <f ca="1">('normal case'!D374-'normal case'!B374)/'normal case'!B374</f>
        <v>0</v>
      </c>
      <c r="C375" s="26">
        <f ca="1">'normal case'!D374</f>
        <v>100</v>
      </c>
      <c r="D375" s="27">
        <f ca="1">'normal case'!C374</f>
        <v>0</v>
      </c>
      <c r="E375" s="25">
        <f ca="1">'normal case'!L374/100</f>
        <v>0.02</v>
      </c>
      <c r="F375" s="28">
        <f ca="1">'normal case'!N374/100</f>
        <v>0.06</v>
      </c>
      <c r="G375" s="28">
        <f ca="1">'normal case'!M374/100</f>
        <v>0.04</v>
      </c>
      <c r="H375" s="28">
        <f ca="1">'public finance'!D373</f>
        <v>0</v>
      </c>
      <c r="I375" s="23">
        <f ca="1">'public finance'!E373</f>
        <v>0</v>
      </c>
      <c r="J375" s="153">
        <f ca="1">'public finance'!H373</f>
        <v>0</v>
      </c>
      <c r="K375" s="20">
        <f ca="1">'public finance'!C373/'normal case'!D374</f>
        <v>0.2</v>
      </c>
      <c r="L375" s="23">
        <f ca="1">'public finance'!A373/'normal case'!D374</f>
        <v>0.2</v>
      </c>
      <c r="M375" s="21" t="str">
        <f>IF(controls!$B$44=0,"",'normal case'!AC374)</f>
        <v/>
      </c>
      <c r="N375" s="21" t="str">
        <f>IF(controls!$B$44=0,"",'normal case'!AF374)</f>
        <v/>
      </c>
      <c r="O375" s="203" t="str">
        <f>IF(controls!$B$44=0,"",'external balance'!D374)</f>
        <v/>
      </c>
      <c r="P375" s="203" t="str">
        <f>IF(controls!$B$44=0,"",'external balance'!F374)</f>
        <v/>
      </c>
      <c r="Q375" s="202" t="str">
        <f>IF(controls!$B$44=0,"",'external balance'!H374)</f>
        <v/>
      </c>
    </row>
    <row r="376" spans="1:17" ht="14" thickTop="1" thickBot="1">
      <c r="A376" s="32">
        <v>373</v>
      </c>
      <c r="B376" s="20">
        <f ca="1">('normal case'!D375-'normal case'!B375)/'normal case'!B375</f>
        <v>0</v>
      </c>
      <c r="C376" s="26">
        <f ca="1">'normal case'!D375</f>
        <v>100</v>
      </c>
      <c r="D376" s="27">
        <f ca="1">'normal case'!C375</f>
        <v>0</v>
      </c>
      <c r="E376" s="25">
        <f ca="1">'normal case'!L375/100</f>
        <v>0.02</v>
      </c>
      <c r="F376" s="28">
        <f ca="1">'normal case'!N375/100</f>
        <v>0.06</v>
      </c>
      <c r="G376" s="28">
        <f ca="1">'normal case'!M375/100</f>
        <v>0.04</v>
      </c>
      <c r="H376" s="28">
        <f ca="1">'public finance'!D374</f>
        <v>0</v>
      </c>
      <c r="I376" s="23">
        <f ca="1">'public finance'!E374</f>
        <v>0</v>
      </c>
      <c r="J376" s="153">
        <f ca="1">'public finance'!H374</f>
        <v>0</v>
      </c>
      <c r="K376" s="20">
        <f ca="1">'public finance'!C374/'normal case'!D375</f>
        <v>0.2</v>
      </c>
      <c r="L376" s="23">
        <f ca="1">'public finance'!A374/'normal case'!D375</f>
        <v>0.2</v>
      </c>
      <c r="M376" s="21" t="str">
        <f>IF(controls!$B$44=0,"",'normal case'!AC375)</f>
        <v/>
      </c>
      <c r="N376" s="21" t="str">
        <f>IF(controls!$B$44=0,"",'normal case'!AF375)</f>
        <v/>
      </c>
      <c r="O376" s="203" t="str">
        <f>IF(controls!$B$44=0,"",'external balance'!D375)</f>
        <v/>
      </c>
      <c r="P376" s="203" t="str">
        <f>IF(controls!$B$44=0,"",'external balance'!F375)</f>
        <v/>
      </c>
      <c r="Q376" s="202" t="str">
        <f>IF(controls!$B$44=0,"",'external balance'!H375)</f>
        <v/>
      </c>
    </row>
    <row r="377" spans="1:17" ht="14" thickTop="1" thickBot="1">
      <c r="A377" s="32">
        <v>374</v>
      </c>
      <c r="B377" s="20">
        <f ca="1">('normal case'!D376-'normal case'!B376)/'normal case'!B376</f>
        <v>0</v>
      </c>
      <c r="C377" s="26">
        <f ca="1">'normal case'!D376</f>
        <v>100</v>
      </c>
      <c r="D377" s="27">
        <f ca="1">'normal case'!C376</f>
        <v>0</v>
      </c>
      <c r="E377" s="25">
        <f ca="1">'normal case'!L376/100</f>
        <v>0.02</v>
      </c>
      <c r="F377" s="28">
        <f ca="1">'normal case'!N376/100</f>
        <v>0.06</v>
      </c>
      <c r="G377" s="28">
        <f ca="1">'normal case'!M376/100</f>
        <v>0.04</v>
      </c>
      <c r="H377" s="28">
        <f ca="1">'public finance'!D375</f>
        <v>0</v>
      </c>
      <c r="I377" s="23">
        <f ca="1">'public finance'!E375</f>
        <v>0</v>
      </c>
      <c r="J377" s="153">
        <f ca="1">'public finance'!H375</f>
        <v>0</v>
      </c>
      <c r="K377" s="20">
        <f ca="1">'public finance'!C375/'normal case'!D376</f>
        <v>0.2</v>
      </c>
      <c r="L377" s="23">
        <f ca="1">'public finance'!A375/'normal case'!D376</f>
        <v>0.2</v>
      </c>
      <c r="M377" s="21" t="str">
        <f>IF(controls!$B$44=0,"",'normal case'!AC376)</f>
        <v/>
      </c>
      <c r="N377" s="21" t="str">
        <f>IF(controls!$B$44=0,"",'normal case'!AF376)</f>
        <v/>
      </c>
      <c r="O377" s="203" t="str">
        <f>IF(controls!$B$44=0,"",'external balance'!D376)</f>
        <v/>
      </c>
      <c r="P377" s="203" t="str">
        <f>IF(controls!$B$44=0,"",'external balance'!F376)</f>
        <v/>
      </c>
      <c r="Q377" s="202" t="str">
        <f>IF(controls!$B$44=0,"",'external balance'!H376)</f>
        <v/>
      </c>
    </row>
    <row r="378" spans="1:17" ht="14" thickTop="1" thickBot="1">
      <c r="A378" s="32">
        <v>375</v>
      </c>
      <c r="B378" s="20">
        <f ca="1">('normal case'!D377-'normal case'!B377)/'normal case'!B377</f>
        <v>0</v>
      </c>
      <c r="C378" s="26">
        <f ca="1">'normal case'!D377</f>
        <v>100</v>
      </c>
      <c r="D378" s="27">
        <f ca="1">'normal case'!C377</f>
        <v>0</v>
      </c>
      <c r="E378" s="25">
        <f ca="1">'normal case'!L377/100</f>
        <v>0.02</v>
      </c>
      <c r="F378" s="28">
        <f ca="1">'normal case'!N377/100</f>
        <v>0.06</v>
      </c>
      <c r="G378" s="28">
        <f ca="1">'normal case'!M377/100</f>
        <v>0.04</v>
      </c>
      <c r="H378" s="28">
        <f ca="1">'public finance'!D376</f>
        <v>0</v>
      </c>
      <c r="I378" s="23">
        <f ca="1">'public finance'!E376</f>
        <v>0</v>
      </c>
      <c r="J378" s="153">
        <f ca="1">'public finance'!H376</f>
        <v>0</v>
      </c>
      <c r="K378" s="20">
        <f ca="1">'public finance'!C376/'normal case'!D377</f>
        <v>0.2</v>
      </c>
      <c r="L378" s="23">
        <f ca="1">'public finance'!A376/'normal case'!D377</f>
        <v>0.2</v>
      </c>
      <c r="M378" s="21" t="str">
        <f>IF(controls!$B$44=0,"",'normal case'!AC377)</f>
        <v/>
      </c>
      <c r="N378" s="21" t="str">
        <f>IF(controls!$B$44=0,"",'normal case'!AF377)</f>
        <v/>
      </c>
      <c r="O378" s="203" t="str">
        <f>IF(controls!$B$44=0,"",'external balance'!D377)</f>
        <v/>
      </c>
      <c r="P378" s="203" t="str">
        <f>IF(controls!$B$44=0,"",'external balance'!F377)</f>
        <v/>
      </c>
      <c r="Q378" s="202" t="str">
        <f>IF(controls!$B$44=0,"",'external balance'!H377)</f>
        <v/>
      </c>
    </row>
    <row r="379" spans="1:17" ht="14" thickTop="1" thickBot="1">
      <c r="A379" s="32">
        <v>376</v>
      </c>
      <c r="B379" s="20">
        <f ca="1">('normal case'!D378-'normal case'!B378)/'normal case'!B378</f>
        <v>0</v>
      </c>
      <c r="C379" s="26">
        <f ca="1">'normal case'!D378</f>
        <v>100</v>
      </c>
      <c r="D379" s="27">
        <f ca="1">'normal case'!C378</f>
        <v>0</v>
      </c>
      <c r="E379" s="25">
        <f ca="1">'normal case'!L378/100</f>
        <v>0.02</v>
      </c>
      <c r="F379" s="28">
        <f ca="1">'normal case'!N378/100</f>
        <v>0.06</v>
      </c>
      <c r="G379" s="28">
        <f ca="1">'normal case'!M378/100</f>
        <v>0.04</v>
      </c>
      <c r="H379" s="28">
        <f ca="1">'public finance'!D377</f>
        <v>0</v>
      </c>
      <c r="I379" s="23">
        <f ca="1">'public finance'!E377</f>
        <v>0</v>
      </c>
      <c r="J379" s="153">
        <f ca="1">'public finance'!H377</f>
        <v>0</v>
      </c>
      <c r="K379" s="20">
        <f ca="1">'public finance'!C377/'normal case'!D378</f>
        <v>0.2</v>
      </c>
      <c r="L379" s="23">
        <f ca="1">'public finance'!A377/'normal case'!D378</f>
        <v>0.2</v>
      </c>
      <c r="M379" s="21" t="str">
        <f>IF(controls!$B$44=0,"",'normal case'!AC378)</f>
        <v/>
      </c>
      <c r="N379" s="21" t="str">
        <f>IF(controls!$B$44=0,"",'normal case'!AF378)</f>
        <v/>
      </c>
      <c r="O379" s="203" t="str">
        <f>IF(controls!$B$44=0,"",'external balance'!D378)</f>
        <v/>
      </c>
      <c r="P379" s="203" t="str">
        <f>IF(controls!$B$44=0,"",'external balance'!F378)</f>
        <v/>
      </c>
      <c r="Q379" s="202" t="str">
        <f>IF(controls!$B$44=0,"",'external balance'!H378)</f>
        <v/>
      </c>
    </row>
    <row r="380" spans="1:17" ht="14" thickTop="1" thickBot="1">
      <c r="A380" s="32">
        <v>377</v>
      </c>
      <c r="B380" s="20">
        <f ca="1">('normal case'!D379-'normal case'!B379)/'normal case'!B379</f>
        <v>0</v>
      </c>
      <c r="C380" s="26">
        <f ca="1">'normal case'!D379</f>
        <v>100</v>
      </c>
      <c r="D380" s="27">
        <f ca="1">'normal case'!C379</f>
        <v>0</v>
      </c>
      <c r="E380" s="25">
        <f ca="1">'normal case'!L379/100</f>
        <v>0.02</v>
      </c>
      <c r="F380" s="28">
        <f ca="1">'normal case'!N379/100</f>
        <v>0.06</v>
      </c>
      <c r="G380" s="28">
        <f ca="1">'normal case'!M379/100</f>
        <v>0.04</v>
      </c>
      <c r="H380" s="28">
        <f ca="1">'public finance'!D378</f>
        <v>0</v>
      </c>
      <c r="I380" s="23">
        <f ca="1">'public finance'!E378</f>
        <v>0</v>
      </c>
      <c r="J380" s="153">
        <f ca="1">'public finance'!H378</f>
        <v>0</v>
      </c>
      <c r="K380" s="20">
        <f ca="1">'public finance'!C378/'normal case'!D379</f>
        <v>0.2</v>
      </c>
      <c r="L380" s="23">
        <f ca="1">'public finance'!A378/'normal case'!D379</f>
        <v>0.2</v>
      </c>
      <c r="M380" s="21" t="str">
        <f>IF(controls!$B$44=0,"",'normal case'!AC379)</f>
        <v/>
      </c>
      <c r="N380" s="21" t="str">
        <f>IF(controls!$B$44=0,"",'normal case'!AF379)</f>
        <v/>
      </c>
      <c r="O380" s="203" t="str">
        <f>IF(controls!$B$44=0,"",'external balance'!D379)</f>
        <v/>
      </c>
      <c r="P380" s="203" t="str">
        <f>IF(controls!$B$44=0,"",'external balance'!F379)</f>
        <v/>
      </c>
      <c r="Q380" s="202" t="str">
        <f>IF(controls!$B$44=0,"",'external balance'!H379)</f>
        <v/>
      </c>
    </row>
    <row r="381" spans="1:17" ht="14" thickTop="1" thickBot="1">
      <c r="A381" s="32">
        <v>378</v>
      </c>
      <c r="B381" s="20">
        <f ca="1">('normal case'!D380-'normal case'!B380)/'normal case'!B380</f>
        <v>0</v>
      </c>
      <c r="C381" s="26">
        <f ca="1">'normal case'!D380</f>
        <v>100</v>
      </c>
      <c r="D381" s="27">
        <f ca="1">'normal case'!C380</f>
        <v>0</v>
      </c>
      <c r="E381" s="25">
        <f ca="1">'normal case'!L380/100</f>
        <v>0.02</v>
      </c>
      <c r="F381" s="28">
        <f ca="1">'normal case'!N380/100</f>
        <v>0.06</v>
      </c>
      <c r="G381" s="28">
        <f ca="1">'normal case'!M380/100</f>
        <v>0.04</v>
      </c>
      <c r="H381" s="28">
        <f ca="1">'public finance'!D379</f>
        <v>0</v>
      </c>
      <c r="I381" s="23">
        <f ca="1">'public finance'!E379</f>
        <v>0</v>
      </c>
      <c r="J381" s="153">
        <f ca="1">'public finance'!H379</f>
        <v>0</v>
      </c>
      <c r="K381" s="20">
        <f ca="1">'public finance'!C379/'normal case'!D380</f>
        <v>0.2</v>
      </c>
      <c r="L381" s="23">
        <f ca="1">'public finance'!A379/'normal case'!D380</f>
        <v>0.2</v>
      </c>
      <c r="M381" s="21" t="str">
        <f>IF(controls!$B$44=0,"",'normal case'!AC380)</f>
        <v/>
      </c>
      <c r="N381" s="21" t="str">
        <f>IF(controls!$B$44=0,"",'normal case'!AF380)</f>
        <v/>
      </c>
      <c r="O381" s="203" t="str">
        <f>IF(controls!$B$44=0,"",'external balance'!D380)</f>
        <v/>
      </c>
      <c r="P381" s="203" t="str">
        <f>IF(controls!$B$44=0,"",'external balance'!F380)</f>
        <v/>
      </c>
      <c r="Q381" s="202" t="str">
        <f>IF(controls!$B$44=0,"",'external balance'!H380)</f>
        <v/>
      </c>
    </row>
    <row r="382" spans="1:17" ht="14" thickTop="1" thickBot="1">
      <c r="A382" s="32">
        <v>379</v>
      </c>
      <c r="B382" s="20">
        <f ca="1">('normal case'!D381-'normal case'!B381)/'normal case'!B381</f>
        <v>0</v>
      </c>
      <c r="C382" s="26">
        <f ca="1">'normal case'!D381</f>
        <v>100</v>
      </c>
      <c r="D382" s="27">
        <f ca="1">'normal case'!C381</f>
        <v>0</v>
      </c>
      <c r="E382" s="25">
        <f ca="1">'normal case'!L381/100</f>
        <v>0.02</v>
      </c>
      <c r="F382" s="28">
        <f ca="1">'normal case'!N381/100</f>
        <v>0.06</v>
      </c>
      <c r="G382" s="28">
        <f ca="1">'normal case'!M381/100</f>
        <v>0.04</v>
      </c>
      <c r="H382" s="28">
        <f ca="1">'public finance'!D380</f>
        <v>0</v>
      </c>
      <c r="I382" s="23">
        <f ca="1">'public finance'!E380</f>
        <v>0</v>
      </c>
      <c r="J382" s="153">
        <f ca="1">'public finance'!H380</f>
        <v>0</v>
      </c>
      <c r="K382" s="20">
        <f ca="1">'public finance'!C380/'normal case'!D381</f>
        <v>0.2</v>
      </c>
      <c r="L382" s="23">
        <f ca="1">'public finance'!A380/'normal case'!D381</f>
        <v>0.2</v>
      </c>
      <c r="M382" s="21" t="str">
        <f>IF(controls!$B$44=0,"",'normal case'!AC381)</f>
        <v/>
      </c>
      <c r="N382" s="21" t="str">
        <f>IF(controls!$B$44=0,"",'normal case'!AF381)</f>
        <v/>
      </c>
      <c r="O382" s="203" t="str">
        <f>IF(controls!$B$44=0,"",'external balance'!D381)</f>
        <v/>
      </c>
      <c r="P382" s="203" t="str">
        <f>IF(controls!$B$44=0,"",'external balance'!F381)</f>
        <v/>
      </c>
      <c r="Q382" s="202" t="str">
        <f>IF(controls!$B$44=0,"",'external balance'!H381)</f>
        <v/>
      </c>
    </row>
    <row r="383" spans="1:17" ht="14" thickTop="1" thickBot="1">
      <c r="A383" s="32">
        <v>380</v>
      </c>
      <c r="B383" s="20">
        <f ca="1">('normal case'!D382-'normal case'!B382)/'normal case'!B382</f>
        <v>0</v>
      </c>
      <c r="C383" s="26">
        <f ca="1">'normal case'!D382</f>
        <v>100</v>
      </c>
      <c r="D383" s="27">
        <f ca="1">'normal case'!C382</f>
        <v>0</v>
      </c>
      <c r="E383" s="25">
        <f ca="1">'normal case'!L382/100</f>
        <v>0.02</v>
      </c>
      <c r="F383" s="28">
        <f ca="1">'normal case'!N382/100</f>
        <v>0.06</v>
      </c>
      <c r="G383" s="28">
        <f ca="1">'normal case'!M382/100</f>
        <v>0.04</v>
      </c>
      <c r="H383" s="28">
        <f ca="1">'public finance'!D381</f>
        <v>0</v>
      </c>
      <c r="I383" s="23">
        <f ca="1">'public finance'!E381</f>
        <v>0</v>
      </c>
      <c r="J383" s="153">
        <f ca="1">'public finance'!H381</f>
        <v>0</v>
      </c>
      <c r="K383" s="20">
        <f ca="1">'public finance'!C381/'normal case'!D382</f>
        <v>0.2</v>
      </c>
      <c r="L383" s="23">
        <f ca="1">'public finance'!A381/'normal case'!D382</f>
        <v>0.2</v>
      </c>
      <c r="M383" s="21" t="str">
        <f>IF(controls!$B$44=0,"",'normal case'!AC382)</f>
        <v/>
      </c>
      <c r="N383" s="21" t="str">
        <f>IF(controls!$B$44=0,"",'normal case'!AF382)</f>
        <v/>
      </c>
      <c r="O383" s="203" t="str">
        <f>IF(controls!$B$44=0,"",'external balance'!D382)</f>
        <v/>
      </c>
      <c r="P383" s="203" t="str">
        <f>IF(controls!$B$44=0,"",'external balance'!F382)</f>
        <v/>
      </c>
      <c r="Q383" s="202" t="str">
        <f>IF(controls!$B$44=0,"",'external balance'!H382)</f>
        <v/>
      </c>
    </row>
    <row r="384" spans="1:17" ht="14" thickTop="1" thickBot="1">
      <c r="A384" s="32">
        <v>381</v>
      </c>
      <c r="B384" s="20">
        <f ca="1">('normal case'!D383-'normal case'!B383)/'normal case'!B383</f>
        <v>0</v>
      </c>
      <c r="C384" s="26">
        <f ca="1">'normal case'!D383</f>
        <v>100</v>
      </c>
      <c r="D384" s="27">
        <f ca="1">'normal case'!C383</f>
        <v>0</v>
      </c>
      <c r="E384" s="25">
        <f ca="1">'normal case'!L383/100</f>
        <v>0.02</v>
      </c>
      <c r="F384" s="28">
        <f ca="1">'normal case'!N383/100</f>
        <v>0.06</v>
      </c>
      <c r="G384" s="28">
        <f ca="1">'normal case'!M383/100</f>
        <v>0.04</v>
      </c>
      <c r="H384" s="28">
        <f ca="1">'public finance'!D382</f>
        <v>0</v>
      </c>
      <c r="I384" s="23">
        <f ca="1">'public finance'!E382</f>
        <v>0</v>
      </c>
      <c r="J384" s="153">
        <f ca="1">'public finance'!H382</f>
        <v>0</v>
      </c>
      <c r="K384" s="20">
        <f ca="1">'public finance'!C382/'normal case'!D383</f>
        <v>0.2</v>
      </c>
      <c r="L384" s="23">
        <f ca="1">'public finance'!A382/'normal case'!D383</f>
        <v>0.2</v>
      </c>
      <c r="M384" s="21" t="str">
        <f>IF(controls!$B$44=0,"",'normal case'!AC383)</f>
        <v/>
      </c>
      <c r="N384" s="21" t="str">
        <f>IF(controls!$B$44=0,"",'normal case'!AF383)</f>
        <v/>
      </c>
      <c r="O384" s="203" t="str">
        <f>IF(controls!$B$44=0,"",'external balance'!D383)</f>
        <v/>
      </c>
      <c r="P384" s="203" t="str">
        <f>IF(controls!$B$44=0,"",'external balance'!F383)</f>
        <v/>
      </c>
      <c r="Q384" s="202" t="str">
        <f>IF(controls!$B$44=0,"",'external balance'!H383)</f>
        <v/>
      </c>
    </row>
    <row r="385" spans="1:17" ht="14" thickTop="1" thickBot="1">
      <c r="A385" s="32">
        <v>382</v>
      </c>
      <c r="B385" s="20">
        <f ca="1">('normal case'!D384-'normal case'!B384)/'normal case'!B384</f>
        <v>0</v>
      </c>
      <c r="C385" s="26">
        <f ca="1">'normal case'!D384</f>
        <v>100</v>
      </c>
      <c r="D385" s="27">
        <f ca="1">'normal case'!C384</f>
        <v>0</v>
      </c>
      <c r="E385" s="25">
        <f ca="1">'normal case'!L384/100</f>
        <v>0.02</v>
      </c>
      <c r="F385" s="28">
        <f ca="1">'normal case'!N384/100</f>
        <v>0.06</v>
      </c>
      <c r="G385" s="28">
        <f ca="1">'normal case'!M384/100</f>
        <v>0.04</v>
      </c>
      <c r="H385" s="28">
        <f ca="1">'public finance'!D383</f>
        <v>0</v>
      </c>
      <c r="I385" s="23">
        <f ca="1">'public finance'!E383</f>
        <v>0</v>
      </c>
      <c r="J385" s="153">
        <f ca="1">'public finance'!H383</f>
        <v>0</v>
      </c>
      <c r="K385" s="20">
        <f ca="1">'public finance'!C383/'normal case'!D384</f>
        <v>0.2</v>
      </c>
      <c r="L385" s="23">
        <f ca="1">'public finance'!A383/'normal case'!D384</f>
        <v>0.2</v>
      </c>
      <c r="M385" s="21" t="str">
        <f>IF(controls!$B$44=0,"",'normal case'!AC384)</f>
        <v/>
      </c>
      <c r="N385" s="21" t="str">
        <f>IF(controls!$B$44=0,"",'normal case'!AF384)</f>
        <v/>
      </c>
      <c r="O385" s="203" t="str">
        <f>IF(controls!$B$44=0,"",'external balance'!D384)</f>
        <v/>
      </c>
      <c r="P385" s="203" t="str">
        <f>IF(controls!$B$44=0,"",'external balance'!F384)</f>
        <v/>
      </c>
      <c r="Q385" s="202" t="str">
        <f>IF(controls!$B$44=0,"",'external balance'!H384)</f>
        <v/>
      </c>
    </row>
    <row r="386" spans="1:17" ht="14" thickTop="1" thickBot="1">
      <c r="A386" s="32">
        <v>383</v>
      </c>
      <c r="B386" s="20">
        <f ca="1">('normal case'!D385-'normal case'!B385)/'normal case'!B385</f>
        <v>0</v>
      </c>
      <c r="C386" s="26">
        <f ca="1">'normal case'!D385</f>
        <v>100</v>
      </c>
      <c r="D386" s="27">
        <f ca="1">'normal case'!C385</f>
        <v>0</v>
      </c>
      <c r="E386" s="25">
        <f ca="1">'normal case'!L385/100</f>
        <v>0.02</v>
      </c>
      <c r="F386" s="28">
        <f ca="1">'normal case'!N385/100</f>
        <v>0.06</v>
      </c>
      <c r="G386" s="28">
        <f ca="1">'normal case'!M385/100</f>
        <v>0.04</v>
      </c>
      <c r="H386" s="28">
        <f ca="1">'public finance'!D384</f>
        <v>0</v>
      </c>
      <c r="I386" s="23">
        <f ca="1">'public finance'!E384</f>
        <v>0</v>
      </c>
      <c r="J386" s="153">
        <f ca="1">'public finance'!H384</f>
        <v>0</v>
      </c>
      <c r="K386" s="20">
        <f ca="1">'public finance'!C384/'normal case'!D385</f>
        <v>0.2</v>
      </c>
      <c r="L386" s="23">
        <f ca="1">'public finance'!A384/'normal case'!D385</f>
        <v>0.2</v>
      </c>
      <c r="M386" s="21" t="str">
        <f>IF(controls!$B$44=0,"",'normal case'!AC385)</f>
        <v/>
      </c>
      <c r="N386" s="21" t="str">
        <f>IF(controls!$B$44=0,"",'normal case'!AF385)</f>
        <v/>
      </c>
      <c r="O386" s="203" t="str">
        <f>IF(controls!$B$44=0,"",'external balance'!D385)</f>
        <v/>
      </c>
      <c r="P386" s="203" t="str">
        <f>IF(controls!$B$44=0,"",'external balance'!F385)</f>
        <v/>
      </c>
      <c r="Q386" s="202" t="str">
        <f>IF(controls!$B$44=0,"",'external balance'!H385)</f>
        <v/>
      </c>
    </row>
    <row r="387" spans="1:17" ht="14" thickTop="1" thickBot="1">
      <c r="A387" s="32">
        <v>384</v>
      </c>
      <c r="B387" s="20">
        <f ca="1">('normal case'!D386-'normal case'!B386)/'normal case'!B386</f>
        <v>0</v>
      </c>
      <c r="C387" s="26">
        <f ca="1">'normal case'!D386</f>
        <v>100</v>
      </c>
      <c r="D387" s="27">
        <f ca="1">'normal case'!C386</f>
        <v>0</v>
      </c>
      <c r="E387" s="25">
        <f ca="1">'normal case'!L386/100</f>
        <v>0.02</v>
      </c>
      <c r="F387" s="28">
        <f ca="1">'normal case'!N386/100</f>
        <v>0.06</v>
      </c>
      <c r="G387" s="28">
        <f ca="1">'normal case'!M386/100</f>
        <v>0.04</v>
      </c>
      <c r="H387" s="28">
        <f ca="1">'public finance'!D385</f>
        <v>0</v>
      </c>
      <c r="I387" s="23">
        <f ca="1">'public finance'!E385</f>
        <v>0</v>
      </c>
      <c r="J387" s="153">
        <f ca="1">'public finance'!H385</f>
        <v>0</v>
      </c>
      <c r="K387" s="20">
        <f ca="1">'public finance'!C385/'normal case'!D386</f>
        <v>0.2</v>
      </c>
      <c r="L387" s="23">
        <f ca="1">'public finance'!A385/'normal case'!D386</f>
        <v>0.2</v>
      </c>
      <c r="M387" s="21" t="str">
        <f>IF(controls!$B$44=0,"",'normal case'!AC386)</f>
        <v/>
      </c>
      <c r="N387" s="21" t="str">
        <f>IF(controls!$B$44=0,"",'normal case'!AF386)</f>
        <v/>
      </c>
      <c r="O387" s="203" t="str">
        <f>IF(controls!$B$44=0,"",'external balance'!D386)</f>
        <v/>
      </c>
      <c r="P387" s="203" t="str">
        <f>IF(controls!$B$44=0,"",'external balance'!F386)</f>
        <v/>
      </c>
      <c r="Q387" s="202" t="str">
        <f>IF(controls!$B$44=0,"",'external balance'!H386)</f>
        <v/>
      </c>
    </row>
    <row r="388" spans="1:17" ht="14" thickTop="1" thickBot="1">
      <c r="A388" s="32">
        <v>385</v>
      </c>
      <c r="B388" s="20">
        <f ca="1">('normal case'!D387-'normal case'!B387)/'normal case'!B387</f>
        <v>0</v>
      </c>
      <c r="C388" s="26">
        <f ca="1">'normal case'!D387</f>
        <v>100</v>
      </c>
      <c r="D388" s="27">
        <f ca="1">'normal case'!C387</f>
        <v>0</v>
      </c>
      <c r="E388" s="25">
        <f ca="1">'normal case'!L387/100</f>
        <v>0.02</v>
      </c>
      <c r="F388" s="28">
        <f ca="1">'normal case'!N387/100</f>
        <v>0.06</v>
      </c>
      <c r="G388" s="28">
        <f ca="1">'normal case'!M387/100</f>
        <v>0.04</v>
      </c>
      <c r="H388" s="28">
        <f ca="1">'public finance'!D386</f>
        <v>0</v>
      </c>
      <c r="I388" s="23">
        <f ca="1">'public finance'!E386</f>
        <v>0</v>
      </c>
      <c r="J388" s="153">
        <f ca="1">'public finance'!H386</f>
        <v>0</v>
      </c>
      <c r="K388" s="20">
        <f ca="1">'public finance'!C386/'normal case'!D387</f>
        <v>0.2</v>
      </c>
      <c r="L388" s="23">
        <f ca="1">'public finance'!A386/'normal case'!D387</f>
        <v>0.2</v>
      </c>
      <c r="M388" s="21" t="str">
        <f>IF(controls!$B$44=0,"",'normal case'!AC387)</f>
        <v/>
      </c>
      <c r="N388" s="21" t="str">
        <f>IF(controls!$B$44=0,"",'normal case'!AF387)</f>
        <v/>
      </c>
      <c r="O388" s="203" t="str">
        <f>IF(controls!$B$44=0,"",'external balance'!D387)</f>
        <v/>
      </c>
      <c r="P388" s="203" t="str">
        <f>IF(controls!$B$44=0,"",'external balance'!F387)</f>
        <v/>
      </c>
      <c r="Q388" s="202" t="str">
        <f>IF(controls!$B$44=0,"",'external balance'!H387)</f>
        <v/>
      </c>
    </row>
    <row r="389" spans="1:17" ht="14" thickTop="1" thickBot="1">
      <c r="A389" s="32">
        <v>386</v>
      </c>
      <c r="B389" s="20">
        <f ca="1">('normal case'!D388-'normal case'!B388)/'normal case'!B388</f>
        <v>0</v>
      </c>
      <c r="C389" s="26">
        <f ca="1">'normal case'!D388</f>
        <v>100</v>
      </c>
      <c r="D389" s="27">
        <f ca="1">'normal case'!C388</f>
        <v>0</v>
      </c>
      <c r="E389" s="25">
        <f ca="1">'normal case'!L388/100</f>
        <v>0.02</v>
      </c>
      <c r="F389" s="28">
        <f ca="1">'normal case'!N388/100</f>
        <v>0.06</v>
      </c>
      <c r="G389" s="28">
        <f ca="1">'normal case'!M388/100</f>
        <v>0.04</v>
      </c>
      <c r="H389" s="28">
        <f ca="1">'public finance'!D387</f>
        <v>0</v>
      </c>
      <c r="I389" s="23">
        <f ca="1">'public finance'!E387</f>
        <v>0</v>
      </c>
      <c r="J389" s="153">
        <f ca="1">'public finance'!H387</f>
        <v>0</v>
      </c>
      <c r="K389" s="20">
        <f ca="1">'public finance'!C387/'normal case'!D388</f>
        <v>0.2</v>
      </c>
      <c r="L389" s="23">
        <f ca="1">'public finance'!A387/'normal case'!D388</f>
        <v>0.2</v>
      </c>
      <c r="M389" s="21" t="str">
        <f>IF(controls!$B$44=0,"",'normal case'!AC388)</f>
        <v/>
      </c>
      <c r="N389" s="21" t="str">
        <f>IF(controls!$B$44=0,"",'normal case'!AF388)</f>
        <v/>
      </c>
      <c r="O389" s="203" t="str">
        <f>IF(controls!$B$44=0,"",'external balance'!D388)</f>
        <v/>
      </c>
      <c r="P389" s="203" t="str">
        <f>IF(controls!$B$44=0,"",'external balance'!F388)</f>
        <v/>
      </c>
      <c r="Q389" s="202" t="str">
        <f>IF(controls!$B$44=0,"",'external balance'!H388)</f>
        <v/>
      </c>
    </row>
    <row r="390" spans="1:17" ht="14" thickTop="1" thickBot="1">
      <c r="A390" s="32">
        <v>387</v>
      </c>
      <c r="B390" s="20">
        <f ca="1">('normal case'!D389-'normal case'!B389)/'normal case'!B389</f>
        <v>0</v>
      </c>
      <c r="C390" s="26">
        <f ca="1">'normal case'!D389</f>
        <v>100</v>
      </c>
      <c r="D390" s="27">
        <f ca="1">'normal case'!C389</f>
        <v>0</v>
      </c>
      <c r="E390" s="25">
        <f ca="1">'normal case'!L389/100</f>
        <v>0.02</v>
      </c>
      <c r="F390" s="28">
        <f ca="1">'normal case'!N389/100</f>
        <v>0.06</v>
      </c>
      <c r="G390" s="28">
        <f ca="1">'normal case'!M389/100</f>
        <v>0.04</v>
      </c>
      <c r="H390" s="28">
        <f ca="1">'public finance'!D388</f>
        <v>0</v>
      </c>
      <c r="I390" s="23">
        <f ca="1">'public finance'!E388</f>
        <v>0</v>
      </c>
      <c r="J390" s="153">
        <f ca="1">'public finance'!H388</f>
        <v>0</v>
      </c>
      <c r="K390" s="20">
        <f ca="1">'public finance'!C388/'normal case'!D389</f>
        <v>0.2</v>
      </c>
      <c r="L390" s="23">
        <f ca="1">'public finance'!A388/'normal case'!D389</f>
        <v>0.2</v>
      </c>
      <c r="M390" s="21" t="str">
        <f>IF(controls!$B$44=0,"",'normal case'!AC389)</f>
        <v/>
      </c>
      <c r="N390" s="21" t="str">
        <f>IF(controls!$B$44=0,"",'normal case'!AF389)</f>
        <v/>
      </c>
      <c r="O390" s="203" t="str">
        <f>IF(controls!$B$44=0,"",'external balance'!D389)</f>
        <v/>
      </c>
      <c r="P390" s="203" t="str">
        <f>IF(controls!$B$44=0,"",'external balance'!F389)</f>
        <v/>
      </c>
      <c r="Q390" s="202" t="str">
        <f>IF(controls!$B$44=0,"",'external balance'!H389)</f>
        <v/>
      </c>
    </row>
    <row r="391" spans="1:17" ht="14" thickTop="1" thickBot="1">
      <c r="A391" s="32">
        <v>388</v>
      </c>
      <c r="B391" s="20">
        <f ca="1">('normal case'!D390-'normal case'!B390)/'normal case'!B390</f>
        <v>0</v>
      </c>
      <c r="C391" s="26">
        <f ca="1">'normal case'!D390</f>
        <v>100</v>
      </c>
      <c r="D391" s="27">
        <f ca="1">'normal case'!C390</f>
        <v>0</v>
      </c>
      <c r="E391" s="25">
        <f ca="1">'normal case'!L390/100</f>
        <v>0.02</v>
      </c>
      <c r="F391" s="28">
        <f ca="1">'normal case'!N390/100</f>
        <v>0.06</v>
      </c>
      <c r="G391" s="28">
        <f ca="1">'normal case'!M390/100</f>
        <v>0.04</v>
      </c>
      <c r="H391" s="28">
        <f ca="1">'public finance'!D389</f>
        <v>0</v>
      </c>
      <c r="I391" s="23">
        <f ca="1">'public finance'!E389</f>
        <v>0</v>
      </c>
      <c r="J391" s="153">
        <f ca="1">'public finance'!H389</f>
        <v>0</v>
      </c>
      <c r="K391" s="20">
        <f ca="1">'public finance'!C389/'normal case'!D390</f>
        <v>0.2</v>
      </c>
      <c r="L391" s="23">
        <f ca="1">'public finance'!A389/'normal case'!D390</f>
        <v>0.2</v>
      </c>
      <c r="M391" s="21" t="str">
        <f>IF(controls!$B$44=0,"",'normal case'!AC390)</f>
        <v/>
      </c>
      <c r="N391" s="21" t="str">
        <f>IF(controls!$B$44=0,"",'normal case'!AF390)</f>
        <v/>
      </c>
      <c r="O391" s="203" t="str">
        <f>IF(controls!$B$44=0,"",'external balance'!D390)</f>
        <v/>
      </c>
      <c r="P391" s="203" t="str">
        <f>IF(controls!$B$44=0,"",'external balance'!F390)</f>
        <v/>
      </c>
      <c r="Q391" s="202" t="str">
        <f>IF(controls!$B$44=0,"",'external balance'!H390)</f>
        <v/>
      </c>
    </row>
    <row r="392" spans="1:17" ht="14" thickTop="1" thickBot="1">
      <c r="A392" s="32">
        <v>389</v>
      </c>
      <c r="B392" s="20">
        <f ca="1">('normal case'!D391-'normal case'!B391)/'normal case'!B391</f>
        <v>0</v>
      </c>
      <c r="C392" s="26">
        <f ca="1">'normal case'!D391</f>
        <v>100</v>
      </c>
      <c r="D392" s="27">
        <f ca="1">'normal case'!C391</f>
        <v>0</v>
      </c>
      <c r="E392" s="25">
        <f ca="1">'normal case'!L391/100</f>
        <v>0.02</v>
      </c>
      <c r="F392" s="28">
        <f ca="1">'normal case'!N391/100</f>
        <v>0.06</v>
      </c>
      <c r="G392" s="28">
        <f ca="1">'normal case'!M391/100</f>
        <v>0.04</v>
      </c>
      <c r="H392" s="28">
        <f ca="1">'public finance'!D390</f>
        <v>0</v>
      </c>
      <c r="I392" s="23">
        <f ca="1">'public finance'!E390</f>
        <v>0</v>
      </c>
      <c r="J392" s="153">
        <f ca="1">'public finance'!H390</f>
        <v>0</v>
      </c>
      <c r="K392" s="20">
        <f ca="1">'public finance'!C390/'normal case'!D391</f>
        <v>0.2</v>
      </c>
      <c r="L392" s="23">
        <f ca="1">'public finance'!A390/'normal case'!D391</f>
        <v>0.2</v>
      </c>
      <c r="M392" s="21" t="str">
        <f>IF(controls!$B$44=0,"",'normal case'!AC391)</f>
        <v/>
      </c>
      <c r="N392" s="21" t="str">
        <f>IF(controls!$B$44=0,"",'normal case'!AF391)</f>
        <v/>
      </c>
      <c r="O392" s="203" t="str">
        <f>IF(controls!$B$44=0,"",'external balance'!D391)</f>
        <v/>
      </c>
      <c r="P392" s="203" t="str">
        <f>IF(controls!$B$44=0,"",'external balance'!F391)</f>
        <v/>
      </c>
      <c r="Q392" s="202" t="str">
        <f>IF(controls!$B$44=0,"",'external balance'!H391)</f>
        <v/>
      </c>
    </row>
    <row r="393" spans="1:17" ht="14" thickTop="1" thickBot="1">
      <c r="A393" s="32">
        <v>390</v>
      </c>
      <c r="B393" s="20">
        <f ca="1">('normal case'!D392-'normal case'!B392)/'normal case'!B392</f>
        <v>0</v>
      </c>
      <c r="C393" s="26">
        <f ca="1">'normal case'!D392</f>
        <v>100</v>
      </c>
      <c r="D393" s="27">
        <f ca="1">'normal case'!C392</f>
        <v>0</v>
      </c>
      <c r="E393" s="25">
        <f ca="1">'normal case'!L392/100</f>
        <v>0.02</v>
      </c>
      <c r="F393" s="28">
        <f ca="1">'normal case'!N392/100</f>
        <v>0.06</v>
      </c>
      <c r="G393" s="28">
        <f ca="1">'normal case'!M392/100</f>
        <v>0.04</v>
      </c>
      <c r="H393" s="28">
        <f ca="1">'public finance'!D391</f>
        <v>0</v>
      </c>
      <c r="I393" s="23">
        <f ca="1">'public finance'!E391</f>
        <v>0</v>
      </c>
      <c r="J393" s="153">
        <f ca="1">'public finance'!H391</f>
        <v>0</v>
      </c>
      <c r="K393" s="20">
        <f ca="1">'public finance'!C391/'normal case'!D392</f>
        <v>0.2</v>
      </c>
      <c r="L393" s="23">
        <f ca="1">'public finance'!A391/'normal case'!D392</f>
        <v>0.2</v>
      </c>
      <c r="M393" s="21" t="str">
        <f>IF(controls!$B$44=0,"",'normal case'!AC392)</f>
        <v/>
      </c>
      <c r="N393" s="21" t="str">
        <f>IF(controls!$B$44=0,"",'normal case'!AF392)</f>
        <v/>
      </c>
      <c r="O393" s="203" t="str">
        <f>IF(controls!$B$44=0,"",'external balance'!D392)</f>
        <v/>
      </c>
      <c r="P393" s="203" t="str">
        <f>IF(controls!$B$44=0,"",'external balance'!F392)</f>
        <v/>
      </c>
      <c r="Q393" s="202" t="str">
        <f>IF(controls!$B$44=0,"",'external balance'!H392)</f>
        <v/>
      </c>
    </row>
    <row r="394" spans="1:17" ht="14" thickTop="1" thickBot="1">
      <c r="A394" s="32">
        <v>391</v>
      </c>
      <c r="B394" s="20">
        <f ca="1">('normal case'!D393-'normal case'!B393)/'normal case'!B393</f>
        <v>0</v>
      </c>
      <c r="C394" s="26">
        <f ca="1">'normal case'!D393</f>
        <v>100</v>
      </c>
      <c r="D394" s="27">
        <f ca="1">'normal case'!C393</f>
        <v>0</v>
      </c>
      <c r="E394" s="25">
        <f ca="1">'normal case'!L393/100</f>
        <v>0.02</v>
      </c>
      <c r="F394" s="28">
        <f ca="1">'normal case'!N393/100</f>
        <v>0.06</v>
      </c>
      <c r="G394" s="28">
        <f ca="1">'normal case'!M393/100</f>
        <v>0.04</v>
      </c>
      <c r="H394" s="28">
        <f ca="1">'public finance'!D392</f>
        <v>0</v>
      </c>
      <c r="I394" s="23">
        <f ca="1">'public finance'!E392</f>
        <v>0</v>
      </c>
      <c r="J394" s="153">
        <f ca="1">'public finance'!H392</f>
        <v>0</v>
      </c>
      <c r="K394" s="20">
        <f ca="1">'public finance'!C392/'normal case'!D393</f>
        <v>0.2</v>
      </c>
      <c r="L394" s="23">
        <f ca="1">'public finance'!A392/'normal case'!D393</f>
        <v>0.2</v>
      </c>
      <c r="M394" s="21" t="str">
        <f>IF(controls!$B$44=0,"",'normal case'!AC393)</f>
        <v/>
      </c>
      <c r="N394" s="21" t="str">
        <f>IF(controls!$B$44=0,"",'normal case'!AF393)</f>
        <v/>
      </c>
      <c r="O394" s="203" t="str">
        <f>IF(controls!$B$44=0,"",'external balance'!D393)</f>
        <v/>
      </c>
      <c r="P394" s="203" t="str">
        <f>IF(controls!$B$44=0,"",'external balance'!F393)</f>
        <v/>
      </c>
      <c r="Q394" s="202" t="str">
        <f>IF(controls!$B$44=0,"",'external balance'!H393)</f>
        <v/>
      </c>
    </row>
    <row r="395" spans="1:17" ht="14" thickTop="1" thickBot="1">
      <c r="A395" s="32">
        <v>392</v>
      </c>
      <c r="B395" s="20">
        <f ca="1">('normal case'!D394-'normal case'!B394)/'normal case'!B394</f>
        <v>0</v>
      </c>
      <c r="C395" s="26">
        <f ca="1">'normal case'!D394</f>
        <v>100</v>
      </c>
      <c r="D395" s="27">
        <f ca="1">'normal case'!C394</f>
        <v>0</v>
      </c>
      <c r="E395" s="25">
        <f ca="1">'normal case'!L394/100</f>
        <v>0.02</v>
      </c>
      <c r="F395" s="28">
        <f ca="1">'normal case'!N394/100</f>
        <v>0.06</v>
      </c>
      <c r="G395" s="28">
        <f ca="1">'normal case'!M394/100</f>
        <v>0.04</v>
      </c>
      <c r="H395" s="28">
        <f ca="1">'public finance'!D393</f>
        <v>0</v>
      </c>
      <c r="I395" s="23">
        <f ca="1">'public finance'!E393</f>
        <v>0</v>
      </c>
      <c r="J395" s="153">
        <f ca="1">'public finance'!H393</f>
        <v>0</v>
      </c>
      <c r="K395" s="20">
        <f ca="1">'public finance'!C393/'normal case'!D394</f>
        <v>0.2</v>
      </c>
      <c r="L395" s="23">
        <f ca="1">'public finance'!A393/'normal case'!D394</f>
        <v>0.2</v>
      </c>
      <c r="M395" s="21" t="str">
        <f>IF(controls!$B$44=0,"",'normal case'!AC394)</f>
        <v/>
      </c>
      <c r="N395" s="21" t="str">
        <f>IF(controls!$B$44=0,"",'normal case'!AF394)</f>
        <v/>
      </c>
      <c r="O395" s="203" t="str">
        <f>IF(controls!$B$44=0,"",'external balance'!D394)</f>
        <v/>
      </c>
      <c r="P395" s="203" t="str">
        <f>IF(controls!$B$44=0,"",'external balance'!F394)</f>
        <v/>
      </c>
      <c r="Q395" s="202" t="str">
        <f>IF(controls!$B$44=0,"",'external balance'!H394)</f>
        <v/>
      </c>
    </row>
    <row r="396" spans="1:17" ht="14" thickTop="1" thickBot="1">
      <c r="A396" s="32">
        <v>393</v>
      </c>
      <c r="B396" s="20">
        <f ca="1">('normal case'!D395-'normal case'!B395)/'normal case'!B395</f>
        <v>0</v>
      </c>
      <c r="C396" s="26">
        <f ca="1">'normal case'!D395</f>
        <v>100</v>
      </c>
      <c r="D396" s="27">
        <f ca="1">'normal case'!C395</f>
        <v>0</v>
      </c>
      <c r="E396" s="25">
        <f ca="1">'normal case'!L395/100</f>
        <v>0.02</v>
      </c>
      <c r="F396" s="28">
        <f ca="1">'normal case'!N395/100</f>
        <v>0.06</v>
      </c>
      <c r="G396" s="28">
        <f ca="1">'normal case'!M395/100</f>
        <v>0.04</v>
      </c>
      <c r="H396" s="28">
        <f ca="1">'public finance'!D394</f>
        <v>0</v>
      </c>
      <c r="I396" s="23">
        <f ca="1">'public finance'!E394</f>
        <v>0</v>
      </c>
      <c r="J396" s="153">
        <f ca="1">'public finance'!H394</f>
        <v>0</v>
      </c>
      <c r="K396" s="20">
        <f ca="1">'public finance'!C394/'normal case'!D395</f>
        <v>0.2</v>
      </c>
      <c r="L396" s="23">
        <f ca="1">'public finance'!A394/'normal case'!D395</f>
        <v>0.2</v>
      </c>
      <c r="M396" s="21" t="str">
        <f>IF(controls!$B$44=0,"",'normal case'!AC395)</f>
        <v/>
      </c>
      <c r="N396" s="21" t="str">
        <f>IF(controls!$B$44=0,"",'normal case'!AF395)</f>
        <v/>
      </c>
      <c r="O396" s="203" t="str">
        <f>IF(controls!$B$44=0,"",'external balance'!D395)</f>
        <v/>
      </c>
      <c r="P396" s="203" t="str">
        <f>IF(controls!$B$44=0,"",'external balance'!F395)</f>
        <v/>
      </c>
      <c r="Q396" s="202" t="str">
        <f>IF(controls!$B$44=0,"",'external balance'!H395)</f>
        <v/>
      </c>
    </row>
    <row r="397" spans="1:17" ht="14" thickTop="1" thickBot="1">
      <c r="A397" s="32">
        <v>394</v>
      </c>
      <c r="B397" s="20">
        <f ca="1">('normal case'!D396-'normal case'!B396)/'normal case'!B396</f>
        <v>0</v>
      </c>
      <c r="C397" s="26">
        <f ca="1">'normal case'!D396</f>
        <v>100</v>
      </c>
      <c r="D397" s="27">
        <f ca="1">'normal case'!C396</f>
        <v>0</v>
      </c>
      <c r="E397" s="25">
        <f ca="1">'normal case'!L396/100</f>
        <v>0.02</v>
      </c>
      <c r="F397" s="28">
        <f ca="1">'normal case'!N396/100</f>
        <v>0.06</v>
      </c>
      <c r="G397" s="28">
        <f ca="1">'normal case'!M396/100</f>
        <v>0.04</v>
      </c>
      <c r="H397" s="28">
        <f ca="1">'public finance'!D395</f>
        <v>0</v>
      </c>
      <c r="I397" s="23">
        <f ca="1">'public finance'!E395</f>
        <v>0</v>
      </c>
      <c r="J397" s="153">
        <f ca="1">'public finance'!H395</f>
        <v>0</v>
      </c>
      <c r="K397" s="20">
        <f ca="1">'public finance'!C395/'normal case'!D396</f>
        <v>0.2</v>
      </c>
      <c r="L397" s="23">
        <f ca="1">'public finance'!A395/'normal case'!D396</f>
        <v>0.2</v>
      </c>
      <c r="M397" s="21" t="str">
        <f>IF(controls!$B$44=0,"",'normal case'!AC396)</f>
        <v/>
      </c>
      <c r="N397" s="21" t="str">
        <f>IF(controls!$B$44=0,"",'normal case'!AF396)</f>
        <v/>
      </c>
      <c r="O397" s="203" t="str">
        <f>IF(controls!$B$44=0,"",'external balance'!D396)</f>
        <v/>
      </c>
      <c r="P397" s="203" t="str">
        <f>IF(controls!$B$44=0,"",'external balance'!F396)</f>
        <v/>
      </c>
      <c r="Q397" s="202" t="str">
        <f>IF(controls!$B$44=0,"",'external balance'!H396)</f>
        <v/>
      </c>
    </row>
    <row r="398" spans="1:17" ht="14" thickTop="1" thickBot="1">
      <c r="A398" s="32">
        <v>395</v>
      </c>
      <c r="B398" s="20">
        <f ca="1">('normal case'!D397-'normal case'!B397)/'normal case'!B397</f>
        <v>0</v>
      </c>
      <c r="C398" s="26">
        <f ca="1">'normal case'!D397</f>
        <v>100</v>
      </c>
      <c r="D398" s="27">
        <f ca="1">'normal case'!C397</f>
        <v>0</v>
      </c>
      <c r="E398" s="25">
        <f ca="1">'normal case'!L397/100</f>
        <v>0.02</v>
      </c>
      <c r="F398" s="28">
        <f ca="1">'normal case'!N397/100</f>
        <v>0.06</v>
      </c>
      <c r="G398" s="28">
        <f ca="1">'normal case'!M397/100</f>
        <v>0.04</v>
      </c>
      <c r="H398" s="28">
        <f ca="1">'public finance'!D396</f>
        <v>0</v>
      </c>
      <c r="I398" s="23">
        <f ca="1">'public finance'!E396</f>
        <v>0</v>
      </c>
      <c r="J398" s="153">
        <f ca="1">'public finance'!H396</f>
        <v>0</v>
      </c>
      <c r="K398" s="20">
        <f ca="1">'public finance'!C396/'normal case'!D397</f>
        <v>0.2</v>
      </c>
      <c r="L398" s="23">
        <f ca="1">'public finance'!A396/'normal case'!D397</f>
        <v>0.2</v>
      </c>
      <c r="M398" s="21" t="str">
        <f>IF(controls!$B$44=0,"",'normal case'!AC397)</f>
        <v/>
      </c>
      <c r="N398" s="21" t="str">
        <f>IF(controls!$B$44=0,"",'normal case'!AF397)</f>
        <v/>
      </c>
      <c r="O398" s="203" t="str">
        <f>IF(controls!$B$44=0,"",'external balance'!D397)</f>
        <v/>
      </c>
      <c r="P398" s="203" t="str">
        <f>IF(controls!$B$44=0,"",'external balance'!F397)</f>
        <v/>
      </c>
      <c r="Q398" s="202" t="str">
        <f>IF(controls!$B$44=0,"",'external balance'!H397)</f>
        <v/>
      </c>
    </row>
    <row r="399" spans="1:17" ht="14" thickTop="1" thickBot="1">
      <c r="A399" s="32">
        <v>396</v>
      </c>
      <c r="B399" s="20">
        <f ca="1">('normal case'!D398-'normal case'!B398)/'normal case'!B398</f>
        <v>0</v>
      </c>
      <c r="C399" s="26">
        <f ca="1">'normal case'!D398</f>
        <v>100</v>
      </c>
      <c r="D399" s="27">
        <f ca="1">'normal case'!C398</f>
        <v>0</v>
      </c>
      <c r="E399" s="25">
        <f ca="1">'normal case'!L398/100</f>
        <v>0.02</v>
      </c>
      <c r="F399" s="28">
        <f ca="1">'normal case'!N398/100</f>
        <v>0.06</v>
      </c>
      <c r="G399" s="28">
        <f ca="1">'normal case'!M398/100</f>
        <v>0.04</v>
      </c>
      <c r="H399" s="28">
        <f ca="1">'public finance'!D397</f>
        <v>0</v>
      </c>
      <c r="I399" s="23">
        <f ca="1">'public finance'!E397</f>
        <v>0</v>
      </c>
      <c r="J399" s="153">
        <f ca="1">'public finance'!H397</f>
        <v>0</v>
      </c>
      <c r="K399" s="20">
        <f ca="1">'public finance'!C397/'normal case'!D398</f>
        <v>0.2</v>
      </c>
      <c r="L399" s="23">
        <f ca="1">'public finance'!A397/'normal case'!D398</f>
        <v>0.2</v>
      </c>
      <c r="M399" s="21" t="str">
        <f>IF(controls!$B$44=0,"",'normal case'!AC398)</f>
        <v/>
      </c>
      <c r="N399" s="21" t="str">
        <f>IF(controls!$B$44=0,"",'normal case'!AF398)</f>
        <v/>
      </c>
      <c r="O399" s="203" t="str">
        <f>IF(controls!$B$44=0,"",'external balance'!D398)</f>
        <v/>
      </c>
      <c r="P399" s="203" t="str">
        <f>IF(controls!$B$44=0,"",'external balance'!F398)</f>
        <v/>
      </c>
      <c r="Q399" s="202" t="str">
        <f>IF(controls!$B$44=0,"",'external balance'!H398)</f>
        <v/>
      </c>
    </row>
    <row r="400" spans="1:17" ht="14" thickTop="1" thickBot="1">
      <c r="A400" s="32">
        <v>397</v>
      </c>
      <c r="B400" s="20">
        <f ca="1">('normal case'!D399-'normal case'!B399)/'normal case'!B399</f>
        <v>0</v>
      </c>
      <c r="C400" s="26">
        <f ca="1">'normal case'!D399</f>
        <v>100</v>
      </c>
      <c r="D400" s="27">
        <f ca="1">'normal case'!C399</f>
        <v>0</v>
      </c>
      <c r="E400" s="25">
        <f ca="1">'normal case'!L399/100</f>
        <v>0.02</v>
      </c>
      <c r="F400" s="28">
        <f ca="1">'normal case'!N399/100</f>
        <v>0.06</v>
      </c>
      <c r="G400" s="28">
        <f ca="1">'normal case'!M399/100</f>
        <v>0.04</v>
      </c>
      <c r="H400" s="28">
        <f ca="1">'public finance'!D398</f>
        <v>0</v>
      </c>
      <c r="I400" s="23">
        <f ca="1">'public finance'!E398</f>
        <v>0</v>
      </c>
      <c r="J400" s="153">
        <f ca="1">'public finance'!H398</f>
        <v>0</v>
      </c>
      <c r="K400" s="20">
        <f ca="1">'public finance'!C398/'normal case'!D399</f>
        <v>0.2</v>
      </c>
      <c r="L400" s="23">
        <f ca="1">'public finance'!A398/'normal case'!D399</f>
        <v>0.2</v>
      </c>
      <c r="M400" s="21" t="str">
        <f>IF(controls!$B$44=0,"",'normal case'!AC399)</f>
        <v/>
      </c>
      <c r="N400" s="21" t="str">
        <f>IF(controls!$B$44=0,"",'normal case'!AF399)</f>
        <v/>
      </c>
      <c r="O400" s="203" t="str">
        <f>IF(controls!$B$44=0,"",'external balance'!D399)</f>
        <v/>
      </c>
      <c r="P400" s="203" t="str">
        <f>IF(controls!$B$44=0,"",'external balance'!F399)</f>
        <v/>
      </c>
      <c r="Q400" s="202" t="str">
        <f>IF(controls!$B$44=0,"",'external balance'!H399)</f>
        <v/>
      </c>
    </row>
    <row r="401" spans="1:17" ht="14" thickTop="1" thickBot="1">
      <c r="A401" s="32">
        <v>398</v>
      </c>
      <c r="B401" s="20">
        <f ca="1">('normal case'!D400-'normal case'!B400)/'normal case'!B400</f>
        <v>0</v>
      </c>
      <c r="C401" s="26">
        <f ca="1">'normal case'!D400</f>
        <v>100</v>
      </c>
      <c r="D401" s="27">
        <f ca="1">'normal case'!C400</f>
        <v>0</v>
      </c>
      <c r="E401" s="25">
        <f ca="1">'normal case'!L400/100</f>
        <v>0.02</v>
      </c>
      <c r="F401" s="28">
        <f ca="1">'normal case'!N400/100</f>
        <v>0.06</v>
      </c>
      <c r="G401" s="28">
        <f ca="1">'normal case'!M400/100</f>
        <v>0.04</v>
      </c>
      <c r="H401" s="28">
        <f ca="1">'public finance'!D399</f>
        <v>0</v>
      </c>
      <c r="I401" s="23">
        <f ca="1">'public finance'!E399</f>
        <v>0</v>
      </c>
      <c r="J401" s="153">
        <f ca="1">'public finance'!H399</f>
        <v>0</v>
      </c>
      <c r="K401" s="20">
        <f ca="1">'public finance'!C399/'normal case'!D400</f>
        <v>0.2</v>
      </c>
      <c r="L401" s="23">
        <f ca="1">'public finance'!A399/'normal case'!D400</f>
        <v>0.2</v>
      </c>
      <c r="M401" s="21" t="str">
        <f>IF(controls!$B$44=0,"",'normal case'!AC400)</f>
        <v/>
      </c>
      <c r="N401" s="21" t="str">
        <f>IF(controls!$B$44=0,"",'normal case'!AF400)</f>
        <v/>
      </c>
      <c r="O401" s="203" t="str">
        <f>IF(controls!$B$44=0,"",'external balance'!D400)</f>
        <v/>
      </c>
      <c r="P401" s="203" t="str">
        <f>IF(controls!$B$44=0,"",'external balance'!F400)</f>
        <v/>
      </c>
      <c r="Q401" s="202" t="str">
        <f>IF(controls!$B$44=0,"",'external balance'!H400)</f>
        <v/>
      </c>
    </row>
    <row r="402" spans="1:17" ht="14" thickTop="1" thickBot="1">
      <c r="A402" s="32">
        <v>399</v>
      </c>
      <c r="B402" s="20">
        <f ca="1">('normal case'!D401-'normal case'!B401)/'normal case'!B401</f>
        <v>0</v>
      </c>
      <c r="C402" s="26">
        <f ca="1">'normal case'!D401</f>
        <v>100</v>
      </c>
      <c r="D402" s="27">
        <f ca="1">'normal case'!C401</f>
        <v>0</v>
      </c>
      <c r="E402" s="25">
        <f ca="1">'normal case'!L401/100</f>
        <v>0.02</v>
      </c>
      <c r="F402" s="28">
        <f ca="1">'normal case'!N401/100</f>
        <v>0.06</v>
      </c>
      <c r="G402" s="28">
        <f ca="1">'normal case'!M401/100</f>
        <v>0.04</v>
      </c>
      <c r="H402" s="28">
        <f ca="1">'public finance'!D400</f>
        <v>0</v>
      </c>
      <c r="I402" s="23">
        <f ca="1">'public finance'!E400</f>
        <v>0</v>
      </c>
      <c r="J402" s="153">
        <f ca="1">'public finance'!H400</f>
        <v>0</v>
      </c>
      <c r="K402" s="20">
        <f ca="1">'public finance'!C400/'normal case'!D401</f>
        <v>0.2</v>
      </c>
      <c r="L402" s="23">
        <f ca="1">'public finance'!A400/'normal case'!D401</f>
        <v>0.2</v>
      </c>
      <c r="M402" s="21" t="str">
        <f>IF(controls!$B$44=0,"",'normal case'!AC401)</f>
        <v/>
      </c>
      <c r="N402" s="21" t="str">
        <f>IF(controls!$B$44=0,"",'normal case'!AF401)</f>
        <v/>
      </c>
      <c r="O402" s="203" t="str">
        <f>IF(controls!$B$44=0,"",'external balance'!D401)</f>
        <v/>
      </c>
      <c r="P402" s="203" t="str">
        <f>IF(controls!$B$44=0,"",'external balance'!F401)</f>
        <v/>
      </c>
      <c r="Q402" s="202" t="str">
        <f>IF(controls!$B$44=0,"",'external balance'!H401)</f>
        <v/>
      </c>
    </row>
    <row r="403" spans="1:17" ht="14" thickTop="1" thickBot="1">
      <c r="A403" s="32">
        <v>400</v>
      </c>
      <c r="B403" s="20">
        <f ca="1">('normal case'!D402-'normal case'!B402)/'normal case'!B402</f>
        <v>0</v>
      </c>
      <c r="C403" s="26">
        <f ca="1">'normal case'!D402</f>
        <v>100</v>
      </c>
      <c r="D403" s="27">
        <f ca="1">'normal case'!C402</f>
        <v>0</v>
      </c>
      <c r="E403" s="25">
        <f ca="1">'normal case'!L402/100</f>
        <v>0.02</v>
      </c>
      <c r="F403" s="28">
        <f ca="1">'normal case'!N402/100</f>
        <v>0.06</v>
      </c>
      <c r="G403" s="28">
        <f ca="1">'normal case'!M402/100</f>
        <v>0.04</v>
      </c>
      <c r="H403" s="28">
        <f ca="1">'public finance'!D401</f>
        <v>0</v>
      </c>
      <c r="I403" s="23">
        <f ca="1">'public finance'!E401</f>
        <v>0</v>
      </c>
      <c r="J403" s="153">
        <f ca="1">'public finance'!H401</f>
        <v>0</v>
      </c>
      <c r="K403" s="20">
        <f ca="1">'public finance'!C401/'normal case'!D402</f>
        <v>0.2</v>
      </c>
      <c r="L403" s="23">
        <f ca="1">'public finance'!A401/'normal case'!D402</f>
        <v>0.2</v>
      </c>
      <c r="M403" s="21" t="str">
        <f>IF(controls!$B$44=0,"",'normal case'!AC402)</f>
        <v/>
      </c>
      <c r="N403" s="21" t="str">
        <f>IF(controls!$B$44=0,"",'normal case'!AF402)</f>
        <v/>
      </c>
      <c r="O403" s="203" t="str">
        <f>IF(controls!$B$44=0,"",'external balance'!D402)</f>
        <v/>
      </c>
      <c r="P403" s="203" t="str">
        <f>IF(controls!$B$44=0,"",'external balance'!F402)</f>
        <v/>
      </c>
      <c r="Q403" s="202" t="str">
        <f>IF(controls!$B$44=0,"",'external balance'!H402)</f>
        <v/>
      </c>
    </row>
    <row r="404" spans="1:17" ht="14" thickTop="1" thickBot="1">
      <c r="A404" s="32">
        <v>401</v>
      </c>
      <c r="B404" s="20">
        <f ca="1">('normal case'!D403-'normal case'!B403)/'normal case'!B403</f>
        <v>0</v>
      </c>
      <c r="C404" s="26">
        <f ca="1">'normal case'!D403</f>
        <v>100</v>
      </c>
      <c r="D404" s="27">
        <f ca="1">'normal case'!C403</f>
        <v>0</v>
      </c>
      <c r="E404" s="25">
        <f ca="1">'normal case'!L403/100</f>
        <v>0.02</v>
      </c>
      <c r="F404" s="28">
        <f ca="1">'normal case'!N403/100</f>
        <v>0.06</v>
      </c>
      <c r="G404" s="28">
        <f ca="1">'normal case'!M403/100</f>
        <v>0.04</v>
      </c>
      <c r="H404" s="28">
        <f ca="1">'public finance'!D402</f>
        <v>0</v>
      </c>
      <c r="I404" s="23">
        <f ca="1">'public finance'!E402</f>
        <v>0</v>
      </c>
      <c r="J404" s="153">
        <f ca="1">'public finance'!H402</f>
        <v>0</v>
      </c>
      <c r="K404" s="20">
        <f ca="1">'public finance'!C402/'normal case'!D403</f>
        <v>0.2</v>
      </c>
      <c r="L404" s="23">
        <f ca="1">'public finance'!A402/'normal case'!D403</f>
        <v>0.2</v>
      </c>
      <c r="M404" s="21" t="str">
        <f>IF(controls!$B$44=0,"",'normal case'!AC403)</f>
        <v/>
      </c>
      <c r="N404" s="21" t="str">
        <f>IF(controls!$B$44=0,"",'normal case'!AF403)</f>
        <v/>
      </c>
      <c r="O404" s="203" t="str">
        <f>IF(controls!$B$44=0,"",'external balance'!D403)</f>
        <v/>
      </c>
      <c r="P404" s="203" t="str">
        <f>IF(controls!$B$44=0,"",'external balance'!F403)</f>
        <v/>
      </c>
      <c r="Q404" s="202" t="str">
        <f>IF(controls!$B$44=0,"",'external balance'!H403)</f>
        <v/>
      </c>
    </row>
    <row r="405" spans="1:17" ht="14" thickTop="1" thickBot="1">
      <c r="A405" s="32">
        <v>402</v>
      </c>
      <c r="B405" s="20">
        <f ca="1">('normal case'!D404-'normal case'!B404)/'normal case'!B404</f>
        <v>0</v>
      </c>
      <c r="C405" s="26">
        <f ca="1">'normal case'!D404</f>
        <v>100</v>
      </c>
      <c r="D405" s="27">
        <f ca="1">'normal case'!C404</f>
        <v>0</v>
      </c>
      <c r="E405" s="25">
        <f ca="1">'normal case'!L404/100</f>
        <v>0.02</v>
      </c>
      <c r="F405" s="28">
        <f ca="1">'normal case'!N404/100</f>
        <v>0.06</v>
      </c>
      <c r="G405" s="28">
        <f ca="1">'normal case'!M404/100</f>
        <v>0.04</v>
      </c>
      <c r="H405" s="28">
        <f ca="1">'public finance'!D403</f>
        <v>0</v>
      </c>
      <c r="I405" s="23">
        <f ca="1">'public finance'!E403</f>
        <v>0</v>
      </c>
      <c r="J405" s="153">
        <f ca="1">'public finance'!H403</f>
        <v>0</v>
      </c>
      <c r="K405" s="20">
        <f ca="1">'public finance'!C403/'normal case'!D404</f>
        <v>0.2</v>
      </c>
      <c r="L405" s="23">
        <f ca="1">'public finance'!A403/'normal case'!D404</f>
        <v>0.2</v>
      </c>
      <c r="M405" s="21" t="str">
        <f>IF(controls!$B$44=0,"",'normal case'!AC404)</f>
        <v/>
      </c>
      <c r="N405" s="21" t="str">
        <f>IF(controls!$B$44=0,"",'normal case'!AF404)</f>
        <v/>
      </c>
      <c r="O405" s="203" t="str">
        <f>IF(controls!$B$44=0,"",'external balance'!D404)</f>
        <v/>
      </c>
      <c r="P405" s="203" t="str">
        <f>IF(controls!$B$44=0,"",'external balance'!F404)</f>
        <v/>
      </c>
      <c r="Q405" s="202" t="str">
        <f>IF(controls!$B$44=0,"",'external balance'!H404)</f>
        <v/>
      </c>
    </row>
    <row r="406" spans="1:17" ht="14" thickTop="1" thickBot="1">
      <c r="A406" s="32">
        <v>403</v>
      </c>
      <c r="B406" s="20">
        <f ca="1">('normal case'!D405-'normal case'!B405)/'normal case'!B405</f>
        <v>0</v>
      </c>
      <c r="C406" s="26">
        <f ca="1">'normal case'!D405</f>
        <v>100</v>
      </c>
      <c r="D406" s="27">
        <f ca="1">'normal case'!C405</f>
        <v>0</v>
      </c>
      <c r="E406" s="25">
        <f ca="1">'normal case'!L405/100</f>
        <v>0.02</v>
      </c>
      <c r="F406" s="28">
        <f ca="1">'normal case'!N405/100</f>
        <v>0.06</v>
      </c>
      <c r="G406" s="28">
        <f ca="1">'normal case'!M405/100</f>
        <v>0.04</v>
      </c>
      <c r="H406" s="28">
        <f ca="1">'public finance'!D404</f>
        <v>0</v>
      </c>
      <c r="I406" s="23">
        <f ca="1">'public finance'!E404</f>
        <v>0</v>
      </c>
      <c r="J406" s="153">
        <f ca="1">'public finance'!H404</f>
        <v>0</v>
      </c>
      <c r="K406" s="20">
        <f ca="1">'public finance'!C404/'normal case'!D405</f>
        <v>0.2</v>
      </c>
      <c r="L406" s="23">
        <f ca="1">'public finance'!A404/'normal case'!D405</f>
        <v>0.2</v>
      </c>
      <c r="M406" s="21" t="str">
        <f>IF(controls!$B$44=0,"",'normal case'!AC405)</f>
        <v/>
      </c>
      <c r="N406" s="21" t="str">
        <f>IF(controls!$B$44=0,"",'normal case'!AF405)</f>
        <v/>
      </c>
      <c r="O406" s="203" t="str">
        <f>IF(controls!$B$44=0,"",'external balance'!D405)</f>
        <v/>
      </c>
      <c r="P406" s="203" t="str">
        <f>IF(controls!$B$44=0,"",'external balance'!F405)</f>
        <v/>
      </c>
      <c r="Q406" s="202" t="str">
        <f>IF(controls!$B$44=0,"",'external balance'!H405)</f>
        <v/>
      </c>
    </row>
    <row r="407" spans="1:17" ht="14" thickTop="1" thickBot="1">
      <c r="A407" s="32">
        <v>404</v>
      </c>
      <c r="B407" s="20">
        <f ca="1">('normal case'!D406-'normal case'!B406)/'normal case'!B406</f>
        <v>0</v>
      </c>
      <c r="C407" s="26">
        <f ca="1">'normal case'!D406</f>
        <v>100</v>
      </c>
      <c r="D407" s="27">
        <f ca="1">'normal case'!C406</f>
        <v>0</v>
      </c>
      <c r="E407" s="25">
        <f ca="1">'normal case'!L406/100</f>
        <v>0.02</v>
      </c>
      <c r="F407" s="28">
        <f ca="1">'normal case'!N406/100</f>
        <v>0.06</v>
      </c>
      <c r="G407" s="28">
        <f ca="1">'normal case'!M406/100</f>
        <v>0.04</v>
      </c>
      <c r="H407" s="28">
        <f ca="1">'public finance'!D405</f>
        <v>0</v>
      </c>
      <c r="I407" s="23">
        <f ca="1">'public finance'!E405</f>
        <v>0</v>
      </c>
      <c r="J407" s="153">
        <f ca="1">'public finance'!H405</f>
        <v>0</v>
      </c>
      <c r="K407" s="20">
        <f ca="1">'public finance'!C405/'normal case'!D406</f>
        <v>0.2</v>
      </c>
      <c r="L407" s="23">
        <f ca="1">'public finance'!A405/'normal case'!D406</f>
        <v>0.2</v>
      </c>
      <c r="M407" s="21" t="str">
        <f>IF(controls!$B$44=0,"",'normal case'!AC406)</f>
        <v/>
      </c>
      <c r="N407" s="21" t="str">
        <f>IF(controls!$B$44=0,"",'normal case'!AF406)</f>
        <v/>
      </c>
      <c r="O407" s="203" t="str">
        <f>IF(controls!$B$44=0,"",'external balance'!D406)</f>
        <v/>
      </c>
      <c r="P407" s="203" t="str">
        <f>IF(controls!$B$44=0,"",'external balance'!F406)</f>
        <v/>
      </c>
      <c r="Q407" s="202" t="str">
        <f>IF(controls!$B$44=0,"",'external balance'!H406)</f>
        <v/>
      </c>
    </row>
    <row r="408" spans="1:17" ht="14" thickTop="1" thickBot="1">
      <c r="A408" s="32">
        <v>405</v>
      </c>
      <c r="B408" s="20">
        <f ca="1">('normal case'!D407-'normal case'!B407)/'normal case'!B407</f>
        <v>0</v>
      </c>
      <c r="C408" s="26">
        <f ca="1">'normal case'!D407</f>
        <v>100</v>
      </c>
      <c r="D408" s="27">
        <f ca="1">'normal case'!C407</f>
        <v>0</v>
      </c>
      <c r="E408" s="25">
        <f ca="1">'normal case'!L407/100</f>
        <v>0.02</v>
      </c>
      <c r="F408" s="28">
        <f ca="1">'normal case'!N407/100</f>
        <v>0.06</v>
      </c>
      <c r="G408" s="28">
        <f ca="1">'normal case'!M407/100</f>
        <v>0.04</v>
      </c>
      <c r="H408" s="28">
        <f ca="1">'public finance'!D406</f>
        <v>0</v>
      </c>
      <c r="I408" s="23">
        <f ca="1">'public finance'!E406</f>
        <v>0</v>
      </c>
      <c r="J408" s="153">
        <f ca="1">'public finance'!H406</f>
        <v>0</v>
      </c>
      <c r="K408" s="20">
        <f ca="1">'public finance'!C406/'normal case'!D407</f>
        <v>0.2</v>
      </c>
      <c r="L408" s="23">
        <f ca="1">'public finance'!A406/'normal case'!D407</f>
        <v>0.2</v>
      </c>
      <c r="M408" s="21" t="str">
        <f>IF(controls!$B$44=0,"",'normal case'!AC407)</f>
        <v/>
      </c>
      <c r="N408" s="21" t="str">
        <f>IF(controls!$B$44=0,"",'normal case'!AF407)</f>
        <v/>
      </c>
      <c r="O408" s="203" t="str">
        <f>IF(controls!$B$44=0,"",'external balance'!D407)</f>
        <v/>
      </c>
      <c r="P408" s="203" t="str">
        <f>IF(controls!$B$44=0,"",'external balance'!F407)</f>
        <v/>
      </c>
      <c r="Q408" s="202" t="str">
        <f>IF(controls!$B$44=0,"",'external balance'!H407)</f>
        <v/>
      </c>
    </row>
    <row r="409" spans="1:17" ht="14" thickTop="1" thickBot="1">
      <c r="A409" s="32">
        <v>406</v>
      </c>
      <c r="B409" s="20">
        <f ca="1">('normal case'!D408-'normal case'!B408)/'normal case'!B408</f>
        <v>0</v>
      </c>
      <c r="C409" s="26">
        <f ca="1">'normal case'!D408</f>
        <v>100</v>
      </c>
      <c r="D409" s="27">
        <f ca="1">'normal case'!C408</f>
        <v>0</v>
      </c>
      <c r="E409" s="25">
        <f ca="1">'normal case'!L408/100</f>
        <v>0.02</v>
      </c>
      <c r="F409" s="28">
        <f ca="1">'normal case'!N408/100</f>
        <v>0.06</v>
      </c>
      <c r="G409" s="28">
        <f ca="1">'normal case'!M408/100</f>
        <v>0.04</v>
      </c>
      <c r="H409" s="28">
        <f ca="1">'public finance'!D407</f>
        <v>0</v>
      </c>
      <c r="I409" s="23">
        <f ca="1">'public finance'!E407</f>
        <v>0</v>
      </c>
      <c r="J409" s="153">
        <f ca="1">'public finance'!H407</f>
        <v>0</v>
      </c>
      <c r="K409" s="20">
        <f ca="1">'public finance'!C407/'normal case'!D408</f>
        <v>0.2</v>
      </c>
      <c r="L409" s="23">
        <f ca="1">'public finance'!A407/'normal case'!D408</f>
        <v>0.2</v>
      </c>
      <c r="M409" s="21" t="str">
        <f>IF(controls!$B$44=0,"",'normal case'!AC408)</f>
        <v/>
      </c>
      <c r="N409" s="21" t="str">
        <f>IF(controls!$B$44=0,"",'normal case'!AF408)</f>
        <v/>
      </c>
      <c r="O409" s="203" t="str">
        <f>IF(controls!$B$44=0,"",'external balance'!D408)</f>
        <v/>
      </c>
      <c r="P409" s="203" t="str">
        <f>IF(controls!$B$44=0,"",'external balance'!F408)</f>
        <v/>
      </c>
      <c r="Q409" s="202" t="str">
        <f>IF(controls!$B$44=0,"",'external balance'!H408)</f>
        <v/>
      </c>
    </row>
    <row r="410" spans="1:17" ht="14" thickTop="1" thickBot="1">
      <c r="A410" s="32">
        <v>407</v>
      </c>
      <c r="B410" s="20">
        <f ca="1">('normal case'!D409-'normal case'!B409)/'normal case'!B409</f>
        <v>0</v>
      </c>
      <c r="C410" s="26">
        <f ca="1">'normal case'!D409</f>
        <v>100</v>
      </c>
      <c r="D410" s="27">
        <f ca="1">'normal case'!C409</f>
        <v>0</v>
      </c>
      <c r="E410" s="25">
        <f ca="1">'normal case'!L409/100</f>
        <v>0.02</v>
      </c>
      <c r="F410" s="28">
        <f ca="1">'normal case'!N409/100</f>
        <v>0.06</v>
      </c>
      <c r="G410" s="28">
        <f ca="1">'normal case'!M409/100</f>
        <v>0.04</v>
      </c>
      <c r="H410" s="28">
        <f ca="1">'public finance'!D408</f>
        <v>0</v>
      </c>
      <c r="I410" s="23">
        <f ca="1">'public finance'!E408</f>
        <v>0</v>
      </c>
      <c r="J410" s="153">
        <f ca="1">'public finance'!H408</f>
        <v>0</v>
      </c>
      <c r="K410" s="20">
        <f ca="1">'public finance'!C408/'normal case'!D409</f>
        <v>0.2</v>
      </c>
      <c r="L410" s="23">
        <f ca="1">'public finance'!A408/'normal case'!D409</f>
        <v>0.2</v>
      </c>
      <c r="M410" s="21" t="str">
        <f>IF(controls!$B$44=0,"",'normal case'!AC409)</f>
        <v/>
      </c>
      <c r="N410" s="21" t="str">
        <f>IF(controls!$B$44=0,"",'normal case'!AF409)</f>
        <v/>
      </c>
      <c r="O410" s="203" t="str">
        <f>IF(controls!$B$44=0,"",'external balance'!D409)</f>
        <v/>
      </c>
      <c r="P410" s="203" t="str">
        <f>IF(controls!$B$44=0,"",'external balance'!F409)</f>
        <v/>
      </c>
      <c r="Q410" s="202" t="str">
        <f>IF(controls!$B$44=0,"",'external balance'!H409)</f>
        <v/>
      </c>
    </row>
    <row r="411" spans="1:17" ht="14" thickTop="1" thickBot="1">
      <c r="A411" s="32">
        <v>408</v>
      </c>
      <c r="B411" s="20">
        <f ca="1">('normal case'!D410-'normal case'!B410)/'normal case'!B410</f>
        <v>0</v>
      </c>
      <c r="C411" s="26">
        <f ca="1">'normal case'!D410</f>
        <v>100</v>
      </c>
      <c r="D411" s="27">
        <f ca="1">'normal case'!C410</f>
        <v>0</v>
      </c>
      <c r="E411" s="25">
        <f ca="1">'normal case'!L410/100</f>
        <v>0.02</v>
      </c>
      <c r="F411" s="28">
        <f ca="1">'normal case'!N410/100</f>
        <v>0.06</v>
      </c>
      <c r="G411" s="28">
        <f ca="1">'normal case'!M410/100</f>
        <v>0.04</v>
      </c>
      <c r="H411" s="28">
        <f ca="1">'public finance'!D409</f>
        <v>0</v>
      </c>
      <c r="I411" s="23">
        <f ca="1">'public finance'!E409</f>
        <v>0</v>
      </c>
      <c r="J411" s="153">
        <f ca="1">'public finance'!H409</f>
        <v>0</v>
      </c>
      <c r="K411" s="20">
        <f ca="1">'public finance'!C409/'normal case'!D410</f>
        <v>0.2</v>
      </c>
      <c r="L411" s="23">
        <f ca="1">'public finance'!A409/'normal case'!D410</f>
        <v>0.2</v>
      </c>
      <c r="M411" s="21" t="str">
        <f>IF(controls!$B$44=0,"",'normal case'!AC410)</f>
        <v/>
      </c>
      <c r="N411" s="21" t="str">
        <f>IF(controls!$B$44=0,"",'normal case'!AF410)</f>
        <v/>
      </c>
      <c r="O411" s="203" t="str">
        <f>IF(controls!$B$44=0,"",'external balance'!D410)</f>
        <v/>
      </c>
      <c r="P411" s="203" t="str">
        <f>IF(controls!$B$44=0,"",'external balance'!F410)</f>
        <v/>
      </c>
      <c r="Q411" s="202" t="str">
        <f>IF(controls!$B$44=0,"",'external balance'!H410)</f>
        <v/>
      </c>
    </row>
    <row r="412" spans="1:17" ht="14" thickTop="1" thickBot="1">
      <c r="A412" s="32">
        <v>409</v>
      </c>
      <c r="B412" s="20">
        <f ca="1">('normal case'!D411-'normal case'!B411)/'normal case'!B411</f>
        <v>0</v>
      </c>
      <c r="C412" s="26">
        <f ca="1">'normal case'!D411</f>
        <v>100</v>
      </c>
      <c r="D412" s="27">
        <f ca="1">'normal case'!C411</f>
        <v>0</v>
      </c>
      <c r="E412" s="25">
        <f ca="1">'normal case'!L411/100</f>
        <v>0.02</v>
      </c>
      <c r="F412" s="28">
        <f ca="1">'normal case'!N411/100</f>
        <v>0.06</v>
      </c>
      <c r="G412" s="28">
        <f ca="1">'normal case'!M411/100</f>
        <v>0.04</v>
      </c>
      <c r="H412" s="28">
        <f ca="1">'public finance'!D410</f>
        <v>0</v>
      </c>
      <c r="I412" s="23">
        <f ca="1">'public finance'!E410</f>
        <v>0</v>
      </c>
      <c r="J412" s="153">
        <f ca="1">'public finance'!H410</f>
        <v>0</v>
      </c>
      <c r="K412" s="20">
        <f ca="1">'public finance'!C410/'normal case'!D411</f>
        <v>0.2</v>
      </c>
      <c r="L412" s="23">
        <f ca="1">'public finance'!A410/'normal case'!D411</f>
        <v>0.2</v>
      </c>
      <c r="M412" s="21" t="str">
        <f>IF(controls!$B$44=0,"",'normal case'!AC411)</f>
        <v/>
      </c>
      <c r="N412" s="21" t="str">
        <f>IF(controls!$B$44=0,"",'normal case'!AF411)</f>
        <v/>
      </c>
      <c r="O412" s="203" t="str">
        <f>IF(controls!$B$44=0,"",'external balance'!D411)</f>
        <v/>
      </c>
      <c r="P412" s="203" t="str">
        <f>IF(controls!$B$44=0,"",'external balance'!F411)</f>
        <v/>
      </c>
      <c r="Q412" s="202" t="str">
        <f>IF(controls!$B$44=0,"",'external balance'!H411)</f>
        <v/>
      </c>
    </row>
    <row r="413" spans="1:17" ht="14" thickTop="1" thickBot="1">
      <c r="A413" s="32">
        <v>410</v>
      </c>
      <c r="B413" s="20">
        <f ca="1">('normal case'!D412-'normal case'!B412)/'normal case'!B412</f>
        <v>0</v>
      </c>
      <c r="C413" s="26">
        <f ca="1">'normal case'!D412</f>
        <v>100</v>
      </c>
      <c r="D413" s="27">
        <f ca="1">'normal case'!C412</f>
        <v>0</v>
      </c>
      <c r="E413" s="25">
        <f ca="1">'normal case'!L412/100</f>
        <v>0.02</v>
      </c>
      <c r="F413" s="28">
        <f ca="1">'normal case'!N412/100</f>
        <v>0.06</v>
      </c>
      <c r="G413" s="28">
        <f ca="1">'normal case'!M412/100</f>
        <v>0.04</v>
      </c>
      <c r="H413" s="28">
        <f ca="1">'public finance'!D411</f>
        <v>0</v>
      </c>
      <c r="I413" s="23">
        <f ca="1">'public finance'!E411</f>
        <v>0</v>
      </c>
      <c r="J413" s="153">
        <f ca="1">'public finance'!H411</f>
        <v>0</v>
      </c>
      <c r="K413" s="20">
        <f ca="1">'public finance'!C411/'normal case'!D412</f>
        <v>0.2</v>
      </c>
      <c r="L413" s="23">
        <f ca="1">'public finance'!A411/'normal case'!D412</f>
        <v>0.2</v>
      </c>
      <c r="M413" s="21" t="str">
        <f>IF(controls!$B$44=0,"",'normal case'!AC412)</f>
        <v/>
      </c>
      <c r="N413" s="21" t="str">
        <f>IF(controls!$B$44=0,"",'normal case'!AF412)</f>
        <v/>
      </c>
      <c r="O413" s="203" t="str">
        <f>IF(controls!$B$44=0,"",'external balance'!D412)</f>
        <v/>
      </c>
      <c r="P413" s="203" t="str">
        <f>IF(controls!$B$44=0,"",'external balance'!F412)</f>
        <v/>
      </c>
      <c r="Q413" s="202" t="str">
        <f>IF(controls!$B$44=0,"",'external balance'!H412)</f>
        <v/>
      </c>
    </row>
    <row r="414" spans="1:17" ht="14" thickTop="1" thickBot="1">
      <c r="A414" s="32">
        <v>411</v>
      </c>
      <c r="B414" s="20">
        <f ca="1">('normal case'!D413-'normal case'!B413)/'normal case'!B413</f>
        <v>0</v>
      </c>
      <c r="C414" s="26">
        <f ca="1">'normal case'!D413</f>
        <v>100</v>
      </c>
      <c r="D414" s="27">
        <f ca="1">'normal case'!C413</f>
        <v>0</v>
      </c>
      <c r="E414" s="25">
        <f ca="1">'normal case'!L413/100</f>
        <v>0.02</v>
      </c>
      <c r="F414" s="28">
        <f ca="1">'normal case'!N413/100</f>
        <v>0.06</v>
      </c>
      <c r="G414" s="28">
        <f ca="1">'normal case'!M413/100</f>
        <v>0.04</v>
      </c>
      <c r="H414" s="28">
        <f ca="1">'public finance'!D412</f>
        <v>0</v>
      </c>
      <c r="I414" s="23">
        <f ca="1">'public finance'!E412</f>
        <v>0</v>
      </c>
      <c r="J414" s="153">
        <f ca="1">'public finance'!H412</f>
        <v>0</v>
      </c>
      <c r="K414" s="20">
        <f ca="1">'public finance'!C412/'normal case'!D413</f>
        <v>0.2</v>
      </c>
      <c r="L414" s="23">
        <f ca="1">'public finance'!A412/'normal case'!D413</f>
        <v>0.2</v>
      </c>
      <c r="M414" s="21" t="str">
        <f>IF(controls!$B$44=0,"",'normal case'!AC413)</f>
        <v/>
      </c>
      <c r="N414" s="21" t="str">
        <f>IF(controls!$B$44=0,"",'normal case'!AF413)</f>
        <v/>
      </c>
      <c r="O414" s="203" t="str">
        <f>IF(controls!$B$44=0,"",'external balance'!D413)</f>
        <v/>
      </c>
      <c r="P414" s="203" t="str">
        <f>IF(controls!$B$44=0,"",'external balance'!F413)</f>
        <v/>
      </c>
      <c r="Q414" s="202" t="str">
        <f>IF(controls!$B$44=0,"",'external balance'!H413)</f>
        <v/>
      </c>
    </row>
    <row r="415" spans="1:17" ht="14" thickTop="1" thickBot="1">
      <c r="A415" s="32">
        <v>412</v>
      </c>
      <c r="B415" s="20">
        <f ca="1">('normal case'!D414-'normal case'!B414)/'normal case'!B414</f>
        <v>0</v>
      </c>
      <c r="C415" s="26">
        <f ca="1">'normal case'!D414</f>
        <v>100</v>
      </c>
      <c r="D415" s="27">
        <f ca="1">'normal case'!C414</f>
        <v>0</v>
      </c>
      <c r="E415" s="25">
        <f ca="1">'normal case'!L414/100</f>
        <v>0.02</v>
      </c>
      <c r="F415" s="28">
        <f ca="1">'normal case'!N414/100</f>
        <v>0.06</v>
      </c>
      <c r="G415" s="28">
        <f ca="1">'normal case'!M414/100</f>
        <v>0.04</v>
      </c>
      <c r="H415" s="28">
        <f ca="1">'public finance'!D413</f>
        <v>0</v>
      </c>
      <c r="I415" s="23">
        <f ca="1">'public finance'!E413</f>
        <v>0</v>
      </c>
      <c r="J415" s="153">
        <f ca="1">'public finance'!H413</f>
        <v>0</v>
      </c>
      <c r="K415" s="20">
        <f ca="1">'public finance'!C413/'normal case'!D414</f>
        <v>0.2</v>
      </c>
      <c r="L415" s="23">
        <f ca="1">'public finance'!A413/'normal case'!D414</f>
        <v>0.2</v>
      </c>
      <c r="M415" s="21" t="str">
        <f>IF(controls!$B$44=0,"",'normal case'!AC414)</f>
        <v/>
      </c>
      <c r="N415" s="21" t="str">
        <f>IF(controls!$B$44=0,"",'normal case'!AF414)</f>
        <v/>
      </c>
      <c r="O415" s="203" t="str">
        <f>IF(controls!$B$44=0,"",'external balance'!D414)</f>
        <v/>
      </c>
      <c r="P415" s="203" t="str">
        <f>IF(controls!$B$44=0,"",'external balance'!F414)</f>
        <v/>
      </c>
      <c r="Q415" s="202" t="str">
        <f>IF(controls!$B$44=0,"",'external balance'!H414)</f>
        <v/>
      </c>
    </row>
    <row r="416" spans="1:17" ht="14" thickTop="1" thickBot="1">
      <c r="A416" s="32">
        <v>413</v>
      </c>
      <c r="B416" s="20">
        <f ca="1">('normal case'!D415-'normal case'!B415)/'normal case'!B415</f>
        <v>0</v>
      </c>
      <c r="C416" s="26">
        <f ca="1">'normal case'!D415</f>
        <v>100</v>
      </c>
      <c r="D416" s="27">
        <f ca="1">'normal case'!C415</f>
        <v>0</v>
      </c>
      <c r="E416" s="25">
        <f ca="1">'normal case'!L415/100</f>
        <v>0.02</v>
      </c>
      <c r="F416" s="28">
        <f ca="1">'normal case'!N415/100</f>
        <v>0.06</v>
      </c>
      <c r="G416" s="28">
        <f ca="1">'normal case'!M415/100</f>
        <v>0.04</v>
      </c>
      <c r="H416" s="28">
        <f ca="1">'public finance'!D414</f>
        <v>0</v>
      </c>
      <c r="I416" s="23">
        <f ca="1">'public finance'!E414</f>
        <v>0</v>
      </c>
      <c r="J416" s="153">
        <f ca="1">'public finance'!H414</f>
        <v>0</v>
      </c>
      <c r="K416" s="20">
        <f ca="1">'public finance'!C414/'normal case'!D415</f>
        <v>0.2</v>
      </c>
      <c r="L416" s="23">
        <f ca="1">'public finance'!A414/'normal case'!D415</f>
        <v>0.2</v>
      </c>
      <c r="M416" s="21" t="str">
        <f>IF(controls!$B$44=0,"",'normal case'!AC415)</f>
        <v/>
      </c>
      <c r="N416" s="21" t="str">
        <f>IF(controls!$B$44=0,"",'normal case'!AF415)</f>
        <v/>
      </c>
      <c r="O416" s="203" t="str">
        <f>IF(controls!$B$44=0,"",'external balance'!D415)</f>
        <v/>
      </c>
      <c r="P416" s="203" t="str">
        <f>IF(controls!$B$44=0,"",'external balance'!F415)</f>
        <v/>
      </c>
      <c r="Q416" s="202" t="str">
        <f>IF(controls!$B$44=0,"",'external balance'!H415)</f>
        <v/>
      </c>
    </row>
    <row r="417" spans="1:17" ht="14" thickTop="1" thickBot="1">
      <c r="A417" s="32">
        <v>414</v>
      </c>
      <c r="B417" s="20">
        <f ca="1">('normal case'!D416-'normal case'!B416)/'normal case'!B416</f>
        <v>0</v>
      </c>
      <c r="C417" s="26">
        <f ca="1">'normal case'!D416</f>
        <v>100</v>
      </c>
      <c r="D417" s="27">
        <f ca="1">'normal case'!C416</f>
        <v>0</v>
      </c>
      <c r="E417" s="25">
        <f ca="1">'normal case'!L416/100</f>
        <v>0.02</v>
      </c>
      <c r="F417" s="28">
        <f ca="1">'normal case'!N416/100</f>
        <v>0.06</v>
      </c>
      <c r="G417" s="28">
        <f ca="1">'normal case'!M416/100</f>
        <v>0.04</v>
      </c>
      <c r="H417" s="28">
        <f ca="1">'public finance'!D415</f>
        <v>0</v>
      </c>
      <c r="I417" s="23">
        <f ca="1">'public finance'!E415</f>
        <v>0</v>
      </c>
      <c r="J417" s="153">
        <f ca="1">'public finance'!H415</f>
        <v>0</v>
      </c>
      <c r="K417" s="20">
        <f ca="1">'public finance'!C415/'normal case'!D416</f>
        <v>0.2</v>
      </c>
      <c r="L417" s="23">
        <f ca="1">'public finance'!A415/'normal case'!D416</f>
        <v>0.2</v>
      </c>
      <c r="M417" s="21" t="str">
        <f>IF(controls!$B$44=0,"",'normal case'!AC416)</f>
        <v/>
      </c>
      <c r="N417" s="21" t="str">
        <f>IF(controls!$B$44=0,"",'normal case'!AF416)</f>
        <v/>
      </c>
      <c r="O417" s="203" t="str">
        <f>IF(controls!$B$44=0,"",'external balance'!D416)</f>
        <v/>
      </c>
      <c r="P417" s="203" t="str">
        <f>IF(controls!$B$44=0,"",'external balance'!F416)</f>
        <v/>
      </c>
      <c r="Q417" s="202" t="str">
        <f>IF(controls!$B$44=0,"",'external balance'!H416)</f>
        <v/>
      </c>
    </row>
    <row r="418" spans="1:17" ht="14" thickTop="1" thickBot="1">
      <c r="A418" s="32">
        <v>415</v>
      </c>
      <c r="B418" s="20">
        <f ca="1">('normal case'!D417-'normal case'!B417)/'normal case'!B417</f>
        <v>0</v>
      </c>
      <c r="C418" s="26">
        <f ca="1">'normal case'!D417</f>
        <v>100</v>
      </c>
      <c r="D418" s="27">
        <f ca="1">'normal case'!C417</f>
        <v>0</v>
      </c>
      <c r="E418" s="25">
        <f ca="1">'normal case'!L417/100</f>
        <v>0.02</v>
      </c>
      <c r="F418" s="28">
        <f ca="1">'normal case'!N417/100</f>
        <v>0.06</v>
      </c>
      <c r="G418" s="28">
        <f ca="1">'normal case'!M417/100</f>
        <v>0.04</v>
      </c>
      <c r="H418" s="28">
        <f ca="1">'public finance'!D416</f>
        <v>0</v>
      </c>
      <c r="I418" s="23">
        <f ca="1">'public finance'!E416</f>
        <v>0</v>
      </c>
      <c r="J418" s="153">
        <f ca="1">'public finance'!H416</f>
        <v>0</v>
      </c>
      <c r="K418" s="20">
        <f ca="1">'public finance'!C416/'normal case'!D417</f>
        <v>0.2</v>
      </c>
      <c r="L418" s="23">
        <f ca="1">'public finance'!A416/'normal case'!D417</f>
        <v>0.2</v>
      </c>
      <c r="M418" s="21" t="str">
        <f>IF(controls!$B$44=0,"",'normal case'!AC417)</f>
        <v/>
      </c>
      <c r="N418" s="21" t="str">
        <f>IF(controls!$B$44=0,"",'normal case'!AF417)</f>
        <v/>
      </c>
      <c r="O418" s="203" t="str">
        <f>IF(controls!$B$44=0,"",'external balance'!D417)</f>
        <v/>
      </c>
      <c r="P418" s="203" t="str">
        <f>IF(controls!$B$44=0,"",'external balance'!F417)</f>
        <v/>
      </c>
      <c r="Q418" s="202" t="str">
        <f>IF(controls!$B$44=0,"",'external balance'!H417)</f>
        <v/>
      </c>
    </row>
    <row r="419" spans="1:17" ht="14" thickTop="1" thickBot="1">
      <c r="A419" s="32">
        <v>416</v>
      </c>
      <c r="B419" s="20">
        <f ca="1">('normal case'!D418-'normal case'!B418)/'normal case'!B418</f>
        <v>0</v>
      </c>
      <c r="C419" s="26">
        <f ca="1">'normal case'!D418</f>
        <v>100</v>
      </c>
      <c r="D419" s="27">
        <f ca="1">'normal case'!C418</f>
        <v>0</v>
      </c>
      <c r="E419" s="25">
        <f ca="1">'normal case'!L418/100</f>
        <v>0.02</v>
      </c>
      <c r="F419" s="28">
        <f ca="1">'normal case'!N418/100</f>
        <v>0.06</v>
      </c>
      <c r="G419" s="28">
        <f ca="1">'normal case'!M418/100</f>
        <v>0.04</v>
      </c>
      <c r="H419" s="28">
        <f ca="1">'public finance'!D417</f>
        <v>0</v>
      </c>
      <c r="I419" s="23">
        <f ca="1">'public finance'!E417</f>
        <v>0</v>
      </c>
      <c r="J419" s="153">
        <f ca="1">'public finance'!H417</f>
        <v>0</v>
      </c>
      <c r="K419" s="20">
        <f ca="1">'public finance'!C417/'normal case'!D418</f>
        <v>0.2</v>
      </c>
      <c r="L419" s="23">
        <f ca="1">'public finance'!A417/'normal case'!D418</f>
        <v>0.2</v>
      </c>
      <c r="M419" s="21" t="str">
        <f>IF(controls!$B$44=0,"",'normal case'!AC418)</f>
        <v/>
      </c>
      <c r="N419" s="21" t="str">
        <f>IF(controls!$B$44=0,"",'normal case'!AF418)</f>
        <v/>
      </c>
      <c r="O419" s="203" t="str">
        <f>IF(controls!$B$44=0,"",'external balance'!D418)</f>
        <v/>
      </c>
      <c r="P419" s="203" t="str">
        <f>IF(controls!$B$44=0,"",'external balance'!F418)</f>
        <v/>
      </c>
      <c r="Q419" s="202" t="str">
        <f>IF(controls!$B$44=0,"",'external balance'!H418)</f>
        <v/>
      </c>
    </row>
    <row r="420" spans="1:17" ht="14" thickTop="1" thickBot="1">
      <c r="A420" s="32">
        <v>417</v>
      </c>
      <c r="B420" s="20">
        <f ca="1">('normal case'!D419-'normal case'!B419)/'normal case'!B419</f>
        <v>0</v>
      </c>
      <c r="C420" s="26">
        <f ca="1">'normal case'!D419</f>
        <v>100</v>
      </c>
      <c r="D420" s="27">
        <f ca="1">'normal case'!C419</f>
        <v>0</v>
      </c>
      <c r="E420" s="25">
        <f ca="1">'normal case'!L419/100</f>
        <v>0.02</v>
      </c>
      <c r="F420" s="28">
        <f ca="1">'normal case'!N419/100</f>
        <v>0.06</v>
      </c>
      <c r="G420" s="28">
        <f ca="1">'normal case'!M419/100</f>
        <v>0.04</v>
      </c>
      <c r="H420" s="28">
        <f ca="1">'public finance'!D418</f>
        <v>0</v>
      </c>
      <c r="I420" s="23">
        <f ca="1">'public finance'!E418</f>
        <v>0</v>
      </c>
      <c r="J420" s="153">
        <f ca="1">'public finance'!H418</f>
        <v>0</v>
      </c>
      <c r="K420" s="20">
        <f ca="1">'public finance'!C418/'normal case'!D419</f>
        <v>0.2</v>
      </c>
      <c r="L420" s="23">
        <f ca="1">'public finance'!A418/'normal case'!D419</f>
        <v>0.2</v>
      </c>
      <c r="M420" s="21" t="str">
        <f>IF(controls!$B$44=0,"",'normal case'!AC419)</f>
        <v/>
      </c>
      <c r="N420" s="21" t="str">
        <f>IF(controls!$B$44=0,"",'normal case'!AF419)</f>
        <v/>
      </c>
      <c r="O420" s="203" t="str">
        <f>IF(controls!$B$44=0,"",'external balance'!D419)</f>
        <v/>
      </c>
      <c r="P420" s="203" t="str">
        <f>IF(controls!$B$44=0,"",'external balance'!F419)</f>
        <v/>
      </c>
      <c r="Q420" s="202" t="str">
        <f>IF(controls!$B$44=0,"",'external balance'!H419)</f>
        <v/>
      </c>
    </row>
    <row r="421" spans="1:17" ht="14" thickTop="1" thickBot="1">
      <c r="A421" s="32">
        <v>418</v>
      </c>
      <c r="B421" s="20">
        <f ca="1">('normal case'!D420-'normal case'!B420)/'normal case'!B420</f>
        <v>0</v>
      </c>
      <c r="C421" s="26">
        <f ca="1">'normal case'!D420</f>
        <v>100</v>
      </c>
      <c r="D421" s="27">
        <f ca="1">'normal case'!C420</f>
        <v>0</v>
      </c>
      <c r="E421" s="25">
        <f ca="1">'normal case'!L420/100</f>
        <v>0.02</v>
      </c>
      <c r="F421" s="28">
        <f ca="1">'normal case'!N420/100</f>
        <v>0.06</v>
      </c>
      <c r="G421" s="28">
        <f ca="1">'normal case'!M420/100</f>
        <v>0.04</v>
      </c>
      <c r="H421" s="28">
        <f ca="1">'public finance'!D419</f>
        <v>0</v>
      </c>
      <c r="I421" s="23">
        <f ca="1">'public finance'!E419</f>
        <v>0</v>
      </c>
      <c r="J421" s="153">
        <f ca="1">'public finance'!H419</f>
        <v>0</v>
      </c>
      <c r="K421" s="20">
        <f ca="1">'public finance'!C419/'normal case'!D420</f>
        <v>0.2</v>
      </c>
      <c r="L421" s="23">
        <f ca="1">'public finance'!A419/'normal case'!D420</f>
        <v>0.2</v>
      </c>
      <c r="M421" s="21" t="str">
        <f>IF(controls!$B$44=0,"",'normal case'!AC420)</f>
        <v/>
      </c>
      <c r="N421" s="21" t="str">
        <f>IF(controls!$B$44=0,"",'normal case'!AF420)</f>
        <v/>
      </c>
      <c r="O421" s="203" t="str">
        <f>IF(controls!$B$44=0,"",'external balance'!D420)</f>
        <v/>
      </c>
      <c r="P421" s="203" t="str">
        <f>IF(controls!$B$44=0,"",'external balance'!F420)</f>
        <v/>
      </c>
      <c r="Q421" s="202" t="str">
        <f>IF(controls!$B$44=0,"",'external balance'!H420)</f>
        <v/>
      </c>
    </row>
    <row r="422" spans="1:17" ht="14" thickTop="1" thickBot="1">
      <c r="A422" s="32">
        <v>419</v>
      </c>
      <c r="B422" s="20">
        <f ca="1">('normal case'!D421-'normal case'!B421)/'normal case'!B421</f>
        <v>0</v>
      </c>
      <c r="C422" s="26">
        <f ca="1">'normal case'!D421</f>
        <v>100</v>
      </c>
      <c r="D422" s="27">
        <f ca="1">'normal case'!C421</f>
        <v>0</v>
      </c>
      <c r="E422" s="25">
        <f ca="1">'normal case'!L421/100</f>
        <v>0.02</v>
      </c>
      <c r="F422" s="28">
        <f ca="1">'normal case'!N421/100</f>
        <v>0.06</v>
      </c>
      <c r="G422" s="28">
        <f ca="1">'normal case'!M421/100</f>
        <v>0.04</v>
      </c>
      <c r="H422" s="28">
        <f ca="1">'public finance'!D420</f>
        <v>0</v>
      </c>
      <c r="I422" s="23">
        <f ca="1">'public finance'!E420</f>
        <v>0</v>
      </c>
      <c r="J422" s="153">
        <f ca="1">'public finance'!H420</f>
        <v>0</v>
      </c>
      <c r="K422" s="20">
        <f ca="1">'public finance'!C420/'normal case'!D421</f>
        <v>0.2</v>
      </c>
      <c r="L422" s="23">
        <f ca="1">'public finance'!A420/'normal case'!D421</f>
        <v>0.2</v>
      </c>
      <c r="M422" s="21" t="str">
        <f>IF(controls!$B$44=0,"",'normal case'!AC421)</f>
        <v/>
      </c>
      <c r="N422" s="21" t="str">
        <f>IF(controls!$B$44=0,"",'normal case'!AF421)</f>
        <v/>
      </c>
      <c r="O422" s="203" t="str">
        <f>IF(controls!$B$44=0,"",'external balance'!D421)</f>
        <v/>
      </c>
      <c r="P422" s="203" t="str">
        <f>IF(controls!$B$44=0,"",'external balance'!F421)</f>
        <v/>
      </c>
      <c r="Q422" s="202" t="str">
        <f>IF(controls!$B$44=0,"",'external balance'!H421)</f>
        <v/>
      </c>
    </row>
    <row r="423" spans="1:17" ht="14" thickTop="1" thickBot="1">
      <c r="A423" s="32">
        <v>420</v>
      </c>
      <c r="B423" s="20">
        <f ca="1">('normal case'!D422-'normal case'!B422)/'normal case'!B422</f>
        <v>0</v>
      </c>
      <c r="C423" s="26">
        <f ca="1">'normal case'!D422</f>
        <v>100</v>
      </c>
      <c r="D423" s="27">
        <f ca="1">'normal case'!C422</f>
        <v>0</v>
      </c>
      <c r="E423" s="25">
        <f ca="1">'normal case'!L422/100</f>
        <v>0.02</v>
      </c>
      <c r="F423" s="28">
        <f ca="1">'normal case'!N422/100</f>
        <v>0.06</v>
      </c>
      <c r="G423" s="28">
        <f ca="1">'normal case'!M422/100</f>
        <v>0.04</v>
      </c>
      <c r="H423" s="28">
        <f ca="1">'public finance'!D421</f>
        <v>0</v>
      </c>
      <c r="I423" s="23">
        <f ca="1">'public finance'!E421</f>
        <v>0</v>
      </c>
      <c r="J423" s="153">
        <f ca="1">'public finance'!H421</f>
        <v>0</v>
      </c>
      <c r="K423" s="20">
        <f ca="1">'public finance'!C421/'normal case'!D422</f>
        <v>0.2</v>
      </c>
      <c r="L423" s="23">
        <f ca="1">'public finance'!A421/'normal case'!D422</f>
        <v>0.2</v>
      </c>
      <c r="M423" s="21" t="str">
        <f>IF(controls!$B$44=0,"",'normal case'!AC422)</f>
        <v/>
      </c>
      <c r="N423" s="21" t="str">
        <f>IF(controls!$B$44=0,"",'normal case'!AF422)</f>
        <v/>
      </c>
      <c r="O423" s="203" t="str">
        <f>IF(controls!$B$44=0,"",'external balance'!D422)</f>
        <v/>
      </c>
      <c r="P423" s="203" t="str">
        <f>IF(controls!$B$44=0,"",'external balance'!F422)</f>
        <v/>
      </c>
      <c r="Q423" s="202" t="str">
        <f>IF(controls!$B$44=0,"",'external balance'!H422)</f>
        <v/>
      </c>
    </row>
    <row r="424" spans="1:17" ht="14" thickTop="1" thickBot="1">
      <c r="A424" s="32">
        <v>421</v>
      </c>
      <c r="B424" s="20">
        <f ca="1">('normal case'!D423-'normal case'!B423)/'normal case'!B423</f>
        <v>0</v>
      </c>
      <c r="C424" s="26">
        <f ca="1">'normal case'!D423</f>
        <v>100</v>
      </c>
      <c r="D424" s="27">
        <f ca="1">'normal case'!C423</f>
        <v>0</v>
      </c>
      <c r="E424" s="25">
        <f ca="1">'normal case'!L423/100</f>
        <v>0.02</v>
      </c>
      <c r="F424" s="28">
        <f ca="1">'normal case'!N423/100</f>
        <v>0.06</v>
      </c>
      <c r="G424" s="28">
        <f ca="1">'normal case'!M423/100</f>
        <v>0.04</v>
      </c>
      <c r="H424" s="28">
        <f ca="1">'public finance'!D422</f>
        <v>0</v>
      </c>
      <c r="I424" s="23">
        <f ca="1">'public finance'!E422</f>
        <v>0</v>
      </c>
      <c r="J424" s="153">
        <f ca="1">'public finance'!H422</f>
        <v>0</v>
      </c>
      <c r="K424" s="20">
        <f ca="1">'public finance'!C422/'normal case'!D423</f>
        <v>0.2</v>
      </c>
      <c r="L424" s="23">
        <f ca="1">'public finance'!A422/'normal case'!D423</f>
        <v>0.2</v>
      </c>
      <c r="M424" s="21" t="str">
        <f>IF(controls!$B$44=0,"",'normal case'!AC423)</f>
        <v/>
      </c>
      <c r="N424" s="21" t="str">
        <f>IF(controls!$B$44=0,"",'normal case'!AF423)</f>
        <v/>
      </c>
      <c r="O424" s="203" t="str">
        <f>IF(controls!$B$44=0,"",'external balance'!D423)</f>
        <v/>
      </c>
      <c r="P424" s="203" t="str">
        <f>IF(controls!$B$44=0,"",'external balance'!F423)</f>
        <v/>
      </c>
      <c r="Q424" s="202" t="str">
        <f>IF(controls!$B$44=0,"",'external balance'!H423)</f>
        <v/>
      </c>
    </row>
    <row r="425" spans="1:17" ht="14" thickTop="1" thickBot="1">
      <c r="A425" s="32">
        <v>422</v>
      </c>
      <c r="B425" s="20">
        <f ca="1">('normal case'!D424-'normal case'!B424)/'normal case'!B424</f>
        <v>0</v>
      </c>
      <c r="C425" s="26">
        <f ca="1">'normal case'!D424</f>
        <v>100</v>
      </c>
      <c r="D425" s="27">
        <f ca="1">'normal case'!C424</f>
        <v>0</v>
      </c>
      <c r="E425" s="25">
        <f ca="1">'normal case'!L424/100</f>
        <v>0.02</v>
      </c>
      <c r="F425" s="28">
        <f ca="1">'normal case'!N424/100</f>
        <v>0.06</v>
      </c>
      <c r="G425" s="28">
        <f ca="1">'normal case'!M424/100</f>
        <v>0.04</v>
      </c>
      <c r="H425" s="28">
        <f ca="1">'public finance'!D423</f>
        <v>0</v>
      </c>
      <c r="I425" s="23">
        <f ca="1">'public finance'!E423</f>
        <v>0</v>
      </c>
      <c r="J425" s="153">
        <f ca="1">'public finance'!H423</f>
        <v>0</v>
      </c>
      <c r="K425" s="20">
        <f ca="1">'public finance'!C423/'normal case'!D424</f>
        <v>0.2</v>
      </c>
      <c r="L425" s="23">
        <f ca="1">'public finance'!A423/'normal case'!D424</f>
        <v>0.2</v>
      </c>
      <c r="M425" s="21" t="str">
        <f>IF(controls!$B$44=0,"",'normal case'!AC424)</f>
        <v/>
      </c>
      <c r="N425" s="21" t="str">
        <f>IF(controls!$B$44=0,"",'normal case'!AF424)</f>
        <v/>
      </c>
      <c r="O425" s="203" t="str">
        <f>IF(controls!$B$44=0,"",'external balance'!D424)</f>
        <v/>
      </c>
      <c r="P425" s="203" t="str">
        <f>IF(controls!$B$44=0,"",'external balance'!F424)</f>
        <v/>
      </c>
      <c r="Q425" s="202" t="str">
        <f>IF(controls!$B$44=0,"",'external balance'!H424)</f>
        <v/>
      </c>
    </row>
    <row r="426" spans="1:17" ht="14" thickTop="1" thickBot="1">
      <c r="A426" s="32">
        <v>423</v>
      </c>
      <c r="B426" s="20">
        <f ca="1">('normal case'!D425-'normal case'!B425)/'normal case'!B425</f>
        <v>0</v>
      </c>
      <c r="C426" s="26">
        <f ca="1">'normal case'!D425</f>
        <v>100</v>
      </c>
      <c r="D426" s="27">
        <f ca="1">'normal case'!C425</f>
        <v>0</v>
      </c>
      <c r="E426" s="25">
        <f ca="1">'normal case'!L425/100</f>
        <v>0.02</v>
      </c>
      <c r="F426" s="28">
        <f ca="1">'normal case'!N425/100</f>
        <v>0.06</v>
      </c>
      <c r="G426" s="28">
        <f ca="1">'normal case'!M425/100</f>
        <v>0.04</v>
      </c>
      <c r="H426" s="28">
        <f ca="1">'public finance'!D424</f>
        <v>0</v>
      </c>
      <c r="I426" s="23">
        <f ca="1">'public finance'!E424</f>
        <v>0</v>
      </c>
      <c r="J426" s="153">
        <f ca="1">'public finance'!H424</f>
        <v>0</v>
      </c>
      <c r="K426" s="20">
        <f ca="1">'public finance'!C424/'normal case'!D425</f>
        <v>0.2</v>
      </c>
      <c r="L426" s="23">
        <f ca="1">'public finance'!A424/'normal case'!D425</f>
        <v>0.2</v>
      </c>
      <c r="M426" s="21" t="str">
        <f>IF(controls!$B$44=0,"",'normal case'!AC425)</f>
        <v/>
      </c>
      <c r="N426" s="21" t="str">
        <f>IF(controls!$B$44=0,"",'normal case'!AF425)</f>
        <v/>
      </c>
      <c r="O426" s="203" t="str">
        <f>IF(controls!$B$44=0,"",'external balance'!D425)</f>
        <v/>
      </c>
      <c r="P426" s="203" t="str">
        <f>IF(controls!$B$44=0,"",'external balance'!F425)</f>
        <v/>
      </c>
      <c r="Q426" s="202" t="str">
        <f>IF(controls!$B$44=0,"",'external balance'!H425)</f>
        <v/>
      </c>
    </row>
    <row r="427" spans="1:17" ht="14" thickTop="1" thickBot="1">
      <c r="A427" s="32">
        <v>424</v>
      </c>
      <c r="B427" s="20">
        <f ca="1">('normal case'!D426-'normal case'!B426)/'normal case'!B426</f>
        <v>0</v>
      </c>
      <c r="C427" s="26">
        <f ca="1">'normal case'!D426</f>
        <v>100</v>
      </c>
      <c r="D427" s="27">
        <f ca="1">'normal case'!C426</f>
        <v>0</v>
      </c>
      <c r="E427" s="25">
        <f ca="1">'normal case'!L426/100</f>
        <v>0.02</v>
      </c>
      <c r="F427" s="28">
        <f ca="1">'normal case'!N426/100</f>
        <v>0.06</v>
      </c>
      <c r="G427" s="28">
        <f ca="1">'normal case'!M426/100</f>
        <v>0.04</v>
      </c>
      <c r="H427" s="28">
        <f ca="1">'public finance'!D425</f>
        <v>0</v>
      </c>
      <c r="I427" s="23">
        <f ca="1">'public finance'!E425</f>
        <v>0</v>
      </c>
      <c r="J427" s="153">
        <f ca="1">'public finance'!H425</f>
        <v>0</v>
      </c>
      <c r="K427" s="20">
        <f ca="1">'public finance'!C425/'normal case'!D426</f>
        <v>0.2</v>
      </c>
      <c r="L427" s="23">
        <f ca="1">'public finance'!A425/'normal case'!D426</f>
        <v>0.2</v>
      </c>
      <c r="M427" s="21" t="str">
        <f>IF(controls!$B$44=0,"",'normal case'!AC426)</f>
        <v/>
      </c>
      <c r="N427" s="21" t="str">
        <f>IF(controls!$B$44=0,"",'normal case'!AF426)</f>
        <v/>
      </c>
      <c r="O427" s="203" t="str">
        <f>IF(controls!$B$44=0,"",'external balance'!D426)</f>
        <v/>
      </c>
      <c r="P427" s="203" t="str">
        <f>IF(controls!$B$44=0,"",'external balance'!F426)</f>
        <v/>
      </c>
      <c r="Q427" s="202" t="str">
        <f>IF(controls!$B$44=0,"",'external balance'!H426)</f>
        <v/>
      </c>
    </row>
    <row r="428" spans="1:17" ht="14" thickTop="1" thickBot="1">
      <c r="A428" s="32">
        <v>425</v>
      </c>
      <c r="B428" s="20">
        <f ca="1">('normal case'!D427-'normal case'!B427)/'normal case'!B427</f>
        <v>0</v>
      </c>
      <c r="C428" s="26">
        <f ca="1">'normal case'!D427</f>
        <v>100</v>
      </c>
      <c r="D428" s="27">
        <f ca="1">'normal case'!C427</f>
        <v>0</v>
      </c>
      <c r="E428" s="25">
        <f ca="1">'normal case'!L427/100</f>
        <v>0.02</v>
      </c>
      <c r="F428" s="28">
        <f ca="1">'normal case'!N427/100</f>
        <v>0.06</v>
      </c>
      <c r="G428" s="28">
        <f ca="1">'normal case'!M427/100</f>
        <v>0.04</v>
      </c>
      <c r="H428" s="28">
        <f ca="1">'public finance'!D426</f>
        <v>0</v>
      </c>
      <c r="I428" s="23">
        <f ca="1">'public finance'!E426</f>
        <v>0</v>
      </c>
      <c r="J428" s="153">
        <f ca="1">'public finance'!H426</f>
        <v>0</v>
      </c>
      <c r="K428" s="20">
        <f ca="1">'public finance'!C426/'normal case'!D427</f>
        <v>0.2</v>
      </c>
      <c r="L428" s="23">
        <f ca="1">'public finance'!A426/'normal case'!D427</f>
        <v>0.2</v>
      </c>
      <c r="M428" s="21" t="str">
        <f>IF(controls!$B$44=0,"",'normal case'!AC427)</f>
        <v/>
      </c>
      <c r="N428" s="21" t="str">
        <f>IF(controls!$B$44=0,"",'normal case'!AF427)</f>
        <v/>
      </c>
      <c r="O428" s="203" t="str">
        <f>IF(controls!$B$44=0,"",'external balance'!D427)</f>
        <v/>
      </c>
      <c r="P428" s="203" t="str">
        <f>IF(controls!$B$44=0,"",'external balance'!F427)</f>
        <v/>
      </c>
      <c r="Q428" s="202" t="str">
        <f>IF(controls!$B$44=0,"",'external balance'!H427)</f>
        <v/>
      </c>
    </row>
    <row r="429" spans="1:17" ht="14" thickTop="1" thickBot="1">
      <c r="A429" s="32">
        <v>426</v>
      </c>
      <c r="B429" s="20">
        <f ca="1">('normal case'!D428-'normal case'!B428)/'normal case'!B428</f>
        <v>0</v>
      </c>
      <c r="C429" s="26">
        <f ca="1">'normal case'!D428</f>
        <v>100</v>
      </c>
      <c r="D429" s="27">
        <f ca="1">'normal case'!C428</f>
        <v>0</v>
      </c>
      <c r="E429" s="25">
        <f ca="1">'normal case'!L428/100</f>
        <v>0.02</v>
      </c>
      <c r="F429" s="28">
        <f ca="1">'normal case'!N428/100</f>
        <v>0.06</v>
      </c>
      <c r="G429" s="28">
        <f ca="1">'normal case'!M428/100</f>
        <v>0.04</v>
      </c>
      <c r="H429" s="28">
        <f ca="1">'public finance'!D427</f>
        <v>0</v>
      </c>
      <c r="I429" s="23">
        <f ca="1">'public finance'!E427</f>
        <v>0</v>
      </c>
      <c r="J429" s="153">
        <f ca="1">'public finance'!H427</f>
        <v>0</v>
      </c>
      <c r="K429" s="20">
        <f ca="1">'public finance'!C427/'normal case'!D428</f>
        <v>0.2</v>
      </c>
      <c r="L429" s="23">
        <f ca="1">'public finance'!A427/'normal case'!D428</f>
        <v>0.2</v>
      </c>
      <c r="M429" s="21" t="str">
        <f>IF(controls!$B$44=0,"",'normal case'!AC428)</f>
        <v/>
      </c>
      <c r="N429" s="21" t="str">
        <f>IF(controls!$B$44=0,"",'normal case'!AF428)</f>
        <v/>
      </c>
      <c r="O429" s="203" t="str">
        <f>IF(controls!$B$44=0,"",'external balance'!D428)</f>
        <v/>
      </c>
      <c r="P429" s="203" t="str">
        <f>IF(controls!$B$44=0,"",'external balance'!F428)</f>
        <v/>
      </c>
      <c r="Q429" s="202" t="str">
        <f>IF(controls!$B$44=0,"",'external balance'!H428)</f>
        <v/>
      </c>
    </row>
    <row r="430" spans="1:17" ht="14" thickTop="1" thickBot="1">
      <c r="A430" s="32">
        <v>427</v>
      </c>
      <c r="B430" s="20">
        <f ca="1">('normal case'!D429-'normal case'!B429)/'normal case'!B429</f>
        <v>0</v>
      </c>
      <c r="C430" s="26">
        <f ca="1">'normal case'!D429</f>
        <v>100</v>
      </c>
      <c r="D430" s="27">
        <f ca="1">'normal case'!C429</f>
        <v>0</v>
      </c>
      <c r="E430" s="25">
        <f ca="1">'normal case'!L429/100</f>
        <v>0.02</v>
      </c>
      <c r="F430" s="28">
        <f ca="1">'normal case'!N429/100</f>
        <v>0.06</v>
      </c>
      <c r="G430" s="28">
        <f ca="1">'normal case'!M429/100</f>
        <v>0.04</v>
      </c>
      <c r="H430" s="28">
        <f ca="1">'public finance'!D428</f>
        <v>0</v>
      </c>
      <c r="I430" s="23">
        <f ca="1">'public finance'!E428</f>
        <v>0</v>
      </c>
      <c r="J430" s="153">
        <f ca="1">'public finance'!H428</f>
        <v>0</v>
      </c>
      <c r="K430" s="20">
        <f ca="1">'public finance'!C428/'normal case'!D429</f>
        <v>0.2</v>
      </c>
      <c r="L430" s="23">
        <f ca="1">'public finance'!A428/'normal case'!D429</f>
        <v>0.2</v>
      </c>
      <c r="M430" s="21" t="str">
        <f>IF(controls!$B$44=0,"",'normal case'!AC429)</f>
        <v/>
      </c>
      <c r="N430" s="21" t="str">
        <f>IF(controls!$B$44=0,"",'normal case'!AF429)</f>
        <v/>
      </c>
      <c r="O430" s="203" t="str">
        <f>IF(controls!$B$44=0,"",'external balance'!D429)</f>
        <v/>
      </c>
      <c r="P430" s="203" t="str">
        <f>IF(controls!$B$44=0,"",'external balance'!F429)</f>
        <v/>
      </c>
      <c r="Q430" s="202" t="str">
        <f>IF(controls!$B$44=0,"",'external balance'!H429)</f>
        <v/>
      </c>
    </row>
    <row r="431" spans="1:17" ht="14" thickTop="1" thickBot="1">
      <c r="A431" s="32">
        <v>428</v>
      </c>
      <c r="B431" s="20">
        <f ca="1">('normal case'!D430-'normal case'!B430)/'normal case'!B430</f>
        <v>0</v>
      </c>
      <c r="C431" s="26">
        <f ca="1">'normal case'!D430</f>
        <v>100</v>
      </c>
      <c r="D431" s="27">
        <f ca="1">'normal case'!C430</f>
        <v>0</v>
      </c>
      <c r="E431" s="25">
        <f ca="1">'normal case'!L430/100</f>
        <v>0.02</v>
      </c>
      <c r="F431" s="28">
        <f ca="1">'normal case'!N430/100</f>
        <v>0.06</v>
      </c>
      <c r="G431" s="28">
        <f ca="1">'normal case'!M430/100</f>
        <v>0.04</v>
      </c>
      <c r="H431" s="28">
        <f ca="1">'public finance'!D429</f>
        <v>0</v>
      </c>
      <c r="I431" s="23">
        <f ca="1">'public finance'!E429</f>
        <v>0</v>
      </c>
      <c r="J431" s="153">
        <f ca="1">'public finance'!H429</f>
        <v>0</v>
      </c>
      <c r="K431" s="20">
        <f ca="1">'public finance'!C429/'normal case'!D430</f>
        <v>0.2</v>
      </c>
      <c r="L431" s="23">
        <f ca="1">'public finance'!A429/'normal case'!D430</f>
        <v>0.2</v>
      </c>
      <c r="M431" s="21" t="str">
        <f>IF(controls!$B$44=0,"",'normal case'!AC430)</f>
        <v/>
      </c>
      <c r="N431" s="21" t="str">
        <f>IF(controls!$B$44=0,"",'normal case'!AF430)</f>
        <v/>
      </c>
      <c r="O431" s="203" t="str">
        <f>IF(controls!$B$44=0,"",'external balance'!D430)</f>
        <v/>
      </c>
      <c r="P431" s="203" t="str">
        <f>IF(controls!$B$44=0,"",'external balance'!F430)</f>
        <v/>
      </c>
      <c r="Q431" s="202" t="str">
        <f>IF(controls!$B$44=0,"",'external balance'!H430)</f>
        <v/>
      </c>
    </row>
    <row r="432" spans="1:17" ht="14" thickTop="1" thickBot="1">
      <c r="A432" s="32">
        <v>429</v>
      </c>
      <c r="B432" s="20">
        <f ca="1">('normal case'!D431-'normal case'!B431)/'normal case'!B431</f>
        <v>0</v>
      </c>
      <c r="C432" s="26">
        <f ca="1">'normal case'!D431</f>
        <v>100</v>
      </c>
      <c r="D432" s="27">
        <f ca="1">'normal case'!C431</f>
        <v>0</v>
      </c>
      <c r="E432" s="25">
        <f ca="1">'normal case'!L431/100</f>
        <v>0.02</v>
      </c>
      <c r="F432" s="28">
        <f ca="1">'normal case'!N431/100</f>
        <v>0.06</v>
      </c>
      <c r="G432" s="28">
        <f ca="1">'normal case'!M431/100</f>
        <v>0.04</v>
      </c>
      <c r="H432" s="28">
        <f ca="1">'public finance'!D430</f>
        <v>0</v>
      </c>
      <c r="I432" s="23">
        <f ca="1">'public finance'!E430</f>
        <v>0</v>
      </c>
      <c r="J432" s="153">
        <f ca="1">'public finance'!H430</f>
        <v>0</v>
      </c>
      <c r="K432" s="20">
        <f ca="1">'public finance'!C430/'normal case'!D431</f>
        <v>0.2</v>
      </c>
      <c r="L432" s="23">
        <f ca="1">'public finance'!A430/'normal case'!D431</f>
        <v>0.2</v>
      </c>
      <c r="M432" s="21" t="str">
        <f>IF(controls!$B$44=0,"",'normal case'!AC431)</f>
        <v/>
      </c>
      <c r="N432" s="21" t="str">
        <f>IF(controls!$B$44=0,"",'normal case'!AF431)</f>
        <v/>
      </c>
      <c r="O432" s="203" t="str">
        <f>IF(controls!$B$44=0,"",'external balance'!D431)</f>
        <v/>
      </c>
      <c r="P432" s="203" t="str">
        <f>IF(controls!$B$44=0,"",'external balance'!F431)</f>
        <v/>
      </c>
      <c r="Q432" s="202" t="str">
        <f>IF(controls!$B$44=0,"",'external balance'!H431)</f>
        <v/>
      </c>
    </row>
    <row r="433" spans="1:17" ht="14" thickTop="1" thickBot="1">
      <c r="A433" s="32">
        <v>430</v>
      </c>
      <c r="B433" s="20">
        <f ca="1">('normal case'!D432-'normal case'!B432)/'normal case'!B432</f>
        <v>0</v>
      </c>
      <c r="C433" s="26">
        <f ca="1">'normal case'!D432</f>
        <v>100</v>
      </c>
      <c r="D433" s="27">
        <f ca="1">'normal case'!C432</f>
        <v>0</v>
      </c>
      <c r="E433" s="25">
        <f ca="1">'normal case'!L432/100</f>
        <v>0.02</v>
      </c>
      <c r="F433" s="28">
        <f ca="1">'normal case'!N432/100</f>
        <v>0.06</v>
      </c>
      <c r="G433" s="28">
        <f ca="1">'normal case'!M432/100</f>
        <v>0.04</v>
      </c>
      <c r="H433" s="28">
        <f ca="1">'public finance'!D431</f>
        <v>0</v>
      </c>
      <c r="I433" s="23">
        <f ca="1">'public finance'!E431</f>
        <v>0</v>
      </c>
      <c r="J433" s="153">
        <f ca="1">'public finance'!H431</f>
        <v>0</v>
      </c>
      <c r="K433" s="20">
        <f ca="1">'public finance'!C431/'normal case'!D432</f>
        <v>0.2</v>
      </c>
      <c r="L433" s="23">
        <f ca="1">'public finance'!A431/'normal case'!D432</f>
        <v>0.2</v>
      </c>
      <c r="M433" s="21" t="str">
        <f>IF(controls!$B$44=0,"",'normal case'!AC432)</f>
        <v/>
      </c>
      <c r="N433" s="21" t="str">
        <f>IF(controls!$B$44=0,"",'normal case'!AF432)</f>
        <v/>
      </c>
      <c r="O433" s="203" t="str">
        <f>IF(controls!$B$44=0,"",'external balance'!D432)</f>
        <v/>
      </c>
      <c r="P433" s="203" t="str">
        <f>IF(controls!$B$44=0,"",'external balance'!F432)</f>
        <v/>
      </c>
      <c r="Q433" s="202" t="str">
        <f>IF(controls!$B$44=0,"",'external balance'!H432)</f>
        <v/>
      </c>
    </row>
    <row r="434" spans="1:17" ht="14" thickTop="1" thickBot="1">
      <c r="A434" s="32">
        <v>431</v>
      </c>
      <c r="B434" s="20">
        <f ca="1">('normal case'!D433-'normal case'!B433)/'normal case'!B433</f>
        <v>0</v>
      </c>
      <c r="C434" s="26">
        <f ca="1">'normal case'!D433</f>
        <v>100</v>
      </c>
      <c r="D434" s="27">
        <f ca="1">'normal case'!C433</f>
        <v>0</v>
      </c>
      <c r="E434" s="25">
        <f ca="1">'normal case'!L433/100</f>
        <v>0.02</v>
      </c>
      <c r="F434" s="28">
        <f ca="1">'normal case'!N433/100</f>
        <v>0.06</v>
      </c>
      <c r="G434" s="28">
        <f ca="1">'normal case'!M433/100</f>
        <v>0.04</v>
      </c>
      <c r="H434" s="28">
        <f ca="1">'public finance'!D432</f>
        <v>0</v>
      </c>
      <c r="I434" s="23">
        <f ca="1">'public finance'!E432</f>
        <v>0</v>
      </c>
      <c r="J434" s="153">
        <f ca="1">'public finance'!H432</f>
        <v>0</v>
      </c>
      <c r="K434" s="20">
        <f ca="1">'public finance'!C432/'normal case'!D433</f>
        <v>0.2</v>
      </c>
      <c r="L434" s="23">
        <f ca="1">'public finance'!A432/'normal case'!D433</f>
        <v>0.2</v>
      </c>
      <c r="M434" s="21" t="str">
        <f>IF(controls!$B$44=0,"",'normal case'!AC433)</f>
        <v/>
      </c>
      <c r="N434" s="21" t="str">
        <f>IF(controls!$B$44=0,"",'normal case'!AF433)</f>
        <v/>
      </c>
      <c r="O434" s="203" t="str">
        <f>IF(controls!$B$44=0,"",'external balance'!D433)</f>
        <v/>
      </c>
      <c r="P434" s="203" t="str">
        <f>IF(controls!$B$44=0,"",'external balance'!F433)</f>
        <v/>
      </c>
      <c r="Q434" s="202" t="str">
        <f>IF(controls!$B$44=0,"",'external balance'!H433)</f>
        <v/>
      </c>
    </row>
    <row r="435" spans="1:17" ht="14" thickTop="1" thickBot="1">
      <c r="A435" s="32">
        <v>432</v>
      </c>
      <c r="B435" s="20">
        <f ca="1">('normal case'!D434-'normal case'!B434)/'normal case'!B434</f>
        <v>0</v>
      </c>
      <c r="C435" s="26">
        <f ca="1">'normal case'!D434</f>
        <v>100</v>
      </c>
      <c r="D435" s="27">
        <f ca="1">'normal case'!C434</f>
        <v>0</v>
      </c>
      <c r="E435" s="25">
        <f ca="1">'normal case'!L434/100</f>
        <v>0.02</v>
      </c>
      <c r="F435" s="28">
        <f ca="1">'normal case'!N434/100</f>
        <v>0.06</v>
      </c>
      <c r="G435" s="28">
        <f ca="1">'normal case'!M434/100</f>
        <v>0.04</v>
      </c>
      <c r="H435" s="28">
        <f ca="1">'public finance'!D433</f>
        <v>0</v>
      </c>
      <c r="I435" s="23">
        <f ca="1">'public finance'!E433</f>
        <v>0</v>
      </c>
      <c r="J435" s="153">
        <f ca="1">'public finance'!H433</f>
        <v>0</v>
      </c>
      <c r="K435" s="20">
        <f ca="1">'public finance'!C433/'normal case'!D434</f>
        <v>0.2</v>
      </c>
      <c r="L435" s="23">
        <f ca="1">'public finance'!A433/'normal case'!D434</f>
        <v>0.2</v>
      </c>
      <c r="M435" s="21" t="str">
        <f>IF(controls!$B$44=0,"",'normal case'!AC434)</f>
        <v/>
      </c>
      <c r="N435" s="21" t="str">
        <f>IF(controls!$B$44=0,"",'normal case'!AF434)</f>
        <v/>
      </c>
      <c r="O435" s="203" t="str">
        <f>IF(controls!$B$44=0,"",'external balance'!D434)</f>
        <v/>
      </c>
      <c r="P435" s="203" t="str">
        <f>IF(controls!$B$44=0,"",'external balance'!F434)</f>
        <v/>
      </c>
      <c r="Q435" s="202" t="str">
        <f>IF(controls!$B$44=0,"",'external balance'!H434)</f>
        <v/>
      </c>
    </row>
    <row r="436" spans="1:17" ht="14" thickTop="1" thickBot="1">
      <c r="A436" s="32">
        <v>433</v>
      </c>
      <c r="B436" s="20">
        <f ca="1">('normal case'!D435-'normal case'!B435)/'normal case'!B435</f>
        <v>0</v>
      </c>
      <c r="C436" s="26">
        <f ca="1">'normal case'!D435</f>
        <v>100</v>
      </c>
      <c r="D436" s="27">
        <f ca="1">'normal case'!C435</f>
        <v>0</v>
      </c>
      <c r="E436" s="25">
        <f ca="1">'normal case'!L435/100</f>
        <v>0.02</v>
      </c>
      <c r="F436" s="28">
        <f ca="1">'normal case'!N435/100</f>
        <v>0.06</v>
      </c>
      <c r="G436" s="28">
        <f ca="1">'normal case'!M435/100</f>
        <v>0.04</v>
      </c>
      <c r="H436" s="28">
        <f ca="1">'public finance'!D434</f>
        <v>0</v>
      </c>
      <c r="I436" s="23">
        <f ca="1">'public finance'!E434</f>
        <v>0</v>
      </c>
      <c r="J436" s="153">
        <f ca="1">'public finance'!H434</f>
        <v>0</v>
      </c>
      <c r="K436" s="20">
        <f ca="1">'public finance'!C434/'normal case'!D435</f>
        <v>0.2</v>
      </c>
      <c r="L436" s="23">
        <f ca="1">'public finance'!A434/'normal case'!D435</f>
        <v>0.2</v>
      </c>
      <c r="M436" s="21" t="str">
        <f>IF(controls!$B$44=0,"",'normal case'!AC435)</f>
        <v/>
      </c>
      <c r="N436" s="21" t="str">
        <f>IF(controls!$B$44=0,"",'normal case'!AF435)</f>
        <v/>
      </c>
      <c r="O436" s="203" t="str">
        <f>IF(controls!$B$44=0,"",'external balance'!D435)</f>
        <v/>
      </c>
      <c r="P436" s="203" t="str">
        <f>IF(controls!$B$44=0,"",'external balance'!F435)</f>
        <v/>
      </c>
      <c r="Q436" s="202" t="str">
        <f>IF(controls!$B$44=0,"",'external balance'!H435)</f>
        <v/>
      </c>
    </row>
    <row r="437" spans="1:17" ht="14" thickTop="1" thickBot="1">
      <c r="A437" s="32">
        <v>434</v>
      </c>
      <c r="B437" s="20">
        <f ca="1">('normal case'!D436-'normal case'!B436)/'normal case'!B436</f>
        <v>0</v>
      </c>
      <c r="C437" s="26">
        <f ca="1">'normal case'!D436</f>
        <v>100</v>
      </c>
      <c r="D437" s="27">
        <f ca="1">'normal case'!C436</f>
        <v>0</v>
      </c>
      <c r="E437" s="25">
        <f ca="1">'normal case'!L436/100</f>
        <v>0.02</v>
      </c>
      <c r="F437" s="28">
        <f ca="1">'normal case'!N436/100</f>
        <v>0.06</v>
      </c>
      <c r="G437" s="28">
        <f ca="1">'normal case'!M436/100</f>
        <v>0.04</v>
      </c>
      <c r="H437" s="28">
        <f ca="1">'public finance'!D435</f>
        <v>0</v>
      </c>
      <c r="I437" s="23">
        <f ca="1">'public finance'!E435</f>
        <v>0</v>
      </c>
      <c r="J437" s="153">
        <f ca="1">'public finance'!H435</f>
        <v>0</v>
      </c>
      <c r="K437" s="20">
        <f ca="1">'public finance'!C435/'normal case'!D436</f>
        <v>0.2</v>
      </c>
      <c r="L437" s="23">
        <f ca="1">'public finance'!A435/'normal case'!D436</f>
        <v>0.2</v>
      </c>
      <c r="M437" s="21" t="str">
        <f>IF(controls!$B$44=0,"",'normal case'!AC436)</f>
        <v/>
      </c>
      <c r="N437" s="21" t="str">
        <f>IF(controls!$B$44=0,"",'normal case'!AF436)</f>
        <v/>
      </c>
      <c r="O437" s="203" t="str">
        <f>IF(controls!$B$44=0,"",'external balance'!D436)</f>
        <v/>
      </c>
      <c r="P437" s="203" t="str">
        <f>IF(controls!$B$44=0,"",'external balance'!F436)</f>
        <v/>
      </c>
      <c r="Q437" s="202" t="str">
        <f>IF(controls!$B$44=0,"",'external balance'!H436)</f>
        <v/>
      </c>
    </row>
    <row r="438" spans="1:17" ht="14" thickTop="1" thickBot="1">
      <c r="A438" s="32">
        <v>435</v>
      </c>
      <c r="B438" s="20">
        <f ca="1">('normal case'!D437-'normal case'!B437)/'normal case'!B437</f>
        <v>0</v>
      </c>
      <c r="C438" s="26">
        <f ca="1">'normal case'!D437</f>
        <v>100</v>
      </c>
      <c r="D438" s="27">
        <f ca="1">'normal case'!C437</f>
        <v>0</v>
      </c>
      <c r="E438" s="25">
        <f ca="1">'normal case'!L437/100</f>
        <v>0.02</v>
      </c>
      <c r="F438" s="28">
        <f ca="1">'normal case'!N437/100</f>
        <v>0.06</v>
      </c>
      <c r="G438" s="28">
        <f ca="1">'normal case'!M437/100</f>
        <v>0.04</v>
      </c>
      <c r="H438" s="28">
        <f ca="1">'public finance'!D436</f>
        <v>0</v>
      </c>
      <c r="I438" s="23">
        <f ca="1">'public finance'!E436</f>
        <v>0</v>
      </c>
      <c r="J438" s="153">
        <f ca="1">'public finance'!H436</f>
        <v>0</v>
      </c>
      <c r="K438" s="20">
        <f ca="1">'public finance'!C436/'normal case'!D437</f>
        <v>0.2</v>
      </c>
      <c r="L438" s="23">
        <f ca="1">'public finance'!A436/'normal case'!D437</f>
        <v>0.2</v>
      </c>
      <c r="M438" s="21" t="str">
        <f>IF(controls!$B$44=0,"",'normal case'!AC437)</f>
        <v/>
      </c>
      <c r="N438" s="21" t="str">
        <f>IF(controls!$B$44=0,"",'normal case'!AF437)</f>
        <v/>
      </c>
      <c r="O438" s="203" t="str">
        <f>IF(controls!$B$44=0,"",'external balance'!D437)</f>
        <v/>
      </c>
      <c r="P438" s="203" t="str">
        <f>IF(controls!$B$44=0,"",'external balance'!F437)</f>
        <v/>
      </c>
      <c r="Q438" s="202" t="str">
        <f>IF(controls!$B$44=0,"",'external balance'!H437)</f>
        <v/>
      </c>
    </row>
    <row r="439" spans="1:17" ht="14" thickTop="1" thickBot="1">
      <c r="A439" s="32">
        <v>436</v>
      </c>
      <c r="B439" s="20">
        <f ca="1">('normal case'!D438-'normal case'!B438)/'normal case'!B438</f>
        <v>0</v>
      </c>
      <c r="C439" s="26">
        <f ca="1">'normal case'!D438</f>
        <v>100</v>
      </c>
      <c r="D439" s="27">
        <f ca="1">'normal case'!C438</f>
        <v>0</v>
      </c>
      <c r="E439" s="25">
        <f ca="1">'normal case'!L438/100</f>
        <v>0.02</v>
      </c>
      <c r="F439" s="28">
        <f ca="1">'normal case'!N438/100</f>
        <v>0.06</v>
      </c>
      <c r="G439" s="28">
        <f ca="1">'normal case'!M438/100</f>
        <v>0.04</v>
      </c>
      <c r="H439" s="28">
        <f ca="1">'public finance'!D437</f>
        <v>0</v>
      </c>
      <c r="I439" s="23">
        <f ca="1">'public finance'!E437</f>
        <v>0</v>
      </c>
      <c r="J439" s="153">
        <f ca="1">'public finance'!H437</f>
        <v>0</v>
      </c>
      <c r="K439" s="20">
        <f ca="1">'public finance'!C437/'normal case'!D438</f>
        <v>0.2</v>
      </c>
      <c r="L439" s="23">
        <f ca="1">'public finance'!A437/'normal case'!D438</f>
        <v>0.2</v>
      </c>
      <c r="M439" s="21" t="str">
        <f>IF(controls!$B$44=0,"",'normal case'!AC438)</f>
        <v/>
      </c>
      <c r="N439" s="21" t="str">
        <f>IF(controls!$B$44=0,"",'normal case'!AF438)</f>
        <v/>
      </c>
      <c r="O439" s="203" t="str">
        <f>IF(controls!$B$44=0,"",'external balance'!D438)</f>
        <v/>
      </c>
      <c r="P439" s="203" t="str">
        <f>IF(controls!$B$44=0,"",'external balance'!F438)</f>
        <v/>
      </c>
      <c r="Q439" s="202" t="str">
        <f>IF(controls!$B$44=0,"",'external balance'!H438)</f>
        <v/>
      </c>
    </row>
    <row r="440" spans="1:17" ht="14" thickTop="1" thickBot="1">
      <c r="A440" s="32">
        <v>437</v>
      </c>
      <c r="B440" s="20">
        <f ca="1">('normal case'!D439-'normal case'!B439)/'normal case'!B439</f>
        <v>0</v>
      </c>
      <c r="C440" s="26">
        <f ca="1">'normal case'!D439</f>
        <v>100</v>
      </c>
      <c r="D440" s="27">
        <f ca="1">'normal case'!C439</f>
        <v>0</v>
      </c>
      <c r="E440" s="25">
        <f ca="1">'normal case'!L439/100</f>
        <v>0.02</v>
      </c>
      <c r="F440" s="28">
        <f ca="1">'normal case'!N439/100</f>
        <v>0.06</v>
      </c>
      <c r="G440" s="28">
        <f ca="1">'normal case'!M439/100</f>
        <v>0.04</v>
      </c>
      <c r="H440" s="28">
        <f ca="1">'public finance'!D438</f>
        <v>0</v>
      </c>
      <c r="I440" s="23">
        <f ca="1">'public finance'!E438</f>
        <v>0</v>
      </c>
      <c r="J440" s="153">
        <f ca="1">'public finance'!H438</f>
        <v>0</v>
      </c>
      <c r="K440" s="20">
        <f ca="1">'public finance'!C438/'normal case'!D439</f>
        <v>0.2</v>
      </c>
      <c r="L440" s="23">
        <f ca="1">'public finance'!A438/'normal case'!D439</f>
        <v>0.2</v>
      </c>
      <c r="M440" s="21" t="str">
        <f>IF(controls!$B$44=0,"",'normal case'!AC439)</f>
        <v/>
      </c>
      <c r="N440" s="21" t="str">
        <f>IF(controls!$B$44=0,"",'normal case'!AF439)</f>
        <v/>
      </c>
      <c r="O440" s="203" t="str">
        <f>IF(controls!$B$44=0,"",'external balance'!D439)</f>
        <v/>
      </c>
      <c r="P440" s="203" t="str">
        <f>IF(controls!$B$44=0,"",'external balance'!F439)</f>
        <v/>
      </c>
      <c r="Q440" s="202" t="str">
        <f>IF(controls!$B$44=0,"",'external balance'!H439)</f>
        <v/>
      </c>
    </row>
    <row r="441" spans="1:17" ht="14" thickTop="1" thickBot="1">
      <c r="A441" s="32">
        <v>438</v>
      </c>
      <c r="B441" s="20">
        <f ca="1">('normal case'!D440-'normal case'!B440)/'normal case'!B440</f>
        <v>0</v>
      </c>
      <c r="C441" s="26">
        <f ca="1">'normal case'!D440</f>
        <v>100</v>
      </c>
      <c r="D441" s="27">
        <f ca="1">'normal case'!C440</f>
        <v>0</v>
      </c>
      <c r="E441" s="25">
        <f ca="1">'normal case'!L440/100</f>
        <v>0.02</v>
      </c>
      <c r="F441" s="28">
        <f ca="1">'normal case'!N440/100</f>
        <v>0.06</v>
      </c>
      <c r="G441" s="28">
        <f ca="1">'normal case'!M440/100</f>
        <v>0.04</v>
      </c>
      <c r="H441" s="28">
        <f ca="1">'public finance'!D439</f>
        <v>0</v>
      </c>
      <c r="I441" s="23">
        <f ca="1">'public finance'!E439</f>
        <v>0</v>
      </c>
      <c r="J441" s="153">
        <f ca="1">'public finance'!H439</f>
        <v>0</v>
      </c>
      <c r="K441" s="20">
        <f ca="1">'public finance'!C439/'normal case'!D440</f>
        <v>0.2</v>
      </c>
      <c r="L441" s="23">
        <f ca="1">'public finance'!A439/'normal case'!D440</f>
        <v>0.2</v>
      </c>
      <c r="M441" s="21" t="str">
        <f>IF(controls!$B$44=0,"",'normal case'!AC440)</f>
        <v/>
      </c>
      <c r="N441" s="21" t="str">
        <f>IF(controls!$B$44=0,"",'normal case'!AF440)</f>
        <v/>
      </c>
      <c r="O441" s="203" t="str">
        <f>IF(controls!$B$44=0,"",'external balance'!D440)</f>
        <v/>
      </c>
      <c r="P441" s="203" t="str">
        <f>IF(controls!$B$44=0,"",'external balance'!F440)</f>
        <v/>
      </c>
      <c r="Q441" s="202" t="str">
        <f>IF(controls!$B$44=0,"",'external balance'!H440)</f>
        <v/>
      </c>
    </row>
    <row r="442" spans="1:17" ht="14" thickTop="1" thickBot="1">
      <c r="A442" s="32">
        <v>439</v>
      </c>
      <c r="B442" s="20">
        <f ca="1">('normal case'!D441-'normal case'!B441)/'normal case'!B441</f>
        <v>0</v>
      </c>
      <c r="C442" s="26">
        <f ca="1">'normal case'!D441</f>
        <v>100</v>
      </c>
      <c r="D442" s="27">
        <f ca="1">'normal case'!C441</f>
        <v>0</v>
      </c>
      <c r="E442" s="25">
        <f ca="1">'normal case'!L441/100</f>
        <v>0.02</v>
      </c>
      <c r="F442" s="28">
        <f ca="1">'normal case'!N441/100</f>
        <v>0.06</v>
      </c>
      <c r="G442" s="28">
        <f ca="1">'normal case'!M441/100</f>
        <v>0.04</v>
      </c>
      <c r="H442" s="28">
        <f ca="1">'public finance'!D440</f>
        <v>0</v>
      </c>
      <c r="I442" s="23">
        <f ca="1">'public finance'!E440</f>
        <v>0</v>
      </c>
      <c r="J442" s="153">
        <f ca="1">'public finance'!H440</f>
        <v>0</v>
      </c>
      <c r="K442" s="20">
        <f ca="1">'public finance'!C440/'normal case'!D441</f>
        <v>0.2</v>
      </c>
      <c r="L442" s="23">
        <f ca="1">'public finance'!A440/'normal case'!D441</f>
        <v>0.2</v>
      </c>
      <c r="M442" s="21" t="str">
        <f>IF(controls!$B$44=0,"",'normal case'!AC441)</f>
        <v/>
      </c>
      <c r="N442" s="21" t="str">
        <f>IF(controls!$B$44=0,"",'normal case'!AF441)</f>
        <v/>
      </c>
      <c r="O442" s="203" t="str">
        <f>IF(controls!$B$44=0,"",'external balance'!D441)</f>
        <v/>
      </c>
      <c r="P442" s="203" t="str">
        <f>IF(controls!$B$44=0,"",'external balance'!F441)</f>
        <v/>
      </c>
      <c r="Q442" s="202" t="str">
        <f>IF(controls!$B$44=0,"",'external balance'!H441)</f>
        <v/>
      </c>
    </row>
    <row r="443" spans="1:17" ht="14" thickTop="1" thickBot="1">
      <c r="A443" s="32">
        <v>440</v>
      </c>
      <c r="B443" s="20">
        <f ca="1">('normal case'!D442-'normal case'!B442)/'normal case'!B442</f>
        <v>0</v>
      </c>
      <c r="C443" s="26">
        <f ca="1">'normal case'!D442</f>
        <v>100</v>
      </c>
      <c r="D443" s="27">
        <f ca="1">'normal case'!C442</f>
        <v>0</v>
      </c>
      <c r="E443" s="25">
        <f ca="1">'normal case'!L442/100</f>
        <v>0.02</v>
      </c>
      <c r="F443" s="28">
        <f ca="1">'normal case'!N442/100</f>
        <v>0.06</v>
      </c>
      <c r="G443" s="28">
        <f ca="1">'normal case'!M442/100</f>
        <v>0.04</v>
      </c>
      <c r="H443" s="28">
        <f ca="1">'public finance'!D441</f>
        <v>0</v>
      </c>
      <c r="I443" s="23">
        <f ca="1">'public finance'!E441</f>
        <v>0</v>
      </c>
      <c r="J443" s="153">
        <f ca="1">'public finance'!H441</f>
        <v>0</v>
      </c>
      <c r="K443" s="20">
        <f ca="1">'public finance'!C441/'normal case'!D442</f>
        <v>0.2</v>
      </c>
      <c r="L443" s="23">
        <f ca="1">'public finance'!A441/'normal case'!D442</f>
        <v>0.2</v>
      </c>
      <c r="M443" s="21" t="str">
        <f>IF(controls!$B$44=0,"",'normal case'!AC442)</f>
        <v/>
      </c>
      <c r="N443" s="21" t="str">
        <f>IF(controls!$B$44=0,"",'normal case'!AF442)</f>
        <v/>
      </c>
      <c r="O443" s="203" t="str">
        <f>IF(controls!$B$44=0,"",'external balance'!D442)</f>
        <v/>
      </c>
      <c r="P443" s="203" t="str">
        <f>IF(controls!$B$44=0,"",'external balance'!F442)</f>
        <v/>
      </c>
      <c r="Q443" s="202" t="str">
        <f>IF(controls!$B$44=0,"",'external balance'!H442)</f>
        <v/>
      </c>
    </row>
    <row r="444" spans="1:17" ht="14" thickTop="1" thickBot="1">
      <c r="A444" s="32">
        <v>441</v>
      </c>
      <c r="B444" s="20">
        <f ca="1">('normal case'!D443-'normal case'!B443)/'normal case'!B443</f>
        <v>0</v>
      </c>
      <c r="C444" s="26">
        <f ca="1">'normal case'!D443</f>
        <v>100</v>
      </c>
      <c r="D444" s="27">
        <f ca="1">'normal case'!C443</f>
        <v>0</v>
      </c>
      <c r="E444" s="25">
        <f ca="1">'normal case'!L443/100</f>
        <v>0.02</v>
      </c>
      <c r="F444" s="28">
        <f ca="1">'normal case'!N443/100</f>
        <v>0.06</v>
      </c>
      <c r="G444" s="28">
        <f ca="1">'normal case'!M443/100</f>
        <v>0.04</v>
      </c>
      <c r="H444" s="28">
        <f ca="1">'public finance'!D442</f>
        <v>0</v>
      </c>
      <c r="I444" s="23">
        <f ca="1">'public finance'!E442</f>
        <v>0</v>
      </c>
      <c r="J444" s="153">
        <f ca="1">'public finance'!H442</f>
        <v>0</v>
      </c>
      <c r="K444" s="20">
        <f ca="1">'public finance'!C442/'normal case'!D443</f>
        <v>0.2</v>
      </c>
      <c r="L444" s="23">
        <f ca="1">'public finance'!A442/'normal case'!D443</f>
        <v>0.2</v>
      </c>
      <c r="M444" s="21" t="str">
        <f>IF(controls!$B$44=0,"",'normal case'!AC443)</f>
        <v/>
      </c>
      <c r="N444" s="21" t="str">
        <f>IF(controls!$B$44=0,"",'normal case'!AF443)</f>
        <v/>
      </c>
      <c r="O444" s="203" t="str">
        <f>IF(controls!$B$44=0,"",'external balance'!D443)</f>
        <v/>
      </c>
      <c r="P444" s="203" t="str">
        <f>IF(controls!$B$44=0,"",'external balance'!F443)</f>
        <v/>
      </c>
      <c r="Q444" s="202" t="str">
        <f>IF(controls!$B$44=0,"",'external balance'!H443)</f>
        <v/>
      </c>
    </row>
    <row r="445" spans="1:17" ht="14" thickTop="1" thickBot="1">
      <c r="A445" s="32">
        <v>442</v>
      </c>
      <c r="B445" s="20">
        <f ca="1">('normal case'!D444-'normal case'!B444)/'normal case'!B444</f>
        <v>0</v>
      </c>
      <c r="C445" s="26">
        <f ca="1">'normal case'!D444</f>
        <v>100</v>
      </c>
      <c r="D445" s="27">
        <f ca="1">'normal case'!C444</f>
        <v>0</v>
      </c>
      <c r="E445" s="25">
        <f ca="1">'normal case'!L444/100</f>
        <v>0.02</v>
      </c>
      <c r="F445" s="28">
        <f ca="1">'normal case'!N444/100</f>
        <v>0.06</v>
      </c>
      <c r="G445" s="28">
        <f ca="1">'normal case'!M444/100</f>
        <v>0.04</v>
      </c>
      <c r="H445" s="28">
        <f ca="1">'public finance'!D443</f>
        <v>0</v>
      </c>
      <c r="I445" s="23">
        <f ca="1">'public finance'!E443</f>
        <v>0</v>
      </c>
      <c r="J445" s="153">
        <f ca="1">'public finance'!H443</f>
        <v>0</v>
      </c>
      <c r="K445" s="20">
        <f ca="1">'public finance'!C443/'normal case'!D444</f>
        <v>0.2</v>
      </c>
      <c r="L445" s="23">
        <f ca="1">'public finance'!A443/'normal case'!D444</f>
        <v>0.2</v>
      </c>
      <c r="M445" s="21" t="str">
        <f>IF(controls!$B$44=0,"",'normal case'!AC444)</f>
        <v/>
      </c>
      <c r="N445" s="21" t="str">
        <f>IF(controls!$B$44=0,"",'normal case'!AF444)</f>
        <v/>
      </c>
      <c r="O445" s="203" t="str">
        <f>IF(controls!$B$44=0,"",'external balance'!D444)</f>
        <v/>
      </c>
      <c r="P445" s="203" t="str">
        <f>IF(controls!$B$44=0,"",'external balance'!F444)</f>
        <v/>
      </c>
      <c r="Q445" s="202" t="str">
        <f>IF(controls!$B$44=0,"",'external balance'!H444)</f>
        <v/>
      </c>
    </row>
    <row r="446" spans="1:17" ht="14" thickTop="1" thickBot="1">
      <c r="A446" s="32">
        <v>443</v>
      </c>
      <c r="B446" s="20">
        <f ca="1">('normal case'!D445-'normal case'!B445)/'normal case'!B445</f>
        <v>0</v>
      </c>
      <c r="C446" s="26">
        <f ca="1">'normal case'!D445</f>
        <v>100</v>
      </c>
      <c r="D446" s="27">
        <f ca="1">'normal case'!C445</f>
        <v>0</v>
      </c>
      <c r="E446" s="25">
        <f ca="1">'normal case'!L445/100</f>
        <v>0.02</v>
      </c>
      <c r="F446" s="28">
        <f ca="1">'normal case'!N445/100</f>
        <v>0.06</v>
      </c>
      <c r="G446" s="28">
        <f ca="1">'normal case'!M445/100</f>
        <v>0.04</v>
      </c>
      <c r="H446" s="28">
        <f ca="1">'public finance'!D444</f>
        <v>0</v>
      </c>
      <c r="I446" s="23">
        <f ca="1">'public finance'!E444</f>
        <v>0</v>
      </c>
      <c r="J446" s="153">
        <f ca="1">'public finance'!H444</f>
        <v>0</v>
      </c>
      <c r="K446" s="20">
        <f ca="1">'public finance'!C444/'normal case'!D445</f>
        <v>0.2</v>
      </c>
      <c r="L446" s="23">
        <f ca="1">'public finance'!A444/'normal case'!D445</f>
        <v>0.2</v>
      </c>
      <c r="M446" s="21" t="str">
        <f>IF(controls!$B$44=0,"",'normal case'!AC445)</f>
        <v/>
      </c>
      <c r="N446" s="21" t="str">
        <f>IF(controls!$B$44=0,"",'normal case'!AF445)</f>
        <v/>
      </c>
      <c r="O446" s="203" t="str">
        <f>IF(controls!$B$44=0,"",'external balance'!D445)</f>
        <v/>
      </c>
      <c r="P446" s="203" t="str">
        <f>IF(controls!$B$44=0,"",'external balance'!F445)</f>
        <v/>
      </c>
      <c r="Q446" s="202" t="str">
        <f>IF(controls!$B$44=0,"",'external balance'!H445)</f>
        <v/>
      </c>
    </row>
    <row r="447" spans="1:17" ht="14" thickTop="1" thickBot="1">
      <c r="A447" s="32">
        <v>444</v>
      </c>
      <c r="B447" s="20">
        <f ca="1">('normal case'!D446-'normal case'!B446)/'normal case'!B446</f>
        <v>0</v>
      </c>
      <c r="C447" s="26">
        <f ca="1">'normal case'!D446</f>
        <v>100</v>
      </c>
      <c r="D447" s="27">
        <f ca="1">'normal case'!C446</f>
        <v>0</v>
      </c>
      <c r="E447" s="25">
        <f ca="1">'normal case'!L446/100</f>
        <v>0.02</v>
      </c>
      <c r="F447" s="28">
        <f ca="1">'normal case'!N446/100</f>
        <v>0.06</v>
      </c>
      <c r="G447" s="28">
        <f ca="1">'normal case'!M446/100</f>
        <v>0.04</v>
      </c>
      <c r="H447" s="28">
        <f ca="1">'public finance'!D445</f>
        <v>0</v>
      </c>
      <c r="I447" s="23">
        <f ca="1">'public finance'!E445</f>
        <v>0</v>
      </c>
      <c r="J447" s="153">
        <f ca="1">'public finance'!H445</f>
        <v>0</v>
      </c>
      <c r="K447" s="20">
        <f ca="1">'public finance'!C445/'normal case'!D446</f>
        <v>0.2</v>
      </c>
      <c r="L447" s="23">
        <f ca="1">'public finance'!A445/'normal case'!D446</f>
        <v>0.2</v>
      </c>
      <c r="M447" s="21" t="str">
        <f>IF(controls!$B$44=0,"",'normal case'!AC446)</f>
        <v/>
      </c>
      <c r="N447" s="21" t="str">
        <f>IF(controls!$B$44=0,"",'normal case'!AF446)</f>
        <v/>
      </c>
      <c r="O447" s="203" t="str">
        <f>IF(controls!$B$44=0,"",'external balance'!D446)</f>
        <v/>
      </c>
      <c r="P447" s="203" t="str">
        <f>IF(controls!$B$44=0,"",'external balance'!F446)</f>
        <v/>
      </c>
      <c r="Q447" s="202" t="str">
        <f>IF(controls!$B$44=0,"",'external balance'!H446)</f>
        <v/>
      </c>
    </row>
    <row r="448" spans="1:17" ht="14" thickTop="1" thickBot="1">
      <c r="A448" s="32">
        <v>445</v>
      </c>
      <c r="B448" s="20">
        <f ca="1">('normal case'!D447-'normal case'!B447)/'normal case'!B447</f>
        <v>0</v>
      </c>
      <c r="C448" s="26">
        <f ca="1">'normal case'!D447</f>
        <v>100</v>
      </c>
      <c r="D448" s="27">
        <f ca="1">'normal case'!C447</f>
        <v>0</v>
      </c>
      <c r="E448" s="25">
        <f ca="1">'normal case'!L447/100</f>
        <v>0.02</v>
      </c>
      <c r="F448" s="28">
        <f ca="1">'normal case'!N447/100</f>
        <v>0.06</v>
      </c>
      <c r="G448" s="28">
        <f ca="1">'normal case'!M447/100</f>
        <v>0.04</v>
      </c>
      <c r="H448" s="28">
        <f ca="1">'public finance'!D446</f>
        <v>0</v>
      </c>
      <c r="I448" s="23">
        <f ca="1">'public finance'!E446</f>
        <v>0</v>
      </c>
      <c r="J448" s="153">
        <f ca="1">'public finance'!H446</f>
        <v>0</v>
      </c>
      <c r="K448" s="20">
        <f ca="1">'public finance'!C446/'normal case'!D447</f>
        <v>0.2</v>
      </c>
      <c r="L448" s="23">
        <f ca="1">'public finance'!A446/'normal case'!D447</f>
        <v>0.2</v>
      </c>
      <c r="M448" s="21" t="str">
        <f>IF(controls!$B$44=0,"",'normal case'!AC447)</f>
        <v/>
      </c>
      <c r="N448" s="21" t="str">
        <f>IF(controls!$B$44=0,"",'normal case'!AF447)</f>
        <v/>
      </c>
      <c r="O448" s="203" t="str">
        <f>IF(controls!$B$44=0,"",'external balance'!D447)</f>
        <v/>
      </c>
      <c r="P448" s="203" t="str">
        <f>IF(controls!$B$44=0,"",'external balance'!F447)</f>
        <v/>
      </c>
      <c r="Q448" s="202" t="str">
        <f>IF(controls!$B$44=0,"",'external balance'!H447)</f>
        <v/>
      </c>
    </row>
    <row r="449" spans="1:17" ht="14" thickTop="1" thickBot="1">
      <c r="A449" s="32">
        <v>446</v>
      </c>
      <c r="B449" s="20">
        <f ca="1">('normal case'!D448-'normal case'!B448)/'normal case'!B448</f>
        <v>0</v>
      </c>
      <c r="C449" s="26">
        <f ca="1">'normal case'!D448</f>
        <v>100</v>
      </c>
      <c r="D449" s="27">
        <f ca="1">'normal case'!C448</f>
        <v>0</v>
      </c>
      <c r="E449" s="25">
        <f ca="1">'normal case'!L448/100</f>
        <v>0.02</v>
      </c>
      <c r="F449" s="28">
        <f ca="1">'normal case'!N448/100</f>
        <v>0.06</v>
      </c>
      <c r="G449" s="28">
        <f ca="1">'normal case'!M448/100</f>
        <v>0.04</v>
      </c>
      <c r="H449" s="28">
        <f ca="1">'public finance'!D447</f>
        <v>0</v>
      </c>
      <c r="I449" s="23">
        <f ca="1">'public finance'!E447</f>
        <v>0</v>
      </c>
      <c r="J449" s="153">
        <f ca="1">'public finance'!H447</f>
        <v>0</v>
      </c>
      <c r="K449" s="20">
        <f ca="1">'public finance'!C447/'normal case'!D448</f>
        <v>0.2</v>
      </c>
      <c r="L449" s="23">
        <f ca="1">'public finance'!A447/'normal case'!D448</f>
        <v>0.2</v>
      </c>
      <c r="M449" s="21" t="str">
        <f>IF(controls!$B$44=0,"",'normal case'!AC448)</f>
        <v/>
      </c>
      <c r="N449" s="21" t="str">
        <f>IF(controls!$B$44=0,"",'normal case'!AF448)</f>
        <v/>
      </c>
      <c r="O449" s="203" t="str">
        <f>IF(controls!$B$44=0,"",'external balance'!D448)</f>
        <v/>
      </c>
      <c r="P449" s="203" t="str">
        <f>IF(controls!$B$44=0,"",'external balance'!F448)</f>
        <v/>
      </c>
      <c r="Q449" s="202" t="str">
        <f>IF(controls!$B$44=0,"",'external balance'!H448)</f>
        <v/>
      </c>
    </row>
    <row r="450" spans="1:17" ht="14" thickTop="1" thickBot="1">
      <c r="A450" s="32">
        <v>447</v>
      </c>
      <c r="B450" s="20">
        <f ca="1">('normal case'!D449-'normal case'!B449)/'normal case'!B449</f>
        <v>0</v>
      </c>
      <c r="C450" s="26">
        <f ca="1">'normal case'!D449</f>
        <v>100</v>
      </c>
      <c r="D450" s="27">
        <f ca="1">'normal case'!C449</f>
        <v>0</v>
      </c>
      <c r="E450" s="25">
        <f ca="1">'normal case'!L449/100</f>
        <v>0.02</v>
      </c>
      <c r="F450" s="28">
        <f ca="1">'normal case'!N449/100</f>
        <v>0.06</v>
      </c>
      <c r="G450" s="28">
        <f ca="1">'normal case'!M449/100</f>
        <v>0.04</v>
      </c>
      <c r="H450" s="28">
        <f ca="1">'public finance'!D448</f>
        <v>0</v>
      </c>
      <c r="I450" s="23">
        <f ca="1">'public finance'!E448</f>
        <v>0</v>
      </c>
      <c r="J450" s="153">
        <f ca="1">'public finance'!H448</f>
        <v>0</v>
      </c>
      <c r="K450" s="20">
        <f ca="1">'public finance'!C448/'normal case'!D449</f>
        <v>0.2</v>
      </c>
      <c r="L450" s="23">
        <f ca="1">'public finance'!A448/'normal case'!D449</f>
        <v>0.2</v>
      </c>
      <c r="M450" s="21" t="str">
        <f>IF(controls!$B$44=0,"",'normal case'!AC449)</f>
        <v/>
      </c>
      <c r="N450" s="21" t="str">
        <f>IF(controls!$B$44=0,"",'normal case'!AF449)</f>
        <v/>
      </c>
      <c r="O450" s="203" t="str">
        <f>IF(controls!$B$44=0,"",'external balance'!D449)</f>
        <v/>
      </c>
      <c r="P450" s="203" t="str">
        <f>IF(controls!$B$44=0,"",'external balance'!F449)</f>
        <v/>
      </c>
      <c r="Q450" s="202" t="str">
        <f>IF(controls!$B$44=0,"",'external balance'!H449)</f>
        <v/>
      </c>
    </row>
    <row r="451" spans="1:17" ht="14" thickTop="1" thickBot="1">
      <c r="A451" s="32">
        <v>448</v>
      </c>
      <c r="B451" s="20">
        <f ca="1">('normal case'!D450-'normal case'!B450)/'normal case'!B450</f>
        <v>0</v>
      </c>
      <c r="C451" s="26">
        <f ca="1">'normal case'!D450</f>
        <v>100</v>
      </c>
      <c r="D451" s="27">
        <f ca="1">'normal case'!C450</f>
        <v>0</v>
      </c>
      <c r="E451" s="25">
        <f ca="1">'normal case'!L450/100</f>
        <v>0.02</v>
      </c>
      <c r="F451" s="28">
        <f ca="1">'normal case'!N450/100</f>
        <v>0.06</v>
      </c>
      <c r="G451" s="28">
        <f ca="1">'normal case'!M450/100</f>
        <v>0.04</v>
      </c>
      <c r="H451" s="28">
        <f ca="1">'public finance'!D449</f>
        <v>0</v>
      </c>
      <c r="I451" s="23">
        <f ca="1">'public finance'!E449</f>
        <v>0</v>
      </c>
      <c r="J451" s="153">
        <f ca="1">'public finance'!H449</f>
        <v>0</v>
      </c>
      <c r="K451" s="20">
        <f ca="1">'public finance'!C449/'normal case'!D450</f>
        <v>0.2</v>
      </c>
      <c r="L451" s="23">
        <f ca="1">'public finance'!A449/'normal case'!D450</f>
        <v>0.2</v>
      </c>
      <c r="M451" s="21" t="str">
        <f>IF(controls!$B$44=0,"",'normal case'!AC450)</f>
        <v/>
      </c>
      <c r="N451" s="21" t="str">
        <f>IF(controls!$B$44=0,"",'normal case'!AF450)</f>
        <v/>
      </c>
      <c r="O451" s="203" t="str">
        <f>IF(controls!$B$44=0,"",'external balance'!D450)</f>
        <v/>
      </c>
      <c r="P451" s="203" t="str">
        <f>IF(controls!$B$44=0,"",'external balance'!F450)</f>
        <v/>
      </c>
      <c r="Q451" s="202" t="str">
        <f>IF(controls!$B$44=0,"",'external balance'!H450)</f>
        <v/>
      </c>
    </row>
    <row r="452" spans="1:17" ht="14" thickTop="1" thickBot="1">
      <c r="A452" s="32">
        <v>449</v>
      </c>
      <c r="B452" s="20">
        <f ca="1">('normal case'!D451-'normal case'!B451)/'normal case'!B451</f>
        <v>0</v>
      </c>
      <c r="C452" s="26">
        <f ca="1">'normal case'!D451</f>
        <v>100</v>
      </c>
      <c r="D452" s="27">
        <f ca="1">'normal case'!C451</f>
        <v>0</v>
      </c>
      <c r="E452" s="25">
        <f ca="1">'normal case'!L451/100</f>
        <v>0.02</v>
      </c>
      <c r="F452" s="28">
        <f ca="1">'normal case'!N451/100</f>
        <v>0.06</v>
      </c>
      <c r="G452" s="28">
        <f ca="1">'normal case'!M451/100</f>
        <v>0.04</v>
      </c>
      <c r="H452" s="28">
        <f ca="1">'public finance'!D450</f>
        <v>0</v>
      </c>
      <c r="I452" s="23">
        <f ca="1">'public finance'!E450</f>
        <v>0</v>
      </c>
      <c r="J452" s="153">
        <f ca="1">'public finance'!H450</f>
        <v>0</v>
      </c>
      <c r="K452" s="20">
        <f ca="1">'public finance'!C450/'normal case'!D451</f>
        <v>0.2</v>
      </c>
      <c r="L452" s="23">
        <f ca="1">'public finance'!A450/'normal case'!D451</f>
        <v>0.2</v>
      </c>
      <c r="M452" s="21" t="str">
        <f>IF(controls!$B$44=0,"",'normal case'!AC451)</f>
        <v/>
      </c>
      <c r="N452" s="21" t="str">
        <f>IF(controls!$B$44=0,"",'normal case'!AF451)</f>
        <v/>
      </c>
      <c r="O452" s="203" t="str">
        <f>IF(controls!$B$44=0,"",'external balance'!D451)</f>
        <v/>
      </c>
      <c r="P452" s="203" t="str">
        <f>IF(controls!$B$44=0,"",'external balance'!F451)</f>
        <v/>
      </c>
      <c r="Q452" s="202" t="str">
        <f>IF(controls!$B$44=0,"",'external balance'!H451)</f>
        <v/>
      </c>
    </row>
    <row r="453" spans="1:17" ht="14" thickTop="1" thickBot="1">
      <c r="A453" s="32">
        <v>450</v>
      </c>
      <c r="B453" s="20">
        <f ca="1">('normal case'!D452-'normal case'!B452)/'normal case'!B452</f>
        <v>0</v>
      </c>
      <c r="C453" s="26">
        <f ca="1">'normal case'!D452</f>
        <v>100</v>
      </c>
      <c r="D453" s="27">
        <f ca="1">'normal case'!C452</f>
        <v>0</v>
      </c>
      <c r="E453" s="25">
        <f ca="1">'normal case'!L452/100</f>
        <v>0.02</v>
      </c>
      <c r="F453" s="28">
        <f ca="1">'normal case'!N452/100</f>
        <v>0.06</v>
      </c>
      <c r="G453" s="28">
        <f ca="1">'normal case'!M452/100</f>
        <v>0.04</v>
      </c>
      <c r="H453" s="28">
        <f ca="1">'public finance'!D451</f>
        <v>0</v>
      </c>
      <c r="I453" s="23">
        <f ca="1">'public finance'!E451</f>
        <v>0</v>
      </c>
      <c r="J453" s="153">
        <f ca="1">'public finance'!H451</f>
        <v>0</v>
      </c>
      <c r="K453" s="20">
        <f ca="1">'public finance'!C451/'normal case'!D452</f>
        <v>0.2</v>
      </c>
      <c r="L453" s="23">
        <f ca="1">'public finance'!A451/'normal case'!D452</f>
        <v>0.2</v>
      </c>
      <c r="M453" s="21" t="str">
        <f>IF(controls!$B$44=0,"",'normal case'!AC452)</f>
        <v/>
      </c>
      <c r="N453" s="21" t="str">
        <f>IF(controls!$B$44=0,"",'normal case'!AF452)</f>
        <v/>
      </c>
      <c r="O453" s="203" t="str">
        <f>IF(controls!$B$44=0,"",'external balance'!D452)</f>
        <v/>
      </c>
      <c r="P453" s="203" t="str">
        <f>IF(controls!$B$44=0,"",'external balance'!F452)</f>
        <v/>
      </c>
      <c r="Q453" s="202" t="str">
        <f>IF(controls!$B$44=0,"",'external balance'!H452)</f>
        <v/>
      </c>
    </row>
    <row r="454" spans="1:17" ht="14" thickTop="1" thickBot="1">
      <c r="A454" s="32">
        <v>451</v>
      </c>
      <c r="B454" s="20">
        <f ca="1">('normal case'!D453-'normal case'!B453)/'normal case'!B453</f>
        <v>0</v>
      </c>
      <c r="C454" s="26">
        <f ca="1">'normal case'!D453</f>
        <v>100</v>
      </c>
      <c r="D454" s="27">
        <f ca="1">'normal case'!C453</f>
        <v>0</v>
      </c>
      <c r="E454" s="25">
        <f ca="1">'normal case'!L453/100</f>
        <v>0.02</v>
      </c>
      <c r="F454" s="28">
        <f ca="1">'normal case'!N453/100</f>
        <v>0.06</v>
      </c>
      <c r="G454" s="28">
        <f ca="1">'normal case'!M453/100</f>
        <v>0.04</v>
      </c>
      <c r="H454" s="28">
        <f ca="1">'public finance'!D452</f>
        <v>0</v>
      </c>
      <c r="I454" s="23">
        <f ca="1">'public finance'!E452</f>
        <v>0</v>
      </c>
      <c r="J454" s="153">
        <f ca="1">'public finance'!H452</f>
        <v>0</v>
      </c>
      <c r="K454" s="20">
        <f ca="1">'public finance'!C452/'normal case'!D453</f>
        <v>0.2</v>
      </c>
      <c r="L454" s="23">
        <f ca="1">'public finance'!A452/'normal case'!D453</f>
        <v>0.2</v>
      </c>
      <c r="M454" s="21" t="str">
        <f>IF(controls!$B$44=0,"",'normal case'!AC453)</f>
        <v/>
      </c>
      <c r="N454" s="21" t="str">
        <f>IF(controls!$B$44=0,"",'normal case'!AF453)</f>
        <v/>
      </c>
      <c r="O454" s="203" t="str">
        <f>IF(controls!$B$44=0,"",'external balance'!D453)</f>
        <v/>
      </c>
      <c r="P454" s="203" t="str">
        <f>IF(controls!$B$44=0,"",'external balance'!F453)</f>
        <v/>
      </c>
      <c r="Q454" s="202" t="str">
        <f>IF(controls!$B$44=0,"",'external balance'!H453)</f>
        <v/>
      </c>
    </row>
    <row r="455" spans="1:17" ht="14" thickTop="1" thickBot="1">
      <c r="A455" s="32">
        <v>452</v>
      </c>
      <c r="B455" s="20">
        <f ca="1">('normal case'!D454-'normal case'!B454)/'normal case'!B454</f>
        <v>0</v>
      </c>
      <c r="C455" s="26">
        <f ca="1">'normal case'!D454</f>
        <v>100</v>
      </c>
      <c r="D455" s="27">
        <f ca="1">'normal case'!C454</f>
        <v>0</v>
      </c>
      <c r="E455" s="25">
        <f ca="1">'normal case'!L454/100</f>
        <v>0.02</v>
      </c>
      <c r="F455" s="28">
        <f ca="1">'normal case'!N454/100</f>
        <v>0.06</v>
      </c>
      <c r="G455" s="28">
        <f ca="1">'normal case'!M454/100</f>
        <v>0.04</v>
      </c>
      <c r="H455" s="28">
        <f ca="1">'public finance'!D453</f>
        <v>0</v>
      </c>
      <c r="I455" s="23">
        <f ca="1">'public finance'!E453</f>
        <v>0</v>
      </c>
      <c r="J455" s="153">
        <f ca="1">'public finance'!H453</f>
        <v>0</v>
      </c>
      <c r="K455" s="20">
        <f ca="1">'public finance'!C453/'normal case'!D454</f>
        <v>0.2</v>
      </c>
      <c r="L455" s="23">
        <f ca="1">'public finance'!A453/'normal case'!D454</f>
        <v>0.2</v>
      </c>
      <c r="M455" s="21" t="str">
        <f>IF(controls!$B$44=0,"",'normal case'!AC454)</f>
        <v/>
      </c>
      <c r="N455" s="21" t="str">
        <f>IF(controls!$B$44=0,"",'normal case'!AF454)</f>
        <v/>
      </c>
      <c r="O455" s="203" t="str">
        <f>IF(controls!$B$44=0,"",'external balance'!D454)</f>
        <v/>
      </c>
      <c r="P455" s="203" t="str">
        <f>IF(controls!$B$44=0,"",'external balance'!F454)</f>
        <v/>
      </c>
      <c r="Q455" s="202" t="str">
        <f>IF(controls!$B$44=0,"",'external balance'!H454)</f>
        <v/>
      </c>
    </row>
    <row r="456" spans="1:17" ht="14" thickTop="1" thickBot="1">
      <c r="A456" s="32">
        <v>453</v>
      </c>
      <c r="B456" s="20">
        <f ca="1">('normal case'!D455-'normal case'!B455)/'normal case'!B455</f>
        <v>0</v>
      </c>
      <c r="C456" s="26">
        <f ca="1">'normal case'!D455</f>
        <v>100</v>
      </c>
      <c r="D456" s="27">
        <f ca="1">'normal case'!C455</f>
        <v>0</v>
      </c>
      <c r="E456" s="25">
        <f ca="1">'normal case'!L455/100</f>
        <v>0.02</v>
      </c>
      <c r="F456" s="28">
        <f ca="1">'normal case'!N455/100</f>
        <v>0.06</v>
      </c>
      <c r="G456" s="28">
        <f ca="1">'normal case'!M455/100</f>
        <v>0.04</v>
      </c>
      <c r="H456" s="28">
        <f ca="1">'public finance'!D454</f>
        <v>0</v>
      </c>
      <c r="I456" s="23">
        <f ca="1">'public finance'!E454</f>
        <v>0</v>
      </c>
      <c r="J456" s="153">
        <f ca="1">'public finance'!H454</f>
        <v>0</v>
      </c>
      <c r="K456" s="20">
        <f ca="1">'public finance'!C454/'normal case'!D455</f>
        <v>0.2</v>
      </c>
      <c r="L456" s="23">
        <f ca="1">'public finance'!A454/'normal case'!D455</f>
        <v>0.2</v>
      </c>
      <c r="M456" s="21" t="str">
        <f>IF(controls!$B$44=0,"",'normal case'!AC455)</f>
        <v/>
      </c>
      <c r="N456" s="21" t="str">
        <f>IF(controls!$B$44=0,"",'normal case'!AF455)</f>
        <v/>
      </c>
      <c r="O456" s="203" t="str">
        <f>IF(controls!$B$44=0,"",'external balance'!D455)</f>
        <v/>
      </c>
      <c r="P456" s="203" t="str">
        <f>IF(controls!$B$44=0,"",'external balance'!F455)</f>
        <v/>
      </c>
      <c r="Q456" s="202" t="str">
        <f>IF(controls!$B$44=0,"",'external balance'!H455)</f>
        <v/>
      </c>
    </row>
    <row r="457" spans="1:17" ht="14" thickTop="1" thickBot="1">
      <c r="A457" s="32">
        <v>454</v>
      </c>
      <c r="B457" s="20">
        <f ca="1">('normal case'!D456-'normal case'!B456)/'normal case'!B456</f>
        <v>0</v>
      </c>
      <c r="C457" s="26">
        <f ca="1">'normal case'!D456</f>
        <v>100</v>
      </c>
      <c r="D457" s="27">
        <f ca="1">'normal case'!C456</f>
        <v>0</v>
      </c>
      <c r="E457" s="25">
        <f ca="1">'normal case'!L456/100</f>
        <v>0.02</v>
      </c>
      <c r="F457" s="28">
        <f ca="1">'normal case'!N456/100</f>
        <v>0.06</v>
      </c>
      <c r="G457" s="28">
        <f ca="1">'normal case'!M456/100</f>
        <v>0.04</v>
      </c>
      <c r="H457" s="28">
        <f ca="1">'public finance'!D455</f>
        <v>0</v>
      </c>
      <c r="I457" s="23">
        <f ca="1">'public finance'!E455</f>
        <v>0</v>
      </c>
      <c r="J457" s="153">
        <f ca="1">'public finance'!H455</f>
        <v>0</v>
      </c>
      <c r="K457" s="20">
        <f ca="1">'public finance'!C455/'normal case'!D456</f>
        <v>0.2</v>
      </c>
      <c r="L457" s="23">
        <f ca="1">'public finance'!A455/'normal case'!D456</f>
        <v>0.2</v>
      </c>
      <c r="M457" s="21" t="str">
        <f>IF(controls!$B$44=0,"",'normal case'!AC456)</f>
        <v/>
      </c>
      <c r="N457" s="21" t="str">
        <f>IF(controls!$B$44=0,"",'normal case'!AF456)</f>
        <v/>
      </c>
      <c r="O457" s="203" t="str">
        <f>IF(controls!$B$44=0,"",'external balance'!D456)</f>
        <v/>
      </c>
      <c r="P457" s="203" t="str">
        <f>IF(controls!$B$44=0,"",'external balance'!F456)</f>
        <v/>
      </c>
      <c r="Q457" s="202" t="str">
        <f>IF(controls!$B$44=0,"",'external balance'!H456)</f>
        <v/>
      </c>
    </row>
    <row r="458" spans="1:17" ht="14" thickTop="1" thickBot="1">
      <c r="A458" s="32">
        <v>455</v>
      </c>
      <c r="B458" s="20">
        <f ca="1">('normal case'!D457-'normal case'!B457)/'normal case'!B457</f>
        <v>0</v>
      </c>
      <c r="C458" s="26">
        <f ca="1">'normal case'!D457</f>
        <v>100</v>
      </c>
      <c r="D458" s="27">
        <f ca="1">'normal case'!C457</f>
        <v>0</v>
      </c>
      <c r="E458" s="25">
        <f ca="1">'normal case'!L457/100</f>
        <v>0.02</v>
      </c>
      <c r="F458" s="28">
        <f ca="1">'normal case'!N457/100</f>
        <v>0.06</v>
      </c>
      <c r="G458" s="28">
        <f ca="1">'normal case'!M457/100</f>
        <v>0.04</v>
      </c>
      <c r="H458" s="28">
        <f ca="1">'public finance'!D456</f>
        <v>0</v>
      </c>
      <c r="I458" s="23">
        <f ca="1">'public finance'!E456</f>
        <v>0</v>
      </c>
      <c r="J458" s="153">
        <f ca="1">'public finance'!H456</f>
        <v>0</v>
      </c>
      <c r="K458" s="20">
        <f ca="1">'public finance'!C456/'normal case'!D457</f>
        <v>0.2</v>
      </c>
      <c r="L458" s="23">
        <f ca="1">'public finance'!A456/'normal case'!D457</f>
        <v>0.2</v>
      </c>
      <c r="M458" s="21" t="str">
        <f>IF(controls!$B$44=0,"",'normal case'!AC457)</f>
        <v/>
      </c>
      <c r="N458" s="21" t="str">
        <f>IF(controls!$B$44=0,"",'normal case'!AF457)</f>
        <v/>
      </c>
      <c r="O458" s="203" t="str">
        <f>IF(controls!$B$44=0,"",'external balance'!D457)</f>
        <v/>
      </c>
      <c r="P458" s="203" t="str">
        <f>IF(controls!$B$44=0,"",'external balance'!F457)</f>
        <v/>
      </c>
      <c r="Q458" s="202" t="str">
        <f>IF(controls!$B$44=0,"",'external balance'!H457)</f>
        <v/>
      </c>
    </row>
    <row r="459" spans="1:17" ht="14" thickTop="1" thickBot="1">
      <c r="A459" s="32">
        <v>456</v>
      </c>
      <c r="B459" s="20">
        <f ca="1">('normal case'!D458-'normal case'!B458)/'normal case'!B458</f>
        <v>0</v>
      </c>
      <c r="C459" s="26">
        <f ca="1">'normal case'!D458</f>
        <v>100</v>
      </c>
      <c r="D459" s="27">
        <f ca="1">'normal case'!C458</f>
        <v>0</v>
      </c>
      <c r="E459" s="25">
        <f ca="1">'normal case'!L458/100</f>
        <v>0.02</v>
      </c>
      <c r="F459" s="28">
        <f ca="1">'normal case'!N458/100</f>
        <v>0.06</v>
      </c>
      <c r="G459" s="28">
        <f ca="1">'normal case'!M458/100</f>
        <v>0.04</v>
      </c>
      <c r="H459" s="28">
        <f ca="1">'public finance'!D457</f>
        <v>0</v>
      </c>
      <c r="I459" s="23">
        <f ca="1">'public finance'!E457</f>
        <v>0</v>
      </c>
      <c r="J459" s="153">
        <f ca="1">'public finance'!H457</f>
        <v>0</v>
      </c>
      <c r="K459" s="20">
        <f ca="1">'public finance'!C457/'normal case'!D458</f>
        <v>0.2</v>
      </c>
      <c r="L459" s="23">
        <f ca="1">'public finance'!A457/'normal case'!D458</f>
        <v>0.2</v>
      </c>
      <c r="M459" s="21" t="str">
        <f>IF(controls!$B$44=0,"",'normal case'!AC458)</f>
        <v/>
      </c>
      <c r="N459" s="21" t="str">
        <f>IF(controls!$B$44=0,"",'normal case'!AF458)</f>
        <v/>
      </c>
      <c r="O459" s="203" t="str">
        <f>IF(controls!$B$44=0,"",'external balance'!D458)</f>
        <v/>
      </c>
      <c r="P459" s="203" t="str">
        <f>IF(controls!$B$44=0,"",'external balance'!F458)</f>
        <v/>
      </c>
      <c r="Q459" s="202" t="str">
        <f>IF(controls!$B$44=0,"",'external balance'!H458)</f>
        <v/>
      </c>
    </row>
    <row r="460" spans="1:17" ht="14" thickTop="1" thickBot="1">
      <c r="A460" s="32">
        <v>457</v>
      </c>
      <c r="B460" s="20">
        <f ca="1">('normal case'!D459-'normal case'!B459)/'normal case'!B459</f>
        <v>0</v>
      </c>
      <c r="C460" s="26">
        <f ca="1">'normal case'!D459</f>
        <v>100</v>
      </c>
      <c r="D460" s="27">
        <f ca="1">'normal case'!C459</f>
        <v>0</v>
      </c>
      <c r="E460" s="25">
        <f ca="1">'normal case'!L459/100</f>
        <v>0.02</v>
      </c>
      <c r="F460" s="28">
        <f ca="1">'normal case'!N459/100</f>
        <v>0.06</v>
      </c>
      <c r="G460" s="28">
        <f ca="1">'normal case'!M459/100</f>
        <v>0.04</v>
      </c>
      <c r="H460" s="28">
        <f ca="1">'public finance'!D458</f>
        <v>0</v>
      </c>
      <c r="I460" s="23">
        <f ca="1">'public finance'!E458</f>
        <v>0</v>
      </c>
      <c r="J460" s="153">
        <f ca="1">'public finance'!H458</f>
        <v>0</v>
      </c>
      <c r="K460" s="20">
        <f ca="1">'public finance'!C458/'normal case'!D459</f>
        <v>0.2</v>
      </c>
      <c r="L460" s="23">
        <f ca="1">'public finance'!A458/'normal case'!D459</f>
        <v>0.2</v>
      </c>
      <c r="M460" s="21" t="str">
        <f>IF(controls!$B$44=0,"",'normal case'!AC459)</f>
        <v/>
      </c>
      <c r="N460" s="21" t="str">
        <f>IF(controls!$B$44=0,"",'normal case'!AF459)</f>
        <v/>
      </c>
      <c r="O460" s="203" t="str">
        <f>IF(controls!$B$44=0,"",'external balance'!D459)</f>
        <v/>
      </c>
      <c r="P460" s="203" t="str">
        <f>IF(controls!$B$44=0,"",'external balance'!F459)</f>
        <v/>
      </c>
      <c r="Q460" s="202" t="str">
        <f>IF(controls!$B$44=0,"",'external balance'!H459)</f>
        <v/>
      </c>
    </row>
    <row r="461" spans="1:17" ht="14" thickTop="1" thickBot="1">
      <c r="A461" s="32">
        <v>458</v>
      </c>
      <c r="B461" s="20">
        <f ca="1">('normal case'!D460-'normal case'!B460)/'normal case'!B460</f>
        <v>0</v>
      </c>
      <c r="C461" s="26">
        <f ca="1">'normal case'!D460</f>
        <v>100</v>
      </c>
      <c r="D461" s="27">
        <f ca="1">'normal case'!C460</f>
        <v>0</v>
      </c>
      <c r="E461" s="25">
        <f ca="1">'normal case'!L460/100</f>
        <v>0.02</v>
      </c>
      <c r="F461" s="28">
        <f ca="1">'normal case'!N460/100</f>
        <v>0.06</v>
      </c>
      <c r="G461" s="28">
        <f ca="1">'normal case'!M460/100</f>
        <v>0.04</v>
      </c>
      <c r="H461" s="28">
        <f ca="1">'public finance'!D459</f>
        <v>0</v>
      </c>
      <c r="I461" s="23">
        <f ca="1">'public finance'!E459</f>
        <v>0</v>
      </c>
      <c r="J461" s="153">
        <f ca="1">'public finance'!H459</f>
        <v>0</v>
      </c>
      <c r="K461" s="20">
        <f ca="1">'public finance'!C459/'normal case'!D460</f>
        <v>0.2</v>
      </c>
      <c r="L461" s="23">
        <f ca="1">'public finance'!A459/'normal case'!D460</f>
        <v>0.2</v>
      </c>
      <c r="M461" s="21" t="str">
        <f>IF(controls!$B$44=0,"",'normal case'!AC460)</f>
        <v/>
      </c>
      <c r="N461" s="21" t="str">
        <f>IF(controls!$B$44=0,"",'normal case'!AF460)</f>
        <v/>
      </c>
      <c r="O461" s="203" t="str">
        <f>IF(controls!$B$44=0,"",'external balance'!D460)</f>
        <v/>
      </c>
      <c r="P461" s="203" t="str">
        <f>IF(controls!$B$44=0,"",'external balance'!F460)</f>
        <v/>
      </c>
      <c r="Q461" s="202" t="str">
        <f>IF(controls!$B$44=0,"",'external balance'!H460)</f>
        <v/>
      </c>
    </row>
    <row r="462" spans="1:17" ht="14" thickTop="1" thickBot="1">
      <c r="A462" s="32">
        <v>459</v>
      </c>
      <c r="B462" s="20">
        <f ca="1">('normal case'!D461-'normal case'!B461)/'normal case'!B461</f>
        <v>0</v>
      </c>
      <c r="C462" s="26">
        <f ca="1">'normal case'!D461</f>
        <v>100</v>
      </c>
      <c r="D462" s="27">
        <f ca="1">'normal case'!C461</f>
        <v>0</v>
      </c>
      <c r="E462" s="25">
        <f ca="1">'normal case'!L461/100</f>
        <v>0.02</v>
      </c>
      <c r="F462" s="28">
        <f ca="1">'normal case'!N461/100</f>
        <v>0.06</v>
      </c>
      <c r="G462" s="28">
        <f ca="1">'normal case'!M461/100</f>
        <v>0.04</v>
      </c>
      <c r="H462" s="28">
        <f ca="1">'public finance'!D460</f>
        <v>0</v>
      </c>
      <c r="I462" s="23">
        <f ca="1">'public finance'!E460</f>
        <v>0</v>
      </c>
      <c r="J462" s="153">
        <f ca="1">'public finance'!H460</f>
        <v>0</v>
      </c>
      <c r="K462" s="20">
        <f ca="1">'public finance'!C460/'normal case'!D461</f>
        <v>0.2</v>
      </c>
      <c r="L462" s="23">
        <f ca="1">'public finance'!A460/'normal case'!D461</f>
        <v>0.2</v>
      </c>
      <c r="M462" s="21" t="str">
        <f>IF(controls!$B$44=0,"",'normal case'!AC461)</f>
        <v/>
      </c>
      <c r="N462" s="21" t="str">
        <f>IF(controls!$B$44=0,"",'normal case'!AF461)</f>
        <v/>
      </c>
      <c r="O462" s="203" t="str">
        <f>IF(controls!$B$44=0,"",'external balance'!D461)</f>
        <v/>
      </c>
      <c r="P462" s="203" t="str">
        <f>IF(controls!$B$44=0,"",'external balance'!F461)</f>
        <v/>
      </c>
      <c r="Q462" s="202" t="str">
        <f>IF(controls!$B$44=0,"",'external balance'!H461)</f>
        <v/>
      </c>
    </row>
    <row r="463" spans="1:17" ht="14" thickTop="1" thickBot="1">
      <c r="A463" s="32">
        <v>460</v>
      </c>
      <c r="B463" s="20">
        <f ca="1">('normal case'!D462-'normal case'!B462)/'normal case'!B462</f>
        <v>0</v>
      </c>
      <c r="C463" s="26">
        <f ca="1">'normal case'!D462</f>
        <v>100</v>
      </c>
      <c r="D463" s="27">
        <f ca="1">'normal case'!C462</f>
        <v>0</v>
      </c>
      <c r="E463" s="25">
        <f ca="1">'normal case'!L462/100</f>
        <v>0.02</v>
      </c>
      <c r="F463" s="28">
        <f ca="1">'normal case'!N462/100</f>
        <v>0.06</v>
      </c>
      <c r="G463" s="28">
        <f ca="1">'normal case'!M462/100</f>
        <v>0.04</v>
      </c>
      <c r="H463" s="28">
        <f ca="1">'public finance'!D461</f>
        <v>0</v>
      </c>
      <c r="I463" s="23">
        <f ca="1">'public finance'!E461</f>
        <v>0</v>
      </c>
      <c r="J463" s="153">
        <f ca="1">'public finance'!H461</f>
        <v>0</v>
      </c>
      <c r="K463" s="20">
        <f ca="1">'public finance'!C461/'normal case'!D462</f>
        <v>0.2</v>
      </c>
      <c r="L463" s="23">
        <f ca="1">'public finance'!A461/'normal case'!D462</f>
        <v>0.2</v>
      </c>
      <c r="M463" s="21" t="str">
        <f>IF(controls!$B$44=0,"",'normal case'!AC462)</f>
        <v/>
      </c>
      <c r="N463" s="21" t="str">
        <f>IF(controls!$B$44=0,"",'normal case'!AF462)</f>
        <v/>
      </c>
      <c r="O463" s="203" t="str">
        <f>IF(controls!$B$44=0,"",'external balance'!D462)</f>
        <v/>
      </c>
      <c r="P463" s="203" t="str">
        <f>IF(controls!$B$44=0,"",'external balance'!F462)</f>
        <v/>
      </c>
      <c r="Q463" s="202" t="str">
        <f>IF(controls!$B$44=0,"",'external balance'!H462)</f>
        <v/>
      </c>
    </row>
    <row r="464" spans="1:17" ht="14" thickTop="1" thickBot="1">
      <c r="A464" s="32">
        <v>461</v>
      </c>
      <c r="B464" s="20">
        <f ca="1">('normal case'!D463-'normal case'!B463)/'normal case'!B463</f>
        <v>0</v>
      </c>
      <c r="C464" s="26">
        <f ca="1">'normal case'!D463</f>
        <v>100</v>
      </c>
      <c r="D464" s="27">
        <f ca="1">'normal case'!C463</f>
        <v>0</v>
      </c>
      <c r="E464" s="25">
        <f ca="1">'normal case'!L463/100</f>
        <v>0.02</v>
      </c>
      <c r="F464" s="28">
        <f ca="1">'normal case'!N463/100</f>
        <v>0.06</v>
      </c>
      <c r="G464" s="28">
        <f ca="1">'normal case'!M463/100</f>
        <v>0.04</v>
      </c>
      <c r="H464" s="28">
        <f ca="1">'public finance'!D462</f>
        <v>0</v>
      </c>
      <c r="I464" s="23">
        <f ca="1">'public finance'!E462</f>
        <v>0</v>
      </c>
      <c r="J464" s="153">
        <f ca="1">'public finance'!H462</f>
        <v>0</v>
      </c>
      <c r="K464" s="20">
        <f ca="1">'public finance'!C462/'normal case'!D463</f>
        <v>0.2</v>
      </c>
      <c r="L464" s="23">
        <f ca="1">'public finance'!A462/'normal case'!D463</f>
        <v>0.2</v>
      </c>
      <c r="M464" s="21" t="str">
        <f>IF(controls!$B$44=0,"",'normal case'!AC463)</f>
        <v/>
      </c>
      <c r="N464" s="21" t="str">
        <f>IF(controls!$B$44=0,"",'normal case'!AF463)</f>
        <v/>
      </c>
      <c r="O464" s="203" t="str">
        <f>IF(controls!$B$44=0,"",'external balance'!D463)</f>
        <v/>
      </c>
      <c r="P464" s="203" t="str">
        <f>IF(controls!$B$44=0,"",'external balance'!F463)</f>
        <v/>
      </c>
      <c r="Q464" s="202" t="str">
        <f>IF(controls!$B$44=0,"",'external balance'!H463)</f>
        <v/>
      </c>
    </row>
    <row r="465" spans="1:17" ht="14" thickTop="1" thickBot="1">
      <c r="A465" s="32">
        <v>462</v>
      </c>
      <c r="B465" s="20">
        <f ca="1">('normal case'!D464-'normal case'!B464)/'normal case'!B464</f>
        <v>0</v>
      </c>
      <c r="C465" s="26">
        <f ca="1">'normal case'!D464</f>
        <v>100</v>
      </c>
      <c r="D465" s="27">
        <f ca="1">'normal case'!C464</f>
        <v>0</v>
      </c>
      <c r="E465" s="25">
        <f ca="1">'normal case'!L464/100</f>
        <v>0.02</v>
      </c>
      <c r="F465" s="28">
        <f ca="1">'normal case'!N464/100</f>
        <v>0.06</v>
      </c>
      <c r="G465" s="28">
        <f ca="1">'normal case'!M464/100</f>
        <v>0.04</v>
      </c>
      <c r="H465" s="28">
        <f ca="1">'public finance'!D463</f>
        <v>0</v>
      </c>
      <c r="I465" s="23">
        <f ca="1">'public finance'!E463</f>
        <v>0</v>
      </c>
      <c r="J465" s="153">
        <f ca="1">'public finance'!H463</f>
        <v>0</v>
      </c>
      <c r="K465" s="20">
        <f ca="1">'public finance'!C463/'normal case'!D464</f>
        <v>0.2</v>
      </c>
      <c r="L465" s="23">
        <f ca="1">'public finance'!A463/'normal case'!D464</f>
        <v>0.2</v>
      </c>
      <c r="M465" s="21" t="str">
        <f>IF(controls!$B$44=0,"",'normal case'!AC464)</f>
        <v/>
      </c>
      <c r="N465" s="21" t="str">
        <f>IF(controls!$B$44=0,"",'normal case'!AF464)</f>
        <v/>
      </c>
      <c r="O465" s="203" t="str">
        <f>IF(controls!$B$44=0,"",'external balance'!D464)</f>
        <v/>
      </c>
      <c r="P465" s="203" t="str">
        <f>IF(controls!$B$44=0,"",'external balance'!F464)</f>
        <v/>
      </c>
      <c r="Q465" s="202" t="str">
        <f>IF(controls!$B$44=0,"",'external balance'!H464)</f>
        <v/>
      </c>
    </row>
    <row r="466" spans="1:17" ht="14" thickTop="1" thickBot="1">
      <c r="A466" s="32">
        <v>463</v>
      </c>
      <c r="B466" s="20">
        <f ca="1">('normal case'!D465-'normal case'!B465)/'normal case'!B465</f>
        <v>0</v>
      </c>
      <c r="C466" s="26">
        <f ca="1">'normal case'!D465</f>
        <v>100</v>
      </c>
      <c r="D466" s="27">
        <f ca="1">'normal case'!C465</f>
        <v>0</v>
      </c>
      <c r="E466" s="25">
        <f ca="1">'normal case'!L465/100</f>
        <v>0.02</v>
      </c>
      <c r="F466" s="28">
        <f ca="1">'normal case'!N465/100</f>
        <v>0.06</v>
      </c>
      <c r="G466" s="28">
        <f ca="1">'normal case'!M465/100</f>
        <v>0.04</v>
      </c>
      <c r="H466" s="28">
        <f ca="1">'public finance'!D464</f>
        <v>0</v>
      </c>
      <c r="I466" s="23">
        <f ca="1">'public finance'!E464</f>
        <v>0</v>
      </c>
      <c r="J466" s="153">
        <f ca="1">'public finance'!H464</f>
        <v>0</v>
      </c>
      <c r="K466" s="20">
        <f ca="1">'public finance'!C464/'normal case'!D465</f>
        <v>0.2</v>
      </c>
      <c r="L466" s="23">
        <f ca="1">'public finance'!A464/'normal case'!D465</f>
        <v>0.2</v>
      </c>
      <c r="M466" s="21" t="str">
        <f>IF(controls!$B$44=0,"",'normal case'!AC465)</f>
        <v/>
      </c>
      <c r="N466" s="21" t="str">
        <f>IF(controls!$B$44=0,"",'normal case'!AF465)</f>
        <v/>
      </c>
      <c r="O466" s="203" t="str">
        <f>IF(controls!$B$44=0,"",'external balance'!D465)</f>
        <v/>
      </c>
      <c r="P466" s="203" t="str">
        <f>IF(controls!$B$44=0,"",'external balance'!F465)</f>
        <v/>
      </c>
      <c r="Q466" s="202" t="str">
        <f>IF(controls!$B$44=0,"",'external balance'!H465)</f>
        <v/>
      </c>
    </row>
    <row r="467" spans="1:17" ht="14" thickTop="1" thickBot="1">
      <c r="A467" s="32">
        <v>464</v>
      </c>
      <c r="B467" s="20">
        <f ca="1">('normal case'!D466-'normal case'!B466)/'normal case'!B466</f>
        <v>0</v>
      </c>
      <c r="C467" s="26">
        <f ca="1">'normal case'!D466</f>
        <v>100</v>
      </c>
      <c r="D467" s="27">
        <f ca="1">'normal case'!C466</f>
        <v>0</v>
      </c>
      <c r="E467" s="25">
        <f ca="1">'normal case'!L466/100</f>
        <v>0.02</v>
      </c>
      <c r="F467" s="28">
        <f ca="1">'normal case'!N466/100</f>
        <v>0.06</v>
      </c>
      <c r="G467" s="28">
        <f ca="1">'normal case'!M466/100</f>
        <v>0.04</v>
      </c>
      <c r="H467" s="28">
        <f ca="1">'public finance'!D465</f>
        <v>0</v>
      </c>
      <c r="I467" s="23">
        <f ca="1">'public finance'!E465</f>
        <v>0</v>
      </c>
      <c r="J467" s="153">
        <f ca="1">'public finance'!H465</f>
        <v>0</v>
      </c>
      <c r="K467" s="20">
        <f ca="1">'public finance'!C465/'normal case'!D466</f>
        <v>0.2</v>
      </c>
      <c r="L467" s="23">
        <f ca="1">'public finance'!A465/'normal case'!D466</f>
        <v>0.2</v>
      </c>
      <c r="M467" s="21" t="str">
        <f>IF(controls!$B$44=0,"",'normal case'!AC466)</f>
        <v/>
      </c>
      <c r="N467" s="21" t="str">
        <f>IF(controls!$B$44=0,"",'normal case'!AF466)</f>
        <v/>
      </c>
      <c r="O467" s="203" t="str">
        <f>IF(controls!$B$44=0,"",'external balance'!D466)</f>
        <v/>
      </c>
      <c r="P467" s="203" t="str">
        <f>IF(controls!$B$44=0,"",'external balance'!F466)</f>
        <v/>
      </c>
      <c r="Q467" s="202" t="str">
        <f>IF(controls!$B$44=0,"",'external balance'!H466)</f>
        <v/>
      </c>
    </row>
    <row r="468" spans="1:17" ht="14" thickTop="1" thickBot="1">
      <c r="A468" s="32">
        <v>465</v>
      </c>
      <c r="B468" s="20">
        <f ca="1">('normal case'!D467-'normal case'!B467)/'normal case'!B467</f>
        <v>0</v>
      </c>
      <c r="C468" s="26">
        <f ca="1">'normal case'!D467</f>
        <v>100</v>
      </c>
      <c r="D468" s="27">
        <f ca="1">'normal case'!C467</f>
        <v>0</v>
      </c>
      <c r="E468" s="25">
        <f ca="1">'normal case'!L467/100</f>
        <v>0.02</v>
      </c>
      <c r="F468" s="28">
        <f ca="1">'normal case'!N467/100</f>
        <v>0.06</v>
      </c>
      <c r="G468" s="28">
        <f ca="1">'normal case'!M467/100</f>
        <v>0.04</v>
      </c>
      <c r="H468" s="28">
        <f ca="1">'public finance'!D466</f>
        <v>0</v>
      </c>
      <c r="I468" s="23">
        <f ca="1">'public finance'!E466</f>
        <v>0</v>
      </c>
      <c r="J468" s="153">
        <f ca="1">'public finance'!H466</f>
        <v>0</v>
      </c>
      <c r="K468" s="20">
        <f ca="1">'public finance'!C466/'normal case'!D467</f>
        <v>0.2</v>
      </c>
      <c r="L468" s="23">
        <f ca="1">'public finance'!A466/'normal case'!D467</f>
        <v>0.2</v>
      </c>
      <c r="M468" s="21" t="str">
        <f>IF(controls!$B$44=0,"",'normal case'!AC467)</f>
        <v/>
      </c>
      <c r="N468" s="21" t="str">
        <f>IF(controls!$B$44=0,"",'normal case'!AF467)</f>
        <v/>
      </c>
      <c r="O468" s="203" t="str">
        <f>IF(controls!$B$44=0,"",'external balance'!D467)</f>
        <v/>
      </c>
      <c r="P468" s="203" t="str">
        <f>IF(controls!$B$44=0,"",'external balance'!F467)</f>
        <v/>
      </c>
      <c r="Q468" s="202" t="str">
        <f>IF(controls!$B$44=0,"",'external balance'!H467)</f>
        <v/>
      </c>
    </row>
    <row r="469" spans="1:17" ht="14" thickTop="1" thickBot="1">
      <c r="A469" s="32">
        <v>466</v>
      </c>
      <c r="B469" s="20">
        <f ca="1">('normal case'!D468-'normal case'!B468)/'normal case'!B468</f>
        <v>0</v>
      </c>
      <c r="C469" s="26">
        <f ca="1">'normal case'!D468</f>
        <v>100</v>
      </c>
      <c r="D469" s="27">
        <f ca="1">'normal case'!C468</f>
        <v>0</v>
      </c>
      <c r="E469" s="25">
        <f ca="1">'normal case'!L468/100</f>
        <v>0.02</v>
      </c>
      <c r="F469" s="28">
        <f ca="1">'normal case'!N468/100</f>
        <v>0.06</v>
      </c>
      <c r="G469" s="28">
        <f ca="1">'normal case'!M468/100</f>
        <v>0.04</v>
      </c>
      <c r="H469" s="28">
        <f ca="1">'public finance'!D467</f>
        <v>0</v>
      </c>
      <c r="I469" s="23">
        <f ca="1">'public finance'!E467</f>
        <v>0</v>
      </c>
      <c r="J469" s="153">
        <f ca="1">'public finance'!H467</f>
        <v>0</v>
      </c>
      <c r="K469" s="20">
        <f ca="1">'public finance'!C467/'normal case'!D468</f>
        <v>0.2</v>
      </c>
      <c r="L469" s="23">
        <f ca="1">'public finance'!A467/'normal case'!D468</f>
        <v>0.2</v>
      </c>
      <c r="M469" s="21" t="str">
        <f>IF(controls!$B$44=0,"",'normal case'!AC468)</f>
        <v/>
      </c>
      <c r="N469" s="21" t="str">
        <f>IF(controls!$B$44=0,"",'normal case'!AF468)</f>
        <v/>
      </c>
      <c r="O469" s="203" t="str">
        <f>IF(controls!$B$44=0,"",'external balance'!D468)</f>
        <v/>
      </c>
      <c r="P469" s="203" t="str">
        <f>IF(controls!$B$44=0,"",'external balance'!F468)</f>
        <v/>
      </c>
      <c r="Q469" s="202" t="str">
        <f>IF(controls!$B$44=0,"",'external balance'!H468)</f>
        <v/>
      </c>
    </row>
    <row r="470" spans="1:17" ht="14" thickTop="1" thickBot="1">
      <c r="A470" s="32">
        <v>467</v>
      </c>
      <c r="B470" s="20">
        <f ca="1">('normal case'!D469-'normal case'!B469)/'normal case'!B469</f>
        <v>0</v>
      </c>
      <c r="C470" s="26">
        <f ca="1">'normal case'!D469</f>
        <v>100</v>
      </c>
      <c r="D470" s="27">
        <f ca="1">'normal case'!C469</f>
        <v>0</v>
      </c>
      <c r="E470" s="25">
        <f ca="1">'normal case'!L469/100</f>
        <v>0.02</v>
      </c>
      <c r="F470" s="28">
        <f ca="1">'normal case'!N469/100</f>
        <v>0.06</v>
      </c>
      <c r="G470" s="28">
        <f ca="1">'normal case'!M469/100</f>
        <v>0.04</v>
      </c>
      <c r="H470" s="28">
        <f ca="1">'public finance'!D468</f>
        <v>0</v>
      </c>
      <c r="I470" s="23">
        <f ca="1">'public finance'!E468</f>
        <v>0</v>
      </c>
      <c r="J470" s="153">
        <f ca="1">'public finance'!H468</f>
        <v>0</v>
      </c>
      <c r="K470" s="20">
        <f ca="1">'public finance'!C468/'normal case'!D469</f>
        <v>0.2</v>
      </c>
      <c r="L470" s="23">
        <f ca="1">'public finance'!A468/'normal case'!D469</f>
        <v>0.2</v>
      </c>
      <c r="M470" s="21" t="str">
        <f>IF(controls!$B$44=0,"",'normal case'!AC469)</f>
        <v/>
      </c>
      <c r="N470" s="21" t="str">
        <f>IF(controls!$B$44=0,"",'normal case'!AF469)</f>
        <v/>
      </c>
      <c r="O470" s="203" t="str">
        <f>IF(controls!$B$44=0,"",'external balance'!D469)</f>
        <v/>
      </c>
      <c r="P470" s="203" t="str">
        <f>IF(controls!$B$44=0,"",'external balance'!F469)</f>
        <v/>
      </c>
      <c r="Q470" s="202" t="str">
        <f>IF(controls!$B$44=0,"",'external balance'!H469)</f>
        <v/>
      </c>
    </row>
    <row r="471" spans="1:17" ht="14" thickTop="1" thickBot="1">
      <c r="A471" s="32">
        <v>468</v>
      </c>
      <c r="B471" s="20">
        <f ca="1">('normal case'!D470-'normal case'!B470)/'normal case'!B470</f>
        <v>0</v>
      </c>
      <c r="C471" s="26">
        <f ca="1">'normal case'!D470</f>
        <v>100</v>
      </c>
      <c r="D471" s="27">
        <f ca="1">'normal case'!C470</f>
        <v>0</v>
      </c>
      <c r="E471" s="25">
        <f ca="1">'normal case'!L470/100</f>
        <v>0.02</v>
      </c>
      <c r="F471" s="28">
        <f ca="1">'normal case'!N470/100</f>
        <v>0.06</v>
      </c>
      <c r="G471" s="28">
        <f ca="1">'normal case'!M470/100</f>
        <v>0.04</v>
      </c>
      <c r="H471" s="28">
        <f ca="1">'public finance'!D469</f>
        <v>0</v>
      </c>
      <c r="I471" s="23">
        <f ca="1">'public finance'!E469</f>
        <v>0</v>
      </c>
      <c r="J471" s="153">
        <f ca="1">'public finance'!H469</f>
        <v>0</v>
      </c>
      <c r="K471" s="20">
        <f ca="1">'public finance'!C469/'normal case'!D470</f>
        <v>0.2</v>
      </c>
      <c r="L471" s="23">
        <f ca="1">'public finance'!A469/'normal case'!D470</f>
        <v>0.2</v>
      </c>
      <c r="M471" s="21" t="str">
        <f>IF(controls!$B$44=0,"",'normal case'!AC470)</f>
        <v/>
      </c>
      <c r="N471" s="21" t="str">
        <f>IF(controls!$B$44=0,"",'normal case'!AF470)</f>
        <v/>
      </c>
      <c r="O471" s="203" t="str">
        <f>IF(controls!$B$44=0,"",'external balance'!D470)</f>
        <v/>
      </c>
      <c r="P471" s="203" t="str">
        <f>IF(controls!$B$44=0,"",'external balance'!F470)</f>
        <v/>
      </c>
      <c r="Q471" s="202" t="str">
        <f>IF(controls!$B$44=0,"",'external balance'!H470)</f>
        <v/>
      </c>
    </row>
    <row r="472" spans="1:17" ht="14" thickTop="1" thickBot="1">
      <c r="A472" s="32">
        <v>469</v>
      </c>
      <c r="B472" s="20">
        <f ca="1">('normal case'!D471-'normal case'!B471)/'normal case'!B471</f>
        <v>0</v>
      </c>
      <c r="C472" s="26">
        <f ca="1">'normal case'!D471</f>
        <v>100</v>
      </c>
      <c r="D472" s="27">
        <f ca="1">'normal case'!C471</f>
        <v>0</v>
      </c>
      <c r="E472" s="25">
        <f ca="1">'normal case'!L471/100</f>
        <v>0.02</v>
      </c>
      <c r="F472" s="28">
        <f ca="1">'normal case'!N471/100</f>
        <v>0.06</v>
      </c>
      <c r="G472" s="28">
        <f ca="1">'normal case'!M471/100</f>
        <v>0.04</v>
      </c>
      <c r="H472" s="28">
        <f ca="1">'public finance'!D470</f>
        <v>0</v>
      </c>
      <c r="I472" s="23">
        <f ca="1">'public finance'!E470</f>
        <v>0</v>
      </c>
      <c r="J472" s="153">
        <f ca="1">'public finance'!H470</f>
        <v>0</v>
      </c>
      <c r="K472" s="20">
        <f ca="1">'public finance'!C470/'normal case'!D471</f>
        <v>0.2</v>
      </c>
      <c r="L472" s="23">
        <f ca="1">'public finance'!A470/'normal case'!D471</f>
        <v>0.2</v>
      </c>
      <c r="M472" s="21" t="str">
        <f>IF(controls!$B$44=0,"",'normal case'!AC471)</f>
        <v/>
      </c>
      <c r="N472" s="21" t="str">
        <f>IF(controls!$B$44=0,"",'normal case'!AF471)</f>
        <v/>
      </c>
      <c r="O472" s="203" t="str">
        <f>IF(controls!$B$44=0,"",'external balance'!D471)</f>
        <v/>
      </c>
      <c r="P472" s="203" t="str">
        <f>IF(controls!$B$44=0,"",'external balance'!F471)</f>
        <v/>
      </c>
      <c r="Q472" s="202" t="str">
        <f>IF(controls!$B$44=0,"",'external balance'!H471)</f>
        <v/>
      </c>
    </row>
    <row r="473" spans="1:17" ht="14" thickTop="1" thickBot="1">
      <c r="A473" s="32">
        <v>470</v>
      </c>
      <c r="B473" s="20">
        <f ca="1">('normal case'!D472-'normal case'!B472)/'normal case'!B472</f>
        <v>0</v>
      </c>
      <c r="C473" s="26">
        <f ca="1">'normal case'!D472</f>
        <v>100</v>
      </c>
      <c r="D473" s="27">
        <f ca="1">'normal case'!C472</f>
        <v>0</v>
      </c>
      <c r="E473" s="25">
        <f ca="1">'normal case'!L472/100</f>
        <v>0.02</v>
      </c>
      <c r="F473" s="28">
        <f ca="1">'normal case'!N472/100</f>
        <v>0.06</v>
      </c>
      <c r="G473" s="28">
        <f ca="1">'normal case'!M472/100</f>
        <v>0.04</v>
      </c>
      <c r="H473" s="28">
        <f ca="1">'public finance'!D471</f>
        <v>0</v>
      </c>
      <c r="I473" s="23">
        <f ca="1">'public finance'!E471</f>
        <v>0</v>
      </c>
      <c r="J473" s="153">
        <f ca="1">'public finance'!H471</f>
        <v>0</v>
      </c>
      <c r="K473" s="20">
        <f ca="1">'public finance'!C471/'normal case'!D472</f>
        <v>0.2</v>
      </c>
      <c r="L473" s="23">
        <f ca="1">'public finance'!A471/'normal case'!D472</f>
        <v>0.2</v>
      </c>
      <c r="M473" s="21" t="str">
        <f>IF(controls!$B$44=0,"",'normal case'!AC472)</f>
        <v/>
      </c>
      <c r="N473" s="21" t="str">
        <f>IF(controls!$B$44=0,"",'normal case'!AF472)</f>
        <v/>
      </c>
      <c r="O473" s="203" t="str">
        <f>IF(controls!$B$44=0,"",'external balance'!D472)</f>
        <v/>
      </c>
      <c r="P473" s="203" t="str">
        <f>IF(controls!$B$44=0,"",'external balance'!F472)</f>
        <v/>
      </c>
      <c r="Q473" s="202" t="str">
        <f>IF(controls!$B$44=0,"",'external balance'!H472)</f>
        <v/>
      </c>
    </row>
    <row r="474" spans="1:17" ht="14" thickTop="1" thickBot="1">
      <c r="A474" s="32">
        <v>471</v>
      </c>
      <c r="B474" s="20">
        <f ca="1">('normal case'!D473-'normal case'!B473)/'normal case'!B473</f>
        <v>0</v>
      </c>
      <c r="C474" s="26">
        <f ca="1">'normal case'!D473</f>
        <v>100</v>
      </c>
      <c r="D474" s="27">
        <f ca="1">'normal case'!C473</f>
        <v>0</v>
      </c>
      <c r="E474" s="25">
        <f ca="1">'normal case'!L473/100</f>
        <v>0.02</v>
      </c>
      <c r="F474" s="28">
        <f ca="1">'normal case'!N473/100</f>
        <v>0.06</v>
      </c>
      <c r="G474" s="28">
        <f ca="1">'normal case'!M473/100</f>
        <v>0.04</v>
      </c>
      <c r="H474" s="28">
        <f ca="1">'public finance'!D472</f>
        <v>0</v>
      </c>
      <c r="I474" s="23">
        <f ca="1">'public finance'!E472</f>
        <v>0</v>
      </c>
      <c r="J474" s="153">
        <f ca="1">'public finance'!H472</f>
        <v>0</v>
      </c>
      <c r="K474" s="20">
        <f ca="1">'public finance'!C472/'normal case'!D473</f>
        <v>0.2</v>
      </c>
      <c r="L474" s="23">
        <f ca="1">'public finance'!A472/'normal case'!D473</f>
        <v>0.2</v>
      </c>
      <c r="M474" s="21" t="str">
        <f>IF(controls!$B$44=0,"",'normal case'!AC473)</f>
        <v/>
      </c>
      <c r="N474" s="21" t="str">
        <f>IF(controls!$B$44=0,"",'normal case'!AF473)</f>
        <v/>
      </c>
      <c r="O474" s="203" t="str">
        <f>IF(controls!$B$44=0,"",'external balance'!D473)</f>
        <v/>
      </c>
      <c r="P474" s="203" t="str">
        <f>IF(controls!$B$44=0,"",'external balance'!F473)</f>
        <v/>
      </c>
      <c r="Q474" s="202" t="str">
        <f>IF(controls!$B$44=0,"",'external balance'!H473)</f>
        <v/>
      </c>
    </row>
    <row r="475" spans="1:17" ht="14" thickTop="1" thickBot="1">
      <c r="A475" s="32">
        <v>472</v>
      </c>
      <c r="B475" s="20">
        <f ca="1">('normal case'!D474-'normal case'!B474)/'normal case'!B474</f>
        <v>0</v>
      </c>
      <c r="C475" s="26">
        <f ca="1">'normal case'!D474</f>
        <v>100</v>
      </c>
      <c r="D475" s="27">
        <f ca="1">'normal case'!C474</f>
        <v>0</v>
      </c>
      <c r="E475" s="25">
        <f ca="1">'normal case'!L474/100</f>
        <v>0.02</v>
      </c>
      <c r="F475" s="28">
        <f ca="1">'normal case'!N474/100</f>
        <v>0.06</v>
      </c>
      <c r="G475" s="28">
        <f ca="1">'normal case'!M474/100</f>
        <v>0.04</v>
      </c>
      <c r="H475" s="28">
        <f ca="1">'public finance'!D473</f>
        <v>0</v>
      </c>
      <c r="I475" s="23">
        <f ca="1">'public finance'!E473</f>
        <v>0</v>
      </c>
      <c r="J475" s="153">
        <f ca="1">'public finance'!H473</f>
        <v>0</v>
      </c>
      <c r="K475" s="20">
        <f ca="1">'public finance'!C473/'normal case'!D474</f>
        <v>0.2</v>
      </c>
      <c r="L475" s="23">
        <f ca="1">'public finance'!A473/'normal case'!D474</f>
        <v>0.2</v>
      </c>
      <c r="M475" s="21" t="str">
        <f>IF(controls!$B$44=0,"",'normal case'!AC474)</f>
        <v/>
      </c>
      <c r="N475" s="21" t="str">
        <f>IF(controls!$B$44=0,"",'normal case'!AF474)</f>
        <v/>
      </c>
      <c r="O475" s="203" t="str">
        <f>IF(controls!$B$44=0,"",'external balance'!D474)</f>
        <v/>
      </c>
      <c r="P475" s="203" t="str">
        <f>IF(controls!$B$44=0,"",'external balance'!F474)</f>
        <v/>
      </c>
      <c r="Q475" s="202" t="str">
        <f>IF(controls!$B$44=0,"",'external balance'!H474)</f>
        <v/>
      </c>
    </row>
    <row r="476" spans="1:17" ht="14" thickTop="1" thickBot="1">
      <c r="A476" s="32">
        <v>473</v>
      </c>
      <c r="B476" s="20">
        <f ca="1">('normal case'!D475-'normal case'!B475)/'normal case'!B475</f>
        <v>0</v>
      </c>
      <c r="C476" s="26">
        <f ca="1">'normal case'!D475</f>
        <v>100</v>
      </c>
      <c r="D476" s="27">
        <f ca="1">'normal case'!C475</f>
        <v>0</v>
      </c>
      <c r="E476" s="25">
        <f ca="1">'normal case'!L475/100</f>
        <v>0.02</v>
      </c>
      <c r="F476" s="28">
        <f ca="1">'normal case'!N475/100</f>
        <v>0.06</v>
      </c>
      <c r="G476" s="28">
        <f ca="1">'normal case'!M475/100</f>
        <v>0.04</v>
      </c>
      <c r="H476" s="28">
        <f ca="1">'public finance'!D474</f>
        <v>0</v>
      </c>
      <c r="I476" s="23">
        <f ca="1">'public finance'!E474</f>
        <v>0</v>
      </c>
      <c r="J476" s="153">
        <f ca="1">'public finance'!H474</f>
        <v>0</v>
      </c>
      <c r="K476" s="20">
        <f ca="1">'public finance'!C474/'normal case'!D475</f>
        <v>0.2</v>
      </c>
      <c r="L476" s="23">
        <f ca="1">'public finance'!A474/'normal case'!D475</f>
        <v>0.2</v>
      </c>
      <c r="M476" s="21" t="str">
        <f>IF(controls!$B$44=0,"",'normal case'!AC475)</f>
        <v/>
      </c>
      <c r="N476" s="21" t="str">
        <f>IF(controls!$B$44=0,"",'normal case'!AF475)</f>
        <v/>
      </c>
      <c r="O476" s="203" t="str">
        <f>IF(controls!$B$44=0,"",'external balance'!D475)</f>
        <v/>
      </c>
      <c r="P476" s="203" t="str">
        <f>IF(controls!$B$44=0,"",'external balance'!F475)</f>
        <v/>
      </c>
      <c r="Q476" s="202" t="str">
        <f>IF(controls!$B$44=0,"",'external balance'!H475)</f>
        <v/>
      </c>
    </row>
    <row r="477" spans="1:17" ht="14" thickTop="1" thickBot="1">
      <c r="A477" s="32">
        <v>474</v>
      </c>
      <c r="B477" s="20">
        <f ca="1">('normal case'!D476-'normal case'!B476)/'normal case'!B476</f>
        <v>0</v>
      </c>
      <c r="C477" s="26">
        <f ca="1">'normal case'!D476</f>
        <v>100</v>
      </c>
      <c r="D477" s="27">
        <f ca="1">'normal case'!C476</f>
        <v>0</v>
      </c>
      <c r="E477" s="25">
        <f ca="1">'normal case'!L476/100</f>
        <v>0.02</v>
      </c>
      <c r="F477" s="28">
        <f ca="1">'normal case'!N476/100</f>
        <v>0.06</v>
      </c>
      <c r="G477" s="28">
        <f ca="1">'normal case'!M476/100</f>
        <v>0.04</v>
      </c>
      <c r="H477" s="28">
        <f ca="1">'public finance'!D475</f>
        <v>0</v>
      </c>
      <c r="I477" s="23">
        <f ca="1">'public finance'!E475</f>
        <v>0</v>
      </c>
      <c r="J477" s="153">
        <f ca="1">'public finance'!H475</f>
        <v>0</v>
      </c>
      <c r="K477" s="20">
        <f ca="1">'public finance'!C475/'normal case'!D476</f>
        <v>0.2</v>
      </c>
      <c r="L477" s="23">
        <f ca="1">'public finance'!A475/'normal case'!D476</f>
        <v>0.2</v>
      </c>
      <c r="M477" s="21" t="str">
        <f>IF(controls!$B$44=0,"",'normal case'!AC476)</f>
        <v/>
      </c>
      <c r="N477" s="21" t="str">
        <f>IF(controls!$B$44=0,"",'normal case'!AF476)</f>
        <v/>
      </c>
      <c r="O477" s="203" t="str">
        <f>IF(controls!$B$44=0,"",'external balance'!D476)</f>
        <v/>
      </c>
      <c r="P477" s="203" t="str">
        <f>IF(controls!$B$44=0,"",'external balance'!F476)</f>
        <v/>
      </c>
      <c r="Q477" s="202" t="str">
        <f>IF(controls!$B$44=0,"",'external balance'!H476)</f>
        <v/>
      </c>
    </row>
    <row r="478" spans="1:17" ht="14" thickTop="1" thickBot="1">
      <c r="A478" s="32">
        <v>475</v>
      </c>
      <c r="B478" s="20">
        <f ca="1">('normal case'!D477-'normal case'!B477)/'normal case'!B477</f>
        <v>0</v>
      </c>
      <c r="C478" s="26">
        <f ca="1">'normal case'!D477</f>
        <v>100</v>
      </c>
      <c r="D478" s="27">
        <f ca="1">'normal case'!C477</f>
        <v>0</v>
      </c>
      <c r="E478" s="25">
        <f ca="1">'normal case'!L477/100</f>
        <v>0.02</v>
      </c>
      <c r="F478" s="28">
        <f ca="1">'normal case'!N477/100</f>
        <v>0.06</v>
      </c>
      <c r="G478" s="28">
        <f ca="1">'normal case'!M477/100</f>
        <v>0.04</v>
      </c>
      <c r="H478" s="28">
        <f ca="1">'public finance'!D476</f>
        <v>0</v>
      </c>
      <c r="I478" s="23">
        <f ca="1">'public finance'!E476</f>
        <v>0</v>
      </c>
      <c r="J478" s="153">
        <f ca="1">'public finance'!H476</f>
        <v>0</v>
      </c>
      <c r="K478" s="20">
        <f ca="1">'public finance'!C476/'normal case'!D477</f>
        <v>0.2</v>
      </c>
      <c r="L478" s="23">
        <f ca="1">'public finance'!A476/'normal case'!D477</f>
        <v>0.2</v>
      </c>
      <c r="M478" s="21" t="str">
        <f>IF(controls!$B$44=0,"",'normal case'!AC477)</f>
        <v/>
      </c>
      <c r="N478" s="21" t="str">
        <f>IF(controls!$B$44=0,"",'normal case'!AF477)</f>
        <v/>
      </c>
      <c r="O478" s="203" t="str">
        <f>IF(controls!$B$44=0,"",'external balance'!D477)</f>
        <v/>
      </c>
      <c r="P478" s="203" t="str">
        <f>IF(controls!$B$44=0,"",'external balance'!F477)</f>
        <v/>
      </c>
      <c r="Q478" s="202" t="str">
        <f>IF(controls!$B$44=0,"",'external balance'!H477)</f>
        <v/>
      </c>
    </row>
    <row r="479" spans="1:17" ht="14" thickTop="1" thickBot="1">
      <c r="A479" s="32">
        <v>476</v>
      </c>
      <c r="B479" s="20">
        <f ca="1">('normal case'!D478-'normal case'!B478)/'normal case'!B478</f>
        <v>0</v>
      </c>
      <c r="C479" s="26">
        <f ca="1">'normal case'!D478</f>
        <v>100</v>
      </c>
      <c r="D479" s="27">
        <f ca="1">'normal case'!C478</f>
        <v>0</v>
      </c>
      <c r="E479" s="25">
        <f ca="1">'normal case'!L478/100</f>
        <v>0.02</v>
      </c>
      <c r="F479" s="28">
        <f ca="1">'normal case'!N478/100</f>
        <v>0.06</v>
      </c>
      <c r="G479" s="28">
        <f ca="1">'normal case'!M478/100</f>
        <v>0.04</v>
      </c>
      <c r="H479" s="28">
        <f ca="1">'public finance'!D477</f>
        <v>0</v>
      </c>
      <c r="I479" s="23">
        <f ca="1">'public finance'!E477</f>
        <v>0</v>
      </c>
      <c r="J479" s="153">
        <f ca="1">'public finance'!H477</f>
        <v>0</v>
      </c>
      <c r="K479" s="20">
        <f ca="1">'public finance'!C477/'normal case'!D478</f>
        <v>0.2</v>
      </c>
      <c r="L479" s="23">
        <f ca="1">'public finance'!A477/'normal case'!D478</f>
        <v>0.2</v>
      </c>
      <c r="M479" s="21" t="str">
        <f>IF(controls!$B$44=0,"",'normal case'!AC478)</f>
        <v/>
      </c>
      <c r="N479" s="21" t="str">
        <f>IF(controls!$B$44=0,"",'normal case'!AF478)</f>
        <v/>
      </c>
      <c r="O479" s="203" t="str">
        <f>IF(controls!$B$44=0,"",'external balance'!D478)</f>
        <v/>
      </c>
      <c r="P479" s="203" t="str">
        <f>IF(controls!$B$44=0,"",'external balance'!F478)</f>
        <v/>
      </c>
      <c r="Q479" s="202" t="str">
        <f>IF(controls!$B$44=0,"",'external balance'!H478)</f>
        <v/>
      </c>
    </row>
    <row r="480" spans="1:17" ht="14" thickTop="1" thickBot="1">
      <c r="A480" s="32">
        <v>477</v>
      </c>
      <c r="B480" s="20">
        <f ca="1">('normal case'!D479-'normal case'!B479)/'normal case'!B479</f>
        <v>0</v>
      </c>
      <c r="C480" s="26">
        <f ca="1">'normal case'!D479</f>
        <v>100</v>
      </c>
      <c r="D480" s="27">
        <f ca="1">'normal case'!C479</f>
        <v>0</v>
      </c>
      <c r="E480" s="25">
        <f ca="1">'normal case'!L479/100</f>
        <v>0.02</v>
      </c>
      <c r="F480" s="28">
        <f ca="1">'normal case'!N479/100</f>
        <v>0.06</v>
      </c>
      <c r="G480" s="28">
        <f ca="1">'normal case'!M479/100</f>
        <v>0.04</v>
      </c>
      <c r="H480" s="28">
        <f ca="1">'public finance'!D478</f>
        <v>0</v>
      </c>
      <c r="I480" s="23">
        <f ca="1">'public finance'!E478</f>
        <v>0</v>
      </c>
      <c r="J480" s="153">
        <f ca="1">'public finance'!H478</f>
        <v>0</v>
      </c>
      <c r="K480" s="20">
        <f ca="1">'public finance'!C478/'normal case'!D479</f>
        <v>0.2</v>
      </c>
      <c r="L480" s="23">
        <f ca="1">'public finance'!A478/'normal case'!D479</f>
        <v>0.2</v>
      </c>
      <c r="M480" s="21" t="str">
        <f>IF(controls!$B$44=0,"",'normal case'!AC479)</f>
        <v/>
      </c>
      <c r="N480" s="21" t="str">
        <f>IF(controls!$B$44=0,"",'normal case'!AF479)</f>
        <v/>
      </c>
      <c r="O480" s="203" t="str">
        <f>IF(controls!$B$44=0,"",'external balance'!D479)</f>
        <v/>
      </c>
      <c r="P480" s="203" t="str">
        <f>IF(controls!$B$44=0,"",'external balance'!F479)</f>
        <v/>
      </c>
      <c r="Q480" s="202" t="str">
        <f>IF(controls!$B$44=0,"",'external balance'!H479)</f>
        <v/>
      </c>
    </row>
    <row r="481" spans="1:17" ht="14" thickTop="1" thickBot="1">
      <c r="A481" s="32">
        <v>478</v>
      </c>
      <c r="B481" s="20">
        <f ca="1">('normal case'!D480-'normal case'!B480)/'normal case'!B480</f>
        <v>0</v>
      </c>
      <c r="C481" s="26">
        <f ca="1">'normal case'!D480</f>
        <v>100</v>
      </c>
      <c r="D481" s="27">
        <f ca="1">'normal case'!C480</f>
        <v>0</v>
      </c>
      <c r="E481" s="25">
        <f ca="1">'normal case'!L480/100</f>
        <v>0.02</v>
      </c>
      <c r="F481" s="28">
        <f ca="1">'normal case'!N480/100</f>
        <v>0.06</v>
      </c>
      <c r="G481" s="28">
        <f ca="1">'normal case'!M480/100</f>
        <v>0.04</v>
      </c>
      <c r="H481" s="28">
        <f ca="1">'public finance'!D479</f>
        <v>0</v>
      </c>
      <c r="I481" s="23">
        <f ca="1">'public finance'!E479</f>
        <v>0</v>
      </c>
      <c r="J481" s="153">
        <f ca="1">'public finance'!H479</f>
        <v>0</v>
      </c>
      <c r="K481" s="20">
        <f ca="1">'public finance'!C479/'normal case'!D480</f>
        <v>0.2</v>
      </c>
      <c r="L481" s="23">
        <f ca="1">'public finance'!A479/'normal case'!D480</f>
        <v>0.2</v>
      </c>
      <c r="M481" s="21" t="str">
        <f>IF(controls!$B$44=0,"",'normal case'!AC480)</f>
        <v/>
      </c>
      <c r="N481" s="21" t="str">
        <f>IF(controls!$B$44=0,"",'normal case'!AF480)</f>
        <v/>
      </c>
      <c r="O481" s="203" t="str">
        <f>IF(controls!$B$44=0,"",'external balance'!D480)</f>
        <v/>
      </c>
      <c r="P481" s="203" t="str">
        <f>IF(controls!$B$44=0,"",'external balance'!F480)</f>
        <v/>
      </c>
      <c r="Q481" s="202" t="str">
        <f>IF(controls!$B$44=0,"",'external balance'!H480)</f>
        <v/>
      </c>
    </row>
    <row r="482" spans="1:17" ht="14" thickTop="1" thickBot="1">
      <c r="A482" s="32">
        <v>479</v>
      </c>
      <c r="B482" s="20">
        <f ca="1">('normal case'!D481-'normal case'!B481)/'normal case'!B481</f>
        <v>0</v>
      </c>
      <c r="C482" s="26">
        <f ca="1">'normal case'!D481</f>
        <v>100</v>
      </c>
      <c r="D482" s="27">
        <f ca="1">'normal case'!C481</f>
        <v>0</v>
      </c>
      <c r="E482" s="25">
        <f ca="1">'normal case'!L481/100</f>
        <v>0.02</v>
      </c>
      <c r="F482" s="28">
        <f ca="1">'normal case'!N481/100</f>
        <v>0.06</v>
      </c>
      <c r="G482" s="28">
        <f ca="1">'normal case'!M481/100</f>
        <v>0.04</v>
      </c>
      <c r="H482" s="28">
        <f ca="1">'public finance'!D480</f>
        <v>0</v>
      </c>
      <c r="I482" s="23">
        <f ca="1">'public finance'!E480</f>
        <v>0</v>
      </c>
      <c r="J482" s="153">
        <f ca="1">'public finance'!H480</f>
        <v>0</v>
      </c>
      <c r="K482" s="20">
        <f ca="1">'public finance'!C480/'normal case'!D481</f>
        <v>0.2</v>
      </c>
      <c r="L482" s="23">
        <f ca="1">'public finance'!A480/'normal case'!D481</f>
        <v>0.2</v>
      </c>
      <c r="M482" s="21" t="str">
        <f>IF(controls!$B$44=0,"",'normal case'!AC481)</f>
        <v/>
      </c>
      <c r="N482" s="21" t="str">
        <f>IF(controls!$B$44=0,"",'normal case'!AF481)</f>
        <v/>
      </c>
      <c r="O482" s="203" t="str">
        <f>IF(controls!$B$44=0,"",'external balance'!D481)</f>
        <v/>
      </c>
      <c r="P482" s="203" t="str">
        <f>IF(controls!$B$44=0,"",'external balance'!F481)</f>
        <v/>
      </c>
      <c r="Q482" s="202" t="str">
        <f>IF(controls!$B$44=0,"",'external balance'!H481)</f>
        <v/>
      </c>
    </row>
    <row r="483" spans="1:17" ht="14" thickTop="1" thickBot="1">
      <c r="A483" s="32">
        <v>480</v>
      </c>
      <c r="B483" s="20">
        <f ca="1">('normal case'!D482-'normal case'!B482)/'normal case'!B482</f>
        <v>0</v>
      </c>
      <c r="C483" s="26">
        <f ca="1">'normal case'!D482</f>
        <v>100</v>
      </c>
      <c r="D483" s="27">
        <f ca="1">'normal case'!C482</f>
        <v>0</v>
      </c>
      <c r="E483" s="25">
        <f ca="1">'normal case'!L482/100</f>
        <v>0.02</v>
      </c>
      <c r="F483" s="28">
        <f ca="1">'normal case'!N482/100</f>
        <v>0.06</v>
      </c>
      <c r="G483" s="28">
        <f ca="1">'normal case'!M482/100</f>
        <v>0.04</v>
      </c>
      <c r="H483" s="28">
        <f ca="1">'public finance'!D481</f>
        <v>0</v>
      </c>
      <c r="I483" s="23">
        <f ca="1">'public finance'!E481</f>
        <v>0</v>
      </c>
      <c r="J483" s="153">
        <f ca="1">'public finance'!H481</f>
        <v>0</v>
      </c>
      <c r="K483" s="20">
        <f ca="1">'public finance'!C481/'normal case'!D482</f>
        <v>0.2</v>
      </c>
      <c r="L483" s="23">
        <f ca="1">'public finance'!A481/'normal case'!D482</f>
        <v>0.2</v>
      </c>
      <c r="M483" s="21" t="str">
        <f>IF(controls!$B$44=0,"",'normal case'!AC482)</f>
        <v/>
      </c>
      <c r="N483" s="21" t="str">
        <f>IF(controls!$B$44=0,"",'normal case'!AF482)</f>
        <v/>
      </c>
      <c r="O483" s="203" t="str">
        <f>IF(controls!$B$44=0,"",'external balance'!D482)</f>
        <v/>
      </c>
      <c r="P483" s="203" t="str">
        <f>IF(controls!$B$44=0,"",'external balance'!F482)</f>
        <v/>
      </c>
      <c r="Q483" s="202" t="str">
        <f>IF(controls!$B$44=0,"",'external balance'!H482)</f>
        <v/>
      </c>
    </row>
    <row r="484" spans="1:17" ht="14" thickTop="1" thickBot="1">
      <c r="A484" s="32">
        <v>481</v>
      </c>
      <c r="B484" s="20">
        <f ca="1">('normal case'!D483-'normal case'!B483)/'normal case'!B483</f>
        <v>0</v>
      </c>
      <c r="C484" s="26">
        <f ca="1">'normal case'!D483</f>
        <v>100</v>
      </c>
      <c r="D484" s="27">
        <f ca="1">'normal case'!C483</f>
        <v>0</v>
      </c>
      <c r="E484" s="25">
        <f ca="1">'normal case'!L483/100</f>
        <v>0.02</v>
      </c>
      <c r="F484" s="28">
        <f ca="1">'normal case'!N483/100</f>
        <v>0.06</v>
      </c>
      <c r="G484" s="28">
        <f ca="1">'normal case'!M483/100</f>
        <v>0.04</v>
      </c>
      <c r="H484" s="28">
        <f ca="1">'public finance'!D482</f>
        <v>0</v>
      </c>
      <c r="I484" s="23">
        <f ca="1">'public finance'!E482</f>
        <v>0</v>
      </c>
      <c r="J484" s="153">
        <f ca="1">'public finance'!H482</f>
        <v>0</v>
      </c>
      <c r="K484" s="20">
        <f ca="1">'public finance'!C482/'normal case'!D483</f>
        <v>0.2</v>
      </c>
      <c r="L484" s="23">
        <f ca="1">'public finance'!A482/'normal case'!D483</f>
        <v>0.2</v>
      </c>
      <c r="M484" s="21" t="str">
        <f>IF(controls!$B$44=0,"",'normal case'!AC483)</f>
        <v/>
      </c>
      <c r="N484" s="21" t="str">
        <f>IF(controls!$B$44=0,"",'normal case'!AF483)</f>
        <v/>
      </c>
      <c r="O484" s="203" t="str">
        <f>IF(controls!$B$44=0,"",'external balance'!D483)</f>
        <v/>
      </c>
      <c r="P484" s="203" t="str">
        <f>IF(controls!$B$44=0,"",'external balance'!F483)</f>
        <v/>
      </c>
      <c r="Q484" s="202" t="str">
        <f>IF(controls!$B$44=0,"",'external balance'!H483)</f>
        <v/>
      </c>
    </row>
    <row r="485" spans="1:17" ht="14" thickTop="1" thickBot="1">
      <c r="A485" s="32">
        <v>482</v>
      </c>
      <c r="B485" s="20">
        <f ca="1">('normal case'!D484-'normal case'!B484)/'normal case'!B484</f>
        <v>0</v>
      </c>
      <c r="C485" s="26">
        <f ca="1">'normal case'!D484</f>
        <v>100</v>
      </c>
      <c r="D485" s="27">
        <f ca="1">'normal case'!C484</f>
        <v>0</v>
      </c>
      <c r="E485" s="25">
        <f ca="1">'normal case'!L484/100</f>
        <v>0.02</v>
      </c>
      <c r="F485" s="28">
        <f ca="1">'normal case'!N484/100</f>
        <v>0.06</v>
      </c>
      <c r="G485" s="28">
        <f ca="1">'normal case'!M484/100</f>
        <v>0.04</v>
      </c>
      <c r="H485" s="28">
        <f ca="1">'public finance'!D483</f>
        <v>0</v>
      </c>
      <c r="I485" s="23">
        <f ca="1">'public finance'!E483</f>
        <v>0</v>
      </c>
      <c r="J485" s="153">
        <f ca="1">'public finance'!H483</f>
        <v>0</v>
      </c>
      <c r="K485" s="20">
        <f ca="1">'public finance'!C483/'normal case'!D484</f>
        <v>0.2</v>
      </c>
      <c r="L485" s="23">
        <f ca="1">'public finance'!A483/'normal case'!D484</f>
        <v>0.2</v>
      </c>
      <c r="M485" s="21" t="str">
        <f>IF(controls!$B$44=0,"",'normal case'!AC484)</f>
        <v/>
      </c>
      <c r="N485" s="21" t="str">
        <f>IF(controls!$B$44=0,"",'normal case'!AF484)</f>
        <v/>
      </c>
      <c r="O485" s="203" t="str">
        <f>IF(controls!$B$44=0,"",'external balance'!D484)</f>
        <v/>
      </c>
      <c r="P485" s="203" t="str">
        <f>IF(controls!$B$44=0,"",'external balance'!F484)</f>
        <v/>
      </c>
      <c r="Q485" s="202" t="str">
        <f>IF(controls!$B$44=0,"",'external balance'!H484)</f>
        <v/>
      </c>
    </row>
    <row r="486" spans="1:17" ht="14" thickTop="1" thickBot="1">
      <c r="A486" s="32">
        <v>483</v>
      </c>
      <c r="B486" s="20">
        <f ca="1">('normal case'!D485-'normal case'!B485)/'normal case'!B485</f>
        <v>0</v>
      </c>
      <c r="C486" s="26">
        <f ca="1">'normal case'!D485</f>
        <v>100</v>
      </c>
      <c r="D486" s="27">
        <f ca="1">'normal case'!C485</f>
        <v>0</v>
      </c>
      <c r="E486" s="25">
        <f ca="1">'normal case'!L485/100</f>
        <v>0.02</v>
      </c>
      <c r="F486" s="28">
        <f ca="1">'normal case'!N485/100</f>
        <v>0.06</v>
      </c>
      <c r="G486" s="28">
        <f ca="1">'normal case'!M485/100</f>
        <v>0.04</v>
      </c>
      <c r="H486" s="28">
        <f ca="1">'public finance'!D484</f>
        <v>0</v>
      </c>
      <c r="I486" s="23">
        <f ca="1">'public finance'!E484</f>
        <v>0</v>
      </c>
      <c r="J486" s="153">
        <f ca="1">'public finance'!H484</f>
        <v>0</v>
      </c>
      <c r="K486" s="20">
        <f ca="1">'public finance'!C484/'normal case'!D485</f>
        <v>0.2</v>
      </c>
      <c r="L486" s="23">
        <f ca="1">'public finance'!A484/'normal case'!D485</f>
        <v>0.2</v>
      </c>
      <c r="M486" s="21" t="str">
        <f>IF(controls!$B$44=0,"",'normal case'!AC485)</f>
        <v/>
      </c>
      <c r="N486" s="21" t="str">
        <f>IF(controls!$B$44=0,"",'normal case'!AF485)</f>
        <v/>
      </c>
      <c r="O486" s="203" t="str">
        <f>IF(controls!$B$44=0,"",'external balance'!D485)</f>
        <v/>
      </c>
      <c r="P486" s="203" t="str">
        <f>IF(controls!$B$44=0,"",'external balance'!F485)</f>
        <v/>
      </c>
      <c r="Q486" s="202" t="str">
        <f>IF(controls!$B$44=0,"",'external balance'!H485)</f>
        <v/>
      </c>
    </row>
    <row r="487" spans="1:17" ht="14" thickTop="1" thickBot="1">
      <c r="A487" s="32">
        <v>484</v>
      </c>
      <c r="B487" s="20">
        <f ca="1">('normal case'!D486-'normal case'!B486)/'normal case'!B486</f>
        <v>0</v>
      </c>
      <c r="C487" s="26">
        <f ca="1">'normal case'!D486</f>
        <v>100</v>
      </c>
      <c r="D487" s="27">
        <f ca="1">'normal case'!C486</f>
        <v>0</v>
      </c>
      <c r="E487" s="25">
        <f ca="1">'normal case'!L486/100</f>
        <v>0.02</v>
      </c>
      <c r="F487" s="28">
        <f ca="1">'normal case'!N486/100</f>
        <v>0.06</v>
      </c>
      <c r="G487" s="28">
        <f ca="1">'normal case'!M486/100</f>
        <v>0.04</v>
      </c>
      <c r="H487" s="28">
        <f ca="1">'public finance'!D485</f>
        <v>0</v>
      </c>
      <c r="I487" s="23">
        <f ca="1">'public finance'!E485</f>
        <v>0</v>
      </c>
      <c r="J487" s="153">
        <f ca="1">'public finance'!H485</f>
        <v>0</v>
      </c>
      <c r="K487" s="20">
        <f ca="1">'public finance'!C485/'normal case'!D486</f>
        <v>0.2</v>
      </c>
      <c r="L487" s="23">
        <f ca="1">'public finance'!A485/'normal case'!D486</f>
        <v>0.2</v>
      </c>
      <c r="M487" s="21" t="str">
        <f>IF(controls!$B$44=0,"",'normal case'!AC486)</f>
        <v/>
      </c>
      <c r="N487" s="21" t="str">
        <f>IF(controls!$B$44=0,"",'normal case'!AF486)</f>
        <v/>
      </c>
      <c r="O487" s="203" t="str">
        <f>IF(controls!$B$44=0,"",'external balance'!D486)</f>
        <v/>
      </c>
      <c r="P487" s="203" t="str">
        <f>IF(controls!$B$44=0,"",'external balance'!F486)</f>
        <v/>
      </c>
      <c r="Q487" s="202" t="str">
        <f>IF(controls!$B$44=0,"",'external balance'!H486)</f>
        <v/>
      </c>
    </row>
    <row r="488" spans="1:17" ht="14" thickTop="1" thickBot="1">
      <c r="A488" s="32">
        <v>485</v>
      </c>
      <c r="B488" s="20">
        <f ca="1">('normal case'!D487-'normal case'!B487)/'normal case'!B487</f>
        <v>0</v>
      </c>
      <c r="C488" s="26">
        <f ca="1">'normal case'!D487</f>
        <v>100</v>
      </c>
      <c r="D488" s="27">
        <f ca="1">'normal case'!C487</f>
        <v>0</v>
      </c>
      <c r="E488" s="25">
        <f ca="1">'normal case'!L487/100</f>
        <v>0.02</v>
      </c>
      <c r="F488" s="28">
        <f ca="1">'normal case'!N487/100</f>
        <v>0.06</v>
      </c>
      <c r="G488" s="28">
        <f ca="1">'normal case'!M487/100</f>
        <v>0.04</v>
      </c>
      <c r="H488" s="28">
        <f ca="1">'public finance'!D486</f>
        <v>0</v>
      </c>
      <c r="I488" s="23">
        <f ca="1">'public finance'!E486</f>
        <v>0</v>
      </c>
      <c r="J488" s="153">
        <f ca="1">'public finance'!H486</f>
        <v>0</v>
      </c>
      <c r="K488" s="20">
        <f ca="1">'public finance'!C486/'normal case'!D487</f>
        <v>0.2</v>
      </c>
      <c r="L488" s="23">
        <f ca="1">'public finance'!A486/'normal case'!D487</f>
        <v>0.2</v>
      </c>
      <c r="M488" s="21" t="str">
        <f>IF(controls!$B$44=0,"",'normal case'!AC487)</f>
        <v/>
      </c>
      <c r="N488" s="21" t="str">
        <f>IF(controls!$B$44=0,"",'normal case'!AF487)</f>
        <v/>
      </c>
      <c r="O488" s="203" t="str">
        <f>IF(controls!$B$44=0,"",'external balance'!D487)</f>
        <v/>
      </c>
      <c r="P488" s="203" t="str">
        <f>IF(controls!$B$44=0,"",'external balance'!F487)</f>
        <v/>
      </c>
      <c r="Q488" s="202" t="str">
        <f>IF(controls!$B$44=0,"",'external balance'!H487)</f>
        <v/>
      </c>
    </row>
    <row r="489" spans="1:17" ht="14" thickTop="1" thickBot="1">
      <c r="A489" s="32">
        <v>486</v>
      </c>
      <c r="B489" s="20">
        <f ca="1">('normal case'!D488-'normal case'!B488)/'normal case'!B488</f>
        <v>0</v>
      </c>
      <c r="C489" s="26">
        <f ca="1">'normal case'!D488</f>
        <v>100</v>
      </c>
      <c r="D489" s="27">
        <f ca="1">'normal case'!C488</f>
        <v>0</v>
      </c>
      <c r="E489" s="25">
        <f ca="1">'normal case'!L488/100</f>
        <v>0.02</v>
      </c>
      <c r="F489" s="28">
        <f ca="1">'normal case'!N488/100</f>
        <v>0.06</v>
      </c>
      <c r="G489" s="28">
        <f ca="1">'normal case'!M488/100</f>
        <v>0.04</v>
      </c>
      <c r="H489" s="28">
        <f ca="1">'public finance'!D487</f>
        <v>0</v>
      </c>
      <c r="I489" s="23">
        <f ca="1">'public finance'!E487</f>
        <v>0</v>
      </c>
      <c r="J489" s="153">
        <f ca="1">'public finance'!H487</f>
        <v>0</v>
      </c>
      <c r="K489" s="20">
        <f ca="1">'public finance'!C487/'normal case'!D488</f>
        <v>0.2</v>
      </c>
      <c r="L489" s="23">
        <f ca="1">'public finance'!A487/'normal case'!D488</f>
        <v>0.2</v>
      </c>
      <c r="M489" s="21" t="str">
        <f>IF(controls!$B$44=0,"",'normal case'!AC488)</f>
        <v/>
      </c>
      <c r="N489" s="21" t="str">
        <f>IF(controls!$B$44=0,"",'normal case'!AF488)</f>
        <v/>
      </c>
      <c r="O489" s="203" t="str">
        <f>IF(controls!$B$44=0,"",'external balance'!D488)</f>
        <v/>
      </c>
      <c r="P489" s="203" t="str">
        <f>IF(controls!$B$44=0,"",'external balance'!F488)</f>
        <v/>
      </c>
      <c r="Q489" s="202" t="str">
        <f>IF(controls!$B$44=0,"",'external balance'!H488)</f>
        <v/>
      </c>
    </row>
    <row r="490" spans="1:17" ht="14" thickTop="1" thickBot="1">
      <c r="A490" s="32">
        <v>487</v>
      </c>
      <c r="B490" s="20">
        <f ca="1">('normal case'!D489-'normal case'!B489)/'normal case'!B489</f>
        <v>0</v>
      </c>
      <c r="C490" s="26">
        <f ca="1">'normal case'!D489</f>
        <v>100</v>
      </c>
      <c r="D490" s="27">
        <f ca="1">'normal case'!C489</f>
        <v>0</v>
      </c>
      <c r="E490" s="25">
        <f ca="1">'normal case'!L489/100</f>
        <v>0.02</v>
      </c>
      <c r="F490" s="28">
        <f ca="1">'normal case'!N489/100</f>
        <v>0.06</v>
      </c>
      <c r="G490" s="28">
        <f ca="1">'normal case'!M489/100</f>
        <v>0.04</v>
      </c>
      <c r="H490" s="28">
        <f ca="1">'public finance'!D488</f>
        <v>0</v>
      </c>
      <c r="I490" s="23">
        <f ca="1">'public finance'!E488</f>
        <v>0</v>
      </c>
      <c r="J490" s="153">
        <f ca="1">'public finance'!H488</f>
        <v>0</v>
      </c>
      <c r="K490" s="20">
        <f ca="1">'public finance'!C488/'normal case'!D489</f>
        <v>0.2</v>
      </c>
      <c r="L490" s="23">
        <f ca="1">'public finance'!A488/'normal case'!D489</f>
        <v>0.2</v>
      </c>
      <c r="M490" s="21" t="str">
        <f>IF(controls!$B$44=0,"",'normal case'!AC489)</f>
        <v/>
      </c>
      <c r="N490" s="21" t="str">
        <f>IF(controls!$B$44=0,"",'normal case'!AF489)</f>
        <v/>
      </c>
      <c r="O490" s="203" t="str">
        <f>IF(controls!$B$44=0,"",'external balance'!D489)</f>
        <v/>
      </c>
      <c r="P490" s="203" t="str">
        <f>IF(controls!$B$44=0,"",'external balance'!F489)</f>
        <v/>
      </c>
      <c r="Q490" s="202" t="str">
        <f>IF(controls!$B$44=0,"",'external balance'!H489)</f>
        <v/>
      </c>
    </row>
    <row r="491" spans="1:17" ht="14" thickTop="1" thickBot="1">
      <c r="A491" s="32">
        <v>488</v>
      </c>
      <c r="B491" s="20">
        <f ca="1">('normal case'!D490-'normal case'!B490)/'normal case'!B490</f>
        <v>0</v>
      </c>
      <c r="C491" s="26">
        <f ca="1">'normal case'!D490</f>
        <v>100</v>
      </c>
      <c r="D491" s="27">
        <f ca="1">'normal case'!C490</f>
        <v>0</v>
      </c>
      <c r="E491" s="25">
        <f ca="1">'normal case'!L490/100</f>
        <v>0.02</v>
      </c>
      <c r="F491" s="28">
        <f ca="1">'normal case'!N490/100</f>
        <v>0.06</v>
      </c>
      <c r="G491" s="28">
        <f ca="1">'normal case'!M490/100</f>
        <v>0.04</v>
      </c>
      <c r="H491" s="28">
        <f ca="1">'public finance'!D489</f>
        <v>0</v>
      </c>
      <c r="I491" s="23">
        <f ca="1">'public finance'!E489</f>
        <v>0</v>
      </c>
      <c r="J491" s="153">
        <f ca="1">'public finance'!H489</f>
        <v>0</v>
      </c>
      <c r="K491" s="20">
        <f ca="1">'public finance'!C489/'normal case'!D490</f>
        <v>0.2</v>
      </c>
      <c r="L491" s="23">
        <f ca="1">'public finance'!A489/'normal case'!D490</f>
        <v>0.2</v>
      </c>
      <c r="M491" s="21" t="str">
        <f>IF(controls!$B$44=0,"",'normal case'!AC490)</f>
        <v/>
      </c>
      <c r="N491" s="21" t="str">
        <f>IF(controls!$B$44=0,"",'normal case'!AF490)</f>
        <v/>
      </c>
      <c r="O491" s="203" t="str">
        <f>IF(controls!$B$44=0,"",'external balance'!D490)</f>
        <v/>
      </c>
      <c r="P491" s="203" t="str">
        <f>IF(controls!$B$44=0,"",'external balance'!F490)</f>
        <v/>
      </c>
      <c r="Q491" s="202" t="str">
        <f>IF(controls!$B$44=0,"",'external balance'!H490)</f>
        <v/>
      </c>
    </row>
    <row r="492" spans="1:17" ht="14" thickTop="1" thickBot="1">
      <c r="A492" s="32">
        <v>489</v>
      </c>
      <c r="B492" s="20">
        <f ca="1">('normal case'!D491-'normal case'!B491)/'normal case'!B491</f>
        <v>0</v>
      </c>
      <c r="C492" s="26">
        <f ca="1">'normal case'!D491</f>
        <v>100</v>
      </c>
      <c r="D492" s="27">
        <f ca="1">'normal case'!C491</f>
        <v>0</v>
      </c>
      <c r="E492" s="25">
        <f ca="1">'normal case'!L491/100</f>
        <v>0.02</v>
      </c>
      <c r="F492" s="28">
        <f ca="1">'normal case'!N491/100</f>
        <v>0.06</v>
      </c>
      <c r="G492" s="28">
        <f ca="1">'normal case'!M491/100</f>
        <v>0.04</v>
      </c>
      <c r="H492" s="28">
        <f ca="1">'public finance'!D490</f>
        <v>0</v>
      </c>
      <c r="I492" s="23">
        <f ca="1">'public finance'!E490</f>
        <v>0</v>
      </c>
      <c r="J492" s="153">
        <f ca="1">'public finance'!H490</f>
        <v>0</v>
      </c>
      <c r="K492" s="20">
        <f ca="1">'public finance'!C490/'normal case'!D491</f>
        <v>0.2</v>
      </c>
      <c r="L492" s="23">
        <f ca="1">'public finance'!A490/'normal case'!D491</f>
        <v>0.2</v>
      </c>
      <c r="M492" s="21" t="str">
        <f>IF(controls!$B$44=0,"",'normal case'!AC491)</f>
        <v/>
      </c>
      <c r="N492" s="21" t="str">
        <f>IF(controls!$B$44=0,"",'normal case'!AF491)</f>
        <v/>
      </c>
      <c r="O492" s="203" t="str">
        <f>IF(controls!$B$44=0,"",'external balance'!D491)</f>
        <v/>
      </c>
      <c r="P492" s="203" t="str">
        <f>IF(controls!$B$44=0,"",'external balance'!F491)</f>
        <v/>
      </c>
      <c r="Q492" s="202" t="str">
        <f>IF(controls!$B$44=0,"",'external balance'!H491)</f>
        <v/>
      </c>
    </row>
    <row r="493" spans="1:17" ht="14" thickTop="1" thickBot="1">
      <c r="A493" s="32">
        <v>490</v>
      </c>
      <c r="B493" s="20">
        <f ca="1">('normal case'!D492-'normal case'!B492)/'normal case'!B492</f>
        <v>0</v>
      </c>
      <c r="C493" s="26">
        <f ca="1">'normal case'!D492</f>
        <v>100</v>
      </c>
      <c r="D493" s="27">
        <f ca="1">'normal case'!C492</f>
        <v>0</v>
      </c>
      <c r="E493" s="25">
        <f ca="1">'normal case'!L492/100</f>
        <v>0.02</v>
      </c>
      <c r="F493" s="28">
        <f ca="1">'normal case'!N492/100</f>
        <v>0.06</v>
      </c>
      <c r="G493" s="28">
        <f ca="1">'normal case'!M492/100</f>
        <v>0.04</v>
      </c>
      <c r="H493" s="28">
        <f ca="1">'public finance'!D491</f>
        <v>0</v>
      </c>
      <c r="I493" s="23">
        <f ca="1">'public finance'!E491</f>
        <v>0</v>
      </c>
      <c r="J493" s="153">
        <f ca="1">'public finance'!H491</f>
        <v>0</v>
      </c>
      <c r="K493" s="20">
        <f ca="1">'public finance'!C491/'normal case'!D492</f>
        <v>0.2</v>
      </c>
      <c r="L493" s="23">
        <f ca="1">'public finance'!A491/'normal case'!D492</f>
        <v>0.2</v>
      </c>
      <c r="M493" s="21" t="str">
        <f>IF(controls!$B$44=0,"",'normal case'!AC492)</f>
        <v/>
      </c>
      <c r="N493" s="21" t="str">
        <f>IF(controls!$B$44=0,"",'normal case'!AF492)</f>
        <v/>
      </c>
      <c r="O493" s="203" t="str">
        <f>IF(controls!$B$44=0,"",'external balance'!D492)</f>
        <v/>
      </c>
      <c r="P493" s="203" t="str">
        <f>IF(controls!$B$44=0,"",'external balance'!F492)</f>
        <v/>
      </c>
      <c r="Q493" s="202" t="str">
        <f>IF(controls!$B$44=0,"",'external balance'!H492)</f>
        <v/>
      </c>
    </row>
    <row r="494" spans="1:17" ht="14" thickTop="1" thickBot="1">
      <c r="A494" s="32">
        <v>491</v>
      </c>
      <c r="B494" s="20">
        <f ca="1">('normal case'!D493-'normal case'!B493)/'normal case'!B493</f>
        <v>0</v>
      </c>
      <c r="C494" s="26">
        <f ca="1">'normal case'!D493</f>
        <v>100</v>
      </c>
      <c r="D494" s="27">
        <f ca="1">'normal case'!C493</f>
        <v>0</v>
      </c>
      <c r="E494" s="25">
        <f ca="1">'normal case'!L493/100</f>
        <v>0.02</v>
      </c>
      <c r="F494" s="28">
        <f ca="1">'normal case'!N493/100</f>
        <v>0.06</v>
      </c>
      <c r="G494" s="28">
        <f ca="1">'normal case'!M493/100</f>
        <v>0.04</v>
      </c>
      <c r="H494" s="28">
        <f ca="1">'public finance'!D492</f>
        <v>0</v>
      </c>
      <c r="I494" s="23">
        <f ca="1">'public finance'!E492</f>
        <v>0</v>
      </c>
      <c r="J494" s="153">
        <f ca="1">'public finance'!H492</f>
        <v>0</v>
      </c>
      <c r="K494" s="20">
        <f ca="1">'public finance'!C492/'normal case'!D493</f>
        <v>0.2</v>
      </c>
      <c r="L494" s="23">
        <f ca="1">'public finance'!A492/'normal case'!D493</f>
        <v>0.2</v>
      </c>
      <c r="M494" s="21" t="str">
        <f>IF(controls!$B$44=0,"",'normal case'!AC493)</f>
        <v/>
      </c>
      <c r="N494" s="21" t="str">
        <f>IF(controls!$B$44=0,"",'normal case'!AF493)</f>
        <v/>
      </c>
      <c r="O494" s="203" t="str">
        <f>IF(controls!$B$44=0,"",'external balance'!D493)</f>
        <v/>
      </c>
      <c r="P494" s="203" t="str">
        <f>IF(controls!$B$44=0,"",'external balance'!F493)</f>
        <v/>
      </c>
      <c r="Q494" s="202" t="str">
        <f>IF(controls!$B$44=0,"",'external balance'!H493)</f>
        <v/>
      </c>
    </row>
    <row r="495" spans="1:17" ht="14" thickTop="1" thickBot="1">
      <c r="A495" s="32">
        <v>492</v>
      </c>
      <c r="B495" s="20">
        <f ca="1">('normal case'!D494-'normal case'!B494)/'normal case'!B494</f>
        <v>0</v>
      </c>
      <c r="C495" s="26">
        <f ca="1">'normal case'!D494</f>
        <v>100</v>
      </c>
      <c r="D495" s="27">
        <f ca="1">'normal case'!C494</f>
        <v>0</v>
      </c>
      <c r="E495" s="25">
        <f ca="1">'normal case'!L494/100</f>
        <v>0.02</v>
      </c>
      <c r="F495" s="28">
        <f ca="1">'normal case'!N494/100</f>
        <v>0.06</v>
      </c>
      <c r="G495" s="28">
        <f ca="1">'normal case'!M494/100</f>
        <v>0.04</v>
      </c>
      <c r="H495" s="28">
        <f ca="1">'public finance'!D493</f>
        <v>0</v>
      </c>
      <c r="I495" s="23">
        <f ca="1">'public finance'!E493</f>
        <v>0</v>
      </c>
      <c r="J495" s="153">
        <f ca="1">'public finance'!H493</f>
        <v>0</v>
      </c>
      <c r="K495" s="20">
        <f ca="1">'public finance'!C493/'normal case'!D494</f>
        <v>0.2</v>
      </c>
      <c r="L495" s="23">
        <f ca="1">'public finance'!A493/'normal case'!D494</f>
        <v>0.2</v>
      </c>
      <c r="M495" s="21" t="str">
        <f>IF(controls!$B$44=0,"",'normal case'!AC494)</f>
        <v/>
      </c>
      <c r="N495" s="21" t="str">
        <f>IF(controls!$B$44=0,"",'normal case'!AF494)</f>
        <v/>
      </c>
      <c r="O495" s="203" t="str">
        <f>IF(controls!$B$44=0,"",'external balance'!D494)</f>
        <v/>
      </c>
      <c r="P495" s="203" t="str">
        <f>IF(controls!$B$44=0,"",'external balance'!F494)</f>
        <v/>
      </c>
      <c r="Q495" s="202" t="str">
        <f>IF(controls!$B$44=0,"",'external balance'!H494)</f>
        <v/>
      </c>
    </row>
    <row r="496" spans="1:17" ht="14" thickTop="1" thickBot="1">
      <c r="A496" s="32">
        <v>493</v>
      </c>
      <c r="B496" s="20">
        <f ca="1">('normal case'!D495-'normal case'!B495)/'normal case'!B495</f>
        <v>0</v>
      </c>
      <c r="C496" s="26">
        <f ca="1">'normal case'!D495</f>
        <v>100</v>
      </c>
      <c r="D496" s="27">
        <f ca="1">'normal case'!C495</f>
        <v>0</v>
      </c>
      <c r="E496" s="25">
        <f ca="1">'normal case'!L495/100</f>
        <v>0.02</v>
      </c>
      <c r="F496" s="28">
        <f ca="1">'normal case'!N495/100</f>
        <v>0.06</v>
      </c>
      <c r="G496" s="28">
        <f ca="1">'normal case'!M495/100</f>
        <v>0.04</v>
      </c>
      <c r="H496" s="28">
        <f ca="1">'public finance'!D494</f>
        <v>0</v>
      </c>
      <c r="I496" s="23">
        <f ca="1">'public finance'!E494</f>
        <v>0</v>
      </c>
      <c r="J496" s="153">
        <f ca="1">'public finance'!H494</f>
        <v>0</v>
      </c>
      <c r="K496" s="20">
        <f ca="1">'public finance'!C494/'normal case'!D495</f>
        <v>0.2</v>
      </c>
      <c r="L496" s="23">
        <f ca="1">'public finance'!A494/'normal case'!D495</f>
        <v>0.2</v>
      </c>
      <c r="M496" s="21" t="str">
        <f>IF(controls!$B$44=0,"",'normal case'!AC495)</f>
        <v/>
      </c>
      <c r="N496" s="21" t="str">
        <f>IF(controls!$B$44=0,"",'normal case'!AF495)</f>
        <v/>
      </c>
      <c r="O496" s="203" t="str">
        <f>IF(controls!$B$44=0,"",'external balance'!D495)</f>
        <v/>
      </c>
      <c r="P496" s="203" t="str">
        <f>IF(controls!$B$44=0,"",'external balance'!F495)</f>
        <v/>
      </c>
      <c r="Q496" s="202" t="str">
        <f>IF(controls!$B$44=0,"",'external balance'!H495)</f>
        <v/>
      </c>
    </row>
    <row r="497" spans="1:17" ht="14" thickTop="1" thickBot="1">
      <c r="A497" s="32">
        <v>494</v>
      </c>
      <c r="B497" s="20">
        <f ca="1">('normal case'!D496-'normal case'!B496)/'normal case'!B496</f>
        <v>0</v>
      </c>
      <c r="C497" s="26">
        <f ca="1">'normal case'!D496</f>
        <v>100</v>
      </c>
      <c r="D497" s="27">
        <f ca="1">'normal case'!C496</f>
        <v>0</v>
      </c>
      <c r="E497" s="25">
        <f ca="1">'normal case'!L496/100</f>
        <v>0.02</v>
      </c>
      <c r="F497" s="28">
        <f ca="1">'normal case'!N496/100</f>
        <v>0.06</v>
      </c>
      <c r="G497" s="28">
        <f ca="1">'normal case'!M496/100</f>
        <v>0.04</v>
      </c>
      <c r="H497" s="28">
        <f ca="1">'public finance'!D495</f>
        <v>0</v>
      </c>
      <c r="I497" s="23">
        <f ca="1">'public finance'!E495</f>
        <v>0</v>
      </c>
      <c r="J497" s="153">
        <f ca="1">'public finance'!H495</f>
        <v>0</v>
      </c>
      <c r="K497" s="20">
        <f ca="1">'public finance'!C495/'normal case'!D496</f>
        <v>0.2</v>
      </c>
      <c r="L497" s="23">
        <f ca="1">'public finance'!A495/'normal case'!D496</f>
        <v>0.2</v>
      </c>
      <c r="M497" s="21" t="str">
        <f>IF(controls!$B$44=0,"",'normal case'!AC496)</f>
        <v/>
      </c>
      <c r="N497" s="21" t="str">
        <f>IF(controls!$B$44=0,"",'normal case'!AF496)</f>
        <v/>
      </c>
      <c r="O497" s="203" t="str">
        <f>IF(controls!$B$44=0,"",'external balance'!D496)</f>
        <v/>
      </c>
      <c r="P497" s="203" t="str">
        <f>IF(controls!$B$44=0,"",'external balance'!F496)</f>
        <v/>
      </c>
      <c r="Q497" s="202" t="str">
        <f>IF(controls!$B$44=0,"",'external balance'!H496)</f>
        <v/>
      </c>
    </row>
    <row r="498" spans="1:17" ht="14" thickTop="1" thickBot="1">
      <c r="A498" s="32">
        <v>495</v>
      </c>
      <c r="B498" s="20">
        <f ca="1">('normal case'!D497-'normal case'!B497)/'normal case'!B497</f>
        <v>0</v>
      </c>
      <c r="C498" s="26">
        <f ca="1">'normal case'!D497</f>
        <v>100</v>
      </c>
      <c r="D498" s="27">
        <f ca="1">'normal case'!C497</f>
        <v>0</v>
      </c>
      <c r="E498" s="25">
        <f ca="1">'normal case'!L497/100</f>
        <v>0.02</v>
      </c>
      <c r="F498" s="28">
        <f ca="1">'normal case'!N497/100</f>
        <v>0.06</v>
      </c>
      <c r="G498" s="28">
        <f ca="1">'normal case'!M497/100</f>
        <v>0.04</v>
      </c>
      <c r="H498" s="28">
        <f ca="1">'public finance'!D496</f>
        <v>0</v>
      </c>
      <c r="I498" s="23">
        <f ca="1">'public finance'!E496</f>
        <v>0</v>
      </c>
      <c r="J498" s="153">
        <f ca="1">'public finance'!H496</f>
        <v>0</v>
      </c>
      <c r="K498" s="20">
        <f ca="1">'public finance'!C496/'normal case'!D497</f>
        <v>0.2</v>
      </c>
      <c r="L498" s="23">
        <f ca="1">'public finance'!A496/'normal case'!D497</f>
        <v>0.2</v>
      </c>
      <c r="M498" s="21" t="str">
        <f>IF(controls!$B$44=0,"",'normal case'!AC497)</f>
        <v/>
      </c>
      <c r="N498" s="21" t="str">
        <f>IF(controls!$B$44=0,"",'normal case'!AF497)</f>
        <v/>
      </c>
      <c r="O498" s="203" t="str">
        <f>IF(controls!$B$44=0,"",'external balance'!D497)</f>
        <v/>
      </c>
      <c r="P498" s="203" t="str">
        <f>IF(controls!$B$44=0,"",'external balance'!F497)</f>
        <v/>
      </c>
      <c r="Q498" s="202" t="str">
        <f>IF(controls!$B$44=0,"",'external balance'!H497)</f>
        <v/>
      </c>
    </row>
    <row r="499" spans="1:17" ht="14" thickTop="1" thickBot="1">
      <c r="A499" s="32">
        <v>496</v>
      </c>
      <c r="B499" s="20">
        <f ca="1">('normal case'!D498-'normal case'!B498)/'normal case'!B498</f>
        <v>0</v>
      </c>
      <c r="C499" s="26">
        <f ca="1">'normal case'!D498</f>
        <v>100</v>
      </c>
      <c r="D499" s="27">
        <f ca="1">'normal case'!C498</f>
        <v>0</v>
      </c>
      <c r="E499" s="25">
        <f ca="1">'normal case'!L498/100</f>
        <v>0.02</v>
      </c>
      <c r="F499" s="28">
        <f ca="1">'normal case'!N498/100</f>
        <v>0.06</v>
      </c>
      <c r="G499" s="28">
        <f ca="1">'normal case'!M498/100</f>
        <v>0.04</v>
      </c>
      <c r="H499" s="28">
        <f ca="1">'public finance'!D497</f>
        <v>0</v>
      </c>
      <c r="I499" s="23">
        <f ca="1">'public finance'!E497</f>
        <v>0</v>
      </c>
      <c r="J499" s="153">
        <f ca="1">'public finance'!H497</f>
        <v>0</v>
      </c>
      <c r="K499" s="20">
        <f ca="1">'public finance'!C497/'normal case'!D498</f>
        <v>0.2</v>
      </c>
      <c r="L499" s="23">
        <f ca="1">'public finance'!A497/'normal case'!D498</f>
        <v>0.2</v>
      </c>
      <c r="M499" s="21" t="str">
        <f>IF(controls!$B$44=0,"",'normal case'!AC498)</f>
        <v/>
      </c>
      <c r="N499" s="21" t="str">
        <f>IF(controls!$B$44=0,"",'normal case'!AF498)</f>
        <v/>
      </c>
      <c r="O499" s="203" t="str">
        <f>IF(controls!$B$44=0,"",'external balance'!D498)</f>
        <v/>
      </c>
      <c r="P499" s="203" t="str">
        <f>IF(controls!$B$44=0,"",'external balance'!F498)</f>
        <v/>
      </c>
      <c r="Q499" s="202" t="str">
        <f>IF(controls!$B$44=0,"",'external balance'!H498)</f>
        <v/>
      </c>
    </row>
    <row r="500" spans="1:17" ht="14" thickTop="1" thickBot="1">
      <c r="A500" s="32">
        <v>497</v>
      </c>
      <c r="B500" s="20">
        <f ca="1">('normal case'!D499-'normal case'!B499)/'normal case'!B499</f>
        <v>0</v>
      </c>
      <c r="C500" s="26">
        <f ca="1">'normal case'!D499</f>
        <v>100</v>
      </c>
      <c r="D500" s="27">
        <f ca="1">'normal case'!C499</f>
        <v>0</v>
      </c>
      <c r="E500" s="25">
        <f ca="1">'normal case'!L499/100</f>
        <v>0.02</v>
      </c>
      <c r="F500" s="28">
        <f ca="1">'normal case'!N499/100</f>
        <v>0.06</v>
      </c>
      <c r="G500" s="28">
        <f ca="1">'normal case'!M499/100</f>
        <v>0.04</v>
      </c>
      <c r="H500" s="28">
        <f ca="1">'public finance'!D498</f>
        <v>0</v>
      </c>
      <c r="I500" s="23">
        <f ca="1">'public finance'!E498</f>
        <v>0</v>
      </c>
      <c r="J500" s="153">
        <f ca="1">'public finance'!H498</f>
        <v>0</v>
      </c>
      <c r="K500" s="20">
        <f ca="1">'public finance'!C498/'normal case'!D499</f>
        <v>0.2</v>
      </c>
      <c r="L500" s="23">
        <f ca="1">'public finance'!A498/'normal case'!D499</f>
        <v>0.2</v>
      </c>
      <c r="M500" s="21" t="str">
        <f>IF(controls!$B$44=0,"",'normal case'!AC499)</f>
        <v/>
      </c>
      <c r="N500" s="21" t="str">
        <f>IF(controls!$B$44=0,"",'normal case'!AF499)</f>
        <v/>
      </c>
      <c r="O500" s="203" t="str">
        <f>IF(controls!$B$44=0,"",'external balance'!D499)</f>
        <v/>
      </c>
      <c r="P500" s="203" t="str">
        <f>IF(controls!$B$44=0,"",'external balance'!F499)</f>
        <v/>
      </c>
      <c r="Q500" s="202" t="str">
        <f>IF(controls!$B$44=0,"",'external balance'!H499)</f>
        <v/>
      </c>
    </row>
    <row r="501" spans="1:17" ht="14" thickTop="1" thickBot="1">
      <c r="A501" s="32">
        <v>498</v>
      </c>
      <c r="B501" s="20">
        <f ca="1">('normal case'!D500-'normal case'!B500)/'normal case'!B500</f>
        <v>0</v>
      </c>
      <c r="C501" s="26">
        <f ca="1">'normal case'!D500</f>
        <v>100</v>
      </c>
      <c r="D501" s="27">
        <f ca="1">'normal case'!C500</f>
        <v>0</v>
      </c>
      <c r="E501" s="25">
        <f ca="1">'normal case'!L500/100</f>
        <v>0.02</v>
      </c>
      <c r="F501" s="28">
        <f ca="1">'normal case'!N500/100</f>
        <v>0.06</v>
      </c>
      <c r="G501" s="28">
        <f ca="1">'normal case'!M500/100</f>
        <v>0.04</v>
      </c>
      <c r="H501" s="28">
        <f ca="1">'public finance'!D499</f>
        <v>0</v>
      </c>
      <c r="I501" s="23">
        <f ca="1">'public finance'!E499</f>
        <v>0</v>
      </c>
      <c r="J501" s="153">
        <f ca="1">'public finance'!H499</f>
        <v>0</v>
      </c>
      <c r="K501" s="20">
        <f ca="1">'public finance'!C499/'normal case'!D500</f>
        <v>0.2</v>
      </c>
      <c r="L501" s="23">
        <f ca="1">'public finance'!A499/'normal case'!D500</f>
        <v>0.2</v>
      </c>
      <c r="M501" s="21" t="str">
        <f>IF(controls!$B$44=0,"",'normal case'!AC500)</f>
        <v/>
      </c>
      <c r="N501" s="21" t="str">
        <f>IF(controls!$B$44=0,"",'normal case'!AF500)</f>
        <v/>
      </c>
      <c r="O501" s="203" t="str">
        <f>IF(controls!$B$44=0,"",'external balance'!D500)</f>
        <v/>
      </c>
      <c r="P501" s="203" t="str">
        <f>IF(controls!$B$44=0,"",'external balance'!F500)</f>
        <v/>
      </c>
      <c r="Q501" s="202" t="str">
        <f>IF(controls!$B$44=0,"",'external balance'!H500)</f>
        <v/>
      </c>
    </row>
    <row r="502" spans="1:17" ht="13.5" thickTop="1"/>
  </sheetData>
  <mergeCells count="3">
    <mergeCell ref="R2:X2"/>
    <mergeCell ref="Z2:AD2"/>
    <mergeCell ref="B2:L2"/>
  </mergeCells>
  <phoneticPr fontId="3" type="noConversion"/>
  <conditionalFormatting sqref="AF17">
    <cfRule type="expression" dxfId="28" priority="1" stopIfTrue="1">
      <formula>$W$26</formula>
    </cfRule>
  </conditionalFormatting>
  <pageMargins left="0.75" right="0.75" top="1" bottom="1" header="0" footer="0"/>
  <pageSetup paperSize="9" orientation="portrait" horizontalDpi="4294967295"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0248" r:id="rId4" name="Button 8">
              <controlPr defaultSize="0" print="0" autoFill="0" autoPict="0" macro="[0]!go_main_page">
                <anchor moveWithCells="1" sizeWithCells="1">
                  <from>
                    <xdr:col>0</xdr:col>
                    <xdr:colOff>19050</xdr:colOff>
                    <xdr:row>0</xdr:row>
                    <xdr:rowOff>50800</xdr:rowOff>
                  </from>
                  <to>
                    <xdr:col>1</xdr:col>
                    <xdr:colOff>0</xdr:colOff>
                    <xdr:row>0</xdr:row>
                    <xdr:rowOff>355600</xdr:rowOff>
                  </to>
                </anchor>
              </controlPr>
            </control>
          </mc:Choice>
        </mc:AlternateContent>
        <mc:AlternateContent xmlns:mc="http://schemas.openxmlformats.org/markup-compatibility/2006">
          <mc:Choice Requires="x14">
            <control shapeId="10249" r:id="rId5" name="Button 9">
              <controlPr defaultSize="0" print="0" autoFill="0" autoPict="0" macro="[0]!go_figures_inflation_income_rates">
                <anchor moveWithCells="1" sizeWithCells="1">
                  <from>
                    <xdr:col>1</xdr:col>
                    <xdr:colOff>374650</xdr:colOff>
                    <xdr:row>0</xdr:row>
                    <xdr:rowOff>50800</xdr:rowOff>
                  </from>
                  <to>
                    <xdr:col>2</xdr:col>
                    <xdr:colOff>609600</xdr:colOff>
                    <xdr:row>0</xdr:row>
                    <xdr:rowOff>355600</xdr:rowOff>
                  </to>
                </anchor>
              </controlPr>
            </control>
          </mc:Choice>
        </mc:AlternateContent>
        <mc:AlternateContent xmlns:mc="http://schemas.openxmlformats.org/markup-compatibility/2006">
          <mc:Choice Requires="x14">
            <control shapeId="10250" r:id="rId6" name="Button 10">
              <controlPr defaultSize="0" print="0" autoFill="0" autoPict="0" macro="[0]!go_figures_public_finance">
                <anchor moveWithCells="1">
                  <from>
                    <xdr:col>2</xdr:col>
                    <xdr:colOff>736600</xdr:colOff>
                    <xdr:row>0</xdr:row>
                    <xdr:rowOff>50800</xdr:rowOff>
                  </from>
                  <to>
                    <xdr:col>4</xdr:col>
                    <xdr:colOff>260350</xdr:colOff>
                    <xdr:row>0</xdr:row>
                    <xdr:rowOff>355600</xdr:rowOff>
                  </to>
                </anchor>
              </controlPr>
            </control>
          </mc:Choice>
        </mc:AlternateContent>
        <mc:AlternateContent xmlns:mc="http://schemas.openxmlformats.org/markup-compatibility/2006">
          <mc:Choice Requires="x14">
            <control shapeId="10252" r:id="rId7" name="Button 12">
              <controlPr defaultSize="0" print="0" autoFill="0" autoPict="0" macro="[0]!go_exrate_figures">
                <anchor moveWithCells="1" sizeWithCells="1">
                  <from>
                    <xdr:col>4</xdr:col>
                    <xdr:colOff>374650</xdr:colOff>
                    <xdr:row>0</xdr:row>
                    <xdr:rowOff>50800</xdr:rowOff>
                  </from>
                  <to>
                    <xdr:col>5</xdr:col>
                    <xdr:colOff>736600</xdr:colOff>
                    <xdr:row>0</xdr:row>
                    <xdr:rowOff>355600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3"/>
  <dimension ref="A1:Y52"/>
  <sheetViews>
    <sheetView showGridLines="0" showRowColHeaders="0" zoomScale="71" zoomScaleNormal="71" workbookViewId="0">
      <selection activeCell="F9" sqref="F9:K9"/>
    </sheetView>
  </sheetViews>
  <sheetFormatPr defaultColWidth="10.90625" defaultRowHeight="12.5"/>
  <cols>
    <col min="1" max="1" width="6.7265625" customWidth="1"/>
    <col min="2" max="2" width="2.453125" customWidth="1"/>
    <col min="3" max="3" width="2" customWidth="1"/>
    <col min="4" max="4" width="1.7265625" customWidth="1"/>
    <col min="5" max="5" width="4.453125" customWidth="1"/>
    <col min="6" max="6" width="5.453125" customWidth="1"/>
    <col min="7" max="7" width="8.54296875" customWidth="1"/>
    <col min="8" max="8" width="10" customWidth="1"/>
    <col min="9" max="9" width="10.453125" customWidth="1"/>
    <col min="10" max="10" width="11.1796875" customWidth="1"/>
    <col min="11" max="11" width="9.26953125" customWidth="1"/>
    <col min="12" max="12" width="4.26953125" customWidth="1"/>
    <col min="13" max="13" width="4.26953125" style="258" customWidth="1"/>
    <col min="14" max="14" width="7.81640625" customWidth="1"/>
    <col min="15" max="15" width="1.81640625" customWidth="1"/>
    <col min="16" max="16" width="6.1796875" customWidth="1"/>
    <col min="17" max="17" width="5.7265625" customWidth="1"/>
    <col min="18" max="18" width="8.453125" customWidth="1"/>
    <col min="19" max="19" width="8.26953125" customWidth="1"/>
    <col min="20" max="20" width="17.81640625" bestFit="1" customWidth="1"/>
    <col min="21" max="21" width="8.26953125" customWidth="1"/>
    <col min="22" max="22" width="17.81640625" bestFit="1" customWidth="1"/>
    <col min="23" max="23" width="12.26953125" style="116" bestFit="1" customWidth="1"/>
  </cols>
  <sheetData>
    <row r="1" spans="1:25" ht="13" thickBot="1"/>
    <row r="2" spans="1:25" ht="13.5" customHeight="1" thickTop="1">
      <c r="B2" s="363"/>
      <c r="C2" s="364"/>
      <c r="D2" s="364"/>
      <c r="E2" s="364"/>
      <c r="F2" s="364"/>
      <c r="G2" s="757" t="s">
        <v>191</v>
      </c>
      <c r="H2" s="757"/>
      <c r="I2" s="757"/>
      <c r="J2" s="759"/>
      <c r="K2" s="365"/>
      <c r="L2" s="366"/>
      <c r="M2" s="367"/>
      <c r="P2" s="365"/>
      <c r="Q2" s="366"/>
      <c r="R2" s="366"/>
      <c r="S2" s="757" t="s">
        <v>190</v>
      </c>
      <c r="T2" s="757"/>
      <c r="U2" s="757"/>
      <c r="V2" s="741"/>
      <c r="W2" s="258"/>
    </row>
    <row r="3" spans="1:25" ht="12.75" customHeight="1">
      <c r="B3" s="368"/>
      <c r="C3" s="369"/>
      <c r="D3" s="369"/>
      <c r="E3" s="369"/>
      <c r="F3" s="369"/>
      <c r="G3" s="758"/>
      <c r="H3" s="758"/>
      <c r="I3" s="758"/>
      <c r="J3" s="760"/>
      <c r="K3" s="368"/>
      <c r="L3" s="370"/>
      <c r="M3" s="371"/>
      <c r="P3" s="368"/>
      <c r="Q3" s="370"/>
      <c r="R3" s="370"/>
      <c r="S3" s="758"/>
      <c r="T3" s="758"/>
      <c r="U3" s="758"/>
      <c r="V3" s="742"/>
      <c r="W3" s="477"/>
    </row>
    <row r="4" spans="1:25" ht="12.75" customHeight="1">
      <c r="B4" s="368"/>
      <c r="C4" s="370"/>
      <c r="D4" s="370"/>
      <c r="E4" s="370"/>
      <c r="F4" s="370"/>
      <c r="G4" s="370"/>
      <c r="H4" s="370"/>
      <c r="I4" s="370"/>
      <c r="J4" s="370"/>
      <c r="K4" s="368"/>
      <c r="L4" s="370"/>
      <c r="M4" s="371"/>
      <c r="P4" s="368"/>
      <c r="Q4" s="370"/>
      <c r="R4" s="370"/>
      <c r="S4" s="370"/>
      <c r="T4" s="370"/>
      <c r="U4" s="370"/>
      <c r="V4" s="371"/>
    </row>
    <row r="5" spans="1:25" ht="12.75" customHeight="1">
      <c r="B5" s="368"/>
      <c r="C5" s="370"/>
      <c r="D5" s="370"/>
      <c r="E5" s="370"/>
      <c r="F5" s="370"/>
      <c r="G5" s="370"/>
      <c r="H5" s="370"/>
      <c r="I5" s="370"/>
      <c r="J5" s="370"/>
      <c r="K5" s="368"/>
      <c r="L5" s="370"/>
      <c r="M5" s="371"/>
      <c r="P5" s="368"/>
      <c r="Q5" s="370"/>
      <c r="R5" s="370"/>
      <c r="S5" s="370"/>
      <c r="T5" s="370"/>
      <c r="U5" s="370"/>
      <c r="V5" s="371"/>
    </row>
    <row r="6" spans="1:25" ht="23.25" customHeight="1">
      <c r="B6" s="368"/>
      <c r="C6" s="370"/>
      <c r="D6" s="370"/>
      <c r="E6" s="370"/>
      <c r="F6" s="370"/>
      <c r="G6" s="370"/>
      <c r="H6" s="370"/>
      <c r="I6" s="370"/>
      <c r="J6" s="370"/>
      <c r="K6" s="368"/>
      <c r="L6" s="370"/>
      <c r="M6" s="371"/>
      <c r="P6" s="368"/>
      <c r="Q6" s="370"/>
      <c r="R6" s="370"/>
      <c r="S6" s="370"/>
      <c r="T6" s="370"/>
      <c r="U6" s="370"/>
      <c r="V6" s="371"/>
    </row>
    <row r="7" spans="1:25" ht="15.75" customHeight="1" thickBot="1">
      <c r="B7" s="372"/>
      <c r="C7" s="373"/>
      <c r="D7" s="373"/>
      <c r="E7" s="373"/>
      <c r="F7" s="373"/>
      <c r="G7" s="373"/>
      <c r="H7" s="373"/>
      <c r="I7" s="373"/>
      <c r="J7" s="373"/>
      <c r="K7" s="372"/>
      <c r="L7" s="373"/>
      <c r="M7" s="374"/>
      <c r="P7" s="372"/>
      <c r="Q7" s="373"/>
      <c r="R7" s="373"/>
      <c r="S7" s="373"/>
      <c r="T7" s="373"/>
      <c r="U7" s="373"/>
      <c r="V7" s="374"/>
    </row>
    <row r="8" spans="1:25" ht="24" customHeight="1" thickTop="1">
      <c r="A8" s="764" t="s">
        <v>223</v>
      </c>
      <c r="B8" s="235"/>
      <c r="F8" s="237"/>
      <c r="G8" s="238"/>
      <c r="H8" s="239"/>
      <c r="I8" s="239"/>
      <c r="J8" s="239"/>
      <c r="K8" s="239"/>
      <c r="L8" s="239"/>
      <c r="M8" s="239"/>
      <c r="N8" s="240"/>
      <c r="O8" s="238"/>
    </row>
    <row r="9" spans="1:25" ht="25.5" customHeight="1">
      <c r="A9" s="764"/>
      <c r="B9" s="235"/>
      <c r="F9" s="748" t="s">
        <v>169</v>
      </c>
      <c r="G9" s="749"/>
      <c r="H9" s="749"/>
      <c r="I9" s="749"/>
      <c r="J9" s="749"/>
      <c r="K9" s="750"/>
      <c r="L9" s="241" t="str">
        <f>IF(I41=1,"%","")</f>
        <v/>
      </c>
      <c r="M9" s="241"/>
      <c r="O9" s="238"/>
    </row>
    <row r="10" spans="1:25" ht="12" customHeight="1">
      <c r="A10" s="764"/>
      <c r="B10" s="235"/>
      <c r="C10" s="766"/>
      <c r="F10" s="751" t="s">
        <v>215</v>
      </c>
      <c r="G10" s="752"/>
      <c r="H10" s="752"/>
      <c r="I10" s="752"/>
      <c r="J10" s="753"/>
      <c r="K10" s="768">
        <v>1</v>
      </c>
      <c r="L10" s="152"/>
      <c r="M10" s="152"/>
      <c r="O10" s="234"/>
    </row>
    <row r="11" spans="1:25" ht="16" customHeight="1">
      <c r="A11" s="764"/>
      <c r="B11" s="235"/>
      <c r="C11" s="766"/>
      <c r="F11" s="754"/>
      <c r="G11" s="755"/>
      <c r="H11" s="755"/>
      <c r="I11" s="755"/>
      <c r="J11" s="756"/>
      <c r="K11" s="769"/>
      <c r="L11" s="152"/>
      <c r="M11" s="152"/>
      <c r="O11" s="234"/>
      <c r="Y11" s="150" t="str">
        <f>controls!B39</f>
        <v>None</v>
      </c>
    </row>
    <row r="12" spans="1:25" ht="12" customHeight="1">
      <c r="A12" s="764"/>
      <c r="B12" s="235"/>
      <c r="C12" s="83"/>
      <c r="F12" s="751" t="s">
        <v>216</v>
      </c>
      <c r="G12" s="752"/>
      <c r="H12" s="752"/>
      <c r="I12" s="752"/>
      <c r="J12" s="753"/>
      <c r="K12" s="768">
        <v>0.75</v>
      </c>
      <c r="L12" s="152"/>
      <c r="M12" s="152"/>
      <c r="O12" s="234"/>
      <c r="Y12" s="150">
        <f>controls!B40</f>
        <v>3</v>
      </c>
    </row>
    <row r="13" spans="1:25" ht="16" customHeight="1">
      <c r="A13" s="764"/>
      <c r="B13" s="235"/>
      <c r="C13" s="83"/>
      <c r="F13" s="754"/>
      <c r="G13" s="755"/>
      <c r="H13" s="755"/>
      <c r="I13" s="755"/>
      <c r="J13" s="756"/>
      <c r="K13" s="769"/>
      <c r="L13" s="152"/>
      <c r="M13" s="152"/>
      <c r="O13" s="234"/>
    </row>
    <row r="14" spans="1:25" ht="14.15" customHeight="1">
      <c r="A14" s="764"/>
      <c r="B14" s="235"/>
      <c r="C14" s="83"/>
      <c r="F14" s="751" t="s">
        <v>170</v>
      </c>
      <c r="G14" s="752"/>
      <c r="H14" s="752"/>
      <c r="I14" s="752"/>
      <c r="J14" s="753"/>
      <c r="K14" s="375">
        <f>controls!B49/10</f>
        <v>1</v>
      </c>
      <c r="L14" s="152"/>
      <c r="M14" s="152"/>
      <c r="O14" s="234"/>
    </row>
    <row r="15" spans="1:25" ht="15.25" customHeight="1">
      <c r="A15" s="764"/>
      <c r="B15" s="235"/>
      <c r="C15" s="83"/>
      <c r="F15" s="754"/>
      <c r="G15" s="755"/>
      <c r="H15" s="755"/>
      <c r="I15" s="755"/>
      <c r="J15" s="756"/>
      <c r="K15" s="236"/>
      <c r="L15" s="152"/>
      <c r="M15" s="152"/>
      <c r="O15" s="234"/>
    </row>
    <row r="16" spans="1:25" ht="12" customHeight="1">
      <c r="A16" s="764"/>
      <c r="B16" s="235"/>
      <c r="C16" s="83"/>
      <c r="F16" s="751" t="s">
        <v>171</v>
      </c>
      <c r="G16" s="752"/>
      <c r="H16" s="752"/>
      <c r="I16" s="752"/>
      <c r="J16" s="753"/>
      <c r="K16" s="768">
        <v>2</v>
      </c>
      <c r="L16" s="744" t="s">
        <v>119</v>
      </c>
      <c r="O16" s="234"/>
    </row>
    <row r="17" spans="1:20" ht="16" customHeight="1">
      <c r="A17" s="764"/>
      <c r="B17" s="235"/>
      <c r="C17" s="83"/>
      <c r="F17" s="754"/>
      <c r="G17" s="755"/>
      <c r="H17" s="755"/>
      <c r="I17" s="755"/>
      <c r="J17" s="756"/>
      <c r="K17" s="769"/>
      <c r="L17" s="745"/>
      <c r="M17" s="262"/>
      <c r="O17" s="234"/>
    </row>
    <row r="18" spans="1:20" ht="28" customHeight="1">
      <c r="A18" s="764"/>
      <c r="B18" s="235"/>
      <c r="C18" s="83"/>
      <c r="F18" s="761" t="s">
        <v>241</v>
      </c>
      <c r="G18" s="762"/>
      <c r="H18" s="762"/>
      <c r="I18" s="762"/>
      <c r="J18" s="763"/>
      <c r="K18" s="378">
        <f>'choose m.p.'!W5</f>
        <v>2</v>
      </c>
      <c r="L18" s="234"/>
      <c r="M18" s="234"/>
      <c r="N18" s="152"/>
      <c r="O18" s="234"/>
    </row>
    <row r="19" spans="1:20" ht="19.5" customHeight="1">
      <c r="A19" s="764"/>
      <c r="B19" s="235"/>
      <c r="C19" s="83"/>
      <c r="F19" s="152"/>
      <c r="G19" s="233"/>
      <c r="H19" s="233"/>
      <c r="I19" s="233"/>
      <c r="J19" s="233"/>
      <c r="K19" s="377"/>
      <c r="L19" s="234"/>
      <c r="M19" s="234"/>
      <c r="N19" s="152"/>
      <c r="O19" s="234"/>
    </row>
    <row r="20" spans="1:20" ht="18" customHeight="1">
      <c r="A20" s="764"/>
      <c r="B20" s="235"/>
      <c r="C20" s="83"/>
      <c r="F20" s="748" t="str">
        <f>IF(AND(controls!B40=3,controls!B57=TRUE),"Easy level. Shocks are expected",IF(AND(controls!B40=3,controls!B57=FALSE),"Easy level. Shocks are unexpected",IF(controls!B40=1,"Medium level","Hard level")))</f>
        <v>Easy level. Shocks are unexpected</v>
      </c>
      <c r="G20" s="749"/>
      <c r="H20" s="749"/>
      <c r="I20" s="749"/>
      <c r="J20" s="767"/>
    </row>
    <row r="21" spans="1:20" ht="15" customHeight="1">
      <c r="A21" s="764"/>
      <c r="B21" s="235"/>
      <c r="C21" s="83"/>
      <c r="F21" s="770" t="s">
        <v>97</v>
      </c>
      <c r="G21" s="772" t="s">
        <v>120</v>
      </c>
      <c r="H21" s="772" t="s">
        <v>121</v>
      </c>
      <c r="I21" s="770" t="s">
        <v>122</v>
      </c>
      <c r="J21" s="770" t="s">
        <v>13</v>
      </c>
      <c r="K21" s="765" t="str">
        <f>IF(controls!$B$40=3,"",IF(controls!$B$39="Stabilizing real interest rate","Stabilizing real interest rate",""))</f>
        <v/>
      </c>
      <c r="L21" s="746" t="str">
        <f>IF(controls!$B$40=3,"",IF(controls!$B$39="Supply shocks","Supply shocks",""))</f>
        <v/>
      </c>
      <c r="M21" s="747"/>
      <c r="N21" s="746" t="str">
        <f>IF(controls!$B$40=3,"",IF(controls!$B$39="Demand shocks","Demand shocks",""))</f>
        <v/>
      </c>
    </row>
    <row r="22" spans="1:20" ht="33" customHeight="1">
      <c r="A22" s="764"/>
      <c r="B22" s="235"/>
      <c r="C22" s="83"/>
      <c r="F22" s="771"/>
      <c r="G22" s="773"/>
      <c r="H22" s="773"/>
      <c r="I22" s="771"/>
      <c r="J22" s="771"/>
      <c r="K22" s="765"/>
      <c r="L22" s="746"/>
      <c r="M22" s="747"/>
      <c r="N22" s="746"/>
    </row>
    <row r="23" spans="1:20" ht="15" customHeight="1">
      <c r="A23" s="764"/>
      <c r="B23" s="235"/>
      <c r="C23" s="83"/>
      <c r="F23" s="361">
        <v>1</v>
      </c>
      <c r="G23" s="362">
        <f>IF('choose m.p.'!$I3="","",'choose m.p.'!I3)</f>
        <v>2</v>
      </c>
      <c r="H23" s="362">
        <f>IF('choose m.p.'!$I3="","",'choose m.p.'!H3)</f>
        <v>0</v>
      </c>
      <c r="I23" s="362">
        <f>'choose m.p.'!G3</f>
        <v>2</v>
      </c>
      <c r="J23" s="362">
        <f>'choose m.p.'!D3</f>
        <v>50</v>
      </c>
      <c r="K23" s="222" t="str">
        <f>IF(controls!$B$40=3,"",IF(COUNT($G$23:$G$42)&gt;=1,IF(controls!$B$39="Stabilizing real interest rate",'choose m.p.'!J3,""),""))</f>
        <v/>
      </c>
      <c r="L23" s="743" t="str">
        <f>IF(controls!$B$40=3,"",IF(COUNT($G$23:$G$42)&gt;=0,IF(controls!$B$39="Supply shocks",IF('choose m.p.'!L3=0,"",'choose m.p.'!L3),""),""))</f>
        <v/>
      </c>
      <c r="M23" s="743"/>
      <c r="N23" s="223" t="str">
        <f>IF(controls!$B$40=3,"",IF(COUNT($G$23:$G$42)&gt;=0,IF(controls!$B$39="Demand shocks",IF('choose m.p.'!M3=0,"",'choose m.p.'!M3),""),""))</f>
        <v/>
      </c>
    </row>
    <row r="24" spans="1:20" ht="15" customHeight="1">
      <c r="A24" s="764"/>
      <c r="B24" s="235"/>
      <c r="C24" s="83"/>
      <c r="F24" s="361">
        <f>IF('choose m.p.'!$I3="","",'choose m.p.'!A4)</f>
        <v>2</v>
      </c>
      <c r="G24" s="362">
        <f>IF('choose m.p.'!$I4="","",'choose m.p.'!I4)</f>
        <v>2</v>
      </c>
      <c r="H24" s="362">
        <f>IF('choose m.p.'!$I4="","",'choose m.p.'!H4)</f>
        <v>-1.5</v>
      </c>
      <c r="I24" s="362">
        <f>IF('choose m.p.'!$I3="","",'choose m.p.'!G4)</f>
        <v>3.5</v>
      </c>
      <c r="J24" s="362">
        <f>IF('choose m.p.'!$I3="","",'choose m.p.'!D4)</f>
        <v>51.5</v>
      </c>
      <c r="K24" s="222" t="str">
        <f>IF(controls!$B$40=3,"",IF(COUNT($G$23:$G$42)&gt;=2,IF(controls!$B$39="Stabilizing real interest rate",'choose m.p.'!J4,""),""))</f>
        <v/>
      </c>
      <c r="L24" s="743" t="str">
        <f>IF(controls!$B$40=3,"",IF(COUNT($G$23:$G$42)&gt;=1,IF(controls!$B$39="Supply shocks",IF('choose m.p.'!L4=0,"",'choose m.p.'!L4),""),""))</f>
        <v/>
      </c>
      <c r="M24" s="743"/>
      <c r="N24" s="223" t="str">
        <f>IF(controls!$B$40=3,"",IF(COUNT($G$23:$G$42)&gt;=1,IF(controls!$B$39="Demand shocks",IF('choose m.p.'!M4=0,"",'choose m.p.'!M4),""),""))</f>
        <v/>
      </c>
    </row>
    <row r="25" spans="1:20" ht="15" customHeight="1">
      <c r="A25" s="764"/>
      <c r="B25" s="235"/>
      <c r="C25" s="83"/>
      <c r="F25" s="361">
        <f>IF('choose m.p.'!$I4="","",'choose m.p.'!A5)</f>
        <v>3</v>
      </c>
      <c r="G25" s="362">
        <f>IF('choose m.p.'!$I5="","",'choose m.p.'!I5)</f>
        <v>2</v>
      </c>
      <c r="H25" s="362">
        <f>IF('choose m.p.'!$I5="","",'choose m.p.'!H5)</f>
        <v>-4.125</v>
      </c>
      <c r="I25" s="362">
        <f>IF('choose m.p.'!$I4="","",'choose m.p.'!G5)</f>
        <v>6.125</v>
      </c>
      <c r="J25" s="362">
        <f>IF('choose m.p.'!$I4="","",'choose m.p.'!D5)</f>
        <v>52.625</v>
      </c>
      <c r="K25" s="222" t="str">
        <f>IF(controls!$B$40=3,"",IF(COUNT($G$23:$G$42)&gt;=3,IF(controls!$B$39="Stabilizing real interest rate",'choose m.p.'!J5,""),""))</f>
        <v/>
      </c>
      <c r="L25" s="743" t="str">
        <f>IF(controls!$B$40=3,"",IF(COUNT($G$23:$G$42)&gt;=2,IF(controls!$B$39="Supply shocks",IF('choose m.p.'!L5=0,"",'choose m.p.'!L5),""),""))</f>
        <v/>
      </c>
      <c r="M25" s="743"/>
      <c r="N25" s="223" t="str">
        <f>IF(controls!$B$40=3,"",IF(COUNT($G$23:$G$42)&gt;=2,IF(controls!$B$39="Demand shocks",IF('choose m.p.'!M5=0,"",'choose m.p.'!M5),""),""))</f>
        <v/>
      </c>
    </row>
    <row r="26" spans="1:20" ht="15" customHeight="1">
      <c r="A26" s="764"/>
      <c r="B26" s="235"/>
      <c r="C26" s="83"/>
      <c r="F26" s="361">
        <f>IF('choose m.p.'!$I5="","",'choose m.p.'!A6)</f>
        <v>4</v>
      </c>
      <c r="G26" s="362">
        <f>IF('choose m.p.'!$I6="","",'choose m.p.'!I6)</f>
        <v>2</v>
      </c>
      <c r="H26" s="362">
        <f>IF('choose m.p.'!$I6="","",'choose m.p.'!H6)</f>
        <v>-8.71875</v>
      </c>
      <c r="I26" s="362">
        <f>IF('choose m.p.'!$I5="","",'choose m.p.'!G6)</f>
        <v>10.71875</v>
      </c>
      <c r="J26" s="362">
        <f>IF('choose m.p.'!$I5="","",'choose m.p.'!D6)</f>
        <v>54.59375</v>
      </c>
      <c r="K26" s="359" t="str">
        <f>IF(controls!$B$40=3,"",IF(COUNT($G$23:$G$42)&gt;=4,IF(controls!$B$39="Stabilizing real interest rate",'choose m.p.'!J6,""),""))</f>
        <v/>
      </c>
      <c r="L26" s="743" t="str">
        <f>IF(controls!$B$40=3,"",IF(COUNT($G$23:$G$42)&gt;=3,IF(controls!$B$39="Supply shocks",IF('choose m.p.'!L6=0,"",'choose m.p.'!L6),""),""))</f>
        <v/>
      </c>
      <c r="M26" s="743"/>
      <c r="N26" s="223" t="str">
        <f>IF(controls!$B$40=3,"",IF(COUNT($G$23:$G$42)&gt;=3,IF(controls!$B$39="Demand shocks",IF('choose m.p.'!M6=0,"",'choose m.p.'!M6),""),""))</f>
        <v/>
      </c>
    </row>
    <row r="27" spans="1:20" ht="15" customHeight="1">
      <c r="A27" s="764"/>
      <c r="B27" s="235"/>
      <c r="C27" s="83"/>
      <c r="F27" s="361">
        <f>IF('choose m.p.'!$I6="","",'choose m.p.'!A7)</f>
        <v>5</v>
      </c>
      <c r="G27" s="362">
        <f>IF('choose m.p.'!$I7="","",'choose m.p.'!I7)</f>
        <v>2</v>
      </c>
      <c r="H27" s="362">
        <f>IF('choose m.p.'!$I7="","",'choose m.p.'!H7)</f>
        <v>-15.787812500000001</v>
      </c>
      <c r="I27" s="362">
        <f>IF('choose m.p.'!$I6="","",'choose m.p.'!G7)</f>
        <v>17.787812500000001</v>
      </c>
      <c r="J27" s="362">
        <f>IF('choose m.p.'!$I6="","",'choose m.p.'!D7)</f>
        <v>59.069062500000001</v>
      </c>
      <c r="K27" s="222" t="str">
        <f>IF(controls!$B$40=3,"",IF(COUNT($G$23:$G$42)&gt;=5,IF(controls!$B$39="Stabilizing real interest rate",'choose m.p.'!J7,""),""))</f>
        <v/>
      </c>
      <c r="L27" s="743" t="str">
        <f>IF(controls!$B$40=3,"",IF(COUNT($G$23:$G$42)&gt;=4,IF(controls!$B$39="Supply shocks",IF('choose m.p.'!L7=0,"",'choose m.p.'!L7),""),""))</f>
        <v/>
      </c>
      <c r="M27" s="743"/>
      <c r="N27" s="360" t="str">
        <f>IF(controls!$B$40=3,"",IF(COUNT($G$23:$G$42)&gt;=4,IF(controls!$B$39="Demand shocks",IF('choose m.p.'!M7=0,"",'choose m.p.'!M7),""),""))</f>
        <v/>
      </c>
    </row>
    <row r="28" spans="1:20" ht="15" customHeight="1">
      <c r="A28" s="764"/>
      <c r="B28" s="235"/>
      <c r="F28" s="361">
        <f>IF('choose m.p.'!$I7="","",'choose m.p.'!A8)</f>
        <v>6</v>
      </c>
      <c r="G28" s="362">
        <f>IF('choose m.p.'!$I8="","",'choose m.p.'!I8)</f>
        <v>2</v>
      </c>
      <c r="H28" s="362">
        <f>IF('choose m.p.'!$I8="","",'choose m.p.'!H8)</f>
        <v>-29.128671875000002</v>
      </c>
      <c r="I28" s="362">
        <f>IF('choose m.p.'!$I7="","",'choose m.p.'!G8)</f>
        <v>31.128671875000002</v>
      </c>
      <c r="J28" s="362">
        <f>IF('choose m.p.'!$I7="","",'choose m.p.'!D8)</f>
        <v>63.340859375000001</v>
      </c>
      <c r="K28" s="222" t="str">
        <f>IF(controls!$B$40=3,"",IF(COUNT($G$23:$G$42)&gt;=6,IF(controls!$B$39="Stabilizing real interest rate",'choose m.p.'!J8,""),""))</f>
        <v/>
      </c>
      <c r="L28" s="743" t="str">
        <f>IF(controls!$B$40=3,"",IF(COUNT($G$23:$G$42)&gt;=5,IF(controls!$B$39="Supply shocks",IF('choose m.p.'!L8=0,"",'choose m.p.'!L8),""),""))</f>
        <v/>
      </c>
      <c r="M28" s="743"/>
      <c r="N28" s="223" t="str">
        <f>IF(controls!$B$40=3,"",IF(COUNT($G$23:$G$42)&gt;=5,IF(controls!$B$39="Demand shocks",IF('choose m.p.'!M8=0,"",'choose m.p.'!M8),""),""))</f>
        <v/>
      </c>
    </row>
    <row r="29" spans="1:20" ht="15" customHeight="1">
      <c r="A29" s="764"/>
      <c r="B29" s="235"/>
      <c r="F29" s="361">
        <f>IF('choose m.p.'!$I8="","",'choose m.p.'!A9)</f>
        <v>7</v>
      </c>
      <c r="G29" s="362">
        <f>IF('choose m.p.'!$I9="","",'choose m.p.'!I9)</f>
        <v>2</v>
      </c>
      <c r="H29" s="362">
        <f>IF('choose m.p.'!$I9="","",'choose m.p.'!H9)</f>
        <v>-52.475175781250009</v>
      </c>
      <c r="I29" s="362">
        <f>IF('choose m.p.'!$I8="","",'choose m.p.'!G9)</f>
        <v>54.475175781250009</v>
      </c>
      <c r="J29" s="362">
        <f>IF('choose m.p.'!$I8="","",'choose m.p.'!D9)</f>
        <v>73.346503906250007</v>
      </c>
      <c r="K29" s="222" t="str">
        <f>IF(controls!$B$40=3,"",IF(COUNT($G$23:$G$42)&gt;=7,IF(controls!$B$39="Stabilizing real interest rate",'choose m.p.'!J9,""),""))</f>
        <v/>
      </c>
      <c r="L29" s="743" t="str">
        <f>IF(controls!$B$40=3,"",IF(COUNT($G$23:$G$42)&gt;=6,IF(controls!$B$39="Supply shocks",IF('choose m.p.'!L9=0,"",'choose m.p.'!L9),""),""))</f>
        <v/>
      </c>
      <c r="M29" s="743"/>
      <c r="N29" s="223" t="str">
        <f>IF(controls!$B$40=3,"",IF(COUNT($G$23:$G$42)&gt;=6,IF(controls!$B$39="Demand shocks",IF('choose m.p.'!M9=0,"",'choose m.p.'!M9),""),""))</f>
        <v/>
      </c>
    </row>
    <row r="30" spans="1:20" ht="13">
      <c r="A30" s="764"/>
      <c r="B30" s="235"/>
      <c r="F30" s="361">
        <f>IF('choose m.p.'!$I9="","",'choose m.p.'!A10)</f>
        <v>8</v>
      </c>
      <c r="G30" s="362">
        <f>IF('choose m.p.'!$I10="","",'choose m.p.'!I10)</f>
        <v>2</v>
      </c>
      <c r="H30" s="362">
        <f>IF('choose m.p.'!$I10="","",'choose m.p.'!H10)</f>
        <v>-93.331557617187514</v>
      </c>
      <c r="I30" s="362">
        <f>IF('choose m.p.'!$I9="","",'choose m.p.'!G10)</f>
        <v>95.331557617187514</v>
      </c>
      <c r="J30" s="362">
        <f>IF('choose m.p.'!$I9="","",'choose m.p.'!D10)</f>
        <v>90.856381835937498</v>
      </c>
      <c r="K30" s="222" t="str">
        <f>IF(controls!$B$40=3,"",IF(COUNT($G$23:$G$42)&gt;=8,IF(controls!$B$39="Stabilizing real interest rate",'choose m.p.'!J10,""),""))</f>
        <v/>
      </c>
      <c r="L30" s="743" t="str">
        <f>IF(controls!$B$40=3,"",IF(COUNT($G$23:$G$42)&gt;=7,IF(controls!$B$39="Supply shocks",IF('choose m.p.'!L10=0,"",'choose m.p.'!L10),""),""))</f>
        <v/>
      </c>
      <c r="M30" s="743"/>
      <c r="N30" s="223" t="str">
        <f>IF(controls!$B$40=3,"",IF(COUNT($G$23:$G$42)&gt;=7,IF(controls!$B$39="Demand shocks",IF('choose m.p.'!M10=0,"",'choose m.p.'!M10),""),""))</f>
        <v/>
      </c>
    </row>
    <row r="31" spans="1:20" ht="13">
      <c r="A31" s="764"/>
      <c r="B31" s="235"/>
      <c r="F31" s="361">
        <f>IF('choose m.p.'!$I10="","",'choose m.p.'!A11)</f>
        <v>9</v>
      </c>
      <c r="G31" s="362" t="str">
        <f>IF('choose m.p.'!$I11="","",'choose m.p.'!I11)</f>
        <v/>
      </c>
      <c r="H31" s="362" t="str">
        <f>IF('choose m.p.'!$I11="","",'choose m.p.'!H11)</f>
        <v/>
      </c>
      <c r="I31" s="362">
        <f>IF('choose m.p.'!$I10="","",'choose m.p.'!G11)</f>
        <v>166.83022583007815</v>
      </c>
      <c r="J31" s="362">
        <f>IF('choose m.p.'!$I10="","",'choose m.p.'!D11)</f>
        <v>121.49866821289064</v>
      </c>
      <c r="K31" s="222" t="str">
        <f>IF(controls!$B$40=3,"",IF(COUNT($G$23:$G$42)&gt;=9,IF(controls!$B$39="Stabilizing real interest rate",'choose m.p.'!J11,""),""))</f>
        <v/>
      </c>
      <c r="L31" s="743" t="str">
        <f>IF(controls!$B$40=3,"",IF(COUNT($G$23:$G$42)&gt;=8,IF(controls!$B$39="Supply shocks",IF('choose m.p.'!L11=0,"",'choose m.p.'!L11),""),""))</f>
        <v/>
      </c>
      <c r="M31" s="743"/>
      <c r="N31" s="360" t="str">
        <f>IF(controls!$B$40=3,"",IF(COUNT($G$23:$G$42)&gt;=8,IF(controls!$B$39="Demand shocks",IF('choose m.p.'!M11=0,"",'choose m.p.'!M11),""),""))</f>
        <v/>
      </c>
      <c r="T31" s="117"/>
    </row>
    <row r="32" spans="1:20" ht="13">
      <c r="A32" s="764"/>
      <c r="B32" s="235"/>
      <c r="F32" s="361" t="str">
        <f>IF('choose m.p.'!$I11="","",'choose m.p.'!A12)</f>
        <v/>
      </c>
      <c r="G32" s="362" t="str">
        <f>IF('choose m.p.'!$I12="","",'choose m.p.'!I12)</f>
        <v/>
      </c>
      <c r="H32" s="362" t="str">
        <f>IF('choose m.p.'!$I12="","",'choose m.p.'!H12)</f>
        <v/>
      </c>
      <c r="I32" s="362" t="str">
        <f>IF('choose m.p.'!$I11="","",'choose m.p.'!G12)</f>
        <v/>
      </c>
      <c r="J32" s="362" t="str">
        <f>IF('choose m.p.'!$I11="","",'choose m.p.'!D12)</f>
        <v/>
      </c>
      <c r="K32" s="222" t="str">
        <f>IF(controls!$B$40=3,"",IF(COUNT($G$23:$G$42)&gt;=10,IF(controls!$B$39="Stabilizing real interest rate",'choose m.p.'!J12,""),""))</f>
        <v/>
      </c>
      <c r="L32" s="743" t="str">
        <f>IF(controls!$B$40=3,"",IF(COUNT($G$23:$G$42)&gt;=9,IF(controls!$B$39="Supply shocks",IF('choose m.p.'!L12=0,"",'choose m.p.'!L12),""),""))</f>
        <v/>
      </c>
      <c r="M32" s="743"/>
      <c r="N32" s="360" t="str">
        <f>IF(controls!$B$40=3,"",IF(COUNT($G$23:$G$42)&gt;=9,IF(controls!$B$39="Demand shocks",IF('choose m.p.'!M12=0,"",'choose m.p.'!M12),""),""))</f>
        <v/>
      </c>
      <c r="T32" s="117"/>
    </row>
    <row r="33" spans="1:20" ht="13">
      <c r="A33" s="764"/>
      <c r="B33" s="235"/>
      <c r="F33" s="361" t="str">
        <f>IF('choose m.p.'!$I12="","",'choose m.p.'!A13)</f>
        <v/>
      </c>
      <c r="G33" s="362" t="str">
        <f>IF('choose m.p.'!$I13="","",'choose m.p.'!I13)</f>
        <v/>
      </c>
      <c r="H33" s="362" t="str">
        <f>IF('choose m.p.'!$I13="","",'choose m.p.'!H13)</f>
        <v/>
      </c>
      <c r="I33" s="362" t="str">
        <f>IF('choose m.p.'!$I12="","",'choose m.p.'!G13)</f>
        <v/>
      </c>
      <c r="J33" s="362" t="str">
        <f>IF('choose m.p.'!$I12="","",'choose m.p.'!D13)</f>
        <v/>
      </c>
      <c r="K33" s="222" t="str">
        <f>IF(controls!$B$40=3,"",IF(COUNT($G$23:$G$42)&gt;=11,IF(controls!$B$39="Stabilizing real interest rate",'choose m.p.'!J13,""),""))</f>
        <v/>
      </c>
      <c r="L33" s="743" t="str">
        <f>IF(controls!$B$40=3,"",IF(COUNT($G$23:$G$42)&gt;=10,IF(controls!$B$39="Supply shocks",IF('choose m.p.'!L13=0,"",'choose m.p.'!L13),""),""))</f>
        <v/>
      </c>
      <c r="M33" s="743"/>
      <c r="N33" s="360" t="str">
        <f>IF(controls!$B$40=3,"",IF(COUNT($G$23:$G$42)&gt;=10,IF(controls!$B$39="Demand shocks",IF('choose m.p.'!M13=0,"",'choose m.p.'!M13),""),""))</f>
        <v/>
      </c>
      <c r="T33" s="117"/>
    </row>
    <row r="34" spans="1:20" ht="13">
      <c r="A34" s="764"/>
      <c r="B34" s="235"/>
      <c r="F34" s="361" t="str">
        <f>IF('choose m.p.'!$I13="","",'choose m.p.'!A14)</f>
        <v/>
      </c>
      <c r="G34" s="362" t="str">
        <f>IF('choose m.p.'!$I14="","",'choose m.p.'!I14)</f>
        <v/>
      </c>
      <c r="H34" s="362" t="str">
        <f>IF('choose m.p.'!$I14="","",'choose m.p.'!H14)</f>
        <v/>
      </c>
      <c r="I34" s="362" t="str">
        <f>IF('choose m.p.'!$I13="","",'choose m.p.'!G14)</f>
        <v/>
      </c>
      <c r="J34" s="362" t="str">
        <f>IF('choose m.p.'!$I13="","",'choose m.p.'!D14)</f>
        <v/>
      </c>
      <c r="K34" s="222" t="str">
        <f>IF(controls!$B$40=3,"",IF(COUNT($G$23:$G$42)&gt;=12,IF(controls!$B$39="Stabilizing real interest rate",'choose m.p.'!J14,""),""))</f>
        <v/>
      </c>
      <c r="L34" s="743" t="str">
        <f>IF(controls!$B$40=3,"",IF(COUNT($G$23:$G$42)&gt;=11,IF(controls!$B$39="Supply shocks",IF('choose m.p.'!L14=0,"",'choose m.p.'!L14),""),""))</f>
        <v/>
      </c>
      <c r="M34" s="743"/>
      <c r="N34" s="360" t="str">
        <f>IF(controls!$B$40=3,"",IF(COUNT($G$23:$G$42)&gt;=11,IF(controls!$B$39="Demand shocks",IF('choose m.p.'!M14=0,"",'choose m.p.'!M14),""),""))</f>
        <v/>
      </c>
      <c r="T34" s="117"/>
    </row>
    <row r="35" spans="1:20" ht="12.75" customHeight="1">
      <c r="A35" s="764"/>
      <c r="B35" s="235"/>
      <c r="F35" s="361" t="str">
        <f>IF('choose m.p.'!$I14="","",'choose m.p.'!A15)</f>
        <v/>
      </c>
      <c r="G35" s="362" t="str">
        <f>IF('choose m.p.'!$I15="","",'choose m.p.'!I15)</f>
        <v/>
      </c>
      <c r="H35" s="362" t="str">
        <f>IF('choose m.p.'!$I15="","",'choose m.p.'!H15)</f>
        <v/>
      </c>
      <c r="I35" s="362" t="str">
        <f>IF('choose m.p.'!$I14="","",'choose m.p.'!G15)</f>
        <v/>
      </c>
      <c r="J35" s="362" t="str">
        <f>IF('choose m.p.'!$I14="","",'choose m.p.'!D15)</f>
        <v/>
      </c>
      <c r="K35" s="222" t="str">
        <f>IF(controls!$B$40=3,"",IF(COUNT($G$23:$G$42)&gt;=13,IF(controls!$B$39="Stabilizing real interest rate",'choose m.p.'!J15,""),""))</f>
        <v/>
      </c>
      <c r="L35" s="743" t="str">
        <f>IF(controls!$B$40=3,"",IF(COUNT($G$23:$G$42)&gt;=12,IF(controls!$B$39="Supply shocks",IF('choose m.p.'!L15=0,"",'choose m.p.'!L15),""),""))</f>
        <v/>
      </c>
      <c r="M35" s="743"/>
      <c r="N35" s="360" t="str">
        <f>IF(controls!$B$40=3,"",IF(COUNT($G$23:$G$42)&gt;=12,IF(controls!$B$39="Demand shocks",IF('choose m.p.'!M15=0,"",'choose m.p.'!M15),""),""))</f>
        <v/>
      </c>
      <c r="T35" s="117"/>
    </row>
    <row r="36" spans="1:20" ht="13">
      <c r="A36" s="764"/>
      <c r="B36" s="235"/>
      <c r="F36" s="361" t="str">
        <f>IF('choose m.p.'!$I15="","",'choose m.p.'!A16)</f>
        <v/>
      </c>
      <c r="G36" s="362" t="str">
        <f>IF('choose m.p.'!$I16="","",'choose m.p.'!I16)</f>
        <v/>
      </c>
      <c r="H36" s="362" t="str">
        <f>IF('choose m.p.'!$I16="","",'choose m.p.'!H16)</f>
        <v/>
      </c>
      <c r="I36" s="362" t="str">
        <f>IF('choose m.p.'!$I15="","",'choose m.p.'!G16)</f>
        <v/>
      </c>
      <c r="J36" s="362" t="str">
        <f>IF('choose m.p.'!$I15="","",'choose m.p.'!D16)</f>
        <v/>
      </c>
      <c r="K36" s="222" t="str">
        <f>IF(controls!$B$40=3,"",IF(COUNT($G$23:$G$42)&gt;=14,IF(controls!$B$39="Stabilizing real interest rate",'choose m.p.'!J16,""),""))</f>
        <v/>
      </c>
      <c r="L36" s="743" t="str">
        <f>IF(controls!$B$40=3,"",IF(COUNT($G$23:$G$42)&gt;=13,IF(controls!$B$39="Supply shocks",IF('choose m.p.'!L16=0,"",'choose m.p.'!L16),""),""))</f>
        <v/>
      </c>
      <c r="M36" s="743"/>
      <c r="N36" s="360" t="str">
        <f>IF(controls!$B$40=3,"",IF(COUNT($G$23:$G$42)&gt;=13,IF(controls!$B$39="Demand shocks",IF('choose m.p.'!M16=0,"",'choose m.p.'!M16),""),""))</f>
        <v/>
      </c>
      <c r="T36" s="117"/>
    </row>
    <row r="37" spans="1:20" ht="12.75" customHeight="1">
      <c r="A37" s="764"/>
      <c r="B37" s="235"/>
      <c r="F37" s="361" t="str">
        <f>IF('choose m.p.'!$I16="","",'choose m.p.'!A17)</f>
        <v/>
      </c>
      <c r="G37" s="362" t="str">
        <f>IF('choose m.p.'!$I17="","",'choose m.p.'!I17)</f>
        <v/>
      </c>
      <c r="H37" s="362" t="str">
        <f>IF('choose m.p.'!$I17="","",'choose m.p.'!H17)</f>
        <v/>
      </c>
      <c r="I37" s="362" t="str">
        <f>IF('choose m.p.'!$I16="","",'choose m.p.'!G17)</f>
        <v/>
      </c>
      <c r="J37" s="362" t="str">
        <f>IF('choose m.p.'!$I16="","",'choose m.p.'!D17)</f>
        <v/>
      </c>
      <c r="K37" s="222" t="str">
        <f>IF(controls!$B$40=3,"",IF(COUNT($G$23:$G$42)&gt;=15,IF(controls!$B$39="Stabilizing real interest rate",'choose m.p.'!J17,""),""))</f>
        <v/>
      </c>
      <c r="L37" s="743" t="str">
        <f>IF(controls!$B$40=3,"",IF(COUNT($G$23:$G$42)&gt;=14,IF(controls!$B$39="Supply shocks",IF('choose m.p.'!L17=0,"",'choose m.p.'!L17),""),""))</f>
        <v/>
      </c>
      <c r="M37" s="743"/>
      <c r="N37" s="360" t="str">
        <f>IF(controls!$B$40=3,"",IF(COUNT($G$23:$G$42)&gt;=14,IF(controls!$B$39="Demand shocks",IF('choose m.p.'!M17=0,"",'choose m.p.'!M17),""),""))</f>
        <v/>
      </c>
      <c r="T37" s="117"/>
    </row>
    <row r="38" spans="1:20" ht="13">
      <c r="A38" s="764"/>
      <c r="B38" s="235"/>
      <c r="F38" s="361" t="str">
        <f>IF('choose m.p.'!$I17="","",'choose m.p.'!A18)</f>
        <v/>
      </c>
      <c r="G38" s="362" t="str">
        <f>IF('choose m.p.'!$I18="","",'choose m.p.'!I18)</f>
        <v/>
      </c>
      <c r="H38" s="362" t="str">
        <f>IF('choose m.p.'!$I18="","",'choose m.p.'!H18)</f>
        <v/>
      </c>
      <c r="I38" s="362" t="str">
        <f>IF('choose m.p.'!$I17="","",'choose m.p.'!G18)</f>
        <v/>
      </c>
      <c r="J38" s="362" t="str">
        <f>IF('choose m.p.'!$I17="","",'choose m.p.'!D18)</f>
        <v/>
      </c>
      <c r="K38" s="222" t="str">
        <f>IF(controls!$B$40=3,"",IF(COUNT($G$23:$G$42)&gt;=16,IF(controls!$B$39="Stabilizing real interest rate",'choose m.p.'!J18,""),""))</f>
        <v/>
      </c>
      <c r="L38" s="743" t="str">
        <f>IF(controls!$B$40=3,"",IF(COUNT($G$23:$G$42)&gt;=15,IF(controls!$B$39="Supply shocks",IF('choose m.p.'!L18=0,"",'choose m.p.'!L18),""),""))</f>
        <v/>
      </c>
      <c r="M38" s="743"/>
      <c r="N38" s="360" t="str">
        <f>IF(controls!$B$40=3,"",IF(COUNT($G$23:$G$42)&gt;=15,IF(controls!$B$39="Demand shocks",IF('choose m.p.'!M18=0,"",'choose m.p.'!M18),""),""))</f>
        <v/>
      </c>
      <c r="S38" s="48"/>
      <c r="T38" s="117"/>
    </row>
    <row r="39" spans="1:20" ht="12.75" customHeight="1">
      <c r="A39" s="764"/>
      <c r="B39" s="235"/>
      <c r="F39" s="361" t="str">
        <f>IF('choose m.p.'!$I18="","",'choose m.p.'!A19)</f>
        <v/>
      </c>
      <c r="G39" s="362" t="str">
        <f>IF('choose m.p.'!$I19="","",'choose m.p.'!I19)</f>
        <v/>
      </c>
      <c r="H39" s="362" t="str">
        <f>IF('choose m.p.'!$I19="","",'choose m.p.'!H19)</f>
        <v/>
      </c>
      <c r="I39" s="362" t="str">
        <f>IF('choose m.p.'!$I18="","",'choose m.p.'!G19)</f>
        <v/>
      </c>
      <c r="J39" s="362" t="str">
        <f>IF('choose m.p.'!$I18="","",'choose m.p.'!D19)</f>
        <v/>
      </c>
      <c r="K39" s="222" t="str">
        <f>IF(controls!$B$40=3,"",IF(COUNT($G$23:$G$42)&gt;=17,IF(controls!$B$39="Stabilizing real interest rate",'choose m.p.'!J19,""),""))</f>
        <v/>
      </c>
      <c r="L39" s="743" t="str">
        <f>IF(controls!$B$40=3,"",IF(COUNT($G$23:$G$42)&gt;=16,IF(controls!$B$39="Supply shocks",IF('choose m.p.'!L19=0,"",'choose m.p.'!L19),""),""))</f>
        <v/>
      </c>
      <c r="M39" s="743"/>
      <c r="N39" s="360" t="str">
        <f>IF(controls!$B$40=3,"",IF(COUNT($G$23:$G$42)&gt;=16,IF(controls!$B$39="Demand shocks",IF('choose m.p.'!M19=0,"",'choose m.p.'!M19),""),""))</f>
        <v/>
      </c>
      <c r="T39" s="117"/>
    </row>
    <row r="40" spans="1:20" ht="13">
      <c r="A40" s="764"/>
      <c r="B40" s="235"/>
      <c r="F40" s="361" t="str">
        <f>IF('choose m.p.'!$I19="","",'choose m.p.'!A20)</f>
        <v/>
      </c>
      <c r="G40" s="362" t="str">
        <f>IF('choose m.p.'!$I20="","",'choose m.p.'!I20)</f>
        <v/>
      </c>
      <c r="H40" s="362" t="str">
        <f>IF('choose m.p.'!$I20="","",'choose m.p.'!H20)</f>
        <v/>
      </c>
      <c r="I40" s="362" t="str">
        <f>IF('choose m.p.'!$I19="","",'choose m.p.'!G20)</f>
        <v/>
      </c>
      <c r="J40" s="362" t="str">
        <f>IF('choose m.p.'!$I19="","",'choose m.p.'!D20)</f>
        <v/>
      </c>
      <c r="K40" s="222" t="str">
        <f>IF(controls!$B$40=3,"",IF(COUNT($G$23:$G$42)&gt;=18,IF(controls!$B$39="Stabilizing real interest rate",'choose m.p.'!J20,""),""))</f>
        <v/>
      </c>
      <c r="L40" s="743" t="str">
        <f>IF(controls!$B$40=3,"",IF(COUNT($G$23:$G$42)&gt;=17,IF(controls!$B$39="Supply shocks",IF('choose m.p.'!L20=0,"",'choose m.p.'!L20),""),""))</f>
        <v/>
      </c>
      <c r="M40" s="743"/>
      <c r="N40" s="360" t="str">
        <f>IF(controls!$B$40=3,"",IF(COUNT($G$23:$G$42)&gt;=17,IF(controls!$B$39="Demand shocks",IF('choose m.p.'!M20=0,"",'choose m.p.'!M20),""),""))</f>
        <v/>
      </c>
      <c r="R40">
        <f>controls!B40</f>
        <v>3</v>
      </c>
      <c r="T40" s="117"/>
    </row>
    <row r="41" spans="1:20" ht="13">
      <c r="A41" s="764"/>
      <c r="B41" s="235"/>
      <c r="F41" s="361" t="str">
        <f>IF('choose m.p.'!$I20="","",'choose m.p.'!A21)</f>
        <v/>
      </c>
      <c r="G41" s="362" t="str">
        <f>IF('choose m.p.'!$I21="","",'choose m.p.'!I21)</f>
        <v/>
      </c>
      <c r="H41" s="362" t="str">
        <f>IF('choose m.p.'!$I21="","",'choose m.p.'!H21)</f>
        <v/>
      </c>
      <c r="I41" s="362" t="str">
        <f>IF('choose m.p.'!$I20="","",'choose m.p.'!G21)</f>
        <v/>
      </c>
      <c r="J41" s="362" t="str">
        <f>IF('choose m.p.'!$I20="","",'choose m.p.'!D21)</f>
        <v/>
      </c>
      <c r="K41" s="222" t="str">
        <f>IF(controls!$B$40=3,"",IF(COUNT($G$23:$G$42)&gt;=19,IF(controls!$B$39="Stabilizing real interest rate",'choose m.p.'!J21,""),""))</f>
        <v/>
      </c>
      <c r="L41" s="743" t="str">
        <f>IF(controls!$B$40=3,"",IF(COUNT($G$23:$G$42)&gt;=18,IF(controls!$B$39="Supply shocks",IF('choose m.p.'!L21=0,"",'choose m.p.'!L21),""),""))</f>
        <v/>
      </c>
      <c r="M41" s="743"/>
      <c r="N41" s="360" t="str">
        <f>IF(controls!$B$40=3,"",IF(COUNT($G$23:$G$42)&gt;=18,IF(controls!$B$39="Demand shocks",IF('choose m.p.'!M21=0,"",'choose m.p.'!M21),""),""))</f>
        <v/>
      </c>
      <c r="T41" s="117"/>
    </row>
    <row r="42" spans="1:20" ht="13">
      <c r="A42" s="764"/>
      <c r="B42" s="235"/>
      <c r="F42" s="361" t="str">
        <f>IF('choose m.p.'!$I21="","",'choose m.p.'!A22)</f>
        <v/>
      </c>
      <c r="G42" s="362" t="str">
        <f>IF('choose m.p.'!$I22="","",'choose m.p.'!I22)</f>
        <v/>
      </c>
      <c r="H42" s="362" t="str">
        <f>IF('choose m.p.'!$I22="","",'choose m.p.'!H22)</f>
        <v/>
      </c>
      <c r="I42" s="362" t="str">
        <f>IF('choose m.p.'!$I21="","",'choose m.p.'!G22)</f>
        <v/>
      </c>
      <c r="J42" s="362" t="str">
        <f>IF('choose m.p.'!$I21="","",'choose m.p.'!D22)</f>
        <v/>
      </c>
      <c r="K42" s="222" t="str">
        <f>IF(controls!$B$40=3,"",IF(COUNT($G$23:$G$42)&gt;=20,IF(controls!$B$39="Stabilizing real interest rate",'choose m.p.'!J22,""),""))</f>
        <v/>
      </c>
      <c r="L42" s="743" t="str">
        <f>IF(controls!$B$40=3,"",IF(COUNT($G$23:$G$42)&gt;=19,IF(controls!$B$39="Supply shocks",IF('choose m.p.'!L22=0,"",'choose m.p.'!L22),""),""))</f>
        <v/>
      </c>
      <c r="M42" s="743"/>
      <c r="N42" s="360" t="str">
        <f>IF(controls!$B$40=3,"",IF(COUNT($G$23:$G$42)&gt;=19,IF(controls!$B$39="Demand shocks",IF('choose m.p.'!M22=0,"",'choose m.p.'!M22),""),""))</f>
        <v/>
      </c>
      <c r="S42" s="207">
        <f>COUNT(G23:G42)</f>
        <v>8</v>
      </c>
      <c r="T42" s="117"/>
    </row>
    <row r="43" spans="1:20">
      <c r="A43" s="764"/>
      <c r="B43" s="235"/>
      <c r="S43" s="207">
        <f>COUNT($G$23:$G$42)</f>
        <v>8</v>
      </c>
      <c r="T43" s="117"/>
    </row>
    <row r="44" spans="1:20">
      <c r="A44" s="764"/>
      <c r="B44" s="235"/>
      <c r="T44" s="117"/>
    </row>
    <row r="45" spans="1:20">
      <c r="A45" s="764"/>
      <c r="B45" s="235"/>
      <c r="T45" s="117"/>
    </row>
    <row r="46" spans="1:20">
      <c r="A46" s="764"/>
      <c r="B46" s="235"/>
      <c r="T46" s="117"/>
    </row>
    <row r="47" spans="1:20">
      <c r="A47" s="764"/>
      <c r="B47" s="235"/>
      <c r="T47" s="117"/>
    </row>
    <row r="48" spans="1:20">
      <c r="A48" s="764"/>
      <c r="B48" s="235"/>
      <c r="T48" s="117"/>
    </row>
    <row r="49" spans="1:20">
      <c r="A49" s="764"/>
      <c r="B49" s="235"/>
      <c r="T49" s="117"/>
    </row>
    <row r="50" spans="1:20">
      <c r="T50" s="117"/>
    </row>
    <row r="51" spans="1:20">
      <c r="T51" t="str">
        <f>IF(COUNT($G$23:$G$42)&gt;=0,IF('choose m.p.'!J23=0,"",'choose m.p.'!J23),"")</f>
        <v/>
      </c>
    </row>
    <row r="52" spans="1:20">
      <c r="T52" t="str">
        <f>IF(COUNT($G$23:$G$42)&gt;=0,IF('choose m.p.'!J24=0,"",'choose m.p.'!J24),"")</f>
        <v/>
      </c>
    </row>
  </sheetData>
  <sheetProtection selectLockedCells="1"/>
  <mergeCells count="45">
    <mergeCell ref="F18:J18"/>
    <mergeCell ref="S2:U3"/>
    <mergeCell ref="A8:A49"/>
    <mergeCell ref="K21:K22"/>
    <mergeCell ref="C10:C11"/>
    <mergeCell ref="F20:J20"/>
    <mergeCell ref="K16:K17"/>
    <mergeCell ref="K12:K13"/>
    <mergeCell ref="K10:K11"/>
    <mergeCell ref="N21:N22"/>
    <mergeCell ref="J21:J22"/>
    <mergeCell ref="F21:F22"/>
    <mergeCell ref="G21:G22"/>
    <mergeCell ref="H21:H22"/>
    <mergeCell ref="I21:I22"/>
    <mergeCell ref="F16:J17"/>
    <mergeCell ref="F9:K9"/>
    <mergeCell ref="F10:J11"/>
    <mergeCell ref="F12:J13"/>
    <mergeCell ref="F14:J15"/>
    <mergeCell ref="G2:I3"/>
    <mergeCell ref="J2:J3"/>
    <mergeCell ref="L29:M29"/>
    <mergeCell ref="L30:M30"/>
    <mergeCell ref="L16:L17"/>
    <mergeCell ref="L21:M22"/>
    <mergeCell ref="L23:M23"/>
    <mergeCell ref="L24:M24"/>
    <mergeCell ref="L25:M25"/>
    <mergeCell ref="V2:V3"/>
    <mergeCell ref="L41:M41"/>
    <mergeCell ref="L42:M42"/>
    <mergeCell ref="L36:M36"/>
    <mergeCell ref="L37:M37"/>
    <mergeCell ref="L38:M38"/>
    <mergeCell ref="L39:M39"/>
    <mergeCell ref="L40:M40"/>
    <mergeCell ref="L31:M31"/>
    <mergeCell ref="L32:M32"/>
    <mergeCell ref="L33:M33"/>
    <mergeCell ref="L34:M34"/>
    <mergeCell ref="L35:M35"/>
    <mergeCell ref="L26:M26"/>
    <mergeCell ref="L27:M27"/>
    <mergeCell ref="L28:M28"/>
  </mergeCells>
  <phoneticPr fontId="3" type="noConversion"/>
  <conditionalFormatting sqref="F24">
    <cfRule type="expression" dxfId="27" priority="18" stopIfTrue="1">
      <formula>COUNT($F$24:$F$42)=1</formula>
    </cfRule>
  </conditionalFormatting>
  <conditionalFormatting sqref="L21:M42">
    <cfRule type="expression" dxfId="26" priority="19" stopIfTrue="1">
      <formula>AND($Y$11="Supply shocks",$Y$12&lt;3)</formula>
    </cfRule>
  </conditionalFormatting>
  <conditionalFormatting sqref="N21:N42">
    <cfRule type="expression" dxfId="25" priority="20" stopIfTrue="1">
      <formula>AND($Y$11="Demand shocks",$Y$12&lt;3)</formula>
    </cfRule>
  </conditionalFormatting>
  <conditionalFormatting sqref="K21:K42">
    <cfRule type="expression" dxfId="24" priority="21" stopIfTrue="1">
      <formula>AND($Y$11="Stabilizing real interest rate",$Y$12&lt;3)</formula>
    </cfRule>
  </conditionalFormatting>
  <conditionalFormatting sqref="F25">
    <cfRule type="expression" dxfId="23" priority="22" stopIfTrue="1">
      <formula>COUNT($F$24:$F$42)=2</formula>
    </cfRule>
  </conditionalFormatting>
  <conditionalFormatting sqref="F26">
    <cfRule type="expression" dxfId="22" priority="23" stopIfTrue="1">
      <formula>COUNT($F$24:$F$42)=3</formula>
    </cfRule>
  </conditionalFormatting>
  <conditionalFormatting sqref="F27">
    <cfRule type="expression" dxfId="21" priority="24" stopIfTrue="1">
      <formula>COUNT($F$24:$F$42)=4</formula>
    </cfRule>
  </conditionalFormatting>
  <conditionalFormatting sqref="F28">
    <cfRule type="expression" dxfId="20" priority="25" stopIfTrue="1">
      <formula>COUNT($F$24:$F$42)=5</formula>
    </cfRule>
  </conditionalFormatting>
  <conditionalFormatting sqref="F29">
    <cfRule type="expression" dxfId="19" priority="26" stopIfTrue="1">
      <formula>COUNT($F$24:$F$42)=6</formula>
    </cfRule>
  </conditionalFormatting>
  <conditionalFormatting sqref="F30">
    <cfRule type="expression" dxfId="18" priority="27" stopIfTrue="1">
      <formula>COUNT($F$24:$F$42)=7</formula>
    </cfRule>
  </conditionalFormatting>
  <conditionalFormatting sqref="F31">
    <cfRule type="expression" dxfId="17" priority="28" stopIfTrue="1">
      <formula>COUNT($F$24:$F$42)=8</formula>
    </cfRule>
  </conditionalFormatting>
  <conditionalFormatting sqref="F32">
    <cfRule type="expression" dxfId="16" priority="29" stopIfTrue="1">
      <formula>COUNT($F$24:$F$42)=9</formula>
    </cfRule>
  </conditionalFormatting>
  <conditionalFormatting sqref="F33">
    <cfRule type="expression" dxfId="15" priority="30" stopIfTrue="1">
      <formula>COUNT($F$24:$F$42)=10</formula>
    </cfRule>
  </conditionalFormatting>
  <conditionalFormatting sqref="F34">
    <cfRule type="expression" dxfId="14" priority="31" stopIfTrue="1">
      <formula>COUNT($F$24:$F$42)=11</formula>
    </cfRule>
  </conditionalFormatting>
  <conditionalFormatting sqref="F35">
    <cfRule type="expression" dxfId="13" priority="32" stopIfTrue="1">
      <formula>COUNT($F$24:$F$42)=12</formula>
    </cfRule>
  </conditionalFormatting>
  <conditionalFormatting sqref="F36">
    <cfRule type="expression" dxfId="12" priority="33" stopIfTrue="1">
      <formula>COUNT($F$24:$F$42)=13</formula>
    </cfRule>
  </conditionalFormatting>
  <conditionalFormatting sqref="F37">
    <cfRule type="expression" dxfId="11" priority="34" stopIfTrue="1">
      <formula>COUNT($F$24:$F$42)=14</formula>
    </cfRule>
  </conditionalFormatting>
  <conditionalFormatting sqref="F38">
    <cfRule type="expression" dxfId="10" priority="35" stopIfTrue="1">
      <formula>COUNT($F$24:$F$42)=15</formula>
    </cfRule>
  </conditionalFormatting>
  <conditionalFormatting sqref="F39">
    <cfRule type="expression" dxfId="9" priority="36" stopIfTrue="1">
      <formula>COUNT($F$24:$F$42)=16</formula>
    </cfRule>
  </conditionalFormatting>
  <conditionalFormatting sqref="F40">
    <cfRule type="expression" dxfId="8" priority="37" stopIfTrue="1">
      <formula>COUNT($F$24:$F$42)=17</formula>
    </cfRule>
  </conditionalFormatting>
  <conditionalFormatting sqref="F41">
    <cfRule type="expression" dxfId="7" priority="38" stopIfTrue="1">
      <formula>COUNT($F$24:$F$42)=18</formula>
    </cfRule>
  </conditionalFormatting>
  <conditionalFormatting sqref="F42">
    <cfRule type="expression" dxfId="6" priority="39" stopIfTrue="1">
      <formula>COUNT($F$24:$F$42)=19</formula>
    </cfRule>
  </conditionalFormatting>
  <conditionalFormatting sqref="K2:M7">
    <cfRule type="expression" dxfId="5" priority="7">
      <formula>$R$40=3</formula>
    </cfRule>
  </conditionalFormatting>
  <conditionalFormatting sqref="K2:K7">
    <cfRule type="expression" dxfId="4" priority="6">
      <formula>OR($R$40=1,$R$40=2)</formula>
    </cfRule>
  </conditionalFormatting>
  <dataValidations count="1">
    <dataValidation type="decimal" allowBlank="1" showInputMessage="1" showErrorMessage="1" sqref="K14:K15" xr:uid="{00000000-0002-0000-0D00-000000000000}">
      <formula1>0</formula1>
      <formula2>1</formula2>
    </dataValidation>
  </dataValidations>
  <pageMargins left="0.74803149606299213" right="0.74803149606299213" top="0.98425196850393704" bottom="0.98425196850393704" header="0" footer="0"/>
  <pageSetup paperSize="9" scale="115" orientation="portrait" horizontalDpi="300" verticalDpi="300" r:id="rId1"/>
  <headerFooter alignWithMargins="0"/>
  <cellWatches>
    <cellWatch r="F9"/>
  </cellWatches>
  <drawing r:id="rId2"/>
  <legacyDrawing r:id="rId3"/>
  <mc:AlternateContent xmlns:mc="http://schemas.openxmlformats.org/markup-compatibility/2006">
    <mc:Choice Requires="x14">
      <controls>
        <mc:AlternateContent xmlns:mc="http://schemas.openxmlformats.org/markup-compatibility/2006">
          <mc:Choice Requires="x14">
            <control shapeId="19464" r:id="rId4" name="Button 8">
              <controlPr defaultSize="0" print="0" autoFill="0" autoPict="0" macro="[0]!go_main_page">
                <anchor moveWithCells="1" sizeWithCells="1">
                  <from>
                    <xdr:col>1</xdr:col>
                    <xdr:colOff>69850</xdr:colOff>
                    <xdr:row>2</xdr:row>
                    <xdr:rowOff>133350</xdr:rowOff>
                  </from>
                  <to>
                    <xdr:col>5</xdr:col>
                    <xdr:colOff>190500</xdr:colOff>
                    <xdr:row>6</xdr:row>
                    <xdr:rowOff>19050</xdr:rowOff>
                  </to>
                </anchor>
              </controlPr>
            </control>
          </mc:Choice>
        </mc:AlternateContent>
        <mc:AlternateContent xmlns:mc="http://schemas.openxmlformats.org/markup-compatibility/2006">
          <mc:Choice Requires="x14">
            <control shapeId="19466" r:id="rId5" name="Button 10">
              <controlPr defaultSize="0" print="0" autoFill="0" autoPict="0" macro="[0]!introducir_datos_permanent_shocks">
                <anchor moveWithCells="1" sizeWithCells="1">
                  <from>
                    <xdr:col>20</xdr:col>
                    <xdr:colOff>146050</xdr:colOff>
                    <xdr:row>3</xdr:row>
                    <xdr:rowOff>69850</xdr:rowOff>
                  </from>
                  <to>
                    <xdr:col>21</xdr:col>
                    <xdr:colOff>717550</xdr:colOff>
                    <xdr:row>6</xdr:row>
                    <xdr:rowOff>19050</xdr:rowOff>
                  </to>
                </anchor>
              </controlPr>
            </control>
          </mc:Choice>
        </mc:AlternateContent>
        <mc:AlternateContent xmlns:mc="http://schemas.openxmlformats.org/markup-compatibility/2006">
          <mc:Choice Requires="x14">
            <control shapeId="19469" r:id="rId6" name="Button 13">
              <controlPr defaultSize="0" print="0" autoFill="0" autoPict="0" macro="[0]!go_welcome_own_monetary_policy">
                <anchor moveWithCells="1" sizeWithCells="1">
                  <from>
                    <xdr:col>5</xdr:col>
                    <xdr:colOff>279400</xdr:colOff>
                    <xdr:row>2</xdr:row>
                    <xdr:rowOff>133350</xdr:rowOff>
                  </from>
                  <to>
                    <xdr:col>7</xdr:col>
                    <xdr:colOff>171450</xdr:colOff>
                    <xdr:row>6</xdr:row>
                    <xdr:rowOff>19050</xdr:rowOff>
                  </to>
                </anchor>
              </controlPr>
            </control>
          </mc:Choice>
        </mc:AlternateContent>
        <mc:AlternateContent xmlns:mc="http://schemas.openxmlformats.org/markup-compatibility/2006">
          <mc:Choice Requires="x14">
            <control shapeId="19474" r:id="rId7" name="Scroll Bar 18">
              <controlPr defaultSize="0" autoPict="0">
                <anchor moveWithCells="1">
                  <from>
                    <xdr:col>10</xdr:col>
                    <xdr:colOff>19050</xdr:colOff>
                    <xdr:row>14</xdr:row>
                    <xdr:rowOff>31750</xdr:rowOff>
                  </from>
                  <to>
                    <xdr:col>10</xdr:col>
                    <xdr:colOff>603250</xdr:colOff>
                    <xdr:row>14</xdr:row>
                    <xdr:rowOff>184150</xdr:rowOff>
                  </to>
                </anchor>
              </controlPr>
            </control>
          </mc:Choice>
        </mc:AlternateContent>
        <mc:AlternateContent xmlns:mc="http://schemas.openxmlformats.org/markup-compatibility/2006">
          <mc:Choice Requires="x14">
            <control shapeId="19476" r:id="rId8" name="Button 20">
              <controlPr defaultSize="0" print="0" autoFill="0" autoPict="0" macro="[0]!introducir_datos_you_choose_shocks">
                <anchor moveWithCells="1" sizeWithCells="1">
                  <from>
                    <xdr:col>15</xdr:col>
                    <xdr:colOff>266700</xdr:colOff>
                    <xdr:row>3</xdr:row>
                    <xdr:rowOff>76200</xdr:rowOff>
                  </from>
                  <to>
                    <xdr:col>17</xdr:col>
                    <xdr:colOff>546100</xdr:colOff>
                    <xdr:row>6</xdr:row>
                    <xdr:rowOff>19050</xdr:rowOff>
                  </to>
                </anchor>
              </controlPr>
            </control>
          </mc:Choice>
        </mc:AlternateContent>
        <mc:AlternateContent xmlns:mc="http://schemas.openxmlformats.org/markup-compatibility/2006">
          <mc:Choice Requires="x14">
            <control shapeId="19483" r:id="rId9" name="Button 27">
              <controlPr defaultSize="0" print="0" autoFill="0" autoPict="0" macro="[0]!print_results">
                <anchor moveWithCells="1" sizeWithCells="1">
                  <from>
                    <xdr:col>8</xdr:col>
                    <xdr:colOff>533400</xdr:colOff>
                    <xdr:row>2</xdr:row>
                    <xdr:rowOff>133350</xdr:rowOff>
                  </from>
                  <to>
                    <xdr:col>9</xdr:col>
                    <xdr:colOff>660400</xdr:colOff>
                    <xdr:row>6</xdr:row>
                    <xdr:rowOff>38100</xdr:rowOff>
                  </to>
                </anchor>
              </controlPr>
            </control>
          </mc:Choice>
        </mc:AlternateContent>
        <mc:AlternateContent xmlns:mc="http://schemas.openxmlformats.org/markup-compatibility/2006">
          <mc:Choice Requires="x14">
            <control shapeId="19484" r:id="rId10" name="Button 28">
              <controlPr defaultSize="0" print="0" autoFill="0" autoPict="0" macro="[0]!evaluate_policy_choice">
                <anchor moveWithCells="1" sizeWithCells="1">
                  <from>
                    <xdr:col>10</xdr:col>
                    <xdr:colOff>127000</xdr:colOff>
                    <xdr:row>2</xdr:row>
                    <xdr:rowOff>133350</xdr:rowOff>
                  </from>
                  <to>
                    <xdr:col>12</xdr:col>
                    <xdr:colOff>50800</xdr:colOff>
                    <xdr:row>6</xdr:row>
                    <xdr:rowOff>31750</xdr:rowOff>
                  </to>
                </anchor>
              </controlPr>
            </control>
          </mc:Choice>
        </mc:AlternateContent>
        <mc:AlternateContent xmlns:mc="http://schemas.openxmlformats.org/markup-compatibility/2006">
          <mc:Choice Requires="x14">
            <control shapeId="19485" r:id="rId11" name="Button 29">
              <controlPr defaultSize="0" print="0" autoFill="0" autoPict="0" macro="[0]!introducir_datos_temporary_shocks">
                <anchor moveWithCells="1" sizeWithCells="1">
                  <from>
                    <xdr:col>18</xdr:col>
                    <xdr:colOff>412750</xdr:colOff>
                    <xdr:row>3</xdr:row>
                    <xdr:rowOff>69850</xdr:rowOff>
                  </from>
                  <to>
                    <xdr:col>19</xdr:col>
                    <xdr:colOff>933450</xdr:colOff>
                    <xdr:row>6</xdr:row>
                    <xdr:rowOff>19050</xdr:rowOff>
                  </to>
                </anchor>
              </controlPr>
            </control>
          </mc:Choice>
        </mc:AlternateContent>
        <mc:AlternateContent xmlns:mc="http://schemas.openxmlformats.org/markup-compatibility/2006">
          <mc:Choice Requires="x14">
            <control shapeId="19486" r:id="rId12" name="Button 30">
              <controlPr defaultSize="0" print="0" autoFill="0" autoPict="0" macro="[0]!resetear_shocks_game">
                <anchor moveWithCells="1" sizeWithCells="1">
                  <from>
                    <xdr:col>7</xdr:col>
                    <xdr:colOff>279400</xdr:colOff>
                    <xdr:row>2</xdr:row>
                    <xdr:rowOff>133350</xdr:rowOff>
                  </from>
                  <to>
                    <xdr:col>8</xdr:col>
                    <xdr:colOff>412750</xdr:colOff>
                    <xdr:row>6</xdr:row>
                    <xdr:rowOff>38100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2"/>
  <dimension ref="A1:AP3546"/>
  <sheetViews>
    <sheetView workbookViewId="0">
      <pane xSplit="1" ySplit="2" topLeftCell="F3" activePane="bottomRight" state="frozenSplit"/>
      <selection activeCell="C45" sqref="C45"/>
      <selection pane="topRight" activeCell="C45" sqref="C45"/>
      <selection pane="bottomLeft" activeCell="C45" sqref="C45"/>
      <selection pane="bottomRight" activeCell="G11" sqref="G11"/>
    </sheetView>
  </sheetViews>
  <sheetFormatPr defaultColWidth="11.453125" defaultRowHeight="12.5"/>
  <cols>
    <col min="1" max="1" width="4" style="48" bestFit="1" customWidth="1"/>
    <col min="2" max="2" width="56.7265625" style="96" bestFit="1" customWidth="1"/>
    <col min="3" max="3" width="8.26953125" style="80" bestFit="1" customWidth="1"/>
    <col min="4" max="4" width="56.7265625" style="77" bestFit="1" customWidth="1"/>
    <col min="5" max="5" width="41.26953125" style="96" bestFit="1" customWidth="1"/>
    <col min="6" max="6" width="21.453125" style="96" bestFit="1" customWidth="1"/>
    <col min="7" max="7" width="9.1796875" style="75" bestFit="1" customWidth="1"/>
    <col min="8" max="8" width="20.26953125" style="75" bestFit="1" customWidth="1"/>
    <col min="9" max="9" width="14.453125" style="97" customWidth="1"/>
    <col min="10" max="10" width="23.7265625" style="97" bestFit="1" customWidth="1"/>
    <col min="11" max="11" width="29.26953125" customWidth="1"/>
    <col min="12" max="12" width="12.26953125" style="49" bestFit="1" customWidth="1"/>
    <col min="13" max="13" width="15.26953125" style="49" bestFit="1" customWidth="1"/>
    <col min="14" max="14" width="16.26953125" style="49" bestFit="1" customWidth="1"/>
    <col min="15" max="15" width="28" style="49" bestFit="1" customWidth="1"/>
    <col min="16" max="16" width="30" style="49" bestFit="1" customWidth="1"/>
    <col min="17" max="17" width="11.54296875" style="49" bestFit="1" customWidth="1"/>
    <col min="18" max="18" width="19.26953125" style="49" bestFit="1" customWidth="1"/>
    <col min="19" max="19" width="30.26953125" style="48" bestFit="1" customWidth="1"/>
    <col min="20" max="20" width="9.1796875" style="48" bestFit="1" customWidth="1"/>
    <col min="21" max="21" width="11.54296875" style="48" customWidth="1"/>
    <col min="22" max="23" width="17.7265625" style="48" bestFit="1" customWidth="1"/>
    <col min="24" max="24" width="12.26953125" style="48" bestFit="1" customWidth="1"/>
    <col min="25" max="16384" width="11.453125" style="48"/>
  </cols>
  <sheetData>
    <row r="1" spans="1:42" ht="12.75" customHeight="1">
      <c r="B1" s="774" t="s">
        <v>48</v>
      </c>
      <c r="C1" s="678" t="s">
        <v>52</v>
      </c>
      <c r="D1" s="586"/>
      <c r="E1" s="586"/>
      <c r="F1" s="683" t="s">
        <v>106</v>
      </c>
      <c r="I1" s="251" t="s">
        <v>198</v>
      </c>
      <c r="J1" s="95"/>
      <c r="K1" s="679" t="s">
        <v>99</v>
      </c>
      <c r="L1" s="682" t="s">
        <v>38</v>
      </c>
      <c r="M1" s="681"/>
      <c r="N1" s="776" t="s">
        <v>94</v>
      </c>
      <c r="O1" s="682"/>
      <c r="P1" s="682"/>
    </row>
    <row r="2" spans="1:42">
      <c r="B2" s="775"/>
      <c r="C2" s="80" t="s">
        <v>17</v>
      </c>
      <c r="D2" s="77" t="s">
        <v>96</v>
      </c>
      <c r="E2" s="96" t="s">
        <v>93</v>
      </c>
      <c r="F2" s="684"/>
      <c r="G2" s="75" t="s">
        <v>12</v>
      </c>
      <c r="H2" s="75" t="s">
        <v>46</v>
      </c>
      <c r="I2"/>
      <c r="J2" s="97" t="s">
        <v>73</v>
      </c>
      <c r="K2" s="679"/>
      <c r="L2" s="70" t="s">
        <v>1</v>
      </c>
      <c r="M2" s="70" t="s">
        <v>2</v>
      </c>
      <c r="N2" s="674"/>
      <c r="O2" s="70"/>
      <c r="P2" s="70"/>
    </row>
    <row r="3" spans="1:42">
      <c r="A3" s="48">
        <v>1</v>
      </c>
      <c r="B3" s="96">
        <f>IF(controls!$B$40=3,'choose m.p.'!$W$3,IF(controls!$B$40=1,'choose m.p.'!$W$3*(1+L3),W3*(1+L3)))</f>
        <v>50</v>
      </c>
      <c r="D3" s="77">
        <f>IF(E3-'input own m.p.'!$K$12*'choose m.p.'!W5&gt;0,E3-'input own m.p.'!$K$12*'choose m.p.'!W5,0.1)</f>
        <v>50</v>
      </c>
      <c r="E3" s="96">
        <f>IF(controls!B40=3,$T$3,$T$3+($T$3-'input own m.p.'!$K$12*'choose m.p.'!$W$5)*'choose m.p.'!M3)</f>
        <v>51.5</v>
      </c>
      <c r="G3" s="75">
        <f>'input own m.p.'!$K$16+'input own m.p.'!K10*(D3-B3)</f>
        <v>2</v>
      </c>
      <c r="H3" s="456">
        <f>IF(I3=0,0,I3-G3)</f>
        <v>0</v>
      </c>
      <c r="I3" s="457">
        <v>2</v>
      </c>
      <c r="J3" s="98">
        <f>IF(controls!$B$40=1,(E4-B4)/'input own m.p.'!$K$12,(E4-B4)/'input own m.p.'!$K$12)</f>
        <v>2</v>
      </c>
      <c r="K3" s="117">
        <f>IF(controls!$B$40=1,'choose m.p.'!$W$5+G3,J3+G3)</f>
        <v>4</v>
      </c>
      <c r="L3" s="40"/>
      <c r="M3" s="40"/>
      <c r="N3" s="40">
        <v>0.1</v>
      </c>
      <c r="S3" s="67" t="s">
        <v>76</v>
      </c>
      <c r="T3" s="67">
        <v>51.5</v>
      </c>
      <c r="U3" s="48">
        <v>-0.01</v>
      </c>
      <c r="V3" s="76" t="s">
        <v>47</v>
      </c>
      <c r="W3" s="76">
        <v>50</v>
      </c>
      <c r="X3" s="76" t="s">
        <v>173</v>
      </c>
      <c r="Y3" s="96">
        <v>4</v>
      </c>
      <c r="Z3" s="80" t="s">
        <v>174</v>
      </c>
      <c r="AA3" s="76">
        <f>W3*(1+Y3/100)</f>
        <v>52</v>
      </c>
    </row>
    <row r="4" spans="1:42">
      <c r="A4" s="48">
        <v>2</v>
      </c>
      <c r="B4" s="96">
        <f>IF(controls!$B$40=3,$W$3,IF(controls!$B$40=1,'choose m.p.'!$W$3*(1+L4),B3*(1+L4)))</f>
        <v>50</v>
      </c>
      <c r="C4" s="80">
        <f t="shared" ref="C4:C23" si="0">D4/D3-1</f>
        <v>3.0000000000000027E-2</v>
      </c>
      <c r="D4" s="77">
        <f>IF(E4-'input own m.p.'!$K$12*'choose m.p.'!H3&gt;0,E4-'input own m.p.'!$K$12*'choose m.p.'!H3,0.1)</f>
        <v>51.5</v>
      </c>
      <c r="E4" s="96">
        <f>IF(controls!$B$40=3,$T$3,IF(controls!$B$40=1,'choose m.p.'!$T$3+E27+D3*M4,E3+D3*(M4+F4/100)))</f>
        <v>51.5</v>
      </c>
      <c r="G4" s="75">
        <f>IF(ABS('input own m.p.'!$K$14*G3+(1-'input own m.p.'!$K$14)*('input own m.p.'!$K$16/100)*100+'input own m.p.'!$K$10*(D4-B4)-G3)&lt;0.0000001,G3,'input own m.p.'!$K$14*G3+(1-'input own m.p.'!$K$14)*('input own m.p.'!$K$16/100)*100+'input own m.p.'!$K$10*(D4-B4))</f>
        <v>3.5</v>
      </c>
      <c r="H4" s="456">
        <f t="shared" ref="H4:H23" si="1">I4-G4</f>
        <v>-1.5</v>
      </c>
      <c r="I4" s="457">
        <v>2</v>
      </c>
      <c r="J4" s="98">
        <f>IF(controls!$B$40=1,(E5-B5)/'input own m.p.'!$K$12,(E5-B5)/'input own m.p.'!$K$12)</f>
        <v>2</v>
      </c>
      <c r="K4" s="117">
        <f>IF(controls!$B$40=1,'choose m.p.'!$W$5+G4,J3+G4)</f>
        <v>5.5</v>
      </c>
      <c r="L4" s="40"/>
      <c r="M4" s="40"/>
      <c r="N4" s="40">
        <v>-0.1</v>
      </c>
      <c r="P4" s="49">
        <v>0.05</v>
      </c>
      <c r="S4" s="213" t="s">
        <v>100</v>
      </c>
      <c r="T4" s="69">
        <v>2</v>
      </c>
      <c r="U4" s="64">
        <v>0.04</v>
      </c>
      <c r="V4" s="67" t="s">
        <v>49</v>
      </c>
      <c r="W4" s="76">
        <v>50</v>
      </c>
      <c r="X4" s="64"/>
      <c r="Y4" s="40"/>
      <c r="Z4" s="40"/>
    </row>
    <row r="5" spans="1:42">
      <c r="A5" s="48">
        <v>3</v>
      </c>
      <c r="B5" s="96">
        <f>IF(controls!$B$40=3,$W$3,IF(controls!$B$40=1,'choose m.p.'!$W$3*(1+L5),B4*(1+L5)))</f>
        <v>50</v>
      </c>
      <c r="C5" s="80">
        <f t="shared" si="0"/>
        <v>2.1844660194174859E-2</v>
      </c>
      <c r="D5" s="77">
        <f>IF(E5-'input own m.p.'!$K$12*'choose m.p.'!H4&gt;0,E5-'input own m.p.'!$K$12*'choose m.p.'!H4,0.1)</f>
        <v>52.625</v>
      </c>
      <c r="E5" s="96">
        <f>IF(controls!$B$40=3,$T$3,IF(controls!$B$40=1,'choose m.p.'!$T$3+SUM($E$27:E28)+D4*M5,E4+D4*(M5+F5/100)))</f>
        <v>51.5</v>
      </c>
      <c r="G5" s="75">
        <f>IF(ABS('input own m.p.'!$K$14*G4+(1-'input own m.p.'!$K$14)*('input own m.p.'!$K$16/100)*100+'input own m.p.'!$K$10*(D5-B5)-G4)&lt;0.0000001,G4,'input own m.p.'!$K$14*G4+(1-'input own m.p.'!$K$14)*('input own m.p.'!$K$16/100)*100+'input own m.p.'!$K$10*(D5-B5))</f>
        <v>6.125</v>
      </c>
      <c r="H5" s="456">
        <f t="shared" si="1"/>
        <v>-4.125</v>
      </c>
      <c r="I5">
        <v>2</v>
      </c>
      <c r="J5" s="98">
        <f>IF(controls!$B$40=1,(E6-B6)/'input own m.p.'!$K$12,(E6-B6)/'input own m.p.'!$K$12)</f>
        <v>2</v>
      </c>
      <c r="K5" s="117">
        <f>IF(controls!$B$40=1,'choose m.p.'!$W$5+G5,J4+G5)</f>
        <v>8.125</v>
      </c>
      <c r="L5" s="40">
        <v>-0.02</v>
      </c>
      <c r="M5" s="40"/>
      <c r="N5" s="40">
        <v>0.09</v>
      </c>
      <c r="P5" s="49">
        <v>-0.02</v>
      </c>
      <c r="S5" s="214" t="s">
        <v>172</v>
      </c>
      <c r="T5" s="67">
        <f>T3*(1+T4/100)</f>
        <v>52.53</v>
      </c>
      <c r="U5" s="64">
        <v>0.04</v>
      </c>
      <c r="V5" s="67" t="s">
        <v>50</v>
      </c>
      <c r="W5" s="67">
        <f>(T3-W3)/'input own m.p.'!$K$12</f>
        <v>2</v>
      </c>
      <c r="X5" s="64"/>
      <c r="Y5" s="40"/>
      <c r="Z5" s="40"/>
    </row>
    <row r="6" spans="1:42">
      <c r="A6" s="48">
        <v>4</v>
      </c>
      <c r="B6" s="96">
        <f>IF(controls!$B$40=3,$W$3,IF(controls!$B$40=1,'choose m.p.'!$W$3*(1+L6),B5*(1+L6)))</f>
        <v>50</v>
      </c>
      <c r="C6" s="80">
        <f t="shared" si="0"/>
        <v>3.7410926365795794E-2</v>
      </c>
      <c r="D6" s="77">
        <f>IF(E6-'input own m.p.'!$K$12*'choose m.p.'!H5&gt;0,E6-'input own m.p.'!$K$12*'choose m.p.'!H5,0.1)</f>
        <v>54.59375</v>
      </c>
      <c r="E6" s="96">
        <f>IF(controls!$B$40=3,$T$3,IF(controls!$B$40=1,'choose m.p.'!$T$3+SUM($E$27:E29)+D5*M6,E5+D5*(M6+F6/100)))</f>
        <v>51.5</v>
      </c>
      <c r="G6" s="75">
        <f>IF(ABS('input own m.p.'!$K$14*G5+(1-'input own m.p.'!$K$14)*('input own m.p.'!$K$16/100)*100+'input own m.p.'!$K$10*(D6-B6)-G5)&lt;0.0000001,G5,'input own m.p.'!$K$14*G5+(1-'input own m.p.'!$K$14)*('input own m.p.'!$K$16/100)*100+'input own m.p.'!$K$10*(D6-B6))</f>
        <v>10.71875</v>
      </c>
      <c r="H6" s="456">
        <f t="shared" si="1"/>
        <v>-8.71875</v>
      </c>
      <c r="I6">
        <v>2</v>
      </c>
      <c r="J6" s="98">
        <f>IF(controls!$B$40=1,(E7-B7)/'input own m.p.'!$K$12,(E7-B7)/'input own m.p.'!$K$12)</f>
        <v>0.70666666666666822</v>
      </c>
      <c r="K6" s="117">
        <f>IF(controls!$B$40=1,'choose m.p.'!$W$5+G6,J5+G6)</f>
        <v>12.71875</v>
      </c>
      <c r="L6" s="40"/>
      <c r="M6" s="40"/>
      <c r="N6" s="40">
        <v>-0.09</v>
      </c>
      <c r="P6" s="49">
        <v>-0.02</v>
      </c>
      <c r="S6" s="67"/>
      <c r="T6" s="69"/>
      <c r="U6" s="64">
        <v>0.04</v>
      </c>
      <c r="V6" s="64"/>
      <c r="W6" s="64"/>
      <c r="X6" s="65"/>
      <c r="Y6" s="40"/>
      <c r="Z6" s="40"/>
      <c r="AA6" s="65"/>
      <c r="AB6" s="65"/>
      <c r="AC6" s="65"/>
      <c r="AD6" s="65"/>
      <c r="AE6" s="65"/>
      <c r="AF6" s="65"/>
      <c r="AG6" s="65"/>
      <c r="AH6" s="65"/>
      <c r="AI6" s="65"/>
      <c r="AJ6" s="65"/>
      <c r="AK6" s="65"/>
      <c r="AL6" s="65"/>
      <c r="AM6" s="65"/>
      <c r="AN6" s="65"/>
      <c r="AO6" s="65"/>
      <c r="AP6" s="65"/>
    </row>
    <row r="7" spans="1:42">
      <c r="A7" s="48">
        <v>5</v>
      </c>
      <c r="B7" s="96">
        <f>IF(controls!$B$40=3,$AA$3,IF(controls!$B$40=1,'choose m.p.'!$W$3*(1+L7),B6*(1+L7)))</f>
        <v>52</v>
      </c>
      <c r="C7" s="80">
        <f t="shared" si="0"/>
        <v>8.1974813966800175E-2</v>
      </c>
      <c r="D7" s="77">
        <f>IF(E7-'input own m.p.'!$K$12*'choose m.p.'!H6&gt;0,E7-'input own m.p.'!$K$12*'choose m.p.'!H6,0.1)</f>
        <v>59.069062500000001</v>
      </c>
      <c r="E7" s="96">
        <f>IF(controls!$B$40=3,$T$5,IF(controls!$B$40=1,'choose m.p.'!$T$3+SUM($E$27:E30)+D6*M7,E6+D6*(M7+F7/100)))</f>
        <v>52.53</v>
      </c>
      <c r="G7" s="75">
        <f>IF(ABS('input own m.p.'!$K$14*G6+(1-'input own m.p.'!$K$14)*('input own m.p.'!$K$16/100)*100+'input own m.p.'!$K$10*(D7-B7)-G6)&lt;0.0000001,G6,'input own m.p.'!$K$14*G6+(1-'input own m.p.'!$K$14)*('input own m.p.'!$K$16/100)*100+'input own m.p.'!$K$10*(D7-B7))</f>
        <v>17.787812500000001</v>
      </c>
      <c r="H7" s="456">
        <f t="shared" si="1"/>
        <v>-15.787812500000001</v>
      </c>
      <c r="I7">
        <v>2</v>
      </c>
      <c r="J7" s="98">
        <f>IF(controls!$B$40=1,(E8-B8)/'input own m.p.'!$K$12,(E8-B8)/'input own m.p.'!$K$12)</f>
        <v>2</v>
      </c>
      <c r="K7" s="117">
        <f>IF(controls!$B$40=1,'choose m.p.'!$W$5+G7,J6+G7)</f>
        <v>18.494479166666668</v>
      </c>
      <c r="L7" s="40"/>
      <c r="M7" s="40">
        <v>0.03</v>
      </c>
      <c r="N7" s="40">
        <v>0.08</v>
      </c>
      <c r="P7" s="49">
        <v>-0.02</v>
      </c>
      <c r="R7" s="63"/>
      <c r="S7" s="64"/>
      <c r="T7" s="64"/>
      <c r="U7" s="64">
        <v>0.03</v>
      </c>
      <c r="V7" s="68"/>
      <c r="W7" s="67"/>
      <c r="X7" s="65"/>
      <c r="Y7" s="40"/>
      <c r="Z7" s="40"/>
      <c r="AA7" s="65"/>
      <c r="AB7" s="65"/>
      <c r="AC7" s="65"/>
      <c r="AD7" s="65"/>
      <c r="AE7" s="65"/>
      <c r="AF7" s="65"/>
      <c r="AG7" s="65"/>
      <c r="AH7" s="65"/>
      <c r="AI7" s="65"/>
      <c r="AJ7" s="65"/>
      <c r="AK7" s="65"/>
      <c r="AL7" s="65"/>
      <c r="AM7" s="65"/>
      <c r="AN7" s="65"/>
      <c r="AO7" s="65"/>
      <c r="AP7" s="65"/>
    </row>
    <row r="8" spans="1:42">
      <c r="A8" s="48">
        <v>6</v>
      </c>
      <c r="B8" s="96">
        <f>IF(controls!$B$40=3,IF(controls!$B$48="temporary",$W$3,$AA$3),IF(controls!$B$40=1,'choose m.p.'!$W$3*(1+L8),B7*(1+L8)))</f>
        <v>50</v>
      </c>
      <c r="C8" s="80">
        <f t="shared" si="0"/>
        <v>7.2318684167367531E-2</v>
      </c>
      <c r="D8" s="77">
        <f>IF(E8-'input own m.p.'!$K$12*'choose m.p.'!H7&gt;0,E8-'input own m.p.'!$K$12*'choose m.p.'!H7,0.1)</f>
        <v>63.340859375000001</v>
      </c>
      <c r="E8" s="96">
        <f>IF(controls!$B$40=3,IF(controls!$B$47="temporary",$T$3,$T$5),IF(controls!$B$40=1,'choose m.p.'!$T$3+SUM($E$27:E31)+D7*M8,E7+D7*(M8+F8/100)))</f>
        <v>51.5</v>
      </c>
      <c r="G8" s="75">
        <f>IF(ABS('input own m.p.'!$K$14*G7+(1-'input own m.p.'!$K$14)*('input own m.p.'!$K$16/100)*100+'input own m.p.'!$K$10*(D8-B8)-G7)&lt;0.0000001,G7,'input own m.p.'!$K$14*G7+(1-'input own m.p.'!$K$14)*('input own m.p.'!$K$16/100)*100+'input own m.p.'!$K$10*(D8-B8))</f>
        <v>31.128671875000002</v>
      </c>
      <c r="H8" s="456">
        <f t="shared" si="1"/>
        <v>-29.128671875000002</v>
      </c>
      <c r="I8">
        <v>2</v>
      </c>
      <c r="J8" s="98">
        <f>IF(controls!$B$40=1,(E9-B9)/'input own m.p.'!$K$12,(E9-B9)/'input own m.p.'!$K$12)</f>
        <v>2</v>
      </c>
      <c r="K8" s="117">
        <f>IF(controls!$B$40=1,'choose m.p.'!$W$5+G8,J7+G8)</f>
        <v>33.128671875000002</v>
      </c>
      <c r="L8" s="40"/>
      <c r="M8" s="40"/>
      <c r="N8" s="40">
        <v>-0.08</v>
      </c>
      <c r="P8" s="49">
        <v>-0.02</v>
      </c>
      <c r="Q8" s="49">
        <v>0.03</v>
      </c>
      <c r="S8" s="68" t="s">
        <v>0</v>
      </c>
      <c r="T8" s="67">
        <f>'input own m.p.'!K16</f>
        <v>2</v>
      </c>
      <c r="U8" s="48">
        <v>0.03</v>
      </c>
      <c r="V8" s="68">
        <v>0.03</v>
      </c>
      <c r="W8" s="76">
        <f>'main page'!G8*'choose m.p.'!W3</f>
        <v>0</v>
      </c>
      <c r="X8" s="65"/>
      <c r="Y8" s="40"/>
      <c r="Z8" s="40"/>
      <c r="AA8" s="65"/>
      <c r="AB8" s="65"/>
      <c r="AC8" s="65"/>
      <c r="AD8" s="65"/>
      <c r="AE8" s="65"/>
      <c r="AF8" s="65"/>
      <c r="AG8" s="65"/>
      <c r="AH8" s="65"/>
      <c r="AI8" s="65"/>
      <c r="AJ8" s="65"/>
      <c r="AK8" s="65"/>
      <c r="AL8" s="65"/>
      <c r="AM8" s="65"/>
      <c r="AN8" s="65"/>
      <c r="AO8" s="65"/>
      <c r="AP8" s="65"/>
    </row>
    <row r="9" spans="1:42">
      <c r="A9" s="48">
        <v>7</v>
      </c>
      <c r="B9" s="96">
        <f>IF(controls!$B$40=3,IF(controls!$B$48="temporary",$W$3,$AA$3),IF(controls!$B$40=1,'choose m.p.'!$W$3*(1+L9),B8*(1+L9)))</f>
        <v>50</v>
      </c>
      <c r="C9" s="80">
        <f t="shared" si="0"/>
        <v>0.15796508967478795</v>
      </c>
      <c r="D9" s="77">
        <f>IF(E9-'input own m.p.'!$K$12*'choose m.p.'!H8&gt;0,E9-'input own m.p.'!$K$12*'choose m.p.'!H8,0.1)</f>
        <v>73.346503906250007</v>
      </c>
      <c r="E9" s="96">
        <f>IF(controls!$B$40=3,IF(controls!$B$47="temporary",$T$3,$T$5),IF(controls!$B$40=1,'choose m.p.'!$T$3+SUM($E$27:E32)+D8*M9,E8+D8*(M9+F9/100)))</f>
        <v>51.5</v>
      </c>
      <c r="G9" s="75">
        <f>IF(ABS('input own m.p.'!$K$14*G8+(1-'input own m.p.'!$K$14)*('input own m.p.'!$K$16/100)*100+'input own m.p.'!$K$10*(D9-B9)-G8)&lt;0.0000001,G8,'input own m.p.'!$K$14*G8+(1-'input own m.p.'!$K$14)*('input own m.p.'!$K$16/100)*100+'input own m.p.'!$K$10*(D9-B9))</f>
        <v>54.475175781250009</v>
      </c>
      <c r="H9" s="456">
        <f t="shared" si="1"/>
        <v>-52.475175781250009</v>
      </c>
      <c r="I9">
        <v>2</v>
      </c>
      <c r="J9" s="98">
        <f>IF(controls!$B$40=1,(E10-B10)/'input own m.p.'!$K$12,(E10-B10)/'input own m.p.'!$K$12)</f>
        <v>2</v>
      </c>
      <c r="K9" s="117">
        <f>IF(controls!$B$40=1,'choose m.p.'!$W$5+G9,J8+G9)</f>
        <v>56.475175781250009</v>
      </c>
      <c r="L9" s="40"/>
      <c r="M9" s="40"/>
      <c r="N9" s="40">
        <v>7.0000000000000007E-2</v>
      </c>
      <c r="P9" s="49">
        <v>-0.02</v>
      </c>
      <c r="Q9" s="49">
        <v>0.04</v>
      </c>
      <c r="U9" s="48">
        <v>0.03</v>
      </c>
      <c r="V9" s="48">
        <v>0.06</v>
      </c>
      <c r="X9" s="65"/>
      <c r="Y9" s="40"/>
      <c r="Z9" s="40"/>
      <c r="AA9" s="65"/>
      <c r="AB9" s="65"/>
      <c r="AC9" s="65"/>
      <c r="AD9" s="65"/>
      <c r="AE9" s="65"/>
      <c r="AF9" s="65"/>
      <c r="AG9" s="65"/>
      <c r="AH9" s="65"/>
      <c r="AI9" s="65"/>
      <c r="AJ9" s="65"/>
      <c r="AK9" s="65"/>
      <c r="AL9" s="65"/>
      <c r="AM9" s="65"/>
      <c r="AN9" s="65"/>
      <c r="AO9" s="65"/>
      <c r="AP9" s="65"/>
    </row>
    <row r="10" spans="1:42">
      <c r="A10" s="48">
        <v>8</v>
      </c>
      <c r="B10" s="96">
        <f>IF(controls!$B$40=3,IF(controls!$B$48="temporary",$W$3,$AA$3),IF(controls!$B$40=1,'choose m.p.'!$W$3*(1+L10),B9*(1+L10)))</f>
        <v>50</v>
      </c>
      <c r="C10" s="80">
        <f t="shared" si="0"/>
        <v>0.23872818740029178</v>
      </c>
      <c r="D10" s="77">
        <f>IF(E10-'input own m.p.'!$K$12*'choose m.p.'!H9&gt;0,E10-'input own m.p.'!$K$12*'choose m.p.'!H9,0.1)</f>
        <v>90.856381835937498</v>
      </c>
      <c r="E10" s="96">
        <f>IF(controls!$B$40=3,IF(controls!$B$47="temporary",$T$3,$T$5),IF(controls!$B$40=1,'choose m.p.'!$T$3+SUM($E$27:E33)+D9*M10,E9+D9*(M10+F10/100)))</f>
        <v>51.5</v>
      </c>
      <c r="G10" s="75">
        <f>IF(ABS('input own m.p.'!$K$14*G9+(1-'input own m.p.'!$K$14)*('input own m.p.'!$K$16/100)*100+'input own m.p.'!$K$10*(D10-B10)-G9)&lt;0.0000001,G9,'input own m.p.'!$K$14*G9+(1-'input own m.p.'!$K$14)*('input own m.p.'!$K$16/100)*100+'input own m.p.'!$K$10*(D10-B10))</f>
        <v>95.331557617187514</v>
      </c>
      <c r="H10" s="456">
        <f t="shared" si="1"/>
        <v>-93.331557617187514</v>
      </c>
      <c r="I10">
        <v>2</v>
      </c>
      <c r="J10" s="98">
        <f>IF(controls!$B$40=1,(E11-B11)/'input own m.p.'!$K$12,(E11-B11)/'input own m.p.'!$K$12)</f>
        <v>2</v>
      </c>
      <c r="K10" s="117">
        <f>IF(controls!$B$40=1,'choose m.p.'!$W$5+G10,J9+G10)</f>
        <v>97.331557617187514</v>
      </c>
      <c r="L10" s="40">
        <v>-0.05</v>
      </c>
      <c r="M10" s="40"/>
      <c r="N10" s="40">
        <v>-7.0000000000000007E-2</v>
      </c>
      <c r="P10" s="49">
        <v>-0.02</v>
      </c>
      <c r="Q10" s="49">
        <v>-0.05</v>
      </c>
      <c r="U10" s="48">
        <v>0.03</v>
      </c>
      <c r="V10" s="48">
        <v>0.06</v>
      </c>
      <c r="X10" s="65"/>
      <c r="Y10" s="40"/>
      <c r="Z10" s="40"/>
      <c r="AA10" s="65"/>
      <c r="AB10" s="65"/>
      <c r="AC10" s="65"/>
      <c r="AD10" s="65"/>
      <c r="AE10" s="65"/>
      <c r="AF10" s="65"/>
      <c r="AG10" s="65"/>
      <c r="AH10" s="65"/>
      <c r="AI10" s="65"/>
      <c r="AJ10" s="65"/>
      <c r="AK10" s="65"/>
      <c r="AL10" s="65"/>
      <c r="AM10" s="65"/>
      <c r="AN10" s="65"/>
      <c r="AO10" s="65"/>
      <c r="AP10" s="65"/>
    </row>
    <row r="11" spans="1:42" ht="13.5" customHeight="1">
      <c r="A11" s="48">
        <v>9</v>
      </c>
      <c r="B11" s="96">
        <f>IF(controls!$B$40=3,IF(controls!$B$48="temporary",$W$3,$AA$3),IF(controls!$B$40=1,'choose m.p.'!$W$3*(1+L11),B10*(1+L11)))</f>
        <v>50</v>
      </c>
      <c r="C11" s="80">
        <f t="shared" si="0"/>
        <v>0.33726069383089641</v>
      </c>
      <c r="D11" s="77">
        <f>IF(E11-'input own m.p.'!$K$12*'choose m.p.'!H10&gt;0,E11-'input own m.p.'!$K$12*'choose m.p.'!H10,0.1)</f>
        <v>121.49866821289064</v>
      </c>
      <c r="E11" s="96">
        <f>IF(controls!$B$40=3,IF(controls!$B$47="temporary",$T$3,$T$5),IF(controls!$B$40=1,'choose m.p.'!$T$3+SUM($E$27:E34)+D10*M11,E10+D10*(M11+F11/100)))</f>
        <v>51.5</v>
      </c>
      <c r="G11" s="75">
        <f>IF(ABS('input own m.p.'!$K$14*G10+(1-'input own m.p.'!$K$14)*('input own m.p.'!$K$16/100)*100+'input own m.p.'!$K$10*(D11-B11)-G10)&lt;0.0000001,G10,'input own m.p.'!$K$14*G10+(1-'input own m.p.'!$K$14)*('input own m.p.'!$K$16/100)*100+'input own m.p.'!$K$10*(D11-B11))</f>
        <v>166.83022583007815</v>
      </c>
      <c r="H11" s="456">
        <f t="shared" si="1"/>
        <v>-166.83022583007815</v>
      </c>
      <c r="I11"/>
      <c r="J11" s="98">
        <f>IF(controls!$B$40=1,(E12-B12)/'input own m.p.'!$K$12,(E12-B12)/'input own m.p.'!$K$12)</f>
        <v>2</v>
      </c>
      <c r="K11" s="117">
        <f>IF(controls!$B$40=1,'choose m.p.'!$W$5+G11,J10+G11)</f>
        <v>168.83022583007815</v>
      </c>
      <c r="L11" s="40"/>
      <c r="M11" s="40"/>
      <c r="N11" s="40">
        <v>0.06</v>
      </c>
      <c r="P11" s="49">
        <v>-0.02</v>
      </c>
      <c r="Q11" s="49">
        <v>-0.05</v>
      </c>
      <c r="R11" s="66"/>
      <c r="S11" s="65"/>
      <c r="T11" s="58" t="b">
        <v>0</v>
      </c>
      <c r="U11" s="65">
        <v>0.03</v>
      </c>
      <c r="V11" s="65">
        <v>0.06</v>
      </c>
      <c r="W11" s="65"/>
      <c r="X11" s="65"/>
      <c r="Y11" s="40"/>
      <c r="Z11" s="40"/>
      <c r="AA11" s="65"/>
      <c r="AB11" s="65"/>
      <c r="AC11" s="65"/>
      <c r="AD11" s="65"/>
      <c r="AE11" s="65"/>
      <c r="AF11" s="65"/>
      <c r="AG11" s="65"/>
      <c r="AH11" s="65"/>
      <c r="AI11" s="65"/>
      <c r="AJ11" s="65"/>
      <c r="AK11" s="65"/>
      <c r="AL11" s="65"/>
      <c r="AM11" s="65"/>
      <c r="AN11" s="65"/>
      <c r="AO11" s="65"/>
      <c r="AP11" s="65"/>
    </row>
    <row r="12" spans="1:42">
      <c r="A12" s="48">
        <v>10</v>
      </c>
      <c r="B12" s="96">
        <f>IF(controls!$B$40=3,IF(controls!$B$48="temporary",$W$3,$AA$3),IF(controls!$B$40=1,'choose m.p.'!$W$3*(1+L12),B11*(1+L12)))</f>
        <v>50</v>
      </c>
      <c r="C12" s="80">
        <f t="shared" si="0"/>
        <v>0.45370045590194796</v>
      </c>
      <c r="D12" s="77">
        <f>IF(E12-'input own m.p.'!$K$12*'choose m.p.'!H11&gt;0,E12-'input own m.p.'!$K$12*'choose m.p.'!H11,0.1)</f>
        <v>176.62266937255862</v>
      </c>
      <c r="E12" s="96">
        <f>IF(controls!$B$40=3,IF(controls!$B$47="temporary",$T$3,$T$5),IF(controls!$B$40=1,'choose m.p.'!$T$3+SUM($E$27:E35)+D11*M12,E11+D11*(M12+F12/100)))</f>
        <v>51.5</v>
      </c>
      <c r="G12" s="75">
        <f>IF(ABS('input own m.p.'!$K$14*G11+(1-'input own m.p.'!$K$14)*('input own m.p.'!$K$16/100)*100+'input own m.p.'!$K$10*(D12-B12)-G11)&lt;0.0000001,G11,'input own m.p.'!$K$14*G11+(1-'input own m.p.'!$K$14)*('input own m.p.'!$K$16/100)*100+'input own m.p.'!$K$10*(D12-B12))</f>
        <v>293.4528952026368</v>
      </c>
      <c r="H12" s="456">
        <f t="shared" si="1"/>
        <v>-293.4528952026368</v>
      </c>
      <c r="I12"/>
      <c r="J12" s="98">
        <f>IF(controls!$B$40=1,(E13-B13)/'input own m.p.'!$K$12,(E13-B13)/'input own m.p.'!$K$12)</f>
        <v>2</v>
      </c>
      <c r="K12" s="117">
        <f>IF(controls!$B$40=1,'choose m.p.'!$W$5+G12,J11+G12)</f>
        <v>295.4528952026368</v>
      </c>
      <c r="L12" s="40"/>
      <c r="M12" s="40">
        <v>0.09</v>
      </c>
      <c r="N12" s="40">
        <v>-0.06</v>
      </c>
      <c r="P12" s="49">
        <v>-0.02</v>
      </c>
      <c r="Q12" s="49">
        <v>-0.05</v>
      </c>
      <c r="U12" s="48">
        <v>0.03</v>
      </c>
      <c r="V12" s="48">
        <v>0.09</v>
      </c>
      <c r="Y12" s="40"/>
      <c r="Z12" s="40"/>
    </row>
    <row r="13" spans="1:42">
      <c r="A13" s="48">
        <v>11</v>
      </c>
      <c r="B13" s="96">
        <f>IF(controls!$B$40=3,IF(controls!$B$48="temporary",$W$3,$AA$3),IF(controls!$B$40=1,'choose m.p.'!$W$3*(1+L13),B12*(1+L13)))</f>
        <v>50</v>
      </c>
      <c r="C13" s="80">
        <f t="shared" si="0"/>
        <v>0.53768297335094961</v>
      </c>
      <c r="D13" s="77">
        <f>IF(E13-'input own m.p.'!$K$12*'choose m.p.'!H12&gt;0,E13-'input own m.p.'!$K$12*'choose m.p.'!H12,0.1)</f>
        <v>271.58967140197763</v>
      </c>
      <c r="E13" s="96">
        <f>IF(controls!$B$40=3,IF(controls!$B$47="temporary",$T$3,$T$5),IF(controls!$B$40=1,'choose m.p.'!$T$3+SUM($E$27:E36)+D12*M13,E12+D12*(M13+F13/100)))</f>
        <v>51.5</v>
      </c>
      <c r="G13" s="75">
        <f>IF(ABS('input own m.p.'!$K$14*G12+(1-'input own m.p.'!$K$14)*('input own m.p.'!$K$16/100)*100+'input own m.p.'!$K$10*(D13-B13)-G12)&lt;0.0000001,G12,'input own m.p.'!$K$14*G12+(1-'input own m.p.'!$K$14)*('input own m.p.'!$K$16/100)*100+'input own m.p.'!$K$10*(D13-B13))</f>
        <v>515.04256660461442</v>
      </c>
      <c r="H13" s="456">
        <f t="shared" si="1"/>
        <v>-515.04256660461442</v>
      </c>
      <c r="I13"/>
      <c r="J13" s="98">
        <f>IF(controls!$B$40=1,(E14-B14)/'input own m.p.'!$K$12,(E14-B14)/'input own m.p.'!$K$12)</f>
        <v>2</v>
      </c>
      <c r="K13" s="117">
        <f>IF(controls!$B$40=1,'choose m.p.'!$W$5+G13,J12+G13)</f>
        <v>517.04256660461442</v>
      </c>
      <c r="L13" s="40"/>
      <c r="M13" s="40"/>
      <c r="N13" s="40">
        <v>0.05</v>
      </c>
      <c r="P13" s="49">
        <v>-0.02</v>
      </c>
      <c r="Q13" s="49">
        <v>-0.05</v>
      </c>
      <c r="R13" s="49">
        <v>-0.03</v>
      </c>
      <c r="U13" s="48">
        <v>0.03</v>
      </c>
      <c r="V13" s="48">
        <v>0.09</v>
      </c>
      <c r="W13" s="48">
        <v>-0.06</v>
      </c>
      <c r="Y13" s="40"/>
      <c r="Z13" s="40"/>
    </row>
    <row r="14" spans="1:42">
      <c r="A14" s="48">
        <v>12</v>
      </c>
      <c r="B14" s="96">
        <f>IF(controls!$B$40=3,IF(controls!$B$48="temporary",$W$3,$AA$3),IF(controls!$B$40=1,'choose m.p.'!$W$3*(1+L14),B13*(1+L14)))</f>
        <v>50</v>
      </c>
      <c r="C14" s="80">
        <f t="shared" si="0"/>
        <v>0.61192405695540386</v>
      </c>
      <c r="D14" s="77">
        <f>IF(E14-'input own m.p.'!$K$12*'choose m.p.'!H13&gt;0,E14-'input own m.p.'!$K$12*'choose m.p.'!H13,0.1)</f>
        <v>437.78192495346082</v>
      </c>
      <c r="E14" s="96">
        <f>IF(controls!$B$40=3,IF(controls!$B$47="temporary",$T$3,$T$5),IF(controls!$B$40=1,'choose m.p.'!$T$3+SUM($E$27:E37)+D13*M14,E13+D13*(M14+F14/100)))</f>
        <v>51.5</v>
      </c>
      <c r="G14" s="75">
        <f>IF(ABS('input own m.p.'!$K$14*G13+(1-'input own m.p.'!$K$14)*('input own m.p.'!$K$16/100)*100+'input own m.p.'!$K$10*(D14-B14)-G13)&lt;0.0000001,G13,'input own m.p.'!$K$14*G13+(1-'input own m.p.'!$K$14)*('input own m.p.'!$K$16/100)*100+'input own m.p.'!$K$10*(D14-B14))</f>
        <v>902.82449155807524</v>
      </c>
      <c r="H14" s="456">
        <f t="shared" si="1"/>
        <v>-902.82449155807524</v>
      </c>
      <c r="I14"/>
      <c r="J14" s="98">
        <f>IF(controls!$B$40=1,(E15-B15)/'input own m.p.'!$K$12,(E15-B15)/'input own m.p.'!$K$12)</f>
        <v>2</v>
      </c>
      <c r="K14" s="117">
        <f>IF(controls!$B$40=1,'choose m.p.'!$W$5+G14,J13+G14)</f>
        <v>904.82449155807524</v>
      </c>
      <c r="L14" s="40"/>
      <c r="M14" s="40"/>
      <c r="N14" s="40">
        <v>-0.05</v>
      </c>
      <c r="P14" s="49">
        <v>-0.02</v>
      </c>
      <c r="Q14" s="49">
        <v>-0.05</v>
      </c>
      <c r="R14" s="49">
        <v>-0.03</v>
      </c>
      <c r="U14" s="48">
        <v>0.03</v>
      </c>
      <c r="V14" s="48">
        <v>0.09</v>
      </c>
      <c r="W14" s="48">
        <v>-0.06</v>
      </c>
      <c r="Y14" s="40"/>
      <c r="Z14" s="40"/>
    </row>
    <row r="15" spans="1:42">
      <c r="A15" s="48">
        <v>13</v>
      </c>
      <c r="B15" s="96">
        <f>IF(controls!$B$40=3,IF(controls!$B$48="temporary",$W$3,$AA$3),IF(controls!$B$40=1,'choose m.p.'!$W$3*(1+L15),B14*(1+L15)))</f>
        <v>50</v>
      </c>
      <c r="C15" s="80">
        <f t="shared" si="0"/>
        <v>0.66434091299226994</v>
      </c>
      <c r="D15" s="77">
        <f>IF(E15-'input own m.p.'!$K$12*'choose m.p.'!H14&gt;0,E15-'input own m.p.'!$K$12*'choose m.p.'!H14,0.1)</f>
        <v>728.6183686685564</v>
      </c>
      <c r="E15" s="96">
        <f>IF(controls!$B$40=3,IF(controls!$B$47="temporary",$T$3,$T$5),IF(controls!$B$40=1,'choose m.p.'!$T$3+SUM($E$27:E38)+D14*M15,E14+D14*(M15+F15/100)))</f>
        <v>51.5</v>
      </c>
      <c r="G15" s="75">
        <f>IF(ABS('input own m.p.'!$K$14*G14+(1-'input own m.p.'!$K$14)*('input own m.p.'!$K$16/100)*100+'input own m.p.'!$K$10*(D15-B15)-G14)&lt;0.0000001,G14,'input own m.p.'!$K$14*G14+(1-'input own m.p.'!$K$14)*('input own m.p.'!$K$16/100)*100+'input own m.p.'!$K$10*(D15-B15))</f>
        <v>1581.4428602266316</v>
      </c>
      <c r="H15" s="456">
        <f t="shared" si="1"/>
        <v>-1581.4428602266316</v>
      </c>
      <c r="I15"/>
      <c r="J15" s="98">
        <f>IF(controls!$B$40=1,(E16-B16)/'input own m.p.'!$K$12,(E16-B16)/'input own m.p.'!$K$12)</f>
        <v>2</v>
      </c>
      <c r="K15" s="117">
        <f>IF(controls!$B$40=1,'choose m.p.'!$W$5+G15,J14+G15)</f>
        <v>1583.4428602266316</v>
      </c>
      <c r="L15" s="40">
        <v>-0.03</v>
      </c>
      <c r="M15" s="40">
        <v>-7.0000000000000007E-2</v>
      </c>
      <c r="N15" s="40">
        <v>0.04</v>
      </c>
      <c r="P15" s="49">
        <v>-0.02</v>
      </c>
      <c r="Q15" s="49">
        <v>-0.05</v>
      </c>
      <c r="R15" s="49">
        <v>-0.03</v>
      </c>
      <c r="U15" s="48">
        <v>0.03</v>
      </c>
      <c r="V15" s="48">
        <v>0.09</v>
      </c>
      <c r="W15" s="48">
        <v>-7.0000000000000007E-2</v>
      </c>
      <c r="Y15" s="40"/>
      <c r="Z15" s="40"/>
    </row>
    <row r="16" spans="1:42">
      <c r="A16" s="48">
        <v>14</v>
      </c>
      <c r="B16" s="96">
        <f>IF(controls!$B$40=3,IF(controls!$B$48="temporary",$W$3,$AA$3),IF(controls!$B$40=1,'choose m.p.'!$W$3*(1+L16),B15*(1+L16)))</f>
        <v>50</v>
      </c>
      <c r="C16" s="80">
        <f t="shared" si="0"/>
        <v>0.69853272767673191</v>
      </c>
      <c r="D16" s="77">
        <f>IF(E16-'input own m.p.'!$K$12*'choose m.p.'!H15&gt;0,E16-'input own m.p.'!$K$12*'choose m.p.'!H15,0.1)</f>
        <v>1237.5821451699737</v>
      </c>
      <c r="E16" s="96">
        <f>IF(controls!$B$40=3,IF(controls!$B$47="temporary",$T$3,$T$5),IF(controls!$B$40=1,'choose m.p.'!$T$3+SUM($E$27:E39)+D15*M16,E15+D15*(M16+F16/100)))</f>
        <v>51.5</v>
      </c>
      <c r="G16" s="75">
        <f>IF(ABS('input own m.p.'!$K$14*G15+(1-'input own m.p.'!$K$14)*('input own m.p.'!$K$16/100)*100+'input own m.p.'!$K$10*(D16-B16)-G15)&lt;0.0000001,G15,'input own m.p.'!$K$14*G15+(1-'input own m.p.'!$K$14)*('input own m.p.'!$K$16/100)*100+'input own m.p.'!$K$10*(D16-B16))</f>
        <v>2769.0250053966056</v>
      </c>
      <c r="H16" s="456">
        <f t="shared" si="1"/>
        <v>-2769.0250053966056</v>
      </c>
      <c r="I16"/>
      <c r="J16" s="98">
        <f>IF(controls!$B$40=1,(E17-B17)/'input own m.p.'!$K$12,(E17-B17)/'input own m.p.'!$K$12)</f>
        <v>2</v>
      </c>
      <c r="K16" s="117">
        <f>IF(controls!$B$40=1,'choose m.p.'!$W$5+G16,J15+G16)</f>
        <v>2771.0250053966056</v>
      </c>
      <c r="L16" s="40"/>
      <c r="M16" s="40"/>
      <c r="N16" s="40">
        <v>-0.04</v>
      </c>
      <c r="P16" s="49">
        <v>-0.02</v>
      </c>
      <c r="Q16" s="49">
        <v>-0.05</v>
      </c>
      <c r="R16" s="49">
        <v>-0.03</v>
      </c>
      <c r="U16" s="48">
        <v>0.03</v>
      </c>
      <c r="V16" s="48">
        <v>0.09</v>
      </c>
      <c r="W16" s="48">
        <v>-7.0000000000000007E-2</v>
      </c>
      <c r="Y16" s="40"/>
      <c r="Z16" s="40"/>
    </row>
    <row r="17" spans="1:26">
      <c r="A17" s="48">
        <v>15</v>
      </c>
      <c r="B17" s="96">
        <f>IF(controls!$B$40=3,IF(controls!$B$48="temporary",$W$3,$AA$3),IF(controls!$B$40=1,'choose m.p.'!$W$3*(1+L17),B16*(1+L17)))</f>
        <v>50</v>
      </c>
      <c r="C17" s="80">
        <f t="shared" si="0"/>
        <v>0.71969898107664676</v>
      </c>
      <c r="D17" s="77">
        <f>IF(E17-'input own m.p.'!$K$12*'choose m.p.'!H16&gt;0,E17-'input own m.p.'!$K$12*'choose m.p.'!H16,0.1)</f>
        <v>2128.2687540474544</v>
      </c>
      <c r="E17" s="96">
        <f>IF(controls!$B$40=3,IF(controls!$B$47="temporary",$T$3,$T$5),IF(controls!$B$40=1,'choose m.p.'!$T$3+SUM($E$27:E40)+D16*M17,E16+D16*(M17+F17/100)))</f>
        <v>51.5</v>
      </c>
      <c r="G17" s="75">
        <f>IF(ABS('input own m.p.'!$K$14*G16+(1-'input own m.p.'!$K$14)*('input own m.p.'!$K$16/100)*100+'input own m.p.'!$K$10*(D17-B17)-G16)&lt;0.0000001,G16,'input own m.p.'!$K$14*G16+(1-'input own m.p.'!$K$14)*('input own m.p.'!$K$16/100)*100+'input own m.p.'!$K$10*(D17-B17))</f>
        <v>4847.29375944406</v>
      </c>
      <c r="H17" s="456">
        <f t="shared" si="1"/>
        <v>-4847.29375944406</v>
      </c>
      <c r="I17"/>
      <c r="J17" s="98">
        <f>IF(controls!$B$40=1,(E18-B18)/'input own m.p.'!$K$12,(E18-B18)/'input own m.p.'!$K$12)</f>
        <v>2</v>
      </c>
      <c r="K17" s="117">
        <f>IF(controls!$B$40=1,'choose m.p.'!$W$5+G17,J16+G17)</f>
        <v>4849.29375944406</v>
      </c>
      <c r="L17" s="40"/>
      <c r="M17" s="40"/>
      <c r="N17" s="40">
        <v>0.03</v>
      </c>
      <c r="P17" s="49">
        <v>-0.02</v>
      </c>
      <c r="Q17" s="49">
        <v>-0.05</v>
      </c>
      <c r="R17" s="49">
        <v>-0.03</v>
      </c>
      <c r="U17" s="48">
        <v>0.03</v>
      </c>
      <c r="V17" s="48">
        <v>0.09</v>
      </c>
      <c r="W17" s="48">
        <v>-7.0000000000000007E-2</v>
      </c>
      <c r="Y17" s="40"/>
      <c r="Z17" s="40"/>
    </row>
    <row r="18" spans="1:26">
      <c r="A18" s="48">
        <v>16</v>
      </c>
      <c r="B18" s="96">
        <f>IF(controls!$B$40=3,IF(controls!$B$48="temporary",$W$3,$AA$3),IF(controls!$B$40=1,'choose m.p.'!$W$3*(1+L18),B17*(1+L18)))</f>
        <v>50</v>
      </c>
      <c r="C18" s="80">
        <f t="shared" si="0"/>
        <v>0.7323800448469282</v>
      </c>
      <c r="D18" s="77">
        <f>IF(E18-'input own m.p.'!$K$12*'choose m.p.'!H17&gt;0,E18-'input own m.p.'!$K$12*'choose m.p.'!H17,0.1)</f>
        <v>3686.9703195830452</v>
      </c>
      <c r="E18" s="96">
        <f>IF(controls!$B$40=3,IF(controls!$B$47="temporary",$T$3,$T$5),IF(controls!$B$40=1,'choose m.p.'!$T$3+SUM($E$27:E41)+D17*M18,E17+D17*(M18+F18/100)))</f>
        <v>51.5</v>
      </c>
      <c r="G18" s="75">
        <f>IF(ABS('input own m.p.'!$K$14*G17+(1-'input own m.p.'!$K$14)*('input own m.p.'!$K$16/100)*100+'input own m.p.'!$K$10*(D18-B18)-G17)&lt;0.0000001,G17,'input own m.p.'!$K$14*G17+(1-'input own m.p.'!$K$14)*('input own m.p.'!$K$16/100)*100+'input own m.p.'!$K$10*(D18-B18))</f>
        <v>8484.2640790271053</v>
      </c>
      <c r="H18" s="456">
        <f t="shared" si="1"/>
        <v>-8484.2640790271053</v>
      </c>
      <c r="I18"/>
      <c r="J18" s="98">
        <f>IF(controls!$B$40=1,(E19-B19)/'input own m.p.'!$K$12,(E19-B19)/'input own m.p.'!$K$12)</f>
        <v>2</v>
      </c>
      <c r="K18" s="117">
        <f>IF(controls!$B$40=1,'choose m.p.'!$W$5+G18,J17+G18)</f>
        <v>8486.2640790271053</v>
      </c>
      <c r="L18" s="40"/>
      <c r="M18" s="40"/>
      <c r="N18" s="40">
        <v>-0.03</v>
      </c>
      <c r="P18" s="49">
        <v>-0.02</v>
      </c>
      <c r="Q18" s="49">
        <v>-0.05</v>
      </c>
      <c r="R18" s="49">
        <v>-0.03</v>
      </c>
      <c r="S18" s="48">
        <v>0.03</v>
      </c>
      <c r="U18" s="48">
        <v>0.03</v>
      </c>
      <c r="V18" s="48">
        <v>0.09</v>
      </c>
      <c r="W18" s="48">
        <v>-7.0000000000000007E-2</v>
      </c>
      <c r="X18" s="48">
        <v>-0.01</v>
      </c>
      <c r="Y18" s="40"/>
      <c r="Z18" s="40"/>
    </row>
    <row r="19" spans="1:26">
      <c r="A19" s="48">
        <v>17</v>
      </c>
      <c r="B19" s="96">
        <f>IF(controls!$B$40=3,IF(controls!$B$48="temporary",$W$3,$AA$3),IF(controls!$B$40=1,'choose m.p.'!$W$3*(1+L19),B18*(1+L19)))</f>
        <v>50</v>
      </c>
      <c r="C19" s="80">
        <f t="shared" si="0"/>
        <v>0.73982904749712208</v>
      </c>
      <c r="D19" s="77">
        <f>IF(E19-'input own m.p.'!$K$12*'choose m.p.'!H18&gt;0,E19-'input own m.p.'!$K$12*'choose m.p.'!H18,0.1)</f>
        <v>6414.6980592703294</v>
      </c>
      <c r="E19" s="96">
        <f>IF(controls!$B$40=3,IF(controls!$B$47="temporary",$T$3,$T$5),IF(controls!$B$40=1,'choose m.p.'!$T$3+SUM($E$27:E42)+D18*M19,E18+D18*(M19+F19/100)))</f>
        <v>51.5</v>
      </c>
      <c r="G19" s="75">
        <f>IF(ABS('input own m.p.'!$K$14*G18+(1-'input own m.p.'!$K$14)*('input own m.p.'!$K$16/100)*100+'input own m.p.'!$K$10*(D19-B19)-G18)&lt;0.0000001,G18,'input own m.p.'!$K$14*G18+(1-'input own m.p.'!$K$14)*('input own m.p.'!$K$16/100)*100+'input own m.p.'!$K$10*(D19-B19))</f>
        <v>14848.962138297435</v>
      </c>
      <c r="H19" s="456">
        <f t="shared" si="1"/>
        <v>-14848.962138297435</v>
      </c>
      <c r="I19"/>
      <c r="J19" s="98">
        <f>IF(controls!$B$40=1,(E20-B20)/'input own m.p.'!$K$12,(E20-B20)/'input own m.p.'!$K$12)</f>
        <v>2</v>
      </c>
      <c r="K19" s="117">
        <f>IF(controls!$B$40=1,'choose m.p.'!$W$5+G19,J18+G19)</f>
        <v>14850.962138297435</v>
      </c>
      <c r="L19" s="40"/>
      <c r="M19" s="40"/>
      <c r="N19" s="40">
        <v>0.02</v>
      </c>
      <c r="P19" s="49">
        <v>-0.02</v>
      </c>
      <c r="Q19" s="49">
        <v>-0.05</v>
      </c>
      <c r="R19" s="49">
        <v>-0.03</v>
      </c>
      <c r="S19" s="48">
        <v>0.03</v>
      </c>
      <c r="U19" s="48">
        <v>0.03</v>
      </c>
      <c r="V19" s="48">
        <v>0.09</v>
      </c>
      <c r="W19" s="48">
        <v>-7.0000000000000007E-2</v>
      </c>
      <c r="X19" s="48">
        <v>-0.08</v>
      </c>
      <c r="Y19" s="40"/>
      <c r="Z19" s="40"/>
    </row>
    <row r="20" spans="1:26">
      <c r="A20" s="48">
        <v>18</v>
      </c>
      <c r="B20" s="96">
        <f>IF(controls!$B$40=3,IF(controls!$B$48="temporary",$W$3,$AA$3),IF(controls!$B$40=1,'choose m.p.'!$W$3*(1+L20),B19*(1+L20)))</f>
        <v>50</v>
      </c>
      <c r="C20" s="80">
        <f t="shared" si="0"/>
        <v>0.74415405064221107</v>
      </c>
      <c r="D20" s="77">
        <f>IF(E20-'input own m.p.'!$K$12*'choose m.p.'!H19&gt;0,E20-'input own m.p.'!$K$12*'choose m.p.'!H19,0.1)</f>
        <v>11188.221603723076</v>
      </c>
      <c r="E20" s="96">
        <f>IF(controls!$B$40=3,IF(controls!$B$47="temporary",$T$3,$T$5),IF(controls!$B$40=1,'choose m.p.'!$T$3+SUM($E$27:E43)+D19*M20,E19+D19*(M20+F20/100)))</f>
        <v>51.5</v>
      </c>
      <c r="G20" s="75">
        <f>IF(ABS('input own m.p.'!$K$14*G19+(1-'input own m.p.'!$K$14)*('input own m.p.'!$K$16/100)*100+'input own m.p.'!$K$10*(D20-B20)-G19)&lt;0.0000001,G19,'input own m.p.'!$K$14*G19+(1-'input own m.p.'!$K$14)*('input own m.p.'!$K$16/100)*100+'input own m.p.'!$K$10*(D20-B20))</f>
        <v>25987.183742020512</v>
      </c>
      <c r="H20" s="456">
        <f t="shared" si="1"/>
        <v>-25987.183742020512</v>
      </c>
      <c r="I20"/>
      <c r="J20" s="98">
        <f>IF(controls!$B$40=1,(E21-B21)/'input own m.p.'!$K$12,(E21-B21)/'input own m.p.'!$K$12)</f>
        <v>2</v>
      </c>
      <c r="K20" s="117">
        <f>IF(controls!$B$40=1,'choose m.p.'!$W$5+G20,J19+G20)</f>
        <v>25989.183742020512</v>
      </c>
      <c r="L20" s="40"/>
      <c r="M20" s="40">
        <v>-0.02</v>
      </c>
      <c r="N20" s="40">
        <v>-0.02</v>
      </c>
      <c r="P20" s="49">
        <v>-0.02</v>
      </c>
      <c r="Q20" s="49">
        <v>-0.05</v>
      </c>
      <c r="R20" s="49">
        <v>-0.03</v>
      </c>
      <c r="S20" s="48">
        <v>0.03</v>
      </c>
      <c r="U20" s="48">
        <v>0.03</v>
      </c>
      <c r="V20" s="48">
        <v>0.09</v>
      </c>
      <c r="W20" s="48">
        <v>-7.0000000000000007E-2</v>
      </c>
      <c r="X20" s="48">
        <v>-0.02</v>
      </c>
      <c r="Y20" s="40"/>
      <c r="Z20" s="40"/>
    </row>
    <row r="21" spans="1:26">
      <c r="A21" s="48">
        <v>19</v>
      </c>
      <c r="B21" s="96">
        <f>IF(controls!$B$40=3,IF(controls!$B$48="temporary",$W$3,$AA$3),IF(controls!$B$40=1,'choose m.p.'!$W$3*(1+L21),B20*(1+L21)))</f>
        <v>50</v>
      </c>
      <c r="C21" s="106">
        <f t="shared" si="0"/>
        <v>0.7466482608828986</v>
      </c>
      <c r="D21" s="77">
        <f>IF(E21-'input own m.p.'!$K$12*'choose m.p.'!H20&gt;0,E21-'input own m.p.'!$K$12*'choose m.p.'!H20,0.1)</f>
        <v>19541.887806515384</v>
      </c>
      <c r="E21" s="96">
        <f>IF(controls!$B$40=3,IF(controls!$B$47="temporary",$T$3,$T$5),IF(controls!$B$40=1,'choose m.p.'!$T$3+SUM($E$27:E44)+D20*M21,E20+D20*(M21+F21/100)))</f>
        <v>51.5</v>
      </c>
      <c r="F21" s="107"/>
      <c r="G21" s="75">
        <f>IF(ABS('input own m.p.'!$K$14*G20+(1-'input own m.p.'!$K$14)*('input own m.p.'!$K$16/100)*100+'input own m.p.'!$K$10*(D21-B21)-G20)&lt;0.0000001,G20,'input own m.p.'!$K$14*G20+(1-'input own m.p.'!$K$14)*('input own m.p.'!$K$16/100)*100+'input own m.p.'!$K$10*(D21-B21))</f>
        <v>45479.071548535896</v>
      </c>
      <c r="H21" s="456">
        <f t="shared" si="1"/>
        <v>-45479.071548535896</v>
      </c>
      <c r="I21" s="458"/>
      <c r="J21" s="98">
        <f>IF(controls!$B$40=1,(E22-B22)/'input own m.p.'!$K$12,(E22-B22)/'input own m.p.'!$K$12)</f>
        <v>2</v>
      </c>
      <c r="K21" s="117">
        <f>IF(controls!$B$40=1,'choose m.p.'!$W$5+G21,J20+G21)</f>
        <v>45481.071548535896</v>
      </c>
      <c r="L21" s="40">
        <v>-0.08</v>
      </c>
      <c r="M21" s="40"/>
      <c r="N21" s="40">
        <v>0.01</v>
      </c>
      <c r="P21" s="49">
        <v>-0.02</v>
      </c>
      <c r="Q21" s="49">
        <v>-0.05</v>
      </c>
      <c r="R21" s="49">
        <v>-0.03</v>
      </c>
      <c r="S21" s="48">
        <v>-0.08</v>
      </c>
      <c r="U21" s="48">
        <v>0.03</v>
      </c>
      <c r="V21" s="48">
        <v>0.09</v>
      </c>
      <c r="W21" s="48">
        <v>-7.0000000000000007E-2</v>
      </c>
      <c r="X21" s="48">
        <v>-0.02</v>
      </c>
      <c r="Y21" s="40"/>
      <c r="Z21" s="40"/>
    </row>
    <row r="22" spans="1:26" s="76" customFormat="1">
      <c r="A22" s="76">
        <v>20</v>
      </c>
      <c r="B22" s="96">
        <f>IF(controls!$B$40=3,IF(controls!$B$48="temporary",$W$3,$AA$3),IF(controls!$B$40=1,'choose m.p.'!$W$3*(1+L22),B21*(1+L22)))</f>
        <v>50</v>
      </c>
      <c r="C22" s="80">
        <f t="shared" si="0"/>
        <v>0.748081045169674</v>
      </c>
      <c r="D22" s="77">
        <f>IF(E22-'input own m.p.'!$K$12*'choose m.p.'!H21&gt;0,E22-'input own m.p.'!$K$12*'choose m.p.'!H21,0.1)</f>
        <v>34160.803661401922</v>
      </c>
      <c r="E22" s="96">
        <f>IF(controls!$B$40=3,IF(controls!$B$47="temporary",$T$3,$T$5),IF(controls!$B$40=1,'choose m.p.'!$T$3+SUM($E$27:E45)+D21*M22,E21+D21*(M22+F22/100)))</f>
        <v>51.5</v>
      </c>
      <c r="F22" s="96"/>
      <c r="G22" s="75">
        <f>IF(ABS('input own m.p.'!$K$14*G21+(1-'input own m.p.'!$K$14)*('input own m.p.'!$K$16/100)*100+'input own m.p.'!$K$10*(D22-B22)-G21)&lt;0.0000001,G21,'input own m.p.'!$K$14*G21+(1-'input own m.p.'!$K$14)*('input own m.p.'!$K$16/100)*100+'input own m.p.'!$K$10*(D22-B22))</f>
        <v>79589.875209937818</v>
      </c>
      <c r="H22" s="456">
        <f t="shared" si="1"/>
        <v>-79589.875209937818</v>
      </c>
      <c r="I22" s="458"/>
      <c r="J22" s="98">
        <f>IF(controls!$B$40=1,(E23-B23)/'input own m.p.'!$K$12,(E23-B23)/'input own m.p.'!$K$12)</f>
        <v>2</v>
      </c>
      <c r="K22" s="117">
        <f>IF(controls!$B$40=1,'choose m.p.'!$W$5+G22,J21+G22)</f>
        <v>79591.875209937818</v>
      </c>
      <c r="L22" s="80"/>
      <c r="M22" s="80"/>
      <c r="N22" s="40">
        <v>-0.01</v>
      </c>
      <c r="O22" s="49"/>
      <c r="P22" s="70">
        <v>-0.02</v>
      </c>
      <c r="Q22" s="70">
        <v>-0.05</v>
      </c>
      <c r="R22" s="70">
        <v>-0.03</v>
      </c>
      <c r="S22" s="76">
        <v>-0.08</v>
      </c>
      <c r="U22" s="76">
        <v>0.03</v>
      </c>
      <c r="V22" s="76">
        <v>0.09</v>
      </c>
      <c r="W22" s="76">
        <v>-7.0000000000000007E-2</v>
      </c>
      <c r="X22" s="76">
        <v>-0.02</v>
      </c>
      <c r="Y22" s="80"/>
      <c r="Z22" s="80"/>
    </row>
    <row r="23" spans="1:26" s="108" customFormat="1">
      <c r="A23" s="112"/>
      <c r="B23" s="96">
        <f>IF(controls!$B$40=3,IF(controls!$B$48="temporary",$W$3,$AA$3),IF(controls!$B$40=1,'choose m.p.'!$W$3*(1+L23),B22*(1+L23)))</f>
        <v>50</v>
      </c>
      <c r="C23" s="80">
        <f t="shared" si="0"/>
        <v>0.74890225065043281</v>
      </c>
      <c r="D23" s="77">
        <f>IF(E23-'input own m.p.'!$K$12*'choose m.p.'!H22&gt;0,E23-'input own m.p.'!$K$12*'choose m.p.'!H22,0.1)</f>
        <v>59743.906407453367</v>
      </c>
      <c r="E23" s="96">
        <f>IF(controls!$B$40=3,IF(controls!$B$47="temporary",$T$3,$T$5),IF(controls!$B$40=1,'choose m.p.'!$T$3+SUM($E$27:E46)+D22*M23,E22+D22*(M23+F23/100)))</f>
        <v>51.5</v>
      </c>
      <c r="F23" s="96">
        <v>0</v>
      </c>
      <c r="G23" s="75">
        <f>IF(ABS('input own m.p.'!$K$14*G22+(1-'input own m.p.'!$K$14)*('input own m.p.'!$K$16/100)*100+'input own m.p.'!$K$10*(D23-B23)-G22)&lt;0.0000001,G22,'input own m.p.'!$K$14*G22+(1-'input own m.p.'!$K$14)*('input own m.p.'!$K$16/100)*100+'input own m.p.'!$K$10*(D23-B23))</f>
        <v>139283.78161739119</v>
      </c>
      <c r="H23" s="456">
        <f t="shared" si="1"/>
        <v>-139283.78161739119</v>
      </c>
      <c r="I23" s="459"/>
      <c r="J23" s="98">
        <f>IF(controls!$B$40=1,(E24-B24)/'main page'!$K$27,(E24-B24)/'main page'!$K$27)</f>
        <v>0</v>
      </c>
      <c r="K23" s="89"/>
      <c r="L23" s="80"/>
      <c r="M23" s="80"/>
      <c r="N23" s="40">
        <v>0.05</v>
      </c>
      <c r="O23" s="70">
        <f>IF(controls!$B$33=1,D23-(#REF!-'main page'!$K$27*2)*(1+('main page'!$K$35/100))^A22,D23-$W$4)</f>
        <v>59693.906407453367</v>
      </c>
      <c r="P23" s="70">
        <f>ABS(G23-(controls!$B$9/100)*100)</f>
        <v>139281.78161739119</v>
      </c>
      <c r="Q23" s="111"/>
      <c r="R23" s="111"/>
      <c r="Y23" s="110"/>
      <c r="Z23" s="110"/>
    </row>
    <row r="24" spans="1:26" s="108" customFormat="1">
      <c r="B24" s="97"/>
      <c r="C24" s="110"/>
      <c r="D24" s="109"/>
      <c r="E24" s="97"/>
      <c r="F24" s="97"/>
      <c r="G24" s="109"/>
      <c r="H24" s="109"/>
      <c r="I24" s="98"/>
      <c r="J24" s="98"/>
      <c r="K24" s="83"/>
      <c r="L24" s="110"/>
      <c r="M24" s="110"/>
      <c r="N24" s="40">
        <v>-0.05</v>
      </c>
      <c r="O24" s="111"/>
      <c r="P24" s="111"/>
      <c r="Q24" s="111"/>
      <c r="R24" s="111"/>
      <c r="Y24" s="110"/>
      <c r="Z24" s="110"/>
    </row>
    <row r="25" spans="1:26" s="108" customFormat="1">
      <c r="B25" s="97"/>
      <c r="C25" s="110"/>
      <c r="D25" s="109"/>
      <c r="E25" s="97"/>
      <c r="F25" s="97">
        <f>COUNTIF(F7:F23,F26)</f>
        <v>0</v>
      </c>
      <c r="G25" s="109"/>
      <c r="H25" s="109"/>
      <c r="I25" s="98"/>
      <c r="J25" s="98"/>
      <c r="K25" s="83"/>
      <c r="L25" s="110"/>
      <c r="M25" s="110"/>
      <c r="N25" s="40">
        <v>0.04</v>
      </c>
      <c r="O25" s="111"/>
      <c r="P25" s="111"/>
      <c r="Q25" s="111"/>
      <c r="R25" s="111"/>
      <c r="Y25" s="110"/>
      <c r="Z25" s="110"/>
    </row>
    <row r="26" spans="1:26" s="108" customFormat="1">
      <c r="A26" s="48"/>
      <c r="B26" s="97"/>
      <c r="C26" s="110"/>
      <c r="D26" s="109"/>
      <c r="E26" s="97"/>
      <c r="F26" s="97" t="s">
        <v>208</v>
      </c>
      <c r="G26" s="109"/>
      <c r="H26" s="109"/>
      <c r="I26" s="98"/>
      <c r="J26" s="98"/>
      <c r="K26" s="83"/>
      <c r="L26" s="40"/>
      <c r="M26" s="40"/>
      <c r="N26" s="40">
        <v>-0.04</v>
      </c>
      <c r="O26" s="111"/>
      <c r="P26" s="111"/>
      <c r="Q26" s="111"/>
      <c r="R26" s="111"/>
      <c r="Y26" s="110"/>
      <c r="Z26" s="110"/>
    </row>
    <row r="27" spans="1:26" s="108" customFormat="1">
      <c r="A27" s="48"/>
      <c r="B27" s="97"/>
      <c r="C27" s="110"/>
      <c r="D27" s="109"/>
      <c r="E27" s="97">
        <f>D3*F4/100</f>
        <v>0</v>
      </c>
      <c r="F27" s="97"/>
      <c r="G27" s="109"/>
      <c r="H27" s="109"/>
      <c r="I27" s="98"/>
      <c r="J27" s="98"/>
      <c r="K27" s="83"/>
      <c r="L27" s="40"/>
      <c r="M27" s="40"/>
      <c r="N27" s="40">
        <v>0.03</v>
      </c>
      <c r="O27" s="111"/>
      <c r="P27" s="111"/>
      <c r="Q27" s="111"/>
      <c r="R27" s="111"/>
      <c r="Y27" s="110"/>
      <c r="Z27" s="110"/>
    </row>
    <row r="28" spans="1:26" s="108" customFormat="1">
      <c r="A28" s="48"/>
      <c r="B28" s="97"/>
      <c r="C28" s="110"/>
      <c r="D28" s="109"/>
      <c r="E28" s="97">
        <f t="shared" ref="E28:E45" si="2">D4*F5/100</f>
        <v>0</v>
      </c>
      <c r="F28" s="97"/>
      <c r="G28" s="109"/>
      <c r="H28" s="109"/>
      <c r="I28" s="98"/>
      <c r="J28" s="98"/>
      <c r="K28" s="83"/>
      <c r="L28" s="40"/>
      <c r="M28" s="40"/>
      <c r="N28" s="40">
        <v>-0.03</v>
      </c>
      <c r="O28" s="111"/>
      <c r="P28" s="111"/>
      <c r="Q28" s="111"/>
      <c r="R28" s="111"/>
      <c r="Y28" s="110"/>
      <c r="Z28" s="110"/>
    </row>
    <row r="29" spans="1:26" s="108" customFormat="1">
      <c r="A29" s="48"/>
      <c r="B29" s="97"/>
      <c r="C29" s="110"/>
      <c r="D29" s="109"/>
      <c r="E29" s="97">
        <f t="shared" si="2"/>
        <v>0</v>
      </c>
      <c r="F29" s="97"/>
      <c r="G29" s="109"/>
      <c r="H29" s="109"/>
      <c r="J29" s="98"/>
      <c r="K29" s="83"/>
      <c r="L29" s="40"/>
      <c r="M29" s="40"/>
      <c r="N29" s="40">
        <v>0.02</v>
      </c>
      <c r="O29" s="111"/>
      <c r="P29" s="111"/>
      <c r="Q29" s="111"/>
      <c r="R29" s="111"/>
      <c r="Y29" s="110"/>
      <c r="Z29" s="110"/>
    </row>
    <row r="30" spans="1:26" s="108" customFormat="1">
      <c r="A30" s="48"/>
      <c r="B30" s="97"/>
      <c r="C30" s="110"/>
      <c r="D30" s="109"/>
      <c r="E30" s="97">
        <f t="shared" si="2"/>
        <v>0</v>
      </c>
      <c r="F30" s="97"/>
      <c r="G30" s="109"/>
      <c r="H30" s="109"/>
      <c r="J30" s="98"/>
      <c r="K30" s="83"/>
      <c r="L30" s="40"/>
      <c r="M30" s="40"/>
      <c r="N30" s="40">
        <v>-0.02</v>
      </c>
      <c r="O30" s="111"/>
      <c r="P30" s="111"/>
      <c r="Q30" s="111"/>
      <c r="R30" s="111"/>
      <c r="Y30" s="110"/>
      <c r="Z30" s="110"/>
    </row>
    <row r="31" spans="1:26" s="108" customFormat="1">
      <c r="A31" s="48"/>
      <c r="B31" s="97"/>
      <c r="C31" s="110"/>
      <c r="D31" s="109"/>
      <c r="E31" s="97">
        <f t="shared" si="2"/>
        <v>0</v>
      </c>
      <c r="F31" s="97"/>
      <c r="G31" s="109"/>
      <c r="H31" s="109"/>
      <c r="J31" s="98"/>
      <c r="K31" s="83"/>
      <c r="L31" s="40"/>
      <c r="M31" s="40"/>
      <c r="N31" s="40">
        <v>0.01</v>
      </c>
      <c r="O31" s="111"/>
      <c r="P31" s="111"/>
      <c r="Q31" s="111"/>
      <c r="R31" s="111"/>
      <c r="Y31" s="110"/>
      <c r="Z31" s="110"/>
    </row>
    <row r="32" spans="1:26" s="108" customFormat="1">
      <c r="A32" s="48"/>
      <c r="B32" s="97"/>
      <c r="C32" s="110"/>
      <c r="D32" s="109"/>
      <c r="E32" s="97">
        <f t="shared" si="2"/>
        <v>0</v>
      </c>
      <c r="F32" s="97"/>
      <c r="G32" s="109"/>
      <c r="H32" s="109"/>
      <c r="J32" s="98"/>
      <c r="K32" s="83"/>
      <c r="L32" s="40"/>
      <c r="M32" s="40"/>
      <c r="N32" s="40">
        <v>-0.01</v>
      </c>
      <c r="O32" s="111"/>
      <c r="P32" s="111"/>
      <c r="Q32" s="111"/>
      <c r="R32" s="111"/>
      <c r="Y32" s="110"/>
      <c r="Z32" s="110"/>
    </row>
    <row r="33" spans="1:26" s="108" customFormat="1">
      <c r="A33" s="48"/>
      <c r="B33" s="97"/>
      <c r="C33" s="110"/>
      <c r="D33" s="109"/>
      <c r="E33" s="97">
        <f t="shared" si="2"/>
        <v>0</v>
      </c>
      <c r="F33" s="97"/>
      <c r="G33" s="109"/>
      <c r="H33" s="109"/>
      <c r="J33" s="98"/>
      <c r="K33" s="83"/>
      <c r="L33" s="40"/>
      <c r="M33" s="40"/>
      <c r="N33" s="40"/>
      <c r="O33" s="111"/>
      <c r="P33" s="111"/>
      <c r="Q33" s="111"/>
      <c r="R33" s="111"/>
      <c r="Y33" s="110"/>
      <c r="Z33" s="110"/>
    </row>
    <row r="34" spans="1:26" s="108" customFormat="1">
      <c r="A34" s="48"/>
      <c r="B34" s="97"/>
      <c r="C34" s="110"/>
      <c r="D34" s="109"/>
      <c r="E34" s="97">
        <f t="shared" si="2"/>
        <v>0</v>
      </c>
      <c r="F34" s="97"/>
      <c r="G34" s="109"/>
      <c r="H34" s="109"/>
      <c r="J34" s="98"/>
      <c r="K34" s="83"/>
      <c r="L34" s="40"/>
      <c r="M34" s="40"/>
      <c r="N34" s="40"/>
      <c r="O34" s="111"/>
      <c r="P34" s="111"/>
      <c r="Q34" s="111"/>
      <c r="R34" s="111"/>
      <c r="Y34" s="110"/>
      <c r="Z34" s="110"/>
    </row>
    <row r="35" spans="1:26" s="108" customFormat="1">
      <c r="A35" s="48"/>
      <c r="B35" s="97"/>
      <c r="C35" s="110"/>
      <c r="D35" s="109"/>
      <c r="E35" s="97">
        <f t="shared" si="2"/>
        <v>0</v>
      </c>
      <c r="F35" s="97"/>
      <c r="G35" s="109"/>
      <c r="H35" s="109"/>
      <c r="J35" s="98"/>
      <c r="K35" s="83"/>
      <c r="L35" s="40"/>
      <c r="M35" s="40"/>
      <c r="N35" s="40"/>
      <c r="O35" s="111"/>
      <c r="P35" s="111"/>
      <c r="Q35" s="111"/>
      <c r="R35" s="111"/>
      <c r="Y35" s="110"/>
      <c r="Z35" s="110"/>
    </row>
    <row r="36" spans="1:26" s="108" customFormat="1">
      <c r="A36" s="48"/>
      <c r="B36" s="97"/>
      <c r="C36" s="110"/>
      <c r="D36" s="109"/>
      <c r="E36" s="97">
        <f t="shared" si="2"/>
        <v>0</v>
      </c>
      <c r="F36" s="97"/>
      <c r="G36" s="109"/>
      <c r="H36" s="109"/>
      <c r="J36" s="98"/>
      <c r="K36" s="83"/>
      <c r="L36" s="40"/>
      <c r="M36" s="40"/>
      <c r="N36" s="40"/>
      <c r="O36" s="111"/>
      <c r="P36" s="111"/>
      <c r="Q36" s="111"/>
      <c r="R36" s="111"/>
      <c r="Y36" s="110"/>
      <c r="Z36" s="110"/>
    </row>
    <row r="37" spans="1:26" s="108" customFormat="1">
      <c r="A37" s="48"/>
      <c r="B37" s="97"/>
      <c r="C37" s="110"/>
      <c r="D37" s="109"/>
      <c r="E37" s="97">
        <f t="shared" si="2"/>
        <v>0</v>
      </c>
      <c r="F37" s="97"/>
      <c r="G37" s="109"/>
      <c r="H37" s="109"/>
      <c r="J37" s="98"/>
      <c r="K37" s="83"/>
      <c r="L37" s="40"/>
      <c r="M37" s="40"/>
      <c r="N37" s="40"/>
      <c r="O37" s="111"/>
      <c r="P37" s="111"/>
      <c r="Q37" s="111"/>
      <c r="R37" s="111"/>
      <c r="Y37" s="110"/>
      <c r="Z37" s="110"/>
    </row>
    <row r="38" spans="1:26" s="108" customFormat="1">
      <c r="A38" s="48"/>
      <c r="B38" s="97"/>
      <c r="C38" s="110"/>
      <c r="D38" s="109"/>
      <c r="E38" s="97">
        <f t="shared" si="2"/>
        <v>0</v>
      </c>
      <c r="F38" s="97"/>
      <c r="G38" s="109"/>
      <c r="H38" s="109"/>
      <c r="J38" s="98"/>
      <c r="K38" s="83"/>
      <c r="L38" s="40"/>
      <c r="M38" s="40"/>
      <c r="N38" s="40"/>
      <c r="O38" s="111"/>
      <c r="P38" s="111"/>
      <c r="Q38" s="111"/>
      <c r="R38" s="111"/>
      <c r="Y38" s="110"/>
      <c r="Z38" s="110"/>
    </row>
    <row r="39" spans="1:26" s="108" customFormat="1">
      <c r="A39" s="48"/>
      <c r="B39" s="97"/>
      <c r="C39" s="110"/>
      <c r="D39" s="109"/>
      <c r="E39" s="97">
        <f t="shared" si="2"/>
        <v>0</v>
      </c>
      <c r="F39" s="97"/>
      <c r="G39" s="109"/>
      <c r="H39" s="109"/>
      <c r="I39" s="98"/>
      <c r="J39" s="98"/>
      <c r="K39" s="83"/>
      <c r="L39" s="40"/>
      <c r="M39" s="40"/>
      <c r="N39" s="40"/>
      <c r="O39" s="111"/>
      <c r="P39" s="111"/>
      <c r="Q39" s="111"/>
      <c r="R39" s="111"/>
      <c r="Y39" s="110"/>
      <c r="Z39" s="110"/>
    </row>
    <row r="40" spans="1:26" s="108" customFormat="1">
      <c r="A40" s="48"/>
      <c r="B40" s="97"/>
      <c r="C40" s="110"/>
      <c r="D40" s="109"/>
      <c r="E40" s="97">
        <f t="shared" si="2"/>
        <v>0</v>
      </c>
      <c r="F40" s="97"/>
      <c r="G40" s="109"/>
      <c r="H40" s="109"/>
      <c r="I40" s="98"/>
      <c r="J40" s="98"/>
      <c r="K40" s="83"/>
      <c r="L40" s="40"/>
      <c r="M40" s="40"/>
      <c r="N40" s="40"/>
      <c r="O40" s="111"/>
      <c r="P40" s="111"/>
      <c r="Q40" s="111"/>
      <c r="R40" s="111"/>
      <c r="Y40" s="110"/>
      <c r="Z40" s="110"/>
    </row>
    <row r="41" spans="1:26" s="108" customFormat="1">
      <c r="A41" s="48"/>
      <c r="B41" s="97"/>
      <c r="C41" s="110"/>
      <c r="D41" s="109"/>
      <c r="E41" s="97">
        <f t="shared" si="2"/>
        <v>0</v>
      </c>
      <c r="F41" s="97"/>
      <c r="G41" s="109"/>
      <c r="H41" s="109"/>
      <c r="I41" s="98"/>
      <c r="J41" s="98"/>
      <c r="K41" s="83"/>
      <c r="L41" s="40"/>
      <c r="M41" s="40"/>
      <c r="N41" s="40"/>
      <c r="O41" s="111"/>
      <c r="P41" s="111"/>
      <c r="Q41" s="111"/>
      <c r="R41" s="111"/>
      <c r="Y41" s="110"/>
      <c r="Z41" s="110"/>
    </row>
    <row r="42" spans="1:26" s="108" customFormat="1">
      <c r="A42" s="48"/>
      <c r="B42" s="97"/>
      <c r="C42" s="110"/>
      <c r="D42" s="109"/>
      <c r="E42" s="97">
        <f t="shared" si="2"/>
        <v>0</v>
      </c>
      <c r="F42" s="97"/>
      <c r="G42" s="109"/>
      <c r="H42" s="109"/>
      <c r="I42" s="98"/>
      <c r="J42" s="98"/>
      <c r="K42" s="83"/>
      <c r="L42" s="40"/>
      <c r="M42" s="40"/>
      <c r="N42" s="40"/>
      <c r="O42" s="111"/>
      <c r="P42" s="111"/>
      <c r="Q42" s="111"/>
      <c r="R42" s="111"/>
      <c r="Y42" s="110"/>
      <c r="Z42" s="110"/>
    </row>
    <row r="43" spans="1:26" s="108" customFormat="1">
      <c r="A43" s="48"/>
      <c r="B43" s="97"/>
      <c r="C43" s="110"/>
      <c r="D43" s="109"/>
      <c r="E43" s="97">
        <f t="shared" si="2"/>
        <v>0</v>
      </c>
      <c r="F43" s="97"/>
      <c r="G43" s="109"/>
      <c r="H43" s="109"/>
      <c r="I43" s="98"/>
      <c r="J43" s="98"/>
      <c r="K43" s="83"/>
      <c r="L43" s="40"/>
      <c r="M43" s="40"/>
      <c r="N43" s="40"/>
      <c r="O43" s="111"/>
      <c r="P43" s="111"/>
      <c r="Q43" s="111"/>
      <c r="R43" s="111"/>
      <c r="Y43" s="110"/>
      <c r="Z43" s="110"/>
    </row>
    <row r="44" spans="1:26" s="108" customFormat="1">
      <c r="A44" s="48"/>
      <c r="B44" s="97"/>
      <c r="C44" s="110"/>
      <c r="D44" s="109"/>
      <c r="E44" s="97">
        <f t="shared" si="2"/>
        <v>0</v>
      </c>
      <c r="F44" s="97"/>
      <c r="G44" s="109"/>
      <c r="H44" s="109"/>
      <c r="I44" s="98"/>
      <c r="J44" s="98"/>
      <c r="K44" s="83"/>
      <c r="L44" s="40"/>
      <c r="M44" s="40"/>
      <c r="N44" s="40"/>
      <c r="O44" s="111"/>
      <c r="P44" s="111"/>
      <c r="Q44" s="111"/>
      <c r="R44" s="111"/>
      <c r="Y44" s="110"/>
      <c r="Z44" s="110"/>
    </row>
    <row r="45" spans="1:26" s="108" customFormat="1">
      <c r="A45" s="76"/>
      <c r="B45" s="97"/>
      <c r="C45" s="110"/>
      <c r="D45" s="109"/>
      <c r="E45" s="97">
        <f t="shared" si="2"/>
        <v>0</v>
      </c>
      <c r="F45" s="97"/>
      <c r="G45" s="109"/>
      <c r="H45" s="109"/>
      <c r="I45" s="98"/>
      <c r="J45" s="98"/>
      <c r="K45" s="83"/>
      <c r="L45" s="110"/>
      <c r="M45" s="110"/>
      <c r="N45" s="40"/>
      <c r="O45" s="111"/>
      <c r="P45" s="111"/>
      <c r="Q45" s="111"/>
      <c r="R45" s="111"/>
      <c r="Y45" s="110"/>
      <c r="Z45" s="110"/>
    </row>
    <row r="46" spans="1:26" s="108" customFormat="1">
      <c r="B46" s="97"/>
      <c r="C46" s="110"/>
      <c r="D46" s="109"/>
      <c r="E46" s="97"/>
      <c r="F46" s="97"/>
      <c r="G46" s="109"/>
      <c r="H46" s="109"/>
      <c r="I46" s="98"/>
      <c r="J46" s="98"/>
      <c r="K46" s="83"/>
      <c r="L46" s="110"/>
      <c r="M46" s="110"/>
      <c r="N46" s="110"/>
      <c r="O46" s="111"/>
      <c r="P46" s="111"/>
      <c r="Q46" s="111"/>
      <c r="R46" s="111"/>
      <c r="Y46" s="110"/>
      <c r="Z46" s="110"/>
    </row>
    <row r="47" spans="1:26" s="108" customFormat="1">
      <c r="B47" s="97"/>
      <c r="C47" s="110"/>
      <c r="D47" s="109"/>
      <c r="E47" s="97"/>
      <c r="F47" s="97"/>
      <c r="G47" s="109"/>
      <c r="H47" s="109"/>
      <c r="I47" s="98"/>
      <c r="J47" s="98"/>
      <c r="K47" s="83"/>
      <c r="L47" s="110"/>
      <c r="M47" s="110"/>
      <c r="N47" s="110"/>
      <c r="O47" s="111"/>
      <c r="P47" s="111"/>
      <c r="Q47" s="111"/>
      <c r="R47" s="111"/>
      <c r="Y47" s="110"/>
      <c r="Z47" s="110"/>
    </row>
    <row r="48" spans="1:26" s="108" customFormat="1">
      <c r="B48" s="97"/>
      <c r="C48" s="110"/>
      <c r="D48" s="109"/>
      <c r="E48" s="97"/>
      <c r="F48" s="97"/>
      <c r="G48" s="109"/>
      <c r="H48" s="109"/>
      <c r="I48" s="98"/>
      <c r="J48" s="98"/>
      <c r="K48" s="83"/>
      <c r="L48" s="110"/>
      <c r="M48" s="110"/>
      <c r="N48" s="110"/>
      <c r="O48" s="111"/>
      <c r="P48" s="111"/>
      <c r="Q48" s="111"/>
      <c r="R48" s="111"/>
      <c r="Y48" s="110"/>
      <c r="Z48" s="110"/>
    </row>
    <row r="49" spans="2:26" s="108" customFormat="1">
      <c r="B49" s="97"/>
      <c r="C49" s="110"/>
      <c r="D49" s="109"/>
      <c r="E49" s="97"/>
      <c r="F49" s="97"/>
      <c r="G49" s="109"/>
      <c r="H49" s="109"/>
      <c r="I49" s="98"/>
      <c r="J49" s="98"/>
      <c r="K49" s="83"/>
      <c r="L49" s="110"/>
      <c r="M49" s="110"/>
      <c r="N49" s="110"/>
      <c r="O49" s="111"/>
      <c r="P49" s="111"/>
      <c r="Q49" s="111"/>
      <c r="R49" s="111"/>
      <c r="Y49" s="110"/>
      <c r="Z49" s="110"/>
    </row>
    <row r="50" spans="2:26" s="108" customFormat="1">
      <c r="B50" s="97"/>
      <c r="C50" s="110"/>
      <c r="D50" s="109"/>
      <c r="E50" s="97"/>
      <c r="F50" s="97"/>
      <c r="G50" s="109"/>
      <c r="H50" s="109"/>
      <c r="I50" s="98"/>
      <c r="J50" s="98"/>
      <c r="K50" s="83"/>
      <c r="L50" s="110"/>
      <c r="M50" s="110"/>
      <c r="N50" s="110"/>
      <c r="O50" s="111"/>
      <c r="P50" s="111"/>
      <c r="Q50" s="111"/>
      <c r="R50" s="111"/>
      <c r="Y50" s="110"/>
      <c r="Z50" s="110"/>
    </row>
    <row r="51" spans="2:26" s="108" customFormat="1">
      <c r="B51" s="97"/>
      <c r="C51" s="110"/>
      <c r="D51" s="109"/>
      <c r="E51" s="97"/>
      <c r="F51" s="97"/>
      <c r="G51" s="109"/>
      <c r="H51" s="109"/>
      <c r="I51" s="98"/>
      <c r="J51" s="98"/>
      <c r="K51" s="83"/>
      <c r="L51" s="110"/>
      <c r="M51" s="110"/>
      <c r="N51" s="110"/>
      <c r="O51" s="111"/>
      <c r="P51" s="111"/>
      <c r="Q51" s="111"/>
      <c r="R51" s="111"/>
      <c r="Y51" s="110"/>
      <c r="Z51" s="110"/>
    </row>
    <row r="52" spans="2:26" s="108" customFormat="1">
      <c r="B52" s="97"/>
      <c r="C52" s="110"/>
      <c r="D52" s="109"/>
      <c r="E52" s="97"/>
      <c r="F52" s="97"/>
      <c r="G52" s="109"/>
      <c r="H52" s="109"/>
      <c r="I52" s="98"/>
      <c r="J52" s="98"/>
      <c r="K52" s="83"/>
      <c r="L52" s="110"/>
      <c r="M52" s="110"/>
      <c r="N52" s="110"/>
      <c r="O52" s="111"/>
      <c r="P52" s="111"/>
      <c r="Q52" s="111"/>
      <c r="R52" s="111"/>
      <c r="Y52" s="110"/>
      <c r="Z52" s="110"/>
    </row>
    <row r="53" spans="2:26" s="108" customFormat="1">
      <c r="B53" s="97"/>
      <c r="C53" s="110"/>
      <c r="D53" s="109"/>
      <c r="E53" s="97"/>
      <c r="F53" s="97"/>
      <c r="G53" s="109"/>
      <c r="H53" s="109"/>
      <c r="I53" s="98"/>
      <c r="J53" s="98"/>
      <c r="K53" s="83"/>
      <c r="L53" s="110"/>
      <c r="M53" s="110"/>
      <c r="N53" s="110"/>
      <c r="O53" s="111"/>
      <c r="P53" s="111"/>
      <c r="Q53" s="111"/>
      <c r="R53" s="111"/>
      <c r="Y53" s="110"/>
      <c r="Z53" s="110"/>
    </row>
    <row r="54" spans="2:26" s="108" customFormat="1">
      <c r="B54" s="97"/>
      <c r="C54" s="110"/>
      <c r="D54" s="109"/>
      <c r="E54" s="97"/>
      <c r="F54" s="97"/>
      <c r="G54" s="109"/>
      <c r="H54" s="109"/>
      <c r="I54" s="98"/>
      <c r="J54" s="98"/>
      <c r="K54" s="83"/>
      <c r="L54" s="110"/>
      <c r="M54" s="110"/>
      <c r="N54" s="110"/>
      <c r="O54" s="111"/>
      <c r="P54" s="111"/>
      <c r="Q54" s="111"/>
      <c r="R54" s="111"/>
      <c r="Y54" s="110"/>
      <c r="Z54" s="110"/>
    </row>
    <row r="55" spans="2:26" s="108" customFormat="1">
      <c r="B55" s="97"/>
      <c r="C55" s="110"/>
      <c r="D55" s="109"/>
      <c r="E55" s="97"/>
      <c r="F55" s="97"/>
      <c r="G55" s="109"/>
      <c r="H55" s="109"/>
      <c r="I55" s="98"/>
      <c r="J55" s="98"/>
      <c r="K55" s="83"/>
      <c r="L55" s="110"/>
      <c r="M55" s="110"/>
      <c r="N55" s="110"/>
      <c r="O55" s="111"/>
      <c r="P55" s="111"/>
      <c r="Q55" s="111"/>
      <c r="R55" s="111"/>
      <c r="Y55" s="110"/>
      <c r="Z55" s="110"/>
    </row>
    <row r="56" spans="2:26" s="108" customFormat="1">
      <c r="B56" s="97"/>
      <c r="C56" s="110"/>
      <c r="D56" s="109"/>
      <c r="E56" s="97"/>
      <c r="F56" s="97"/>
      <c r="G56" s="109"/>
      <c r="H56" s="109"/>
      <c r="I56" s="98"/>
      <c r="J56" s="98"/>
      <c r="K56" s="83"/>
      <c r="L56" s="110"/>
      <c r="M56" s="110"/>
      <c r="N56" s="110"/>
      <c r="O56" s="111"/>
      <c r="P56" s="111"/>
      <c r="Q56" s="111"/>
      <c r="R56" s="111"/>
      <c r="Y56" s="110"/>
      <c r="Z56" s="110"/>
    </row>
    <row r="57" spans="2:26" s="108" customFormat="1">
      <c r="B57" s="97"/>
      <c r="C57" s="110"/>
      <c r="D57" s="109"/>
      <c r="E57" s="97"/>
      <c r="F57" s="97"/>
      <c r="G57" s="109"/>
      <c r="H57" s="109"/>
      <c r="I57" s="98"/>
      <c r="J57" s="98"/>
      <c r="K57" s="83"/>
      <c r="L57" s="110"/>
      <c r="M57" s="110"/>
      <c r="N57" s="110"/>
      <c r="O57" s="111"/>
      <c r="P57" s="111"/>
      <c r="Q57" s="111"/>
      <c r="R57" s="111"/>
      <c r="Y57" s="110"/>
      <c r="Z57" s="110"/>
    </row>
    <row r="58" spans="2:26" s="108" customFormat="1">
      <c r="B58" s="97"/>
      <c r="C58" s="110"/>
      <c r="D58" s="109"/>
      <c r="E58" s="97"/>
      <c r="F58" s="97"/>
      <c r="G58" s="109"/>
      <c r="H58" s="109"/>
      <c r="I58" s="98"/>
      <c r="J58" s="98"/>
      <c r="K58" s="83"/>
      <c r="L58" s="110"/>
      <c r="M58" s="110"/>
      <c r="N58" s="110"/>
      <c r="O58" s="111"/>
      <c r="P58" s="111"/>
      <c r="Q58" s="111"/>
      <c r="R58" s="111"/>
      <c r="Y58" s="110"/>
      <c r="Z58" s="110"/>
    </row>
    <row r="59" spans="2:26" s="108" customFormat="1">
      <c r="B59" s="97"/>
      <c r="C59" s="110"/>
      <c r="D59" s="109"/>
      <c r="E59" s="97"/>
      <c r="F59" s="97"/>
      <c r="G59" s="109"/>
      <c r="H59" s="109"/>
      <c r="I59" s="98"/>
      <c r="J59" s="98"/>
      <c r="K59" s="83"/>
      <c r="L59" s="110"/>
      <c r="M59" s="110"/>
      <c r="N59" s="110"/>
      <c r="O59" s="111"/>
      <c r="P59" s="111"/>
      <c r="Q59" s="111"/>
      <c r="R59" s="111"/>
      <c r="Y59" s="110"/>
      <c r="Z59" s="110"/>
    </row>
    <row r="60" spans="2:26" s="108" customFormat="1">
      <c r="B60" s="97"/>
      <c r="C60" s="110"/>
      <c r="D60" s="109"/>
      <c r="E60" s="97"/>
      <c r="F60" s="97"/>
      <c r="G60" s="109"/>
      <c r="H60" s="109"/>
      <c r="I60" s="98"/>
      <c r="J60" s="98"/>
      <c r="K60" s="83"/>
      <c r="L60" s="110"/>
      <c r="M60" s="110"/>
      <c r="N60" s="110"/>
      <c r="O60" s="111"/>
      <c r="P60" s="111"/>
      <c r="Q60" s="111"/>
      <c r="R60" s="111"/>
      <c r="Y60" s="110"/>
      <c r="Z60" s="110"/>
    </row>
    <row r="61" spans="2:26" s="108" customFormat="1">
      <c r="B61" s="97"/>
      <c r="C61" s="110"/>
      <c r="D61" s="109"/>
      <c r="E61" s="97"/>
      <c r="F61" s="97"/>
      <c r="G61" s="109"/>
      <c r="H61" s="109"/>
      <c r="I61" s="98"/>
      <c r="J61" s="98"/>
      <c r="K61" s="83"/>
      <c r="L61" s="110"/>
      <c r="M61" s="110"/>
      <c r="N61" s="110"/>
      <c r="O61" s="111"/>
      <c r="P61" s="111"/>
      <c r="Q61" s="111"/>
      <c r="R61" s="111"/>
      <c r="Y61" s="110"/>
      <c r="Z61" s="110"/>
    </row>
    <row r="62" spans="2:26" s="108" customFormat="1">
      <c r="B62" s="97"/>
      <c r="C62" s="110"/>
      <c r="D62" s="109"/>
      <c r="E62" s="97"/>
      <c r="F62" s="97"/>
      <c r="G62" s="109"/>
      <c r="H62" s="109"/>
      <c r="I62" s="98"/>
      <c r="J62" s="98"/>
      <c r="K62" s="83"/>
      <c r="L62" s="110"/>
      <c r="M62" s="110"/>
      <c r="N62" s="110"/>
      <c r="O62" s="111"/>
      <c r="P62" s="111"/>
      <c r="Q62" s="111"/>
      <c r="R62" s="111"/>
      <c r="Y62" s="110"/>
      <c r="Z62" s="110"/>
    </row>
    <row r="63" spans="2:26" s="108" customFormat="1">
      <c r="B63" s="97"/>
      <c r="C63" s="110"/>
      <c r="D63" s="109"/>
      <c r="E63" s="97"/>
      <c r="F63" s="97"/>
      <c r="G63" s="109"/>
      <c r="H63" s="109"/>
      <c r="I63" s="98"/>
      <c r="J63" s="98"/>
      <c r="K63" s="83"/>
      <c r="L63" s="110"/>
      <c r="M63" s="110"/>
      <c r="N63" s="110"/>
      <c r="O63" s="111"/>
      <c r="P63" s="111"/>
      <c r="Q63" s="111"/>
      <c r="R63" s="111"/>
      <c r="Y63" s="110"/>
      <c r="Z63" s="110"/>
    </row>
    <row r="64" spans="2:26" s="108" customFormat="1">
      <c r="B64" s="97"/>
      <c r="C64" s="110"/>
      <c r="D64" s="109"/>
      <c r="E64" s="97"/>
      <c r="F64" s="97"/>
      <c r="G64" s="109"/>
      <c r="H64" s="109"/>
      <c r="I64" s="98"/>
      <c r="J64" s="98"/>
      <c r="K64" s="83"/>
      <c r="L64" s="110"/>
      <c r="M64" s="110"/>
      <c r="N64" s="110"/>
      <c r="O64" s="111"/>
      <c r="P64" s="111"/>
      <c r="Q64" s="111"/>
      <c r="R64" s="111"/>
      <c r="Y64" s="110"/>
      <c r="Z64" s="110"/>
    </row>
    <row r="65" spans="2:26" s="108" customFormat="1">
      <c r="B65" s="97"/>
      <c r="C65" s="110"/>
      <c r="D65" s="109"/>
      <c r="E65" s="97"/>
      <c r="F65" s="97"/>
      <c r="G65" s="109"/>
      <c r="H65" s="109"/>
      <c r="I65" s="98"/>
      <c r="J65" s="98"/>
      <c r="K65" s="83"/>
      <c r="L65" s="110"/>
      <c r="M65" s="110"/>
      <c r="N65" s="110"/>
      <c r="O65" s="111"/>
      <c r="P65" s="111"/>
      <c r="Q65" s="111"/>
      <c r="R65" s="111"/>
      <c r="Y65" s="110"/>
      <c r="Z65" s="110"/>
    </row>
    <row r="66" spans="2:26" s="108" customFormat="1">
      <c r="B66" s="97"/>
      <c r="C66" s="110"/>
      <c r="D66" s="109"/>
      <c r="E66" s="97"/>
      <c r="F66" s="97"/>
      <c r="G66" s="109"/>
      <c r="H66" s="109"/>
      <c r="I66" s="98"/>
      <c r="J66" s="98"/>
      <c r="K66" s="83"/>
      <c r="L66" s="110"/>
      <c r="M66" s="110"/>
      <c r="N66" s="110"/>
      <c r="O66" s="111"/>
      <c r="P66" s="111"/>
      <c r="Q66" s="111"/>
      <c r="R66" s="111"/>
      <c r="Y66" s="110"/>
      <c r="Z66" s="110"/>
    </row>
    <row r="67" spans="2:26" s="108" customFormat="1">
      <c r="B67" s="97"/>
      <c r="C67" s="110"/>
      <c r="D67" s="109"/>
      <c r="E67" s="97"/>
      <c r="F67" s="97"/>
      <c r="G67" s="109"/>
      <c r="H67" s="109"/>
      <c r="I67" s="98"/>
      <c r="J67" s="98"/>
      <c r="K67" s="83"/>
      <c r="L67" s="110"/>
      <c r="M67" s="110"/>
      <c r="N67" s="110"/>
      <c r="O67" s="111"/>
      <c r="P67" s="111"/>
      <c r="Q67" s="111"/>
      <c r="R67" s="111"/>
      <c r="Y67" s="110"/>
      <c r="Z67" s="110"/>
    </row>
    <row r="68" spans="2:26" s="108" customFormat="1">
      <c r="B68" s="97"/>
      <c r="C68" s="110"/>
      <c r="D68" s="109"/>
      <c r="E68" s="97"/>
      <c r="F68" s="97"/>
      <c r="G68" s="109"/>
      <c r="H68" s="109"/>
      <c r="I68" s="98"/>
      <c r="J68" s="98"/>
      <c r="K68" s="83"/>
      <c r="L68" s="110"/>
      <c r="M68" s="110"/>
      <c r="N68" s="110"/>
      <c r="O68" s="111"/>
      <c r="P68" s="111"/>
      <c r="Q68" s="111"/>
      <c r="R68" s="111"/>
      <c r="Y68" s="110"/>
      <c r="Z68" s="110"/>
    </row>
    <row r="69" spans="2:26" s="108" customFormat="1">
      <c r="B69" s="97"/>
      <c r="C69" s="110"/>
      <c r="D69" s="109"/>
      <c r="E69" s="97"/>
      <c r="F69" s="97"/>
      <c r="G69" s="109"/>
      <c r="H69" s="109"/>
      <c r="I69" s="98"/>
      <c r="J69" s="98"/>
      <c r="K69" s="83"/>
      <c r="L69" s="110"/>
      <c r="M69" s="110"/>
      <c r="N69" s="110"/>
      <c r="O69" s="111"/>
      <c r="P69" s="111"/>
      <c r="Q69" s="111"/>
      <c r="R69" s="111"/>
      <c r="Y69" s="110"/>
      <c r="Z69" s="110"/>
    </row>
    <row r="70" spans="2:26" s="108" customFormat="1">
      <c r="B70" s="97"/>
      <c r="C70" s="110"/>
      <c r="D70" s="109"/>
      <c r="E70" s="97"/>
      <c r="F70" s="97"/>
      <c r="G70" s="109"/>
      <c r="H70" s="109"/>
      <c r="I70" s="98"/>
      <c r="J70" s="98"/>
      <c r="K70" s="83"/>
      <c r="L70" s="110"/>
      <c r="M70" s="110"/>
      <c r="N70" s="110"/>
      <c r="O70" s="111"/>
      <c r="P70" s="111"/>
      <c r="Q70" s="111"/>
      <c r="R70" s="111"/>
      <c r="Y70" s="110"/>
      <c r="Z70" s="110"/>
    </row>
    <row r="71" spans="2:26" s="108" customFormat="1">
      <c r="B71" s="97"/>
      <c r="C71" s="110"/>
      <c r="D71" s="109"/>
      <c r="E71" s="97"/>
      <c r="F71" s="97"/>
      <c r="G71" s="109"/>
      <c r="H71" s="109"/>
      <c r="I71" s="98"/>
      <c r="J71" s="98"/>
      <c r="K71" s="83"/>
      <c r="L71" s="110"/>
      <c r="M71" s="110"/>
      <c r="N71" s="110"/>
      <c r="O71" s="111"/>
      <c r="P71" s="111"/>
      <c r="Q71" s="111"/>
      <c r="R71" s="111"/>
      <c r="Y71" s="110"/>
      <c r="Z71" s="110"/>
    </row>
    <row r="72" spans="2:26" s="108" customFormat="1">
      <c r="B72" s="97"/>
      <c r="C72" s="110"/>
      <c r="D72" s="109"/>
      <c r="E72" s="97"/>
      <c r="F72" s="97"/>
      <c r="G72" s="109"/>
      <c r="H72" s="109"/>
      <c r="I72" s="98"/>
      <c r="J72" s="98"/>
      <c r="K72" s="83"/>
      <c r="L72" s="110"/>
      <c r="M72" s="110"/>
      <c r="N72" s="110"/>
      <c r="O72" s="111"/>
      <c r="P72" s="111"/>
      <c r="Q72" s="111"/>
      <c r="R72" s="111"/>
      <c r="Y72" s="110"/>
      <c r="Z72" s="110"/>
    </row>
    <row r="73" spans="2:26" s="108" customFormat="1">
      <c r="B73" s="97"/>
      <c r="C73" s="110"/>
      <c r="D73" s="109"/>
      <c r="E73" s="97"/>
      <c r="F73" s="97"/>
      <c r="G73" s="109"/>
      <c r="H73" s="109"/>
      <c r="I73" s="98"/>
      <c r="J73" s="98"/>
      <c r="K73" s="83"/>
      <c r="L73" s="110"/>
      <c r="M73" s="110"/>
      <c r="N73" s="110"/>
      <c r="O73" s="111"/>
      <c r="P73" s="111"/>
      <c r="Q73" s="111"/>
      <c r="R73" s="111"/>
      <c r="Y73" s="110"/>
      <c r="Z73" s="110"/>
    </row>
    <row r="74" spans="2:26" s="108" customFormat="1">
      <c r="B74" s="97"/>
      <c r="C74" s="110"/>
      <c r="D74" s="109"/>
      <c r="E74" s="97"/>
      <c r="F74" s="97"/>
      <c r="G74" s="109"/>
      <c r="H74" s="109"/>
      <c r="I74" s="98"/>
      <c r="J74" s="98"/>
      <c r="K74" s="83"/>
      <c r="L74" s="110"/>
      <c r="M74" s="110"/>
      <c r="N74" s="110"/>
      <c r="O74" s="111"/>
      <c r="P74" s="111"/>
      <c r="Q74" s="111"/>
      <c r="R74" s="111"/>
      <c r="Y74" s="110"/>
      <c r="Z74" s="110"/>
    </row>
    <row r="75" spans="2:26" s="108" customFormat="1">
      <c r="B75" s="97"/>
      <c r="C75" s="110"/>
      <c r="D75" s="109"/>
      <c r="E75" s="97"/>
      <c r="F75" s="97"/>
      <c r="G75" s="109"/>
      <c r="H75" s="109"/>
      <c r="I75" s="98"/>
      <c r="J75" s="98"/>
      <c r="K75" s="83"/>
      <c r="L75" s="110"/>
      <c r="M75" s="110"/>
      <c r="N75" s="110"/>
      <c r="O75" s="111"/>
      <c r="P75" s="111"/>
      <c r="Q75" s="111"/>
      <c r="R75" s="111"/>
      <c r="Y75" s="110"/>
      <c r="Z75" s="110"/>
    </row>
    <row r="76" spans="2:26" s="108" customFormat="1">
      <c r="B76" s="97"/>
      <c r="C76" s="110"/>
      <c r="D76" s="109"/>
      <c r="E76" s="97"/>
      <c r="F76" s="97"/>
      <c r="G76" s="109"/>
      <c r="H76" s="109"/>
      <c r="I76" s="98"/>
      <c r="J76" s="98"/>
      <c r="K76" s="83"/>
      <c r="L76" s="110"/>
      <c r="M76" s="110"/>
      <c r="N76" s="110"/>
      <c r="O76" s="111"/>
      <c r="P76" s="111"/>
      <c r="Q76" s="111"/>
      <c r="R76" s="111"/>
      <c r="Y76" s="110"/>
      <c r="Z76" s="110"/>
    </row>
    <row r="77" spans="2:26" s="108" customFormat="1">
      <c r="B77" s="97"/>
      <c r="C77" s="110"/>
      <c r="D77" s="109"/>
      <c r="E77" s="97"/>
      <c r="F77" s="97"/>
      <c r="G77" s="109"/>
      <c r="H77" s="109"/>
      <c r="I77" s="98"/>
      <c r="J77" s="98"/>
      <c r="K77" s="83"/>
      <c r="L77" s="110"/>
      <c r="M77" s="110"/>
      <c r="N77" s="110"/>
      <c r="O77" s="111"/>
      <c r="P77" s="111"/>
      <c r="Q77" s="111"/>
      <c r="R77" s="111"/>
      <c r="Y77" s="110"/>
      <c r="Z77" s="110"/>
    </row>
    <row r="78" spans="2:26" s="108" customFormat="1">
      <c r="B78" s="97"/>
      <c r="C78" s="110"/>
      <c r="D78" s="109"/>
      <c r="E78" s="97"/>
      <c r="F78" s="97"/>
      <c r="G78" s="109"/>
      <c r="H78" s="109"/>
      <c r="I78" s="98"/>
      <c r="J78" s="98"/>
      <c r="K78" s="83"/>
      <c r="L78" s="110"/>
      <c r="M78" s="110"/>
      <c r="N78" s="110"/>
      <c r="O78" s="111"/>
      <c r="P78" s="111"/>
      <c r="Q78" s="111"/>
      <c r="R78" s="111"/>
      <c r="Y78" s="110"/>
      <c r="Z78" s="110"/>
    </row>
    <row r="79" spans="2:26" s="108" customFormat="1">
      <c r="B79" s="97"/>
      <c r="C79" s="110"/>
      <c r="D79" s="109"/>
      <c r="E79" s="97"/>
      <c r="F79" s="97"/>
      <c r="G79" s="109"/>
      <c r="H79" s="109"/>
      <c r="I79" s="98"/>
      <c r="J79" s="98"/>
      <c r="K79" s="83"/>
      <c r="L79" s="110"/>
      <c r="M79" s="110"/>
      <c r="N79" s="110"/>
      <c r="O79" s="111"/>
      <c r="P79" s="111"/>
      <c r="Q79" s="111"/>
      <c r="R79" s="111"/>
      <c r="Y79" s="110"/>
      <c r="Z79" s="110"/>
    </row>
    <row r="80" spans="2:26" s="108" customFormat="1">
      <c r="B80" s="97"/>
      <c r="C80" s="110"/>
      <c r="D80" s="109"/>
      <c r="E80" s="97"/>
      <c r="F80" s="97"/>
      <c r="G80" s="109"/>
      <c r="H80" s="109"/>
      <c r="I80" s="98"/>
      <c r="J80" s="98"/>
      <c r="K80" s="83"/>
      <c r="L80" s="110"/>
      <c r="M80" s="110"/>
      <c r="N80" s="110"/>
      <c r="O80" s="111"/>
      <c r="P80" s="111"/>
      <c r="Q80" s="111"/>
      <c r="R80" s="111"/>
      <c r="Y80" s="110"/>
      <c r="Z80" s="110"/>
    </row>
    <row r="81" spans="2:26" s="108" customFormat="1">
      <c r="B81" s="97"/>
      <c r="C81" s="110"/>
      <c r="D81" s="109"/>
      <c r="E81" s="97"/>
      <c r="F81" s="97"/>
      <c r="G81" s="109"/>
      <c r="H81" s="109"/>
      <c r="I81" s="98"/>
      <c r="J81" s="98"/>
      <c r="K81" s="83"/>
      <c r="L81" s="110"/>
      <c r="M81" s="110"/>
      <c r="N81" s="110"/>
      <c r="O81" s="111"/>
      <c r="P81" s="111"/>
      <c r="Q81" s="111"/>
      <c r="R81" s="111"/>
      <c r="Y81" s="110"/>
      <c r="Z81" s="110"/>
    </row>
    <row r="82" spans="2:26" s="108" customFormat="1">
      <c r="B82" s="97"/>
      <c r="C82" s="110"/>
      <c r="D82" s="109"/>
      <c r="E82" s="97"/>
      <c r="F82" s="97"/>
      <c r="G82" s="109"/>
      <c r="H82" s="109"/>
      <c r="I82" s="98"/>
      <c r="J82" s="98"/>
      <c r="K82" s="83"/>
      <c r="L82" s="110"/>
      <c r="M82" s="110"/>
      <c r="N82" s="110"/>
      <c r="O82" s="111"/>
      <c r="P82" s="111"/>
      <c r="Q82" s="111"/>
      <c r="R82" s="111"/>
      <c r="Y82" s="110"/>
      <c r="Z82" s="110"/>
    </row>
    <row r="83" spans="2:26" s="108" customFormat="1">
      <c r="B83" s="97"/>
      <c r="C83" s="110"/>
      <c r="D83" s="109"/>
      <c r="E83" s="97"/>
      <c r="F83" s="97"/>
      <c r="G83" s="109"/>
      <c r="H83" s="109"/>
      <c r="I83" s="98"/>
      <c r="J83" s="98"/>
      <c r="K83" s="83"/>
      <c r="L83" s="110"/>
      <c r="M83" s="110"/>
      <c r="N83" s="110"/>
      <c r="O83" s="111"/>
      <c r="P83" s="111"/>
      <c r="Q83" s="111"/>
      <c r="R83" s="111"/>
      <c r="Y83" s="110"/>
      <c r="Z83" s="110"/>
    </row>
    <row r="84" spans="2:26" s="108" customFormat="1">
      <c r="B84" s="97"/>
      <c r="C84" s="110"/>
      <c r="D84" s="109"/>
      <c r="E84" s="97"/>
      <c r="F84" s="97"/>
      <c r="G84" s="109"/>
      <c r="H84" s="109"/>
      <c r="I84" s="98"/>
      <c r="J84" s="98"/>
      <c r="K84" s="83"/>
      <c r="L84" s="110"/>
      <c r="M84" s="110"/>
      <c r="N84" s="110"/>
      <c r="O84" s="111"/>
      <c r="P84" s="111"/>
      <c r="Q84" s="111"/>
      <c r="R84" s="111"/>
      <c r="Y84" s="110"/>
      <c r="Z84" s="110"/>
    </row>
    <row r="85" spans="2:26" s="108" customFormat="1">
      <c r="B85" s="97"/>
      <c r="C85" s="110"/>
      <c r="D85" s="109"/>
      <c r="E85" s="97"/>
      <c r="F85" s="97"/>
      <c r="G85" s="109"/>
      <c r="H85" s="109"/>
      <c r="I85" s="98"/>
      <c r="J85" s="98"/>
      <c r="K85" s="83"/>
      <c r="L85" s="110"/>
      <c r="M85" s="110"/>
      <c r="N85" s="110"/>
      <c r="O85" s="111"/>
      <c r="P85" s="111"/>
      <c r="Q85" s="111"/>
      <c r="R85" s="111"/>
      <c r="Y85" s="110"/>
      <c r="Z85" s="110"/>
    </row>
    <row r="86" spans="2:26" s="108" customFormat="1">
      <c r="B86" s="97"/>
      <c r="C86" s="110"/>
      <c r="D86" s="109"/>
      <c r="E86" s="97"/>
      <c r="F86" s="97"/>
      <c r="G86" s="109"/>
      <c r="H86" s="109"/>
      <c r="I86" s="98"/>
      <c r="J86" s="98"/>
      <c r="K86" s="83"/>
      <c r="L86" s="110"/>
      <c r="M86" s="110"/>
      <c r="N86" s="110"/>
      <c r="O86" s="111"/>
      <c r="P86" s="111"/>
      <c r="Q86" s="111"/>
      <c r="R86" s="111"/>
      <c r="Y86" s="110"/>
      <c r="Z86" s="110"/>
    </row>
    <row r="87" spans="2:26" s="108" customFormat="1">
      <c r="B87" s="97"/>
      <c r="C87" s="110"/>
      <c r="D87" s="109"/>
      <c r="E87" s="97"/>
      <c r="F87" s="97"/>
      <c r="G87" s="109"/>
      <c r="H87" s="109"/>
      <c r="I87" s="98"/>
      <c r="J87" s="98"/>
      <c r="K87" s="83"/>
      <c r="L87" s="110"/>
      <c r="M87" s="110"/>
      <c r="N87" s="110"/>
      <c r="O87" s="111"/>
      <c r="P87" s="111"/>
      <c r="Q87" s="111"/>
      <c r="R87" s="111"/>
      <c r="Y87" s="110"/>
      <c r="Z87" s="110"/>
    </row>
    <row r="88" spans="2:26" s="108" customFormat="1">
      <c r="B88" s="97"/>
      <c r="C88" s="110"/>
      <c r="D88" s="109"/>
      <c r="E88" s="97"/>
      <c r="F88" s="97"/>
      <c r="G88" s="109"/>
      <c r="H88" s="109"/>
      <c r="I88" s="98"/>
      <c r="J88" s="98"/>
      <c r="K88" s="83"/>
      <c r="L88" s="110"/>
      <c r="M88" s="110"/>
      <c r="N88" s="110"/>
      <c r="O88" s="111"/>
      <c r="P88" s="111"/>
      <c r="Q88" s="111"/>
      <c r="R88" s="111"/>
      <c r="Y88" s="110"/>
      <c r="Z88" s="110"/>
    </row>
    <row r="89" spans="2:26" s="108" customFormat="1">
      <c r="B89" s="97"/>
      <c r="C89" s="110"/>
      <c r="D89" s="109"/>
      <c r="E89" s="97"/>
      <c r="F89" s="97"/>
      <c r="G89" s="109"/>
      <c r="H89" s="109"/>
      <c r="I89" s="98"/>
      <c r="J89" s="98"/>
      <c r="K89" s="83"/>
      <c r="L89" s="110"/>
      <c r="M89" s="110"/>
      <c r="N89" s="110"/>
      <c r="O89" s="111"/>
      <c r="P89" s="111"/>
      <c r="Q89" s="111"/>
      <c r="R89" s="111"/>
      <c r="Y89" s="110"/>
      <c r="Z89" s="110"/>
    </row>
    <row r="90" spans="2:26" s="108" customFormat="1">
      <c r="B90" s="97"/>
      <c r="C90" s="110"/>
      <c r="D90" s="109"/>
      <c r="E90" s="97"/>
      <c r="F90" s="97"/>
      <c r="G90" s="109"/>
      <c r="H90" s="109"/>
      <c r="I90" s="98"/>
      <c r="J90" s="98"/>
      <c r="K90" s="83"/>
      <c r="L90" s="110"/>
      <c r="M90" s="110"/>
      <c r="N90" s="110"/>
      <c r="O90" s="111"/>
      <c r="P90" s="111"/>
      <c r="Q90" s="111"/>
      <c r="R90" s="111"/>
      <c r="Y90" s="110"/>
      <c r="Z90" s="110"/>
    </row>
    <row r="91" spans="2:26" s="108" customFormat="1">
      <c r="B91" s="97"/>
      <c r="C91" s="110"/>
      <c r="D91" s="109"/>
      <c r="E91" s="97"/>
      <c r="F91" s="97"/>
      <c r="G91" s="109"/>
      <c r="H91" s="109"/>
      <c r="I91" s="98"/>
      <c r="J91" s="98"/>
      <c r="K91" s="83"/>
      <c r="L91" s="110"/>
      <c r="M91" s="110"/>
      <c r="N91" s="110"/>
      <c r="O91" s="111"/>
      <c r="P91" s="111"/>
      <c r="Q91" s="111"/>
      <c r="R91" s="111"/>
      <c r="Y91" s="110"/>
      <c r="Z91" s="110"/>
    </row>
    <row r="92" spans="2:26" s="108" customFormat="1">
      <c r="B92" s="97"/>
      <c r="C92" s="110"/>
      <c r="D92" s="109"/>
      <c r="E92" s="97"/>
      <c r="F92" s="97"/>
      <c r="G92" s="109"/>
      <c r="H92" s="109"/>
      <c r="I92" s="98"/>
      <c r="J92" s="98"/>
      <c r="K92" s="83"/>
      <c r="L92" s="110"/>
      <c r="M92" s="110"/>
      <c r="N92" s="110"/>
      <c r="O92" s="111"/>
      <c r="P92" s="111"/>
      <c r="Q92" s="111"/>
      <c r="R92" s="111"/>
      <c r="Y92" s="110"/>
      <c r="Z92" s="110"/>
    </row>
    <row r="93" spans="2:26" s="108" customFormat="1">
      <c r="B93" s="97"/>
      <c r="C93" s="110"/>
      <c r="D93" s="109"/>
      <c r="E93" s="97"/>
      <c r="F93" s="97"/>
      <c r="G93" s="109"/>
      <c r="H93" s="109"/>
      <c r="I93" s="98"/>
      <c r="J93" s="98"/>
      <c r="K93" s="83"/>
      <c r="L93" s="110"/>
      <c r="M93" s="110"/>
      <c r="N93" s="110"/>
      <c r="O93" s="111"/>
      <c r="P93" s="111"/>
      <c r="Q93" s="111"/>
      <c r="R93" s="111"/>
      <c r="Y93" s="110"/>
      <c r="Z93" s="110"/>
    </row>
    <row r="94" spans="2:26" s="108" customFormat="1">
      <c r="B94" s="97"/>
      <c r="C94" s="110"/>
      <c r="D94" s="109"/>
      <c r="E94" s="97"/>
      <c r="F94" s="97"/>
      <c r="G94" s="109"/>
      <c r="H94" s="109"/>
      <c r="I94" s="98"/>
      <c r="J94" s="98"/>
      <c r="K94" s="83"/>
      <c r="L94" s="110"/>
      <c r="M94" s="110"/>
      <c r="N94" s="110"/>
      <c r="O94" s="111"/>
      <c r="P94" s="111"/>
      <c r="Q94" s="111"/>
      <c r="R94" s="111"/>
      <c r="Y94" s="110"/>
      <c r="Z94" s="110"/>
    </row>
    <row r="95" spans="2:26" s="108" customFormat="1">
      <c r="B95" s="97"/>
      <c r="C95" s="110"/>
      <c r="D95" s="109"/>
      <c r="E95" s="97"/>
      <c r="F95" s="97"/>
      <c r="G95" s="109"/>
      <c r="H95" s="109"/>
      <c r="I95" s="98"/>
      <c r="J95" s="98"/>
      <c r="K95" s="83"/>
      <c r="L95" s="110"/>
      <c r="M95" s="110"/>
      <c r="N95" s="110"/>
      <c r="O95" s="111"/>
      <c r="P95" s="111"/>
      <c r="Q95" s="111"/>
      <c r="R95" s="111"/>
      <c r="Y95" s="110"/>
      <c r="Z95" s="110"/>
    </row>
    <row r="96" spans="2:26" s="108" customFormat="1">
      <c r="B96" s="97"/>
      <c r="C96" s="110"/>
      <c r="D96" s="109"/>
      <c r="E96" s="97"/>
      <c r="F96" s="97"/>
      <c r="G96" s="109"/>
      <c r="H96" s="109"/>
      <c r="I96" s="98"/>
      <c r="J96" s="98"/>
      <c r="K96" s="83"/>
      <c r="L96" s="110"/>
      <c r="M96" s="110"/>
      <c r="N96" s="110"/>
      <c r="O96" s="111"/>
      <c r="P96" s="111"/>
      <c r="Q96" s="111"/>
      <c r="R96" s="111"/>
      <c r="Y96" s="110"/>
      <c r="Z96" s="110"/>
    </row>
    <row r="97" spans="2:26" s="108" customFormat="1">
      <c r="B97" s="97"/>
      <c r="C97" s="110"/>
      <c r="D97" s="109"/>
      <c r="E97" s="97"/>
      <c r="F97" s="97"/>
      <c r="G97" s="109"/>
      <c r="H97" s="109"/>
      <c r="I97" s="98"/>
      <c r="J97" s="98"/>
      <c r="K97" s="83"/>
      <c r="L97" s="110"/>
      <c r="M97" s="110"/>
      <c r="N97" s="110"/>
      <c r="O97" s="111"/>
      <c r="P97" s="111"/>
      <c r="Q97" s="111"/>
      <c r="R97" s="111"/>
      <c r="Y97" s="110"/>
      <c r="Z97" s="110"/>
    </row>
    <row r="98" spans="2:26" s="108" customFormat="1">
      <c r="B98" s="97"/>
      <c r="C98" s="110"/>
      <c r="D98" s="109"/>
      <c r="E98" s="97"/>
      <c r="F98" s="97"/>
      <c r="G98" s="109"/>
      <c r="H98" s="109"/>
      <c r="I98" s="98"/>
      <c r="J98" s="98"/>
      <c r="K98" s="83"/>
      <c r="L98" s="110"/>
      <c r="M98" s="110"/>
      <c r="N98" s="110"/>
      <c r="O98" s="111"/>
      <c r="P98" s="111"/>
      <c r="Q98" s="111"/>
      <c r="R98" s="111"/>
      <c r="Y98" s="110"/>
      <c r="Z98" s="110"/>
    </row>
    <row r="99" spans="2:26" s="108" customFormat="1">
      <c r="B99" s="97"/>
      <c r="C99" s="110"/>
      <c r="D99" s="109"/>
      <c r="E99" s="97"/>
      <c r="F99" s="97"/>
      <c r="G99" s="109"/>
      <c r="H99" s="109"/>
      <c r="I99" s="98"/>
      <c r="J99" s="98"/>
      <c r="K99" s="83"/>
      <c r="L99" s="110"/>
      <c r="M99" s="110"/>
      <c r="N99" s="110"/>
      <c r="O99" s="111"/>
      <c r="P99" s="111"/>
      <c r="Q99" s="111"/>
      <c r="R99" s="111"/>
      <c r="Y99" s="110"/>
      <c r="Z99" s="110"/>
    </row>
    <row r="100" spans="2:26" s="108" customFormat="1">
      <c r="B100" s="97"/>
      <c r="C100" s="110"/>
      <c r="D100" s="109"/>
      <c r="E100" s="97"/>
      <c r="F100" s="97"/>
      <c r="G100" s="109"/>
      <c r="H100" s="109"/>
      <c r="I100" s="98"/>
      <c r="J100" s="98"/>
      <c r="K100" s="83"/>
      <c r="L100" s="110"/>
      <c r="M100" s="110"/>
      <c r="N100" s="110"/>
      <c r="O100" s="111"/>
      <c r="P100" s="111"/>
      <c r="Q100" s="111"/>
      <c r="R100" s="111"/>
      <c r="Y100" s="110"/>
      <c r="Z100" s="110"/>
    </row>
    <row r="101" spans="2:26" s="108" customFormat="1">
      <c r="B101" s="97"/>
      <c r="C101" s="110"/>
      <c r="D101" s="109"/>
      <c r="E101" s="97"/>
      <c r="F101" s="97"/>
      <c r="G101" s="109"/>
      <c r="H101" s="109"/>
      <c r="I101" s="98"/>
      <c r="J101" s="98"/>
      <c r="K101" s="83"/>
      <c r="L101" s="110"/>
      <c r="M101" s="110"/>
      <c r="N101" s="110"/>
      <c r="O101" s="111"/>
      <c r="P101" s="111"/>
      <c r="Q101" s="111"/>
      <c r="R101" s="111"/>
      <c r="Y101" s="110"/>
      <c r="Z101" s="110"/>
    </row>
    <row r="102" spans="2:26" s="108" customFormat="1">
      <c r="B102" s="97"/>
      <c r="C102" s="110"/>
      <c r="D102" s="109"/>
      <c r="E102" s="97"/>
      <c r="F102" s="97"/>
      <c r="G102" s="109"/>
      <c r="H102" s="109"/>
      <c r="I102" s="98"/>
      <c r="J102" s="98"/>
      <c r="K102" s="83"/>
      <c r="L102" s="110"/>
      <c r="M102" s="110"/>
      <c r="N102" s="110"/>
      <c r="O102" s="111"/>
      <c r="P102" s="111"/>
      <c r="Q102" s="111"/>
      <c r="R102" s="111"/>
      <c r="Y102" s="110"/>
      <c r="Z102" s="110"/>
    </row>
    <row r="103" spans="2:26" s="108" customFormat="1">
      <c r="B103" s="97"/>
      <c r="C103" s="110"/>
      <c r="D103" s="109"/>
      <c r="E103" s="97"/>
      <c r="F103" s="97"/>
      <c r="G103" s="109"/>
      <c r="H103" s="109"/>
      <c r="I103" s="98"/>
      <c r="J103" s="98"/>
      <c r="K103" s="83"/>
      <c r="L103" s="110"/>
      <c r="M103" s="110"/>
      <c r="N103" s="110"/>
      <c r="O103" s="111"/>
      <c r="P103" s="111"/>
      <c r="Q103" s="111"/>
      <c r="R103" s="111"/>
      <c r="Y103" s="110"/>
      <c r="Z103" s="110"/>
    </row>
    <row r="104" spans="2:26" s="108" customFormat="1">
      <c r="B104" s="97"/>
      <c r="C104" s="110"/>
      <c r="D104" s="109"/>
      <c r="E104" s="97"/>
      <c r="F104" s="97"/>
      <c r="G104" s="109"/>
      <c r="H104" s="109"/>
      <c r="I104" s="98"/>
      <c r="J104" s="98"/>
      <c r="K104" s="83"/>
      <c r="L104" s="110"/>
      <c r="M104" s="110"/>
      <c r="N104" s="110"/>
      <c r="O104" s="111"/>
      <c r="P104" s="111"/>
      <c r="Q104" s="111"/>
      <c r="R104" s="111"/>
      <c r="Y104" s="110"/>
      <c r="Z104" s="110"/>
    </row>
    <row r="105" spans="2:26" s="108" customFormat="1">
      <c r="B105" s="97"/>
      <c r="C105" s="110"/>
      <c r="D105" s="109"/>
      <c r="E105" s="97"/>
      <c r="F105" s="97"/>
      <c r="G105" s="109"/>
      <c r="H105" s="109"/>
      <c r="I105" s="98"/>
      <c r="J105" s="98"/>
      <c r="K105" s="83"/>
      <c r="L105" s="110"/>
      <c r="M105" s="110"/>
      <c r="N105" s="110"/>
      <c r="O105" s="111"/>
      <c r="P105" s="111"/>
      <c r="Q105" s="111"/>
      <c r="R105" s="111"/>
      <c r="Y105" s="110"/>
      <c r="Z105" s="110"/>
    </row>
    <row r="106" spans="2:26" s="108" customFormat="1">
      <c r="B106" s="97"/>
      <c r="C106" s="110"/>
      <c r="D106" s="109"/>
      <c r="E106" s="97"/>
      <c r="F106" s="97"/>
      <c r="G106" s="109"/>
      <c r="H106" s="109"/>
      <c r="I106" s="98"/>
      <c r="J106" s="98"/>
      <c r="K106" s="83"/>
      <c r="L106" s="110"/>
      <c r="M106" s="110"/>
      <c r="N106" s="110"/>
      <c r="O106" s="111"/>
      <c r="P106" s="111"/>
      <c r="Q106" s="111"/>
      <c r="R106" s="111"/>
      <c r="Y106" s="110"/>
      <c r="Z106" s="110"/>
    </row>
    <row r="107" spans="2:26" s="108" customFormat="1">
      <c r="B107" s="97"/>
      <c r="C107" s="110"/>
      <c r="D107" s="109"/>
      <c r="E107" s="97"/>
      <c r="F107" s="97"/>
      <c r="G107" s="109"/>
      <c r="H107" s="109"/>
      <c r="I107" s="98"/>
      <c r="J107" s="98"/>
      <c r="K107" s="83"/>
      <c r="L107" s="110"/>
      <c r="M107" s="110"/>
      <c r="N107" s="110"/>
      <c r="O107" s="111"/>
      <c r="P107" s="111"/>
      <c r="Q107" s="111"/>
      <c r="R107" s="111"/>
      <c r="Y107" s="110"/>
      <c r="Z107" s="110"/>
    </row>
    <row r="108" spans="2:26" s="108" customFormat="1">
      <c r="B108" s="97"/>
      <c r="C108" s="110"/>
      <c r="D108" s="109"/>
      <c r="E108" s="97"/>
      <c r="F108" s="97"/>
      <c r="G108" s="109"/>
      <c r="H108" s="109"/>
      <c r="I108" s="98"/>
      <c r="J108" s="98"/>
      <c r="K108" s="83"/>
      <c r="L108" s="110"/>
      <c r="M108" s="110"/>
      <c r="N108" s="110"/>
      <c r="O108" s="111"/>
      <c r="P108" s="111"/>
      <c r="Q108" s="111"/>
      <c r="R108" s="111"/>
      <c r="Y108" s="110"/>
      <c r="Z108" s="110"/>
    </row>
    <row r="109" spans="2:26" s="108" customFormat="1">
      <c r="B109" s="97"/>
      <c r="C109" s="110"/>
      <c r="D109" s="109"/>
      <c r="E109" s="97"/>
      <c r="F109" s="97"/>
      <c r="G109" s="109"/>
      <c r="H109" s="109"/>
      <c r="I109" s="98"/>
      <c r="J109" s="98"/>
      <c r="K109" s="83"/>
      <c r="L109" s="110"/>
      <c r="M109" s="110"/>
      <c r="N109" s="110"/>
      <c r="O109" s="111"/>
      <c r="P109" s="111"/>
      <c r="Q109" s="111"/>
      <c r="R109" s="111"/>
      <c r="Y109" s="110"/>
      <c r="Z109" s="110"/>
    </row>
    <row r="110" spans="2:26" s="108" customFormat="1">
      <c r="B110" s="97"/>
      <c r="C110" s="110"/>
      <c r="D110" s="109"/>
      <c r="E110" s="97"/>
      <c r="F110" s="97"/>
      <c r="G110" s="109"/>
      <c r="H110" s="109"/>
      <c r="I110" s="98"/>
      <c r="J110" s="98"/>
      <c r="K110" s="83"/>
      <c r="L110" s="110"/>
      <c r="M110" s="110"/>
      <c r="N110" s="110"/>
      <c r="O110" s="111"/>
      <c r="P110" s="111"/>
      <c r="Q110" s="111"/>
      <c r="R110" s="111"/>
      <c r="Y110" s="110"/>
      <c r="Z110" s="110"/>
    </row>
    <row r="111" spans="2:26" s="108" customFormat="1">
      <c r="B111" s="97"/>
      <c r="C111" s="110"/>
      <c r="D111" s="109"/>
      <c r="E111" s="97"/>
      <c r="F111" s="97"/>
      <c r="G111" s="109"/>
      <c r="H111" s="109"/>
      <c r="I111" s="98"/>
      <c r="J111" s="98"/>
      <c r="K111" s="83"/>
      <c r="L111" s="110"/>
      <c r="M111" s="110"/>
      <c r="N111" s="110"/>
      <c r="O111" s="111"/>
      <c r="P111" s="111"/>
      <c r="Q111" s="111"/>
      <c r="R111" s="111"/>
      <c r="Y111" s="110"/>
      <c r="Z111" s="110"/>
    </row>
    <row r="112" spans="2:26" s="108" customFormat="1">
      <c r="B112" s="97"/>
      <c r="C112" s="110"/>
      <c r="D112" s="109"/>
      <c r="E112" s="97"/>
      <c r="F112" s="97"/>
      <c r="G112" s="109"/>
      <c r="H112" s="109"/>
      <c r="I112" s="98"/>
      <c r="J112" s="98"/>
      <c r="K112" s="83"/>
      <c r="L112" s="110"/>
      <c r="M112" s="110"/>
      <c r="N112" s="110"/>
      <c r="O112" s="111"/>
      <c r="P112" s="111"/>
      <c r="Q112" s="111"/>
      <c r="R112" s="111"/>
      <c r="Y112" s="110"/>
      <c r="Z112" s="110"/>
    </row>
    <row r="113" spans="2:26" s="108" customFormat="1">
      <c r="B113" s="97"/>
      <c r="C113" s="110"/>
      <c r="D113" s="109"/>
      <c r="E113" s="97"/>
      <c r="F113" s="97"/>
      <c r="G113" s="109"/>
      <c r="H113" s="109"/>
      <c r="I113" s="98"/>
      <c r="J113" s="98"/>
      <c r="K113" s="83"/>
      <c r="L113" s="110"/>
      <c r="M113" s="110"/>
      <c r="N113" s="110"/>
      <c r="O113" s="111"/>
      <c r="P113" s="111"/>
      <c r="Q113" s="111"/>
      <c r="R113" s="111"/>
      <c r="Y113" s="110"/>
      <c r="Z113" s="110"/>
    </row>
    <row r="114" spans="2:26" s="108" customFormat="1">
      <c r="B114" s="97"/>
      <c r="C114" s="110"/>
      <c r="D114" s="109"/>
      <c r="E114" s="97"/>
      <c r="F114" s="97"/>
      <c r="G114" s="109"/>
      <c r="H114" s="109"/>
      <c r="I114" s="98"/>
      <c r="J114" s="98"/>
      <c r="K114" s="83"/>
      <c r="L114" s="110"/>
      <c r="M114" s="110"/>
      <c r="N114" s="110"/>
      <c r="O114" s="111"/>
      <c r="P114" s="111"/>
      <c r="Q114" s="111"/>
      <c r="R114" s="111"/>
      <c r="Y114" s="110"/>
      <c r="Z114" s="110"/>
    </row>
    <row r="115" spans="2:26" s="108" customFormat="1">
      <c r="B115" s="97"/>
      <c r="C115" s="110"/>
      <c r="D115" s="109"/>
      <c r="E115" s="97"/>
      <c r="F115" s="97"/>
      <c r="G115" s="109"/>
      <c r="H115" s="109"/>
      <c r="I115" s="98"/>
      <c r="J115" s="98"/>
      <c r="K115" s="83"/>
      <c r="L115" s="110"/>
      <c r="M115" s="110"/>
      <c r="N115" s="110"/>
      <c r="O115" s="111"/>
      <c r="P115" s="111"/>
      <c r="Q115" s="111"/>
      <c r="R115" s="111"/>
      <c r="Y115" s="110"/>
      <c r="Z115" s="110"/>
    </row>
    <row r="116" spans="2:26" s="108" customFormat="1">
      <c r="B116" s="97"/>
      <c r="C116" s="110"/>
      <c r="D116" s="109"/>
      <c r="E116" s="97"/>
      <c r="F116" s="97"/>
      <c r="G116" s="109"/>
      <c r="H116" s="109"/>
      <c r="I116" s="98"/>
      <c r="J116" s="98"/>
      <c r="K116" s="83"/>
      <c r="L116" s="110"/>
      <c r="M116" s="110"/>
      <c r="N116" s="110"/>
      <c r="O116" s="111"/>
      <c r="P116" s="111"/>
      <c r="Q116" s="111"/>
      <c r="R116" s="111"/>
      <c r="Y116" s="110"/>
      <c r="Z116" s="110"/>
    </row>
    <row r="117" spans="2:26" s="108" customFormat="1">
      <c r="B117" s="97"/>
      <c r="C117" s="110"/>
      <c r="D117" s="109"/>
      <c r="E117" s="97"/>
      <c r="F117" s="97"/>
      <c r="G117" s="109"/>
      <c r="H117" s="109"/>
      <c r="I117" s="98"/>
      <c r="J117" s="98"/>
      <c r="K117" s="83"/>
      <c r="L117" s="110"/>
      <c r="M117" s="110"/>
      <c r="N117" s="110"/>
      <c r="O117" s="111"/>
      <c r="P117" s="111"/>
      <c r="Q117" s="111"/>
      <c r="R117" s="111"/>
      <c r="Y117" s="110"/>
      <c r="Z117" s="110"/>
    </row>
    <row r="118" spans="2:26" s="108" customFormat="1">
      <c r="B118" s="97"/>
      <c r="C118" s="110"/>
      <c r="D118" s="109"/>
      <c r="E118" s="97"/>
      <c r="F118" s="97"/>
      <c r="G118" s="109"/>
      <c r="H118" s="109"/>
      <c r="I118" s="98"/>
      <c r="J118" s="98"/>
      <c r="K118" s="83"/>
      <c r="L118" s="110"/>
      <c r="M118" s="110"/>
      <c r="N118" s="110"/>
      <c r="O118" s="111"/>
      <c r="P118" s="111"/>
      <c r="Q118" s="111"/>
      <c r="R118" s="111"/>
      <c r="Y118" s="110"/>
      <c r="Z118" s="110"/>
    </row>
    <row r="119" spans="2:26" s="108" customFormat="1">
      <c r="B119" s="97"/>
      <c r="C119" s="110"/>
      <c r="D119" s="109"/>
      <c r="E119" s="97"/>
      <c r="F119" s="97"/>
      <c r="G119" s="109"/>
      <c r="H119" s="109"/>
      <c r="I119" s="98"/>
      <c r="J119" s="98"/>
      <c r="K119" s="83"/>
      <c r="L119" s="110"/>
      <c r="M119" s="110"/>
      <c r="N119" s="110"/>
      <c r="O119" s="111"/>
      <c r="P119" s="111"/>
      <c r="Q119" s="111"/>
      <c r="R119" s="111"/>
      <c r="Y119" s="110"/>
      <c r="Z119" s="110"/>
    </row>
    <row r="120" spans="2:26" s="108" customFormat="1">
      <c r="B120" s="97"/>
      <c r="C120" s="110"/>
      <c r="D120" s="109"/>
      <c r="E120" s="97"/>
      <c r="F120" s="97"/>
      <c r="G120" s="109"/>
      <c r="H120" s="109"/>
      <c r="I120" s="98"/>
      <c r="J120" s="98"/>
      <c r="K120" s="83"/>
      <c r="L120" s="110"/>
      <c r="M120" s="110"/>
      <c r="N120" s="110"/>
      <c r="O120" s="111"/>
      <c r="P120" s="111"/>
      <c r="Q120" s="111"/>
      <c r="R120" s="111"/>
      <c r="Y120" s="110"/>
      <c r="Z120" s="110"/>
    </row>
    <row r="121" spans="2:26" s="108" customFormat="1">
      <c r="B121" s="97"/>
      <c r="C121" s="110"/>
      <c r="D121" s="109"/>
      <c r="E121" s="97"/>
      <c r="F121" s="97"/>
      <c r="G121" s="109"/>
      <c r="H121" s="109"/>
      <c r="I121" s="98"/>
      <c r="J121" s="98"/>
      <c r="K121" s="83"/>
      <c r="L121" s="110"/>
      <c r="M121" s="110"/>
      <c r="N121" s="110"/>
      <c r="O121" s="111"/>
      <c r="P121" s="111"/>
      <c r="Q121" s="111"/>
      <c r="R121" s="111"/>
      <c r="Y121" s="110"/>
      <c r="Z121" s="110"/>
    </row>
    <row r="122" spans="2:26" s="108" customFormat="1">
      <c r="B122" s="97"/>
      <c r="C122" s="110"/>
      <c r="D122" s="109"/>
      <c r="E122" s="97"/>
      <c r="F122" s="97"/>
      <c r="G122" s="109"/>
      <c r="H122" s="109"/>
      <c r="I122" s="98"/>
      <c r="J122" s="98"/>
      <c r="K122" s="83"/>
      <c r="L122" s="110"/>
      <c r="M122" s="110"/>
      <c r="N122" s="110"/>
      <c r="O122" s="111"/>
      <c r="P122" s="111"/>
      <c r="Q122" s="111"/>
      <c r="R122" s="111"/>
      <c r="Y122" s="110"/>
      <c r="Z122" s="110"/>
    </row>
    <row r="123" spans="2:26" s="108" customFormat="1">
      <c r="B123" s="97"/>
      <c r="C123" s="110"/>
      <c r="D123" s="109"/>
      <c r="E123" s="97"/>
      <c r="F123" s="97"/>
      <c r="G123" s="109"/>
      <c r="H123" s="109"/>
      <c r="I123" s="98"/>
      <c r="J123" s="98"/>
      <c r="K123" s="83"/>
      <c r="L123" s="110"/>
      <c r="M123" s="110"/>
      <c r="N123" s="110"/>
      <c r="O123" s="111"/>
      <c r="P123" s="111"/>
      <c r="Q123" s="111"/>
      <c r="R123" s="111"/>
      <c r="Y123" s="110"/>
      <c r="Z123" s="110"/>
    </row>
    <row r="124" spans="2:26" s="108" customFormat="1">
      <c r="B124" s="97"/>
      <c r="C124" s="110"/>
      <c r="D124" s="109"/>
      <c r="E124" s="97"/>
      <c r="F124" s="97"/>
      <c r="G124" s="109"/>
      <c r="H124" s="109"/>
      <c r="I124" s="98"/>
      <c r="J124" s="98"/>
      <c r="K124" s="83"/>
      <c r="L124" s="110"/>
      <c r="M124" s="110"/>
      <c r="N124" s="110"/>
      <c r="O124" s="111"/>
      <c r="P124" s="111"/>
      <c r="Q124" s="111"/>
      <c r="R124" s="111"/>
      <c r="Y124" s="110"/>
      <c r="Z124" s="110"/>
    </row>
    <row r="125" spans="2:26" s="108" customFormat="1">
      <c r="B125" s="97"/>
      <c r="C125" s="110"/>
      <c r="D125" s="109"/>
      <c r="E125" s="97"/>
      <c r="F125" s="97"/>
      <c r="G125" s="109"/>
      <c r="H125" s="109"/>
      <c r="I125" s="98"/>
      <c r="J125" s="98"/>
      <c r="K125" s="83"/>
      <c r="L125" s="110"/>
      <c r="M125" s="110"/>
      <c r="N125" s="110"/>
      <c r="O125" s="111"/>
      <c r="P125" s="111"/>
      <c r="Q125" s="111"/>
      <c r="R125" s="111"/>
      <c r="Y125" s="110"/>
      <c r="Z125" s="110"/>
    </row>
    <row r="126" spans="2:26" s="108" customFormat="1">
      <c r="B126" s="97"/>
      <c r="C126" s="110"/>
      <c r="D126" s="109"/>
      <c r="E126" s="97"/>
      <c r="F126" s="97"/>
      <c r="G126" s="109"/>
      <c r="H126" s="109"/>
      <c r="I126" s="98"/>
      <c r="J126" s="98"/>
      <c r="K126" s="83"/>
      <c r="L126" s="110"/>
      <c r="M126" s="110"/>
      <c r="N126" s="110"/>
      <c r="O126" s="111"/>
      <c r="P126" s="111"/>
      <c r="Q126" s="111"/>
      <c r="R126" s="111"/>
      <c r="Y126" s="110"/>
      <c r="Z126" s="110"/>
    </row>
    <row r="127" spans="2:26" s="108" customFormat="1">
      <c r="B127" s="97"/>
      <c r="C127" s="110"/>
      <c r="D127" s="109"/>
      <c r="E127" s="97"/>
      <c r="F127" s="97"/>
      <c r="G127" s="109"/>
      <c r="H127" s="109"/>
      <c r="I127" s="98"/>
      <c r="J127" s="98"/>
      <c r="K127" s="83"/>
      <c r="L127" s="110"/>
      <c r="M127" s="110"/>
      <c r="N127" s="110"/>
      <c r="O127" s="111"/>
      <c r="P127" s="111"/>
      <c r="Q127" s="111"/>
      <c r="R127" s="111"/>
      <c r="Y127" s="110"/>
      <c r="Z127" s="110"/>
    </row>
    <row r="128" spans="2:26" s="108" customFormat="1">
      <c r="B128" s="97"/>
      <c r="C128" s="110"/>
      <c r="D128" s="109"/>
      <c r="E128" s="97"/>
      <c r="F128" s="97"/>
      <c r="G128" s="109"/>
      <c r="H128" s="109"/>
      <c r="I128" s="98"/>
      <c r="J128" s="98"/>
      <c r="K128" s="83"/>
      <c r="L128" s="110"/>
      <c r="M128" s="110"/>
      <c r="N128" s="110"/>
      <c r="O128" s="111"/>
      <c r="P128" s="111"/>
      <c r="Q128" s="111"/>
      <c r="R128" s="111"/>
      <c r="Y128" s="110"/>
      <c r="Z128" s="110"/>
    </row>
    <row r="129" spans="2:26" s="108" customFormat="1">
      <c r="B129" s="97"/>
      <c r="C129" s="110"/>
      <c r="D129" s="109"/>
      <c r="E129" s="97"/>
      <c r="F129" s="97"/>
      <c r="G129" s="109"/>
      <c r="H129" s="109"/>
      <c r="I129" s="98"/>
      <c r="J129" s="98"/>
      <c r="K129" s="83"/>
      <c r="L129" s="110"/>
      <c r="M129" s="110"/>
      <c r="N129" s="110"/>
      <c r="O129" s="111"/>
      <c r="P129" s="111"/>
      <c r="Q129" s="111"/>
      <c r="R129" s="111"/>
      <c r="Y129" s="110"/>
      <c r="Z129" s="110"/>
    </row>
    <row r="130" spans="2:26" s="108" customFormat="1">
      <c r="B130" s="97"/>
      <c r="C130" s="110"/>
      <c r="D130" s="109"/>
      <c r="E130" s="97"/>
      <c r="F130" s="97"/>
      <c r="G130" s="109"/>
      <c r="H130" s="109"/>
      <c r="I130" s="98"/>
      <c r="J130" s="98"/>
      <c r="K130" s="83"/>
      <c r="L130" s="110"/>
      <c r="M130" s="110"/>
      <c r="N130" s="110"/>
      <c r="O130" s="111"/>
      <c r="P130" s="111"/>
      <c r="Q130" s="111"/>
      <c r="R130" s="111"/>
      <c r="Y130" s="110"/>
      <c r="Z130" s="110"/>
    </row>
    <row r="131" spans="2:26" s="108" customFormat="1">
      <c r="B131" s="97"/>
      <c r="C131" s="110"/>
      <c r="D131" s="109"/>
      <c r="E131" s="97"/>
      <c r="F131" s="97"/>
      <c r="G131" s="109"/>
      <c r="H131" s="109"/>
      <c r="I131" s="98"/>
      <c r="J131" s="98"/>
      <c r="K131" s="83"/>
      <c r="L131" s="110"/>
      <c r="M131" s="110"/>
      <c r="N131" s="110"/>
      <c r="O131" s="111"/>
      <c r="P131" s="111"/>
      <c r="Q131" s="111"/>
      <c r="R131" s="111"/>
      <c r="Y131" s="110"/>
      <c r="Z131" s="110"/>
    </row>
    <row r="132" spans="2:26" s="108" customFormat="1">
      <c r="B132" s="97"/>
      <c r="C132" s="110"/>
      <c r="D132" s="109"/>
      <c r="E132" s="97"/>
      <c r="F132" s="97"/>
      <c r="G132" s="109"/>
      <c r="H132" s="109"/>
      <c r="I132" s="98"/>
      <c r="J132" s="98"/>
      <c r="K132" s="83"/>
      <c r="L132" s="110"/>
      <c r="M132" s="110"/>
      <c r="N132" s="110"/>
      <c r="O132" s="111"/>
      <c r="P132" s="111"/>
      <c r="Q132" s="111"/>
      <c r="R132" s="111"/>
      <c r="Y132" s="110"/>
      <c r="Z132" s="110"/>
    </row>
    <row r="133" spans="2:26" s="108" customFormat="1">
      <c r="B133" s="97"/>
      <c r="C133" s="110"/>
      <c r="D133" s="109"/>
      <c r="E133" s="97"/>
      <c r="F133" s="97"/>
      <c r="G133" s="109"/>
      <c r="H133" s="109"/>
      <c r="I133" s="98"/>
      <c r="J133" s="98"/>
      <c r="K133" s="83"/>
      <c r="L133" s="110"/>
      <c r="M133" s="110"/>
      <c r="N133" s="110"/>
      <c r="O133" s="111"/>
      <c r="P133" s="111"/>
      <c r="Q133" s="111"/>
      <c r="R133" s="111"/>
      <c r="Y133" s="110"/>
      <c r="Z133" s="110"/>
    </row>
    <row r="134" spans="2:26" s="108" customFormat="1">
      <c r="B134" s="97"/>
      <c r="C134" s="110"/>
      <c r="D134" s="109"/>
      <c r="E134" s="97"/>
      <c r="F134" s="97"/>
      <c r="G134" s="109"/>
      <c r="H134" s="109"/>
      <c r="I134" s="98"/>
      <c r="J134" s="98"/>
      <c r="K134" s="83"/>
      <c r="L134" s="110"/>
      <c r="M134" s="110"/>
      <c r="N134" s="110"/>
      <c r="O134" s="111"/>
      <c r="P134" s="111"/>
      <c r="Q134" s="111"/>
      <c r="R134" s="111"/>
      <c r="Y134" s="110"/>
      <c r="Z134" s="110"/>
    </row>
    <row r="135" spans="2:26" s="108" customFormat="1">
      <c r="B135" s="97"/>
      <c r="C135" s="110"/>
      <c r="D135" s="109"/>
      <c r="E135" s="97"/>
      <c r="F135" s="97"/>
      <c r="G135" s="109"/>
      <c r="H135" s="109"/>
      <c r="I135" s="98"/>
      <c r="J135" s="98"/>
      <c r="K135" s="83"/>
      <c r="L135" s="110"/>
      <c r="M135" s="110"/>
      <c r="N135" s="110"/>
      <c r="O135" s="111"/>
      <c r="P135" s="111"/>
      <c r="Q135" s="111"/>
      <c r="R135" s="111"/>
      <c r="Y135" s="110"/>
      <c r="Z135" s="110"/>
    </row>
    <row r="136" spans="2:26" s="108" customFormat="1">
      <c r="B136" s="97"/>
      <c r="C136" s="110"/>
      <c r="D136" s="109"/>
      <c r="E136" s="97"/>
      <c r="F136" s="97"/>
      <c r="G136" s="109"/>
      <c r="H136" s="109"/>
      <c r="I136" s="98"/>
      <c r="J136" s="98"/>
      <c r="K136" s="83"/>
      <c r="L136" s="110"/>
      <c r="M136" s="110"/>
      <c r="N136" s="110"/>
      <c r="O136" s="111"/>
      <c r="P136" s="111"/>
      <c r="Q136" s="111"/>
      <c r="R136" s="111"/>
      <c r="Y136" s="110"/>
      <c r="Z136" s="110"/>
    </row>
    <row r="137" spans="2:26" s="108" customFormat="1">
      <c r="B137" s="97"/>
      <c r="C137" s="110"/>
      <c r="D137" s="109"/>
      <c r="E137" s="97"/>
      <c r="F137" s="97"/>
      <c r="G137" s="109"/>
      <c r="H137" s="109"/>
      <c r="I137" s="98"/>
      <c r="J137" s="98"/>
      <c r="K137" s="83"/>
      <c r="L137" s="110"/>
      <c r="M137" s="110"/>
      <c r="N137" s="110"/>
      <c r="O137" s="111"/>
      <c r="P137" s="111"/>
      <c r="Q137" s="111"/>
      <c r="R137" s="111"/>
      <c r="Y137" s="110"/>
      <c r="Z137" s="110"/>
    </row>
    <row r="138" spans="2:26" s="108" customFormat="1">
      <c r="B138" s="97"/>
      <c r="C138" s="110"/>
      <c r="D138" s="109"/>
      <c r="E138" s="97"/>
      <c r="F138" s="97"/>
      <c r="G138" s="109"/>
      <c r="H138" s="109"/>
      <c r="I138" s="98"/>
      <c r="J138" s="98"/>
      <c r="K138" s="83"/>
      <c r="L138" s="110"/>
      <c r="M138" s="110"/>
      <c r="N138" s="110"/>
      <c r="O138" s="111"/>
      <c r="P138" s="111"/>
      <c r="Q138" s="111"/>
      <c r="R138" s="111"/>
      <c r="Y138" s="110"/>
      <c r="Z138" s="110"/>
    </row>
    <row r="139" spans="2:26" s="108" customFormat="1">
      <c r="B139" s="97"/>
      <c r="C139" s="110"/>
      <c r="D139" s="109"/>
      <c r="E139" s="97"/>
      <c r="F139" s="97"/>
      <c r="G139" s="109"/>
      <c r="H139" s="109"/>
      <c r="I139" s="98"/>
      <c r="J139" s="98"/>
      <c r="K139" s="83"/>
      <c r="L139" s="110"/>
      <c r="M139" s="110"/>
      <c r="N139" s="110"/>
      <c r="O139" s="111"/>
      <c r="P139" s="111"/>
      <c r="Q139" s="111"/>
      <c r="R139" s="111"/>
      <c r="Y139" s="110"/>
      <c r="Z139" s="110"/>
    </row>
    <row r="140" spans="2:26" s="108" customFormat="1">
      <c r="B140" s="97"/>
      <c r="C140" s="110"/>
      <c r="D140" s="109"/>
      <c r="E140" s="97"/>
      <c r="F140" s="97"/>
      <c r="G140" s="109"/>
      <c r="H140" s="109"/>
      <c r="I140" s="98"/>
      <c r="J140" s="98"/>
      <c r="K140" s="83"/>
      <c r="L140" s="110"/>
      <c r="M140" s="110"/>
      <c r="N140" s="110"/>
      <c r="O140" s="111"/>
      <c r="P140" s="111"/>
      <c r="Q140" s="111"/>
      <c r="R140" s="111"/>
      <c r="Y140" s="110"/>
      <c r="Z140" s="110"/>
    </row>
    <row r="141" spans="2:26" s="108" customFormat="1">
      <c r="B141" s="97"/>
      <c r="C141" s="110"/>
      <c r="D141" s="109"/>
      <c r="E141" s="97"/>
      <c r="F141" s="97"/>
      <c r="G141" s="109"/>
      <c r="H141" s="109"/>
      <c r="I141" s="98"/>
      <c r="J141" s="98"/>
      <c r="K141" s="83"/>
      <c r="L141" s="110"/>
      <c r="M141" s="110"/>
      <c r="N141" s="110"/>
      <c r="O141" s="111"/>
      <c r="P141" s="111"/>
      <c r="Q141" s="111"/>
      <c r="R141" s="111"/>
      <c r="Y141" s="110"/>
      <c r="Z141" s="110"/>
    </row>
    <row r="142" spans="2:26" s="108" customFormat="1">
      <c r="B142" s="97"/>
      <c r="C142" s="110"/>
      <c r="D142" s="109"/>
      <c r="E142" s="97"/>
      <c r="F142" s="97"/>
      <c r="G142" s="109"/>
      <c r="H142" s="109"/>
      <c r="I142" s="98"/>
      <c r="J142" s="98"/>
      <c r="K142" s="83"/>
      <c r="L142" s="110"/>
      <c r="M142" s="110"/>
      <c r="N142" s="110"/>
      <c r="O142" s="111"/>
      <c r="P142" s="111"/>
      <c r="Q142" s="111"/>
      <c r="R142" s="111"/>
      <c r="Y142" s="110"/>
      <c r="Z142" s="110"/>
    </row>
    <row r="143" spans="2:26" s="108" customFormat="1">
      <c r="B143" s="97"/>
      <c r="C143" s="110"/>
      <c r="D143" s="109"/>
      <c r="E143" s="97"/>
      <c r="F143" s="97"/>
      <c r="G143" s="109"/>
      <c r="H143" s="109"/>
      <c r="I143" s="98"/>
      <c r="J143" s="98"/>
      <c r="K143" s="83"/>
      <c r="L143" s="110"/>
      <c r="M143" s="110"/>
      <c r="N143" s="110"/>
      <c r="O143" s="111"/>
      <c r="P143" s="111"/>
      <c r="Q143" s="111"/>
      <c r="R143" s="111"/>
      <c r="Y143" s="110"/>
      <c r="Z143" s="110"/>
    </row>
    <row r="144" spans="2:26" s="108" customFormat="1">
      <c r="B144" s="97"/>
      <c r="C144" s="110"/>
      <c r="D144" s="109"/>
      <c r="E144" s="97"/>
      <c r="F144" s="97"/>
      <c r="G144" s="109"/>
      <c r="H144" s="109"/>
      <c r="I144" s="98"/>
      <c r="J144" s="98"/>
      <c r="K144" s="83"/>
      <c r="L144" s="110"/>
      <c r="M144" s="110"/>
      <c r="N144" s="110"/>
      <c r="O144" s="111"/>
      <c r="P144" s="111"/>
      <c r="Q144" s="111"/>
      <c r="R144" s="111"/>
      <c r="Y144" s="110"/>
      <c r="Z144" s="110"/>
    </row>
    <row r="145" spans="2:26" s="108" customFormat="1">
      <c r="B145" s="97"/>
      <c r="C145" s="110"/>
      <c r="D145" s="109"/>
      <c r="E145" s="97"/>
      <c r="F145" s="97"/>
      <c r="G145" s="109"/>
      <c r="H145" s="109"/>
      <c r="I145" s="98"/>
      <c r="J145" s="98"/>
      <c r="K145" s="83"/>
      <c r="L145" s="110"/>
      <c r="M145" s="110"/>
      <c r="N145" s="110"/>
      <c r="O145" s="111"/>
      <c r="P145" s="111"/>
      <c r="Q145" s="111"/>
      <c r="R145" s="111"/>
      <c r="Y145" s="110"/>
      <c r="Z145" s="110"/>
    </row>
    <row r="146" spans="2:26" s="108" customFormat="1">
      <c r="B146" s="97"/>
      <c r="C146" s="110"/>
      <c r="D146" s="109"/>
      <c r="E146" s="97"/>
      <c r="F146" s="97"/>
      <c r="G146" s="109"/>
      <c r="H146" s="109"/>
      <c r="I146" s="98"/>
      <c r="J146" s="98"/>
      <c r="K146" s="83"/>
      <c r="L146" s="110"/>
      <c r="M146" s="110"/>
      <c r="N146" s="110"/>
      <c r="O146" s="111"/>
      <c r="P146" s="111"/>
      <c r="Q146" s="111"/>
      <c r="R146" s="111"/>
      <c r="Y146" s="110"/>
      <c r="Z146" s="110"/>
    </row>
    <row r="147" spans="2:26" s="108" customFormat="1">
      <c r="B147" s="97"/>
      <c r="C147" s="110"/>
      <c r="D147" s="109"/>
      <c r="E147" s="97"/>
      <c r="F147" s="97"/>
      <c r="G147" s="109"/>
      <c r="H147" s="109"/>
      <c r="I147" s="98"/>
      <c r="J147" s="98"/>
      <c r="K147" s="83"/>
      <c r="L147" s="110"/>
      <c r="M147" s="110"/>
      <c r="N147" s="110"/>
      <c r="O147" s="111"/>
      <c r="P147" s="111"/>
      <c r="Q147" s="111"/>
      <c r="R147" s="111"/>
      <c r="Y147" s="110"/>
      <c r="Z147" s="110"/>
    </row>
    <row r="148" spans="2:26" s="108" customFormat="1">
      <c r="B148" s="97"/>
      <c r="C148" s="110"/>
      <c r="D148" s="109"/>
      <c r="E148" s="97"/>
      <c r="F148" s="97"/>
      <c r="G148" s="109"/>
      <c r="H148" s="109"/>
      <c r="I148" s="98"/>
      <c r="J148" s="98"/>
      <c r="K148" s="83"/>
      <c r="L148" s="110"/>
      <c r="M148" s="110"/>
      <c r="N148" s="110"/>
      <c r="O148" s="111"/>
      <c r="P148" s="111"/>
      <c r="Q148" s="111"/>
      <c r="R148" s="111"/>
      <c r="Y148" s="110"/>
      <c r="Z148" s="110"/>
    </row>
    <row r="149" spans="2:26" s="108" customFormat="1">
      <c r="B149" s="97"/>
      <c r="C149" s="110"/>
      <c r="D149" s="109"/>
      <c r="E149" s="97"/>
      <c r="F149" s="97"/>
      <c r="G149" s="109"/>
      <c r="H149" s="109"/>
      <c r="I149" s="98"/>
      <c r="J149" s="98"/>
      <c r="K149" s="83"/>
      <c r="L149" s="110"/>
      <c r="M149" s="110"/>
      <c r="N149" s="110"/>
      <c r="O149" s="111"/>
      <c r="P149" s="111"/>
      <c r="Q149" s="111"/>
      <c r="R149" s="111"/>
      <c r="Y149" s="110"/>
      <c r="Z149" s="110"/>
    </row>
    <row r="150" spans="2:26" s="108" customFormat="1">
      <c r="B150" s="97"/>
      <c r="C150" s="110"/>
      <c r="D150" s="109"/>
      <c r="E150" s="97"/>
      <c r="F150" s="97"/>
      <c r="G150" s="109"/>
      <c r="H150" s="109"/>
      <c r="I150" s="98"/>
      <c r="J150" s="98"/>
      <c r="K150" s="83"/>
      <c r="L150" s="110"/>
      <c r="M150" s="110"/>
      <c r="N150" s="110"/>
      <c r="O150" s="111"/>
      <c r="P150" s="111"/>
      <c r="Q150" s="111"/>
      <c r="R150" s="111"/>
      <c r="Y150" s="110"/>
      <c r="Z150" s="110"/>
    </row>
    <row r="151" spans="2:26" s="108" customFormat="1">
      <c r="B151" s="97"/>
      <c r="C151" s="110"/>
      <c r="D151" s="109"/>
      <c r="E151" s="97"/>
      <c r="F151" s="97"/>
      <c r="G151" s="109"/>
      <c r="H151" s="109"/>
      <c r="I151" s="98"/>
      <c r="J151" s="98"/>
      <c r="K151" s="83"/>
      <c r="L151" s="110"/>
      <c r="M151" s="110"/>
      <c r="N151" s="110"/>
      <c r="O151" s="111"/>
      <c r="P151" s="111"/>
      <c r="Q151" s="111"/>
      <c r="R151" s="111"/>
      <c r="Y151" s="110"/>
      <c r="Z151" s="110"/>
    </row>
    <row r="152" spans="2:26" s="108" customFormat="1">
      <c r="B152" s="97"/>
      <c r="C152" s="110"/>
      <c r="D152" s="109"/>
      <c r="E152" s="97"/>
      <c r="F152" s="97"/>
      <c r="G152" s="109"/>
      <c r="H152" s="109"/>
      <c r="I152" s="98"/>
      <c r="J152" s="98"/>
      <c r="K152" s="83"/>
      <c r="L152" s="110"/>
      <c r="M152" s="110"/>
      <c r="N152" s="110"/>
      <c r="O152" s="111"/>
      <c r="P152" s="111"/>
      <c r="Q152" s="111"/>
      <c r="R152" s="111"/>
      <c r="Y152" s="110"/>
      <c r="Z152" s="110"/>
    </row>
    <row r="153" spans="2:26" s="108" customFormat="1">
      <c r="B153" s="97"/>
      <c r="C153" s="110"/>
      <c r="D153" s="109"/>
      <c r="E153" s="97"/>
      <c r="F153" s="97"/>
      <c r="G153" s="109"/>
      <c r="H153" s="109"/>
      <c r="I153" s="98"/>
      <c r="J153" s="98"/>
      <c r="K153" s="83"/>
      <c r="L153" s="110"/>
      <c r="M153" s="110"/>
      <c r="N153" s="110"/>
      <c r="O153" s="111"/>
      <c r="P153" s="111"/>
      <c r="Q153" s="111"/>
      <c r="R153" s="111"/>
      <c r="Y153" s="110"/>
      <c r="Z153" s="110"/>
    </row>
    <row r="154" spans="2:26" s="108" customFormat="1">
      <c r="B154" s="97"/>
      <c r="C154" s="110"/>
      <c r="D154" s="109"/>
      <c r="E154" s="97"/>
      <c r="F154" s="97"/>
      <c r="G154" s="109"/>
      <c r="H154" s="109"/>
      <c r="I154" s="98"/>
      <c r="J154" s="98"/>
      <c r="K154" s="83"/>
      <c r="L154" s="110"/>
      <c r="M154" s="110"/>
      <c r="N154" s="110"/>
      <c r="O154" s="111"/>
      <c r="P154" s="111"/>
      <c r="Q154" s="111"/>
      <c r="R154" s="111"/>
      <c r="Y154" s="110"/>
      <c r="Z154" s="110"/>
    </row>
    <row r="155" spans="2:26" s="108" customFormat="1">
      <c r="B155" s="97"/>
      <c r="C155" s="110"/>
      <c r="D155" s="109"/>
      <c r="E155" s="97"/>
      <c r="F155" s="97"/>
      <c r="G155" s="109"/>
      <c r="H155" s="109"/>
      <c r="I155" s="98"/>
      <c r="J155" s="98"/>
      <c r="K155" s="83"/>
      <c r="L155" s="110"/>
      <c r="M155" s="110"/>
      <c r="N155" s="110"/>
      <c r="O155" s="111"/>
      <c r="P155" s="111"/>
      <c r="Q155" s="111"/>
      <c r="R155" s="111"/>
      <c r="Y155" s="110"/>
      <c r="Z155" s="110"/>
    </row>
    <row r="156" spans="2:26" s="108" customFormat="1">
      <c r="B156" s="97"/>
      <c r="C156" s="110"/>
      <c r="D156" s="109"/>
      <c r="E156" s="97"/>
      <c r="F156" s="97"/>
      <c r="G156" s="109"/>
      <c r="H156" s="109"/>
      <c r="I156" s="98"/>
      <c r="J156" s="98"/>
      <c r="K156" s="83"/>
      <c r="L156" s="110"/>
      <c r="M156" s="110"/>
      <c r="N156" s="110"/>
      <c r="O156" s="111"/>
      <c r="P156" s="111"/>
      <c r="Q156" s="111"/>
      <c r="R156" s="111"/>
      <c r="Y156" s="110"/>
      <c r="Z156" s="110"/>
    </row>
    <row r="157" spans="2:26" s="108" customFormat="1">
      <c r="B157" s="97"/>
      <c r="C157" s="110"/>
      <c r="D157" s="109"/>
      <c r="E157" s="97"/>
      <c r="F157" s="97"/>
      <c r="G157" s="109"/>
      <c r="H157" s="109"/>
      <c r="I157" s="98"/>
      <c r="J157" s="98"/>
      <c r="K157" s="83"/>
      <c r="L157" s="110"/>
      <c r="M157" s="110"/>
      <c r="N157" s="110"/>
      <c r="O157" s="111"/>
      <c r="P157" s="111"/>
      <c r="Q157" s="111"/>
      <c r="R157" s="111"/>
      <c r="Y157" s="110"/>
      <c r="Z157" s="110"/>
    </row>
    <row r="158" spans="2:26" s="108" customFormat="1">
      <c r="B158" s="97"/>
      <c r="C158" s="110"/>
      <c r="D158" s="109"/>
      <c r="E158" s="97"/>
      <c r="F158" s="97"/>
      <c r="G158" s="109"/>
      <c r="H158" s="109"/>
      <c r="I158" s="98"/>
      <c r="J158" s="98"/>
      <c r="K158" s="83"/>
      <c r="L158" s="110"/>
      <c r="M158" s="110"/>
      <c r="N158" s="110"/>
      <c r="O158" s="111"/>
      <c r="P158" s="111"/>
      <c r="Q158" s="111"/>
      <c r="R158" s="111"/>
      <c r="Y158" s="110"/>
      <c r="Z158" s="110"/>
    </row>
    <row r="159" spans="2:26" s="108" customFormat="1">
      <c r="B159" s="97"/>
      <c r="C159" s="110"/>
      <c r="D159" s="109"/>
      <c r="E159" s="97"/>
      <c r="F159" s="97"/>
      <c r="G159" s="109"/>
      <c r="H159" s="109"/>
      <c r="I159" s="98"/>
      <c r="J159" s="98"/>
      <c r="K159" s="83"/>
      <c r="L159" s="110"/>
      <c r="M159" s="110"/>
      <c r="N159" s="110"/>
      <c r="O159" s="111"/>
      <c r="P159" s="111"/>
      <c r="Q159" s="111"/>
      <c r="R159" s="111"/>
      <c r="Y159" s="110"/>
      <c r="Z159" s="110"/>
    </row>
    <row r="160" spans="2:26" s="108" customFormat="1">
      <c r="B160" s="97"/>
      <c r="C160" s="110"/>
      <c r="D160" s="109"/>
      <c r="E160" s="97"/>
      <c r="F160" s="97"/>
      <c r="G160" s="109"/>
      <c r="H160" s="109"/>
      <c r="I160" s="98"/>
      <c r="J160" s="98"/>
      <c r="K160" s="83"/>
      <c r="L160" s="110"/>
      <c r="M160" s="110"/>
      <c r="N160" s="110"/>
      <c r="O160" s="111"/>
      <c r="P160" s="111"/>
      <c r="Q160" s="111"/>
      <c r="R160" s="111"/>
      <c r="Y160" s="110"/>
      <c r="Z160" s="110"/>
    </row>
    <row r="161" spans="2:26" s="108" customFormat="1">
      <c r="B161" s="97"/>
      <c r="C161" s="110"/>
      <c r="D161" s="109"/>
      <c r="E161" s="97"/>
      <c r="F161" s="97"/>
      <c r="G161" s="109"/>
      <c r="H161" s="109"/>
      <c r="I161" s="98"/>
      <c r="J161" s="98"/>
      <c r="K161" s="83"/>
      <c r="L161" s="110"/>
      <c r="M161" s="110"/>
      <c r="N161" s="110"/>
      <c r="O161" s="111"/>
      <c r="P161" s="111"/>
      <c r="Q161" s="111"/>
      <c r="R161" s="111"/>
      <c r="Y161" s="110"/>
      <c r="Z161" s="110"/>
    </row>
    <row r="162" spans="2:26" s="108" customFormat="1">
      <c r="B162" s="97"/>
      <c r="C162" s="110"/>
      <c r="D162" s="109"/>
      <c r="E162" s="97"/>
      <c r="F162" s="97"/>
      <c r="G162" s="109"/>
      <c r="H162" s="109"/>
      <c r="I162" s="98"/>
      <c r="J162" s="98"/>
      <c r="K162" s="83"/>
      <c r="L162" s="110"/>
      <c r="M162" s="110"/>
      <c r="N162" s="110"/>
      <c r="O162" s="111"/>
      <c r="P162" s="111"/>
      <c r="Q162" s="111"/>
      <c r="R162" s="111"/>
      <c r="Y162" s="110"/>
      <c r="Z162" s="110"/>
    </row>
    <row r="163" spans="2:26" s="108" customFormat="1">
      <c r="B163" s="97"/>
      <c r="C163" s="110"/>
      <c r="D163" s="109"/>
      <c r="E163" s="97"/>
      <c r="F163" s="97"/>
      <c r="G163" s="109"/>
      <c r="H163" s="109"/>
      <c r="I163" s="98"/>
      <c r="J163" s="98"/>
      <c r="K163" s="83"/>
      <c r="L163" s="110"/>
      <c r="M163" s="110"/>
      <c r="N163" s="110"/>
      <c r="O163" s="111"/>
      <c r="P163" s="111"/>
      <c r="Q163" s="111"/>
      <c r="R163" s="111"/>
      <c r="Y163" s="110"/>
      <c r="Z163" s="110"/>
    </row>
    <row r="164" spans="2:26" s="108" customFormat="1">
      <c r="B164" s="97"/>
      <c r="C164" s="110"/>
      <c r="D164" s="109"/>
      <c r="E164" s="97"/>
      <c r="F164" s="97"/>
      <c r="G164" s="109"/>
      <c r="H164" s="109"/>
      <c r="I164" s="98"/>
      <c r="J164" s="98"/>
      <c r="K164" s="83"/>
      <c r="L164" s="110"/>
      <c r="M164" s="110"/>
      <c r="N164" s="110"/>
      <c r="O164" s="111"/>
      <c r="P164" s="111"/>
      <c r="Q164" s="111"/>
      <c r="R164" s="111"/>
      <c r="Y164" s="110"/>
      <c r="Z164" s="110"/>
    </row>
    <row r="165" spans="2:26" s="108" customFormat="1">
      <c r="B165" s="97"/>
      <c r="C165" s="110"/>
      <c r="D165" s="109"/>
      <c r="E165" s="97"/>
      <c r="F165" s="97"/>
      <c r="G165" s="109"/>
      <c r="H165" s="109"/>
      <c r="I165" s="98"/>
      <c r="J165" s="98"/>
      <c r="K165" s="83"/>
      <c r="L165" s="110"/>
      <c r="M165" s="110"/>
      <c r="N165" s="110"/>
      <c r="O165" s="111"/>
      <c r="P165" s="111"/>
      <c r="Q165" s="111"/>
      <c r="R165" s="111"/>
      <c r="Y165" s="110"/>
      <c r="Z165" s="110"/>
    </row>
    <row r="166" spans="2:26" s="108" customFormat="1">
      <c r="B166" s="97"/>
      <c r="C166" s="110"/>
      <c r="D166" s="109"/>
      <c r="E166" s="97"/>
      <c r="F166" s="97"/>
      <c r="G166" s="109"/>
      <c r="H166" s="109"/>
      <c r="I166" s="98"/>
      <c r="J166" s="98"/>
      <c r="K166" s="83"/>
      <c r="L166" s="110"/>
      <c r="M166" s="110"/>
      <c r="N166" s="110"/>
      <c r="O166" s="111"/>
      <c r="P166" s="111"/>
      <c r="Q166" s="111"/>
      <c r="R166" s="111"/>
      <c r="Y166" s="110"/>
      <c r="Z166" s="110"/>
    </row>
    <row r="167" spans="2:26" s="108" customFormat="1">
      <c r="B167" s="97"/>
      <c r="C167" s="110"/>
      <c r="D167" s="109"/>
      <c r="E167" s="97"/>
      <c r="F167" s="97"/>
      <c r="G167" s="109"/>
      <c r="H167" s="109"/>
      <c r="I167" s="98"/>
      <c r="J167" s="98"/>
      <c r="K167" s="83"/>
      <c r="L167" s="110"/>
      <c r="M167" s="110"/>
      <c r="N167" s="110"/>
      <c r="O167" s="111"/>
      <c r="P167" s="111"/>
      <c r="Q167" s="111"/>
      <c r="R167" s="111"/>
      <c r="Y167" s="110"/>
      <c r="Z167" s="110"/>
    </row>
    <row r="168" spans="2:26" s="108" customFormat="1">
      <c r="B168" s="97"/>
      <c r="C168" s="110"/>
      <c r="D168" s="109"/>
      <c r="E168" s="97"/>
      <c r="F168" s="97"/>
      <c r="G168" s="109"/>
      <c r="H168" s="109"/>
      <c r="I168" s="98"/>
      <c r="J168" s="98"/>
      <c r="K168" s="83"/>
      <c r="L168" s="110"/>
      <c r="M168" s="110"/>
      <c r="N168" s="110"/>
      <c r="O168" s="111"/>
      <c r="P168" s="111"/>
      <c r="Q168" s="111"/>
      <c r="R168" s="111"/>
      <c r="Y168" s="110"/>
      <c r="Z168" s="110"/>
    </row>
    <row r="169" spans="2:26" s="108" customFormat="1">
      <c r="B169" s="97"/>
      <c r="C169" s="110"/>
      <c r="D169" s="109"/>
      <c r="E169" s="97"/>
      <c r="F169" s="97"/>
      <c r="G169" s="109"/>
      <c r="H169" s="109"/>
      <c r="I169" s="98"/>
      <c r="J169" s="98"/>
      <c r="K169" s="83"/>
      <c r="L169" s="110"/>
      <c r="M169" s="110"/>
      <c r="N169" s="110"/>
      <c r="O169" s="111"/>
      <c r="P169" s="111"/>
      <c r="Q169" s="111"/>
      <c r="R169" s="111"/>
      <c r="Y169" s="110"/>
      <c r="Z169" s="110"/>
    </row>
    <row r="170" spans="2:26" s="108" customFormat="1">
      <c r="B170" s="97"/>
      <c r="C170" s="110"/>
      <c r="D170" s="109"/>
      <c r="E170" s="97"/>
      <c r="F170" s="97"/>
      <c r="G170" s="109"/>
      <c r="H170" s="109"/>
      <c r="I170" s="98"/>
      <c r="J170" s="98"/>
      <c r="K170" s="83"/>
      <c r="L170" s="110"/>
      <c r="M170" s="110"/>
      <c r="N170" s="110"/>
      <c r="O170" s="111"/>
      <c r="P170" s="111"/>
      <c r="Q170" s="111"/>
      <c r="R170" s="111"/>
      <c r="Y170" s="110"/>
      <c r="Z170" s="110"/>
    </row>
    <row r="171" spans="2:26" s="108" customFormat="1">
      <c r="B171" s="97"/>
      <c r="C171" s="110"/>
      <c r="D171" s="109"/>
      <c r="E171" s="97"/>
      <c r="F171" s="97"/>
      <c r="G171" s="109"/>
      <c r="H171" s="109"/>
      <c r="I171" s="98"/>
      <c r="J171" s="98"/>
      <c r="K171" s="83"/>
      <c r="L171" s="110"/>
      <c r="M171" s="110"/>
      <c r="N171" s="110"/>
      <c r="O171" s="111"/>
      <c r="P171" s="111"/>
      <c r="Q171" s="111"/>
      <c r="R171" s="111"/>
      <c r="Y171" s="110"/>
      <c r="Z171" s="110"/>
    </row>
    <row r="172" spans="2:26" s="108" customFormat="1">
      <c r="B172" s="97"/>
      <c r="C172" s="110"/>
      <c r="D172" s="109"/>
      <c r="E172" s="97"/>
      <c r="F172" s="97"/>
      <c r="G172" s="109"/>
      <c r="H172" s="109"/>
      <c r="I172" s="98"/>
      <c r="J172" s="98"/>
      <c r="K172" s="83"/>
      <c r="L172" s="110"/>
      <c r="M172" s="110"/>
      <c r="N172" s="110"/>
      <c r="O172" s="111"/>
      <c r="P172" s="111"/>
      <c r="Q172" s="111"/>
      <c r="R172" s="111"/>
      <c r="Y172" s="110"/>
      <c r="Z172" s="110"/>
    </row>
    <row r="173" spans="2:26" s="108" customFormat="1">
      <c r="B173" s="97"/>
      <c r="C173" s="110"/>
      <c r="D173" s="109"/>
      <c r="E173" s="97"/>
      <c r="F173" s="97"/>
      <c r="G173" s="109"/>
      <c r="H173" s="109"/>
      <c r="I173" s="98"/>
      <c r="J173" s="98"/>
      <c r="K173" s="83"/>
      <c r="L173" s="110"/>
      <c r="M173" s="110"/>
      <c r="N173" s="110"/>
      <c r="O173" s="111"/>
      <c r="P173" s="111"/>
      <c r="Q173" s="111"/>
      <c r="R173" s="111"/>
      <c r="Y173" s="110"/>
      <c r="Z173" s="110"/>
    </row>
    <row r="174" spans="2:26" s="108" customFormat="1">
      <c r="B174" s="97"/>
      <c r="C174" s="110"/>
      <c r="D174" s="109"/>
      <c r="E174" s="97"/>
      <c r="F174" s="97"/>
      <c r="G174" s="109"/>
      <c r="H174" s="109"/>
      <c r="I174" s="98"/>
      <c r="J174" s="98"/>
      <c r="K174" s="83"/>
      <c r="L174" s="110"/>
      <c r="M174" s="110"/>
      <c r="N174" s="110"/>
      <c r="O174" s="111"/>
      <c r="P174" s="111"/>
      <c r="Q174" s="111"/>
      <c r="R174" s="111"/>
      <c r="Y174" s="110"/>
      <c r="Z174" s="110"/>
    </row>
    <row r="175" spans="2:26" s="108" customFormat="1">
      <c r="B175" s="97"/>
      <c r="C175" s="110"/>
      <c r="D175" s="109"/>
      <c r="E175" s="97"/>
      <c r="F175" s="97"/>
      <c r="G175" s="109"/>
      <c r="H175" s="109"/>
      <c r="I175" s="98"/>
      <c r="J175" s="98"/>
      <c r="K175" s="83"/>
      <c r="L175" s="110"/>
      <c r="M175" s="110"/>
      <c r="N175" s="110"/>
      <c r="O175" s="111"/>
      <c r="P175" s="111"/>
      <c r="Q175" s="111"/>
      <c r="R175" s="111"/>
      <c r="Y175" s="110"/>
      <c r="Z175" s="110"/>
    </row>
    <row r="176" spans="2:26" s="108" customFormat="1">
      <c r="B176" s="97"/>
      <c r="C176" s="110"/>
      <c r="D176" s="109"/>
      <c r="E176" s="97"/>
      <c r="F176" s="97"/>
      <c r="G176" s="109"/>
      <c r="H176" s="109"/>
      <c r="I176" s="98"/>
      <c r="J176" s="98"/>
      <c r="K176" s="83"/>
      <c r="L176" s="110"/>
      <c r="M176" s="110"/>
      <c r="N176" s="110"/>
      <c r="O176" s="111"/>
      <c r="P176" s="111"/>
      <c r="Q176" s="111"/>
      <c r="R176" s="111"/>
      <c r="Y176" s="110"/>
      <c r="Z176" s="110"/>
    </row>
    <row r="177" spans="2:26" s="108" customFormat="1">
      <c r="B177" s="97"/>
      <c r="C177" s="110"/>
      <c r="D177" s="109"/>
      <c r="E177" s="97"/>
      <c r="F177" s="97"/>
      <c r="G177" s="109"/>
      <c r="H177" s="109"/>
      <c r="I177" s="98"/>
      <c r="J177" s="98"/>
      <c r="K177" s="83"/>
      <c r="L177" s="110"/>
      <c r="M177" s="110"/>
      <c r="N177" s="110"/>
      <c r="O177" s="111"/>
      <c r="P177" s="111"/>
      <c r="Q177" s="111"/>
      <c r="R177" s="111"/>
      <c r="Y177" s="110"/>
      <c r="Z177" s="110"/>
    </row>
    <row r="178" spans="2:26" s="108" customFormat="1">
      <c r="B178" s="97"/>
      <c r="C178" s="110"/>
      <c r="D178" s="109"/>
      <c r="E178" s="97"/>
      <c r="F178" s="97"/>
      <c r="G178" s="109"/>
      <c r="H178" s="109"/>
      <c r="I178" s="98"/>
      <c r="J178" s="98"/>
      <c r="K178" s="83"/>
      <c r="L178" s="110"/>
      <c r="M178" s="110"/>
      <c r="N178" s="110"/>
      <c r="O178" s="111"/>
      <c r="P178" s="111"/>
      <c r="Q178" s="111"/>
      <c r="R178" s="111"/>
      <c r="Y178" s="110"/>
      <c r="Z178" s="110"/>
    </row>
    <row r="179" spans="2:26" s="108" customFormat="1">
      <c r="B179" s="97"/>
      <c r="C179" s="110"/>
      <c r="D179" s="109"/>
      <c r="E179" s="97"/>
      <c r="F179" s="97"/>
      <c r="G179" s="109"/>
      <c r="H179" s="109"/>
      <c r="I179" s="98"/>
      <c r="J179" s="98"/>
      <c r="K179" s="83"/>
      <c r="L179" s="110"/>
      <c r="M179" s="110"/>
      <c r="N179" s="110"/>
      <c r="O179" s="111"/>
      <c r="P179" s="111"/>
      <c r="Q179" s="111"/>
      <c r="R179" s="111"/>
      <c r="Y179" s="110"/>
      <c r="Z179" s="110"/>
    </row>
    <row r="180" spans="2:26" s="108" customFormat="1">
      <c r="B180" s="97"/>
      <c r="C180" s="110"/>
      <c r="D180" s="109"/>
      <c r="E180" s="97"/>
      <c r="F180" s="97"/>
      <c r="G180" s="109"/>
      <c r="H180" s="109"/>
      <c r="I180" s="98"/>
      <c r="J180" s="98"/>
      <c r="K180" s="83"/>
      <c r="L180" s="110"/>
      <c r="M180" s="110"/>
      <c r="N180" s="110"/>
      <c r="O180" s="111"/>
      <c r="P180" s="111"/>
      <c r="Q180" s="111"/>
      <c r="R180" s="111"/>
      <c r="Y180" s="110"/>
      <c r="Z180" s="110"/>
    </row>
    <row r="181" spans="2:26" s="108" customFormat="1">
      <c r="B181" s="97"/>
      <c r="C181" s="110"/>
      <c r="D181" s="109"/>
      <c r="E181" s="97"/>
      <c r="F181" s="97"/>
      <c r="G181" s="109"/>
      <c r="H181" s="109"/>
      <c r="I181" s="98"/>
      <c r="J181" s="98"/>
      <c r="K181" s="83"/>
      <c r="L181" s="110"/>
      <c r="M181" s="110"/>
      <c r="N181" s="110"/>
      <c r="O181" s="111"/>
      <c r="P181" s="111"/>
      <c r="Q181" s="111"/>
      <c r="R181" s="111"/>
      <c r="Y181" s="110"/>
      <c r="Z181" s="110"/>
    </row>
    <row r="182" spans="2:26" s="108" customFormat="1">
      <c r="B182" s="97"/>
      <c r="C182" s="110"/>
      <c r="D182" s="109"/>
      <c r="E182" s="97"/>
      <c r="F182" s="97"/>
      <c r="G182" s="109"/>
      <c r="H182" s="109"/>
      <c r="I182" s="98"/>
      <c r="J182" s="98"/>
      <c r="K182" s="83"/>
      <c r="L182" s="110"/>
      <c r="M182" s="110"/>
      <c r="N182" s="110"/>
      <c r="O182" s="111"/>
      <c r="P182" s="111"/>
      <c r="Q182" s="111"/>
      <c r="R182" s="111"/>
      <c r="Y182" s="110"/>
      <c r="Z182" s="110"/>
    </row>
    <row r="183" spans="2:26" s="108" customFormat="1">
      <c r="B183" s="97"/>
      <c r="C183" s="110"/>
      <c r="D183" s="109"/>
      <c r="E183" s="97"/>
      <c r="F183" s="97"/>
      <c r="G183" s="109"/>
      <c r="H183" s="109"/>
      <c r="I183" s="98"/>
      <c r="J183" s="98"/>
      <c r="K183" s="83"/>
      <c r="L183" s="110"/>
      <c r="M183" s="110"/>
      <c r="N183" s="110"/>
      <c r="O183" s="111"/>
      <c r="P183" s="111"/>
      <c r="Q183" s="111"/>
      <c r="R183" s="111"/>
      <c r="Y183" s="110"/>
      <c r="Z183" s="110"/>
    </row>
    <row r="184" spans="2:26" s="108" customFormat="1">
      <c r="B184" s="97"/>
      <c r="C184" s="110"/>
      <c r="D184" s="109"/>
      <c r="E184" s="97"/>
      <c r="F184" s="97"/>
      <c r="G184" s="109"/>
      <c r="H184" s="109"/>
      <c r="I184" s="98"/>
      <c r="J184" s="98"/>
      <c r="K184" s="83"/>
      <c r="L184" s="110"/>
      <c r="M184" s="110"/>
      <c r="N184" s="110"/>
      <c r="O184" s="111"/>
      <c r="P184" s="111"/>
      <c r="Q184" s="111"/>
      <c r="R184" s="111"/>
      <c r="Y184" s="110"/>
      <c r="Z184" s="110"/>
    </row>
    <row r="185" spans="2:26" s="108" customFormat="1">
      <c r="B185" s="97"/>
      <c r="C185" s="110"/>
      <c r="D185" s="109"/>
      <c r="E185" s="97"/>
      <c r="F185" s="97"/>
      <c r="G185" s="109"/>
      <c r="H185" s="109"/>
      <c r="I185" s="98"/>
      <c r="J185" s="98"/>
      <c r="K185" s="83"/>
      <c r="L185" s="110"/>
      <c r="M185" s="110"/>
      <c r="N185" s="110"/>
      <c r="O185" s="111"/>
      <c r="P185" s="111"/>
      <c r="Q185" s="111"/>
      <c r="R185" s="111"/>
      <c r="Y185" s="110"/>
      <c r="Z185" s="110"/>
    </row>
    <row r="186" spans="2:26" s="108" customFormat="1">
      <c r="B186" s="97"/>
      <c r="C186" s="110"/>
      <c r="D186" s="109"/>
      <c r="E186" s="97"/>
      <c r="F186" s="97"/>
      <c r="G186" s="109"/>
      <c r="H186" s="109"/>
      <c r="I186" s="98"/>
      <c r="J186" s="98"/>
      <c r="K186" s="83"/>
      <c r="L186" s="110"/>
      <c r="M186" s="110"/>
      <c r="N186" s="110"/>
      <c r="O186" s="111"/>
      <c r="P186" s="111"/>
      <c r="Q186" s="111"/>
      <c r="R186" s="111"/>
      <c r="Y186" s="110"/>
      <c r="Z186" s="110"/>
    </row>
    <row r="187" spans="2:26" s="108" customFormat="1">
      <c r="B187" s="97"/>
      <c r="C187" s="110"/>
      <c r="D187" s="109"/>
      <c r="E187" s="97"/>
      <c r="F187" s="97"/>
      <c r="G187" s="109"/>
      <c r="H187" s="109"/>
      <c r="I187" s="98"/>
      <c r="J187" s="98"/>
      <c r="K187" s="83"/>
      <c r="L187" s="110"/>
      <c r="M187" s="110"/>
      <c r="N187" s="110"/>
      <c r="O187" s="111"/>
      <c r="P187" s="111"/>
      <c r="Q187" s="111"/>
      <c r="R187" s="111"/>
      <c r="Y187" s="110"/>
      <c r="Z187" s="110"/>
    </row>
    <row r="188" spans="2:26" s="108" customFormat="1">
      <c r="B188" s="97"/>
      <c r="C188" s="110"/>
      <c r="D188" s="109"/>
      <c r="E188" s="97"/>
      <c r="F188" s="97"/>
      <c r="G188" s="109"/>
      <c r="H188" s="109"/>
      <c r="I188" s="98"/>
      <c r="J188" s="98"/>
      <c r="K188" s="83"/>
      <c r="L188" s="110"/>
      <c r="M188" s="110"/>
      <c r="N188" s="110"/>
      <c r="O188" s="111"/>
      <c r="P188" s="111"/>
      <c r="Q188" s="111"/>
      <c r="R188" s="111"/>
      <c r="Y188" s="110"/>
      <c r="Z188" s="110"/>
    </row>
    <row r="189" spans="2:26" s="108" customFormat="1">
      <c r="B189" s="97"/>
      <c r="C189" s="110"/>
      <c r="D189" s="109"/>
      <c r="E189" s="97"/>
      <c r="F189" s="97"/>
      <c r="G189" s="109"/>
      <c r="H189" s="109"/>
      <c r="I189" s="98"/>
      <c r="J189" s="98"/>
      <c r="K189" s="83"/>
      <c r="L189" s="110"/>
      <c r="M189" s="110"/>
      <c r="N189" s="110"/>
      <c r="O189" s="111"/>
      <c r="P189" s="111"/>
      <c r="Q189" s="111"/>
      <c r="R189" s="111"/>
      <c r="Y189" s="110"/>
      <c r="Z189" s="110"/>
    </row>
    <row r="190" spans="2:26" s="108" customFormat="1">
      <c r="B190" s="97"/>
      <c r="C190" s="110"/>
      <c r="D190" s="109"/>
      <c r="E190" s="97"/>
      <c r="F190" s="97"/>
      <c r="G190" s="109"/>
      <c r="H190" s="109"/>
      <c r="I190" s="98"/>
      <c r="J190" s="98"/>
      <c r="K190" s="83"/>
      <c r="L190" s="110"/>
      <c r="M190" s="110"/>
      <c r="N190" s="110"/>
      <c r="O190" s="111"/>
      <c r="P190" s="111"/>
      <c r="Q190" s="111"/>
      <c r="R190" s="111"/>
      <c r="Y190" s="110"/>
      <c r="Z190" s="110"/>
    </row>
    <row r="191" spans="2:26" s="108" customFormat="1">
      <c r="B191" s="97"/>
      <c r="C191" s="110"/>
      <c r="D191" s="109"/>
      <c r="E191" s="97"/>
      <c r="F191" s="97"/>
      <c r="G191" s="109"/>
      <c r="H191" s="109"/>
      <c r="I191" s="98"/>
      <c r="J191" s="98"/>
      <c r="K191" s="83"/>
      <c r="L191" s="110"/>
      <c r="M191" s="110"/>
      <c r="N191" s="110"/>
      <c r="O191" s="111"/>
      <c r="P191" s="111"/>
      <c r="Q191" s="111"/>
      <c r="R191" s="111"/>
      <c r="Y191" s="110"/>
      <c r="Z191" s="110"/>
    </row>
    <row r="192" spans="2:26" s="108" customFormat="1">
      <c r="B192" s="97"/>
      <c r="C192" s="110"/>
      <c r="D192" s="109"/>
      <c r="E192" s="97"/>
      <c r="F192" s="97"/>
      <c r="G192" s="109"/>
      <c r="H192" s="109"/>
      <c r="I192" s="98"/>
      <c r="J192" s="98"/>
      <c r="K192" s="83"/>
      <c r="L192" s="110"/>
      <c r="M192" s="110"/>
      <c r="N192" s="110"/>
      <c r="O192" s="111"/>
      <c r="P192" s="111"/>
      <c r="Q192" s="111"/>
      <c r="R192" s="111"/>
      <c r="Y192" s="110"/>
      <c r="Z192" s="110"/>
    </row>
    <row r="193" spans="2:26" s="108" customFormat="1">
      <c r="B193" s="97"/>
      <c r="C193" s="110"/>
      <c r="D193" s="109"/>
      <c r="E193" s="97"/>
      <c r="F193" s="97"/>
      <c r="G193" s="109"/>
      <c r="H193" s="109"/>
      <c r="I193" s="98"/>
      <c r="J193" s="98"/>
      <c r="K193" s="83"/>
      <c r="L193" s="110"/>
      <c r="M193" s="110"/>
      <c r="N193" s="110"/>
      <c r="O193" s="111"/>
      <c r="P193" s="111"/>
      <c r="Q193" s="111"/>
      <c r="R193" s="111"/>
      <c r="Y193" s="110"/>
      <c r="Z193" s="110"/>
    </row>
    <row r="194" spans="2:26" s="108" customFormat="1">
      <c r="B194" s="97"/>
      <c r="C194" s="110"/>
      <c r="D194" s="109"/>
      <c r="E194" s="97"/>
      <c r="F194" s="97"/>
      <c r="G194" s="109"/>
      <c r="H194" s="109"/>
      <c r="I194" s="98"/>
      <c r="J194" s="98"/>
      <c r="K194" s="83"/>
      <c r="L194" s="110"/>
      <c r="M194" s="110"/>
      <c r="N194" s="110"/>
      <c r="O194" s="111"/>
      <c r="P194" s="111"/>
      <c r="Q194" s="111"/>
      <c r="R194" s="111"/>
      <c r="Y194" s="110"/>
      <c r="Z194" s="110"/>
    </row>
    <row r="195" spans="2:26" s="108" customFormat="1">
      <c r="B195" s="97"/>
      <c r="C195" s="110"/>
      <c r="D195" s="109"/>
      <c r="E195" s="97"/>
      <c r="F195" s="97"/>
      <c r="G195" s="109"/>
      <c r="H195" s="109"/>
      <c r="I195" s="98"/>
      <c r="J195" s="98"/>
      <c r="K195" s="83"/>
      <c r="L195" s="110"/>
      <c r="M195" s="110"/>
      <c r="N195" s="110"/>
      <c r="O195" s="111"/>
      <c r="P195" s="111"/>
      <c r="Q195" s="111"/>
      <c r="R195" s="111"/>
      <c r="Y195" s="110"/>
      <c r="Z195" s="110"/>
    </row>
    <row r="196" spans="2:26" s="108" customFormat="1">
      <c r="B196" s="97"/>
      <c r="C196" s="110"/>
      <c r="D196" s="109"/>
      <c r="E196" s="97"/>
      <c r="F196" s="97"/>
      <c r="G196" s="109"/>
      <c r="H196" s="109"/>
      <c r="I196" s="98"/>
      <c r="J196" s="98"/>
      <c r="K196" s="83"/>
      <c r="L196" s="110"/>
      <c r="M196" s="110"/>
      <c r="N196" s="110"/>
      <c r="O196" s="111"/>
      <c r="P196" s="111"/>
      <c r="Q196" s="111"/>
      <c r="R196" s="111"/>
      <c r="Y196" s="110"/>
      <c r="Z196" s="110"/>
    </row>
    <row r="197" spans="2:26" s="108" customFormat="1">
      <c r="B197" s="97"/>
      <c r="C197" s="110"/>
      <c r="D197" s="109"/>
      <c r="E197" s="97"/>
      <c r="F197" s="97"/>
      <c r="G197" s="109"/>
      <c r="H197" s="109"/>
      <c r="I197" s="98"/>
      <c r="J197" s="98"/>
      <c r="K197" s="83"/>
      <c r="L197" s="110"/>
      <c r="M197" s="110"/>
      <c r="N197" s="110"/>
      <c r="O197" s="111"/>
      <c r="P197" s="111"/>
      <c r="Q197" s="111"/>
      <c r="R197" s="111"/>
      <c r="Y197" s="110"/>
      <c r="Z197" s="110"/>
    </row>
    <row r="198" spans="2:26" s="108" customFormat="1">
      <c r="B198" s="97"/>
      <c r="C198" s="110"/>
      <c r="D198" s="109"/>
      <c r="E198" s="97"/>
      <c r="F198" s="97"/>
      <c r="G198" s="109"/>
      <c r="H198" s="109"/>
      <c r="I198" s="98"/>
      <c r="J198" s="98"/>
      <c r="K198" s="83"/>
      <c r="L198" s="110"/>
      <c r="M198" s="110"/>
      <c r="N198" s="110"/>
      <c r="O198" s="111"/>
      <c r="P198" s="111"/>
      <c r="Q198" s="111"/>
      <c r="R198" s="111"/>
      <c r="Y198" s="110"/>
      <c r="Z198" s="110"/>
    </row>
    <row r="199" spans="2:26" s="108" customFormat="1">
      <c r="B199" s="97"/>
      <c r="C199" s="110"/>
      <c r="D199" s="109"/>
      <c r="E199" s="97"/>
      <c r="F199" s="97"/>
      <c r="G199" s="109"/>
      <c r="H199" s="109"/>
      <c r="I199" s="98"/>
      <c r="J199" s="98"/>
      <c r="K199" s="83"/>
      <c r="L199" s="110"/>
      <c r="M199" s="110"/>
      <c r="N199" s="110"/>
      <c r="O199" s="111"/>
      <c r="P199" s="111"/>
      <c r="Q199" s="111"/>
      <c r="R199" s="111"/>
      <c r="Y199" s="110"/>
      <c r="Z199" s="110"/>
    </row>
    <row r="200" spans="2:26" s="108" customFormat="1">
      <c r="B200" s="97"/>
      <c r="C200" s="110"/>
      <c r="D200" s="109"/>
      <c r="E200" s="97"/>
      <c r="F200" s="97"/>
      <c r="G200" s="109"/>
      <c r="H200" s="109"/>
      <c r="I200" s="98"/>
      <c r="J200" s="98"/>
      <c r="K200" s="83"/>
      <c r="L200" s="110"/>
      <c r="M200" s="110"/>
      <c r="N200" s="110"/>
      <c r="O200" s="111"/>
      <c r="P200" s="111"/>
      <c r="Q200" s="111"/>
      <c r="R200" s="111"/>
      <c r="Y200" s="110"/>
      <c r="Z200" s="110"/>
    </row>
    <row r="201" spans="2:26" s="108" customFormat="1">
      <c r="B201" s="97"/>
      <c r="C201" s="110"/>
      <c r="D201" s="109"/>
      <c r="E201" s="97"/>
      <c r="F201" s="97"/>
      <c r="G201" s="109"/>
      <c r="H201" s="109"/>
      <c r="I201" s="98"/>
      <c r="J201" s="98"/>
      <c r="K201" s="83"/>
      <c r="L201" s="110"/>
      <c r="M201" s="110"/>
      <c r="N201" s="110"/>
      <c r="O201" s="111"/>
      <c r="P201" s="111"/>
      <c r="Q201" s="111"/>
      <c r="R201" s="111"/>
      <c r="Y201" s="110"/>
      <c r="Z201" s="110"/>
    </row>
    <row r="202" spans="2:26" s="108" customFormat="1">
      <c r="B202" s="97"/>
      <c r="C202" s="110"/>
      <c r="D202" s="109"/>
      <c r="E202" s="97"/>
      <c r="F202" s="97"/>
      <c r="G202" s="109"/>
      <c r="H202" s="109"/>
      <c r="I202" s="98"/>
      <c r="J202" s="98"/>
      <c r="K202" s="83"/>
      <c r="L202" s="110"/>
      <c r="M202" s="110"/>
      <c r="N202" s="110"/>
      <c r="O202" s="111"/>
      <c r="P202" s="111"/>
      <c r="Q202" s="111"/>
      <c r="R202" s="111"/>
      <c r="Y202" s="110"/>
      <c r="Z202" s="110"/>
    </row>
    <row r="203" spans="2:26" s="108" customFormat="1">
      <c r="B203" s="97"/>
      <c r="C203" s="110"/>
      <c r="D203" s="109"/>
      <c r="E203" s="97"/>
      <c r="F203" s="97"/>
      <c r="G203" s="109"/>
      <c r="H203" s="109"/>
      <c r="I203" s="98"/>
      <c r="J203" s="98"/>
      <c r="K203" s="83"/>
      <c r="L203" s="110"/>
      <c r="M203" s="110"/>
      <c r="N203" s="110"/>
      <c r="O203" s="111"/>
      <c r="P203" s="111"/>
      <c r="Q203" s="111"/>
      <c r="R203" s="111"/>
      <c r="Y203" s="110"/>
      <c r="Z203" s="110"/>
    </row>
    <row r="204" spans="2:26" s="108" customFormat="1">
      <c r="B204" s="97"/>
      <c r="C204" s="110"/>
      <c r="D204" s="109"/>
      <c r="E204" s="97"/>
      <c r="F204" s="97"/>
      <c r="G204" s="109"/>
      <c r="H204" s="109"/>
      <c r="I204" s="98"/>
      <c r="J204" s="98"/>
      <c r="K204" s="83"/>
      <c r="L204" s="110"/>
      <c r="M204" s="110"/>
      <c r="N204" s="110"/>
      <c r="O204" s="111"/>
      <c r="P204" s="111"/>
      <c r="Q204" s="111"/>
      <c r="R204" s="111"/>
      <c r="Y204" s="110"/>
      <c r="Z204" s="110"/>
    </row>
    <row r="205" spans="2:26" s="108" customFormat="1">
      <c r="B205" s="97"/>
      <c r="C205" s="110"/>
      <c r="D205" s="109"/>
      <c r="E205" s="97"/>
      <c r="F205" s="97"/>
      <c r="G205" s="109"/>
      <c r="H205" s="109"/>
      <c r="I205" s="98"/>
      <c r="J205" s="98"/>
      <c r="K205" s="83"/>
      <c r="L205" s="110"/>
      <c r="M205" s="110"/>
      <c r="N205" s="110"/>
      <c r="O205" s="111"/>
      <c r="P205" s="111"/>
      <c r="Q205" s="111"/>
      <c r="R205" s="111"/>
      <c r="Y205" s="110"/>
      <c r="Z205" s="110"/>
    </row>
    <row r="206" spans="2:26" s="108" customFormat="1">
      <c r="B206" s="97"/>
      <c r="C206" s="110"/>
      <c r="D206" s="109"/>
      <c r="E206" s="97"/>
      <c r="F206" s="97"/>
      <c r="G206" s="109"/>
      <c r="H206" s="109"/>
      <c r="I206" s="98"/>
      <c r="J206" s="98"/>
      <c r="K206" s="83"/>
      <c r="L206" s="110"/>
      <c r="M206" s="110"/>
      <c r="N206" s="110"/>
      <c r="O206" s="111"/>
      <c r="P206" s="111"/>
      <c r="Q206" s="111"/>
      <c r="R206" s="111"/>
      <c r="Y206" s="110"/>
      <c r="Z206" s="110"/>
    </row>
    <row r="207" spans="2:26" s="108" customFormat="1">
      <c r="B207" s="97"/>
      <c r="C207" s="110"/>
      <c r="D207" s="109"/>
      <c r="E207" s="97"/>
      <c r="F207" s="97"/>
      <c r="G207" s="109"/>
      <c r="H207" s="109"/>
      <c r="I207" s="98"/>
      <c r="J207" s="98"/>
      <c r="K207" s="83"/>
      <c r="L207" s="110"/>
      <c r="M207" s="110"/>
      <c r="N207" s="110"/>
      <c r="O207" s="111"/>
      <c r="P207" s="111"/>
      <c r="Q207" s="111"/>
      <c r="R207" s="111"/>
      <c r="Y207" s="110"/>
      <c r="Z207" s="110"/>
    </row>
    <row r="208" spans="2:26" s="108" customFormat="1">
      <c r="B208" s="97"/>
      <c r="C208" s="110"/>
      <c r="D208" s="109"/>
      <c r="E208" s="97"/>
      <c r="F208" s="97"/>
      <c r="G208" s="109"/>
      <c r="H208" s="109"/>
      <c r="I208" s="98"/>
      <c r="J208" s="98"/>
      <c r="K208" s="83"/>
      <c r="L208" s="110"/>
      <c r="M208" s="110"/>
      <c r="N208" s="110"/>
      <c r="O208" s="111"/>
      <c r="P208" s="111"/>
      <c r="Q208" s="111"/>
      <c r="R208" s="111"/>
      <c r="Y208" s="110"/>
      <c r="Z208" s="110"/>
    </row>
    <row r="209" spans="2:26" s="108" customFormat="1">
      <c r="B209" s="97"/>
      <c r="C209" s="110"/>
      <c r="D209" s="109"/>
      <c r="E209" s="97"/>
      <c r="F209" s="97"/>
      <c r="G209" s="109"/>
      <c r="H209" s="109"/>
      <c r="I209" s="98"/>
      <c r="J209" s="98"/>
      <c r="K209" s="83"/>
      <c r="L209" s="110"/>
      <c r="M209" s="110"/>
      <c r="N209" s="110"/>
      <c r="O209" s="111"/>
      <c r="P209" s="111"/>
      <c r="Q209" s="111"/>
      <c r="R209" s="111"/>
      <c r="Y209" s="110"/>
      <c r="Z209" s="110"/>
    </row>
    <row r="210" spans="2:26" s="108" customFormat="1">
      <c r="B210" s="97"/>
      <c r="C210" s="110"/>
      <c r="D210" s="109"/>
      <c r="E210" s="97"/>
      <c r="F210" s="97"/>
      <c r="G210" s="109"/>
      <c r="H210" s="109"/>
      <c r="I210" s="98"/>
      <c r="J210" s="98"/>
      <c r="K210" s="83"/>
      <c r="L210" s="110"/>
      <c r="M210" s="110"/>
      <c r="N210" s="110"/>
      <c r="O210" s="111"/>
      <c r="P210" s="111"/>
      <c r="Q210" s="111"/>
      <c r="R210" s="111"/>
      <c r="Y210" s="110"/>
      <c r="Z210" s="110"/>
    </row>
    <row r="211" spans="2:26" s="108" customFormat="1">
      <c r="B211" s="97"/>
      <c r="C211" s="110"/>
      <c r="D211" s="109"/>
      <c r="E211" s="97"/>
      <c r="F211" s="97"/>
      <c r="G211" s="109"/>
      <c r="H211" s="109"/>
      <c r="I211" s="98"/>
      <c r="J211" s="98"/>
      <c r="K211" s="83"/>
      <c r="L211" s="110"/>
      <c r="M211" s="110"/>
      <c r="N211" s="110"/>
      <c r="O211" s="111"/>
      <c r="P211" s="111"/>
      <c r="Q211" s="111"/>
      <c r="R211" s="111"/>
      <c r="Y211" s="110"/>
      <c r="Z211" s="110"/>
    </row>
    <row r="212" spans="2:26" s="108" customFormat="1">
      <c r="B212" s="97"/>
      <c r="C212" s="110"/>
      <c r="D212" s="109"/>
      <c r="E212" s="97"/>
      <c r="F212" s="97"/>
      <c r="G212" s="109"/>
      <c r="H212" s="109"/>
      <c r="I212" s="98"/>
      <c r="J212" s="98"/>
      <c r="K212" s="83"/>
      <c r="L212" s="110"/>
      <c r="M212" s="110"/>
      <c r="N212" s="110"/>
      <c r="O212" s="111"/>
      <c r="P212" s="111"/>
      <c r="Q212" s="111"/>
      <c r="R212" s="111"/>
      <c r="Y212" s="110"/>
      <c r="Z212" s="110"/>
    </row>
    <row r="213" spans="2:26" s="108" customFormat="1">
      <c r="B213" s="97"/>
      <c r="C213" s="110"/>
      <c r="D213" s="109"/>
      <c r="E213" s="97"/>
      <c r="F213" s="97"/>
      <c r="G213" s="109"/>
      <c r="H213" s="109"/>
      <c r="I213" s="98"/>
      <c r="J213" s="98"/>
      <c r="K213" s="83"/>
      <c r="L213" s="110"/>
      <c r="M213" s="110"/>
      <c r="N213" s="110"/>
      <c r="O213" s="111"/>
      <c r="P213" s="111"/>
      <c r="Q213" s="111"/>
      <c r="R213" s="111"/>
      <c r="Y213" s="110"/>
      <c r="Z213" s="110"/>
    </row>
    <row r="214" spans="2:26" s="108" customFormat="1">
      <c r="B214" s="97"/>
      <c r="C214" s="110"/>
      <c r="D214" s="109"/>
      <c r="E214" s="97"/>
      <c r="F214" s="97"/>
      <c r="G214" s="109"/>
      <c r="H214" s="109"/>
      <c r="I214" s="98"/>
      <c r="J214" s="98"/>
      <c r="K214" s="83"/>
      <c r="L214" s="110"/>
      <c r="M214" s="110"/>
      <c r="N214" s="110"/>
      <c r="O214" s="111"/>
      <c r="P214" s="111"/>
      <c r="Q214" s="111"/>
      <c r="R214" s="111"/>
      <c r="Y214" s="110"/>
      <c r="Z214" s="110"/>
    </row>
    <row r="215" spans="2:26" s="108" customFormat="1">
      <c r="B215" s="97"/>
      <c r="C215" s="110"/>
      <c r="D215" s="109"/>
      <c r="E215" s="97"/>
      <c r="F215" s="97"/>
      <c r="G215" s="109"/>
      <c r="H215" s="109"/>
      <c r="I215" s="98"/>
      <c r="J215" s="98"/>
      <c r="K215" s="83"/>
      <c r="L215" s="110"/>
      <c r="M215" s="110"/>
      <c r="N215" s="110"/>
      <c r="O215" s="111"/>
      <c r="P215" s="111"/>
      <c r="Q215" s="111"/>
      <c r="R215" s="111"/>
      <c r="Y215" s="110"/>
      <c r="Z215" s="110"/>
    </row>
    <row r="216" spans="2:26" s="108" customFormat="1">
      <c r="B216" s="97"/>
      <c r="C216" s="110"/>
      <c r="D216" s="109"/>
      <c r="E216" s="97"/>
      <c r="F216" s="97"/>
      <c r="G216" s="109"/>
      <c r="H216" s="109"/>
      <c r="I216" s="98"/>
      <c r="J216" s="98"/>
      <c r="K216" s="83"/>
      <c r="L216" s="110"/>
      <c r="M216" s="110"/>
      <c r="N216" s="110"/>
      <c r="O216" s="111"/>
      <c r="P216" s="111"/>
      <c r="Q216" s="111"/>
      <c r="R216" s="111"/>
      <c r="Y216" s="110"/>
      <c r="Z216" s="110"/>
    </row>
    <row r="217" spans="2:26" s="108" customFormat="1">
      <c r="B217" s="97"/>
      <c r="C217" s="110"/>
      <c r="D217" s="109"/>
      <c r="E217" s="97"/>
      <c r="F217" s="97"/>
      <c r="G217" s="109"/>
      <c r="H217" s="109"/>
      <c r="I217" s="98"/>
      <c r="J217" s="98"/>
      <c r="K217" s="83"/>
      <c r="L217" s="110"/>
      <c r="M217" s="110"/>
      <c r="N217" s="110"/>
      <c r="O217" s="111"/>
      <c r="P217" s="111"/>
      <c r="Q217" s="111"/>
      <c r="R217" s="111"/>
      <c r="Y217" s="110"/>
      <c r="Z217" s="110"/>
    </row>
    <row r="218" spans="2:26" s="108" customFormat="1">
      <c r="B218" s="97"/>
      <c r="C218" s="110"/>
      <c r="D218" s="109"/>
      <c r="E218" s="97"/>
      <c r="F218" s="97"/>
      <c r="G218" s="109"/>
      <c r="H218" s="109"/>
      <c r="I218" s="98"/>
      <c r="J218" s="98"/>
      <c r="K218" s="83"/>
      <c r="L218" s="110"/>
      <c r="M218" s="110"/>
      <c r="N218" s="110"/>
      <c r="O218" s="111"/>
      <c r="P218" s="111"/>
      <c r="Q218" s="111"/>
      <c r="R218" s="111"/>
      <c r="Y218" s="110"/>
      <c r="Z218" s="110"/>
    </row>
    <row r="219" spans="2:26" s="108" customFormat="1">
      <c r="B219" s="97"/>
      <c r="C219" s="110"/>
      <c r="D219" s="109"/>
      <c r="E219" s="97"/>
      <c r="F219" s="97"/>
      <c r="G219" s="109"/>
      <c r="H219" s="109"/>
      <c r="I219" s="98"/>
      <c r="J219" s="98"/>
      <c r="K219" s="83"/>
      <c r="L219" s="110"/>
      <c r="M219" s="110"/>
      <c r="N219" s="110"/>
      <c r="O219" s="111"/>
      <c r="P219" s="111"/>
      <c r="Q219" s="111"/>
      <c r="R219" s="111"/>
      <c r="Y219" s="110"/>
      <c r="Z219" s="110"/>
    </row>
    <row r="220" spans="2:26" s="108" customFormat="1">
      <c r="B220" s="97"/>
      <c r="C220" s="110"/>
      <c r="D220" s="109"/>
      <c r="E220" s="97"/>
      <c r="F220" s="97"/>
      <c r="G220" s="109"/>
      <c r="H220" s="109"/>
      <c r="I220" s="98"/>
      <c r="J220" s="98"/>
      <c r="K220" s="83"/>
      <c r="L220" s="110"/>
      <c r="M220" s="110"/>
      <c r="N220" s="110"/>
      <c r="O220" s="111"/>
      <c r="P220" s="111"/>
      <c r="Q220" s="111"/>
      <c r="R220" s="111"/>
      <c r="Y220" s="110"/>
      <c r="Z220" s="110"/>
    </row>
    <row r="221" spans="2:26" s="108" customFormat="1">
      <c r="B221" s="97"/>
      <c r="C221" s="110"/>
      <c r="D221" s="109"/>
      <c r="E221" s="97"/>
      <c r="F221" s="97"/>
      <c r="G221" s="109"/>
      <c r="H221" s="109"/>
      <c r="I221" s="98"/>
      <c r="J221" s="98"/>
      <c r="K221" s="83"/>
      <c r="L221" s="110"/>
      <c r="M221" s="110"/>
      <c r="N221" s="110"/>
      <c r="O221" s="111"/>
      <c r="P221" s="111"/>
      <c r="Q221" s="111"/>
      <c r="R221" s="111"/>
      <c r="Y221" s="110"/>
      <c r="Z221" s="110"/>
    </row>
    <row r="222" spans="2:26" s="108" customFormat="1">
      <c r="B222" s="97"/>
      <c r="C222" s="110"/>
      <c r="D222" s="109"/>
      <c r="E222" s="97"/>
      <c r="F222" s="97"/>
      <c r="G222" s="109"/>
      <c r="H222" s="109"/>
      <c r="I222" s="98"/>
      <c r="J222" s="98"/>
      <c r="K222" s="83"/>
      <c r="L222" s="110"/>
      <c r="M222" s="110"/>
      <c r="N222" s="110"/>
      <c r="O222" s="111"/>
      <c r="P222" s="111"/>
      <c r="Q222" s="111"/>
      <c r="R222" s="111"/>
      <c r="Y222" s="110"/>
      <c r="Z222" s="110"/>
    </row>
    <row r="223" spans="2:26" s="108" customFormat="1">
      <c r="B223" s="97"/>
      <c r="C223" s="110"/>
      <c r="D223" s="109"/>
      <c r="E223" s="97"/>
      <c r="F223" s="97"/>
      <c r="G223" s="109"/>
      <c r="H223" s="109"/>
      <c r="I223" s="98"/>
      <c r="J223" s="98"/>
      <c r="K223" s="83"/>
      <c r="L223" s="110"/>
      <c r="M223" s="110"/>
      <c r="N223" s="110"/>
      <c r="O223" s="111"/>
      <c r="P223" s="111"/>
      <c r="Q223" s="111"/>
      <c r="R223" s="111"/>
      <c r="Y223" s="110"/>
      <c r="Z223" s="110"/>
    </row>
    <row r="224" spans="2:26" s="108" customFormat="1">
      <c r="B224" s="97"/>
      <c r="C224" s="110"/>
      <c r="D224" s="109"/>
      <c r="E224" s="97"/>
      <c r="F224" s="97"/>
      <c r="G224" s="109"/>
      <c r="H224" s="109"/>
      <c r="I224" s="98"/>
      <c r="J224" s="98"/>
      <c r="K224" s="83"/>
      <c r="L224" s="110"/>
      <c r="M224" s="110"/>
      <c r="N224" s="110"/>
      <c r="O224" s="111"/>
      <c r="P224" s="111"/>
      <c r="Q224" s="111"/>
      <c r="R224" s="111"/>
      <c r="Y224" s="110"/>
      <c r="Z224" s="110"/>
    </row>
    <row r="225" spans="2:26" s="108" customFormat="1">
      <c r="B225" s="97"/>
      <c r="C225" s="110"/>
      <c r="D225" s="109"/>
      <c r="E225" s="97"/>
      <c r="F225" s="97"/>
      <c r="G225" s="109"/>
      <c r="H225" s="109"/>
      <c r="I225" s="98"/>
      <c r="J225" s="98"/>
      <c r="K225" s="83"/>
      <c r="L225" s="110"/>
      <c r="M225" s="110"/>
      <c r="N225" s="110"/>
      <c r="O225" s="111"/>
      <c r="P225" s="111"/>
      <c r="Q225" s="111"/>
      <c r="R225" s="111"/>
      <c r="Y225" s="110"/>
      <c r="Z225" s="110"/>
    </row>
    <row r="226" spans="2:26" s="108" customFormat="1">
      <c r="B226" s="97"/>
      <c r="C226" s="110"/>
      <c r="D226" s="109"/>
      <c r="E226" s="97"/>
      <c r="F226" s="97"/>
      <c r="G226" s="109"/>
      <c r="H226" s="109"/>
      <c r="I226" s="98"/>
      <c r="J226" s="98"/>
      <c r="K226" s="83"/>
      <c r="L226" s="110"/>
      <c r="M226" s="110"/>
      <c r="N226" s="110"/>
      <c r="O226" s="111"/>
      <c r="P226" s="111"/>
      <c r="Q226" s="111"/>
      <c r="R226" s="111"/>
      <c r="Y226" s="110"/>
      <c r="Z226" s="110"/>
    </row>
    <row r="227" spans="2:26" s="108" customFormat="1">
      <c r="B227" s="97"/>
      <c r="C227" s="110"/>
      <c r="D227" s="109"/>
      <c r="E227" s="97"/>
      <c r="F227" s="97"/>
      <c r="G227" s="109"/>
      <c r="H227" s="109"/>
      <c r="I227" s="98"/>
      <c r="J227" s="98"/>
      <c r="K227" s="83"/>
      <c r="L227" s="110"/>
      <c r="M227" s="110"/>
      <c r="N227" s="110"/>
      <c r="O227" s="111"/>
      <c r="P227" s="111"/>
      <c r="Q227" s="111"/>
      <c r="R227" s="111"/>
      <c r="Y227" s="110"/>
      <c r="Z227" s="110"/>
    </row>
    <row r="228" spans="2:26" s="108" customFormat="1">
      <c r="B228" s="97"/>
      <c r="C228" s="110"/>
      <c r="D228" s="109"/>
      <c r="E228" s="97"/>
      <c r="F228" s="97"/>
      <c r="G228" s="109"/>
      <c r="H228" s="109"/>
      <c r="I228" s="98"/>
      <c r="J228" s="98"/>
      <c r="K228" s="83"/>
      <c r="L228" s="110"/>
      <c r="M228" s="110"/>
      <c r="N228" s="110"/>
      <c r="O228" s="111"/>
      <c r="P228" s="111"/>
      <c r="Q228" s="111"/>
      <c r="R228" s="111"/>
      <c r="Y228" s="110"/>
      <c r="Z228" s="110"/>
    </row>
    <row r="229" spans="2:26" s="108" customFormat="1">
      <c r="B229" s="97"/>
      <c r="C229" s="110"/>
      <c r="D229" s="109"/>
      <c r="E229" s="97"/>
      <c r="F229" s="97"/>
      <c r="G229" s="109"/>
      <c r="H229" s="109"/>
      <c r="I229" s="98"/>
      <c r="J229" s="98"/>
      <c r="K229" s="83"/>
      <c r="L229" s="110"/>
      <c r="M229" s="110"/>
      <c r="N229" s="110"/>
      <c r="O229" s="111"/>
      <c r="P229" s="111"/>
      <c r="Q229" s="111"/>
      <c r="R229" s="111"/>
      <c r="Y229" s="110"/>
      <c r="Z229" s="110"/>
    </row>
    <row r="230" spans="2:26" s="108" customFormat="1">
      <c r="B230" s="97"/>
      <c r="C230" s="110"/>
      <c r="D230" s="109"/>
      <c r="E230" s="97"/>
      <c r="F230" s="97"/>
      <c r="G230" s="109"/>
      <c r="H230" s="109"/>
      <c r="I230" s="98"/>
      <c r="J230" s="98"/>
      <c r="K230" s="83"/>
      <c r="L230" s="110"/>
      <c r="M230" s="110"/>
      <c r="N230" s="110"/>
      <c r="O230" s="111"/>
      <c r="P230" s="111"/>
      <c r="Q230" s="111"/>
      <c r="R230" s="111"/>
      <c r="Y230" s="110"/>
      <c r="Z230" s="110"/>
    </row>
    <row r="231" spans="2:26" s="108" customFormat="1">
      <c r="B231" s="97"/>
      <c r="C231" s="110"/>
      <c r="D231" s="109"/>
      <c r="E231" s="97"/>
      <c r="F231" s="97"/>
      <c r="G231" s="109"/>
      <c r="H231" s="109"/>
      <c r="I231" s="98"/>
      <c r="J231" s="98"/>
      <c r="K231" s="83"/>
      <c r="L231" s="110"/>
      <c r="M231" s="110"/>
      <c r="N231" s="110"/>
      <c r="O231" s="111"/>
      <c r="P231" s="111"/>
      <c r="Q231" s="111"/>
      <c r="R231" s="111"/>
      <c r="Y231" s="110"/>
      <c r="Z231" s="110"/>
    </row>
    <row r="232" spans="2:26" s="108" customFormat="1">
      <c r="B232" s="97"/>
      <c r="C232" s="110"/>
      <c r="D232" s="109"/>
      <c r="E232" s="97"/>
      <c r="F232" s="97"/>
      <c r="G232" s="109"/>
      <c r="H232" s="109"/>
      <c r="I232" s="98"/>
      <c r="J232" s="98"/>
      <c r="K232" s="83"/>
      <c r="L232" s="110"/>
      <c r="M232" s="110"/>
      <c r="N232" s="110"/>
      <c r="O232" s="111"/>
      <c r="P232" s="111"/>
      <c r="Q232" s="111"/>
      <c r="R232" s="111"/>
      <c r="Y232" s="110"/>
      <c r="Z232" s="110"/>
    </row>
    <row r="233" spans="2:26" s="108" customFormat="1">
      <c r="B233" s="97"/>
      <c r="C233" s="110"/>
      <c r="D233" s="109"/>
      <c r="E233" s="97"/>
      <c r="F233" s="97"/>
      <c r="G233" s="109"/>
      <c r="H233" s="109"/>
      <c r="I233" s="98"/>
      <c r="J233" s="98"/>
      <c r="K233" s="83"/>
      <c r="L233" s="110"/>
      <c r="M233" s="110"/>
      <c r="N233" s="110"/>
      <c r="O233" s="111"/>
      <c r="P233" s="111"/>
      <c r="Q233" s="111"/>
      <c r="R233" s="111"/>
      <c r="Y233" s="110"/>
      <c r="Z233" s="110"/>
    </row>
    <row r="234" spans="2:26" s="108" customFormat="1">
      <c r="B234" s="97"/>
      <c r="C234" s="110"/>
      <c r="D234" s="109"/>
      <c r="E234" s="97"/>
      <c r="F234" s="97"/>
      <c r="G234" s="109"/>
      <c r="H234" s="109"/>
      <c r="I234" s="98"/>
      <c r="J234" s="98"/>
      <c r="K234" s="83"/>
      <c r="L234" s="110"/>
      <c r="M234" s="110"/>
      <c r="N234" s="110"/>
      <c r="O234" s="111"/>
      <c r="P234" s="111"/>
      <c r="Q234" s="111"/>
      <c r="R234" s="111"/>
      <c r="Y234" s="110"/>
      <c r="Z234" s="110"/>
    </row>
    <row r="235" spans="2:26" s="108" customFormat="1">
      <c r="B235" s="97"/>
      <c r="C235" s="110"/>
      <c r="D235" s="109"/>
      <c r="E235" s="97"/>
      <c r="F235" s="97"/>
      <c r="G235" s="109"/>
      <c r="H235" s="109"/>
      <c r="I235" s="98"/>
      <c r="J235" s="98"/>
      <c r="K235" s="83"/>
      <c r="L235" s="110"/>
      <c r="M235" s="110"/>
      <c r="N235" s="110"/>
      <c r="O235" s="111"/>
      <c r="P235" s="111"/>
      <c r="Q235" s="111"/>
      <c r="R235" s="111"/>
      <c r="Y235" s="110"/>
      <c r="Z235" s="110"/>
    </row>
    <row r="236" spans="2:26" s="108" customFormat="1">
      <c r="B236" s="97"/>
      <c r="C236" s="110"/>
      <c r="D236" s="109"/>
      <c r="E236" s="97"/>
      <c r="F236" s="97"/>
      <c r="G236" s="109"/>
      <c r="H236" s="109"/>
      <c r="I236" s="98"/>
      <c r="J236" s="98"/>
      <c r="K236" s="83"/>
      <c r="L236" s="110"/>
      <c r="M236" s="110"/>
      <c r="N236" s="110"/>
      <c r="O236" s="111"/>
      <c r="P236" s="111"/>
      <c r="Q236" s="111"/>
      <c r="R236" s="111"/>
      <c r="Y236" s="110"/>
      <c r="Z236" s="110"/>
    </row>
    <row r="237" spans="2:26" s="108" customFormat="1">
      <c r="B237" s="97"/>
      <c r="C237" s="110"/>
      <c r="D237" s="109"/>
      <c r="E237" s="97"/>
      <c r="F237" s="97"/>
      <c r="G237" s="109"/>
      <c r="H237" s="109"/>
      <c r="I237" s="98"/>
      <c r="J237" s="98"/>
      <c r="K237" s="83"/>
      <c r="L237" s="110"/>
      <c r="M237" s="110"/>
      <c r="N237" s="110"/>
      <c r="O237" s="111"/>
      <c r="P237" s="111"/>
      <c r="Q237" s="111"/>
      <c r="R237" s="111"/>
      <c r="Y237" s="110"/>
      <c r="Z237" s="110"/>
    </row>
    <row r="238" spans="2:26" s="108" customFormat="1">
      <c r="B238" s="97"/>
      <c r="C238" s="110"/>
      <c r="D238" s="109"/>
      <c r="E238" s="97"/>
      <c r="F238" s="97"/>
      <c r="G238" s="109"/>
      <c r="H238" s="109"/>
      <c r="I238" s="98"/>
      <c r="J238" s="98"/>
      <c r="K238" s="83"/>
      <c r="L238" s="110"/>
      <c r="M238" s="110"/>
      <c r="N238" s="110"/>
      <c r="O238" s="111"/>
      <c r="P238" s="111"/>
      <c r="Q238" s="111"/>
      <c r="R238" s="111"/>
      <c r="Y238" s="110"/>
      <c r="Z238" s="110"/>
    </row>
    <row r="239" spans="2:26" s="108" customFormat="1">
      <c r="B239" s="97"/>
      <c r="C239" s="110"/>
      <c r="D239" s="109"/>
      <c r="E239" s="97"/>
      <c r="F239" s="97"/>
      <c r="G239" s="109"/>
      <c r="H239" s="109"/>
      <c r="I239" s="98"/>
      <c r="J239" s="98"/>
      <c r="K239" s="83"/>
      <c r="L239" s="110"/>
      <c r="M239" s="110"/>
      <c r="N239" s="110"/>
      <c r="O239" s="111"/>
      <c r="P239" s="111"/>
      <c r="Q239" s="111"/>
      <c r="R239" s="111"/>
      <c r="Y239" s="110"/>
      <c r="Z239" s="110"/>
    </row>
    <row r="240" spans="2:26" s="108" customFormat="1">
      <c r="B240" s="97"/>
      <c r="C240" s="110"/>
      <c r="D240" s="109"/>
      <c r="E240" s="97"/>
      <c r="F240" s="97"/>
      <c r="G240" s="109"/>
      <c r="H240" s="109"/>
      <c r="I240" s="98"/>
      <c r="J240" s="98"/>
      <c r="K240" s="83"/>
      <c r="L240" s="110"/>
      <c r="M240" s="110"/>
      <c r="N240" s="110"/>
      <c r="O240" s="111"/>
      <c r="P240" s="111"/>
      <c r="Q240" s="111"/>
      <c r="R240" s="111"/>
      <c r="Y240" s="110"/>
      <c r="Z240" s="110"/>
    </row>
    <row r="241" spans="2:26" s="108" customFormat="1">
      <c r="B241" s="97"/>
      <c r="C241" s="110"/>
      <c r="D241" s="109"/>
      <c r="E241" s="97"/>
      <c r="F241" s="97"/>
      <c r="G241" s="109"/>
      <c r="H241" s="109"/>
      <c r="I241" s="98"/>
      <c r="J241" s="98"/>
      <c r="K241" s="83"/>
      <c r="L241" s="110"/>
      <c r="M241" s="110"/>
      <c r="N241" s="110"/>
      <c r="O241" s="111"/>
      <c r="P241" s="111"/>
      <c r="Q241" s="111"/>
      <c r="R241" s="111"/>
      <c r="Y241" s="110"/>
      <c r="Z241" s="110"/>
    </row>
    <row r="242" spans="2:26" s="108" customFormat="1">
      <c r="B242" s="97"/>
      <c r="C242" s="110"/>
      <c r="D242" s="109"/>
      <c r="E242" s="97"/>
      <c r="F242" s="97"/>
      <c r="G242" s="109"/>
      <c r="H242" s="109"/>
      <c r="I242" s="98"/>
      <c r="J242" s="98"/>
      <c r="K242" s="83"/>
      <c r="L242" s="110"/>
      <c r="M242" s="110"/>
      <c r="N242" s="110"/>
      <c r="O242" s="111"/>
      <c r="P242" s="111"/>
      <c r="Q242" s="111"/>
      <c r="R242" s="111"/>
      <c r="Y242" s="110"/>
      <c r="Z242" s="110"/>
    </row>
    <row r="243" spans="2:26" s="108" customFormat="1">
      <c r="B243" s="97"/>
      <c r="C243" s="110"/>
      <c r="D243" s="109"/>
      <c r="E243" s="97"/>
      <c r="F243" s="97"/>
      <c r="G243" s="109"/>
      <c r="H243" s="109"/>
      <c r="I243" s="98"/>
      <c r="J243" s="98"/>
      <c r="K243" s="83"/>
      <c r="L243" s="110"/>
      <c r="M243" s="110"/>
      <c r="N243" s="110"/>
      <c r="O243" s="111"/>
      <c r="P243" s="111"/>
      <c r="Q243" s="111"/>
      <c r="R243" s="111"/>
      <c r="Y243" s="110"/>
      <c r="Z243" s="110"/>
    </row>
    <row r="244" spans="2:26" s="108" customFormat="1">
      <c r="B244" s="97"/>
      <c r="C244" s="110"/>
      <c r="D244" s="109"/>
      <c r="E244" s="97"/>
      <c r="F244" s="97"/>
      <c r="G244" s="109"/>
      <c r="H244" s="109"/>
      <c r="I244" s="98"/>
      <c r="J244" s="98"/>
      <c r="K244" s="83"/>
      <c r="L244" s="110"/>
      <c r="M244" s="110"/>
      <c r="N244" s="110"/>
      <c r="O244" s="111"/>
      <c r="P244" s="111"/>
      <c r="Q244" s="111"/>
      <c r="R244" s="111"/>
      <c r="Y244" s="110"/>
      <c r="Z244" s="110"/>
    </row>
    <row r="245" spans="2:26" s="108" customFormat="1">
      <c r="B245" s="97"/>
      <c r="C245" s="110"/>
      <c r="D245" s="109"/>
      <c r="E245" s="97"/>
      <c r="F245" s="97"/>
      <c r="G245" s="109"/>
      <c r="H245" s="109"/>
      <c r="I245" s="98"/>
      <c r="J245" s="98"/>
      <c r="K245" s="83"/>
      <c r="L245" s="110"/>
      <c r="M245" s="110"/>
      <c r="N245" s="110"/>
      <c r="O245" s="111"/>
      <c r="P245" s="111"/>
      <c r="Q245" s="111"/>
      <c r="R245" s="111"/>
      <c r="Y245" s="110"/>
      <c r="Z245" s="110"/>
    </row>
    <row r="246" spans="2:26" s="108" customFormat="1">
      <c r="B246" s="97"/>
      <c r="C246" s="110"/>
      <c r="D246" s="109"/>
      <c r="E246" s="97"/>
      <c r="F246" s="97"/>
      <c r="G246" s="109"/>
      <c r="H246" s="109"/>
      <c r="I246" s="98"/>
      <c r="J246" s="98"/>
      <c r="K246" s="83"/>
      <c r="L246" s="110"/>
      <c r="M246" s="110"/>
      <c r="N246" s="110"/>
      <c r="O246" s="111"/>
      <c r="P246" s="111"/>
      <c r="Q246" s="111"/>
      <c r="R246" s="111"/>
      <c r="Y246" s="110"/>
      <c r="Z246" s="110"/>
    </row>
    <row r="247" spans="2:26" s="108" customFormat="1">
      <c r="B247" s="97"/>
      <c r="C247" s="110"/>
      <c r="D247" s="109"/>
      <c r="E247" s="97"/>
      <c r="F247" s="97"/>
      <c r="G247" s="109"/>
      <c r="H247" s="109"/>
      <c r="I247" s="98"/>
      <c r="J247" s="98"/>
      <c r="K247" s="83"/>
      <c r="L247" s="110"/>
      <c r="M247" s="110"/>
      <c r="N247" s="110"/>
      <c r="O247" s="111"/>
      <c r="P247" s="111"/>
      <c r="Q247" s="111"/>
      <c r="R247" s="111"/>
      <c r="Y247" s="110"/>
      <c r="Z247" s="110"/>
    </row>
    <row r="248" spans="2:26" s="108" customFormat="1">
      <c r="B248" s="97"/>
      <c r="C248" s="110"/>
      <c r="D248" s="109"/>
      <c r="E248" s="97"/>
      <c r="F248" s="97"/>
      <c r="G248" s="109"/>
      <c r="H248" s="109"/>
      <c r="I248" s="98"/>
      <c r="J248" s="98"/>
      <c r="K248" s="83"/>
      <c r="L248" s="110"/>
      <c r="M248" s="110"/>
      <c r="N248" s="110"/>
      <c r="O248" s="111"/>
      <c r="P248" s="111"/>
      <c r="Q248" s="111"/>
      <c r="R248" s="111"/>
      <c r="Y248" s="110"/>
      <c r="Z248" s="110"/>
    </row>
    <row r="249" spans="2:26" s="108" customFormat="1">
      <c r="B249" s="97"/>
      <c r="C249" s="110"/>
      <c r="D249" s="109"/>
      <c r="E249" s="97"/>
      <c r="F249" s="97"/>
      <c r="G249" s="109"/>
      <c r="H249" s="109"/>
      <c r="I249" s="98"/>
      <c r="J249" s="98"/>
      <c r="K249" s="83"/>
      <c r="L249" s="110"/>
      <c r="M249" s="110"/>
      <c r="N249" s="110"/>
      <c r="O249" s="111"/>
      <c r="P249" s="111"/>
      <c r="Q249" s="111"/>
      <c r="R249" s="111"/>
      <c r="Y249" s="110"/>
      <c r="Z249" s="110"/>
    </row>
    <row r="250" spans="2:26" s="108" customFormat="1">
      <c r="B250" s="97"/>
      <c r="C250" s="110"/>
      <c r="D250" s="109"/>
      <c r="E250" s="97"/>
      <c r="F250" s="97"/>
      <c r="G250" s="109"/>
      <c r="H250" s="109"/>
      <c r="I250" s="98"/>
      <c r="J250" s="98"/>
      <c r="K250" s="83"/>
      <c r="L250" s="110"/>
      <c r="M250" s="110"/>
      <c r="N250" s="110"/>
      <c r="O250" s="111"/>
      <c r="P250" s="111"/>
      <c r="Q250" s="111"/>
      <c r="R250" s="111"/>
      <c r="Y250" s="110"/>
      <c r="Z250" s="110"/>
    </row>
    <row r="251" spans="2:26" s="108" customFormat="1">
      <c r="B251" s="97"/>
      <c r="C251" s="110"/>
      <c r="D251" s="109"/>
      <c r="E251" s="97"/>
      <c r="F251" s="97"/>
      <c r="G251" s="109"/>
      <c r="H251" s="109"/>
      <c r="I251" s="98"/>
      <c r="J251" s="98"/>
      <c r="K251" s="83"/>
      <c r="L251" s="110"/>
      <c r="M251" s="110"/>
      <c r="N251" s="110"/>
      <c r="O251" s="111"/>
      <c r="P251" s="111"/>
      <c r="Q251" s="111"/>
      <c r="R251" s="111"/>
      <c r="Y251" s="110"/>
      <c r="Z251" s="110"/>
    </row>
    <row r="252" spans="2:26" s="108" customFormat="1">
      <c r="B252" s="97"/>
      <c r="C252" s="110"/>
      <c r="D252" s="109"/>
      <c r="E252" s="97"/>
      <c r="F252" s="97"/>
      <c r="G252" s="109"/>
      <c r="H252" s="109"/>
      <c r="I252" s="98"/>
      <c r="J252" s="98"/>
      <c r="K252" s="83"/>
      <c r="L252" s="110"/>
      <c r="M252" s="110"/>
      <c r="N252" s="110"/>
      <c r="O252" s="111"/>
      <c r="P252" s="111"/>
      <c r="Q252" s="111"/>
      <c r="R252" s="111"/>
      <c r="Y252" s="110"/>
      <c r="Z252" s="110"/>
    </row>
    <row r="253" spans="2:26" s="108" customFormat="1">
      <c r="B253" s="97"/>
      <c r="C253" s="110"/>
      <c r="D253" s="109"/>
      <c r="E253" s="97"/>
      <c r="F253" s="97"/>
      <c r="G253" s="109"/>
      <c r="H253" s="109"/>
      <c r="I253" s="98"/>
      <c r="J253" s="98"/>
      <c r="K253" s="83"/>
      <c r="L253" s="110"/>
      <c r="M253" s="110"/>
      <c r="N253" s="110"/>
      <c r="O253" s="111"/>
      <c r="P253" s="111"/>
      <c r="Q253" s="111"/>
      <c r="R253" s="111"/>
      <c r="Y253" s="110"/>
      <c r="Z253" s="110"/>
    </row>
    <row r="254" spans="2:26" s="108" customFormat="1">
      <c r="B254" s="97"/>
      <c r="C254" s="110"/>
      <c r="D254" s="109"/>
      <c r="E254" s="97"/>
      <c r="F254" s="97"/>
      <c r="G254" s="109"/>
      <c r="H254" s="109"/>
      <c r="I254" s="98"/>
      <c r="J254" s="98"/>
      <c r="K254" s="83"/>
      <c r="L254" s="110"/>
      <c r="M254" s="110"/>
      <c r="N254" s="110"/>
      <c r="O254" s="111"/>
      <c r="P254" s="111"/>
      <c r="Q254" s="111"/>
      <c r="R254" s="111"/>
      <c r="Y254" s="110"/>
      <c r="Z254" s="110"/>
    </row>
    <row r="255" spans="2:26" s="108" customFormat="1">
      <c r="B255" s="97"/>
      <c r="C255" s="110"/>
      <c r="D255" s="109"/>
      <c r="E255" s="97"/>
      <c r="F255" s="97"/>
      <c r="G255" s="109"/>
      <c r="H255" s="109"/>
      <c r="I255" s="98"/>
      <c r="J255" s="98"/>
      <c r="K255" s="83"/>
      <c r="L255" s="110"/>
      <c r="M255" s="110"/>
      <c r="N255" s="110"/>
      <c r="O255" s="111"/>
      <c r="P255" s="111"/>
      <c r="Q255" s="111"/>
      <c r="R255" s="111"/>
      <c r="Y255" s="110"/>
      <c r="Z255" s="110"/>
    </row>
    <row r="256" spans="2:26" s="108" customFormat="1">
      <c r="B256" s="97"/>
      <c r="C256" s="110"/>
      <c r="D256" s="109"/>
      <c r="E256" s="97"/>
      <c r="F256" s="97"/>
      <c r="G256" s="109"/>
      <c r="H256" s="109"/>
      <c r="I256" s="98"/>
      <c r="J256" s="98"/>
      <c r="K256" s="83"/>
      <c r="L256" s="110"/>
      <c r="M256" s="110"/>
      <c r="N256" s="110"/>
      <c r="O256" s="111"/>
      <c r="P256" s="111"/>
      <c r="Q256" s="111"/>
      <c r="R256" s="111"/>
      <c r="Y256" s="110"/>
      <c r="Z256" s="110"/>
    </row>
    <row r="257" spans="2:26" s="108" customFormat="1">
      <c r="B257" s="97"/>
      <c r="C257" s="110"/>
      <c r="D257" s="109"/>
      <c r="E257" s="97"/>
      <c r="F257" s="97"/>
      <c r="G257" s="109"/>
      <c r="H257" s="109"/>
      <c r="I257" s="98"/>
      <c r="J257" s="98"/>
      <c r="K257" s="83"/>
      <c r="L257" s="110"/>
      <c r="M257" s="110"/>
      <c r="N257" s="110"/>
      <c r="O257" s="111"/>
      <c r="P257" s="111"/>
      <c r="Q257" s="111"/>
      <c r="R257" s="111"/>
      <c r="Y257" s="110"/>
      <c r="Z257" s="110"/>
    </row>
    <row r="258" spans="2:26" s="108" customFormat="1">
      <c r="B258" s="97"/>
      <c r="C258" s="110"/>
      <c r="D258" s="109"/>
      <c r="E258" s="97"/>
      <c r="F258" s="97"/>
      <c r="G258" s="109"/>
      <c r="H258" s="109"/>
      <c r="I258" s="98"/>
      <c r="J258" s="98"/>
      <c r="K258" s="83"/>
      <c r="L258" s="110"/>
      <c r="M258" s="110"/>
      <c r="N258" s="110"/>
      <c r="O258" s="111"/>
      <c r="P258" s="111"/>
      <c r="Q258" s="111"/>
      <c r="R258" s="111"/>
      <c r="Y258" s="110"/>
      <c r="Z258" s="110"/>
    </row>
    <row r="259" spans="2:26" s="108" customFormat="1">
      <c r="B259" s="97"/>
      <c r="C259" s="110"/>
      <c r="D259" s="109"/>
      <c r="E259" s="97"/>
      <c r="F259" s="97"/>
      <c r="G259" s="109"/>
      <c r="H259" s="109"/>
      <c r="I259" s="98"/>
      <c r="J259" s="98"/>
      <c r="K259" s="83"/>
      <c r="L259" s="110"/>
      <c r="M259" s="110"/>
      <c r="N259" s="110"/>
      <c r="O259" s="111"/>
      <c r="P259" s="111"/>
      <c r="Q259" s="111"/>
      <c r="R259" s="111"/>
      <c r="Y259" s="110"/>
      <c r="Z259" s="110"/>
    </row>
    <row r="260" spans="2:26" s="108" customFormat="1">
      <c r="B260" s="97"/>
      <c r="C260" s="110"/>
      <c r="D260" s="109"/>
      <c r="E260" s="97"/>
      <c r="F260" s="97"/>
      <c r="G260" s="109"/>
      <c r="H260" s="109"/>
      <c r="I260" s="98"/>
      <c r="J260" s="98"/>
      <c r="K260" s="83"/>
      <c r="L260" s="110"/>
      <c r="M260" s="110"/>
      <c r="N260" s="110"/>
      <c r="O260" s="111"/>
      <c r="P260" s="111"/>
      <c r="Q260" s="111"/>
      <c r="R260" s="111"/>
      <c r="Y260" s="110"/>
      <c r="Z260" s="110"/>
    </row>
    <row r="261" spans="2:26" s="108" customFormat="1">
      <c r="B261" s="97"/>
      <c r="C261" s="110"/>
      <c r="D261" s="109"/>
      <c r="E261" s="97"/>
      <c r="F261" s="97"/>
      <c r="G261" s="109"/>
      <c r="H261" s="109"/>
      <c r="I261" s="98"/>
      <c r="J261" s="98"/>
      <c r="K261" s="83"/>
      <c r="L261" s="110"/>
      <c r="M261" s="110"/>
      <c r="N261" s="110"/>
      <c r="O261" s="111"/>
      <c r="P261" s="111"/>
      <c r="Q261" s="111"/>
      <c r="R261" s="111"/>
      <c r="Y261" s="110"/>
      <c r="Z261" s="110"/>
    </row>
    <row r="262" spans="2:26" s="108" customFormat="1">
      <c r="B262" s="97"/>
      <c r="C262" s="110"/>
      <c r="D262" s="109"/>
      <c r="E262" s="97"/>
      <c r="F262" s="97"/>
      <c r="G262" s="109"/>
      <c r="H262" s="109"/>
      <c r="I262" s="98"/>
      <c r="J262" s="98"/>
      <c r="K262" s="83"/>
      <c r="L262" s="110"/>
      <c r="M262" s="110"/>
      <c r="N262" s="110"/>
      <c r="O262" s="111"/>
      <c r="P262" s="111"/>
      <c r="Q262" s="111"/>
      <c r="R262" s="111"/>
      <c r="Y262" s="110"/>
      <c r="Z262" s="110"/>
    </row>
    <row r="263" spans="2:26" s="108" customFormat="1">
      <c r="B263" s="97"/>
      <c r="C263" s="110"/>
      <c r="D263" s="109"/>
      <c r="E263" s="97"/>
      <c r="F263" s="97"/>
      <c r="G263" s="109"/>
      <c r="H263" s="109"/>
      <c r="I263" s="98"/>
      <c r="J263" s="98"/>
      <c r="K263" s="83"/>
      <c r="L263" s="110"/>
      <c r="M263" s="110"/>
      <c r="N263" s="110"/>
      <c r="O263" s="111"/>
      <c r="P263" s="111"/>
      <c r="Q263" s="111"/>
      <c r="R263" s="111"/>
      <c r="Y263" s="110"/>
      <c r="Z263" s="110"/>
    </row>
    <row r="264" spans="2:26" s="108" customFormat="1">
      <c r="B264" s="97"/>
      <c r="C264" s="110"/>
      <c r="D264" s="109"/>
      <c r="E264" s="97"/>
      <c r="F264" s="97"/>
      <c r="G264" s="109"/>
      <c r="H264" s="109"/>
      <c r="I264" s="98"/>
      <c r="J264" s="98"/>
      <c r="K264" s="83"/>
      <c r="L264" s="110"/>
      <c r="M264" s="110"/>
      <c r="N264" s="110"/>
      <c r="O264" s="111"/>
      <c r="P264" s="111"/>
      <c r="Q264" s="111"/>
      <c r="R264" s="111"/>
      <c r="Y264" s="110"/>
      <c r="Z264" s="110"/>
    </row>
    <row r="265" spans="2:26" s="108" customFormat="1">
      <c r="B265" s="97"/>
      <c r="C265" s="110"/>
      <c r="D265" s="109"/>
      <c r="E265" s="97"/>
      <c r="F265" s="97"/>
      <c r="G265" s="109"/>
      <c r="H265" s="109"/>
      <c r="I265" s="98"/>
      <c r="J265" s="98"/>
      <c r="K265" s="83"/>
      <c r="L265" s="110"/>
      <c r="M265" s="110"/>
      <c r="N265" s="110"/>
      <c r="O265" s="111"/>
      <c r="P265" s="111"/>
      <c r="Q265" s="111"/>
      <c r="R265" s="111"/>
      <c r="Y265" s="110"/>
      <c r="Z265" s="110"/>
    </row>
    <row r="266" spans="2:26" s="108" customFormat="1">
      <c r="B266" s="97"/>
      <c r="C266" s="110"/>
      <c r="D266" s="109"/>
      <c r="E266" s="97"/>
      <c r="F266" s="97"/>
      <c r="G266" s="109"/>
      <c r="H266" s="109"/>
      <c r="I266" s="98"/>
      <c r="J266" s="98"/>
      <c r="K266" s="83"/>
      <c r="L266" s="110"/>
      <c r="M266" s="110"/>
      <c r="N266" s="110"/>
      <c r="O266" s="111"/>
      <c r="P266" s="111"/>
      <c r="Q266" s="111"/>
      <c r="R266" s="111"/>
      <c r="Y266" s="110"/>
      <c r="Z266" s="110"/>
    </row>
    <row r="267" spans="2:26" s="108" customFormat="1">
      <c r="B267" s="97"/>
      <c r="C267" s="110"/>
      <c r="D267" s="109"/>
      <c r="E267" s="97"/>
      <c r="F267" s="97"/>
      <c r="G267" s="109"/>
      <c r="H267" s="109"/>
      <c r="I267" s="98"/>
      <c r="J267" s="98"/>
      <c r="K267" s="83"/>
      <c r="L267" s="110"/>
      <c r="M267" s="110"/>
      <c r="N267" s="110"/>
      <c r="O267" s="111"/>
      <c r="P267" s="111"/>
      <c r="Q267" s="111"/>
      <c r="R267" s="111"/>
      <c r="Y267" s="110"/>
      <c r="Z267" s="110"/>
    </row>
    <row r="268" spans="2:26" s="108" customFormat="1">
      <c r="B268" s="97"/>
      <c r="C268" s="110"/>
      <c r="D268" s="109"/>
      <c r="E268" s="97"/>
      <c r="F268" s="97"/>
      <c r="G268" s="109"/>
      <c r="H268" s="109"/>
      <c r="I268" s="98"/>
      <c r="J268" s="98"/>
      <c r="K268" s="83"/>
      <c r="L268" s="110"/>
      <c r="M268" s="110"/>
      <c r="N268" s="110"/>
      <c r="O268" s="111"/>
      <c r="P268" s="111"/>
      <c r="Q268" s="111"/>
      <c r="R268" s="111"/>
      <c r="Y268" s="110"/>
      <c r="Z268" s="110"/>
    </row>
    <row r="269" spans="2:26" s="108" customFormat="1">
      <c r="B269" s="97"/>
      <c r="C269" s="110"/>
      <c r="D269" s="109"/>
      <c r="E269" s="97"/>
      <c r="F269" s="97"/>
      <c r="G269" s="109"/>
      <c r="H269" s="109"/>
      <c r="I269" s="98"/>
      <c r="J269" s="98"/>
      <c r="K269" s="83"/>
      <c r="L269" s="110"/>
      <c r="M269" s="110"/>
      <c r="N269" s="110"/>
      <c r="O269" s="111"/>
      <c r="P269" s="111"/>
      <c r="Q269" s="111"/>
      <c r="R269" s="111"/>
      <c r="Y269" s="110"/>
      <c r="Z269" s="110"/>
    </row>
    <row r="270" spans="2:26" s="108" customFormat="1">
      <c r="B270" s="97"/>
      <c r="C270" s="110"/>
      <c r="D270" s="109"/>
      <c r="E270" s="97"/>
      <c r="F270" s="97"/>
      <c r="G270" s="109"/>
      <c r="H270" s="109"/>
      <c r="I270" s="98"/>
      <c r="J270" s="98"/>
      <c r="K270" s="83"/>
      <c r="L270" s="110"/>
      <c r="M270" s="110"/>
      <c r="N270" s="110"/>
      <c r="O270" s="111"/>
      <c r="P270" s="111"/>
      <c r="Q270" s="111"/>
      <c r="R270" s="111"/>
      <c r="Y270" s="110"/>
      <c r="Z270" s="110"/>
    </row>
    <row r="271" spans="2:26" s="108" customFormat="1">
      <c r="B271" s="97"/>
      <c r="C271" s="110"/>
      <c r="D271" s="109"/>
      <c r="E271" s="97"/>
      <c r="F271" s="97"/>
      <c r="G271" s="109"/>
      <c r="H271" s="109"/>
      <c r="I271" s="98"/>
      <c r="J271" s="98"/>
      <c r="K271" s="83"/>
      <c r="L271" s="110"/>
      <c r="M271" s="110"/>
      <c r="N271" s="110"/>
      <c r="O271" s="111"/>
      <c r="P271" s="111"/>
      <c r="Q271" s="111"/>
      <c r="R271" s="111"/>
      <c r="Y271" s="110"/>
      <c r="Z271" s="110"/>
    </row>
    <row r="272" spans="2:26" s="108" customFormat="1">
      <c r="B272" s="97"/>
      <c r="C272" s="110"/>
      <c r="D272" s="109"/>
      <c r="E272" s="97"/>
      <c r="F272" s="97"/>
      <c r="G272" s="109"/>
      <c r="H272" s="109"/>
      <c r="I272" s="98"/>
      <c r="J272" s="98"/>
      <c r="K272" s="83"/>
      <c r="L272" s="110"/>
      <c r="M272" s="110"/>
      <c r="N272" s="110"/>
      <c r="O272" s="111"/>
      <c r="P272" s="111"/>
      <c r="Q272" s="111"/>
      <c r="R272" s="111"/>
      <c r="Y272" s="110"/>
      <c r="Z272" s="110"/>
    </row>
    <row r="273" spans="2:26" s="108" customFormat="1">
      <c r="B273" s="97"/>
      <c r="C273" s="110"/>
      <c r="D273" s="109"/>
      <c r="E273" s="97"/>
      <c r="F273" s="97"/>
      <c r="G273" s="109"/>
      <c r="H273" s="109"/>
      <c r="I273" s="98"/>
      <c r="J273" s="98"/>
      <c r="K273" s="83"/>
      <c r="L273" s="110"/>
      <c r="M273" s="110"/>
      <c r="N273" s="110"/>
      <c r="O273" s="111"/>
      <c r="P273" s="111"/>
      <c r="Q273" s="111"/>
      <c r="R273" s="111"/>
      <c r="Y273" s="110"/>
      <c r="Z273" s="110"/>
    </row>
    <row r="274" spans="2:26" s="108" customFormat="1">
      <c r="B274" s="97"/>
      <c r="C274" s="110"/>
      <c r="D274" s="109"/>
      <c r="E274" s="97"/>
      <c r="F274" s="97"/>
      <c r="G274" s="109"/>
      <c r="H274" s="109"/>
      <c r="I274" s="98"/>
      <c r="J274" s="98"/>
      <c r="K274" s="83"/>
      <c r="L274" s="110"/>
      <c r="M274" s="110"/>
      <c r="N274" s="110"/>
      <c r="O274" s="111"/>
      <c r="P274" s="111"/>
      <c r="Q274" s="111"/>
      <c r="R274" s="111"/>
      <c r="Y274" s="110"/>
      <c r="Z274" s="110"/>
    </row>
    <row r="275" spans="2:26" s="108" customFormat="1">
      <c r="B275" s="97"/>
      <c r="C275" s="110"/>
      <c r="D275" s="109"/>
      <c r="E275" s="97"/>
      <c r="F275" s="97"/>
      <c r="G275" s="109"/>
      <c r="H275" s="109"/>
      <c r="I275" s="98"/>
      <c r="J275" s="98"/>
      <c r="K275" s="83"/>
      <c r="L275" s="110"/>
      <c r="M275" s="110"/>
      <c r="N275" s="110"/>
      <c r="O275" s="111"/>
      <c r="P275" s="111"/>
      <c r="Q275" s="111"/>
      <c r="R275" s="111"/>
      <c r="Y275" s="110"/>
      <c r="Z275" s="110"/>
    </row>
    <row r="276" spans="2:26" s="108" customFormat="1">
      <c r="B276" s="97"/>
      <c r="C276" s="110"/>
      <c r="D276" s="109"/>
      <c r="E276" s="97"/>
      <c r="F276" s="97"/>
      <c r="G276" s="109"/>
      <c r="H276" s="109"/>
      <c r="I276" s="98"/>
      <c r="J276" s="98"/>
      <c r="K276" s="83"/>
      <c r="L276" s="110"/>
      <c r="M276" s="110"/>
      <c r="N276" s="110"/>
      <c r="O276" s="111"/>
      <c r="P276" s="111"/>
      <c r="Q276" s="111"/>
      <c r="R276" s="111"/>
      <c r="Y276" s="110"/>
      <c r="Z276" s="110"/>
    </row>
    <row r="277" spans="2:26" s="108" customFormat="1">
      <c r="B277" s="97"/>
      <c r="C277" s="110"/>
      <c r="D277" s="109"/>
      <c r="E277" s="97"/>
      <c r="F277" s="97"/>
      <c r="G277" s="109"/>
      <c r="H277" s="109"/>
      <c r="I277" s="98"/>
      <c r="J277" s="98"/>
      <c r="K277" s="83"/>
      <c r="L277" s="110"/>
      <c r="M277" s="110"/>
      <c r="N277" s="110"/>
      <c r="O277" s="111"/>
      <c r="P277" s="111"/>
      <c r="Q277" s="111"/>
      <c r="R277" s="111"/>
      <c r="Y277" s="110"/>
      <c r="Z277" s="110"/>
    </row>
    <row r="278" spans="2:26" s="108" customFormat="1">
      <c r="B278" s="97"/>
      <c r="C278" s="110"/>
      <c r="D278" s="109"/>
      <c r="E278" s="97"/>
      <c r="F278" s="97"/>
      <c r="G278" s="109"/>
      <c r="H278" s="109"/>
      <c r="I278" s="98"/>
      <c r="J278" s="98"/>
      <c r="K278" s="83"/>
      <c r="L278" s="110"/>
      <c r="M278" s="110"/>
      <c r="N278" s="110"/>
      <c r="O278" s="111"/>
      <c r="P278" s="111"/>
      <c r="Q278" s="111"/>
      <c r="R278" s="111"/>
      <c r="Y278" s="110"/>
      <c r="Z278" s="110"/>
    </row>
    <row r="279" spans="2:26" s="108" customFormat="1">
      <c r="B279" s="97"/>
      <c r="C279" s="110"/>
      <c r="D279" s="109"/>
      <c r="E279" s="97"/>
      <c r="F279" s="97"/>
      <c r="G279" s="109"/>
      <c r="H279" s="109"/>
      <c r="I279" s="98"/>
      <c r="J279" s="98"/>
      <c r="K279" s="83"/>
      <c r="L279" s="110"/>
      <c r="M279" s="110"/>
      <c r="N279" s="110"/>
      <c r="O279" s="111"/>
      <c r="P279" s="111"/>
      <c r="Q279" s="111"/>
      <c r="R279" s="111"/>
      <c r="Y279" s="110"/>
      <c r="Z279" s="110"/>
    </row>
    <row r="280" spans="2:26" s="108" customFormat="1">
      <c r="B280" s="97"/>
      <c r="C280" s="110"/>
      <c r="D280" s="109"/>
      <c r="E280" s="97"/>
      <c r="F280" s="97"/>
      <c r="G280" s="109"/>
      <c r="H280" s="109"/>
      <c r="I280" s="98"/>
      <c r="J280" s="98"/>
      <c r="K280" s="83"/>
      <c r="L280" s="110"/>
      <c r="M280" s="110"/>
      <c r="N280" s="110"/>
      <c r="O280" s="111"/>
      <c r="P280" s="111"/>
      <c r="Q280" s="111"/>
      <c r="R280" s="111"/>
      <c r="Y280" s="110"/>
      <c r="Z280" s="110"/>
    </row>
    <row r="281" spans="2:26" s="108" customFormat="1">
      <c r="B281" s="97"/>
      <c r="C281" s="110"/>
      <c r="D281" s="109"/>
      <c r="E281" s="97"/>
      <c r="F281" s="97"/>
      <c r="G281" s="109"/>
      <c r="H281" s="109"/>
      <c r="I281" s="98"/>
      <c r="J281" s="98"/>
      <c r="K281" s="83"/>
      <c r="L281" s="110"/>
      <c r="M281" s="110"/>
      <c r="N281" s="110"/>
      <c r="O281" s="111"/>
      <c r="P281" s="111"/>
      <c r="Q281" s="111"/>
      <c r="R281" s="111"/>
      <c r="Y281" s="110"/>
      <c r="Z281" s="110"/>
    </row>
    <row r="282" spans="2:26" s="108" customFormat="1">
      <c r="B282" s="97"/>
      <c r="C282" s="110"/>
      <c r="D282" s="109"/>
      <c r="E282" s="97"/>
      <c r="F282" s="97"/>
      <c r="G282" s="109"/>
      <c r="H282" s="109"/>
      <c r="I282" s="98"/>
      <c r="J282" s="98"/>
      <c r="K282" s="83"/>
      <c r="L282" s="110"/>
      <c r="M282" s="110"/>
      <c r="N282" s="110"/>
      <c r="O282" s="111"/>
      <c r="P282" s="111"/>
      <c r="Q282" s="111"/>
      <c r="R282" s="111"/>
      <c r="Y282" s="110"/>
      <c r="Z282" s="110"/>
    </row>
    <row r="283" spans="2:26" s="108" customFormat="1">
      <c r="B283" s="97"/>
      <c r="C283" s="110"/>
      <c r="D283" s="109"/>
      <c r="E283" s="97"/>
      <c r="F283" s="97"/>
      <c r="G283" s="109"/>
      <c r="H283" s="109"/>
      <c r="I283" s="98"/>
      <c r="J283" s="98"/>
      <c r="K283" s="83"/>
      <c r="L283" s="110"/>
      <c r="M283" s="110"/>
      <c r="N283" s="110"/>
      <c r="O283" s="111"/>
      <c r="P283" s="111"/>
      <c r="Q283" s="111"/>
      <c r="R283" s="111"/>
      <c r="Y283" s="110"/>
      <c r="Z283" s="110"/>
    </row>
    <row r="284" spans="2:26" s="108" customFormat="1">
      <c r="B284" s="97"/>
      <c r="C284" s="110"/>
      <c r="D284" s="109"/>
      <c r="E284" s="97"/>
      <c r="F284" s="97"/>
      <c r="G284" s="109"/>
      <c r="H284" s="109"/>
      <c r="I284" s="98"/>
      <c r="J284" s="98"/>
      <c r="K284" s="83"/>
      <c r="L284" s="110"/>
      <c r="M284" s="110"/>
      <c r="N284" s="110"/>
      <c r="O284" s="111"/>
      <c r="P284" s="111"/>
      <c r="Q284" s="111"/>
      <c r="R284" s="111"/>
      <c r="Y284" s="110"/>
      <c r="Z284" s="110"/>
    </row>
    <row r="285" spans="2:26" s="108" customFormat="1">
      <c r="B285" s="97"/>
      <c r="C285" s="110"/>
      <c r="D285" s="109"/>
      <c r="E285" s="97"/>
      <c r="F285" s="97"/>
      <c r="G285" s="109"/>
      <c r="H285" s="109"/>
      <c r="I285" s="98"/>
      <c r="J285" s="98"/>
      <c r="K285" s="83"/>
      <c r="L285" s="110"/>
      <c r="M285" s="110"/>
      <c r="N285" s="110"/>
      <c r="O285" s="111"/>
      <c r="P285" s="111"/>
      <c r="Q285" s="111"/>
      <c r="R285" s="111"/>
      <c r="Y285" s="110"/>
      <c r="Z285" s="110"/>
    </row>
    <row r="286" spans="2:26" s="108" customFormat="1">
      <c r="B286" s="97"/>
      <c r="C286" s="110"/>
      <c r="D286" s="109"/>
      <c r="E286" s="97"/>
      <c r="F286" s="97"/>
      <c r="G286" s="109"/>
      <c r="H286" s="109"/>
      <c r="I286" s="98"/>
      <c r="J286" s="98"/>
      <c r="K286" s="83"/>
      <c r="L286" s="110"/>
      <c r="M286" s="110"/>
      <c r="N286" s="110"/>
      <c r="O286" s="111"/>
      <c r="P286" s="111"/>
      <c r="Q286" s="111"/>
      <c r="R286" s="111"/>
      <c r="Y286" s="110"/>
      <c r="Z286" s="110"/>
    </row>
    <row r="287" spans="2:26" s="108" customFormat="1">
      <c r="B287" s="97"/>
      <c r="C287" s="110"/>
      <c r="D287" s="109"/>
      <c r="E287" s="97"/>
      <c r="F287" s="97"/>
      <c r="G287" s="109"/>
      <c r="H287" s="109"/>
      <c r="I287" s="98"/>
      <c r="J287" s="98"/>
      <c r="K287" s="83"/>
      <c r="L287" s="110"/>
      <c r="M287" s="110"/>
      <c r="N287" s="110"/>
      <c r="O287" s="111"/>
      <c r="P287" s="111"/>
      <c r="Q287" s="111"/>
      <c r="R287" s="111"/>
      <c r="Y287" s="110"/>
      <c r="Z287" s="110"/>
    </row>
    <row r="288" spans="2:26" s="108" customFormat="1">
      <c r="B288" s="97"/>
      <c r="C288" s="110"/>
      <c r="D288" s="109"/>
      <c r="E288" s="97"/>
      <c r="F288" s="97"/>
      <c r="G288" s="109"/>
      <c r="H288" s="109"/>
      <c r="I288" s="98"/>
      <c r="J288" s="98"/>
      <c r="K288" s="83"/>
      <c r="L288" s="110"/>
      <c r="M288" s="110"/>
      <c r="N288" s="110"/>
      <c r="O288" s="111"/>
      <c r="P288" s="111"/>
      <c r="Q288" s="111"/>
      <c r="R288" s="111"/>
      <c r="Y288" s="110"/>
      <c r="Z288" s="110"/>
    </row>
    <row r="289" spans="2:26" s="108" customFormat="1">
      <c r="B289" s="97"/>
      <c r="C289" s="110"/>
      <c r="D289" s="109"/>
      <c r="E289" s="97"/>
      <c r="F289" s="97"/>
      <c r="G289" s="109"/>
      <c r="H289" s="109"/>
      <c r="I289" s="98"/>
      <c r="J289" s="98"/>
      <c r="K289" s="83"/>
      <c r="L289" s="110"/>
      <c r="M289" s="110"/>
      <c r="N289" s="110"/>
      <c r="O289" s="111"/>
      <c r="P289" s="111"/>
      <c r="Q289" s="111"/>
      <c r="R289" s="111"/>
      <c r="Y289" s="110"/>
      <c r="Z289" s="110"/>
    </row>
    <row r="290" spans="2:26" s="108" customFormat="1">
      <c r="B290" s="97"/>
      <c r="C290" s="110"/>
      <c r="D290" s="109"/>
      <c r="E290" s="97"/>
      <c r="F290" s="97"/>
      <c r="G290" s="109"/>
      <c r="H290" s="109"/>
      <c r="I290" s="98"/>
      <c r="J290" s="98"/>
      <c r="K290" s="83"/>
      <c r="L290" s="110"/>
      <c r="M290" s="110"/>
      <c r="N290" s="110"/>
      <c r="O290" s="111"/>
      <c r="P290" s="111"/>
      <c r="Q290" s="111"/>
      <c r="R290" s="111"/>
      <c r="Y290" s="110"/>
      <c r="Z290" s="110"/>
    </row>
    <row r="291" spans="2:26" s="108" customFormat="1">
      <c r="B291" s="97"/>
      <c r="C291" s="110"/>
      <c r="D291" s="109"/>
      <c r="E291" s="97"/>
      <c r="F291" s="97"/>
      <c r="G291" s="109"/>
      <c r="H291" s="109"/>
      <c r="I291" s="98"/>
      <c r="J291" s="98"/>
      <c r="K291" s="83"/>
      <c r="L291" s="110"/>
      <c r="M291" s="110"/>
      <c r="N291" s="110"/>
      <c r="O291" s="111"/>
      <c r="P291" s="111"/>
      <c r="Q291" s="111"/>
      <c r="R291" s="111"/>
      <c r="Y291" s="110"/>
      <c r="Z291" s="110"/>
    </row>
    <row r="292" spans="2:26" s="108" customFormat="1">
      <c r="B292" s="97"/>
      <c r="C292" s="110"/>
      <c r="D292" s="109"/>
      <c r="E292" s="97"/>
      <c r="F292" s="97"/>
      <c r="G292" s="109"/>
      <c r="H292" s="109"/>
      <c r="I292" s="98"/>
      <c r="J292" s="98"/>
      <c r="K292" s="83"/>
      <c r="L292" s="110"/>
      <c r="M292" s="110"/>
      <c r="N292" s="110"/>
      <c r="O292" s="111"/>
      <c r="P292" s="111"/>
      <c r="Q292" s="111"/>
      <c r="R292" s="111"/>
      <c r="Y292" s="110"/>
      <c r="Z292" s="110"/>
    </row>
    <row r="293" spans="2:26" s="108" customFormat="1">
      <c r="B293" s="97"/>
      <c r="C293" s="110"/>
      <c r="D293" s="109"/>
      <c r="E293" s="97"/>
      <c r="F293" s="97"/>
      <c r="G293" s="109"/>
      <c r="H293" s="109"/>
      <c r="I293" s="98"/>
      <c r="J293" s="98"/>
      <c r="K293" s="83"/>
      <c r="L293" s="110"/>
      <c r="M293" s="110"/>
      <c r="N293" s="110"/>
      <c r="O293" s="111"/>
      <c r="P293" s="111"/>
      <c r="Q293" s="111"/>
      <c r="R293" s="111"/>
      <c r="Y293" s="110"/>
      <c r="Z293" s="110"/>
    </row>
    <row r="294" spans="2:26" s="108" customFormat="1">
      <c r="B294" s="97"/>
      <c r="C294" s="110"/>
      <c r="D294" s="109"/>
      <c r="E294" s="97"/>
      <c r="F294" s="97"/>
      <c r="G294" s="109"/>
      <c r="H294" s="109"/>
      <c r="I294" s="98"/>
      <c r="J294" s="98"/>
      <c r="K294" s="83"/>
      <c r="L294" s="110"/>
      <c r="M294" s="110"/>
      <c r="N294" s="110"/>
      <c r="O294" s="111"/>
      <c r="P294" s="111"/>
      <c r="Q294" s="111"/>
      <c r="R294" s="111"/>
      <c r="Y294" s="110"/>
      <c r="Z294" s="110"/>
    </row>
    <row r="295" spans="2:26" s="108" customFormat="1">
      <c r="B295" s="97"/>
      <c r="C295" s="110"/>
      <c r="D295" s="109"/>
      <c r="E295" s="97"/>
      <c r="F295" s="97"/>
      <c r="G295" s="109"/>
      <c r="H295" s="109"/>
      <c r="I295" s="98"/>
      <c r="J295" s="98"/>
      <c r="K295" s="83"/>
      <c r="L295" s="110"/>
      <c r="M295" s="110"/>
      <c r="N295" s="110"/>
      <c r="O295" s="111"/>
      <c r="P295" s="111"/>
      <c r="Q295" s="111"/>
      <c r="R295" s="111"/>
      <c r="Y295" s="110"/>
      <c r="Z295" s="110"/>
    </row>
    <row r="296" spans="2:26" s="108" customFormat="1">
      <c r="B296" s="97"/>
      <c r="C296" s="110"/>
      <c r="D296" s="109"/>
      <c r="E296" s="97"/>
      <c r="F296" s="97"/>
      <c r="G296" s="109"/>
      <c r="H296" s="109"/>
      <c r="I296" s="98"/>
      <c r="J296" s="98"/>
      <c r="K296" s="83"/>
      <c r="L296" s="110"/>
      <c r="M296" s="110"/>
      <c r="N296" s="110"/>
      <c r="O296" s="111"/>
      <c r="P296" s="111"/>
      <c r="Q296" s="111"/>
      <c r="R296" s="111"/>
      <c r="Y296" s="110"/>
      <c r="Z296" s="110"/>
    </row>
    <row r="297" spans="2:26" s="108" customFormat="1">
      <c r="B297" s="97"/>
      <c r="C297" s="110"/>
      <c r="D297" s="109"/>
      <c r="E297" s="97"/>
      <c r="F297" s="97"/>
      <c r="G297" s="109"/>
      <c r="H297" s="109"/>
      <c r="I297" s="98"/>
      <c r="J297" s="98"/>
      <c r="K297" s="83"/>
      <c r="L297" s="110"/>
      <c r="M297" s="110"/>
      <c r="N297" s="110"/>
      <c r="O297" s="111"/>
      <c r="P297" s="111"/>
      <c r="Q297" s="111"/>
      <c r="R297" s="111"/>
      <c r="Y297" s="110"/>
      <c r="Z297" s="110"/>
    </row>
    <row r="298" spans="2:26" s="108" customFormat="1">
      <c r="B298" s="97"/>
      <c r="C298" s="110"/>
      <c r="D298" s="109"/>
      <c r="E298" s="97"/>
      <c r="F298" s="97"/>
      <c r="G298" s="109"/>
      <c r="H298" s="109"/>
      <c r="I298" s="98"/>
      <c r="J298" s="98"/>
      <c r="K298" s="83"/>
      <c r="L298" s="110"/>
      <c r="M298" s="110"/>
      <c r="N298" s="110"/>
      <c r="O298" s="111"/>
      <c r="P298" s="111"/>
      <c r="Q298" s="111"/>
      <c r="R298" s="111"/>
      <c r="Y298" s="110"/>
      <c r="Z298" s="110"/>
    </row>
    <row r="299" spans="2:26" s="108" customFormat="1">
      <c r="B299" s="97"/>
      <c r="C299" s="110"/>
      <c r="D299" s="109"/>
      <c r="E299" s="97"/>
      <c r="F299" s="97"/>
      <c r="G299" s="109"/>
      <c r="H299" s="109"/>
      <c r="I299" s="98"/>
      <c r="J299" s="98"/>
      <c r="K299" s="83"/>
      <c r="L299" s="110"/>
      <c r="M299" s="110"/>
      <c r="N299" s="110"/>
      <c r="O299" s="111"/>
      <c r="P299" s="111"/>
      <c r="Q299" s="111"/>
      <c r="R299" s="111"/>
      <c r="Y299" s="110"/>
      <c r="Z299" s="110"/>
    </row>
    <row r="300" spans="2:26" s="108" customFormat="1">
      <c r="B300" s="97"/>
      <c r="C300" s="110"/>
      <c r="D300" s="109"/>
      <c r="E300" s="97"/>
      <c r="F300" s="97"/>
      <c r="G300" s="109"/>
      <c r="H300" s="109"/>
      <c r="I300" s="98"/>
      <c r="J300" s="98"/>
      <c r="K300" s="83"/>
      <c r="L300" s="110"/>
      <c r="M300" s="110"/>
      <c r="N300" s="110"/>
      <c r="O300" s="111"/>
      <c r="P300" s="111"/>
      <c r="Q300" s="111"/>
      <c r="R300" s="111"/>
      <c r="Y300" s="110"/>
      <c r="Z300" s="110"/>
    </row>
    <row r="301" spans="2:26" s="108" customFormat="1">
      <c r="B301" s="97"/>
      <c r="C301" s="110"/>
      <c r="D301" s="109"/>
      <c r="E301" s="97"/>
      <c r="F301" s="97"/>
      <c r="G301" s="109"/>
      <c r="H301" s="109"/>
      <c r="I301" s="98"/>
      <c r="J301" s="98"/>
      <c r="K301" s="83"/>
      <c r="L301" s="110"/>
      <c r="M301" s="110"/>
      <c r="N301" s="110"/>
      <c r="O301" s="111"/>
      <c r="P301" s="111"/>
      <c r="Q301" s="111"/>
      <c r="R301" s="111"/>
      <c r="Y301" s="110"/>
      <c r="Z301" s="110"/>
    </row>
    <row r="302" spans="2:26" s="108" customFormat="1">
      <c r="B302" s="97"/>
      <c r="C302" s="110"/>
      <c r="D302" s="109"/>
      <c r="E302" s="97"/>
      <c r="F302" s="97"/>
      <c r="G302" s="109"/>
      <c r="H302" s="109"/>
      <c r="I302" s="98"/>
      <c r="J302" s="98"/>
      <c r="K302" s="83"/>
      <c r="L302" s="110"/>
      <c r="M302" s="110"/>
      <c r="N302" s="110"/>
      <c r="O302" s="111"/>
      <c r="P302" s="111"/>
      <c r="Q302" s="111"/>
      <c r="R302" s="111"/>
      <c r="Y302" s="110"/>
      <c r="Z302" s="110"/>
    </row>
    <row r="303" spans="2:26" s="108" customFormat="1">
      <c r="B303" s="97"/>
      <c r="C303" s="110"/>
      <c r="D303" s="109"/>
      <c r="E303" s="97"/>
      <c r="F303" s="97"/>
      <c r="G303" s="109"/>
      <c r="H303" s="109"/>
      <c r="I303" s="98"/>
      <c r="J303" s="98"/>
      <c r="K303" s="83"/>
      <c r="L303" s="110"/>
      <c r="M303" s="110"/>
      <c r="N303" s="110"/>
      <c r="O303" s="111"/>
      <c r="P303" s="111"/>
      <c r="Q303" s="111"/>
      <c r="R303" s="111"/>
      <c r="Y303" s="110"/>
      <c r="Z303" s="110"/>
    </row>
    <row r="304" spans="2:26" s="108" customFormat="1">
      <c r="B304" s="97"/>
      <c r="C304" s="110"/>
      <c r="D304" s="109"/>
      <c r="E304" s="97"/>
      <c r="F304" s="97"/>
      <c r="G304" s="109"/>
      <c r="H304" s="109"/>
      <c r="I304" s="98"/>
      <c r="J304" s="98"/>
      <c r="K304" s="83"/>
      <c r="L304" s="110"/>
      <c r="M304" s="110"/>
      <c r="N304" s="110"/>
      <c r="O304" s="111"/>
      <c r="P304" s="111"/>
      <c r="Q304" s="111"/>
      <c r="R304" s="111"/>
      <c r="Y304" s="110"/>
      <c r="Z304" s="110"/>
    </row>
    <row r="305" spans="2:26" s="108" customFormat="1">
      <c r="B305" s="97"/>
      <c r="C305" s="110"/>
      <c r="D305" s="109"/>
      <c r="E305" s="97"/>
      <c r="F305" s="97"/>
      <c r="G305" s="109"/>
      <c r="H305" s="109"/>
      <c r="I305" s="98"/>
      <c r="J305" s="98"/>
      <c r="K305" s="83"/>
      <c r="L305" s="110"/>
      <c r="M305" s="110"/>
      <c r="N305" s="110"/>
      <c r="O305" s="111"/>
      <c r="P305" s="111"/>
      <c r="Q305" s="111"/>
      <c r="R305" s="111"/>
      <c r="Y305" s="110"/>
      <c r="Z305" s="110"/>
    </row>
    <row r="306" spans="2:26" s="108" customFormat="1">
      <c r="B306" s="97"/>
      <c r="C306" s="110"/>
      <c r="D306" s="109"/>
      <c r="E306" s="97"/>
      <c r="F306" s="97"/>
      <c r="G306" s="109"/>
      <c r="H306" s="109"/>
      <c r="I306" s="98"/>
      <c r="J306" s="98"/>
      <c r="K306" s="83"/>
      <c r="L306" s="110"/>
      <c r="M306" s="110"/>
      <c r="N306" s="110"/>
      <c r="O306" s="111"/>
      <c r="P306" s="111"/>
      <c r="Q306" s="111"/>
      <c r="R306" s="111"/>
      <c r="Y306" s="110"/>
      <c r="Z306" s="110"/>
    </row>
    <row r="307" spans="2:26" s="108" customFormat="1">
      <c r="B307" s="97"/>
      <c r="C307" s="110"/>
      <c r="D307" s="109"/>
      <c r="E307" s="97"/>
      <c r="F307" s="97"/>
      <c r="G307" s="109"/>
      <c r="H307" s="109"/>
      <c r="I307" s="98"/>
      <c r="J307" s="98"/>
      <c r="K307" s="83"/>
      <c r="L307" s="110"/>
      <c r="M307" s="110"/>
      <c r="N307" s="110"/>
      <c r="O307" s="111"/>
      <c r="P307" s="111"/>
      <c r="Q307" s="111"/>
      <c r="R307" s="111"/>
      <c r="Y307" s="110"/>
      <c r="Z307" s="110"/>
    </row>
    <row r="308" spans="2:26" s="108" customFormat="1">
      <c r="B308" s="97"/>
      <c r="C308" s="110"/>
      <c r="D308" s="109"/>
      <c r="E308" s="97"/>
      <c r="F308" s="97"/>
      <c r="G308" s="109"/>
      <c r="H308" s="109"/>
      <c r="I308" s="98"/>
      <c r="J308" s="98"/>
      <c r="K308" s="83"/>
      <c r="L308" s="110"/>
      <c r="M308" s="110"/>
      <c r="N308" s="110"/>
      <c r="O308" s="111"/>
      <c r="P308" s="111"/>
      <c r="Q308" s="111"/>
      <c r="R308" s="111"/>
      <c r="Y308" s="110"/>
      <c r="Z308" s="110"/>
    </row>
    <row r="309" spans="2:26" s="108" customFormat="1">
      <c r="B309" s="97"/>
      <c r="C309" s="110"/>
      <c r="D309" s="109"/>
      <c r="E309" s="97"/>
      <c r="F309" s="97"/>
      <c r="G309" s="109"/>
      <c r="H309" s="109"/>
      <c r="I309" s="98"/>
      <c r="J309" s="98"/>
      <c r="K309" s="83"/>
      <c r="L309" s="110"/>
      <c r="M309" s="110"/>
      <c r="N309" s="110"/>
      <c r="O309" s="111"/>
      <c r="P309" s="111"/>
      <c r="Q309" s="111"/>
      <c r="R309" s="111"/>
      <c r="Y309" s="110"/>
      <c r="Z309" s="110"/>
    </row>
    <row r="310" spans="2:26" s="108" customFormat="1">
      <c r="B310" s="97"/>
      <c r="C310" s="110"/>
      <c r="D310" s="109"/>
      <c r="E310" s="97"/>
      <c r="F310" s="97"/>
      <c r="G310" s="109"/>
      <c r="H310" s="109"/>
      <c r="I310" s="98"/>
      <c r="J310" s="98"/>
      <c r="K310" s="83"/>
      <c r="L310" s="110"/>
      <c r="M310" s="110"/>
      <c r="N310" s="110"/>
      <c r="O310" s="111"/>
      <c r="P310" s="111"/>
      <c r="Q310" s="111"/>
      <c r="R310" s="111"/>
      <c r="Y310" s="110"/>
      <c r="Z310" s="110"/>
    </row>
    <row r="311" spans="2:26" s="108" customFormat="1">
      <c r="B311" s="97"/>
      <c r="C311" s="110"/>
      <c r="D311" s="109"/>
      <c r="E311" s="97"/>
      <c r="F311" s="97"/>
      <c r="G311" s="109"/>
      <c r="H311" s="109"/>
      <c r="I311" s="98"/>
      <c r="J311" s="98"/>
      <c r="K311" s="83"/>
      <c r="L311" s="110"/>
      <c r="M311" s="110"/>
      <c r="N311" s="110"/>
      <c r="O311" s="111"/>
      <c r="P311" s="111"/>
      <c r="Q311" s="111"/>
      <c r="R311" s="111"/>
      <c r="Y311" s="110"/>
      <c r="Z311" s="110"/>
    </row>
    <row r="312" spans="2:26" s="108" customFormat="1">
      <c r="B312" s="97"/>
      <c r="C312" s="110"/>
      <c r="D312" s="109"/>
      <c r="E312" s="97"/>
      <c r="F312" s="97"/>
      <c r="G312" s="109"/>
      <c r="H312" s="109"/>
      <c r="I312" s="98"/>
      <c r="J312" s="98"/>
      <c r="K312" s="83"/>
      <c r="L312" s="110"/>
      <c r="M312" s="110"/>
      <c r="N312" s="110"/>
      <c r="O312" s="111"/>
      <c r="P312" s="111"/>
      <c r="Q312" s="111"/>
      <c r="R312" s="111"/>
      <c r="Y312" s="110"/>
      <c r="Z312" s="110"/>
    </row>
    <row r="313" spans="2:26" s="108" customFormat="1">
      <c r="B313" s="97"/>
      <c r="C313" s="110"/>
      <c r="D313" s="109"/>
      <c r="E313" s="97"/>
      <c r="F313" s="97"/>
      <c r="G313" s="109"/>
      <c r="H313" s="109"/>
      <c r="I313" s="98"/>
      <c r="J313" s="98"/>
      <c r="K313" s="83"/>
      <c r="L313" s="110"/>
      <c r="M313" s="110"/>
      <c r="N313" s="110"/>
      <c r="O313" s="111"/>
      <c r="P313" s="111"/>
      <c r="Q313" s="111"/>
      <c r="R313" s="111"/>
      <c r="Y313" s="110"/>
      <c r="Z313" s="110"/>
    </row>
    <row r="314" spans="2:26" s="108" customFormat="1">
      <c r="B314" s="97"/>
      <c r="C314" s="110"/>
      <c r="D314" s="109"/>
      <c r="E314" s="97"/>
      <c r="F314" s="97"/>
      <c r="G314" s="109"/>
      <c r="H314" s="109"/>
      <c r="I314" s="98"/>
      <c r="J314" s="98"/>
      <c r="K314" s="83"/>
      <c r="L314" s="110"/>
      <c r="M314" s="110"/>
      <c r="N314" s="110"/>
      <c r="O314" s="111"/>
      <c r="P314" s="111"/>
      <c r="Q314" s="111"/>
      <c r="R314" s="111"/>
      <c r="Y314" s="110"/>
      <c r="Z314" s="110"/>
    </row>
    <row r="315" spans="2:26" s="108" customFormat="1">
      <c r="B315" s="97"/>
      <c r="C315" s="110"/>
      <c r="D315" s="109"/>
      <c r="E315" s="97"/>
      <c r="F315" s="97"/>
      <c r="G315" s="109"/>
      <c r="H315" s="109"/>
      <c r="I315" s="98"/>
      <c r="J315" s="98"/>
      <c r="K315" s="83"/>
      <c r="L315" s="110"/>
      <c r="M315" s="110"/>
      <c r="N315" s="110"/>
      <c r="O315" s="111"/>
      <c r="P315" s="111"/>
      <c r="Q315" s="111"/>
      <c r="R315" s="111"/>
      <c r="Y315" s="110"/>
      <c r="Z315" s="110"/>
    </row>
    <row r="316" spans="2:26" s="108" customFormat="1">
      <c r="B316" s="97"/>
      <c r="C316" s="110"/>
      <c r="D316" s="109"/>
      <c r="E316" s="97"/>
      <c r="F316" s="97"/>
      <c r="G316" s="109"/>
      <c r="H316" s="109"/>
      <c r="I316" s="98"/>
      <c r="J316" s="98"/>
      <c r="K316" s="83"/>
      <c r="L316" s="110"/>
      <c r="M316" s="110"/>
      <c r="N316" s="110"/>
      <c r="O316" s="111"/>
      <c r="P316" s="111"/>
      <c r="Q316" s="111"/>
      <c r="R316" s="111"/>
      <c r="Y316" s="110"/>
      <c r="Z316" s="110"/>
    </row>
    <row r="317" spans="2:26" s="108" customFormat="1">
      <c r="B317" s="97"/>
      <c r="C317" s="110"/>
      <c r="D317" s="109"/>
      <c r="E317" s="97"/>
      <c r="F317" s="97"/>
      <c r="G317" s="109"/>
      <c r="H317" s="109"/>
      <c r="I317" s="98"/>
      <c r="J317" s="98"/>
      <c r="K317" s="83"/>
      <c r="L317" s="110"/>
      <c r="M317" s="110"/>
      <c r="N317" s="110"/>
      <c r="O317" s="111"/>
      <c r="P317" s="111"/>
      <c r="Q317" s="111"/>
      <c r="R317" s="111"/>
      <c r="Y317" s="110"/>
      <c r="Z317" s="110"/>
    </row>
    <row r="318" spans="2:26" s="108" customFormat="1">
      <c r="B318" s="97"/>
      <c r="C318" s="110"/>
      <c r="D318" s="109"/>
      <c r="E318" s="97"/>
      <c r="F318" s="97"/>
      <c r="G318" s="109"/>
      <c r="H318" s="109"/>
      <c r="I318" s="98"/>
      <c r="J318" s="98"/>
      <c r="K318" s="83"/>
      <c r="L318" s="110"/>
      <c r="M318" s="110"/>
      <c r="N318" s="110"/>
      <c r="O318" s="111"/>
      <c r="P318" s="111"/>
      <c r="Q318" s="111"/>
      <c r="R318" s="111"/>
      <c r="Y318" s="110"/>
      <c r="Z318" s="110"/>
    </row>
    <row r="319" spans="2:26" s="108" customFormat="1">
      <c r="B319" s="97"/>
      <c r="C319" s="110"/>
      <c r="D319" s="109"/>
      <c r="E319" s="97"/>
      <c r="F319" s="97"/>
      <c r="G319" s="109"/>
      <c r="H319" s="109"/>
      <c r="I319" s="98"/>
      <c r="J319" s="98"/>
      <c r="K319" s="83"/>
      <c r="L319" s="110"/>
      <c r="M319" s="110"/>
      <c r="N319" s="110"/>
      <c r="O319" s="111"/>
      <c r="P319" s="111"/>
      <c r="Q319" s="111"/>
      <c r="R319" s="111"/>
      <c r="Y319" s="110"/>
      <c r="Z319" s="110"/>
    </row>
    <row r="320" spans="2:26" s="108" customFormat="1">
      <c r="B320" s="97"/>
      <c r="C320" s="110"/>
      <c r="D320" s="109"/>
      <c r="E320" s="97"/>
      <c r="F320" s="97"/>
      <c r="G320" s="109"/>
      <c r="H320" s="109"/>
      <c r="I320" s="98"/>
      <c r="J320" s="98"/>
      <c r="K320" s="83"/>
      <c r="L320" s="110"/>
      <c r="M320" s="110"/>
      <c r="N320" s="110"/>
      <c r="O320" s="111"/>
      <c r="P320" s="111"/>
      <c r="Q320" s="111"/>
      <c r="R320" s="111"/>
      <c r="Y320" s="110"/>
      <c r="Z320" s="110"/>
    </row>
    <row r="321" spans="2:26" s="108" customFormat="1">
      <c r="B321" s="97"/>
      <c r="C321" s="110"/>
      <c r="D321" s="109"/>
      <c r="E321" s="97"/>
      <c r="F321" s="97"/>
      <c r="G321" s="109"/>
      <c r="H321" s="109"/>
      <c r="I321" s="98"/>
      <c r="J321" s="98"/>
      <c r="K321" s="83"/>
      <c r="L321" s="110"/>
      <c r="M321" s="110"/>
      <c r="N321" s="110"/>
      <c r="O321" s="111"/>
      <c r="P321" s="111"/>
      <c r="Q321" s="111"/>
      <c r="R321" s="111"/>
      <c r="Y321" s="110"/>
      <c r="Z321" s="110"/>
    </row>
    <row r="322" spans="2:26" s="108" customFormat="1">
      <c r="B322" s="97"/>
      <c r="C322" s="110"/>
      <c r="D322" s="109"/>
      <c r="E322" s="97"/>
      <c r="F322" s="97"/>
      <c r="G322" s="109"/>
      <c r="H322" s="109"/>
      <c r="I322" s="98"/>
      <c r="J322" s="98"/>
      <c r="K322" s="83"/>
      <c r="L322" s="110"/>
      <c r="M322" s="110"/>
      <c r="N322" s="110"/>
      <c r="O322" s="111"/>
      <c r="P322" s="111"/>
      <c r="Q322" s="111"/>
      <c r="R322" s="111"/>
      <c r="Y322" s="110"/>
      <c r="Z322" s="110"/>
    </row>
    <row r="323" spans="2:26" s="108" customFormat="1">
      <c r="B323" s="97"/>
      <c r="C323" s="110"/>
      <c r="D323" s="109"/>
      <c r="E323" s="97"/>
      <c r="F323" s="97"/>
      <c r="G323" s="109"/>
      <c r="H323" s="109"/>
      <c r="I323" s="98"/>
      <c r="J323" s="98"/>
      <c r="K323" s="83"/>
      <c r="L323" s="110"/>
      <c r="M323" s="110"/>
      <c r="N323" s="110"/>
      <c r="O323" s="111"/>
      <c r="P323" s="111"/>
      <c r="Q323" s="111"/>
      <c r="R323" s="111"/>
      <c r="Y323" s="110"/>
      <c r="Z323" s="110"/>
    </row>
    <row r="324" spans="2:26" s="108" customFormat="1">
      <c r="B324" s="97"/>
      <c r="C324" s="110"/>
      <c r="D324" s="109"/>
      <c r="E324" s="97"/>
      <c r="F324" s="97"/>
      <c r="G324" s="109"/>
      <c r="H324" s="109"/>
      <c r="I324" s="98"/>
      <c r="J324" s="98"/>
      <c r="K324" s="83"/>
      <c r="L324" s="110"/>
      <c r="M324" s="110"/>
      <c r="N324" s="110"/>
      <c r="O324" s="111"/>
      <c r="P324" s="111"/>
      <c r="Q324" s="111"/>
      <c r="R324" s="111"/>
      <c r="Y324" s="110"/>
      <c r="Z324" s="110"/>
    </row>
    <row r="325" spans="2:26" s="108" customFormat="1">
      <c r="B325" s="97"/>
      <c r="C325" s="110"/>
      <c r="D325" s="109"/>
      <c r="E325" s="97"/>
      <c r="F325" s="97"/>
      <c r="G325" s="109"/>
      <c r="H325" s="109"/>
      <c r="I325" s="98"/>
      <c r="J325" s="98"/>
      <c r="K325" s="83"/>
      <c r="L325" s="110"/>
      <c r="M325" s="110"/>
      <c r="N325" s="110"/>
      <c r="O325" s="111"/>
      <c r="P325" s="111"/>
      <c r="Q325" s="111"/>
      <c r="R325" s="111"/>
      <c r="Y325" s="110"/>
      <c r="Z325" s="110"/>
    </row>
    <row r="326" spans="2:26" s="108" customFormat="1">
      <c r="B326" s="97"/>
      <c r="C326" s="110"/>
      <c r="D326" s="109"/>
      <c r="E326" s="97"/>
      <c r="F326" s="97"/>
      <c r="G326" s="109"/>
      <c r="H326" s="109"/>
      <c r="I326" s="98"/>
      <c r="J326" s="98"/>
      <c r="K326" s="83"/>
      <c r="L326" s="110"/>
      <c r="M326" s="110"/>
      <c r="N326" s="110"/>
      <c r="O326" s="111"/>
      <c r="P326" s="111"/>
      <c r="Q326" s="111"/>
      <c r="R326" s="111"/>
      <c r="Y326" s="110"/>
      <c r="Z326" s="110"/>
    </row>
    <row r="327" spans="2:26" s="108" customFormat="1">
      <c r="B327" s="97"/>
      <c r="C327" s="110"/>
      <c r="D327" s="109"/>
      <c r="E327" s="97"/>
      <c r="F327" s="97"/>
      <c r="G327" s="109"/>
      <c r="H327" s="109"/>
      <c r="I327" s="98"/>
      <c r="J327" s="98"/>
      <c r="K327" s="83"/>
      <c r="L327" s="110"/>
      <c r="M327" s="110"/>
      <c r="N327" s="110"/>
      <c r="O327" s="111"/>
      <c r="P327" s="111"/>
      <c r="Q327" s="111"/>
      <c r="R327" s="111"/>
      <c r="Y327" s="110"/>
      <c r="Z327" s="110"/>
    </row>
    <row r="328" spans="2:26" s="108" customFormat="1">
      <c r="B328" s="97"/>
      <c r="C328" s="110"/>
      <c r="D328" s="109"/>
      <c r="E328" s="97"/>
      <c r="F328" s="97"/>
      <c r="G328" s="109"/>
      <c r="H328" s="109"/>
      <c r="I328" s="98"/>
      <c r="J328" s="98"/>
      <c r="K328" s="83"/>
      <c r="L328" s="110"/>
      <c r="M328" s="110"/>
      <c r="N328" s="110"/>
      <c r="O328" s="111"/>
      <c r="P328" s="111"/>
      <c r="Q328" s="111"/>
      <c r="R328" s="111"/>
      <c r="Y328" s="110"/>
      <c r="Z328" s="110"/>
    </row>
    <row r="329" spans="2:26" s="108" customFormat="1">
      <c r="B329" s="97"/>
      <c r="C329" s="110"/>
      <c r="D329" s="109"/>
      <c r="E329" s="97"/>
      <c r="F329" s="97"/>
      <c r="G329" s="109"/>
      <c r="H329" s="109"/>
      <c r="I329" s="98"/>
      <c r="J329" s="98"/>
      <c r="K329" s="83"/>
      <c r="L329" s="110"/>
      <c r="M329" s="110"/>
      <c r="N329" s="110"/>
      <c r="O329" s="111"/>
      <c r="P329" s="111"/>
      <c r="Q329" s="111"/>
      <c r="R329" s="111"/>
      <c r="Y329" s="110"/>
      <c r="Z329" s="110"/>
    </row>
    <row r="330" spans="2:26" s="108" customFormat="1">
      <c r="B330" s="97"/>
      <c r="C330" s="110"/>
      <c r="D330" s="109"/>
      <c r="E330" s="97"/>
      <c r="F330" s="97"/>
      <c r="G330" s="109"/>
      <c r="H330" s="109"/>
      <c r="I330" s="98"/>
      <c r="J330" s="98"/>
      <c r="K330" s="83"/>
      <c r="L330" s="110"/>
      <c r="M330" s="110"/>
      <c r="N330" s="110"/>
      <c r="O330" s="111"/>
      <c r="P330" s="111"/>
      <c r="Q330" s="111"/>
      <c r="R330" s="111"/>
      <c r="Y330" s="110"/>
      <c r="Z330" s="110"/>
    </row>
    <row r="331" spans="2:26" s="108" customFormat="1">
      <c r="B331" s="97"/>
      <c r="C331" s="110"/>
      <c r="D331" s="109"/>
      <c r="E331" s="97"/>
      <c r="F331" s="97"/>
      <c r="G331" s="109"/>
      <c r="H331" s="109"/>
      <c r="I331" s="98"/>
      <c r="J331" s="98"/>
      <c r="K331" s="83"/>
      <c r="L331" s="110"/>
      <c r="M331" s="110"/>
      <c r="N331" s="110"/>
      <c r="O331" s="111"/>
      <c r="P331" s="111"/>
      <c r="Q331" s="111"/>
      <c r="R331" s="111"/>
      <c r="Y331" s="110"/>
      <c r="Z331" s="110"/>
    </row>
    <row r="332" spans="2:26" s="108" customFormat="1">
      <c r="B332" s="97"/>
      <c r="C332" s="110"/>
      <c r="D332" s="109"/>
      <c r="E332" s="97"/>
      <c r="F332" s="97"/>
      <c r="G332" s="109"/>
      <c r="H332" s="109"/>
      <c r="I332" s="98"/>
      <c r="J332" s="98"/>
      <c r="K332" s="83"/>
      <c r="L332" s="110"/>
      <c r="M332" s="110"/>
      <c r="N332" s="110"/>
      <c r="O332" s="111"/>
      <c r="P332" s="111"/>
      <c r="Q332" s="111"/>
      <c r="R332" s="111"/>
      <c r="Y332" s="110"/>
      <c r="Z332" s="110"/>
    </row>
    <row r="333" spans="2:26" s="108" customFormat="1">
      <c r="B333" s="97"/>
      <c r="C333" s="110"/>
      <c r="D333" s="109"/>
      <c r="E333" s="97"/>
      <c r="F333" s="97"/>
      <c r="G333" s="109"/>
      <c r="H333" s="109"/>
      <c r="I333" s="98"/>
      <c r="J333" s="98"/>
      <c r="K333" s="83"/>
      <c r="L333" s="110"/>
      <c r="M333" s="110"/>
      <c r="N333" s="110"/>
      <c r="O333" s="111"/>
      <c r="P333" s="111"/>
      <c r="Q333" s="111"/>
      <c r="R333" s="111"/>
      <c r="Y333" s="110"/>
      <c r="Z333" s="110"/>
    </row>
    <row r="334" spans="2:26" s="108" customFormat="1">
      <c r="B334" s="97"/>
      <c r="C334" s="110"/>
      <c r="D334" s="109"/>
      <c r="E334" s="97"/>
      <c r="F334" s="97"/>
      <c r="G334" s="109"/>
      <c r="H334" s="109"/>
      <c r="I334" s="98"/>
      <c r="J334" s="98"/>
      <c r="K334" s="83"/>
      <c r="L334" s="110"/>
      <c r="M334" s="110"/>
      <c r="N334" s="110"/>
      <c r="O334" s="111"/>
      <c r="P334" s="111"/>
      <c r="Q334" s="111"/>
      <c r="R334" s="111"/>
      <c r="Y334" s="110"/>
      <c r="Z334" s="110"/>
    </row>
    <row r="335" spans="2:26" s="108" customFormat="1">
      <c r="B335" s="97"/>
      <c r="C335" s="110"/>
      <c r="D335" s="109"/>
      <c r="E335" s="97"/>
      <c r="F335" s="97"/>
      <c r="G335" s="109"/>
      <c r="H335" s="109"/>
      <c r="I335" s="98"/>
      <c r="J335" s="98"/>
      <c r="K335" s="83"/>
      <c r="L335" s="110"/>
      <c r="M335" s="110"/>
      <c r="N335" s="110"/>
      <c r="O335" s="111"/>
      <c r="P335" s="111"/>
      <c r="Q335" s="111"/>
      <c r="R335" s="111"/>
      <c r="Y335" s="110"/>
      <c r="Z335" s="110"/>
    </row>
    <row r="336" spans="2:26" s="108" customFormat="1">
      <c r="B336" s="97"/>
      <c r="C336" s="110"/>
      <c r="D336" s="109"/>
      <c r="E336" s="97"/>
      <c r="F336" s="97"/>
      <c r="G336" s="109"/>
      <c r="H336" s="109"/>
      <c r="I336" s="98"/>
      <c r="J336" s="98"/>
      <c r="K336" s="83"/>
      <c r="L336" s="110"/>
      <c r="M336" s="110"/>
      <c r="N336" s="110"/>
      <c r="O336" s="111"/>
      <c r="P336" s="111"/>
      <c r="Q336" s="111"/>
      <c r="R336" s="111"/>
      <c r="Y336" s="110"/>
      <c r="Z336" s="110"/>
    </row>
    <row r="337" spans="2:26" s="108" customFormat="1">
      <c r="B337" s="97"/>
      <c r="C337" s="110"/>
      <c r="D337" s="109"/>
      <c r="E337" s="97"/>
      <c r="F337" s="97"/>
      <c r="G337" s="109"/>
      <c r="H337" s="109"/>
      <c r="I337" s="98"/>
      <c r="J337" s="98"/>
      <c r="K337" s="83"/>
      <c r="L337" s="110"/>
      <c r="M337" s="110"/>
      <c r="N337" s="110"/>
      <c r="O337" s="111"/>
      <c r="P337" s="111"/>
      <c r="Q337" s="111"/>
      <c r="R337" s="111"/>
      <c r="Y337" s="110"/>
      <c r="Z337" s="110"/>
    </row>
    <row r="338" spans="2:26" s="108" customFormat="1">
      <c r="B338" s="97"/>
      <c r="C338" s="110"/>
      <c r="D338" s="109"/>
      <c r="E338" s="97"/>
      <c r="F338" s="97"/>
      <c r="G338" s="109"/>
      <c r="H338" s="109"/>
      <c r="I338" s="98"/>
      <c r="J338" s="98"/>
      <c r="K338" s="83"/>
      <c r="L338" s="110"/>
      <c r="M338" s="110"/>
      <c r="N338" s="110"/>
      <c r="O338" s="111"/>
      <c r="P338" s="111"/>
      <c r="Q338" s="111"/>
      <c r="R338" s="111"/>
      <c r="Y338" s="110"/>
      <c r="Z338" s="110"/>
    </row>
    <row r="339" spans="2:26" s="108" customFormat="1">
      <c r="B339" s="97"/>
      <c r="C339" s="110"/>
      <c r="D339" s="109"/>
      <c r="E339" s="97"/>
      <c r="F339" s="97"/>
      <c r="G339" s="109"/>
      <c r="H339" s="109"/>
      <c r="I339" s="98"/>
      <c r="J339" s="98"/>
      <c r="K339" s="83"/>
      <c r="L339" s="110"/>
      <c r="M339" s="110"/>
      <c r="N339" s="110"/>
      <c r="O339" s="111"/>
      <c r="P339" s="111"/>
      <c r="Q339" s="111"/>
      <c r="R339" s="111"/>
      <c r="Y339" s="110"/>
      <c r="Z339" s="110"/>
    </row>
    <row r="340" spans="2:26" s="108" customFormat="1">
      <c r="B340" s="97"/>
      <c r="C340" s="110"/>
      <c r="D340" s="109"/>
      <c r="E340" s="97"/>
      <c r="F340" s="97"/>
      <c r="G340" s="109"/>
      <c r="H340" s="109"/>
      <c r="I340" s="98"/>
      <c r="J340" s="98"/>
      <c r="K340" s="83"/>
      <c r="L340" s="110"/>
      <c r="M340" s="110"/>
      <c r="N340" s="110"/>
      <c r="O340" s="111"/>
      <c r="P340" s="111"/>
      <c r="Q340" s="111"/>
      <c r="R340" s="111"/>
      <c r="Y340" s="110"/>
      <c r="Z340" s="110"/>
    </row>
    <row r="341" spans="2:26" s="108" customFormat="1">
      <c r="B341" s="97"/>
      <c r="C341" s="110"/>
      <c r="D341" s="109"/>
      <c r="E341" s="97"/>
      <c r="F341" s="97"/>
      <c r="G341" s="109"/>
      <c r="H341" s="109"/>
      <c r="I341" s="98"/>
      <c r="J341" s="98"/>
      <c r="K341" s="83"/>
      <c r="L341" s="110"/>
      <c r="M341" s="110"/>
      <c r="N341" s="110"/>
      <c r="O341" s="111"/>
      <c r="P341" s="111"/>
      <c r="Q341" s="111"/>
      <c r="R341" s="111"/>
      <c r="Y341" s="110"/>
      <c r="Z341" s="110"/>
    </row>
    <row r="342" spans="2:26" s="108" customFormat="1">
      <c r="B342" s="97"/>
      <c r="C342" s="110"/>
      <c r="D342" s="109"/>
      <c r="E342" s="97"/>
      <c r="F342" s="97"/>
      <c r="G342" s="109"/>
      <c r="H342" s="109"/>
      <c r="I342" s="98"/>
      <c r="J342" s="98"/>
      <c r="K342" s="83"/>
      <c r="L342" s="110"/>
      <c r="M342" s="110"/>
      <c r="N342" s="110"/>
      <c r="O342" s="111"/>
      <c r="P342" s="111"/>
      <c r="Q342" s="111"/>
      <c r="R342" s="111"/>
      <c r="Y342" s="110"/>
      <c r="Z342" s="110"/>
    </row>
    <row r="343" spans="2:26" s="108" customFormat="1">
      <c r="B343" s="97"/>
      <c r="C343" s="110"/>
      <c r="D343" s="109"/>
      <c r="E343" s="97"/>
      <c r="F343" s="97"/>
      <c r="G343" s="109"/>
      <c r="H343" s="109"/>
      <c r="I343" s="98"/>
      <c r="J343" s="98"/>
      <c r="K343" s="83"/>
      <c r="L343" s="110"/>
      <c r="M343" s="110"/>
      <c r="N343" s="110"/>
      <c r="O343" s="111"/>
      <c r="P343" s="111"/>
      <c r="Q343" s="111"/>
      <c r="R343" s="111"/>
      <c r="Y343" s="110"/>
      <c r="Z343" s="110"/>
    </row>
    <row r="344" spans="2:26" s="108" customFormat="1">
      <c r="B344" s="97"/>
      <c r="C344" s="110"/>
      <c r="D344" s="109"/>
      <c r="E344" s="97"/>
      <c r="F344" s="97"/>
      <c r="G344" s="109"/>
      <c r="H344" s="109"/>
      <c r="I344" s="98"/>
      <c r="J344" s="98"/>
      <c r="K344" s="83"/>
      <c r="L344" s="110"/>
      <c r="M344" s="110"/>
      <c r="N344" s="110"/>
      <c r="O344" s="111"/>
      <c r="P344" s="111"/>
      <c r="Q344" s="111"/>
      <c r="R344" s="111"/>
      <c r="Y344" s="110"/>
      <c r="Z344" s="110"/>
    </row>
    <row r="345" spans="2:26" s="108" customFormat="1">
      <c r="B345" s="97"/>
      <c r="C345" s="110"/>
      <c r="D345" s="109"/>
      <c r="E345" s="97"/>
      <c r="F345" s="97"/>
      <c r="G345" s="109"/>
      <c r="H345" s="109"/>
      <c r="I345" s="98"/>
      <c r="J345" s="98"/>
      <c r="K345" s="83"/>
      <c r="L345" s="110"/>
      <c r="M345" s="110"/>
      <c r="N345" s="110"/>
      <c r="O345" s="111"/>
      <c r="P345" s="111"/>
      <c r="Q345" s="111"/>
      <c r="R345" s="111"/>
      <c r="Y345" s="110"/>
      <c r="Z345" s="110"/>
    </row>
    <row r="346" spans="2:26" s="108" customFormat="1">
      <c r="B346" s="97"/>
      <c r="C346" s="110"/>
      <c r="D346" s="109"/>
      <c r="E346" s="97"/>
      <c r="F346" s="97"/>
      <c r="G346" s="109"/>
      <c r="H346" s="109"/>
      <c r="I346" s="98"/>
      <c r="J346" s="98"/>
      <c r="K346" s="83"/>
      <c r="L346" s="110"/>
      <c r="M346" s="110"/>
      <c r="N346" s="110"/>
      <c r="O346" s="111"/>
      <c r="P346" s="111"/>
      <c r="Q346" s="111"/>
      <c r="R346" s="111"/>
      <c r="Y346" s="110"/>
      <c r="Z346" s="110"/>
    </row>
    <row r="347" spans="2:26" s="108" customFormat="1">
      <c r="B347" s="97"/>
      <c r="C347" s="110"/>
      <c r="D347" s="109"/>
      <c r="E347" s="97"/>
      <c r="F347" s="97"/>
      <c r="G347" s="109"/>
      <c r="H347" s="109"/>
      <c r="I347" s="98"/>
      <c r="J347" s="98"/>
      <c r="K347" s="83"/>
      <c r="L347" s="110"/>
      <c r="M347" s="110"/>
      <c r="N347" s="110"/>
      <c r="O347" s="111"/>
      <c r="P347" s="111"/>
      <c r="Q347" s="111"/>
      <c r="R347" s="111"/>
      <c r="Y347" s="110"/>
      <c r="Z347" s="110"/>
    </row>
    <row r="348" spans="2:26" s="108" customFormat="1">
      <c r="B348" s="97"/>
      <c r="C348" s="110"/>
      <c r="D348" s="109"/>
      <c r="E348" s="97"/>
      <c r="F348" s="97"/>
      <c r="G348" s="109"/>
      <c r="H348" s="109"/>
      <c r="I348" s="98"/>
      <c r="J348" s="98"/>
      <c r="K348" s="83"/>
      <c r="L348" s="110"/>
      <c r="M348" s="110"/>
      <c r="N348" s="110"/>
      <c r="O348" s="111"/>
      <c r="P348" s="111"/>
      <c r="Q348" s="111"/>
      <c r="R348" s="111"/>
      <c r="Y348" s="110"/>
      <c r="Z348" s="110"/>
    </row>
    <row r="349" spans="2:26" s="108" customFormat="1">
      <c r="B349" s="97"/>
      <c r="C349" s="110"/>
      <c r="D349" s="109"/>
      <c r="E349" s="97"/>
      <c r="F349" s="97"/>
      <c r="G349" s="109"/>
      <c r="H349" s="109"/>
      <c r="I349" s="98"/>
      <c r="J349" s="98"/>
      <c r="K349" s="83"/>
      <c r="L349" s="110"/>
      <c r="M349" s="110"/>
      <c r="N349" s="110"/>
      <c r="O349" s="111"/>
      <c r="P349" s="111"/>
      <c r="Q349" s="111"/>
      <c r="R349" s="111"/>
      <c r="Y349" s="110"/>
      <c r="Z349" s="110"/>
    </row>
    <row r="350" spans="2:26" s="108" customFormat="1">
      <c r="B350" s="97"/>
      <c r="C350" s="110"/>
      <c r="D350" s="109"/>
      <c r="E350" s="97"/>
      <c r="F350" s="97"/>
      <c r="G350" s="109"/>
      <c r="H350" s="109"/>
      <c r="I350" s="98"/>
      <c r="J350" s="98"/>
      <c r="K350" s="83"/>
      <c r="L350" s="110"/>
      <c r="M350" s="110"/>
      <c r="N350" s="110"/>
      <c r="O350" s="111"/>
      <c r="P350" s="111"/>
      <c r="Q350" s="111"/>
      <c r="R350" s="111"/>
      <c r="Y350" s="110"/>
      <c r="Z350" s="110"/>
    </row>
    <row r="351" spans="2:26" s="108" customFormat="1">
      <c r="B351" s="97"/>
      <c r="C351" s="110"/>
      <c r="D351" s="109"/>
      <c r="E351" s="97"/>
      <c r="F351" s="97"/>
      <c r="G351" s="109"/>
      <c r="H351" s="109"/>
      <c r="I351" s="98"/>
      <c r="J351" s="98"/>
      <c r="K351" s="83"/>
      <c r="L351" s="110"/>
      <c r="M351" s="110"/>
      <c r="N351" s="110"/>
      <c r="O351" s="111"/>
      <c r="P351" s="111"/>
      <c r="Q351" s="111"/>
      <c r="R351" s="111"/>
      <c r="Y351" s="110"/>
      <c r="Z351" s="110"/>
    </row>
    <row r="352" spans="2:26" s="108" customFormat="1">
      <c r="B352" s="97"/>
      <c r="C352" s="110"/>
      <c r="D352" s="109"/>
      <c r="E352" s="97"/>
      <c r="F352" s="97"/>
      <c r="G352" s="109"/>
      <c r="H352" s="109"/>
      <c r="I352" s="98"/>
      <c r="J352" s="98"/>
      <c r="K352" s="83"/>
      <c r="L352" s="110"/>
      <c r="M352" s="110"/>
      <c r="N352" s="110"/>
      <c r="O352" s="111"/>
      <c r="P352" s="111"/>
      <c r="Q352" s="111"/>
      <c r="R352" s="111"/>
      <c r="Y352" s="110"/>
      <c r="Z352" s="110"/>
    </row>
    <row r="353" spans="2:26" s="108" customFormat="1">
      <c r="B353" s="97"/>
      <c r="C353" s="110"/>
      <c r="D353" s="109"/>
      <c r="E353" s="97"/>
      <c r="F353" s="97"/>
      <c r="G353" s="109"/>
      <c r="H353" s="109"/>
      <c r="I353" s="98"/>
      <c r="J353" s="98"/>
      <c r="K353" s="83"/>
      <c r="L353" s="110"/>
      <c r="M353" s="110"/>
      <c r="N353" s="110"/>
      <c r="O353" s="111"/>
      <c r="P353" s="111"/>
      <c r="Q353" s="111"/>
      <c r="R353" s="111"/>
      <c r="Y353" s="110"/>
      <c r="Z353" s="110"/>
    </row>
    <row r="354" spans="2:26" s="108" customFormat="1">
      <c r="B354" s="97"/>
      <c r="C354" s="110"/>
      <c r="D354" s="109"/>
      <c r="E354" s="97"/>
      <c r="F354" s="97"/>
      <c r="G354" s="109"/>
      <c r="H354" s="109"/>
      <c r="I354" s="98"/>
      <c r="J354" s="98"/>
      <c r="K354" s="83"/>
      <c r="L354" s="110"/>
      <c r="M354" s="110"/>
      <c r="N354" s="110"/>
      <c r="O354" s="111"/>
      <c r="P354" s="111"/>
      <c r="Q354" s="111"/>
      <c r="R354" s="111"/>
      <c r="Y354" s="110"/>
      <c r="Z354" s="110"/>
    </row>
    <row r="355" spans="2:26" s="108" customFormat="1">
      <c r="B355" s="97"/>
      <c r="C355" s="110"/>
      <c r="D355" s="109"/>
      <c r="E355" s="97"/>
      <c r="F355" s="97"/>
      <c r="G355" s="109"/>
      <c r="H355" s="109"/>
      <c r="I355" s="98"/>
      <c r="J355" s="98"/>
      <c r="K355" s="83"/>
      <c r="L355" s="110"/>
      <c r="M355" s="110"/>
      <c r="N355" s="110"/>
      <c r="O355" s="111"/>
      <c r="P355" s="111"/>
      <c r="Q355" s="111"/>
      <c r="R355" s="111"/>
      <c r="Y355" s="110"/>
      <c r="Z355" s="110"/>
    </row>
    <row r="356" spans="2:26" s="108" customFormat="1">
      <c r="B356" s="97"/>
      <c r="C356" s="110"/>
      <c r="D356" s="109"/>
      <c r="E356" s="97"/>
      <c r="F356" s="97"/>
      <c r="G356" s="109"/>
      <c r="H356" s="109"/>
      <c r="I356" s="98"/>
      <c r="J356" s="98"/>
      <c r="K356" s="83"/>
      <c r="L356" s="110"/>
      <c r="M356" s="110"/>
      <c r="N356" s="110"/>
      <c r="O356" s="111"/>
      <c r="P356" s="111"/>
      <c r="Q356" s="111"/>
      <c r="R356" s="111"/>
      <c r="Y356" s="110"/>
      <c r="Z356" s="110"/>
    </row>
    <row r="357" spans="2:26" s="108" customFormat="1">
      <c r="B357" s="97"/>
      <c r="C357" s="110"/>
      <c r="D357" s="109"/>
      <c r="E357" s="97"/>
      <c r="F357" s="97"/>
      <c r="G357" s="109"/>
      <c r="H357" s="109"/>
      <c r="I357" s="98"/>
      <c r="J357" s="98"/>
      <c r="K357" s="83"/>
      <c r="L357" s="110"/>
      <c r="M357" s="110"/>
      <c r="N357" s="110"/>
      <c r="O357" s="111"/>
      <c r="P357" s="111"/>
      <c r="Q357" s="111"/>
      <c r="R357" s="111"/>
      <c r="Y357" s="110"/>
      <c r="Z357" s="110"/>
    </row>
    <row r="358" spans="2:26" s="108" customFormat="1">
      <c r="B358" s="97"/>
      <c r="C358" s="110"/>
      <c r="D358" s="109"/>
      <c r="E358" s="97"/>
      <c r="F358" s="97"/>
      <c r="G358" s="109"/>
      <c r="H358" s="109"/>
      <c r="I358" s="98"/>
      <c r="J358" s="98"/>
      <c r="K358" s="83"/>
      <c r="L358" s="110"/>
      <c r="M358" s="110"/>
      <c r="N358" s="110"/>
      <c r="O358" s="111"/>
      <c r="P358" s="111"/>
      <c r="Q358" s="111"/>
      <c r="R358" s="111"/>
      <c r="Y358" s="110"/>
      <c r="Z358" s="110"/>
    </row>
    <row r="359" spans="2:26" s="108" customFormat="1">
      <c r="B359" s="97"/>
      <c r="C359" s="110"/>
      <c r="D359" s="109"/>
      <c r="E359" s="97"/>
      <c r="F359" s="97"/>
      <c r="G359" s="109"/>
      <c r="H359" s="109"/>
      <c r="I359" s="98"/>
      <c r="J359" s="98"/>
      <c r="K359" s="83"/>
      <c r="L359" s="110"/>
      <c r="M359" s="110"/>
      <c r="N359" s="110"/>
      <c r="O359" s="111"/>
      <c r="P359" s="111"/>
      <c r="Q359" s="111"/>
      <c r="R359" s="111"/>
      <c r="Y359" s="110"/>
      <c r="Z359" s="110"/>
    </row>
    <row r="360" spans="2:26" s="108" customFormat="1">
      <c r="B360" s="97"/>
      <c r="C360" s="110"/>
      <c r="D360" s="109"/>
      <c r="E360" s="97"/>
      <c r="F360" s="97"/>
      <c r="G360" s="109"/>
      <c r="H360" s="109"/>
      <c r="I360" s="98"/>
      <c r="J360" s="98"/>
      <c r="K360" s="83"/>
      <c r="L360" s="110"/>
      <c r="M360" s="110"/>
      <c r="N360" s="110"/>
      <c r="O360" s="111"/>
      <c r="P360" s="111"/>
      <c r="Q360" s="111"/>
      <c r="R360" s="111"/>
      <c r="Y360" s="110"/>
      <c r="Z360" s="110"/>
    </row>
    <row r="361" spans="2:26" s="108" customFormat="1">
      <c r="B361" s="97"/>
      <c r="C361" s="110"/>
      <c r="D361" s="109"/>
      <c r="E361" s="97"/>
      <c r="F361" s="97"/>
      <c r="G361" s="109"/>
      <c r="H361" s="109"/>
      <c r="I361" s="98"/>
      <c r="J361" s="98"/>
      <c r="K361" s="83"/>
      <c r="L361" s="110"/>
      <c r="M361" s="110"/>
      <c r="N361" s="110"/>
      <c r="O361" s="111"/>
      <c r="P361" s="111"/>
      <c r="Q361" s="111"/>
      <c r="R361" s="111"/>
      <c r="Y361" s="110"/>
      <c r="Z361" s="110"/>
    </row>
    <row r="362" spans="2:26" s="108" customFormat="1">
      <c r="B362" s="97"/>
      <c r="C362" s="110"/>
      <c r="D362" s="109"/>
      <c r="E362" s="97"/>
      <c r="F362" s="97"/>
      <c r="G362" s="109"/>
      <c r="H362" s="109"/>
      <c r="I362" s="98"/>
      <c r="J362" s="98"/>
      <c r="K362" s="83"/>
      <c r="L362" s="110"/>
      <c r="M362" s="110"/>
      <c r="N362" s="110"/>
      <c r="O362" s="111"/>
      <c r="P362" s="111"/>
      <c r="Q362" s="111"/>
      <c r="R362" s="111"/>
      <c r="Y362" s="110"/>
      <c r="Z362" s="110"/>
    </row>
    <row r="363" spans="2:26" s="108" customFormat="1">
      <c r="B363" s="97"/>
      <c r="C363" s="110"/>
      <c r="D363" s="109"/>
      <c r="E363" s="97"/>
      <c r="F363" s="97"/>
      <c r="G363" s="109"/>
      <c r="H363" s="109"/>
      <c r="I363" s="98"/>
      <c r="J363" s="98"/>
      <c r="K363" s="83"/>
      <c r="L363" s="110"/>
      <c r="M363" s="110"/>
      <c r="N363" s="110"/>
      <c r="O363" s="111"/>
      <c r="P363" s="111"/>
      <c r="Q363" s="111"/>
      <c r="R363" s="111"/>
      <c r="Y363" s="110"/>
      <c r="Z363" s="110"/>
    </row>
    <row r="364" spans="2:26" s="108" customFormat="1">
      <c r="B364" s="97"/>
      <c r="C364" s="110"/>
      <c r="D364" s="109"/>
      <c r="E364" s="97"/>
      <c r="F364" s="97"/>
      <c r="G364" s="109"/>
      <c r="H364" s="109"/>
      <c r="I364" s="98"/>
      <c r="J364" s="98"/>
      <c r="K364" s="83"/>
      <c r="L364" s="110"/>
      <c r="M364" s="110"/>
      <c r="N364" s="110"/>
      <c r="O364" s="111"/>
      <c r="P364" s="111"/>
      <c r="Q364" s="111"/>
      <c r="R364" s="111"/>
      <c r="Y364" s="110"/>
      <c r="Z364" s="110"/>
    </row>
    <row r="365" spans="2:26" s="108" customFormat="1">
      <c r="B365" s="97"/>
      <c r="C365" s="110"/>
      <c r="D365" s="109"/>
      <c r="E365" s="97"/>
      <c r="F365" s="97"/>
      <c r="G365" s="109"/>
      <c r="H365" s="109"/>
      <c r="I365" s="98"/>
      <c r="J365" s="98"/>
      <c r="K365" s="83"/>
      <c r="L365" s="110"/>
      <c r="M365" s="110"/>
      <c r="N365" s="110"/>
      <c r="O365" s="111"/>
      <c r="P365" s="111"/>
      <c r="Q365" s="111"/>
      <c r="R365" s="111"/>
      <c r="Y365" s="110"/>
      <c r="Z365" s="110"/>
    </row>
    <row r="366" spans="2:26" s="108" customFormat="1">
      <c r="B366" s="97"/>
      <c r="C366" s="110"/>
      <c r="D366" s="109"/>
      <c r="E366" s="97"/>
      <c r="F366" s="97"/>
      <c r="G366" s="109"/>
      <c r="H366" s="109"/>
      <c r="I366" s="98"/>
      <c r="J366" s="98"/>
      <c r="K366" s="83"/>
      <c r="L366" s="110"/>
      <c r="M366" s="110"/>
      <c r="N366" s="110"/>
      <c r="O366" s="111"/>
      <c r="P366" s="111"/>
      <c r="Q366" s="111"/>
      <c r="R366" s="111"/>
      <c r="Y366" s="110"/>
      <c r="Z366" s="110"/>
    </row>
    <row r="367" spans="2:26" s="108" customFormat="1">
      <c r="B367" s="97"/>
      <c r="C367" s="110"/>
      <c r="D367" s="109"/>
      <c r="E367" s="97"/>
      <c r="F367" s="97"/>
      <c r="G367" s="109"/>
      <c r="H367" s="109"/>
      <c r="I367" s="98"/>
      <c r="J367" s="98"/>
      <c r="K367" s="83"/>
      <c r="L367" s="110"/>
      <c r="M367" s="110"/>
      <c r="N367" s="110"/>
      <c r="O367" s="111"/>
      <c r="P367" s="111"/>
      <c r="Q367" s="111"/>
      <c r="R367" s="111"/>
      <c r="Y367" s="110"/>
      <c r="Z367" s="110"/>
    </row>
    <row r="368" spans="2:26" s="108" customFormat="1">
      <c r="B368" s="97"/>
      <c r="C368" s="110"/>
      <c r="D368" s="109"/>
      <c r="E368" s="97"/>
      <c r="F368" s="97"/>
      <c r="G368" s="109"/>
      <c r="H368" s="109"/>
      <c r="I368" s="98"/>
      <c r="J368" s="98"/>
      <c r="K368" s="83"/>
      <c r="L368" s="110"/>
      <c r="M368" s="110"/>
      <c r="N368" s="110"/>
      <c r="O368" s="111"/>
      <c r="P368" s="111"/>
      <c r="Q368" s="111"/>
      <c r="R368" s="111"/>
      <c r="Y368" s="110"/>
      <c r="Z368" s="110"/>
    </row>
    <row r="369" spans="2:26" s="108" customFormat="1">
      <c r="B369" s="97"/>
      <c r="C369" s="110"/>
      <c r="D369" s="109"/>
      <c r="E369" s="97"/>
      <c r="F369" s="97"/>
      <c r="G369" s="109"/>
      <c r="H369" s="109"/>
      <c r="I369" s="98"/>
      <c r="J369" s="98"/>
      <c r="K369" s="83"/>
      <c r="L369" s="110"/>
      <c r="M369" s="110"/>
      <c r="N369" s="110"/>
      <c r="O369" s="111"/>
      <c r="P369" s="111"/>
      <c r="Q369" s="111"/>
      <c r="R369" s="111"/>
      <c r="Y369" s="110"/>
      <c r="Z369" s="110"/>
    </row>
    <row r="370" spans="2:26" s="108" customFormat="1">
      <c r="B370" s="97"/>
      <c r="C370" s="110"/>
      <c r="D370" s="109"/>
      <c r="E370" s="97"/>
      <c r="F370" s="97"/>
      <c r="G370" s="109"/>
      <c r="H370" s="109"/>
      <c r="I370" s="98"/>
      <c r="J370" s="98"/>
      <c r="K370" s="83"/>
      <c r="L370" s="110"/>
      <c r="M370" s="110"/>
      <c r="N370" s="110"/>
      <c r="O370" s="111"/>
      <c r="P370" s="111"/>
      <c r="Q370" s="111"/>
      <c r="R370" s="111"/>
      <c r="Y370" s="110"/>
      <c r="Z370" s="110"/>
    </row>
    <row r="371" spans="2:26" s="108" customFormat="1">
      <c r="B371" s="97"/>
      <c r="C371" s="110"/>
      <c r="D371" s="109"/>
      <c r="E371" s="97"/>
      <c r="F371" s="97"/>
      <c r="G371" s="109"/>
      <c r="H371" s="109"/>
      <c r="I371" s="98"/>
      <c r="J371" s="98"/>
      <c r="K371" s="83"/>
      <c r="L371" s="110"/>
      <c r="M371" s="110"/>
      <c r="N371" s="110"/>
      <c r="O371" s="111"/>
      <c r="P371" s="111"/>
      <c r="Q371" s="111"/>
      <c r="R371" s="111"/>
      <c r="Y371" s="110"/>
      <c r="Z371" s="110"/>
    </row>
    <row r="372" spans="2:26" s="108" customFormat="1">
      <c r="B372" s="97"/>
      <c r="C372" s="110"/>
      <c r="D372" s="109"/>
      <c r="E372" s="97"/>
      <c r="F372" s="97"/>
      <c r="G372" s="109"/>
      <c r="H372" s="109"/>
      <c r="I372" s="98"/>
      <c r="J372" s="98"/>
      <c r="K372" s="83"/>
      <c r="L372" s="110"/>
      <c r="M372" s="110"/>
      <c r="N372" s="110"/>
      <c r="O372" s="111"/>
      <c r="P372" s="111"/>
      <c r="Q372" s="111"/>
      <c r="R372" s="111"/>
      <c r="Y372" s="110"/>
      <c r="Z372" s="110"/>
    </row>
    <row r="373" spans="2:26" s="108" customFormat="1">
      <c r="B373" s="97"/>
      <c r="C373" s="110"/>
      <c r="D373" s="109"/>
      <c r="E373" s="97"/>
      <c r="F373" s="97"/>
      <c r="G373" s="109"/>
      <c r="H373" s="109"/>
      <c r="I373" s="98"/>
      <c r="J373" s="98"/>
      <c r="K373" s="83"/>
      <c r="L373" s="110"/>
      <c r="M373" s="110"/>
      <c r="N373" s="110"/>
      <c r="O373" s="111"/>
      <c r="P373" s="111"/>
      <c r="Q373" s="111"/>
      <c r="R373" s="111"/>
      <c r="Y373" s="110"/>
      <c r="Z373" s="110"/>
    </row>
    <row r="374" spans="2:26" s="108" customFormat="1">
      <c r="B374" s="97"/>
      <c r="C374" s="110"/>
      <c r="D374" s="109"/>
      <c r="E374" s="97"/>
      <c r="F374" s="97"/>
      <c r="G374" s="109"/>
      <c r="H374" s="109"/>
      <c r="I374" s="98"/>
      <c r="J374" s="98"/>
      <c r="K374" s="83"/>
      <c r="L374" s="110"/>
      <c r="M374" s="110"/>
      <c r="N374" s="110"/>
      <c r="O374" s="111"/>
      <c r="P374" s="111"/>
      <c r="Q374" s="111"/>
      <c r="R374" s="111"/>
      <c r="Y374" s="110"/>
      <c r="Z374" s="110"/>
    </row>
    <row r="375" spans="2:26" s="108" customFormat="1">
      <c r="B375" s="97"/>
      <c r="C375" s="110"/>
      <c r="D375" s="109"/>
      <c r="E375" s="97"/>
      <c r="F375" s="97"/>
      <c r="G375" s="109"/>
      <c r="H375" s="109"/>
      <c r="I375" s="98"/>
      <c r="J375" s="98"/>
      <c r="K375" s="83"/>
      <c r="L375" s="110"/>
      <c r="M375" s="110"/>
      <c r="N375" s="110"/>
      <c r="O375" s="111"/>
      <c r="P375" s="111"/>
      <c r="Q375" s="111"/>
      <c r="R375" s="111"/>
      <c r="Y375" s="110"/>
      <c r="Z375" s="110"/>
    </row>
    <row r="376" spans="2:26" s="108" customFormat="1">
      <c r="B376" s="97"/>
      <c r="C376" s="110"/>
      <c r="D376" s="109"/>
      <c r="E376" s="97"/>
      <c r="F376" s="97"/>
      <c r="G376" s="109"/>
      <c r="H376" s="109"/>
      <c r="I376" s="98"/>
      <c r="J376" s="98"/>
      <c r="K376" s="83"/>
      <c r="L376" s="110"/>
      <c r="M376" s="110"/>
      <c r="N376" s="110"/>
      <c r="O376" s="111"/>
      <c r="P376" s="111"/>
      <c r="Q376" s="111"/>
      <c r="R376" s="111"/>
      <c r="Y376" s="110"/>
      <c r="Z376" s="110"/>
    </row>
    <row r="377" spans="2:26" s="108" customFormat="1">
      <c r="B377" s="97"/>
      <c r="C377" s="110"/>
      <c r="D377" s="109"/>
      <c r="E377" s="97"/>
      <c r="F377" s="97"/>
      <c r="G377" s="109"/>
      <c r="H377" s="109"/>
      <c r="I377" s="98"/>
      <c r="J377" s="98"/>
      <c r="K377" s="83"/>
      <c r="L377" s="110"/>
      <c r="M377" s="110"/>
      <c r="N377" s="110"/>
      <c r="O377" s="111"/>
      <c r="P377" s="111"/>
      <c r="Q377" s="111"/>
      <c r="R377" s="111"/>
      <c r="Y377" s="110"/>
      <c r="Z377" s="110"/>
    </row>
    <row r="378" spans="2:26" s="108" customFormat="1">
      <c r="B378" s="97"/>
      <c r="C378" s="110"/>
      <c r="D378" s="109"/>
      <c r="E378" s="97"/>
      <c r="F378" s="97"/>
      <c r="G378" s="109"/>
      <c r="H378" s="109"/>
      <c r="I378" s="98"/>
      <c r="J378" s="98"/>
      <c r="K378" s="83"/>
      <c r="L378" s="110"/>
      <c r="M378" s="110"/>
      <c r="N378" s="110"/>
      <c r="O378" s="111"/>
      <c r="P378" s="111"/>
      <c r="Q378" s="111"/>
      <c r="R378" s="111"/>
      <c r="Y378" s="110"/>
      <c r="Z378" s="110"/>
    </row>
    <row r="379" spans="2:26" s="108" customFormat="1">
      <c r="B379" s="97"/>
      <c r="C379" s="110"/>
      <c r="D379" s="109"/>
      <c r="E379" s="97"/>
      <c r="F379" s="97"/>
      <c r="G379" s="109"/>
      <c r="H379" s="109"/>
      <c r="I379" s="98"/>
      <c r="J379" s="98"/>
      <c r="K379" s="83"/>
      <c r="L379" s="110"/>
      <c r="M379" s="110"/>
      <c r="N379" s="110"/>
      <c r="O379" s="111"/>
      <c r="P379" s="111"/>
      <c r="Q379" s="111"/>
      <c r="R379" s="111"/>
      <c r="Y379" s="110"/>
      <c r="Z379" s="110"/>
    </row>
    <row r="380" spans="2:26" s="108" customFormat="1">
      <c r="B380" s="97"/>
      <c r="C380" s="110"/>
      <c r="D380" s="109"/>
      <c r="E380" s="97"/>
      <c r="F380" s="97"/>
      <c r="G380" s="109"/>
      <c r="H380" s="109"/>
      <c r="I380" s="98"/>
      <c r="J380" s="98"/>
      <c r="K380" s="83"/>
      <c r="L380" s="110"/>
      <c r="M380" s="110"/>
      <c r="N380" s="110"/>
      <c r="O380" s="111"/>
      <c r="P380" s="111"/>
      <c r="Q380" s="111"/>
      <c r="R380" s="111"/>
      <c r="Y380" s="110"/>
      <c r="Z380" s="110"/>
    </row>
    <row r="381" spans="2:26" s="108" customFormat="1">
      <c r="B381" s="97"/>
      <c r="C381" s="110"/>
      <c r="D381" s="109"/>
      <c r="E381" s="97"/>
      <c r="F381" s="97"/>
      <c r="G381" s="109"/>
      <c r="H381" s="109"/>
      <c r="I381" s="98"/>
      <c r="J381" s="98"/>
      <c r="K381" s="83"/>
      <c r="L381" s="110"/>
      <c r="M381" s="110"/>
      <c r="N381" s="110"/>
      <c r="O381" s="111"/>
      <c r="P381" s="111"/>
      <c r="Q381" s="111"/>
      <c r="R381" s="111"/>
      <c r="Y381" s="110"/>
      <c r="Z381" s="110"/>
    </row>
    <row r="382" spans="2:26" s="108" customFormat="1">
      <c r="B382" s="97"/>
      <c r="C382" s="110"/>
      <c r="D382" s="109"/>
      <c r="E382" s="97"/>
      <c r="F382" s="97"/>
      <c r="G382" s="109"/>
      <c r="H382" s="109"/>
      <c r="I382" s="98"/>
      <c r="J382" s="98"/>
      <c r="K382" s="83"/>
      <c r="L382" s="110"/>
      <c r="M382" s="110"/>
      <c r="N382" s="110"/>
      <c r="O382" s="111"/>
      <c r="P382" s="111"/>
      <c r="Q382" s="111"/>
      <c r="R382" s="111"/>
      <c r="Y382" s="110"/>
      <c r="Z382" s="110"/>
    </row>
    <row r="383" spans="2:26" s="108" customFormat="1">
      <c r="B383" s="97"/>
      <c r="C383" s="110"/>
      <c r="D383" s="109"/>
      <c r="E383" s="97"/>
      <c r="F383" s="97"/>
      <c r="G383" s="109"/>
      <c r="H383" s="109"/>
      <c r="I383" s="98"/>
      <c r="J383" s="98"/>
      <c r="K383" s="83"/>
      <c r="L383" s="110"/>
      <c r="M383" s="110"/>
      <c r="N383" s="110"/>
      <c r="O383" s="111"/>
      <c r="P383" s="111"/>
      <c r="Q383" s="111"/>
      <c r="R383" s="111"/>
      <c r="Y383" s="110"/>
      <c r="Z383" s="110"/>
    </row>
    <row r="384" spans="2:26" s="108" customFormat="1">
      <c r="B384" s="97"/>
      <c r="C384" s="110"/>
      <c r="D384" s="109"/>
      <c r="E384" s="97"/>
      <c r="F384" s="97"/>
      <c r="G384" s="109"/>
      <c r="H384" s="109"/>
      <c r="I384" s="98"/>
      <c r="J384" s="98"/>
      <c r="K384" s="83"/>
      <c r="L384" s="110"/>
      <c r="M384" s="110"/>
      <c r="N384" s="110"/>
      <c r="O384" s="111"/>
      <c r="P384" s="111"/>
      <c r="Q384" s="111"/>
      <c r="R384" s="111"/>
      <c r="Y384" s="110"/>
      <c r="Z384" s="110"/>
    </row>
    <row r="385" spans="2:26" s="108" customFormat="1">
      <c r="B385" s="97"/>
      <c r="C385" s="110"/>
      <c r="D385" s="109"/>
      <c r="E385" s="97"/>
      <c r="F385" s="97"/>
      <c r="G385" s="109"/>
      <c r="H385" s="109"/>
      <c r="I385" s="98"/>
      <c r="J385" s="98"/>
      <c r="K385" s="83"/>
      <c r="L385" s="110"/>
      <c r="M385" s="110"/>
      <c r="N385" s="110"/>
      <c r="O385" s="111"/>
      <c r="P385" s="111"/>
      <c r="Q385" s="111"/>
      <c r="R385" s="111"/>
      <c r="Y385" s="110"/>
      <c r="Z385" s="110"/>
    </row>
    <row r="386" spans="2:26" s="108" customFormat="1">
      <c r="B386" s="97"/>
      <c r="C386" s="110"/>
      <c r="D386" s="109"/>
      <c r="E386" s="97"/>
      <c r="F386" s="97"/>
      <c r="G386" s="109"/>
      <c r="H386" s="109"/>
      <c r="I386" s="98"/>
      <c r="J386" s="98"/>
      <c r="K386" s="83"/>
      <c r="L386" s="110"/>
      <c r="M386" s="110"/>
      <c r="N386" s="110"/>
      <c r="O386" s="111"/>
      <c r="P386" s="111"/>
      <c r="Q386" s="111"/>
      <c r="R386" s="111"/>
      <c r="Y386" s="110"/>
      <c r="Z386" s="110"/>
    </row>
    <row r="387" spans="2:26" s="108" customFormat="1">
      <c r="B387" s="97"/>
      <c r="C387" s="110"/>
      <c r="D387" s="109"/>
      <c r="E387" s="97"/>
      <c r="F387" s="97"/>
      <c r="G387" s="109"/>
      <c r="H387" s="109"/>
      <c r="I387" s="98"/>
      <c r="J387" s="98"/>
      <c r="K387" s="83"/>
      <c r="L387" s="110"/>
      <c r="M387" s="110"/>
      <c r="N387" s="110"/>
      <c r="O387" s="111"/>
      <c r="P387" s="111"/>
      <c r="Q387" s="111"/>
      <c r="R387" s="111"/>
      <c r="Y387" s="110"/>
      <c r="Z387" s="110"/>
    </row>
    <row r="388" spans="2:26" s="108" customFormat="1">
      <c r="B388" s="97"/>
      <c r="C388" s="110"/>
      <c r="D388" s="109"/>
      <c r="E388" s="97"/>
      <c r="F388" s="97"/>
      <c r="G388" s="109"/>
      <c r="H388" s="109"/>
      <c r="I388" s="98"/>
      <c r="J388" s="98"/>
      <c r="K388" s="83"/>
      <c r="L388" s="110"/>
      <c r="M388" s="110"/>
      <c r="N388" s="110"/>
      <c r="O388" s="111"/>
      <c r="P388" s="111"/>
      <c r="Q388" s="111"/>
      <c r="R388" s="111"/>
      <c r="Y388" s="110"/>
      <c r="Z388" s="110"/>
    </row>
    <row r="389" spans="2:26" s="108" customFormat="1">
      <c r="B389" s="97"/>
      <c r="C389" s="110"/>
      <c r="D389" s="109"/>
      <c r="E389" s="97"/>
      <c r="F389" s="97"/>
      <c r="G389" s="109"/>
      <c r="H389" s="109"/>
      <c r="I389" s="98"/>
      <c r="J389" s="98"/>
      <c r="K389" s="83"/>
      <c r="L389" s="110"/>
      <c r="M389" s="110"/>
      <c r="N389" s="110"/>
      <c r="O389" s="111"/>
      <c r="P389" s="111"/>
      <c r="Q389" s="111"/>
      <c r="R389" s="111"/>
      <c r="Y389" s="110"/>
      <c r="Z389" s="110"/>
    </row>
    <row r="390" spans="2:26" s="108" customFormat="1">
      <c r="B390" s="97"/>
      <c r="C390" s="110"/>
      <c r="D390" s="109"/>
      <c r="E390" s="97"/>
      <c r="F390" s="97"/>
      <c r="G390" s="109"/>
      <c r="H390" s="109"/>
      <c r="I390" s="98"/>
      <c r="J390" s="98"/>
      <c r="K390" s="83"/>
      <c r="L390" s="110"/>
      <c r="M390" s="110"/>
      <c r="N390" s="110"/>
      <c r="O390" s="111"/>
      <c r="P390" s="111"/>
      <c r="Q390" s="111"/>
      <c r="R390" s="111"/>
      <c r="Y390" s="110"/>
      <c r="Z390" s="110"/>
    </row>
    <row r="391" spans="2:26" s="108" customFormat="1">
      <c r="B391" s="97"/>
      <c r="C391" s="110"/>
      <c r="D391" s="109"/>
      <c r="E391" s="97"/>
      <c r="F391" s="97"/>
      <c r="G391" s="109"/>
      <c r="H391" s="109"/>
      <c r="I391" s="98"/>
      <c r="J391" s="98"/>
      <c r="K391" s="83"/>
      <c r="L391" s="110"/>
      <c r="M391" s="110"/>
      <c r="N391" s="110"/>
      <c r="O391" s="111"/>
      <c r="P391" s="111"/>
      <c r="Q391" s="111"/>
      <c r="R391" s="111"/>
      <c r="Y391" s="110"/>
      <c r="Z391" s="110"/>
    </row>
    <row r="392" spans="2:26" s="108" customFormat="1">
      <c r="B392" s="97"/>
      <c r="C392" s="110"/>
      <c r="D392" s="109"/>
      <c r="E392" s="97"/>
      <c r="F392" s="97"/>
      <c r="G392" s="109"/>
      <c r="H392" s="109"/>
      <c r="I392" s="98"/>
      <c r="J392" s="98"/>
      <c r="K392" s="83"/>
      <c r="L392" s="110"/>
      <c r="M392" s="110"/>
      <c r="N392" s="110"/>
      <c r="O392" s="111"/>
      <c r="P392" s="111"/>
      <c r="Q392" s="111"/>
      <c r="R392" s="111"/>
      <c r="Y392" s="110"/>
      <c r="Z392" s="110"/>
    </row>
    <row r="393" spans="2:26" s="108" customFormat="1">
      <c r="B393" s="97"/>
      <c r="C393" s="110"/>
      <c r="D393" s="109"/>
      <c r="E393" s="97"/>
      <c r="F393" s="97"/>
      <c r="G393" s="109"/>
      <c r="H393" s="109"/>
      <c r="I393" s="98"/>
      <c r="J393" s="98"/>
      <c r="K393" s="83"/>
      <c r="L393" s="110"/>
      <c r="M393" s="110"/>
      <c r="N393" s="110"/>
      <c r="O393" s="111"/>
      <c r="P393" s="111"/>
      <c r="Q393" s="111"/>
      <c r="R393" s="111"/>
      <c r="Y393" s="110"/>
      <c r="Z393" s="110"/>
    </row>
    <row r="394" spans="2:26" s="108" customFormat="1">
      <c r="B394" s="97"/>
      <c r="C394" s="110"/>
      <c r="D394" s="109"/>
      <c r="E394" s="97"/>
      <c r="F394" s="97"/>
      <c r="G394" s="109"/>
      <c r="H394" s="109"/>
      <c r="I394" s="98"/>
      <c r="J394" s="98"/>
      <c r="K394" s="83"/>
      <c r="L394" s="110"/>
      <c r="M394" s="110"/>
      <c r="N394" s="110"/>
      <c r="O394" s="111"/>
      <c r="P394" s="111"/>
      <c r="Q394" s="111"/>
      <c r="R394" s="111"/>
      <c r="Y394" s="110"/>
      <c r="Z394" s="110"/>
    </row>
    <row r="395" spans="2:26" s="108" customFormat="1">
      <c r="B395" s="97"/>
      <c r="C395" s="110"/>
      <c r="D395" s="109"/>
      <c r="E395" s="97"/>
      <c r="F395" s="97"/>
      <c r="G395" s="109"/>
      <c r="H395" s="109"/>
      <c r="I395" s="98"/>
      <c r="J395" s="98"/>
      <c r="K395" s="83"/>
      <c r="L395" s="110"/>
      <c r="M395" s="110"/>
      <c r="N395" s="110"/>
      <c r="O395" s="111"/>
      <c r="P395" s="111"/>
      <c r="Q395" s="111"/>
      <c r="R395" s="111"/>
      <c r="Y395" s="110"/>
      <c r="Z395" s="110"/>
    </row>
    <row r="396" spans="2:26" s="108" customFormat="1">
      <c r="B396" s="97"/>
      <c r="C396" s="110"/>
      <c r="D396" s="109"/>
      <c r="E396" s="97"/>
      <c r="F396" s="97"/>
      <c r="G396" s="109"/>
      <c r="H396" s="109"/>
      <c r="I396" s="98"/>
      <c r="J396" s="98"/>
      <c r="K396" s="83"/>
      <c r="L396" s="110"/>
      <c r="M396" s="110"/>
      <c r="N396" s="110"/>
      <c r="O396" s="111"/>
      <c r="P396" s="111"/>
      <c r="Q396" s="111"/>
      <c r="R396" s="111"/>
      <c r="Y396" s="110"/>
      <c r="Z396" s="110"/>
    </row>
    <row r="397" spans="2:26" s="108" customFormat="1">
      <c r="B397" s="97"/>
      <c r="C397" s="110"/>
      <c r="D397" s="109"/>
      <c r="E397" s="97"/>
      <c r="F397" s="97"/>
      <c r="G397" s="109"/>
      <c r="H397" s="109"/>
      <c r="I397" s="98"/>
      <c r="J397" s="98"/>
      <c r="K397" s="83"/>
      <c r="L397" s="110"/>
      <c r="M397" s="110"/>
      <c r="N397" s="110"/>
      <c r="O397" s="111"/>
      <c r="P397" s="111"/>
      <c r="Q397" s="111"/>
      <c r="R397" s="111"/>
      <c r="Y397" s="110"/>
      <c r="Z397" s="110"/>
    </row>
    <row r="398" spans="2:26" s="108" customFormat="1">
      <c r="B398" s="97"/>
      <c r="C398" s="110"/>
      <c r="D398" s="109"/>
      <c r="E398" s="97"/>
      <c r="F398" s="97"/>
      <c r="G398" s="109"/>
      <c r="H398" s="109"/>
      <c r="I398" s="98"/>
      <c r="J398" s="98"/>
      <c r="K398" s="83"/>
      <c r="L398" s="110"/>
      <c r="M398" s="110"/>
      <c r="N398" s="110"/>
      <c r="O398" s="111"/>
      <c r="P398" s="111"/>
      <c r="Q398" s="111"/>
      <c r="R398" s="111"/>
      <c r="Y398" s="110"/>
      <c r="Z398" s="110"/>
    </row>
    <row r="399" spans="2:26" s="108" customFormat="1">
      <c r="B399" s="97"/>
      <c r="C399" s="110"/>
      <c r="D399" s="109"/>
      <c r="E399" s="97"/>
      <c r="F399" s="97"/>
      <c r="G399" s="109"/>
      <c r="H399" s="109"/>
      <c r="I399" s="98"/>
      <c r="J399" s="98"/>
      <c r="K399" s="83"/>
      <c r="L399" s="110"/>
      <c r="M399" s="110"/>
      <c r="N399" s="110"/>
      <c r="O399" s="111"/>
      <c r="P399" s="111"/>
      <c r="Q399" s="111"/>
      <c r="R399" s="111"/>
      <c r="Y399" s="110"/>
      <c r="Z399" s="110"/>
    </row>
    <row r="400" spans="2:26" s="108" customFormat="1">
      <c r="B400" s="97"/>
      <c r="C400" s="110"/>
      <c r="D400" s="109"/>
      <c r="E400" s="97"/>
      <c r="F400" s="97"/>
      <c r="G400" s="109"/>
      <c r="H400" s="109"/>
      <c r="I400" s="98"/>
      <c r="J400" s="98"/>
      <c r="K400" s="83"/>
      <c r="L400" s="110"/>
      <c r="M400" s="110"/>
      <c r="N400" s="110"/>
      <c r="O400" s="111"/>
      <c r="P400" s="111"/>
      <c r="Q400" s="111"/>
      <c r="R400" s="111"/>
      <c r="Y400" s="110"/>
      <c r="Z400" s="110"/>
    </row>
    <row r="401" spans="2:26" s="108" customFormat="1">
      <c r="B401" s="97"/>
      <c r="C401" s="110"/>
      <c r="D401" s="109"/>
      <c r="E401" s="97"/>
      <c r="F401" s="97"/>
      <c r="G401" s="109"/>
      <c r="H401" s="109"/>
      <c r="I401" s="98"/>
      <c r="J401" s="98"/>
      <c r="K401" s="83"/>
      <c r="L401" s="110"/>
      <c r="M401" s="110"/>
      <c r="N401" s="110"/>
      <c r="O401" s="111"/>
      <c r="P401" s="111"/>
      <c r="Q401" s="111"/>
      <c r="R401" s="111"/>
      <c r="Y401" s="110"/>
      <c r="Z401" s="110"/>
    </row>
    <row r="402" spans="2:26" s="108" customFormat="1">
      <c r="B402" s="97"/>
      <c r="C402" s="110"/>
      <c r="D402" s="109"/>
      <c r="E402" s="97"/>
      <c r="F402" s="97"/>
      <c r="G402" s="109"/>
      <c r="H402" s="109"/>
      <c r="I402" s="98"/>
      <c r="J402" s="98"/>
      <c r="K402" s="83"/>
      <c r="L402" s="110"/>
      <c r="M402" s="110"/>
      <c r="N402" s="110"/>
      <c r="O402" s="111"/>
      <c r="P402" s="111"/>
      <c r="Q402" s="111"/>
      <c r="R402" s="111"/>
      <c r="Y402" s="110"/>
      <c r="Z402" s="110"/>
    </row>
    <row r="403" spans="2:26" s="108" customFormat="1">
      <c r="B403" s="97"/>
      <c r="C403" s="110"/>
      <c r="D403" s="109"/>
      <c r="E403" s="97"/>
      <c r="F403" s="97"/>
      <c r="G403" s="109"/>
      <c r="H403" s="109"/>
      <c r="I403" s="98"/>
      <c r="J403" s="98"/>
      <c r="K403" s="83"/>
      <c r="L403" s="110"/>
      <c r="M403" s="110"/>
      <c r="N403" s="110"/>
      <c r="O403" s="111"/>
      <c r="P403" s="111"/>
      <c r="Q403" s="111"/>
      <c r="R403" s="111"/>
      <c r="Y403" s="110"/>
      <c r="Z403" s="110"/>
    </row>
    <row r="404" spans="2:26" s="108" customFormat="1">
      <c r="B404" s="97"/>
      <c r="C404" s="110"/>
      <c r="D404" s="109"/>
      <c r="E404" s="97"/>
      <c r="F404" s="97"/>
      <c r="G404" s="109"/>
      <c r="H404" s="109"/>
      <c r="I404" s="98"/>
      <c r="J404" s="98"/>
      <c r="K404" s="83"/>
      <c r="L404" s="110"/>
      <c r="M404" s="110"/>
      <c r="N404" s="110"/>
      <c r="O404" s="111"/>
      <c r="P404" s="111"/>
      <c r="Q404" s="111"/>
      <c r="R404" s="111"/>
      <c r="Y404" s="110"/>
      <c r="Z404" s="110"/>
    </row>
    <row r="405" spans="2:26" s="108" customFormat="1">
      <c r="B405" s="97"/>
      <c r="C405" s="110"/>
      <c r="D405" s="109"/>
      <c r="E405" s="97"/>
      <c r="F405" s="97"/>
      <c r="G405" s="109"/>
      <c r="H405" s="109"/>
      <c r="I405" s="98"/>
      <c r="J405" s="98"/>
      <c r="K405" s="83"/>
      <c r="L405" s="110"/>
      <c r="M405" s="110"/>
      <c r="N405" s="110"/>
      <c r="O405" s="111"/>
      <c r="P405" s="111"/>
      <c r="Q405" s="111"/>
      <c r="R405" s="111"/>
      <c r="Y405" s="110"/>
      <c r="Z405" s="110"/>
    </row>
    <row r="406" spans="2:26" s="108" customFormat="1">
      <c r="B406" s="97"/>
      <c r="C406" s="110"/>
      <c r="D406" s="109"/>
      <c r="E406" s="97"/>
      <c r="F406" s="97"/>
      <c r="G406" s="109"/>
      <c r="H406" s="109"/>
      <c r="I406" s="98"/>
      <c r="J406" s="98"/>
      <c r="K406" s="83"/>
      <c r="L406" s="110"/>
      <c r="M406" s="110"/>
      <c r="N406" s="110"/>
      <c r="O406" s="111"/>
      <c r="P406" s="111"/>
      <c r="Q406" s="111"/>
      <c r="R406" s="111"/>
      <c r="Y406" s="110"/>
      <c r="Z406" s="110"/>
    </row>
    <row r="407" spans="2:26" s="108" customFormat="1">
      <c r="B407" s="97"/>
      <c r="C407" s="110"/>
      <c r="D407" s="109"/>
      <c r="E407" s="97"/>
      <c r="F407" s="97"/>
      <c r="G407" s="109"/>
      <c r="H407" s="109"/>
      <c r="I407" s="98"/>
      <c r="J407" s="98"/>
      <c r="K407" s="83"/>
      <c r="L407" s="110"/>
      <c r="M407" s="110"/>
      <c r="N407" s="110"/>
      <c r="O407" s="111"/>
      <c r="P407" s="111"/>
      <c r="Q407" s="111"/>
      <c r="R407" s="111"/>
      <c r="Y407" s="110"/>
      <c r="Z407" s="110"/>
    </row>
    <row r="408" spans="2:26" s="108" customFormat="1">
      <c r="B408" s="97"/>
      <c r="C408" s="110"/>
      <c r="D408" s="109"/>
      <c r="E408" s="97"/>
      <c r="F408" s="97"/>
      <c r="G408" s="109"/>
      <c r="H408" s="109"/>
      <c r="I408" s="98"/>
      <c r="J408" s="98"/>
      <c r="K408" s="83"/>
      <c r="L408" s="110"/>
      <c r="M408" s="110"/>
      <c r="N408" s="110"/>
      <c r="O408" s="111"/>
      <c r="P408" s="111"/>
      <c r="Q408" s="111"/>
      <c r="R408" s="111"/>
      <c r="Y408" s="110"/>
      <c r="Z408" s="110"/>
    </row>
    <row r="409" spans="2:26" s="108" customFormat="1">
      <c r="B409" s="97"/>
      <c r="C409" s="110"/>
      <c r="D409" s="109"/>
      <c r="E409" s="97"/>
      <c r="F409" s="97"/>
      <c r="G409" s="109"/>
      <c r="H409" s="109"/>
      <c r="I409" s="98"/>
      <c r="J409" s="98"/>
      <c r="K409" s="83"/>
      <c r="L409" s="110"/>
      <c r="M409" s="110"/>
      <c r="N409" s="110"/>
      <c r="O409" s="111"/>
      <c r="P409" s="111"/>
      <c r="Q409" s="111"/>
      <c r="R409" s="111"/>
      <c r="Y409" s="110"/>
      <c r="Z409" s="110"/>
    </row>
    <row r="410" spans="2:26" s="108" customFormat="1">
      <c r="B410" s="97"/>
      <c r="C410" s="110"/>
      <c r="D410" s="109"/>
      <c r="E410" s="97"/>
      <c r="F410" s="97"/>
      <c r="G410" s="109"/>
      <c r="H410" s="109"/>
      <c r="I410" s="98"/>
      <c r="J410" s="98"/>
      <c r="K410" s="83"/>
      <c r="L410" s="110"/>
      <c r="M410" s="110"/>
      <c r="N410" s="110"/>
      <c r="O410" s="111"/>
      <c r="P410" s="111"/>
      <c r="Q410" s="111"/>
      <c r="R410" s="111"/>
      <c r="Y410" s="110"/>
      <c r="Z410" s="110"/>
    </row>
    <row r="411" spans="2:26" s="108" customFormat="1">
      <c r="B411" s="97"/>
      <c r="C411" s="110"/>
      <c r="D411" s="109"/>
      <c r="E411" s="97"/>
      <c r="F411" s="97"/>
      <c r="G411" s="109"/>
      <c r="H411" s="109"/>
      <c r="I411" s="98"/>
      <c r="J411" s="98"/>
      <c r="K411" s="83"/>
      <c r="L411" s="110"/>
      <c r="M411" s="110"/>
      <c r="N411" s="110"/>
      <c r="O411" s="111"/>
      <c r="P411" s="111"/>
      <c r="Q411" s="111"/>
      <c r="R411" s="111"/>
      <c r="Y411" s="110"/>
      <c r="Z411" s="110"/>
    </row>
    <row r="412" spans="2:26" s="108" customFormat="1">
      <c r="B412" s="97"/>
      <c r="C412" s="110"/>
      <c r="D412" s="109"/>
      <c r="E412" s="97"/>
      <c r="F412" s="97"/>
      <c r="G412" s="109"/>
      <c r="H412" s="109"/>
      <c r="I412" s="98"/>
      <c r="J412" s="98"/>
      <c r="K412" s="83"/>
      <c r="L412" s="110"/>
      <c r="M412" s="110"/>
      <c r="N412" s="110"/>
      <c r="O412" s="111"/>
      <c r="P412" s="111"/>
      <c r="Q412" s="111"/>
      <c r="R412" s="111"/>
      <c r="Y412" s="110"/>
      <c r="Z412" s="110"/>
    </row>
    <row r="413" spans="2:26" s="108" customFormat="1">
      <c r="B413" s="97"/>
      <c r="C413" s="110"/>
      <c r="D413" s="109"/>
      <c r="E413" s="97"/>
      <c r="F413" s="97"/>
      <c r="G413" s="109"/>
      <c r="H413" s="109"/>
      <c r="I413" s="98"/>
      <c r="J413" s="98"/>
      <c r="K413" s="83"/>
      <c r="L413" s="110"/>
      <c r="M413" s="110"/>
      <c r="N413" s="110"/>
      <c r="O413" s="111"/>
      <c r="P413" s="111"/>
      <c r="Q413" s="111"/>
      <c r="R413" s="111"/>
      <c r="Y413" s="110"/>
      <c r="Z413" s="110"/>
    </row>
    <row r="414" spans="2:26" s="108" customFormat="1">
      <c r="B414" s="97"/>
      <c r="C414" s="110"/>
      <c r="D414" s="109"/>
      <c r="E414" s="97"/>
      <c r="F414" s="97"/>
      <c r="G414" s="109"/>
      <c r="H414" s="109"/>
      <c r="I414" s="98"/>
      <c r="J414" s="98"/>
      <c r="K414" s="83"/>
      <c r="L414" s="110"/>
      <c r="M414" s="110"/>
      <c r="N414" s="110"/>
      <c r="O414" s="111"/>
      <c r="P414" s="111"/>
      <c r="Q414" s="111"/>
      <c r="R414" s="111"/>
      <c r="Y414" s="110"/>
      <c r="Z414" s="110"/>
    </row>
    <row r="415" spans="2:26" s="108" customFormat="1">
      <c r="B415" s="97"/>
      <c r="C415" s="110"/>
      <c r="D415" s="109"/>
      <c r="E415" s="97"/>
      <c r="F415" s="97"/>
      <c r="G415" s="109"/>
      <c r="H415" s="109"/>
      <c r="I415" s="98"/>
      <c r="J415" s="98"/>
      <c r="K415" s="83"/>
      <c r="L415" s="110"/>
      <c r="M415" s="110"/>
      <c r="N415" s="110"/>
      <c r="O415" s="111"/>
      <c r="P415" s="111"/>
      <c r="Q415" s="111"/>
      <c r="R415" s="111"/>
      <c r="Y415" s="110"/>
      <c r="Z415" s="110"/>
    </row>
    <row r="416" spans="2:26" s="108" customFormat="1">
      <c r="B416" s="97"/>
      <c r="C416" s="110"/>
      <c r="D416" s="109"/>
      <c r="E416" s="97"/>
      <c r="F416" s="97"/>
      <c r="G416" s="109"/>
      <c r="H416" s="109"/>
      <c r="I416" s="98"/>
      <c r="J416" s="98"/>
      <c r="K416" s="83"/>
      <c r="L416" s="110"/>
      <c r="M416" s="110"/>
      <c r="N416" s="110"/>
      <c r="O416" s="111"/>
      <c r="P416" s="111"/>
      <c r="Q416" s="111"/>
      <c r="R416" s="111"/>
      <c r="Y416" s="110"/>
      <c r="Z416" s="110"/>
    </row>
    <row r="417" spans="2:26" s="108" customFormat="1">
      <c r="B417" s="97"/>
      <c r="C417" s="110"/>
      <c r="D417" s="109"/>
      <c r="E417" s="97"/>
      <c r="F417" s="97"/>
      <c r="G417" s="109"/>
      <c r="H417" s="109"/>
      <c r="I417" s="98"/>
      <c r="J417" s="98"/>
      <c r="K417" s="83"/>
      <c r="L417" s="110"/>
      <c r="M417" s="110"/>
      <c r="N417" s="110"/>
      <c r="O417" s="111"/>
      <c r="P417" s="111"/>
      <c r="Q417" s="111"/>
      <c r="R417" s="111"/>
      <c r="Y417" s="110"/>
      <c r="Z417" s="110"/>
    </row>
    <row r="418" spans="2:26" s="108" customFormat="1">
      <c r="B418" s="97"/>
      <c r="C418" s="110"/>
      <c r="D418" s="109"/>
      <c r="E418" s="97"/>
      <c r="F418" s="97"/>
      <c r="G418" s="109"/>
      <c r="H418" s="109"/>
      <c r="I418" s="98"/>
      <c r="J418" s="98"/>
      <c r="K418" s="83"/>
      <c r="L418" s="110"/>
      <c r="M418" s="110"/>
      <c r="N418" s="110"/>
      <c r="O418" s="111"/>
      <c r="P418" s="111"/>
      <c r="Q418" s="111"/>
      <c r="R418" s="111"/>
      <c r="Y418" s="110"/>
      <c r="Z418" s="110"/>
    </row>
    <row r="419" spans="2:26" s="108" customFormat="1">
      <c r="B419" s="97"/>
      <c r="C419" s="110"/>
      <c r="D419" s="109"/>
      <c r="E419" s="97"/>
      <c r="F419" s="97"/>
      <c r="G419" s="109"/>
      <c r="H419" s="109"/>
      <c r="I419" s="98"/>
      <c r="J419" s="98"/>
      <c r="K419" s="83"/>
      <c r="L419" s="110"/>
      <c r="M419" s="110"/>
      <c r="N419" s="110"/>
      <c r="O419" s="111"/>
      <c r="P419" s="111"/>
      <c r="Q419" s="111"/>
      <c r="R419" s="111"/>
      <c r="Y419" s="110"/>
      <c r="Z419" s="110"/>
    </row>
    <row r="420" spans="2:26" s="108" customFormat="1">
      <c r="B420" s="97"/>
      <c r="C420" s="110"/>
      <c r="D420" s="109"/>
      <c r="E420" s="97"/>
      <c r="F420" s="97"/>
      <c r="G420" s="109"/>
      <c r="H420" s="109"/>
      <c r="I420" s="98"/>
      <c r="J420" s="98"/>
      <c r="K420" s="83"/>
      <c r="L420" s="110"/>
      <c r="M420" s="110"/>
      <c r="N420" s="110"/>
      <c r="O420" s="111"/>
      <c r="P420" s="111"/>
      <c r="Q420" s="111"/>
      <c r="R420" s="111"/>
      <c r="Y420" s="110"/>
      <c r="Z420" s="110"/>
    </row>
    <row r="421" spans="2:26" s="108" customFormat="1">
      <c r="B421" s="97"/>
      <c r="C421" s="110"/>
      <c r="D421" s="109"/>
      <c r="E421" s="97"/>
      <c r="F421" s="97"/>
      <c r="G421" s="109"/>
      <c r="H421" s="109"/>
      <c r="I421" s="98"/>
      <c r="J421" s="98"/>
      <c r="K421" s="83"/>
      <c r="L421" s="110"/>
      <c r="M421" s="110"/>
      <c r="N421" s="110"/>
      <c r="O421" s="111"/>
      <c r="P421" s="111"/>
      <c r="Q421" s="111"/>
      <c r="R421" s="111"/>
      <c r="Y421" s="110"/>
      <c r="Z421" s="110"/>
    </row>
    <row r="422" spans="2:26" s="108" customFormat="1">
      <c r="B422" s="97"/>
      <c r="C422" s="110"/>
      <c r="D422" s="109"/>
      <c r="E422" s="97"/>
      <c r="F422" s="97"/>
      <c r="G422" s="109"/>
      <c r="H422" s="109"/>
      <c r="I422" s="98"/>
      <c r="J422" s="98"/>
      <c r="K422" s="83"/>
      <c r="L422" s="110"/>
      <c r="M422" s="110"/>
      <c r="N422" s="110"/>
      <c r="O422" s="111"/>
      <c r="P422" s="111"/>
      <c r="Q422" s="111"/>
      <c r="R422" s="111"/>
      <c r="Y422" s="110"/>
      <c r="Z422" s="110"/>
    </row>
    <row r="423" spans="2:26" s="108" customFormat="1">
      <c r="B423" s="97"/>
      <c r="C423" s="110"/>
      <c r="D423" s="109"/>
      <c r="E423" s="97"/>
      <c r="F423" s="97"/>
      <c r="G423" s="109"/>
      <c r="H423" s="109"/>
      <c r="I423" s="98"/>
      <c r="J423" s="98"/>
      <c r="K423" s="83"/>
      <c r="L423" s="110"/>
      <c r="M423" s="110"/>
      <c r="N423" s="110"/>
      <c r="O423" s="111"/>
      <c r="P423" s="111"/>
      <c r="Q423" s="111"/>
      <c r="R423" s="111"/>
      <c r="Y423" s="110"/>
      <c r="Z423" s="110"/>
    </row>
    <row r="424" spans="2:26" s="108" customFormat="1">
      <c r="B424" s="97"/>
      <c r="C424" s="110"/>
      <c r="D424" s="109"/>
      <c r="E424" s="97"/>
      <c r="F424" s="97"/>
      <c r="G424" s="109"/>
      <c r="H424" s="109"/>
      <c r="I424" s="98"/>
      <c r="J424" s="98"/>
      <c r="K424" s="83"/>
      <c r="L424" s="110"/>
      <c r="M424" s="110"/>
      <c r="N424" s="110"/>
      <c r="O424" s="111"/>
      <c r="P424" s="111"/>
      <c r="Q424" s="111"/>
      <c r="R424" s="111"/>
      <c r="Y424" s="110"/>
      <c r="Z424" s="110"/>
    </row>
    <row r="425" spans="2:26" s="108" customFormat="1">
      <c r="B425" s="97"/>
      <c r="C425" s="110"/>
      <c r="D425" s="109"/>
      <c r="E425" s="97"/>
      <c r="F425" s="97"/>
      <c r="G425" s="109"/>
      <c r="H425" s="109"/>
      <c r="I425" s="98"/>
      <c r="J425" s="98"/>
      <c r="K425" s="83"/>
      <c r="L425" s="110"/>
      <c r="M425" s="110"/>
      <c r="N425" s="110"/>
      <c r="O425" s="111"/>
      <c r="P425" s="111"/>
      <c r="Q425" s="111"/>
      <c r="R425" s="111"/>
      <c r="Y425" s="110"/>
      <c r="Z425" s="110"/>
    </row>
    <row r="426" spans="2:26" s="108" customFormat="1">
      <c r="B426" s="97"/>
      <c r="C426" s="110"/>
      <c r="D426" s="109"/>
      <c r="E426" s="97"/>
      <c r="F426" s="97"/>
      <c r="G426" s="109"/>
      <c r="H426" s="109"/>
      <c r="I426" s="98"/>
      <c r="J426" s="98"/>
      <c r="K426" s="83"/>
      <c r="L426" s="110"/>
      <c r="M426" s="110"/>
      <c r="N426" s="110"/>
      <c r="O426" s="111"/>
      <c r="P426" s="111"/>
      <c r="Q426" s="111"/>
      <c r="R426" s="111"/>
      <c r="Y426" s="110"/>
      <c r="Z426" s="110"/>
    </row>
    <row r="427" spans="2:26" s="108" customFormat="1">
      <c r="B427" s="97"/>
      <c r="C427" s="110"/>
      <c r="D427" s="109"/>
      <c r="E427" s="97"/>
      <c r="F427" s="97"/>
      <c r="G427" s="109"/>
      <c r="H427" s="109"/>
      <c r="I427" s="98"/>
      <c r="J427" s="98"/>
      <c r="K427" s="83"/>
      <c r="L427" s="110"/>
      <c r="M427" s="110"/>
      <c r="N427" s="110"/>
      <c r="O427" s="111"/>
      <c r="P427" s="111"/>
      <c r="Q427" s="111"/>
      <c r="R427" s="111"/>
      <c r="Y427" s="110"/>
      <c r="Z427" s="110"/>
    </row>
    <row r="428" spans="2:26" s="108" customFormat="1">
      <c r="B428" s="97"/>
      <c r="C428" s="110"/>
      <c r="D428" s="109"/>
      <c r="E428" s="97"/>
      <c r="F428" s="97"/>
      <c r="G428" s="109"/>
      <c r="H428" s="109"/>
      <c r="I428" s="98"/>
      <c r="J428" s="98"/>
      <c r="K428" s="83"/>
      <c r="L428" s="110"/>
      <c r="M428" s="110"/>
      <c r="N428" s="110"/>
      <c r="O428" s="111"/>
      <c r="P428" s="111"/>
      <c r="Q428" s="111"/>
      <c r="R428" s="111"/>
      <c r="Y428" s="110"/>
      <c r="Z428" s="110"/>
    </row>
    <row r="429" spans="2:26" s="108" customFormat="1">
      <c r="B429" s="97"/>
      <c r="C429" s="110"/>
      <c r="D429" s="109"/>
      <c r="E429" s="97"/>
      <c r="F429" s="97"/>
      <c r="G429" s="109"/>
      <c r="H429" s="109"/>
      <c r="I429" s="98"/>
      <c r="J429" s="98"/>
      <c r="K429" s="83"/>
      <c r="L429" s="110"/>
      <c r="M429" s="110"/>
      <c r="N429" s="110"/>
      <c r="O429" s="111"/>
      <c r="P429" s="111"/>
      <c r="Q429" s="111"/>
      <c r="R429" s="111"/>
      <c r="Y429" s="110"/>
      <c r="Z429" s="110"/>
    </row>
    <row r="430" spans="2:26" s="108" customFormat="1">
      <c r="B430" s="97"/>
      <c r="C430" s="110"/>
      <c r="D430" s="109"/>
      <c r="E430" s="97"/>
      <c r="F430" s="97"/>
      <c r="G430" s="109"/>
      <c r="H430" s="109"/>
      <c r="I430" s="98"/>
      <c r="J430" s="98"/>
      <c r="K430" s="83"/>
      <c r="L430" s="110"/>
      <c r="M430" s="110"/>
      <c r="N430" s="110"/>
      <c r="O430" s="111"/>
      <c r="P430" s="111"/>
      <c r="Q430" s="111"/>
      <c r="R430" s="111"/>
      <c r="Y430" s="110"/>
      <c r="Z430" s="110"/>
    </row>
    <row r="431" spans="2:26" s="108" customFormat="1">
      <c r="B431" s="97"/>
      <c r="C431" s="110"/>
      <c r="D431" s="109"/>
      <c r="E431" s="97"/>
      <c r="F431" s="97"/>
      <c r="G431" s="109"/>
      <c r="H431" s="109"/>
      <c r="I431" s="98"/>
      <c r="J431" s="98"/>
      <c r="K431" s="83"/>
      <c r="L431" s="110"/>
      <c r="M431" s="110"/>
      <c r="N431" s="110"/>
      <c r="O431" s="111"/>
      <c r="P431" s="111"/>
      <c r="Q431" s="111"/>
      <c r="R431" s="111"/>
      <c r="Y431" s="110"/>
      <c r="Z431" s="110"/>
    </row>
    <row r="432" spans="2:26" s="108" customFormat="1">
      <c r="B432" s="97"/>
      <c r="C432" s="110"/>
      <c r="D432" s="109"/>
      <c r="E432" s="97"/>
      <c r="F432" s="97"/>
      <c r="G432" s="109"/>
      <c r="H432" s="109"/>
      <c r="I432" s="98"/>
      <c r="J432" s="98"/>
      <c r="K432" s="83"/>
      <c r="L432" s="110"/>
      <c r="M432" s="110"/>
      <c r="N432" s="110"/>
      <c r="O432" s="111"/>
      <c r="P432" s="111"/>
      <c r="Q432" s="111"/>
      <c r="R432" s="111"/>
      <c r="Y432" s="110"/>
      <c r="Z432" s="110"/>
    </row>
    <row r="433" spans="2:26" s="108" customFormat="1">
      <c r="B433" s="97"/>
      <c r="C433" s="110"/>
      <c r="D433" s="109"/>
      <c r="E433" s="97"/>
      <c r="F433" s="97"/>
      <c r="G433" s="109"/>
      <c r="H433" s="109"/>
      <c r="I433" s="98"/>
      <c r="J433" s="98"/>
      <c r="K433" s="83"/>
      <c r="L433" s="110"/>
      <c r="M433" s="110"/>
      <c r="N433" s="110"/>
      <c r="O433" s="111"/>
      <c r="P433" s="111"/>
      <c r="Q433" s="111"/>
      <c r="R433" s="111"/>
      <c r="Y433" s="110"/>
      <c r="Z433" s="110"/>
    </row>
    <row r="434" spans="2:26" s="108" customFormat="1">
      <c r="B434" s="97"/>
      <c r="C434" s="110"/>
      <c r="D434" s="109"/>
      <c r="E434" s="97"/>
      <c r="F434" s="97"/>
      <c r="G434" s="109"/>
      <c r="H434" s="109"/>
      <c r="I434" s="98"/>
      <c r="J434" s="98"/>
      <c r="K434" s="83"/>
      <c r="L434" s="110"/>
      <c r="M434" s="110"/>
      <c r="N434" s="110"/>
      <c r="O434" s="111"/>
      <c r="P434" s="111"/>
      <c r="Q434" s="111"/>
      <c r="R434" s="111"/>
      <c r="Y434" s="110"/>
      <c r="Z434" s="110"/>
    </row>
    <row r="435" spans="2:26" s="108" customFormat="1">
      <c r="B435" s="97"/>
      <c r="C435" s="110"/>
      <c r="D435" s="109"/>
      <c r="E435" s="97"/>
      <c r="F435" s="97"/>
      <c r="G435" s="109"/>
      <c r="H435" s="109"/>
      <c r="I435" s="98"/>
      <c r="J435" s="98"/>
      <c r="K435" s="83"/>
      <c r="L435" s="110"/>
      <c r="M435" s="110"/>
      <c r="N435" s="110"/>
      <c r="O435" s="111"/>
      <c r="P435" s="111"/>
      <c r="Q435" s="111"/>
      <c r="R435" s="111"/>
      <c r="Y435" s="110"/>
      <c r="Z435" s="110"/>
    </row>
    <row r="436" spans="2:26" s="108" customFormat="1">
      <c r="B436" s="97"/>
      <c r="C436" s="110"/>
      <c r="D436" s="109"/>
      <c r="E436" s="97"/>
      <c r="F436" s="97"/>
      <c r="G436" s="109"/>
      <c r="H436" s="109"/>
      <c r="I436" s="98"/>
      <c r="J436" s="98"/>
      <c r="K436" s="83"/>
      <c r="L436" s="110"/>
      <c r="M436" s="110"/>
      <c r="N436" s="110"/>
      <c r="O436" s="111"/>
      <c r="P436" s="111"/>
      <c r="Q436" s="111"/>
      <c r="R436" s="111"/>
      <c r="Y436" s="110"/>
      <c r="Z436" s="110"/>
    </row>
    <row r="437" spans="2:26" s="108" customFormat="1">
      <c r="B437" s="97"/>
      <c r="C437" s="110"/>
      <c r="D437" s="109"/>
      <c r="E437" s="97"/>
      <c r="F437" s="97"/>
      <c r="G437" s="109"/>
      <c r="H437" s="109"/>
      <c r="I437" s="98"/>
      <c r="J437" s="98"/>
      <c r="K437" s="83"/>
      <c r="L437" s="110"/>
      <c r="M437" s="110"/>
      <c r="N437" s="110"/>
      <c r="O437" s="111"/>
      <c r="P437" s="111"/>
      <c r="Q437" s="111"/>
      <c r="R437" s="111"/>
      <c r="Y437" s="110"/>
      <c r="Z437" s="110"/>
    </row>
    <row r="438" spans="2:26" s="108" customFormat="1">
      <c r="B438" s="97"/>
      <c r="C438" s="110"/>
      <c r="D438" s="109"/>
      <c r="E438" s="97"/>
      <c r="F438" s="97"/>
      <c r="G438" s="109"/>
      <c r="H438" s="109"/>
      <c r="I438" s="98"/>
      <c r="J438" s="98"/>
      <c r="K438" s="83"/>
      <c r="L438" s="110"/>
      <c r="M438" s="110"/>
      <c r="N438" s="110"/>
      <c r="O438" s="111"/>
      <c r="P438" s="111"/>
      <c r="Q438" s="111"/>
      <c r="R438" s="111"/>
      <c r="Y438" s="110"/>
      <c r="Z438" s="110"/>
    </row>
    <row r="439" spans="2:26" s="108" customFormat="1">
      <c r="B439" s="97"/>
      <c r="C439" s="110"/>
      <c r="D439" s="109"/>
      <c r="E439" s="97"/>
      <c r="F439" s="97"/>
      <c r="G439" s="109"/>
      <c r="H439" s="109"/>
      <c r="I439" s="98"/>
      <c r="J439" s="98"/>
      <c r="K439" s="83"/>
      <c r="L439" s="110"/>
      <c r="M439" s="110"/>
      <c r="N439" s="110"/>
      <c r="O439" s="111"/>
      <c r="P439" s="111"/>
      <c r="Q439" s="111"/>
      <c r="R439" s="111"/>
      <c r="Y439" s="110"/>
      <c r="Z439" s="110"/>
    </row>
    <row r="440" spans="2:26" s="108" customFormat="1">
      <c r="B440" s="97"/>
      <c r="C440" s="110"/>
      <c r="D440" s="109"/>
      <c r="E440" s="97"/>
      <c r="F440" s="97"/>
      <c r="G440" s="109"/>
      <c r="H440" s="109"/>
      <c r="I440" s="98"/>
      <c r="J440" s="98"/>
      <c r="K440" s="83"/>
      <c r="L440" s="110"/>
      <c r="M440" s="110"/>
      <c r="N440" s="110"/>
      <c r="O440" s="111"/>
      <c r="P440" s="111"/>
      <c r="Q440" s="111"/>
      <c r="R440" s="111"/>
      <c r="Y440" s="110"/>
      <c r="Z440" s="110"/>
    </row>
    <row r="441" spans="2:26" s="108" customFormat="1">
      <c r="B441" s="97"/>
      <c r="C441" s="110"/>
      <c r="D441" s="109"/>
      <c r="E441" s="97"/>
      <c r="F441" s="97"/>
      <c r="G441" s="109"/>
      <c r="H441" s="109"/>
      <c r="I441" s="98"/>
      <c r="J441" s="98"/>
      <c r="K441" s="83"/>
      <c r="L441" s="110"/>
      <c r="M441" s="110"/>
      <c r="N441" s="110"/>
      <c r="O441" s="111"/>
      <c r="P441" s="111"/>
      <c r="Q441" s="111"/>
      <c r="R441" s="111"/>
      <c r="Y441" s="110"/>
      <c r="Z441" s="110"/>
    </row>
    <row r="442" spans="2:26" s="108" customFormat="1">
      <c r="B442" s="97"/>
      <c r="C442" s="110"/>
      <c r="D442" s="109"/>
      <c r="E442" s="97"/>
      <c r="F442" s="97"/>
      <c r="G442" s="109"/>
      <c r="H442" s="109"/>
      <c r="I442" s="98"/>
      <c r="J442" s="98"/>
      <c r="K442" s="83"/>
      <c r="L442" s="110"/>
      <c r="M442" s="110"/>
      <c r="N442" s="110"/>
      <c r="O442" s="111"/>
      <c r="P442" s="111"/>
      <c r="Q442" s="111"/>
      <c r="R442" s="111"/>
      <c r="Y442" s="110"/>
      <c r="Z442" s="110"/>
    </row>
    <row r="443" spans="2:26" s="108" customFormat="1">
      <c r="B443" s="97"/>
      <c r="C443" s="110"/>
      <c r="D443" s="109"/>
      <c r="E443" s="97"/>
      <c r="F443" s="97"/>
      <c r="G443" s="109"/>
      <c r="H443" s="109"/>
      <c r="I443" s="98"/>
      <c r="J443" s="98"/>
      <c r="K443" s="83"/>
      <c r="L443" s="110"/>
      <c r="M443" s="110"/>
      <c r="N443" s="110"/>
      <c r="O443" s="111"/>
      <c r="P443" s="111"/>
      <c r="Q443" s="111"/>
      <c r="R443" s="111"/>
      <c r="Y443" s="110"/>
      <c r="Z443" s="110"/>
    </row>
    <row r="444" spans="2:26" s="108" customFormat="1">
      <c r="B444" s="97"/>
      <c r="C444" s="110"/>
      <c r="D444" s="109"/>
      <c r="E444" s="97"/>
      <c r="F444" s="97"/>
      <c r="G444" s="109"/>
      <c r="H444" s="109"/>
      <c r="I444" s="98"/>
      <c r="J444" s="98"/>
      <c r="K444" s="83"/>
      <c r="L444" s="110"/>
      <c r="M444" s="110"/>
      <c r="N444" s="110"/>
      <c r="O444" s="111"/>
      <c r="P444" s="111"/>
      <c r="Q444" s="111"/>
      <c r="R444" s="111"/>
      <c r="Y444" s="110"/>
      <c r="Z444" s="110"/>
    </row>
    <row r="445" spans="2:26" s="108" customFormat="1">
      <c r="B445" s="97"/>
      <c r="C445" s="110"/>
      <c r="D445" s="109"/>
      <c r="E445" s="97"/>
      <c r="F445" s="97"/>
      <c r="G445" s="109"/>
      <c r="H445" s="109"/>
      <c r="I445" s="98"/>
      <c r="J445" s="98"/>
      <c r="K445" s="83"/>
      <c r="L445" s="110"/>
      <c r="M445" s="110"/>
      <c r="N445" s="110"/>
      <c r="O445" s="111"/>
      <c r="P445" s="111"/>
      <c r="Q445" s="111"/>
      <c r="R445" s="111"/>
      <c r="Y445" s="110"/>
      <c r="Z445" s="110"/>
    </row>
    <row r="446" spans="2:26" s="108" customFormat="1">
      <c r="B446" s="97"/>
      <c r="C446" s="110"/>
      <c r="D446" s="109"/>
      <c r="E446" s="97"/>
      <c r="F446" s="97"/>
      <c r="G446" s="109"/>
      <c r="H446" s="109"/>
      <c r="I446" s="98"/>
      <c r="J446" s="98"/>
      <c r="K446" s="83"/>
      <c r="L446" s="110"/>
      <c r="M446" s="110"/>
      <c r="N446" s="110"/>
      <c r="O446" s="111"/>
      <c r="P446" s="111"/>
      <c r="Q446" s="111"/>
      <c r="R446" s="111"/>
      <c r="Y446" s="110"/>
      <c r="Z446" s="110"/>
    </row>
    <row r="447" spans="2:26" s="108" customFormat="1">
      <c r="B447" s="97"/>
      <c r="C447" s="110"/>
      <c r="D447" s="109"/>
      <c r="E447" s="97"/>
      <c r="F447" s="97"/>
      <c r="G447" s="109"/>
      <c r="H447" s="109"/>
      <c r="I447" s="98"/>
      <c r="J447" s="98"/>
      <c r="K447" s="83"/>
      <c r="L447" s="110"/>
      <c r="M447" s="110"/>
      <c r="N447" s="110"/>
      <c r="O447" s="111"/>
      <c r="P447" s="111"/>
      <c r="Q447" s="111"/>
      <c r="R447" s="111"/>
      <c r="Y447" s="110"/>
      <c r="Z447" s="110"/>
    </row>
    <row r="448" spans="2:26" s="108" customFormat="1">
      <c r="B448" s="97"/>
      <c r="C448" s="110"/>
      <c r="D448" s="109"/>
      <c r="E448" s="97"/>
      <c r="F448" s="97"/>
      <c r="G448" s="109"/>
      <c r="H448" s="109"/>
      <c r="I448" s="98"/>
      <c r="J448" s="98"/>
      <c r="K448" s="83"/>
      <c r="L448" s="110"/>
      <c r="M448" s="110"/>
      <c r="N448" s="110"/>
      <c r="O448" s="111"/>
      <c r="P448" s="111"/>
      <c r="Q448" s="111"/>
      <c r="R448" s="111"/>
      <c r="Y448" s="110"/>
      <c r="Z448" s="110"/>
    </row>
    <row r="449" spans="2:26" s="108" customFormat="1">
      <c r="B449" s="97"/>
      <c r="C449" s="110"/>
      <c r="D449" s="109"/>
      <c r="E449" s="97"/>
      <c r="F449" s="97"/>
      <c r="G449" s="109"/>
      <c r="H449" s="109"/>
      <c r="I449" s="98"/>
      <c r="J449" s="98"/>
      <c r="K449" s="83"/>
      <c r="L449" s="110"/>
      <c r="M449" s="110"/>
      <c r="N449" s="110"/>
      <c r="O449" s="111"/>
      <c r="P449" s="111"/>
      <c r="Q449" s="111"/>
      <c r="R449" s="111"/>
      <c r="Y449" s="110"/>
      <c r="Z449" s="110"/>
    </row>
    <row r="450" spans="2:26" s="108" customFormat="1">
      <c r="B450" s="97"/>
      <c r="C450" s="110"/>
      <c r="D450" s="109"/>
      <c r="E450" s="97"/>
      <c r="F450" s="97"/>
      <c r="G450" s="109"/>
      <c r="H450" s="109"/>
      <c r="I450" s="98"/>
      <c r="J450" s="98"/>
      <c r="K450" s="83"/>
      <c r="L450" s="110"/>
      <c r="M450" s="110"/>
      <c r="N450" s="110"/>
      <c r="O450" s="111"/>
      <c r="P450" s="111"/>
      <c r="Q450" s="111"/>
      <c r="R450" s="111"/>
      <c r="Y450" s="110"/>
      <c r="Z450" s="110"/>
    </row>
    <row r="451" spans="2:26" s="108" customFormat="1">
      <c r="B451" s="97"/>
      <c r="C451" s="110"/>
      <c r="D451" s="109"/>
      <c r="E451" s="97"/>
      <c r="F451" s="97"/>
      <c r="G451" s="109"/>
      <c r="H451" s="109"/>
      <c r="I451" s="98"/>
      <c r="J451" s="98"/>
      <c r="K451" s="83"/>
      <c r="L451" s="110"/>
      <c r="M451" s="110"/>
      <c r="N451" s="110"/>
      <c r="O451" s="111"/>
      <c r="P451" s="111"/>
      <c r="Q451" s="111"/>
      <c r="R451" s="111"/>
      <c r="Y451" s="110"/>
      <c r="Z451" s="110"/>
    </row>
    <row r="452" spans="2:26" s="108" customFormat="1">
      <c r="B452" s="97"/>
      <c r="C452" s="110"/>
      <c r="D452" s="109"/>
      <c r="E452" s="97"/>
      <c r="F452" s="97"/>
      <c r="G452" s="109"/>
      <c r="H452" s="109"/>
      <c r="I452" s="98"/>
      <c r="J452" s="98"/>
      <c r="K452" s="83"/>
      <c r="L452" s="110"/>
      <c r="M452" s="110"/>
      <c r="N452" s="110"/>
      <c r="O452" s="111"/>
      <c r="P452" s="111"/>
      <c r="Q452" s="111"/>
      <c r="R452" s="111"/>
      <c r="Y452" s="110"/>
      <c r="Z452" s="110"/>
    </row>
    <row r="453" spans="2:26" s="108" customFormat="1">
      <c r="B453" s="97"/>
      <c r="C453" s="110"/>
      <c r="D453" s="109"/>
      <c r="E453" s="97"/>
      <c r="F453" s="97"/>
      <c r="G453" s="109"/>
      <c r="H453" s="109"/>
      <c r="I453" s="98"/>
      <c r="J453" s="98"/>
      <c r="K453" s="83"/>
      <c r="L453" s="110"/>
      <c r="M453" s="110"/>
      <c r="N453" s="110"/>
      <c r="O453" s="111"/>
      <c r="P453" s="111"/>
      <c r="Q453" s="111"/>
      <c r="R453" s="111"/>
      <c r="Y453" s="110"/>
      <c r="Z453" s="110"/>
    </row>
    <row r="454" spans="2:26" s="108" customFormat="1">
      <c r="B454" s="97"/>
      <c r="C454" s="110"/>
      <c r="D454" s="109"/>
      <c r="E454" s="97"/>
      <c r="F454" s="97"/>
      <c r="G454" s="109"/>
      <c r="H454" s="109"/>
      <c r="I454" s="98"/>
      <c r="J454" s="98"/>
      <c r="K454" s="83"/>
      <c r="L454" s="110"/>
      <c r="M454" s="110"/>
      <c r="N454" s="110"/>
      <c r="O454" s="111"/>
      <c r="P454" s="111"/>
      <c r="Q454" s="111"/>
      <c r="R454" s="111"/>
      <c r="Y454" s="110"/>
      <c r="Z454" s="110"/>
    </row>
    <row r="455" spans="2:26" s="108" customFormat="1">
      <c r="B455" s="97"/>
      <c r="C455" s="110"/>
      <c r="D455" s="109"/>
      <c r="E455" s="97"/>
      <c r="F455" s="97"/>
      <c r="G455" s="109"/>
      <c r="H455" s="109"/>
      <c r="I455" s="98"/>
      <c r="J455" s="98"/>
      <c r="K455" s="83"/>
      <c r="L455" s="110"/>
      <c r="M455" s="110"/>
      <c r="N455" s="110"/>
      <c r="O455" s="111"/>
      <c r="P455" s="111"/>
      <c r="Q455" s="111"/>
      <c r="R455" s="111"/>
      <c r="Y455" s="110"/>
      <c r="Z455" s="110"/>
    </row>
    <row r="456" spans="2:26" s="108" customFormat="1">
      <c r="B456" s="97"/>
      <c r="C456" s="110"/>
      <c r="D456" s="109"/>
      <c r="E456" s="97"/>
      <c r="F456" s="97"/>
      <c r="G456" s="109"/>
      <c r="H456" s="109"/>
      <c r="I456" s="98"/>
      <c r="J456" s="98"/>
      <c r="K456" s="83"/>
      <c r="L456" s="110"/>
      <c r="M456" s="110"/>
      <c r="N456" s="110"/>
      <c r="O456" s="111"/>
      <c r="P456" s="111"/>
      <c r="Q456" s="111"/>
      <c r="R456" s="111"/>
      <c r="Y456" s="110"/>
      <c r="Z456" s="110"/>
    </row>
    <row r="457" spans="2:26" s="108" customFormat="1">
      <c r="B457" s="97"/>
      <c r="C457" s="110"/>
      <c r="D457" s="109"/>
      <c r="E457" s="97"/>
      <c r="F457" s="97"/>
      <c r="G457" s="109"/>
      <c r="H457" s="109"/>
      <c r="I457" s="98"/>
      <c r="J457" s="98"/>
      <c r="K457" s="83"/>
      <c r="L457" s="110"/>
      <c r="M457" s="110"/>
      <c r="N457" s="110"/>
      <c r="O457" s="111"/>
      <c r="P457" s="111"/>
      <c r="Q457" s="111"/>
      <c r="R457" s="111"/>
      <c r="Y457" s="110"/>
      <c r="Z457" s="110"/>
    </row>
    <row r="458" spans="2:26" s="108" customFormat="1">
      <c r="B458" s="97"/>
      <c r="C458" s="110"/>
      <c r="D458" s="109"/>
      <c r="E458" s="97"/>
      <c r="F458" s="97"/>
      <c r="G458" s="109"/>
      <c r="H458" s="109"/>
      <c r="I458" s="98"/>
      <c r="J458" s="98"/>
      <c r="K458" s="83"/>
      <c r="L458" s="110"/>
      <c r="M458" s="110"/>
      <c r="N458" s="110"/>
      <c r="O458" s="111"/>
      <c r="P458" s="111"/>
      <c r="Q458" s="111"/>
      <c r="R458" s="111"/>
      <c r="Y458" s="110"/>
      <c r="Z458" s="110"/>
    </row>
    <row r="459" spans="2:26" s="108" customFormat="1">
      <c r="B459" s="97"/>
      <c r="C459" s="110"/>
      <c r="D459" s="109"/>
      <c r="E459" s="97"/>
      <c r="F459" s="97"/>
      <c r="G459" s="109"/>
      <c r="H459" s="109"/>
      <c r="I459" s="98"/>
      <c r="J459" s="98"/>
      <c r="K459" s="83"/>
      <c r="L459" s="110"/>
      <c r="M459" s="110"/>
      <c r="N459" s="110"/>
      <c r="O459" s="111"/>
      <c r="P459" s="111"/>
      <c r="Q459" s="111"/>
      <c r="R459" s="111"/>
      <c r="Y459" s="110"/>
      <c r="Z459" s="110"/>
    </row>
    <row r="460" spans="2:26" s="108" customFormat="1">
      <c r="B460" s="97"/>
      <c r="C460" s="110"/>
      <c r="D460" s="109"/>
      <c r="E460" s="97"/>
      <c r="F460" s="97"/>
      <c r="G460" s="109"/>
      <c r="H460" s="109"/>
      <c r="I460" s="98"/>
      <c r="J460" s="98"/>
      <c r="K460" s="83"/>
      <c r="L460" s="110"/>
      <c r="M460" s="110"/>
      <c r="N460" s="110"/>
      <c r="O460" s="111"/>
      <c r="P460" s="111"/>
      <c r="Q460" s="111"/>
      <c r="R460" s="111"/>
      <c r="Y460" s="110"/>
      <c r="Z460" s="110"/>
    </row>
    <row r="461" spans="2:26" s="108" customFormat="1">
      <c r="B461" s="97"/>
      <c r="C461" s="110"/>
      <c r="D461" s="109"/>
      <c r="E461" s="97"/>
      <c r="F461" s="97"/>
      <c r="G461" s="109"/>
      <c r="H461" s="109"/>
      <c r="I461" s="98"/>
      <c r="J461" s="98"/>
      <c r="K461" s="83"/>
      <c r="L461" s="110"/>
      <c r="M461" s="110"/>
      <c r="N461" s="110"/>
      <c r="O461" s="111"/>
      <c r="P461" s="111"/>
      <c r="Q461" s="111"/>
      <c r="R461" s="111"/>
      <c r="Y461" s="110"/>
      <c r="Z461" s="110"/>
    </row>
    <row r="462" spans="2:26" s="108" customFormat="1">
      <c r="B462" s="97"/>
      <c r="C462" s="110"/>
      <c r="D462" s="109"/>
      <c r="E462" s="97"/>
      <c r="F462" s="97"/>
      <c r="G462" s="109"/>
      <c r="H462" s="109"/>
      <c r="I462" s="98"/>
      <c r="J462" s="98"/>
      <c r="K462" s="83"/>
      <c r="L462" s="110"/>
      <c r="M462" s="110"/>
      <c r="N462" s="110"/>
      <c r="O462" s="111"/>
      <c r="P462" s="111"/>
      <c r="Q462" s="111"/>
      <c r="R462" s="111"/>
      <c r="Y462" s="110"/>
      <c r="Z462" s="110"/>
    </row>
    <row r="463" spans="2:26" s="108" customFormat="1">
      <c r="B463" s="97"/>
      <c r="C463" s="110"/>
      <c r="D463" s="109"/>
      <c r="E463" s="97"/>
      <c r="F463" s="97"/>
      <c r="G463" s="109"/>
      <c r="H463" s="109"/>
      <c r="I463" s="98"/>
      <c r="J463" s="98"/>
      <c r="K463" s="83"/>
      <c r="L463" s="110"/>
      <c r="M463" s="110"/>
      <c r="N463" s="110"/>
      <c r="O463" s="111"/>
      <c r="P463" s="111"/>
      <c r="Q463" s="111"/>
      <c r="R463" s="111"/>
      <c r="Y463" s="110"/>
      <c r="Z463" s="110"/>
    </row>
    <row r="464" spans="2:26" s="108" customFormat="1">
      <c r="B464" s="97"/>
      <c r="C464" s="110"/>
      <c r="D464" s="109"/>
      <c r="E464" s="97"/>
      <c r="F464" s="97"/>
      <c r="G464" s="109"/>
      <c r="H464" s="109"/>
      <c r="I464" s="98"/>
      <c r="J464" s="98"/>
      <c r="K464" s="83"/>
      <c r="L464" s="110"/>
      <c r="M464" s="110"/>
      <c r="N464" s="110"/>
      <c r="O464" s="111"/>
      <c r="P464" s="111"/>
      <c r="Q464" s="111"/>
      <c r="R464" s="111"/>
      <c r="Y464" s="110"/>
      <c r="Z464" s="110"/>
    </row>
    <row r="465" spans="2:26" s="108" customFormat="1">
      <c r="B465" s="97"/>
      <c r="C465" s="110"/>
      <c r="D465" s="109"/>
      <c r="E465" s="97"/>
      <c r="F465" s="97"/>
      <c r="G465" s="109"/>
      <c r="H465" s="109"/>
      <c r="I465" s="98"/>
      <c r="J465" s="98"/>
      <c r="K465" s="83"/>
      <c r="L465" s="110"/>
      <c r="M465" s="110"/>
      <c r="N465" s="110"/>
      <c r="O465" s="111"/>
      <c r="P465" s="111"/>
      <c r="Q465" s="111"/>
      <c r="R465" s="111"/>
      <c r="Y465" s="110"/>
      <c r="Z465" s="110"/>
    </row>
    <row r="466" spans="2:26" s="108" customFormat="1">
      <c r="B466" s="97"/>
      <c r="C466" s="110"/>
      <c r="D466" s="109"/>
      <c r="E466" s="97"/>
      <c r="F466" s="97"/>
      <c r="G466" s="109"/>
      <c r="H466" s="109"/>
      <c r="I466" s="98"/>
      <c r="J466" s="98"/>
      <c r="K466" s="83"/>
      <c r="L466" s="110"/>
      <c r="M466" s="110"/>
      <c r="N466" s="110"/>
      <c r="O466" s="111"/>
      <c r="P466" s="111"/>
      <c r="Q466" s="111"/>
      <c r="R466" s="111"/>
      <c r="Y466" s="110"/>
      <c r="Z466" s="110"/>
    </row>
    <row r="467" spans="2:26" s="108" customFormat="1">
      <c r="B467" s="97"/>
      <c r="C467" s="110"/>
      <c r="D467" s="109"/>
      <c r="E467" s="97"/>
      <c r="F467" s="97"/>
      <c r="G467" s="109"/>
      <c r="H467" s="109"/>
      <c r="I467" s="98"/>
      <c r="J467" s="98"/>
      <c r="K467" s="83"/>
      <c r="L467" s="110"/>
      <c r="M467" s="110"/>
      <c r="N467" s="110"/>
      <c r="O467" s="111"/>
      <c r="P467" s="111"/>
      <c r="Q467" s="111"/>
      <c r="R467" s="111"/>
      <c r="Y467" s="110"/>
      <c r="Z467" s="110"/>
    </row>
    <row r="468" spans="2:26" s="108" customFormat="1">
      <c r="B468" s="97"/>
      <c r="C468" s="110"/>
      <c r="D468" s="109"/>
      <c r="E468" s="97"/>
      <c r="F468" s="97"/>
      <c r="G468" s="109"/>
      <c r="H468" s="109"/>
      <c r="I468" s="98"/>
      <c r="J468" s="98"/>
      <c r="K468" s="83"/>
      <c r="L468" s="110"/>
      <c r="M468" s="110"/>
      <c r="N468" s="110"/>
      <c r="O468" s="111"/>
      <c r="P468" s="111"/>
      <c r="Q468" s="111"/>
      <c r="R468" s="111"/>
      <c r="Y468" s="110"/>
      <c r="Z468" s="110"/>
    </row>
    <row r="469" spans="2:26" s="108" customFormat="1">
      <c r="B469" s="97"/>
      <c r="C469" s="110"/>
      <c r="D469" s="109"/>
      <c r="E469" s="97"/>
      <c r="F469" s="97"/>
      <c r="G469" s="109"/>
      <c r="H469" s="109"/>
      <c r="I469" s="98"/>
      <c r="J469" s="98"/>
      <c r="K469" s="83"/>
      <c r="L469" s="110"/>
      <c r="M469" s="110"/>
      <c r="N469" s="110"/>
      <c r="O469" s="111"/>
      <c r="P469" s="111"/>
      <c r="Q469" s="111"/>
      <c r="R469" s="111"/>
      <c r="Y469" s="110"/>
      <c r="Z469" s="110"/>
    </row>
    <row r="470" spans="2:26" s="108" customFormat="1">
      <c r="B470" s="97"/>
      <c r="C470" s="110"/>
      <c r="D470" s="109"/>
      <c r="E470" s="97"/>
      <c r="F470" s="97"/>
      <c r="G470" s="109"/>
      <c r="H470" s="109"/>
      <c r="I470" s="98"/>
      <c r="J470" s="98"/>
      <c r="K470" s="83"/>
      <c r="L470" s="110"/>
      <c r="M470" s="110"/>
      <c r="N470" s="110"/>
      <c r="O470" s="111"/>
      <c r="P470" s="111"/>
      <c r="Q470" s="111"/>
      <c r="R470" s="111"/>
      <c r="Y470" s="110"/>
      <c r="Z470" s="110"/>
    </row>
    <row r="471" spans="2:26" s="108" customFormat="1">
      <c r="B471" s="97"/>
      <c r="C471" s="110"/>
      <c r="D471" s="109"/>
      <c r="E471" s="97"/>
      <c r="F471" s="97"/>
      <c r="G471" s="109"/>
      <c r="H471" s="109"/>
      <c r="I471" s="98"/>
      <c r="J471" s="98"/>
      <c r="K471" s="83"/>
      <c r="L471" s="110"/>
      <c r="M471" s="110"/>
      <c r="N471" s="110"/>
      <c r="O471" s="111"/>
      <c r="P471" s="111"/>
      <c r="Q471" s="111"/>
      <c r="R471" s="111"/>
      <c r="Y471" s="110"/>
      <c r="Z471" s="110"/>
    </row>
    <row r="472" spans="2:26" s="108" customFormat="1">
      <c r="B472" s="97"/>
      <c r="C472" s="110"/>
      <c r="D472" s="109"/>
      <c r="E472" s="97"/>
      <c r="F472" s="97"/>
      <c r="G472" s="109"/>
      <c r="H472" s="109"/>
      <c r="I472" s="98"/>
      <c r="J472" s="98"/>
      <c r="K472" s="83"/>
      <c r="L472" s="110"/>
      <c r="M472" s="110"/>
      <c r="N472" s="110"/>
      <c r="O472" s="111"/>
      <c r="P472" s="111"/>
      <c r="Q472" s="111"/>
      <c r="R472" s="111"/>
      <c r="Y472" s="110"/>
      <c r="Z472" s="110"/>
    </row>
    <row r="473" spans="2:26" s="108" customFormat="1">
      <c r="B473" s="97"/>
      <c r="C473" s="110"/>
      <c r="D473" s="109"/>
      <c r="E473" s="97"/>
      <c r="F473" s="97"/>
      <c r="G473" s="109"/>
      <c r="H473" s="109"/>
      <c r="I473" s="98"/>
      <c r="J473" s="98"/>
      <c r="K473" s="83"/>
      <c r="L473" s="110"/>
      <c r="M473" s="110"/>
      <c r="N473" s="110"/>
      <c r="O473" s="111"/>
      <c r="P473" s="111"/>
      <c r="Q473" s="111"/>
      <c r="R473" s="111"/>
      <c r="Y473" s="110"/>
      <c r="Z473" s="110"/>
    </row>
    <row r="474" spans="2:26" s="108" customFormat="1">
      <c r="B474" s="97"/>
      <c r="C474" s="110"/>
      <c r="D474" s="109"/>
      <c r="E474" s="97"/>
      <c r="F474" s="97"/>
      <c r="G474" s="109"/>
      <c r="H474" s="109"/>
      <c r="I474" s="98"/>
      <c r="J474" s="98"/>
      <c r="K474" s="83"/>
      <c r="L474" s="110"/>
      <c r="M474" s="110"/>
      <c r="N474" s="110"/>
      <c r="O474" s="111"/>
      <c r="P474" s="111"/>
      <c r="Q474" s="111"/>
      <c r="R474" s="111"/>
      <c r="Y474" s="110"/>
      <c r="Z474" s="110"/>
    </row>
    <row r="475" spans="2:26" s="108" customFormat="1">
      <c r="B475" s="97"/>
      <c r="C475" s="110"/>
      <c r="D475" s="109"/>
      <c r="E475" s="97"/>
      <c r="F475" s="97"/>
      <c r="G475" s="109"/>
      <c r="H475" s="109"/>
      <c r="I475" s="98"/>
      <c r="J475" s="98"/>
      <c r="K475" s="83"/>
      <c r="L475" s="110"/>
      <c r="M475" s="110"/>
      <c r="N475" s="110"/>
      <c r="O475" s="111"/>
      <c r="P475" s="111"/>
      <c r="Q475" s="111"/>
      <c r="R475" s="111"/>
      <c r="Y475" s="110"/>
      <c r="Z475" s="110"/>
    </row>
    <row r="476" spans="2:26" s="108" customFormat="1">
      <c r="B476" s="97"/>
      <c r="C476" s="110"/>
      <c r="D476" s="109"/>
      <c r="E476" s="97"/>
      <c r="F476" s="97"/>
      <c r="G476" s="109"/>
      <c r="H476" s="109"/>
      <c r="I476" s="98"/>
      <c r="J476" s="98"/>
      <c r="K476" s="83"/>
      <c r="L476" s="110"/>
      <c r="M476" s="110"/>
      <c r="N476" s="110"/>
      <c r="O476" s="111"/>
      <c r="P476" s="111"/>
      <c r="Q476" s="111"/>
      <c r="R476" s="111"/>
      <c r="Y476" s="110"/>
      <c r="Z476" s="110"/>
    </row>
    <row r="477" spans="2:26" s="108" customFormat="1">
      <c r="B477" s="97"/>
      <c r="C477" s="110"/>
      <c r="D477" s="109"/>
      <c r="E477" s="97"/>
      <c r="F477" s="97"/>
      <c r="G477" s="109"/>
      <c r="H477" s="109"/>
      <c r="I477" s="98"/>
      <c r="J477" s="98"/>
      <c r="K477" s="83"/>
      <c r="L477" s="110"/>
      <c r="M477" s="110"/>
      <c r="N477" s="110"/>
      <c r="O477" s="111"/>
      <c r="P477" s="111"/>
      <c r="Q477" s="111"/>
      <c r="R477" s="111"/>
      <c r="Y477" s="110"/>
      <c r="Z477" s="110"/>
    </row>
    <row r="478" spans="2:26" s="108" customFormat="1">
      <c r="B478" s="97"/>
      <c r="C478" s="110"/>
      <c r="D478" s="109"/>
      <c r="E478" s="97"/>
      <c r="F478" s="97"/>
      <c r="G478" s="109"/>
      <c r="H478" s="109"/>
      <c r="I478" s="98"/>
      <c r="J478" s="98"/>
      <c r="K478" s="83"/>
      <c r="L478" s="110"/>
      <c r="M478" s="110"/>
      <c r="N478" s="110"/>
      <c r="O478" s="111"/>
      <c r="P478" s="111"/>
      <c r="Q478" s="111"/>
      <c r="R478" s="111"/>
      <c r="Y478" s="110"/>
      <c r="Z478" s="110"/>
    </row>
    <row r="479" spans="2:26" s="108" customFormat="1">
      <c r="B479" s="97"/>
      <c r="C479" s="110"/>
      <c r="D479" s="109"/>
      <c r="E479" s="97"/>
      <c r="F479" s="97"/>
      <c r="G479" s="109"/>
      <c r="H479" s="109"/>
      <c r="I479" s="98"/>
      <c r="J479" s="98"/>
      <c r="K479" s="83"/>
      <c r="L479" s="110"/>
      <c r="M479" s="110"/>
      <c r="N479" s="110"/>
      <c r="O479" s="111"/>
      <c r="P479" s="111"/>
      <c r="Q479" s="111"/>
      <c r="R479" s="111"/>
      <c r="Y479" s="110"/>
      <c r="Z479" s="110"/>
    </row>
    <row r="480" spans="2:26" s="108" customFormat="1">
      <c r="B480" s="97"/>
      <c r="C480" s="110"/>
      <c r="D480" s="109"/>
      <c r="E480" s="97"/>
      <c r="F480" s="97"/>
      <c r="G480" s="109"/>
      <c r="H480" s="109"/>
      <c r="I480" s="98"/>
      <c r="J480" s="98"/>
      <c r="K480" s="83"/>
      <c r="L480" s="110"/>
      <c r="M480" s="110"/>
      <c r="N480" s="110"/>
      <c r="O480" s="111"/>
      <c r="P480" s="111"/>
      <c r="Q480" s="111"/>
      <c r="R480" s="111"/>
      <c r="Y480" s="110"/>
      <c r="Z480" s="110"/>
    </row>
    <row r="481" spans="2:26" s="108" customFormat="1">
      <c r="B481" s="97"/>
      <c r="C481" s="110"/>
      <c r="D481" s="109"/>
      <c r="E481" s="97"/>
      <c r="F481" s="97"/>
      <c r="G481" s="109"/>
      <c r="H481" s="109"/>
      <c r="I481" s="98"/>
      <c r="J481" s="98"/>
      <c r="K481" s="83"/>
      <c r="L481" s="110"/>
      <c r="M481" s="110"/>
      <c r="N481" s="110"/>
      <c r="O481" s="111"/>
      <c r="P481" s="111"/>
      <c r="Q481" s="111"/>
      <c r="R481" s="111"/>
      <c r="Y481" s="110"/>
      <c r="Z481" s="110"/>
    </row>
    <row r="482" spans="2:26" s="108" customFormat="1">
      <c r="B482" s="97"/>
      <c r="C482" s="110"/>
      <c r="D482" s="109"/>
      <c r="E482" s="97"/>
      <c r="F482" s="97"/>
      <c r="G482" s="109"/>
      <c r="H482" s="109"/>
      <c r="I482" s="98"/>
      <c r="J482" s="98"/>
      <c r="K482" s="83"/>
      <c r="L482" s="110"/>
      <c r="M482" s="110"/>
      <c r="N482" s="110"/>
      <c r="O482" s="111"/>
      <c r="P482" s="111"/>
      <c r="Q482" s="111"/>
      <c r="R482" s="111"/>
      <c r="Y482" s="110"/>
      <c r="Z482" s="110"/>
    </row>
    <row r="483" spans="2:26" s="108" customFormat="1">
      <c r="B483" s="97"/>
      <c r="C483" s="110"/>
      <c r="D483" s="109"/>
      <c r="E483" s="97"/>
      <c r="F483" s="97"/>
      <c r="G483" s="109"/>
      <c r="H483" s="109"/>
      <c r="I483" s="98"/>
      <c r="J483" s="98"/>
      <c r="K483" s="83"/>
      <c r="L483" s="110"/>
      <c r="M483" s="110"/>
      <c r="N483" s="110"/>
      <c r="O483" s="111"/>
      <c r="P483" s="111"/>
      <c r="Q483" s="111"/>
      <c r="R483" s="111"/>
      <c r="Y483" s="110"/>
      <c r="Z483" s="110"/>
    </row>
    <row r="484" spans="2:26" s="108" customFormat="1">
      <c r="B484" s="97"/>
      <c r="C484" s="110"/>
      <c r="D484" s="109"/>
      <c r="E484" s="97"/>
      <c r="F484" s="97"/>
      <c r="G484" s="109"/>
      <c r="H484" s="109"/>
      <c r="I484" s="98"/>
      <c r="J484" s="98"/>
      <c r="K484" s="83"/>
      <c r="L484" s="110"/>
      <c r="M484" s="110"/>
      <c r="N484" s="110"/>
      <c r="O484" s="111"/>
      <c r="P484" s="111"/>
      <c r="Q484" s="111"/>
      <c r="R484" s="111"/>
      <c r="Y484" s="110"/>
      <c r="Z484" s="110"/>
    </row>
    <row r="485" spans="2:26" s="108" customFormat="1">
      <c r="B485" s="97"/>
      <c r="C485" s="110"/>
      <c r="D485" s="109"/>
      <c r="E485" s="97"/>
      <c r="F485" s="97"/>
      <c r="G485" s="109"/>
      <c r="H485" s="109"/>
      <c r="I485" s="98"/>
      <c r="J485" s="98"/>
      <c r="K485" s="83"/>
      <c r="L485" s="110"/>
      <c r="M485" s="110"/>
      <c r="N485" s="110"/>
      <c r="O485" s="111"/>
      <c r="P485" s="111"/>
      <c r="Q485" s="111"/>
      <c r="R485" s="111"/>
      <c r="Y485" s="110"/>
      <c r="Z485" s="110"/>
    </row>
    <row r="486" spans="2:26" s="108" customFormat="1">
      <c r="B486" s="97"/>
      <c r="C486" s="110"/>
      <c r="D486" s="109"/>
      <c r="E486" s="97"/>
      <c r="F486" s="97"/>
      <c r="G486" s="109"/>
      <c r="H486" s="109"/>
      <c r="I486" s="98"/>
      <c r="J486" s="98"/>
      <c r="K486" s="83"/>
      <c r="L486" s="110"/>
      <c r="M486" s="110"/>
      <c r="N486" s="110"/>
      <c r="O486" s="111"/>
      <c r="P486" s="111"/>
      <c r="Q486" s="111"/>
      <c r="R486" s="111"/>
      <c r="Y486" s="110"/>
      <c r="Z486" s="110"/>
    </row>
    <row r="487" spans="2:26" s="108" customFormat="1">
      <c r="B487" s="97"/>
      <c r="C487" s="110"/>
      <c r="D487" s="109"/>
      <c r="E487" s="97"/>
      <c r="F487" s="97"/>
      <c r="G487" s="109"/>
      <c r="H487" s="109"/>
      <c r="I487" s="98"/>
      <c r="J487" s="98"/>
      <c r="K487" s="83"/>
      <c r="L487" s="110"/>
      <c r="M487" s="110"/>
      <c r="N487" s="110"/>
      <c r="O487" s="111"/>
      <c r="P487" s="111"/>
      <c r="Q487" s="111"/>
      <c r="R487" s="111"/>
      <c r="Y487" s="110"/>
      <c r="Z487" s="110"/>
    </row>
    <row r="488" spans="2:26" s="108" customFormat="1">
      <c r="B488" s="97"/>
      <c r="C488" s="110"/>
      <c r="D488" s="109"/>
      <c r="E488" s="97"/>
      <c r="F488" s="97"/>
      <c r="G488" s="109"/>
      <c r="H488" s="109"/>
      <c r="I488" s="98"/>
      <c r="J488" s="98"/>
      <c r="K488" s="83"/>
      <c r="L488" s="110"/>
      <c r="M488" s="110"/>
      <c r="N488" s="110"/>
      <c r="O488" s="111"/>
      <c r="P488" s="111"/>
      <c r="Q488" s="111"/>
      <c r="R488" s="111"/>
      <c r="Y488" s="110"/>
      <c r="Z488" s="110"/>
    </row>
    <row r="489" spans="2:26" s="108" customFormat="1">
      <c r="B489" s="97"/>
      <c r="C489" s="110"/>
      <c r="D489" s="109"/>
      <c r="E489" s="97"/>
      <c r="F489" s="97"/>
      <c r="G489" s="109"/>
      <c r="H489" s="109"/>
      <c r="I489" s="98"/>
      <c r="J489" s="98"/>
      <c r="K489" s="83"/>
      <c r="L489" s="110"/>
      <c r="M489" s="110"/>
      <c r="N489" s="110"/>
      <c r="O489" s="111"/>
      <c r="P489" s="111"/>
      <c r="Q489" s="111"/>
      <c r="R489" s="111"/>
      <c r="Y489" s="110"/>
      <c r="Z489" s="110"/>
    </row>
    <row r="490" spans="2:26" s="108" customFormat="1">
      <c r="B490" s="97"/>
      <c r="C490" s="110"/>
      <c r="D490" s="109"/>
      <c r="E490" s="97"/>
      <c r="F490" s="97"/>
      <c r="G490" s="109"/>
      <c r="H490" s="109"/>
      <c r="I490" s="98"/>
      <c r="J490" s="98"/>
      <c r="K490" s="83"/>
      <c r="L490" s="110"/>
      <c r="M490" s="110"/>
      <c r="N490" s="110"/>
      <c r="O490" s="111"/>
      <c r="P490" s="111"/>
      <c r="Q490" s="111"/>
      <c r="R490" s="111"/>
      <c r="Y490" s="110"/>
      <c r="Z490" s="110"/>
    </row>
    <row r="491" spans="2:26" s="108" customFormat="1">
      <c r="B491" s="97"/>
      <c r="C491" s="110"/>
      <c r="D491" s="109"/>
      <c r="E491" s="97"/>
      <c r="F491" s="97"/>
      <c r="G491" s="109"/>
      <c r="H491" s="109"/>
      <c r="I491" s="98"/>
      <c r="J491" s="98"/>
      <c r="K491" s="83"/>
      <c r="L491" s="110"/>
      <c r="M491" s="110"/>
      <c r="N491" s="110"/>
      <c r="O491" s="111"/>
      <c r="P491" s="111"/>
      <c r="Q491" s="111"/>
      <c r="R491" s="111"/>
      <c r="Y491" s="110"/>
      <c r="Z491" s="110"/>
    </row>
    <row r="492" spans="2:26" s="108" customFormat="1">
      <c r="B492" s="97"/>
      <c r="C492" s="110"/>
      <c r="D492" s="109"/>
      <c r="E492" s="97"/>
      <c r="F492" s="97"/>
      <c r="G492" s="109"/>
      <c r="H492" s="109"/>
      <c r="I492" s="98"/>
      <c r="J492" s="98"/>
      <c r="K492" s="83"/>
      <c r="L492" s="110"/>
      <c r="M492" s="110"/>
      <c r="N492" s="110"/>
      <c r="O492" s="111"/>
      <c r="P492" s="111"/>
      <c r="Q492" s="111"/>
      <c r="R492" s="111"/>
      <c r="Y492" s="110"/>
      <c r="Z492" s="110"/>
    </row>
    <row r="493" spans="2:26" s="108" customFormat="1">
      <c r="B493" s="97"/>
      <c r="C493" s="110"/>
      <c r="D493" s="109"/>
      <c r="E493" s="97"/>
      <c r="F493" s="97"/>
      <c r="G493" s="109"/>
      <c r="H493" s="109"/>
      <c r="I493" s="98"/>
      <c r="J493" s="98"/>
      <c r="K493" s="83"/>
      <c r="L493" s="110"/>
      <c r="M493" s="110"/>
      <c r="N493" s="110"/>
      <c r="O493" s="111"/>
      <c r="P493" s="111"/>
      <c r="Q493" s="111"/>
      <c r="R493" s="111"/>
      <c r="Y493" s="110"/>
      <c r="Z493" s="110"/>
    </row>
    <row r="494" spans="2:26" s="108" customFormat="1">
      <c r="B494" s="97"/>
      <c r="C494" s="110"/>
      <c r="D494" s="109"/>
      <c r="E494" s="97"/>
      <c r="F494" s="97"/>
      <c r="G494" s="109"/>
      <c r="H494" s="109"/>
      <c r="I494" s="98"/>
      <c r="J494" s="98"/>
      <c r="K494" s="83"/>
      <c r="L494" s="110"/>
      <c r="M494" s="110"/>
      <c r="N494" s="110"/>
      <c r="O494" s="111"/>
      <c r="P494" s="111"/>
      <c r="Q494" s="111"/>
      <c r="R494" s="111"/>
      <c r="Y494" s="110"/>
      <c r="Z494" s="110"/>
    </row>
    <row r="495" spans="2:26" s="108" customFormat="1">
      <c r="B495" s="97"/>
      <c r="C495" s="110"/>
      <c r="D495" s="109"/>
      <c r="E495" s="97"/>
      <c r="F495" s="97"/>
      <c r="G495" s="109"/>
      <c r="H495" s="109"/>
      <c r="I495" s="98"/>
      <c r="J495" s="98"/>
      <c r="K495" s="83"/>
      <c r="L495" s="110"/>
      <c r="M495" s="110"/>
      <c r="N495" s="110"/>
      <c r="O495" s="111"/>
      <c r="P495" s="111"/>
      <c r="Q495" s="111"/>
      <c r="R495" s="111"/>
      <c r="Y495" s="110"/>
      <c r="Z495" s="110"/>
    </row>
    <row r="496" spans="2:26" s="108" customFormat="1">
      <c r="B496" s="97"/>
      <c r="C496" s="110"/>
      <c r="D496" s="109"/>
      <c r="E496" s="97"/>
      <c r="F496" s="97"/>
      <c r="G496" s="109"/>
      <c r="H496" s="109"/>
      <c r="I496" s="98"/>
      <c r="J496" s="98"/>
      <c r="K496" s="83"/>
      <c r="L496" s="110"/>
      <c r="M496" s="110"/>
      <c r="N496" s="110"/>
      <c r="O496" s="111"/>
      <c r="P496" s="111"/>
      <c r="Q496" s="111"/>
      <c r="R496" s="111"/>
      <c r="Y496" s="110"/>
      <c r="Z496" s="110"/>
    </row>
    <row r="497" spans="2:26" s="108" customFormat="1">
      <c r="B497" s="97"/>
      <c r="C497" s="110"/>
      <c r="D497" s="109"/>
      <c r="E497" s="97"/>
      <c r="F497" s="97"/>
      <c r="G497" s="109"/>
      <c r="H497" s="109"/>
      <c r="I497" s="98"/>
      <c r="J497" s="98"/>
      <c r="K497" s="83"/>
      <c r="L497" s="110"/>
      <c r="M497" s="110"/>
      <c r="N497" s="110"/>
      <c r="O497" s="111"/>
      <c r="P497" s="111"/>
      <c r="Q497" s="111"/>
      <c r="R497" s="111"/>
      <c r="Y497" s="110"/>
      <c r="Z497" s="110"/>
    </row>
    <row r="498" spans="2:26" s="108" customFormat="1">
      <c r="B498" s="97"/>
      <c r="C498" s="110"/>
      <c r="D498" s="109"/>
      <c r="E498" s="97"/>
      <c r="F498" s="97"/>
      <c r="G498" s="109"/>
      <c r="H498" s="109"/>
      <c r="I498" s="98"/>
      <c r="J498" s="98"/>
      <c r="K498" s="83"/>
      <c r="L498" s="110"/>
      <c r="M498" s="110"/>
      <c r="N498" s="110"/>
      <c r="O498" s="111"/>
      <c r="P498" s="111"/>
      <c r="Q498" s="111"/>
      <c r="R498" s="111"/>
      <c r="Y498" s="110"/>
      <c r="Z498" s="110"/>
    </row>
    <row r="499" spans="2:26" s="108" customFormat="1">
      <c r="B499" s="97"/>
      <c r="C499" s="110"/>
      <c r="D499" s="109"/>
      <c r="E499" s="97"/>
      <c r="F499" s="97"/>
      <c r="G499" s="109"/>
      <c r="H499" s="109"/>
      <c r="I499" s="98"/>
      <c r="J499" s="98"/>
      <c r="K499" s="83"/>
      <c r="L499" s="110"/>
      <c r="M499" s="110"/>
      <c r="N499" s="110"/>
      <c r="O499" s="111"/>
      <c r="P499" s="111"/>
      <c r="Q499" s="111"/>
      <c r="R499" s="111"/>
      <c r="Y499" s="110"/>
      <c r="Z499" s="110"/>
    </row>
    <row r="500" spans="2:26" s="108" customFormat="1">
      <c r="B500" s="97"/>
      <c r="C500" s="110"/>
      <c r="D500" s="109"/>
      <c r="E500" s="97"/>
      <c r="F500" s="97"/>
      <c r="G500" s="109"/>
      <c r="H500" s="109"/>
      <c r="I500" s="98"/>
      <c r="J500" s="98"/>
      <c r="K500" s="83"/>
      <c r="L500" s="110"/>
      <c r="M500" s="110"/>
      <c r="N500" s="110"/>
      <c r="O500" s="111"/>
      <c r="P500" s="111"/>
      <c r="Q500" s="111"/>
      <c r="R500" s="111"/>
      <c r="Y500" s="110"/>
      <c r="Z500" s="110"/>
    </row>
    <row r="501" spans="2:26" s="108" customFormat="1">
      <c r="B501" s="97"/>
      <c r="C501" s="110"/>
      <c r="D501" s="109"/>
      <c r="E501" s="97"/>
      <c r="F501" s="97"/>
      <c r="G501" s="109"/>
      <c r="H501" s="109"/>
      <c r="I501" s="98"/>
      <c r="J501" s="98"/>
      <c r="K501" s="83"/>
      <c r="L501" s="110"/>
      <c r="M501" s="110"/>
      <c r="N501" s="110"/>
      <c r="O501" s="111"/>
      <c r="P501" s="111"/>
      <c r="Q501" s="111"/>
      <c r="R501" s="111"/>
      <c r="Y501" s="110"/>
      <c r="Z501" s="110"/>
    </row>
    <row r="502" spans="2:26" s="108" customFormat="1">
      <c r="B502" s="97"/>
      <c r="C502" s="110"/>
      <c r="D502" s="109"/>
      <c r="E502" s="97"/>
      <c r="F502" s="97"/>
      <c r="G502" s="109"/>
      <c r="H502" s="109"/>
      <c r="I502" s="98"/>
      <c r="J502" s="98"/>
      <c r="K502" s="83"/>
      <c r="L502" s="110"/>
      <c r="M502" s="110"/>
      <c r="N502" s="110"/>
      <c r="O502" s="111"/>
      <c r="P502" s="111"/>
      <c r="Q502" s="111"/>
      <c r="R502" s="111"/>
      <c r="Y502" s="110"/>
      <c r="Z502" s="110"/>
    </row>
    <row r="503" spans="2:26" s="108" customFormat="1">
      <c r="B503" s="97"/>
      <c r="C503" s="110"/>
      <c r="D503" s="109"/>
      <c r="E503" s="97"/>
      <c r="F503" s="97"/>
      <c r="G503" s="109"/>
      <c r="H503" s="109"/>
      <c r="I503" s="97"/>
      <c r="J503" s="97"/>
      <c r="K503" s="83"/>
      <c r="L503" s="111"/>
      <c r="M503" s="111"/>
      <c r="N503" s="110"/>
      <c r="O503" s="111"/>
      <c r="P503" s="111"/>
      <c r="Q503" s="111"/>
      <c r="R503" s="111"/>
    </row>
    <row r="504" spans="2:26" s="108" customFormat="1">
      <c r="B504" s="97"/>
      <c r="C504" s="110"/>
      <c r="D504" s="109"/>
      <c r="E504" s="97"/>
      <c r="F504" s="97"/>
      <c r="G504" s="109"/>
      <c r="H504" s="109"/>
      <c r="I504" s="97"/>
      <c r="J504" s="97"/>
      <c r="K504" s="83"/>
      <c r="L504" s="111"/>
      <c r="M504" s="111"/>
      <c r="N504" s="111"/>
      <c r="O504" s="111"/>
      <c r="P504" s="111"/>
      <c r="Q504" s="111"/>
      <c r="R504" s="111"/>
    </row>
    <row r="505" spans="2:26" s="108" customFormat="1">
      <c r="B505" s="97"/>
      <c r="C505" s="110"/>
      <c r="D505" s="109"/>
      <c r="E505" s="97"/>
      <c r="F505" s="97"/>
      <c r="G505" s="109"/>
      <c r="H505" s="109"/>
      <c r="I505" s="97"/>
      <c r="J505" s="97"/>
      <c r="K505" s="83"/>
      <c r="L505" s="111"/>
      <c r="M505" s="111"/>
      <c r="N505" s="111"/>
      <c r="O505" s="111"/>
      <c r="P505" s="111"/>
      <c r="Q505" s="111"/>
      <c r="R505" s="111"/>
    </row>
    <row r="506" spans="2:26" s="108" customFormat="1">
      <c r="B506" s="97"/>
      <c r="C506" s="110"/>
      <c r="D506" s="109"/>
      <c r="E506" s="97"/>
      <c r="F506" s="97"/>
      <c r="G506" s="109"/>
      <c r="H506" s="109"/>
      <c r="I506" s="97"/>
      <c r="J506" s="97"/>
      <c r="K506" s="83"/>
      <c r="L506" s="111"/>
      <c r="M506" s="111"/>
      <c r="N506" s="111"/>
      <c r="O506" s="111"/>
      <c r="P506" s="111"/>
      <c r="Q506" s="111"/>
      <c r="R506" s="111"/>
    </row>
    <row r="507" spans="2:26" s="108" customFormat="1">
      <c r="B507" s="97"/>
      <c r="C507" s="110"/>
      <c r="D507" s="109"/>
      <c r="E507" s="97"/>
      <c r="F507" s="97"/>
      <c r="G507" s="109"/>
      <c r="H507" s="109"/>
      <c r="I507" s="97"/>
      <c r="J507" s="97"/>
      <c r="K507" s="83"/>
      <c r="L507" s="111"/>
      <c r="M507" s="111"/>
      <c r="N507" s="111"/>
      <c r="O507" s="111"/>
      <c r="P507" s="111"/>
      <c r="Q507" s="111"/>
      <c r="R507" s="111"/>
    </row>
    <row r="508" spans="2:26" s="108" customFormat="1">
      <c r="B508" s="97"/>
      <c r="C508" s="110"/>
      <c r="D508" s="109"/>
      <c r="E508" s="97"/>
      <c r="F508" s="97"/>
      <c r="G508" s="109"/>
      <c r="H508" s="109"/>
      <c r="I508" s="97"/>
      <c r="J508" s="97"/>
      <c r="K508" s="83"/>
      <c r="L508" s="111"/>
      <c r="M508" s="111"/>
      <c r="N508" s="111"/>
      <c r="O508" s="111"/>
      <c r="P508" s="111"/>
      <c r="Q508" s="111"/>
      <c r="R508" s="111"/>
    </row>
    <row r="509" spans="2:26" s="108" customFormat="1">
      <c r="B509" s="97"/>
      <c r="C509" s="110"/>
      <c r="D509" s="109"/>
      <c r="E509" s="97"/>
      <c r="F509" s="97"/>
      <c r="G509" s="109"/>
      <c r="H509" s="109"/>
      <c r="I509" s="97"/>
      <c r="J509" s="97"/>
      <c r="K509" s="83"/>
      <c r="L509" s="111"/>
      <c r="M509" s="111"/>
      <c r="N509" s="111"/>
      <c r="O509" s="111"/>
      <c r="P509" s="111"/>
      <c r="Q509" s="111"/>
      <c r="R509" s="111"/>
    </row>
    <row r="510" spans="2:26" s="108" customFormat="1">
      <c r="B510" s="97"/>
      <c r="C510" s="110"/>
      <c r="D510" s="109"/>
      <c r="E510" s="97"/>
      <c r="F510" s="97"/>
      <c r="G510" s="109"/>
      <c r="H510" s="109"/>
      <c r="I510" s="97"/>
      <c r="J510" s="97"/>
      <c r="K510" s="83"/>
      <c r="L510" s="111"/>
      <c r="M510" s="111"/>
      <c r="N510" s="111"/>
      <c r="O510" s="111"/>
      <c r="P510" s="111"/>
      <c r="Q510" s="111"/>
      <c r="R510" s="111"/>
    </row>
    <row r="511" spans="2:26" s="108" customFormat="1">
      <c r="B511" s="97"/>
      <c r="C511" s="110"/>
      <c r="D511" s="109"/>
      <c r="E511" s="97"/>
      <c r="F511" s="97"/>
      <c r="G511" s="109"/>
      <c r="H511" s="109"/>
      <c r="I511" s="97"/>
      <c r="J511" s="97"/>
      <c r="K511" s="83"/>
      <c r="L511" s="111"/>
      <c r="M511" s="111"/>
      <c r="N511" s="111"/>
      <c r="O511" s="111"/>
      <c r="P511" s="111"/>
      <c r="Q511" s="111"/>
      <c r="R511" s="111"/>
    </row>
    <row r="512" spans="2:26" s="108" customFormat="1">
      <c r="B512" s="97"/>
      <c r="C512" s="110"/>
      <c r="D512" s="109"/>
      <c r="E512" s="97"/>
      <c r="F512" s="97"/>
      <c r="G512" s="109"/>
      <c r="H512" s="109"/>
      <c r="I512" s="97"/>
      <c r="J512" s="97"/>
      <c r="K512" s="83"/>
      <c r="L512" s="111"/>
      <c r="M512" s="111"/>
      <c r="N512" s="111"/>
      <c r="O512" s="111"/>
      <c r="P512" s="111"/>
      <c r="Q512" s="111"/>
      <c r="R512" s="111"/>
    </row>
    <row r="513" spans="2:18" s="108" customFormat="1">
      <c r="B513" s="97"/>
      <c r="C513" s="110"/>
      <c r="D513" s="109"/>
      <c r="E513" s="97"/>
      <c r="F513" s="97"/>
      <c r="G513" s="109"/>
      <c r="H513" s="109"/>
      <c r="I513" s="97"/>
      <c r="J513" s="97"/>
      <c r="K513" s="83"/>
      <c r="L513" s="111"/>
      <c r="M513" s="111"/>
      <c r="N513" s="111"/>
      <c r="O513" s="111"/>
      <c r="P513" s="111"/>
      <c r="Q513" s="111"/>
      <c r="R513" s="111"/>
    </row>
    <row r="514" spans="2:18" s="108" customFormat="1">
      <c r="B514" s="97"/>
      <c r="C514" s="110"/>
      <c r="D514" s="109"/>
      <c r="E514" s="97"/>
      <c r="F514" s="97"/>
      <c r="G514" s="109"/>
      <c r="H514" s="109"/>
      <c r="I514" s="97"/>
      <c r="J514" s="97"/>
      <c r="K514" s="83"/>
      <c r="L514" s="111"/>
      <c r="M514" s="111"/>
      <c r="N514" s="111"/>
      <c r="O514" s="111"/>
      <c r="P514" s="111"/>
      <c r="Q514" s="111"/>
      <c r="R514" s="111"/>
    </row>
    <row r="515" spans="2:18" s="108" customFormat="1">
      <c r="B515" s="97"/>
      <c r="C515" s="110"/>
      <c r="D515" s="109"/>
      <c r="E515" s="97"/>
      <c r="F515" s="97"/>
      <c r="G515" s="109"/>
      <c r="H515" s="109"/>
      <c r="I515" s="97"/>
      <c r="J515" s="97"/>
      <c r="K515" s="83"/>
      <c r="L515" s="111"/>
      <c r="M515" s="111"/>
      <c r="N515" s="111"/>
      <c r="O515" s="111"/>
      <c r="P515" s="111"/>
      <c r="Q515" s="111"/>
      <c r="R515" s="111"/>
    </row>
    <row r="516" spans="2:18" s="108" customFormat="1">
      <c r="B516" s="97"/>
      <c r="C516" s="110"/>
      <c r="D516" s="109"/>
      <c r="E516" s="97"/>
      <c r="F516" s="97"/>
      <c r="G516" s="109"/>
      <c r="H516" s="109"/>
      <c r="I516" s="97"/>
      <c r="J516" s="97"/>
      <c r="K516" s="83"/>
      <c r="L516" s="111"/>
      <c r="M516" s="111"/>
      <c r="N516" s="111"/>
      <c r="O516" s="111"/>
      <c r="P516" s="111"/>
      <c r="Q516" s="111"/>
      <c r="R516" s="111"/>
    </row>
    <row r="517" spans="2:18" s="108" customFormat="1">
      <c r="B517" s="97"/>
      <c r="C517" s="110"/>
      <c r="D517" s="109"/>
      <c r="E517" s="97"/>
      <c r="F517" s="97"/>
      <c r="G517" s="109"/>
      <c r="H517" s="109"/>
      <c r="I517" s="97"/>
      <c r="J517" s="97"/>
      <c r="K517" s="83"/>
      <c r="L517" s="111"/>
      <c r="M517" s="111"/>
      <c r="N517" s="111"/>
      <c r="O517" s="111"/>
      <c r="P517" s="111"/>
      <c r="Q517" s="111"/>
      <c r="R517" s="111"/>
    </row>
    <row r="518" spans="2:18" s="108" customFormat="1">
      <c r="B518" s="97"/>
      <c r="C518" s="110"/>
      <c r="D518" s="109"/>
      <c r="E518" s="97"/>
      <c r="F518" s="97"/>
      <c r="G518" s="109"/>
      <c r="H518" s="109"/>
      <c r="I518" s="97"/>
      <c r="J518" s="97"/>
      <c r="K518" s="83"/>
      <c r="L518" s="111"/>
      <c r="M518" s="111"/>
      <c r="N518" s="111"/>
      <c r="O518" s="111"/>
      <c r="P518" s="111"/>
      <c r="Q518" s="111"/>
      <c r="R518" s="111"/>
    </row>
    <row r="519" spans="2:18" s="108" customFormat="1">
      <c r="B519" s="97"/>
      <c r="C519" s="110"/>
      <c r="D519" s="109"/>
      <c r="E519" s="97"/>
      <c r="F519" s="97"/>
      <c r="G519" s="109"/>
      <c r="H519" s="109"/>
      <c r="I519" s="97"/>
      <c r="J519" s="97"/>
      <c r="K519" s="83"/>
      <c r="L519" s="111"/>
      <c r="M519" s="111"/>
      <c r="N519" s="111"/>
      <c r="O519" s="111"/>
      <c r="P519" s="111"/>
      <c r="Q519" s="111"/>
      <c r="R519" s="111"/>
    </row>
    <row r="520" spans="2:18" s="108" customFormat="1">
      <c r="B520" s="97"/>
      <c r="C520" s="110"/>
      <c r="D520" s="109"/>
      <c r="E520" s="97"/>
      <c r="F520" s="97"/>
      <c r="G520" s="109"/>
      <c r="H520" s="109"/>
      <c r="I520" s="97"/>
      <c r="J520" s="97"/>
      <c r="K520" s="83"/>
      <c r="L520" s="111"/>
      <c r="M520" s="111"/>
      <c r="N520" s="111"/>
      <c r="O520" s="111"/>
      <c r="P520" s="111"/>
      <c r="Q520" s="111"/>
      <c r="R520" s="111"/>
    </row>
    <row r="521" spans="2:18" s="108" customFormat="1">
      <c r="B521" s="97"/>
      <c r="C521" s="110"/>
      <c r="D521" s="109"/>
      <c r="E521" s="97"/>
      <c r="F521" s="97"/>
      <c r="G521" s="109"/>
      <c r="H521" s="109"/>
      <c r="I521" s="97"/>
      <c r="J521" s="97"/>
      <c r="K521" s="83"/>
      <c r="L521" s="111"/>
      <c r="M521" s="111"/>
      <c r="N521" s="111"/>
      <c r="O521" s="111"/>
      <c r="P521" s="111"/>
      <c r="Q521" s="111"/>
      <c r="R521" s="111"/>
    </row>
    <row r="522" spans="2:18" s="108" customFormat="1">
      <c r="B522" s="97"/>
      <c r="C522" s="110"/>
      <c r="D522" s="109"/>
      <c r="E522" s="97"/>
      <c r="F522" s="97"/>
      <c r="G522" s="109"/>
      <c r="H522" s="109"/>
      <c r="I522" s="97"/>
      <c r="J522" s="97"/>
      <c r="K522" s="83"/>
      <c r="L522" s="111"/>
      <c r="M522" s="111"/>
      <c r="N522" s="111"/>
      <c r="O522" s="111"/>
      <c r="P522" s="111"/>
      <c r="Q522" s="111"/>
      <c r="R522" s="111"/>
    </row>
    <row r="523" spans="2:18" s="108" customFormat="1">
      <c r="B523" s="97"/>
      <c r="C523" s="110"/>
      <c r="D523" s="109"/>
      <c r="E523" s="97"/>
      <c r="F523" s="97"/>
      <c r="G523" s="109"/>
      <c r="H523" s="109"/>
      <c r="I523" s="97"/>
      <c r="J523" s="97"/>
      <c r="K523" s="83"/>
      <c r="L523" s="111"/>
      <c r="M523" s="111"/>
      <c r="N523" s="111"/>
      <c r="O523" s="111"/>
      <c r="P523" s="111"/>
      <c r="Q523" s="111"/>
      <c r="R523" s="111"/>
    </row>
    <row r="524" spans="2:18" s="108" customFormat="1">
      <c r="B524" s="97"/>
      <c r="C524" s="110"/>
      <c r="D524" s="109"/>
      <c r="E524" s="97"/>
      <c r="F524" s="97"/>
      <c r="G524" s="109"/>
      <c r="H524" s="109"/>
      <c r="I524" s="97"/>
      <c r="J524" s="97"/>
      <c r="K524" s="83"/>
      <c r="L524" s="111"/>
      <c r="M524" s="111"/>
      <c r="N524" s="111"/>
      <c r="O524" s="111"/>
      <c r="P524" s="111"/>
      <c r="Q524" s="111"/>
      <c r="R524" s="111"/>
    </row>
    <row r="525" spans="2:18" s="108" customFormat="1">
      <c r="B525" s="97"/>
      <c r="C525" s="110"/>
      <c r="D525" s="109"/>
      <c r="E525" s="97"/>
      <c r="F525" s="97"/>
      <c r="G525" s="109"/>
      <c r="H525" s="109"/>
      <c r="I525" s="97"/>
      <c r="J525" s="97"/>
      <c r="K525" s="83"/>
      <c r="L525" s="111"/>
      <c r="M525" s="111"/>
      <c r="N525" s="111"/>
      <c r="O525" s="111"/>
      <c r="P525" s="111"/>
      <c r="Q525" s="111"/>
      <c r="R525" s="111"/>
    </row>
    <row r="526" spans="2:18" s="108" customFormat="1">
      <c r="B526" s="97"/>
      <c r="C526" s="110"/>
      <c r="D526" s="109"/>
      <c r="E526" s="97"/>
      <c r="F526" s="97"/>
      <c r="G526" s="109"/>
      <c r="H526" s="109"/>
      <c r="I526" s="97"/>
      <c r="J526" s="97"/>
      <c r="K526" s="83"/>
      <c r="L526" s="111"/>
      <c r="M526" s="111"/>
      <c r="N526" s="111"/>
      <c r="O526" s="111"/>
      <c r="P526" s="111"/>
      <c r="Q526" s="111"/>
      <c r="R526" s="111"/>
    </row>
    <row r="527" spans="2:18" s="108" customFormat="1">
      <c r="B527" s="97"/>
      <c r="C527" s="110"/>
      <c r="D527" s="109"/>
      <c r="E527" s="97"/>
      <c r="F527" s="97"/>
      <c r="G527" s="109"/>
      <c r="H527" s="109"/>
      <c r="I527" s="97"/>
      <c r="J527" s="97"/>
      <c r="K527" s="83"/>
      <c r="L527" s="111"/>
      <c r="M527" s="111"/>
      <c r="N527" s="111"/>
      <c r="O527" s="111"/>
      <c r="P527" s="111"/>
      <c r="Q527" s="111"/>
      <c r="R527" s="111"/>
    </row>
    <row r="528" spans="2:18" s="108" customFormat="1">
      <c r="B528" s="97"/>
      <c r="C528" s="110"/>
      <c r="D528" s="109"/>
      <c r="E528" s="97"/>
      <c r="F528" s="97"/>
      <c r="G528" s="109"/>
      <c r="H528" s="109"/>
      <c r="I528" s="97"/>
      <c r="J528" s="97"/>
      <c r="K528" s="83"/>
      <c r="L528" s="111"/>
      <c r="M528" s="111"/>
      <c r="N528" s="111"/>
      <c r="O528" s="111"/>
      <c r="P528" s="111"/>
      <c r="Q528" s="111"/>
      <c r="R528" s="111"/>
    </row>
    <row r="529" spans="2:18" s="108" customFormat="1">
      <c r="B529" s="97"/>
      <c r="C529" s="110"/>
      <c r="D529" s="109"/>
      <c r="E529" s="97"/>
      <c r="F529" s="97"/>
      <c r="G529" s="109"/>
      <c r="H529" s="109"/>
      <c r="I529" s="97"/>
      <c r="J529" s="97"/>
      <c r="K529" s="83"/>
      <c r="L529" s="111"/>
      <c r="M529" s="111"/>
      <c r="N529" s="111"/>
      <c r="O529" s="111"/>
      <c r="P529" s="111"/>
      <c r="Q529" s="111"/>
      <c r="R529" s="111"/>
    </row>
    <row r="530" spans="2:18" s="108" customFormat="1">
      <c r="B530" s="97"/>
      <c r="C530" s="110"/>
      <c r="D530" s="109"/>
      <c r="E530" s="97"/>
      <c r="F530" s="97"/>
      <c r="G530" s="109"/>
      <c r="H530" s="109"/>
      <c r="I530" s="97"/>
      <c r="J530" s="97"/>
      <c r="K530" s="83"/>
      <c r="L530" s="111"/>
      <c r="M530" s="111"/>
      <c r="N530" s="111"/>
      <c r="O530" s="111"/>
      <c r="P530" s="111"/>
      <c r="Q530" s="111"/>
      <c r="R530" s="111"/>
    </row>
    <row r="531" spans="2:18" s="108" customFormat="1">
      <c r="B531" s="97"/>
      <c r="C531" s="110"/>
      <c r="D531" s="109"/>
      <c r="E531" s="97"/>
      <c r="F531" s="97"/>
      <c r="G531" s="109"/>
      <c r="H531" s="109"/>
      <c r="I531" s="97"/>
      <c r="J531" s="97"/>
      <c r="K531" s="83"/>
      <c r="L531" s="111"/>
      <c r="M531" s="111"/>
      <c r="N531" s="111"/>
      <c r="O531" s="111"/>
      <c r="P531" s="111"/>
      <c r="Q531" s="111"/>
      <c r="R531" s="111"/>
    </row>
    <row r="532" spans="2:18" s="108" customFormat="1">
      <c r="B532" s="97"/>
      <c r="C532" s="110"/>
      <c r="D532" s="109"/>
      <c r="E532" s="97"/>
      <c r="F532" s="97"/>
      <c r="G532" s="109"/>
      <c r="H532" s="109"/>
      <c r="I532" s="97"/>
      <c r="J532" s="97"/>
      <c r="K532" s="83"/>
      <c r="L532" s="111"/>
      <c r="M532" s="111"/>
      <c r="N532" s="111"/>
      <c r="O532" s="111"/>
      <c r="P532" s="111"/>
      <c r="Q532" s="111"/>
      <c r="R532" s="111"/>
    </row>
    <row r="533" spans="2:18" s="108" customFormat="1">
      <c r="B533" s="97"/>
      <c r="C533" s="110"/>
      <c r="D533" s="109"/>
      <c r="E533" s="97"/>
      <c r="F533" s="97"/>
      <c r="G533" s="109"/>
      <c r="H533" s="109"/>
      <c r="I533" s="97"/>
      <c r="J533" s="97"/>
      <c r="K533" s="83"/>
      <c r="L533" s="111"/>
      <c r="M533" s="111"/>
      <c r="N533" s="111"/>
      <c r="O533" s="111"/>
      <c r="P533" s="111"/>
      <c r="Q533" s="111"/>
      <c r="R533" s="111"/>
    </row>
    <row r="534" spans="2:18" s="108" customFormat="1">
      <c r="B534" s="97"/>
      <c r="C534" s="110"/>
      <c r="D534" s="109"/>
      <c r="E534" s="97"/>
      <c r="F534" s="97"/>
      <c r="G534" s="109"/>
      <c r="H534" s="109"/>
      <c r="I534" s="97"/>
      <c r="J534" s="97"/>
      <c r="K534" s="83"/>
      <c r="L534" s="111"/>
      <c r="M534" s="111"/>
      <c r="N534" s="111"/>
      <c r="O534" s="111"/>
      <c r="P534" s="111"/>
      <c r="Q534" s="111"/>
      <c r="R534" s="111"/>
    </row>
    <row r="535" spans="2:18" s="108" customFormat="1">
      <c r="B535" s="97"/>
      <c r="C535" s="110"/>
      <c r="D535" s="109"/>
      <c r="E535" s="97"/>
      <c r="F535" s="97"/>
      <c r="G535" s="109"/>
      <c r="H535" s="109"/>
      <c r="I535" s="97"/>
      <c r="J535" s="97"/>
      <c r="K535" s="83"/>
      <c r="L535" s="111"/>
      <c r="M535" s="111"/>
      <c r="N535" s="111"/>
      <c r="O535" s="111"/>
      <c r="P535" s="111"/>
      <c r="Q535" s="111"/>
      <c r="R535" s="111"/>
    </row>
    <row r="536" spans="2:18" s="108" customFormat="1">
      <c r="B536" s="97"/>
      <c r="C536" s="110"/>
      <c r="D536" s="109"/>
      <c r="E536" s="97"/>
      <c r="F536" s="97"/>
      <c r="G536" s="109"/>
      <c r="H536" s="109"/>
      <c r="I536" s="97"/>
      <c r="J536" s="97"/>
      <c r="K536" s="83"/>
      <c r="L536" s="111"/>
      <c r="M536" s="111"/>
      <c r="N536" s="111"/>
      <c r="O536" s="111"/>
      <c r="P536" s="111"/>
      <c r="Q536" s="111"/>
      <c r="R536" s="111"/>
    </row>
    <row r="537" spans="2:18" s="108" customFormat="1">
      <c r="B537" s="97"/>
      <c r="C537" s="110"/>
      <c r="D537" s="109"/>
      <c r="E537" s="97"/>
      <c r="F537" s="97"/>
      <c r="G537" s="109"/>
      <c r="H537" s="109"/>
      <c r="I537" s="97"/>
      <c r="J537" s="97"/>
      <c r="K537" s="83"/>
      <c r="L537" s="111"/>
      <c r="M537" s="111"/>
      <c r="N537" s="111"/>
      <c r="O537" s="111"/>
      <c r="P537" s="111"/>
      <c r="Q537" s="111"/>
      <c r="R537" s="111"/>
    </row>
    <row r="538" spans="2:18" s="108" customFormat="1">
      <c r="B538" s="97"/>
      <c r="C538" s="110"/>
      <c r="D538" s="109"/>
      <c r="E538" s="97"/>
      <c r="F538" s="97"/>
      <c r="G538" s="109"/>
      <c r="H538" s="109"/>
      <c r="I538" s="97"/>
      <c r="J538" s="97"/>
      <c r="K538" s="83"/>
      <c r="L538" s="111"/>
      <c r="M538" s="111"/>
      <c r="N538" s="111"/>
      <c r="O538" s="111"/>
      <c r="P538" s="111"/>
      <c r="Q538" s="111"/>
      <c r="R538" s="111"/>
    </row>
    <row r="539" spans="2:18" s="108" customFormat="1">
      <c r="B539" s="97"/>
      <c r="C539" s="110"/>
      <c r="D539" s="109"/>
      <c r="E539" s="97"/>
      <c r="F539" s="97"/>
      <c r="G539" s="109"/>
      <c r="H539" s="109"/>
      <c r="I539" s="97"/>
      <c r="J539" s="97"/>
      <c r="K539" s="83"/>
      <c r="L539" s="111"/>
      <c r="M539" s="111"/>
      <c r="N539" s="111"/>
      <c r="O539" s="111"/>
      <c r="P539" s="111"/>
      <c r="Q539" s="111"/>
      <c r="R539" s="111"/>
    </row>
    <row r="540" spans="2:18" s="108" customFormat="1">
      <c r="B540" s="97"/>
      <c r="C540" s="110"/>
      <c r="D540" s="109"/>
      <c r="E540" s="97"/>
      <c r="F540" s="97"/>
      <c r="G540" s="109"/>
      <c r="H540" s="109"/>
      <c r="I540" s="97"/>
      <c r="J540" s="97"/>
      <c r="K540" s="83"/>
      <c r="L540" s="111"/>
      <c r="M540" s="111"/>
      <c r="N540" s="111"/>
      <c r="O540" s="111"/>
      <c r="P540" s="111"/>
      <c r="Q540" s="111"/>
      <c r="R540" s="111"/>
    </row>
    <row r="541" spans="2:18" s="108" customFormat="1">
      <c r="B541" s="97"/>
      <c r="C541" s="110"/>
      <c r="D541" s="109"/>
      <c r="E541" s="97"/>
      <c r="F541" s="97"/>
      <c r="G541" s="109"/>
      <c r="H541" s="109"/>
      <c r="I541" s="97"/>
      <c r="J541" s="97"/>
      <c r="K541" s="83"/>
      <c r="L541" s="111"/>
      <c r="M541" s="111"/>
      <c r="N541" s="111"/>
      <c r="O541" s="111"/>
      <c r="P541" s="111"/>
      <c r="Q541" s="111"/>
      <c r="R541" s="111"/>
    </row>
    <row r="542" spans="2:18" s="108" customFormat="1">
      <c r="B542" s="97"/>
      <c r="C542" s="110"/>
      <c r="D542" s="109"/>
      <c r="E542" s="97"/>
      <c r="F542" s="97"/>
      <c r="G542" s="109"/>
      <c r="H542" s="109"/>
      <c r="I542" s="97"/>
      <c r="J542" s="97"/>
      <c r="K542" s="83"/>
      <c r="L542" s="111"/>
      <c r="M542" s="111"/>
      <c r="N542" s="111"/>
      <c r="O542" s="111"/>
      <c r="P542" s="111"/>
      <c r="Q542" s="111"/>
      <c r="R542" s="111"/>
    </row>
    <row r="543" spans="2:18" s="108" customFormat="1">
      <c r="B543" s="97"/>
      <c r="C543" s="110"/>
      <c r="D543" s="109"/>
      <c r="E543" s="97"/>
      <c r="F543" s="97"/>
      <c r="G543" s="109"/>
      <c r="H543" s="109"/>
      <c r="I543" s="97"/>
      <c r="J543" s="97"/>
      <c r="K543" s="83"/>
      <c r="L543" s="111"/>
      <c r="M543" s="111"/>
      <c r="N543" s="111"/>
      <c r="O543" s="111"/>
      <c r="P543" s="111"/>
      <c r="Q543" s="111"/>
      <c r="R543" s="111"/>
    </row>
    <row r="544" spans="2:18" s="108" customFormat="1">
      <c r="B544" s="97"/>
      <c r="C544" s="110"/>
      <c r="D544" s="109"/>
      <c r="E544" s="97"/>
      <c r="F544" s="97"/>
      <c r="G544" s="109"/>
      <c r="H544" s="109"/>
      <c r="I544" s="97"/>
      <c r="J544" s="97"/>
      <c r="K544" s="83"/>
      <c r="L544" s="111"/>
      <c r="M544" s="111"/>
      <c r="N544" s="111"/>
      <c r="O544" s="111"/>
      <c r="P544" s="111"/>
      <c r="Q544" s="111"/>
      <c r="R544" s="111"/>
    </row>
    <row r="545" spans="2:18" s="108" customFormat="1">
      <c r="B545" s="97"/>
      <c r="C545" s="110"/>
      <c r="D545" s="109"/>
      <c r="E545" s="97"/>
      <c r="F545" s="97"/>
      <c r="G545" s="109"/>
      <c r="H545" s="109"/>
      <c r="I545" s="97"/>
      <c r="J545" s="97"/>
      <c r="K545" s="83"/>
      <c r="L545" s="111"/>
      <c r="M545" s="111"/>
      <c r="N545" s="111"/>
      <c r="O545" s="111"/>
      <c r="P545" s="111"/>
      <c r="Q545" s="111"/>
      <c r="R545" s="111"/>
    </row>
    <row r="546" spans="2:18" s="108" customFormat="1">
      <c r="B546" s="97"/>
      <c r="C546" s="110"/>
      <c r="D546" s="109"/>
      <c r="E546" s="97"/>
      <c r="F546" s="97"/>
      <c r="G546" s="109"/>
      <c r="H546" s="109"/>
      <c r="I546" s="97"/>
      <c r="J546" s="97"/>
      <c r="K546" s="83"/>
      <c r="L546" s="111"/>
      <c r="M546" s="111"/>
      <c r="N546" s="111"/>
      <c r="O546" s="111"/>
      <c r="P546" s="111"/>
      <c r="Q546" s="111"/>
      <c r="R546" s="111"/>
    </row>
    <row r="547" spans="2:18" s="108" customFormat="1">
      <c r="B547" s="97"/>
      <c r="C547" s="110"/>
      <c r="D547" s="109"/>
      <c r="E547" s="97"/>
      <c r="F547" s="97"/>
      <c r="G547" s="109"/>
      <c r="H547" s="109"/>
      <c r="I547" s="97"/>
      <c r="J547" s="97"/>
      <c r="K547" s="83"/>
      <c r="L547" s="111"/>
      <c r="M547" s="111"/>
      <c r="N547" s="111"/>
      <c r="O547" s="111"/>
      <c r="P547" s="111"/>
      <c r="Q547" s="111"/>
      <c r="R547" s="111"/>
    </row>
    <row r="548" spans="2:18" s="108" customFormat="1">
      <c r="B548" s="97"/>
      <c r="C548" s="110"/>
      <c r="D548" s="109"/>
      <c r="E548" s="97"/>
      <c r="F548" s="97"/>
      <c r="G548" s="109"/>
      <c r="H548" s="109"/>
      <c r="I548" s="97"/>
      <c r="J548" s="97"/>
      <c r="K548" s="83"/>
      <c r="L548" s="111"/>
      <c r="M548" s="111"/>
      <c r="N548" s="111"/>
      <c r="O548" s="111"/>
      <c r="P548" s="111"/>
      <c r="Q548" s="111"/>
      <c r="R548" s="111"/>
    </row>
    <row r="549" spans="2:18" s="108" customFormat="1">
      <c r="B549" s="97"/>
      <c r="C549" s="110"/>
      <c r="D549" s="109"/>
      <c r="E549" s="97"/>
      <c r="F549" s="97"/>
      <c r="G549" s="109"/>
      <c r="H549" s="109"/>
      <c r="I549" s="97"/>
      <c r="J549" s="97"/>
      <c r="K549" s="83"/>
      <c r="L549" s="111"/>
      <c r="M549" s="111"/>
      <c r="N549" s="111"/>
      <c r="O549" s="111"/>
      <c r="P549" s="111"/>
      <c r="Q549" s="111"/>
      <c r="R549" s="111"/>
    </row>
    <row r="550" spans="2:18" s="108" customFormat="1">
      <c r="B550" s="97"/>
      <c r="C550" s="110"/>
      <c r="D550" s="109"/>
      <c r="E550" s="97"/>
      <c r="F550" s="97"/>
      <c r="G550" s="109"/>
      <c r="H550" s="109"/>
      <c r="I550" s="97"/>
      <c r="J550" s="97"/>
      <c r="K550" s="83"/>
      <c r="L550" s="111"/>
      <c r="M550" s="111"/>
      <c r="N550" s="111"/>
      <c r="O550" s="111"/>
      <c r="P550" s="111"/>
      <c r="Q550" s="111"/>
      <c r="R550" s="111"/>
    </row>
    <row r="551" spans="2:18" s="108" customFormat="1">
      <c r="B551" s="97"/>
      <c r="C551" s="110"/>
      <c r="D551" s="109"/>
      <c r="E551" s="97"/>
      <c r="F551" s="97"/>
      <c r="G551" s="109"/>
      <c r="H551" s="109"/>
      <c r="I551" s="97"/>
      <c r="J551" s="97"/>
      <c r="K551" s="83"/>
      <c r="L551" s="111"/>
      <c r="M551" s="111"/>
      <c r="N551" s="111"/>
      <c r="O551" s="111"/>
      <c r="P551" s="111"/>
      <c r="Q551" s="111"/>
      <c r="R551" s="111"/>
    </row>
    <row r="552" spans="2:18" s="108" customFormat="1">
      <c r="B552" s="97"/>
      <c r="C552" s="110"/>
      <c r="D552" s="109"/>
      <c r="E552" s="97"/>
      <c r="F552" s="97"/>
      <c r="G552" s="109"/>
      <c r="H552" s="109"/>
      <c r="I552" s="97"/>
      <c r="J552" s="97"/>
      <c r="K552" s="83"/>
      <c r="L552" s="111"/>
      <c r="M552" s="111"/>
      <c r="N552" s="111"/>
      <c r="O552" s="111"/>
      <c r="P552" s="111"/>
      <c r="Q552" s="111"/>
      <c r="R552" s="111"/>
    </row>
    <row r="553" spans="2:18" s="108" customFormat="1">
      <c r="B553" s="97"/>
      <c r="C553" s="110"/>
      <c r="D553" s="109"/>
      <c r="E553" s="97"/>
      <c r="F553" s="97"/>
      <c r="G553" s="109"/>
      <c r="H553" s="109"/>
      <c r="I553" s="97"/>
      <c r="J553" s="97"/>
      <c r="K553" s="83"/>
      <c r="L553" s="111"/>
      <c r="M553" s="111"/>
      <c r="N553" s="111"/>
      <c r="O553" s="111"/>
      <c r="P553" s="111"/>
      <c r="Q553" s="111"/>
      <c r="R553" s="111"/>
    </row>
    <row r="554" spans="2:18" s="108" customFormat="1">
      <c r="B554" s="97"/>
      <c r="C554" s="110"/>
      <c r="D554" s="109"/>
      <c r="E554" s="97"/>
      <c r="F554" s="97"/>
      <c r="G554" s="109"/>
      <c r="H554" s="109"/>
      <c r="I554" s="97"/>
      <c r="J554" s="97"/>
      <c r="K554" s="83"/>
      <c r="L554" s="111"/>
      <c r="M554" s="111"/>
      <c r="N554" s="111"/>
      <c r="O554" s="111"/>
      <c r="P554" s="111"/>
      <c r="Q554" s="111"/>
      <c r="R554" s="111"/>
    </row>
    <row r="555" spans="2:18" s="108" customFormat="1">
      <c r="B555" s="97"/>
      <c r="C555" s="110"/>
      <c r="D555" s="109"/>
      <c r="E555" s="97"/>
      <c r="F555" s="97"/>
      <c r="G555" s="109"/>
      <c r="H555" s="109"/>
      <c r="I555" s="97"/>
      <c r="J555" s="97"/>
      <c r="K555" s="83"/>
      <c r="L555" s="111"/>
      <c r="M555" s="111"/>
      <c r="N555" s="111"/>
      <c r="O555" s="111"/>
      <c r="P555" s="111"/>
      <c r="Q555" s="111"/>
      <c r="R555" s="111"/>
    </row>
    <row r="556" spans="2:18" s="108" customFormat="1">
      <c r="B556" s="97"/>
      <c r="C556" s="110"/>
      <c r="D556" s="109"/>
      <c r="E556" s="97"/>
      <c r="F556" s="97"/>
      <c r="G556" s="109"/>
      <c r="H556" s="109"/>
      <c r="I556" s="97"/>
      <c r="J556" s="97"/>
      <c r="K556" s="83"/>
      <c r="L556" s="111"/>
      <c r="M556" s="111"/>
      <c r="N556" s="111"/>
      <c r="O556" s="111"/>
      <c r="P556" s="111"/>
      <c r="Q556" s="111"/>
      <c r="R556" s="111"/>
    </row>
    <row r="557" spans="2:18" s="108" customFormat="1">
      <c r="B557" s="97"/>
      <c r="C557" s="110"/>
      <c r="D557" s="109"/>
      <c r="E557" s="97"/>
      <c r="F557" s="97"/>
      <c r="G557" s="109"/>
      <c r="H557" s="109"/>
      <c r="I557" s="97"/>
      <c r="J557" s="97"/>
      <c r="K557" s="83"/>
      <c r="L557" s="111"/>
      <c r="M557" s="111"/>
      <c r="N557" s="111"/>
      <c r="O557" s="111"/>
      <c r="P557" s="111"/>
      <c r="Q557" s="111"/>
      <c r="R557" s="111"/>
    </row>
    <row r="558" spans="2:18" s="108" customFormat="1">
      <c r="B558" s="97"/>
      <c r="C558" s="110"/>
      <c r="D558" s="109"/>
      <c r="E558" s="97"/>
      <c r="F558" s="97"/>
      <c r="G558" s="109"/>
      <c r="H558" s="109"/>
      <c r="I558" s="97"/>
      <c r="J558" s="97"/>
      <c r="K558" s="83"/>
      <c r="L558" s="111"/>
      <c r="M558" s="111"/>
      <c r="N558" s="111"/>
      <c r="O558" s="111"/>
      <c r="P558" s="111"/>
      <c r="Q558" s="111"/>
      <c r="R558" s="111"/>
    </row>
    <row r="559" spans="2:18" s="108" customFormat="1">
      <c r="B559" s="97"/>
      <c r="C559" s="110"/>
      <c r="D559" s="109"/>
      <c r="E559" s="97"/>
      <c r="F559" s="97"/>
      <c r="G559" s="109"/>
      <c r="H559" s="109"/>
      <c r="I559" s="97"/>
      <c r="J559" s="97"/>
      <c r="K559" s="83"/>
      <c r="L559" s="111"/>
      <c r="M559" s="111"/>
      <c r="N559" s="111"/>
      <c r="O559" s="111"/>
      <c r="P559" s="111"/>
      <c r="Q559" s="111"/>
      <c r="R559" s="111"/>
    </row>
    <row r="560" spans="2:18" s="108" customFormat="1">
      <c r="B560" s="97"/>
      <c r="C560" s="110"/>
      <c r="D560" s="109"/>
      <c r="E560" s="97"/>
      <c r="F560" s="97"/>
      <c r="G560" s="109"/>
      <c r="H560" s="109"/>
      <c r="I560" s="97"/>
      <c r="J560" s="97"/>
      <c r="K560" s="83"/>
      <c r="L560" s="111"/>
      <c r="M560" s="111"/>
      <c r="N560" s="111"/>
      <c r="O560" s="111"/>
      <c r="P560" s="111"/>
      <c r="Q560" s="111"/>
      <c r="R560" s="111"/>
    </row>
    <row r="561" spans="2:18" s="108" customFormat="1">
      <c r="B561" s="97"/>
      <c r="C561" s="110"/>
      <c r="D561" s="109"/>
      <c r="E561" s="97"/>
      <c r="F561" s="97"/>
      <c r="G561" s="109"/>
      <c r="H561" s="109"/>
      <c r="I561" s="97"/>
      <c r="J561" s="97"/>
      <c r="K561" s="83"/>
      <c r="L561" s="111"/>
      <c r="M561" s="111"/>
      <c r="N561" s="111"/>
      <c r="O561" s="111"/>
      <c r="P561" s="111"/>
      <c r="Q561" s="111"/>
      <c r="R561" s="111"/>
    </row>
    <row r="562" spans="2:18" s="108" customFormat="1">
      <c r="B562" s="97"/>
      <c r="C562" s="110"/>
      <c r="D562" s="109"/>
      <c r="E562" s="97"/>
      <c r="F562" s="97"/>
      <c r="G562" s="109"/>
      <c r="H562" s="109"/>
      <c r="I562" s="97"/>
      <c r="J562" s="97"/>
      <c r="K562" s="83"/>
      <c r="L562" s="111"/>
      <c r="M562" s="111"/>
      <c r="N562" s="111"/>
      <c r="O562" s="111"/>
      <c r="P562" s="111"/>
      <c r="Q562" s="111"/>
      <c r="R562" s="111"/>
    </row>
    <row r="563" spans="2:18" s="108" customFormat="1">
      <c r="B563" s="97"/>
      <c r="C563" s="110"/>
      <c r="D563" s="109"/>
      <c r="E563" s="97"/>
      <c r="F563" s="97"/>
      <c r="G563" s="109"/>
      <c r="H563" s="109"/>
      <c r="I563" s="97"/>
      <c r="J563" s="97"/>
      <c r="K563" s="83"/>
      <c r="L563" s="111"/>
      <c r="M563" s="111"/>
      <c r="N563" s="111"/>
      <c r="O563" s="111"/>
      <c r="P563" s="111"/>
      <c r="Q563" s="111"/>
      <c r="R563" s="111"/>
    </row>
    <row r="564" spans="2:18" s="108" customFormat="1">
      <c r="B564" s="97"/>
      <c r="C564" s="110"/>
      <c r="D564" s="109"/>
      <c r="E564" s="97"/>
      <c r="F564" s="97"/>
      <c r="G564" s="109"/>
      <c r="H564" s="109"/>
      <c r="I564" s="97"/>
      <c r="J564" s="97"/>
      <c r="K564" s="83"/>
      <c r="L564" s="111"/>
      <c r="M564" s="111"/>
      <c r="N564" s="111"/>
      <c r="O564" s="111"/>
      <c r="P564" s="111"/>
      <c r="Q564" s="111"/>
      <c r="R564" s="111"/>
    </row>
    <row r="565" spans="2:18" s="108" customFormat="1">
      <c r="B565" s="97"/>
      <c r="C565" s="110"/>
      <c r="D565" s="109"/>
      <c r="E565" s="97"/>
      <c r="F565" s="97"/>
      <c r="G565" s="109"/>
      <c r="H565" s="109"/>
      <c r="I565" s="97"/>
      <c r="J565" s="97"/>
      <c r="K565" s="83"/>
      <c r="L565" s="111"/>
      <c r="M565" s="111"/>
      <c r="N565" s="111"/>
      <c r="O565" s="111"/>
      <c r="P565" s="111"/>
      <c r="Q565" s="111"/>
      <c r="R565" s="111"/>
    </row>
    <row r="566" spans="2:18" s="108" customFormat="1">
      <c r="B566" s="97"/>
      <c r="C566" s="110"/>
      <c r="D566" s="109"/>
      <c r="E566" s="97"/>
      <c r="F566" s="97"/>
      <c r="G566" s="109"/>
      <c r="H566" s="109"/>
      <c r="I566" s="97"/>
      <c r="J566" s="97"/>
      <c r="K566" s="83"/>
      <c r="L566" s="111"/>
      <c r="M566" s="111"/>
      <c r="N566" s="111"/>
      <c r="O566" s="111"/>
      <c r="P566" s="111"/>
      <c r="Q566" s="111"/>
      <c r="R566" s="111"/>
    </row>
    <row r="567" spans="2:18" s="108" customFormat="1">
      <c r="B567" s="97"/>
      <c r="C567" s="110"/>
      <c r="D567" s="109"/>
      <c r="E567" s="97"/>
      <c r="F567" s="97"/>
      <c r="G567" s="109"/>
      <c r="H567" s="109"/>
      <c r="I567" s="97"/>
      <c r="J567" s="97"/>
      <c r="K567" s="83"/>
      <c r="L567" s="111"/>
      <c r="M567" s="111"/>
      <c r="N567" s="111"/>
      <c r="O567" s="111"/>
      <c r="P567" s="111"/>
      <c r="Q567" s="111"/>
      <c r="R567" s="111"/>
    </row>
    <row r="568" spans="2:18" s="108" customFormat="1">
      <c r="B568" s="97"/>
      <c r="C568" s="110"/>
      <c r="D568" s="109"/>
      <c r="E568" s="97"/>
      <c r="F568" s="97"/>
      <c r="G568" s="109"/>
      <c r="H568" s="109"/>
      <c r="I568" s="97"/>
      <c r="J568" s="97"/>
      <c r="K568" s="83"/>
      <c r="L568" s="111"/>
      <c r="M568" s="111"/>
      <c r="N568" s="111"/>
      <c r="O568" s="111"/>
      <c r="P568" s="111"/>
      <c r="Q568" s="111"/>
      <c r="R568" s="111"/>
    </row>
    <row r="569" spans="2:18" s="108" customFormat="1">
      <c r="B569" s="97"/>
      <c r="C569" s="110"/>
      <c r="D569" s="109"/>
      <c r="E569" s="97"/>
      <c r="F569" s="97"/>
      <c r="G569" s="109"/>
      <c r="H569" s="109"/>
      <c r="I569" s="97"/>
      <c r="J569" s="97"/>
      <c r="K569" s="83"/>
      <c r="L569" s="111"/>
      <c r="M569" s="111"/>
      <c r="N569" s="111"/>
      <c r="O569" s="111"/>
      <c r="P569" s="111"/>
      <c r="Q569" s="111"/>
      <c r="R569" s="111"/>
    </row>
    <row r="570" spans="2:18" s="108" customFormat="1">
      <c r="B570" s="97"/>
      <c r="C570" s="110"/>
      <c r="D570" s="109"/>
      <c r="E570" s="97"/>
      <c r="F570" s="97"/>
      <c r="G570" s="109"/>
      <c r="H570" s="109"/>
      <c r="I570" s="97"/>
      <c r="J570" s="97"/>
      <c r="K570" s="83"/>
      <c r="L570" s="111"/>
      <c r="M570" s="111"/>
      <c r="N570" s="111"/>
      <c r="O570" s="111"/>
      <c r="P570" s="111"/>
      <c r="Q570" s="111"/>
      <c r="R570" s="111"/>
    </row>
    <row r="571" spans="2:18" s="108" customFormat="1">
      <c r="B571" s="97"/>
      <c r="C571" s="110"/>
      <c r="D571" s="109"/>
      <c r="E571" s="97"/>
      <c r="F571" s="97"/>
      <c r="G571" s="109"/>
      <c r="H571" s="109"/>
      <c r="I571" s="97"/>
      <c r="J571" s="97"/>
      <c r="K571" s="83"/>
      <c r="L571" s="111"/>
      <c r="M571" s="111"/>
      <c r="N571" s="111"/>
      <c r="O571" s="111"/>
      <c r="P571" s="111"/>
      <c r="Q571" s="111"/>
      <c r="R571" s="111"/>
    </row>
    <row r="572" spans="2:18" s="108" customFormat="1">
      <c r="B572" s="97"/>
      <c r="C572" s="110"/>
      <c r="D572" s="109"/>
      <c r="E572" s="97"/>
      <c r="F572" s="97"/>
      <c r="G572" s="109"/>
      <c r="H572" s="109"/>
      <c r="I572" s="97"/>
      <c r="J572" s="97"/>
      <c r="K572" s="83"/>
      <c r="L572" s="111"/>
      <c r="M572" s="111"/>
      <c r="N572" s="111"/>
      <c r="O572" s="111"/>
      <c r="P572" s="111"/>
      <c r="Q572" s="111"/>
      <c r="R572" s="111"/>
    </row>
    <row r="573" spans="2:18" s="108" customFormat="1">
      <c r="B573" s="97"/>
      <c r="C573" s="110"/>
      <c r="D573" s="109"/>
      <c r="E573" s="97"/>
      <c r="F573" s="97"/>
      <c r="G573" s="109"/>
      <c r="H573" s="109"/>
      <c r="I573" s="97"/>
      <c r="J573" s="97"/>
      <c r="K573" s="83"/>
      <c r="L573" s="111"/>
      <c r="M573" s="111"/>
      <c r="N573" s="111"/>
      <c r="O573" s="111"/>
      <c r="P573" s="111"/>
      <c r="Q573" s="111"/>
      <c r="R573" s="111"/>
    </row>
    <row r="574" spans="2:18" s="108" customFormat="1">
      <c r="B574" s="97"/>
      <c r="C574" s="110"/>
      <c r="D574" s="109"/>
      <c r="E574" s="97"/>
      <c r="F574" s="97"/>
      <c r="G574" s="109"/>
      <c r="H574" s="109"/>
      <c r="I574" s="97"/>
      <c r="J574" s="97"/>
      <c r="K574" s="83"/>
      <c r="L574" s="111"/>
      <c r="M574" s="111"/>
      <c r="N574" s="111"/>
      <c r="O574" s="111"/>
      <c r="P574" s="111"/>
      <c r="Q574" s="111"/>
      <c r="R574" s="111"/>
    </row>
    <row r="575" spans="2:18" s="108" customFormat="1">
      <c r="B575" s="97"/>
      <c r="C575" s="110"/>
      <c r="D575" s="109"/>
      <c r="E575" s="97"/>
      <c r="F575" s="97"/>
      <c r="G575" s="109"/>
      <c r="H575" s="109"/>
      <c r="I575" s="97"/>
      <c r="J575" s="97"/>
      <c r="K575" s="83"/>
      <c r="L575" s="111"/>
      <c r="M575" s="111"/>
      <c r="N575" s="111"/>
      <c r="O575" s="111"/>
      <c r="P575" s="111"/>
      <c r="Q575" s="111"/>
      <c r="R575" s="111"/>
    </row>
    <row r="576" spans="2:18" s="108" customFormat="1">
      <c r="B576" s="97"/>
      <c r="C576" s="110"/>
      <c r="D576" s="109"/>
      <c r="E576" s="97"/>
      <c r="F576" s="97"/>
      <c r="G576" s="109"/>
      <c r="H576" s="109"/>
      <c r="I576" s="97"/>
      <c r="J576" s="97"/>
      <c r="K576" s="83"/>
      <c r="L576" s="111"/>
      <c r="M576" s="111"/>
      <c r="N576" s="111"/>
      <c r="O576" s="111"/>
      <c r="P576" s="111"/>
      <c r="Q576" s="111"/>
      <c r="R576" s="111"/>
    </row>
    <row r="577" spans="2:18" s="108" customFormat="1">
      <c r="B577" s="97"/>
      <c r="C577" s="110"/>
      <c r="D577" s="109"/>
      <c r="E577" s="97"/>
      <c r="F577" s="97"/>
      <c r="G577" s="109"/>
      <c r="H577" s="109"/>
      <c r="I577" s="97"/>
      <c r="J577" s="97"/>
      <c r="K577" s="83"/>
      <c r="L577" s="111"/>
      <c r="M577" s="111"/>
      <c r="N577" s="111"/>
      <c r="O577" s="111"/>
      <c r="P577" s="111"/>
      <c r="Q577" s="111"/>
      <c r="R577" s="111"/>
    </row>
    <row r="578" spans="2:18" s="108" customFormat="1">
      <c r="B578" s="97"/>
      <c r="C578" s="110"/>
      <c r="D578" s="109"/>
      <c r="E578" s="97"/>
      <c r="F578" s="97"/>
      <c r="G578" s="109"/>
      <c r="H578" s="109"/>
      <c r="I578" s="97"/>
      <c r="J578" s="97"/>
      <c r="K578" s="83"/>
      <c r="L578" s="111"/>
      <c r="M578" s="111"/>
      <c r="N578" s="111"/>
      <c r="O578" s="111"/>
      <c r="P578" s="111"/>
      <c r="Q578" s="111"/>
      <c r="R578" s="111"/>
    </row>
    <row r="579" spans="2:18" s="108" customFormat="1">
      <c r="B579" s="97"/>
      <c r="C579" s="110"/>
      <c r="D579" s="109"/>
      <c r="E579" s="97"/>
      <c r="F579" s="97"/>
      <c r="G579" s="109"/>
      <c r="H579" s="109"/>
      <c r="I579" s="97"/>
      <c r="J579" s="97"/>
      <c r="K579" s="83"/>
      <c r="L579" s="111"/>
      <c r="M579" s="111"/>
      <c r="N579" s="111"/>
      <c r="O579" s="111"/>
      <c r="P579" s="111"/>
      <c r="Q579" s="111"/>
      <c r="R579" s="111"/>
    </row>
    <row r="580" spans="2:18" s="108" customFormat="1">
      <c r="B580" s="97"/>
      <c r="C580" s="110"/>
      <c r="D580" s="109"/>
      <c r="E580" s="97"/>
      <c r="F580" s="97"/>
      <c r="G580" s="109"/>
      <c r="H580" s="109"/>
      <c r="I580" s="97"/>
      <c r="J580" s="97"/>
      <c r="K580" s="83"/>
      <c r="L580" s="111"/>
      <c r="M580" s="111"/>
      <c r="N580" s="111"/>
      <c r="O580" s="111"/>
      <c r="P580" s="111"/>
      <c r="Q580" s="111"/>
      <c r="R580" s="111"/>
    </row>
    <row r="581" spans="2:18" s="108" customFormat="1">
      <c r="B581" s="97"/>
      <c r="C581" s="110"/>
      <c r="D581" s="109"/>
      <c r="E581" s="97"/>
      <c r="F581" s="97"/>
      <c r="G581" s="109"/>
      <c r="H581" s="109"/>
      <c r="I581" s="97"/>
      <c r="J581" s="97"/>
      <c r="K581" s="83"/>
      <c r="L581" s="111"/>
      <c r="M581" s="111"/>
      <c r="N581" s="111"/>
      <c r="O581" s="111"/>
      <c r="P581" s="111"/>
      <c r="Q581" s="111"/>
      <c r="R581" s="111"/>
    </row>
    <row r="582" spans="2:18" s="108" customFormat="1">
      <c r="B582" s="97"/>
      <c r="C582" s="110"/>
      <c r="D582" s="109"/>
      <c r="E582" s="97"/>
      <c r="F582" s="97"/>
      <c r="G582" s="109"/>
      <c r="H582" s="109"/>
      <c r="I582" s="97"/>
      <c r="J582" s="97"/>
      <c r="K582" s="83"/>
      <c r="L582" s="111"/>
      <c r="M582" s="111"/>
      <c r="N582" s="111"/>
      <c r="O582" s="111"/>
      <c r="P582" s="111"/>
      <c r="Q582" s="111"/>
      <c r="R582" s="111"/>
    </row>
    <row r="583" spans="2:18" s="108" customFormat="1">
      <c r="B583" s="97"/>
      <c r="C583" s="110"/>
      <c r="D583" s="109"/>
      <c r="E583" s="97"/>
      <c r="F583" s="97"/>
      <c r="G583" s="109"/>
      <c r="H583" s="109"/>
      <c r="I583" s="97"/>
      <c r="J583" s="97"/>
      <c r="K583" s="83"/>
      <c r="L583" s="111"/>
      <c r="M583" s="111"/>
      <c r="N583" s="111"/>
      <c r="O583" s="111"/>
      <c r="P583" s="111"/>
      <c r="Q583" s="111"/>
      <c r="R583" s="111"/>
    </row>
    <row r="584" spans="2:18" s="108" customFormat="1">
      <c r="B584" s="97"/>
      <c r="C584" s="110"/>
      <c r="D584" s="109"/>
      <c r="E584" s="97"/>
      <c r="F584" s="97"/>
      <c r="G584" s="109"/>
      <c r="H584" s="109"/>
      <c r="I584" s="97"/>
      <c r="J584" s="97"/>
      <c r="K584" s="83"/>
      <c r="L584" s="111"/>
      <c r="M584" s="111"/>
      <c r="N584" s="111"/>
      <c r="O584" s="111"/>
      <c r="P584" s="111"/>
      <c r="Q584" s="111"/>
      <c r="R584" s="111"/>
    </row>
    <row r="585" spans="2:18" s="108" customFormat="1">
      <c r="B585" s="97"/>
      <c r="C585" s="110"/>
      <c r="D585" s="109"/>
      <c r="E585" s="97"/>
      <c r="F585" s="97"/>
      <c r="G585" s="109"/>
      <c r="H585" s="109"/>
      <c r="I585" s="97"/>
      <c r="J585" s="97"/>
      <c r="K585" s="83"/>
      <c r="L585" s="111"/>
      <c r="M585" s="111"/>
      <c r="N585" s="111"/>
      <c r="O585" s="111"/>
      <c r="P585" s="111"/>
      <c r="Q585" s="111"/>
      <c r="R585" s="111"/>
    </row>
    <row r="586" spans="2:18" s="108" customFormat="1">
      <c r="B586" s="97"/>
      <c r="C586" s="110"/>
      <c r="D586" s="109"/>
      <c r="E586" s="97"/>
      <c r="F586" s="97"/>
      <c r="G586" s="109"/>
      <c r="H586" s="109"/>
      <c r="I586" s="97"/>
      <c r="J586" s="97"/>
      <c r="K586" s="83"/>
      <c r="L586" s="111"/>
      <c r="M586" s="111"/>
      <c r="N586" s="111"/>
      <c r="O586" s="111"/>
      <c r="P586" s="111"/>
      <c r="Q586" s="111"/>
      <c r="R586" s="111"/>
    </row>
    <row r="587" spans="2:18" s="108" customFormat="1">
      <c r="B587" s="97"/>
      <c r="C587" s="110"/>
      <c r="D587" s="109"/>
      <c r="E587" s="97"/>
      <c r="F587" s="97"/>
      <c r="G587" s="109"/>
      <c r="H587" s="109"/>
      <c r="I587" s="97"/>
      <c r="J587" s="97"/>
      <c r="K587" s="83"/>
      <c r="L587" s="111"/>
      <c r="M587" s="111"/>
      <c r="N587" s="111"/>
      <c r="O587" s="111"/>
      <c r="P587" s="111"/>
      <c r="Q587" s="111"/>
      <c r="R587" s="111"/>
    </row>
    <row r="588" spans="2:18" s="108" customFormat="1">
      <c r="B588" s="97"/>
      <c r="C588" s="110"/>
      <c r="D588" s="109"/>
      <c r="E588" s="97"/>
      <c r="F588" s="97"/>
      <c r="G588" s="109"/>
      <c r="H588" s="109"/>
      <c r="I588" s="97"/>
      <c r="J588" s="97"/>
      <c r="K588" s="83"/>
      <c r="L588" s="111"/>
      <c r="M588" s="111"/>
      <c r="N588" s="111"/>
      <c r="O588" s="111"/>
      <c r="P588" s="111"/>
      <c r="Q588" s="111"/>
      <c r="R588" s="111"/>
    </row>
    <row r="589" spans="2:18" s="108" customFormat="1">
      <c r="B589" s="97"/>
      <c r="C589" s="110"/>
      <c r="D589" s="109"/>
      <c r="E589" s="97"/>
      <c r="F589" s="97"/>
      <c r="G589" s="109"/>
      <c r="H589" s="109"/>
      <c r="I589" s="97"/>
      <c r="J589" s="97"/>
      <c r="K589" s="83"/>
      <c r="L589" s="111"/>
      <c r="M589" s="111"/>
      <c r="N589" s="111"/>
      <c r="O589" s="111"/>
      <c r="P589" s="111"/>
      <c r="Q589" s="111"/>
      <c r="R589" s="111"/>
    </row>
    <row r="590" spans="2:18" s="108" customFormat="1">
      <c r="B590" s="97"/>
      <c r="C590" s="110"/>
      <c r="D590" s="109"/>
      <c r="E590" s="97"/>
      <c r="F590" s="97"/>
      <c r="G590" s="109"/>
      <c r="H590" s="109"/>
      <c r="I590" s="97"/>
      <c r="J590" s="97"/>
      <c r="K590" s="83"/>
      <c r="L590" s="111"/>
      <c r="M590" s="111"/>
      <c r="N590" s="111"/>
      <c r="O590" s="111"/>
      <c r="P590" s="111"/>
      <c r="Q590" s="111"/>
      <c r="R590" s="111"/>
    </row>
    <row r="591" spans="2:18" s="108" customFormat="1">
      <c r="B591" s="97"/>
      <c r="C591" s="110"/>
      <c r="D591" s="109"/>
      <c r="E591" s="97"/>
      <c r="F591" s="97"/>
      <c r="G591" s="109"/>
      <c r="H591" s="109"/>
      <c r="I591" s="97"/>
      <c r="J591" s="97"/>
      <c r="K591" s="83"/>
      <c r="L591" s="111"/>
      <c r="M591" s="111"/>
      <c r="N591" s="111"/>
      <c r="O591" s="111"/>
      <c r="P591" s="111"/>
      <c r="Q591" s="111"/>
      <c r="R591" s="111"/>
    </row>
    <row r="592" spans="2:18" s="108" customFormat="1">
      <c r="B592" s="97"/>
      <c r="C592" s="110"/>
      <c r="D592" s="109"/>
      <c r="E592" s="97"/>
      <c r="F592" s="97"/>
      <c r="G592" s="109"/>
      <c r="H592" s="109"/>
      <c r="I592" s="97"/>
      <c r="J592" s="97"/>
      <c r="K592" s="83"/>
      <c r="L592" s="111"/>
      <c r="M592" s="111"/>
      <c r="N592" s="111"/>
      <c r="O592" s="111"/>
      <c r="P592" s="111"/>
      <c r="Q592" s="111"/>
      <c r="R592" s="111"/>
    </row>
    <row r="593" spans="2:18" s="108" customFormat="1">
      <c r="B593" s="97"/>
      <c r="C593" s="110"/>
      <c r="D593" s="109"/>
      <c r="E593" s="97"/>
      <c r="F593" s="97"/>
      <c r="G593" s="109"/>
      <c r="H593" s="109"/>
      <c r="I593" s="97"/>
      <c r="J593" s="97"/>
      <c r="K593" s="83"/>
      <c r="L593" s="111"/>
      <c r="M593" s="111"/>
      <c r="N593" s="111"/>
      <c r="O593" s="111"/>
      <c r="P593" s="111"/>
      <c r="Q593" s="111"/>
      <c r="R593" s="111"/>
    </row>
    <row r="594" spans="2:18" s="108" customFormat="1">
      <c r="B594" s="97"/>
      <c r="C594" s="110"/>
      <c r="D594" s="109"/>
      <c r="E594" s="97"/>
      <c r="F594" s="97"/>
      <c r="G594" s="109"/>
      <c r="H594" s="109"/>
      <c r="I594" s="97"/>
      <c r="J594" s="97"/>
      <c r="K594" s="83"/>
      <c r="L594" s="111"/>
      <c r="M594" s="111"/>
      <c r="N594" s="111"/>
      <c r="O594" s="111"/>
      <c r="P594" s="111"/>
      <c r="Q594" s="111"/>
      <c r="R594" s="111"/>
    </row>
    <row r="595" spans="2:18" s="108" customFormat="1">
      <c r="B595" s="97"/>
      <c r="C595" s="110"/>
      <c r="D595" s="109"/>
      <c r="E595" s="97"/>
      <c r="F595" s="97"/>
      <c r="G595" s="109"/>
      <c r="H595" s="109"/>
      <c r="I595" s="97"/>
      <c r="J595" s="97"/>
      <c r="K595" s="83"/>
      <c r="L595" s="111"/>
      <c r="M595" s="111"/>
      <c r="N595" s="111"/>
      <c r="O595" s="111"/>
      <c r="P595" s="111"/>
      <c r="Q595" s="111"/>
      <c r="R595" s="111"/>
    </row>
    <row r="596" spans="2:18" s="108" customFormat="1">
      <c r="B596" s="97"/>
      <c r="C596" s="110"/>
      <c r="D596" s="109"/>
      <c r="E596" s="97"/>
      <c r="F596" s="97"/>
      <c r="G596" s="109"/>
      <c r="H596" s="109"/>
      <c r="I596" s="97"/>
      <c r="J596" s="97"/>
      <c r="K596" s="83"/>
      <c r="L596" s="111"/>
      <c r="M596" s="111"/>
      <c r="N596" s="111"/>
      <c r="O596" s="111"/>
      <c r="P596" s="111"/>
      <c r="Q596" s="111"/>
      <c r="R596" s="111"/>
    </row>
    <row r="597" spans="2:18" s="108" customFormat="1">
      <c r="B597" s="97"/>
      <c r="C597" s="110"/>
      <c r="D597" s="109"/>
      <c r="E597" s="97"/>
      <c r="F597" s="97"/>
      <c r="G597" s="109"/>
      <c r="H597" s="109"/>
      <c r="I597" s="97"/>
      <c r="J597" s="97"/>
      <c r="K597" s="83"/>
      <c r="L597" s="111"/>
      <c r="M597" s="111"/>
      <c r="N597" s="111"/>
      <c r="O597" s="111"/>
      <c r="P597" s="111"/>
      <c r="Q597" s="111"/>
      <c r="R597" s="111"/>
    </row>
    <row r="598" spans="2:18" s="108" customFormat="1">
      <c r="B598" s="97"/>
      <c r="C598" s="110"/>
      <c r="D598" s="109"/>
      <c r="E598" s="97"/>
      <c r="F598" s="97"/>
      <c r="G598" s="109"/>
      <c r="H598" s="109"/>
      <c r="I598" s="97"/>
      <c r="J598" s="97"/>
      <c r="K598" s="83"/>
      <c r="L598" s="111"/>
      <c r="M598" s="111"/>
      <c r="N598" s="111"/>
      <c r="O598" s="111"/>
      <c r="P598" s="111"/>
      <c r="Q598" s="111"/>
      <c r="R598" s="111"/>
    </row>
    <row r="599" spans="2:18" s="108" customFormat="1">
      <c r="B599" s="97"/>
      <c r="C599" s="110"/>
      <c r="D599" s="109"/>
      <c r="E599" s="97"/>
      <c r="F599" s="97"/>
      <c r="G599" s="109"/>
      <c r="H599" s="109"/>
      <c r="I599" s="97"/>
      <c r="J599" s="97"/>
      <c r="K599" s="83"/>
      <c r="L599" s="111"/>
      <c r="M599" s="111"/>
      <c r="N599" s="111"/>
      <c r="O599" s="111"/>
      <c r="P599" s="111"/>
      <c r="Q599" s="111"/>
      <c r="R599" s="111"/>
    </row>
    <row r="600" spans="2:18" s="108" customFormat="1">
      <c r="B600" s="97"/>
      <c r="C600" s="110"/>
      <c r="D600" s="109"/>
      <c r="E600" s="97"/>
      <c r="F600" s="97"/>
      <c r="G600" s="109"/>
      <c r="H600" s="109"/>
      <c r="I600" s="97"/>
      <c r="J600" s="97"/>
      <c r="K600" s="83"/>
      <c r="L600" s="111"/>
      <c r="M600" s="111"/>
      <c r="N600" s="111"/>
      <c r="O600" s="111"/>
      <c r="P600" s="111"/>
      <c r="Q600" s="111"/>
      <c r="R600" s="111"/>
    </row>
    <row r="601" spans="2:18" s="108" customFormat="1">
      <c r="B601" s="97"/>
      <c r="C601" s="110"/>
      <c r="D601" s="109"/>
      <c r="E601" s="97"/>
      <c r="F601" s="97"/>
      <c r="G601" s="109"/>
      <c r="H601" s="109"/>
      <c r="I601" s="97"/>
      <c r="J601" s="97"/>
      <c r="K601" s="83"/>
      <c r="L601" s="111"/>
      <c r="M601" s="111"/>
      <c r="N601" s="111"/>
      <c r="O601" s="111"/>
      <c r="P601" s="111"/>
      <c r="Q601" s="111"/>
      <c r="R601" s="111"/>
    </row>
    <row r="602" spans="2:18" s="108" customFormat="1">
      <c r="B602" s="97"/>
      <c r="C602" s="110"/>
      <c r="D602" s="109"/>
      <c r="E602" s="97"/>
      <c r="F602" s="97"/>
      <c r="G602" s="109"/>
      <c r="H602" s="109"/>
      <c r="I602" s="97"/>
      <c r="J602" s="97"/>
      <c r="K602" s="83"/>
      <c r="L602" s="111"/>
      <c r="M602" s="111"/>
      <c r="N602" s="111"/>
      <c r="O602" s="111"/>
      <c r="P602" s="111"/>
      <c r="Q602" s="111"/>
      <c r="R602" s="111"/>
    </row>
    <row r="603" spans="2:18" s="108" customFormat="1">
      <c r="B603" s="97"/>
      <c r="C603" s="110"/>
      <c r="D603" s="109"/>
      <c r="E603" s="97"/>
      <c r="F603" s="97"/>
      <c r="G603" s="109"/>
      <c r="H603" s="109"/>
      <c r="I603" s="97"/>
      <c r="J603" s="97"/>
      <c r="K603" s="83"/>
      <c r="L603" s="111"/>
      <c r="M603" s="111"/>
      <c r="N603" s="111"/>
      <c r="O603" s="111"/>
      <c r="P603" s="111"/>
      <c r="Q603" s="111"/>
      <c r="R603" s="111"/>
    </row>
    <row r="604" spans="2:18" s="108" customFormat="1">
      <c r="B604" s="97"/>
      <c r="C604" s="110"/>
      <c r="D604" s="109"/>
      <c r="E604" s="97"/>
      <c r="F604" s="97"/>
      <c r="G604" s="109"/>
      <c r="H604" s="109"/>
      <c r="I604" s="97"/>
      <c r="J604" s="97"/>
      <c r="K604" s="83"/>
      <c r="L604" s="111"/>
      <c r="M604" s="111"/>
      <c r="N604" s="111"/>
      <c r="O604" s="111"/>
      <c r="P604" s="111"/>
      <c r="Q604" s="111"/>
      <c r="R604" s="111"/>
    </row>
    <row r="605" spans="2:18" s="108" customFormat="1">
      <c r="B605" s="97"/>
      <c r="C605" s="110"/>
      <c r="D605" s="109"/>
      <c r="E605" s="97"/>
      <c r="F605" s="97"/>
      <c r="G605" s="109"/>
      <c r="H605" s="109"/>
      <c r="I605" s="97"/>
      <c r="J605" s="97"/>
      <c r="K605" s="83"/>
      <c r="L605" s="111"/>
      <c r="M605" s="111"/>
      <c r="N605" s="111"/>
      <c r="O605" s="111"/>
      <c r="P605" s="111"/>
      <c r="Q605" s="111"/>
      <c r="R605" s="111"/>
    </row>
    <row r="606" spans="2:18" s="108" customFormat="1">
      <c r="B606" s="97"/>
      <c r="C606" s="110"/>
      <c r="D606" s="109"/>
      <c r="E606" s="97"/>
      <c r="F606" s="97"/>
      <c r="G606" s="109"/>
      <c r="H606" s="109"/>
      <c r="I606" s="97"/>
      <c r="J606" s="97"/>
      <c r="K606" s="83"/>
      <c r="L606" s="111"/>
      <c r="M606" s="111"/>
      <c r="N606" s="111"/>
      <c r="O606" s="111"/>
      <c r="P606" s="111"/>
      <c r="Q606" s="111"/>
      <c r="R606" s="111"/>
    </row>
    <row r="607" spans="2:18" s="108" customFormat="1">
      <c r="B607" s="97"/>
      <c r="C607" s="110"/>
      <c r="D607" s="109"/>
      <c r="E607" s="97"/>
      <c r="F607" s="97"/>
      <c r="G607" s="109"/>
      <c r="H607" s="109"/>
      <c r="I607" s="97"/>
      <c r="J607" s="97"/>
      <c r="K607" s="83"/>
      <c r="L607" s="111"/>
      <c r="M607" s="111"/>
      <c r="N607" s="111"/>
      <c r="O607" s="111"/>
      <c r="P607" s="111"/>
      <c r="Q607" s="111"/>
      <c r="R607" s="111"/>
    </row>
    <row r="608" spans="2:18" s="108" customFormat="1">
      <c r="B608" s="97"/>
      <c r="C608" s="110"/>
      <c r="D608" s="109"/>
      <c r="E608" s="97"/>
      <c r="F608" s="97"/>
      <c r="G608" s="109"/>
      <c r="H608" s="109"/>
      <c r="I608" s="97"/>
      <c r="J608" s="97"/>
      <c r="K608" s="83"/>
      <c r="L608" s="111"/>
      <c r="M608" s="111"/>
      <c r="N608" s="111"/>
      <c r="O608" s="111"/>
      <c r="P608" s="111"/>
      <c r="Q608" s="111"/>
      <c r="R608" s="111"/>
    </row>
    <row r="609" spans="2:18" s="108" customFormat="1">
      <c r="B609" s="97"/>
      <c r="C609" s="110"/>
      <c r="D609" s="109"/>
      <c r="E609" s="97"/>
      <c r="F609" s="97"/>
      <c r="G609" s="109"/>
      <c r="H609" s="109"/>
      <c r="I609" s="97"/>
      <c r="J609" s="97"/>
      <c r="K609" s="83"/>
      <c r="L609" s="111"/>
      <c r="M609" s="111"/>
      <c r="N609" s="111"/>
      <c r="O609" s="111"/>
      <c r="P609" s="111"/>
      <c r="Q609" s="111"/>
      <c r="R609" s="111"/>
    </row>
    <row r="610" spans="2:18" s="108" customFormat="1">
      <c r="B610" s="97"/>
      <c r="C610" s="110"/>
      <c r="D610" s="109"/>
      <c r="E610" s="97"/>
      <c r="F610" s="97"/>
      <c r="G610" s="109"/>
      <c r="H610" s="109"/>
      <c r="I610" s="97"/>
      <c r="J610" s="97"/>
      <c r="K610" s="83"/>
      <c r="L610" s="111"/>
      <c r="M610" s="111"/>
      <c r="N610" s="111"/>
      <c r="O610" s="111"/>
      <c r="P610" s="111"/>
      <c r="Q610" s="111"/>
      <c r="R610" s="111"/>
    </row>
    <row r="611" spans="2:18" s="108" customFormat="1">
      <c r="B611" s="97"/>
      <c r="C611" s="110"/>
      <c r="D611" s="109"/>
      <c r="E611" s="97"/>
      <c r="F611" s="97"/>
      <c r="G611" s="109"/>
      <c r="H611" s="109"/>
      <c r="I611" s="97"/>
      <c r="J611" s="97"/>
      <c r="K611" s="83"/>
      <c r="L611" s="111"/>
      <c r="M611" s="111"/>
      <c r="N611" s="111"/>
      <c r="O611" s="111"/>
      <c r="P611" s="111"/>
      <c r="Q611" s="111"/>
      <c r="R611" s="111"/>
    </row>
    <row r="612" spans="2:18" s="108" customFormat="1">
      <c r="B612" s="97"/>
      <c r="C612" s="110"/>
      <c r="D612" s="109"/>
      <c r="E612" s="97"/>
      <c r="F612" s="97"/>
      <c r="G612" s="109"/>
      <c r="H612" s="109"/>
      <c r="I612" s="97"/>
      <c r="J612" s="97"/>
      <c r="K612" s="83"/>
      <c r="L612" s="111"/>
      <c r="M612" s="111"/>
      <c r="N612" s="111"/>
      <c r="O612" s="111"/>
      <c r="P612" s="111"/>
      <c r="Q612" s="111"/>
      <c r="R612" s="111"/>
    </row>
    <row r="613" spans="2:18" s="108" customFormat="1">
      <c r="B613" s="97"/>
      <c r="C613" s="110"/>
      <c r="D613" s="109"/>
      <c r="E613" s="97"/>
      <c r="F613" s="97"/>
      <c r="G613" s="109"/>
      <c r="H613" s="109"/>
      <c r="I613" s="97"/>
      <c r="J613" s="97"/>
      <c r="K613" s="83"/>
      <c r="L613" s="111"/>
      <c r="M613" s="111"/>
      <c r="N613" s="111"/>
      <c r="O613" s="111"/>
      <c r="P613" s="111"/>
      <c r="Q613" s="111"/>
      <c r="R613" s="111"/>
    </row>
    <row r="614" spans="2:18" s="108" customFormat="1">
      <c r="B614" s="97"/>
      <c r="C614" s="110"/>
      <c r="D614" s="109"/>
      <c r="E614" s="97"/>
      <c r="F614" s="97"/>
      <c r="G614" s="109"/>
      <c r="H614" s="109"/>
      <c r="I614" s="97"/>
      <c r="J614" s="97"/>
      <c r="K614" s="83"/>
      <c r="L614" s="111"/>
      <c r="M614" s="111"/>
      <c r="N614" s="111"/>
      <c r="O614" s="111"/>
      <c r="P614" s="111"/>
      <c r="Q614" s="111"/>
      <c r="R614" s="111"/>
    </row>
    <row r="615" spans="2:18" s="108" customFormat="1">
      <c r="B615" s="97"/>
      <c r="C615" s="110"/>
      <c r="D615" s="109"/>
      <c r="E615" s="97"/>
      <c r="F615" s="97"/>
      <c r="G615" s="109"/>
      <c r="H615" s="109"/>
      <c r="I615" s="97"/>
      <c r="J615" s="97"/>
      <c r="K615" s="83"/>
      <c r="L615" s="111"/>
      <c r="M615" s="111"/>
      <c r="N615" s="111"/>
      <c r="O615" s="111"/>
      <c r="P615" s="111"/>
      <c r="Q615" s="111"/>
      <c r="R615" s="111"/>
    </row>
    <row r="616" spans="2:18" s="108" customFormat="1">
      <c r="B616" s="97"/>
      <c r="C616" s="110"/>
      <c r="D616" s="109"/>
      <c r="E616" s="97"/>
      <c r="F616" s="97"/>
      <c r="G616" s="109"/>
      <c r="H616" s="109"/>
      <c r="I616" s="97"/>
      <c r="J616" s="97"/>
      <c r="K616" s="83"/>
      <c r="L616" s="111"/>
      <c r="M616" s="111"/>
      <c r="N616" s="111"/>
      <c r="O616" s="111"/>
      <c r="P616" s="111"/>
      <c r="Q616" s="111"/>
      <c r="R616" s="111"/>
    </row>
    <row r="617" spans="2:18" s="108" customFormat="1">
      <c r="B617" s="97"/>
      <c r="C617" s="110"/>
      <c r="D617" s="109"/>
      <c r="E617" s="97"/>
      <c r="F617" s="97"/>
      <c r="G617" s="109"/>
      <c r="H617" s="109"/>
      <c r="I617" s="97"/>
      <c r="J617" s="97"/>
      <c r="K617" s="83"/>
      <c r="L617" s="111"/>
      <c r="M617" s="111"/>
      <c r="N617" s="111"/>
      <c r="O617" s="111"/>
      <c r="P617" s="111"/>
      <c r="Q617" s="111"/>
      <c r="R617" s="111"/>
    </row>
    <row r="618" spans="2:18" s="108" customFormat="1">
      <c r="B618" s="97"/>
      <c r="C618" s="110"/>
      <c r="D618" s="109"/>
      <c r="E618" s="97"/>
      <c r="F618" s="97"/>
      <c r="G618" s="109"/>
      <c r="H618" s="109"/>
      <c r="I618" s="97"/>
      <c r="J618" s="97"/>
      <c r="K618" s="83"/>
      <c r="L618" s="111"/>
      <c r="M618" s="111"/>
      <c r="N618" s="111"/>
      <c r="O618" s="111"/>
      <c r="P618" s="111"/>
      <c r="Q618" s="111"/>
      <c r="R618" s="111"/>
    </row>
    <row r="619" spans="2:18" s="108" customFormat="1">
      <c r="B619" s="97"/>
      <c r="C619" s="110"/>
      <c r="D619" s="109"/>
      <c r="E619" s="97"/>
      <c r="F619" s="97"/>
      <c r="G619" s="109"/>
      <c r="H619" s="109"/>
      <c r="I619" s="97"/>
      <c r="J619" s="97"/>
      <c r="K619" s="83"/>
      <c r="L619" s="111"/>
      <c r="M619" s="111"/>
      <c r="N619" s="111"/>
      <c r="O619" s="111"/>
      <c r="P619" s="111"/>
      <c r="Q619" s="111"/>
      <c r="R619" s="111"/>
    </row>
    <row r="620" spans="2:18" s="108" customFormat="1">
      <c r="B620" s="97"/>
      <c r="C620" s="110"/>
      <c r="D620" s="109"/>
      <c r="E620" s="97"/>
      <c r="F620" s="97"/>
      <c r="G620" s="109"/>
      <c r="H620" s="109"/>
      <c r="I620" s="97"/>
      <c r="J620" s="97"/>
      <c r="K620" s="83"/>
      <c r="L620" s="111"/>
      <c r="M620" s="111"/>
      <c r="N620" s="111"/>
      <c r="O620" s="111"/>
      <c r="P620" s="111"/>
      <c r="Q620" s="111"/>
      <c r="R620" s="111"/>
    </row>
    <row r="621" spans="2:18" s="108" customFormat="1">
      <c r="B621" s="97"/>
      <c r="C621" s="110"/>
      <c r="D621" s="109"/>
      <c r="E621" s="97"/>
      <c r="F621" s="97"/>
      <c r="G621" s="109"/>
      <c r="H621" s="109"/>
      <c r="I621" s="97"/>
      <c r="J621" s="97"/>
      <c r="K621" s="83"/>
      <c r="L621" s="111"/>
      <c r="M621" s="111"/>
      <c r="N621" s="111"/>
      <c r="O621" s="111"/>
      <c r="P621" s="111"/>
      <c r="Q621" s="111"/>
      <c r="R621" s="111"/>
    </row>
    <row r="622" spans="2:18" s="108" customFormat="1">
      <c r="B622" s="97"/>
      <c r="C622" s="110"/>
      <c r="D622" s="109"/>
      <c r="E622" s="97"/>
      <c r="F622" s="97"/>
      <c r="G622" s="109"/>
      <c r="H622" s="109"/>
      <c r="I622" s="97"/>
      <c r="J622" s="97"/>
      <c r="K622" s="83"/>
      <c r="L622" s="111"/>
      <c r="M622" s="111"/>
      <c r="N622" s="111"/>
      <c r="O622" s="111"/>
      <c r="P622" s="111"/>
      <c r="Q622" s="111"/>
      <c r="R622" s="111"/>
    </row>
    <row r="623" spans="2:18" s="108" customFormat="1">
      <c r="B623" s="97"/>
      <c r="C623" s="110"/>
      <c r="D623" s="109"/>
      <c r="E623" s="97"/>
      <c r="F623" s="97"/>
      <c r="G623" s="109"/>
      <c r="H623" s="109"/>
      <c r="I623" s="97"/>
      <c r="J623" s="97"/>
      <c r="K623" s="83"/>
      <c r="L623" s="111"/>
      <c r="M623" s="111"/>
      <c r="N623" s="111"/>
      <c r="O623" s="111"/>
      <c r="P623" s="111"/>
      <c r="Q623" s="111"/>
      <c r="R623" s="111"/>
    </row>
    <row r="624" spans="2:18" s="108" customFormat="1">
      <c r="B624" s="97"/>
      <c r="C624" s="110"/>
      <c r="D624" s="109"/>
      <c r="E624" s="97"/>
      <c r="F624" s="97"/>
      <c r="G624" s="109"/>
      <c r="H624" s="109"/>
      <c r="I624" s="97"/>
      <c r="J624" s="97"/>
      <c r="K624" s="83"/>
      <c r="L624" s="111"/>
      <c r="M624" s="111"/>
      <c r="N624" s="111"/>
      <c r="O624" s="111"/>
      <c r="P624" s="111"/>
      <c r="Q624" s="111"/>
      <c r="R624" s="111"/>
    </row>
    <row r="625" spans="2:18" s="108" customFormat="1">
      <c r="B625" s="97"/>
      <c r="C625" s="110"/>
      <c r="D625" s="109"/>
      <c r="E625" s="97"/>
      <c r="F625" s="97"/>
      <c r="G625" s="109"/>
      <c r="H625" s="109"/>
      <c r="I625" s="97"/>
      <c r="J625" s="97"/>
      <c r="K625" s="83"/>
      <c r="L625" s="111"/>
      <c r="M625" s="111"/>
      <c r="N625" s="111"/>
      <c r="O625" s="111"/>
      <c r="P625" s="111"/>
      <c r="Q625" s="111"/>
      <c r="R625" s="111"/>
    </row>
    <row r="626" spans="2:18" s="108" customFormat="1">
      <c r="B626" s="97"/>
      <c r="C626" s="110"/>
      <c r="D626" s="109"/>
      <c r="E626" s="97"/>
      <c r="F626" s="97"/>
      <c r="G626" s="109"/>
      <c r="H626" s="109"/>
      <c r="I626" s="97"/>
      <c r="J626" s="97"/>
      <c r="K626" s="83"/>
      <c r="L626" s="111"/>
      <c r="M626" s="111"/>
      <c r="N626" s="111"/>
      <c r="O626" s="111"/>
      <c r="P626" s="111"/>
      <c r="Q626" s="111"/>
      <c r="R626" s="111"/>
    </row>
    <row r="627" spans="2:18" s="108" customFormat="1">
      <c r="B627" s="97"/>
      <c r="C627" s="110"/>
      <c r="D627" s="109"/>
      <c r="E627" s="97"/>
      <c r="F627" s="97"/>
      <c r="G627" s="109"/>
      <c r="H627" s="109"/>
      <c r="I627" s="97"/>
      <c r="J627" s="97"/>
      <c r="K627" s="83"/>
      <c r="L627" s="111"/>
      <c r="M627" s="111"/>
      <c r="N627" s="111"/>
      <c r="O627" s="111"/>
      <c r="P627" s="111"/>
      <c r="Q627" s="111"/>
      <c r="R627" s="111"/>
    </row>
    <row r="628" spans="2:18" s="108" customFormat="1">
      <c r="B628" s="97"/>
      <c r="C628" s="110"/>
      <c r="D628" s="109"/>
      <c r="E628" s="97"/>
      <c r="F628" s="97"/>
      <c r="G628" s="109"/>
      <c r="H628" s="109"/>
      <c r="I628" s="97"/>
      <c r="J628" s="97"/>
      <c r="K628" s="83"/>
      <c r="L628" s="111"/>
      <c r="M628" s="111"/>
      <c r="N628" s="111"/>
      <c r="O628" s="111"/>
      <c r="P628" s="111"/>
      <c r="Q628" s="111"/>
      <c r="R628" s="111"/>
    </row>
    <row r="629" spans="2:18" s="108" customFormat="1">
      <c r="B629" s="97"/>
      <c r="C629" s="110"/>
      <c r="D629" s="109"/>
      <c r="E629" s="97"/>
      <c r="F629" s="97"/>
      <c r="G629" s="109"/>
      <c r="H629" s="109"/>
      <c r="I629" s="97"/>
      <c r="J629" s="97"/>
      <c r="K629" s="83"/>
      <c r="L629" s="111"/>
      <c r="M629" s="111"/>
      <c r="N629" s="111"/>
      <c r="O629" s="111"/>
      <c r="P629" s="111"/>
      <c r="Q629" s="111"/>
      <c r="R629" s="111"/>
    </row>
    <row r="630" spans="2:18" s="108" customFormat="1">
      <c r="B630" s="97"/>
      <c r="C630" s="110"/>
      <c r="D630" s="109"/>
      <c r="E630" s="97"/>
      <c r="F630" s="97"/>
      <c r="G630" s="109"/>
      <c r="H630" s="109"/>
      <c r="I630" s="97"/>
      <c r="J630" s="97"/>
      <c r="K630" s="83"/>
      <c r="L630" s="111"/>
      <c r="M630" s="111"/>
      <c r="N630" s="111"/>
      <c r="O630" s="111"/>
      <c r="P630" s="111"/>
      <c r="Q630" s="111"/>
      <c r="R630" s="111"/>
    </row>
    <row r="631" spans="2:18" s="108" customFormat="1">
      <c r="B631" s="97"/>
      <c r="C631" s="110"/>
      <c r="D631" s="109"/>
      <c r="E631" s="97"/>
      <c r="F631" s="97"/>
      <c r="G631" s="109"/>
      <c r="H631" s="109"/>
      <c r="I631" s="97"/>
      <c r="J631" s="97"/>
      <c r="K631" s="83"/>
      <c r="L631" s="111"/>
      <c r="M631" s="111"/>
      <c r="N631" s="111"/>
      <c r="O631" s="111"/>
      <c r="P631" s="111"/>
      <c r="Q631" s="111"/>
      <c r="R631" s="111"/>
    </row>
    <row r="632" spans="2:18" s="108" customFormat="1">
      <c r="B632" s="97"/>
      <c r="C632" s="110"/>
      <c r="D632" s="109"/>
      <c r="E632" s="97"/>
      <c r="F632" s="97"/>
      <c r="G632" s="109"/>
      <c r="H632" s="109"/>
      <c r="I632" s="97"/>
      <c r="J632" s="97"/>
      <c r="K632" s="83"/>
      <c r="L632" s="111"/>
      <c r="M632" s="111"/>
      <c r="N632" s="111"/>
      <c r="O632" s="111"/>
      <c r="P632" s="111"/>
      <c r="Q632" s="111"/>
      <c r="R632" s="111"/>
    </row>
    <row r="633" spans="2:18" s="108" customFormat="1">
      <c r="B633" s="97"/>
      <c r="C633" s="110"/>
      <c r="D633" s="109"/>
      <c r="E633" s="97"/>
      <c r="F633" s="97"/>
      <c r="G633" s="109"/>
      <c r="H633" s="109"/>
      <c r="I633" s="97"/>
      <c r="J633" s="97"/>
      <c r="K633" s="83"/>
      <c r="L633" s="111"/>
      <c r="M633" s="111"/>
      <c r="N633" s="111"/>
      <c r="O633" s="111"/>
      <c r="P633" s="111"/>
      <c r="Q633" s="111"/>
      <c r="R633" s="111"/>
    </row>
    <row r="634" spans="2:18" s="108" customFormat="1">
      <c r="B634" s="97"/>
      <c r="C634" s="110"/>
      <c r="D634" s="109"/>
      <c r="E634" s="97"/>
      <c r="F634" s="97"/>
      <c r="G634" s="109"/>
      <c r="H634" s="109"/>
      <c r="I634" s="97"/>
      <c r="J634" s="97"/>
      <c r="K634" s="83"/>
      <c r="L634" s="111"/>
      <c r="M634" s="111"/>
      <c r="N634" s="111"/>
      <c r="O634" s="111"/>
      <c r="P634" s="111"/>
      <c r="Q634" s="111"/>
      <c r="R634" s="111"/>
    </row>
    <row r="635" spans="2:18" s="108" customFormat="1">
      <c r="B635" s="97"/>
      <c r="C635" s="110"/>
      <c r="D635" s="109"/>
      <c r="E635" s="97"/>
      <c r="F635" s="97"/>
      <c r="G635" s="109"/>
      <c r="H635" s="109"/>
      <c r="I635" s="97"/>
      <c r="J635" s="97"/>
      <c r="K635" s="83"/>
      <c r="L635" s="111"/>
      <c r="M635" s="111"/>
      <c r="N635" s="111"/>
      <c r="O635" s="111"/>
      <c r="P635" s="111"/>
      <c r="Q635" s="111"/>
      <c r="R635" s="111"/>
    </row>
    <row r="636" spans="2:18" s="108" customFormat="1">
      <c r="B636" s="97"/>
      <c r="C636" s="110"/>
      <c r="D636" s="109"/>
      <c r="E636" s="97"/>
      <c r="F636" s="97"/>
      <c r="G636" s="109"/>
      <c r="H636" s="109"/>
      <c r="I636" s="97"/>
      <c r="J636" s="97"/>
      <c r="K636" s="83"/>
      <c r="L636" s="111"/>
      <c r="M636" s="111"/>
      <c r="N636" s="111"/>
      <c r="O636" s="111"/>
      <c r="P636" s="111"/>
      <c r="Q636" s="111"/>
      <c r="R636" s="111"/>
    </row>
    <row r="637" spans="2:18" s="108" customFormat="1">
      <c r="B637" s="97"/>
      <c r="C637" s="110"/>
      <c r="D637" s="109"/>
      <c r="E637" s="97"/>
      <c r="F637" s="97"/>
      <c r="G637" s="109"/>
      <c r="H637" s="109"/>
      <c r="I637" s="97"/>
      <c r="J637" s="97"/>
      <c r="K637" s="83"/>
      <c r="L637" s="111"/>
      <c r="M637" s="111"/>
      <c r="N637" s="111"/>
      <c r="O637" s="111"/>
      <c r="P637" s="111"/>
      <c r="Q637" s="111"/>
      <c r="R637" s="111"/>
    </row>
    <row r="638" spans="2:18" s="108" customFormat="1">
      <c r="B638" s="97"/>
      <c r="C638" s="110"/>
      <c r="D638" s="109"/>
      <c r="E638" s="97"/>
      <c r="F638" s="97"/>
      <c r="G638" s="109"/>
      <c r="H638" s="109"/>
      <c r="I638" s="97"/>
      <c r="J638" s="97"/>
      <c r="K638" s="83"/>
      <c r="L638" s="111"/>
      <c r="M638" s="111"/>
      <c r="N638" s="111"/>
      <c r="O638" s="111"/>
      <c r="P638" s="111"/>
      <c r="Q638" s="111"/>
      <c r="R638" s="111"/>
    </row>
    <row r="639" spans="2:18" s="108" customFormat="1">
      <c r="B639" s="97"/>
      <c r="C639" s="110"/>
      <c r="D639" s="109"/>
      <c r="E639" s="97"/>
      <c r="F639" s="97"/>
      <c r="G639" s="109"/>
      <c r="H639" s="109"/>
      <c r="I639" s="97"/>
      <c r="J639" s="97"/>
      <c r="K639" s="83"/>
      <c r="L639" s="111"/>
      <c r="M639" s="111"/>
      <c r="N639" s="111"/>
      <c r="O639" s="111"/>
      <c r="P639" s="111"/>
      <c r="Q639" s="111"/>
      <c r="R639" s="111"/>
    </row>
    <row r="640" spans="2:18" s="108" customFormat="1">
      <c r="B640" s="97"/>
      <c r="C640" s="110"/>
      <c r="D640" s="109"/>
      <c r="E640" s="97"/>
      <c r="F640" s="97"/>
      <c r="G640" s="109"/>
      <c r="H640" s="109"/>
      <c r="I640" s="97"/>
      <c r="J640" s="97"/>
      <c r="K640" s="83"/>
      <c r="L640" s="111"/>
      <c r="M640" s="111"/>
      <c r="N640" s="111"/>
      <c r="O640" s="111"/>
      <c r="P640" s="111"/>
      <c r="Q640" s="111"/>
      <c r="R640" s="111"/>
    </row>
    <row r="641" spans="2:18" s="108" customFormat="1">
      <c r="B641" s="97"/>
      <c r="C641" s="110"/>
      <c r="D641" s="109"/>
      <c r="E641" s="97"/>
      <c r="F641" s="97"/>
      <c r="G641" s="109"/>
      <c r="H641" s="109"/>
      <c r="I641" s="97"/>
      <c r="J641" s="97"/>
      <c r="K641" s="83"/>
      <c r="L641" s="111"/>
      <c r="M641" s="111"/>
      <c r="N641" s="111"/>
      <c r="O641" s="111"/>
      <c r="P641" s="111"/>
      <c r="Q641" s="111"/>
      <c r="R641" s="111"/>
    </row>
    <row r="642" spans="2:18" s="108" customFormat="1">
      <c r="B642" s="97"/>
      <c r="C642" s="110"/>
      <c r="D642" s="109"/>
      <c r="E642" s="97"/>
      <c r="F642" s="97"/>
      <c r="G642" s="109"/>
      <c r="H642" s="109"/>
      <c r="I642" s="97"/>
      <c r="J642" s="97"/>
      <c r="K642" s="83"/>
      <c r="L642" s="111"/>
      <c r="M642" s="111"/>
      <c r="N642" s="111"/>
      <c r="O642" s="111"/>
      <c r="P642" s="111"/>
      <c r="Q642" s="111"/>
      <c r="R642" s="111"/>
    </row>
    <row r="643" spans="2:18" s="108" customFormat="1">
      <c r="B643" s="97"/>
      <c r="C643" s="110"/>
      <c r="D643" s="109"/>
      <c r="E643" s="97"/>
      <c r="F643" s="97"/>
      <c r="G643" s="109"/>
      <c r="H643" s="109"/>
      <c r="I643" s="97"/>
      <c r="J643" s="97"/>
      <c r="K643" s="83"/>
      <c r="L643" s="111"/>
      <c r="M643" s="111"/>
      <c r="N643" s="111"/>
      <c r="O643" s="111"/>
      <c r="P643" s="111"/>
      <c r="Q643" s="111"/>
      <c r="R643" s="111"/>
    </row>
    <row r="644" spans="2:18" s="108" customFormat="1">
      <c r="B644" s="97"/>
      <c r="C644" s="110"/>
      <c r="D644" s="109"/>
      <c r="E644" s="97"/>
      <c r="F644" s="97"/>
      <c r="G644" s="109"/>
      <c r="H644" s="109"/>
      <c r="I644" s="97"/>
      <c r="J644" s="97"/>
      <c r="K644" s="83"/>
      <c r="L644" s="111"/>
      <c r="M644" s="111"/>
      <c r="N644" s="111"/>
      <c r="O644" s="111"/>
      <c r="P644" s="111"/>
      <c r="Q644" s="111"/>
      <c r="R644" s="111"/>
    </row>
    <row r="645" spans="2:18" s="108" customFormat="1">
      <c r="B645" s="97"/>
      <c r="C645" s="110"/>
      <c r="D645" s="109"/>
      <c r="E645" s="97"/>
      <c r="F645" s="97"/>
      <c r="G645" s="109"/>
      <c r="H645" s="109"/>
      <c r="I645" s="97"/>
      <c r="J645" s="97"/>
      <c r="K645" s="83"/>
      <c r="L645" s="111"/>
      <c r="M645" s="111"/>
      <c r="N645" s="111"/>
      <c r="O645" s="111"/>
      <c r="P645" s="111"/>
      <c r="Q645" s="111"/>
      <c r="R645" s="111"/>
    </row>
    <row r="646" spans="2:18" s="108" customFormat="1">
      <c r="B646" s="97"/>
      <c r="C646" s="110"/>
      <c r="D646" s="109"/>
      <c r="E646" s="97"/>
      <c r="F646" s="97"/>
      <c r="G646" s="109"/>
      <c r="H646" s="109"/>
      <c r="I646" s="97"/>
      <c r="J646" s="97"/>
      <c r="K646" s="83"/>
      <c r="L646" s="111"/>
      <c r="M646" s="111"/>
      <c r="N646" s="111"/>
      <c r="O646" s="111"/>
      <c r="P646" s="111"/>
      <c r="Q646" s="111"/>
      <c r="R646" s="111"/>
    </row>
    <row r="647" spans="2:18" s="108" customFormat="1">
      <c r="B647" s="97"/>
      <c r="C647" s="110"/>
      <c r="D647" s="109"/>
      <c r="E647" s="97"/>
      <c r="F647" s="97"/>
      <c r="G647" s="109"/>
      <c r="H647" s="109"/>
      <c r="I647" s="97"/>
      <c r="J647" s="97"/>
      <c r="K647" s="83"/>
      <c r="L647" s="111"/>
      <c r="M647" s="111"/>
      <c r="N647" s="111"/>
      <c r="O647" s="111"/>
      <c r="P647" s="111"/>
      <c r="Q647" s="111"/>
      <c r="R647" s="111"/>
    </row>
    <row r="648" spans="2:18" s="108" customFormat="1">
      <c r="B648" s="97"/>
      <c r="C648" s="110"/>
      <c r="D648" s="109"/>
      <c r="E648" s="97"/>
      <c r="F648" s="97"/>
      <c r="G648" s="109"/>
      <c r="H648" s="109"/>
      <c r="I648" s="97"/>
      <c r="J648" s="97"/>
      <c r="K648" s="83"/>
      <c r="L648" s="111"/>
      <c r="M648" s="111"/>
      <c r="N648" s="111"/>
      <c r="O648" s="111"/>
      <c r="P648" s="111"/>
      <c r="Q648" s="111"/>
      <c r="R648" s="111"/>
    </row>
    <row r="649" spans="2:18" s="108" customFormat="1">
      <c r="B649" s="97"/>
      <c r="C649" s="110"/>
      <c r="D649" s="109"/>
      <c r="E649" s="97"/>
      <c r="F649" s="97"/>
      <c r="G649" s="109"/>
      <c r="H649" s="109"/>
      <c r="I649" s="97"/>
      <c r="J649" s="97"/>
      <c r="K649" s="83"/>
      <c r="L649" s="111"/>
      <c r="M649" s="111"/>
      <c r="N649" s="111"/>
      <c r="O649" s="111"/>
      <c r="P649" s="111"/>
      <c r="Q649" s="111"/>
      <c r="R649" s="111"/>
    </row>
    <row r="650" spans="2:18" s="108" customFormat="1">
      <c r="B650" s="97"/>
      <c r="C650" s="110"/>
      <c r="D650" s="109"/>
      <c r="E650" s="97"/>
      <c r="F650" s="97"/>
      <c r="G650" s="109"/>
      <c r="H650" s="109"/>
      <c r="I650" s="97"/>
      <c r="J650" s="97"/>
      <c r="K650" s="83"/>
      <c r="L650" s="111"/>
      <c r="M650" s="111"/>
      <c r="N650" s="111"/>
      <c r="O650" s="111"/>
      <c r="P650" s="111"/>
      <c r="Q650" s="111"/>
      <c r="R650" s="111"/>
    </row>
    <row r="651" spans="2:18" s="108" customFormat="1">
      <c r="B651" s="97"/>
      <c r="C651" s="110"/>
      <c r="D651" s="109"/>
      <c r="E651" s="97"/>
      <c r="F651" s="97"/>
      <c r="G651" s="109"/>
      <c r="H651" s="109"/>
      <c r="I651" s="97"/>
      <c r="J651" s="97"/>
      <c r="K651" s="83"/>
      <c r="L651" s="111"/>
      <c r="M651" s="111"/>
      <c r="N651" s="111"/>
      <c r="O651" s="111"/>
      <c r="P651" s="111"/>
      <c r="Q651" s="111"/>
      <c r="R651" s="111"/>
    </row>
    <row r="652" spans="2:18" s="108" customFormat="1">
      <c r="B652" s="97"/>
      <c r="C652" s="110"/>
      <c r="D652" s="109"/>
      <c r="E652" s="97"/>
      <c r="F652" s="97"/>
      <c r="G652" s="109"/>
      <c r="H652" s="109"/>
      <c r="I652" s="97"/>
      <c r="J652" s="97"/>
      <c r="K652" s="83"/>
      <c r="L652" s="111"/>
      <c r="M652" s="111"/>
      <c r="N652" s="111"/>
      <c r="O652" s="111"/>
      <c r="P652" s="111"/>
      <c r="Q652" s="111"/>
      <c r="R652" s="111"/>
    </row>
    <row r="653" spans="2:18" s="108" customFormat="1">
      <c r="B653" s="97"/>
      <c r="C653" s="110"/>
      <c r="D653" s="109"/>
      <c r="E653" s="97"/>
      <c r="F653" s="97"/>
      <c r="G653" s="109"/>
      <c r="H653" s="109"/>
      <c r="I653" s="97"/>
      <c r="J653" s="97"/>
      <c r="K653" s="83"/>
      <c r="L653" s="111"/>
      <c r="M653" s="111"/>
      <c r="N653" s="111"/>
      <c r="O653" s="111"/>
      <c r="P653" s="111"/>
      <c r="Q653" s="111"/>
      <c r="R653" s="111"/>
    </row>
    <row r="654" spans="2:18" s="108" customFormat="1">
      <c r="B654" s="97"/>
      <c r="C654" s="110"/>
      <c r="D654" s="109"/>
      <c r="E654" s="97"/>
      <c r="F654" s="97"/>
      <c r="G654" s="109"/>
      <c r="H654" s="109"/>
      <c r="I654" s="97"/>
      <c r="J654" s="97"/>
      <c r="K654" s="83"/>
      <c r="L654" s="111"/>
      <c r="M654" s="111"/>
      <c r="N654" s="111"/>
      <c r="O654" s="111"/>
      <c r="P654" s="111"/>
      <c r="Q654" s="111"/>
      <c r="R654" s="111"/>
    </row>
    <row r="655" spans="2:18" s="108" customFormat="1">
      <c r="B655" s="97"/>
      <c r="C655" s="110"/>
      <c r="D655" s="109"/>
      <c r="E655" s="97"/>
      <c r="F655" s="97"/>
      <c r="G655" s="109"/>
      <c r="H655" s="109"/>
      <c r="I655" s="97"/>
      <c r="J655" s="97"/>
      <c r="K655" s="83"/>
      <c r="L655" s="111"/>
      <c r="M655" s="111"/>
      <c r="N655" s="111"/>
      <c r="O655" s="111"/>
      <c r="P655" s="111"/>
      <c r="Q655" s="111"/>
      <c r="R655" s="111"/>
    </row>
    <row r="656" spans="2:18" s="108" customFormat="1">
      <c r="B656" s="97"/>
      <c r="C656" s="110"/>
      <c r="D656" s="109"/>
      <c r="E656" s="97"/>
      <c r="F656" s="97"/>
      <c r="G656" s="109"/>
      <c r="H656" s="109"/>
      <c r="I656" s="97"/>
      <c r="J656" s="97"/>
      <c r="K656" s="83"/>
      <c r="L656" s="111"/>
      <c r="M656" s="111"/>
      <c r="N656" s="111"/>
      <c r="O656" s="111"/>
      <c r="P656" s="111"/>
      <c r="Q656" s="111"/>
      <c r="R656" s="111"/>
    </row>
    <row r="657" spans="2:18" s="108" customFormat="1">
      <c r="B657" s="97"/>
      <c r="C657" s="110"/>
      <c r="D657" s="109"/>
      <c r="E657" s="97"/>
      <c r="F657" s="97"/>
      <c r="G657" s="109"/>
      <c r="H657" s="109"/>
      <c r="I657" s="97"/>
      <c r="J657" s="97"/>
      <c r="K657" s="83"/>
      <c r="L657" s="111"/>
      <c r="M657" s="111"/>
      <c r="N657" s="111"/>
      <c r="O657" s="111"/>
      <c r="P657" s="111"/>
      <c r="Q657" s="111"/>
      <c r="R657" s="111"/>
    </row>
    <row r="658" spans="2:18" s="108" customFormat="1">
      <c r="B658" s="97"/>
      <c r="C658" s="110"/>
      <c r="D658" s="109"/>
      <c r="E658" s="97"/>
      <c r="F658" s="97"/>
      <c r="G658" s="109"/>
      <c r="H658" s="109"/>
      <c r="I658" s="97"/>
      <c r="J658" s="97"/>
      <c r="K658" s="83"/>
      <c r="L658" s="111"/>
      <c r="M658" s="111"/>
      <c r="N658" s="111"/>
      <c r="O658" s="111"/>
      <c r="P658" s="111"/>
      <c r="Q658" s="111"/>
      <c r="R658" s="111"/>
    </row>
    <row r="659" spans="2:18" s="108" customFormat="1">
      <c r="B659" s="97"/>
      <c r="C659" s="110"/>
      <c r="D659" s="109"/>
      <c r="E659" s="97"/>
      <c r="F659" s="97"/>
      <c r="G659" s="109"/>
      <c r="H659" s="109"/>
      <c r="I659" s="97"/>
      <c r="J659" s="97"/>
      <c r="K659" s="83"/>
      <c r="L659" s="111"/>
      <c r="M659" s="111"/>
      <c r="N659" s="111"/>
      <c r="O659" s="111"/>
      <c r="P659" s="111"/>
      <c r="Q659" s="111"/>
      <c r="R659" s="111"/>
    </row>
    <row r="660" spans="2:18" s="108" customFormat="1">
      <c r="B660" s="97"/>
      <c r="C660" s="110"/>
      <c r="D660" s="109"/>
      <c r="E660" s="97"/>
      <c r="F660" s="97"/>
      <c r="G660" s="109"/>
      <c r="H660" s="109"/>
      <c r="I660" s="97"/>
      <c r="J660" s="97"/>
      <c r="K660" s="83"/>
      <c r="L660" s="111"/>
      <c r="M660" s="111"/>
      <c r="N660" s="111"/>
      <c r="O660" s="111"/>
      <c r="P660" s="111"/>
      <c r="Q660" s="111"/>
      <c r="R660" s="111"/>
    </row>
    <row r="661" spans="2:18" s="108" customFormat="1">
      <c r="B661" s="97"/>
      <c r="C661" s="110"/>
      <c r="D661" s="109"/>
      <c r="E661" s="97"/>
      <c r="F661" s="97"/>
      <c r="G661" s="109"/>
      <c r="H661" s="109"/>
      <c r="I661" s="97"/>
      <c r="J661" s="97"/>
      <c r="K661" s="83"/>
      <c r="L661" s="111"/>
      <c r="M661" s="111"/>
      <c r="N661" s="111"/>
      <c r="O661" s="111"/>
      <c r="P661" s="111"/>
      <c r="Q661" s="111"/>
      <c r="R661" s="111"/>
    </row>
    <row r="662" spans="2:18" s="108" customFormat="1">
      <c r="B662" s="97"/>
      <c r="C662" s="110"/>
      <c r="D662" s="109"/>
      <c r="E662" s="97"/>
      <c r="F662" s="97"/>
      <c r="G662" s="109"/>
      <c r="H662" s="109"/>
      <c r="I662" s="97"/>
      <c r="J662" s="97"/>
      <c r="K662" s="83"/>
      <c r="L662" s="111"/>
      <c r="M662" s="111"/>
      <c r="N662" s="111"/>
      <c r="O662" s="111"/>
      <c r="P662" s="111"/>
      <c r="Q662" s="111"/>
      <c r="R662" s="111"/>
    </row>
    <row r="663" spans="2:18" s="108" customFormat="1">
      <c r="B663" s="97"/>
      <c r="C663" s="110"/>
      <c r="D663" s="109"/>
      <c r="E663" s="97"/>
      <c r="F663" s="97"/>
      <c r="G663" s="109"/>
      <c r="H663" s="109"/>
      <c r="I663" s="97"/>
      <c r="J663" s="97"/>
      <c r="K663" s="83"/>
      <c r="L663" s="111"/>
      <c r="M663" s="111"/>
      <c r="N663" s="111"/>
      <c r="O663" s="111"/>
      <c r="P663" s="111"/>
      <c r="Q663" s="111"/>
      <c r="R663" s="111"/>
    </row>
    <row r="664" spans="2:18" s="108" customFormat="1">
      <c r="B664" s="97"/>
      <c r="C664" s="110"/>
      <c r="D664" s="109"/>
      <c r="E664" s="97"/>
      <c r="F664" s="97"/>
      <c r="G664" s="109"/>
      <c r="H664" s="109"/>
      <c r="I664" s="97"/>
      <c r="J664" s="97"/>
      <c r="K664" s="83"/>
      <c r="L664" s="111"/>
      <c r="M664" s="111"/>
      <c r="N664" s="111"/>
      <c r="O664" s="111"/>
      <c r="P664" s="111"/>
      <c r="Q664" s="111"/>
      <c r="R664" s="111"/>
    </row>
    <row r="665" spans="2:18" s="108" customFormat="1">
      <c r="B665" s="97"/>
      <c r="C665" s="110"/>
      <c r="D665" s="109"/>
      <c r="E665" s="97"/>
      <c r="F665" s="97"/>
      <c r="G665" s="109"/>
      <c r="H665" s="109"/>
      <c r="I665" s="97"/>
      <c r="J665" s="97"/>
      <c r="K665" s="83"/>
      <c r="L665" s="111"/>
      <c r="M665" s="111"/>
      <c r="N665" s="111"/>
      <c r="O665" s="111"/>
      <c r="P665" s="111"/>
      <c r="Q665" s="111"/>
      <c r="R665" s="111"/>
    </row>
    <row r="666" spans="2:18" s="108" customFormat="1">
      <c r="B666" s="97"/>
      <c r="C666" s="110"/>
      <c r="D666" s="109"/>
      <c r="E666" s="97"/>
      <c r="F666" s="97"/>
      <c r="G666" s="109"/>
      <c r="H666" s="109"/>
      <c r="I666" s="97"/>
      <c r="J666" s="97"/>
      <c r="K666" s="83"/>
      <c r="L666" s="111"/>
      <c r="M666" s="111"/>
      <c r="N666" s="111"/>
      <c r="O666" s="111"/>
      <c r="P666" s="111"/>
      <c r="Q666" s="111"/>
      <c r="R666" s="111"/>
    </row>
    <row r="667" spans="2:18" s="108" customFormat="1">
      <c r="B667" s="97"/>
      <c r="C667" s="110"/>
      <c r="D667" s="109"/>
      <c r="E667" s="97"/>
      <c r="F667" s="97"/>
      <c r="G667" s="109"/>
      <c r="H667" s="109"/>
      <c r="I667" s="97"/>
      <c r="J667" s="97"/>
      <c r="K667" s="83"/>
      <c r="L667" s="111"/>
      <c r="M667" s="111"/>
      <c r="N667" s="111"/>
      <c r="O667" s="111"/>
      <c r="P667" s="111"/>
      <c r="Q667" s="111"/>
      <c r="R667" s="111"/>
    </row>
    <row r="668" spans="2:18" s="108" customFormat="1">
      <c r="B668" s="97"/>
      <c r="C668" s="110"/>
      <c r="D668" s="109"/>
      <c r="E668" s="97"/>
      <c r="F668" s="97"/>
      <c r="G668" s="109"/>
      <c r="H668" s="109"/>
      <c r="I668" s="97"/>
      <c r="J668" s="97"/>
      <c r="K668" s="83"/>
      <c r="L668" s="111"/>
      <c r="M668" s="111"/>
      <c r="N668" s="111"/>
      <c r="O668" s="111"/>
      <c r="P668" s="111"/>
      <c r="Q668" s="111"/>
      <c r="R668" s="111"/>
    </row>
    <row r="669" spans="2:18" s="108" customFormat="1">
      <c r="B669" s="97"/>
      <c r="C669" s="110"/>
      <c r="D669" s="109"/>
      <c r="E669" s="97"/>
      <c r="F669" s="97"/>
      <c r="G669" s="109"/>
      <c r="H669" s="109"/>
      <c r="I669" s="97"/>
      <c r="J669" s="97"/>
      <c r="K669" s="83"/>
      <c r="L669" s="111"/>
      <c r="M669" s="111"/>
      <c r="N669" s="111"/>
      <c r="O669" s="111"/>
      <c r="P669" s="111"/>
      <c r="Q669" s="111"/>
      <c r="R669" s="111"/>
    </row>
    <row r="670" spans="2:18" s="108" customFormat="1">
      <c r="B670" s="97"/>
      <c r="C670" s="110"/>
      <c r="D670" s="109"/>
      <c r="E670" s="97"/>
      <c r="F670" s="97"/>
      <c r="G670" s="109"/>
      <c r="H670" s="109"/>
      <c r="I670" s="97"/>
      <c r="J670" s="97"/>
      <c r="K670" s="83"/>
      <c r="L670" s="111"/>
      <c r="M670" s="111"/>
      <c r="N670" s="111"/>
      <c r="O670" s="111"/>
      <c r="P670" s="111"/>
      <c r="Q670" s="111"/>
      <c r="R670" s="111"/>
    </row>
    <row r="671" spans="2:18" s="108" customFormat="1">
      <c r="B671" s="97"/>
      <c r="C671" s="110"/>
      <c r="D671" s="109"/>
      <c r="E671" s="97"/>
      <c r="F671" s="97"/>
      <c r="G671" s="109"/>
      <c r="H671" s="109"/>
      <c r="I671" s="97"/>
      <c r="J671" s="97"/>
      <c r="K671" s="83"/>
      <c r="L671" s="111"/>
      <c r="M671" s="111"/>
      <c r="N671" s="111"/>
      <c r="O671" s="111"/>
      <c r="P671" s="111"/>
      <c r="Q671" s="111"/>
      <c r="R671" s="111"/>
    </row>
    <row r="672" spans="2:18" s="108" customFormat="1">
      <c r="B672" s="97"/>
      <c r="C672" s="110"/>
      <c r="D672" s="109"/>
      <c r="E672" s="97"/>
      <c r="F672" s="97"/>
      <c r="G672" s="109"/>
      <c r="H672" s="109"/>
      <c r="I672" s="97"/>
      <c r="J672" s="97"/>
      <c r="K672" s="83"/>
      <c r="L672" s="111"/>
      <c r="M672" s="111"/>
      <c r="N672" s="111"/>
      <c r="O672" s="111"/>
      <c r="P672" s="111"/>
      <c r="Q672" s="111"/>
      <c r="R672" s="111"/>
    </row>
    <row r="673" spans="2:18" s="108" customFormat="1">
      <c r="B673" s="97"/>
      <c r="C673" s="110"/>
      <c r="D673" s="109"/>
      <c r="E673" s="97"/>
      <c r="F673" s="97"/>
      <c r="G673" s="109"/>
      <c r="H673" s="109"/>
      <c r="I673" s="97"/>
      <c r="J673" s="97"/>
      <c r="K673" s="83"/>
      <c r="L673" s="111"/>
      <c r="M673" s="111"/>
      <c r="N673" s="111"/>
      <c r="O673" s="111"/>
      <c r="P673" s="111"/>
      <c r="Q673" s="111"/>
      <c r="R673" s="111"/>
    </row>
    <row r="674" spans="2:18" s="108" customFormat="1">
      <c r="B674" s="97"/>
      <c r="C674" s="110"/>
      <c r="D674" s="109"/>
      <c r="E674" s="97"/>
      <c r="F674" s="97"/>
      <c r="G674" s="109"/>
      <c r="H674" s="109"/>
      <c r="I674" s="97"/>
      <c r="J674" s="97"/>
      <c r="K674" s="83"/>
      <c r="L674" s="111"/>
      <c r="M674" s="111"/>
      <c r="N674" s="111"/>
      <c r="O674" s="111"/>
      <c r="P674" s="111"/>
      <c r="Q674" s="111"/>
      <c r="R674" s="111"/>
    </row>
    <row r="675" spans="2:18" s="108" customFormat="1">
      <c r="B675" s="97"/>
      <c r="C675" s="110"/>
      <c r="D675" s="109"/>
      <c r="E675" s="97"/>
      <c r="F675" s="97"/>
      <c r="G675" s="109"/>
      <c r="H675" s="109"/>
      <c r="I675" s="97"/>
      <c r="J675" s="97"/>
      <c r="K675" s="83"/>
      <c r="L675" s="111"/>
      <c r="M675" s="111"/>
      <c r="N675" s="111"/>
      <c r="O675" s="111"/>
      <c r="P675" s="111"/>
      <c r="Q675" s="111"/>
      <c r="R675" s="111"/>
    </row>
    <row r="676" spans="2:18" s="108" customFormat="1">
      <c r="B676" s="97"/>
      <c r="C676" s="110"/>
      <c r="D676" s="109"/>
      <c r="E676" s="97"/>
      <c r="F676" s="97"/>
      <c r="G676" s="109"/>
      <c r="H676" s="109"/>
      <c r="I676" s="97"/>
      <c r="J676" s="97"/>
      <c r="K676" s="83"/>
      <c r="L676" s="111"/>
      <c r="M676" s="111"/>
      <c r="N676" s="111"/>
      <c r="O676" s="111"/>
      <c r="P676" s="111"/>
      <c r="Q676" s="111"/>
      <c r="R676" s="111"/>
    </row>
    <row r="677" spans="2:18" s="108" customFormat="1">
      <c r="B677" s="97"/>
      <c r="C677" s="110"/>
      <c r="D677" s="109"/>
      <c r="E677" s="97"/>
      <c r="F677" s="97"/>
      <c r="G677" s="109"/>
      <c r="H677" s="109"/>
      <c r="I677" s="97"/>
      <c r="J677" s="97"/>
      <c r="K677" s="83"/>
      <c r="L677" s="111"/>
      <c r="M677" s="111"/>
      <c r="N677" s="111"/>
      <c r="O677" s="111"/>
      <c r="P677" s="111"/>
      <c r="Q677" s="111"/>
      <c r="R677" s="111"/>
    </row>
    <row r="678" spans="2:18" s="108" customFormat="1">
      <c r="B678" s="97"/>
      <c r="C678" s="110"/>
      <c r="D678" s="109"/>
      <c r="E678" s="97"/>
      <c r="F678" s="97"/>
      <c r="G678" s="109"/>
      <c r="H678" s="109"/>
      <c r="I678" s="97"/>
      <c r="J678" s="97"/>
      <c r="K678" s="83"/>
      <c r="L678" s="111"/>
      <c r="M678" s="111"/>
      <c r="N678" s="111"/>
      <c r="O678" s="111"/>
      <c r="P678" s="111"/>
      <c r="Q678" s="111"/>
      <c r="R678" s="111"/>
    </row>
    <row r="679" spans="2:18" s="108" customFormat="1">
      <c r="B679" s="97"/>
      <c r="C679" s="110"/>
      <c r="D679" s="109"/>
      <c r="E679" s="97"/>
      <c r="F679" s="97"/>
      <c r="G679" s="109"/>
      <c r="H679" s="109"/>
      <c r="I679" s="97"/>
      <c r="J679" s="97"/>
      <c r="K679" s="83"/>
      <c r="L679" s="111"/>
      <c r="M679" s="111"/>
      <c r="N679" s="111"/>
      <c r="O679" s="111"/>
      <c r="P679" s="111"/>
      <c r="Q679" s="111"/>
      <c r="R679" s="111"/>
    </row>
    <row r="680" spans="2:18" s="108" customFormat="1">
      <c r="B680" s="97"/>
      <c r="C680" s="110"/>
      <c r="D680" s="109"/>
      <c r="E680" s="97"/>
      <c r="F680" s="97"/>
      <c r="G680" s="109"/>
      <c r="H680" s="109"/>
      <c r="I680" s="97"/>
      <c r="J680" s="97"/>
      <c r="K680" s="83"/>
      <c r="L680" s="111"/>
      <c r="M680" s="111"/>
      <c r="N680" s="111"/>
      <c r="O680" s="111"/>
      <c r="P680" s="111"/>
      <c r="Q680" s="111"/>
      <c r="R680" s="111"/>
    </row>
    <row r="681" spans="2:18" s="108" customFormat="1">
      <c r="B681" s="97"/>
      <c r="C681" s="110"/>
      <c r="D681" s="109"/>
      <c r="E681" s="97"/>
      <c r="F681" s="97"/>
      <c r="G681" s="109"/>
      <c r="H681" s="109"/>
      <c r="I681" s="97"/>
      <c r="J681" s="97"/>
      <c r="K681" s="83"/>
      <c r="L681" s="111"/>
      <c r="M681" s="111"/>
      <c r="N681" s="111"/>
      <c r="O681" s="111"/>
      <c r="P681" s="111"/>
      <c r="Q681" s="111"/>
      <c r="R681" s="111"/>
    </row>
    <row r="682" spans="2:18" s="108" customFormat="1">
      <c r="B682" s="97"/>
      <c r="C682" s="110"/>
      <c r="D682" s="109"/>
      <c r="E682" s="97"/>
      <c r="F682" s="97"/>
      <c r="G682" s="109"/>
      <c r="H682" s="109"/>
      <c r="I682" s="97"/>
      <c r="J682" s="97"/>
      <c r="K682" s="83"/>
      <c r="L682" s="111"/>
      <c r="M682" s="111"/>
      <c r="N682" s="111"/>
      <c r="O682" s="111"/>
      <c r="P682" s="111"/>
      <c r="Q682" s="111"/>
      <c r="R682" s="111"/>
    </row>
    <row r="683" spans="2:18" s="108" customFormat="1">
      <c r="B683" s="97"/>
      <c r="C683" s="110"/>
      <c r="D683" s="109"/>
      <c r="E683" s="97"/>
      <c r="F683" s="97"/>
      <c r="G683" s="109"/>
      <c r="H683" s="109"/>
      <c r="I683" s="97"/>
      <c r="J683" s="97"/>
      <c r="K683" s="83"/>
      <c r="L683" s="111"/>
      <c r="M683" s="111"/>
      <c r="N683" s="111"/>
      <c r="O683" s="111"/>
      <c r="P683" s="111"/>
      <c r="Q683" s="111"/>
      <c r="R683" s="111"/>
    </row>
    <row r="684" spans="2:18" s="108" customFormat="1">
      <c r="B684" s="97"/>
      <c r="C684" s="110"/>
      <c r="D684" s="109"/>
      <c r="E684" s="97"/>
      <c r="F684" s="97"/>
      <c r="G684" s="109"/>
      <c r="H684" s="109"/>
      <c r="I684" s="97"/>
      <c r="J684" s="97"/>
      <c r="K684" s="83"/>
      <c r="L684" s="111"/>
      <c r="M684" s="111"/>
      <c r="N684" s="111"/>
      <c r="O684" s="111"/>
      <c r="P684" s="111"/>
      <c r="Q684" s="111"/>
      <c r="R684" s="111"/>
    </row>
    <row r="685" spans="2:18" s="108" customFormat="1">
      <c r="B685" s="97"/>
      <c r="C685" s="110"/>
      <c r="D685" s="109"/>
      <c r="E685" s="97"/>
      <c r="F685" s="97"/>
      <c r="G685" s="109"/>
      <c r="H685" s="109"/>
      <c r="I685" s="97"/>
      <c r="J685" s="97"/>
      <c r="K685" s="83"/>
      <c r="L685" s="111"/>
      <c r="M685" s="111"/>
      <c r="N685" s="111"/>
      <c r="O685" s="111"/>
      <c r="P685" s="111"/>
      <c r="Q685" s="111"/>
      <c r="R685" s="111"/>
    </row>
    <row r="686" spans="2:18" s="108" customFormat="1">
      <c r="B686" s="97"/>
      <c r="C686" s="110"/>
      <c r="D686" s="109"/>
      <c r="E686" s="97"/>
      <c r="F686" s="97"/>
      <c r="G686" s="109"/>
      <c r="H686" s="109"/>
      <c r="I686" s="97"/>
      <c r="J686" s="97"/>
      <c r="K686" s="83"/>
      <c r="L686" s="111"/>
      <c r="M686" s="111"/>
      <c r="N686" s="111"/>
      <c r="O686" s="111"/>
      <c r="P686" s="111"/>
      <c r="Q686" s="111"/>
      <c r="R686" s="111"/>
    </row>
    <row r="687" spans="2:18" s="108" customFormat="1">
      <c r="B687" s="97"/>
      <c r="C687" s="110"/>
      <c r="D687" s="109"/>
      <c r="E687" s="97"/>
      <c r="F687" s="97"/>
      <c r="G687" s="109"/>
      <c r="H687" s="109"/>
      <c r="I687" s="97"/>
      <c r="J687" s="97"/>
      <c r="K687" s="83"/>
      <c r="L687" s="111"/>
      <c r="M687" s="111"/>
      <c r="N687" s="111"/>
      <c r="O687" s="111"/>
      <c r="P687" s="111"/>
      <c r="Q687" s="111"/>
      <c r="R687" s="111"/>
    </row>
    <row r="688" spans="2:18" s="108" customFormat="1">
      <c r="B688" s="97"/>
      <c r="C688" s="110"/>
      <c r="D688" s="109"/>
      <c r="E688" s="97"/>
      <c r="F688" s="97"/>
      <c r="G688" s="109"/>
      <c r="H688" s="109"/>
      <c r="I688" s="97"/>
      <c r="J688" s="97"/>
      <c r="K688" s="83"/>
      <c r="L688" s="111"/>
      <c r="M688" s="111"/>
      <c r="N688" s="111"/>
      <c r="O688" s="111"/>
      <c r="P688" s="111"/>
      <c r="Q688" s="111"/>
      <c r="R688" s="111"/>
    </row>
    <row r="689" spans="2:18" s="108" customFormat="1">
      <c r="B689" s="97"/>
      <c r="C689" s="110"/>
      <c r="D689" s="109"/>
      <c r="E689" s="97"/>
      <c r="F689" s="97"/>
      <c r="G689" s="109"/>
      <c r="H689" s="109"/>
      <c r="I689" s="97"/>
      <c r="J689" s="97"/>
      <c r="K689" s="83"/>
      <c r="L689" s="111"/>
      <c r="M689" s="111"/>
      <c r="N689" s="111"/>
      <c r="O689" s="111"/>
      <c r="P689" s="111"/>
      <c r="Q689" s="111"/>
      <c r="R689" s="111"/>
    </row>
    <row r="690" spans="2:18" s="108" customFormat="1">
      <c r="B690" s="97"/>
      <c r="C690" s="110"/>
      <c r="D690" s="109"/>
      <c r="E690" s="97"/>
      <c r="F690" s="97"/>
      <c r="G690" s="109"/>
      <c r="H690" s="109"/>
      <c r="I690" s="97"/>
      <c r="J690" s="97"/>
      <c r="K690" s="83"/>
      <c r="L690" s="111"/>
      <c r="M690" s="111"/>
      <c r="N690" s="111"/>
      <c r="O690" s="111"/>
      <c r="P690" s="111"/>
      <c r="Q690" s="111"/>
      <c r="R690" s="111"/>
    </row>
    <row r="691" spans="2:18" s="108" customFormat="1">
      <c r="B691" s="97"/>
      <c r="C691" s="110"/>
      <c r="D691" s="109"/>
      <c r="E691" s="97"/>
      <c r="F691" s="97"/>
      <c r="G691" s="109"/>
      <c r="H691" s="109"/>
      <c r="I691" s="97"/>
      <c r="J691" s="97"/>
      <c r="K691" s="83"/>
      <c r="L691" s="111"/>
      <c r="M691" s="111"/>
      <c r="N691" s="111"/>
      <c r="O691" s="111"/>
      <c r="P691" s="111"/>
      <c r="Q691" s="111"/>
      <c r="R691" s="111"/>
    </row>
    <row r="692" spans="2:18" s="108" customFormat="1">
      <c r="B692" s="97"/>
      <c r="C692" s="110"/>
      <c r="D692" s="109"/>
      <c r="E692" s="97"/>
      <c r="F692" s="97"/>
      <c r="G692" s="109"/>
      <c r="H692" s="109"/>
      <c r="I692" s="97"/>
      <c r="J692" s="97"/>
      <c r="K692" s="83"/>
      <c r="L692" s="111"/>
      <c r="M692" s="111"/>
      <c r="N692" s="111"/>
      <c r="O692" s="111"/>
      <c r="P692" s="111"/>
      <c r="Q692" s="111"/>
      <c r="R692" s="111"/>
    </row>
    <row r="693" spans="2:18" s="108" customFormat="1">
      <c r="B693" s="97"/>
      <c r="C693" s="110"/>
      <c r="D693" s="109"/>
      <c r="E693" s="97"/>
      <c r="F693" s="97"/>
      <c r="G693" s="109"/>
      <c r="H693" s="109"/>
      <c r="I693" s="97"/>
      <c r="J693" s="97"/>
      <c r="K693" s="83"/>
      <c r="L693" s="111"/>
      <c r="M693" s="111"/>
      <c r="N693" s="111"/>
      <c r="O693" s="111"/>
      <c r="P693" s="111"/>
      <c r="Q693" s="111"/>
      <c r="R693" s="111"/>
    </row>
    <row r="694" spans="2:18" s="108" customFormat="1">
      <c r="B694" s="97"/>
      <c r="C694" s="110"/>
      <c r="D694" s="109"/>
      <c r="E694" s="97"/>
      <c r="F694" s="97"/>
      <c r="G694" s="109"/>
      <c r="H694" s="109"/>
      <c r="I694" s="97"/>
      <c r="J694" s="97"/>
      <c r="K694" s="83"/>
      <c r="L694" s="111"/>
      <c r="M694" s="111"/>
      <c r="N694" s="111"/>
      <c r="O694" s="111"/>
      <c r="P694" s="111"/>
      <c r="Q694" s="111"/>
      <c r="R694" s="111"/>
    </row>
    <row r="695" spans="2:18" s="108" customFormat="1">
      <c r="B695" s="97"/>
      <c r="C695" s="110"/>
      <c r="D695" s="109"/>
      <c r="E695" s="97"/>
      <c r="F695" s="97"/>
      <c r="G695" s="109"/>
      <c r="H695" s="109"/>
      <c r="I695" s="97"/>
      <c r="J695" s="97"/>
      <c r="K695" s="83"/>
      <c r="L695" s="111"/>
      <c r="M695" s="111"/>
      <c r="N695" s="111"/>
      <c r="O695" s="111"/>
      <c r="P695" s="111"/>
      <c r="Q695" s="111"/>
      <c r="R695" s="111"/>
    </row>
    <row r="696" spans="2:18" s="108" customFormat="1">
      <c r="B696" s="97"/>
      <c r="C696" s="110"/>
      <c r="D696" s="109"/>
      <c r="E696" s="97"/>
      <c r="F696" s="97"/>
      <c r="G696" s="109"/>
      <c r="H696" s="109"/>
      <c r="I696" s="97"/>
      <c r="J696" s="97"/>
      <c r="K696" s="83"/>
      <c r="L696" s="111"/>
      <c r="M696" s="111"/>
      <c r="N696" s="111"/>
      <c r="O696" s="111"/>
      <c r="P696" s="111"/>
      <c r="Q696" s="111"/>
      <c r="R696" s="111"/>
    </row>
    <row r="697" spans="2:18" s="108" customFormat="1">
      <c r="B697" s="97"/>
      <c r="C697" s="110"/>
      <c r="D697" s="109"/>
      <c r="E697" s="97"/>
      <c r="F697" s="97"/>
      <c r="G697" s="109"/>
      <c r="H697" s="109"/>
      <c r="I697" s="97"/>
      <c r="J697" s="97"/>
      <c r="K697" s="83"/>
      <c r="L697" s="111"/>
      <c r="M697" s="111"/>
      <c r="N697" s="111"/>
      <c r="O697" s="111"/>
      <c r="P697" s="111"/>
      <c r="Q697" s="111"/>
      <c r="R697" s="111"/>
    </row>
    <row r="698" spans="2:18" s="108" customFormat="1">
      <c r="B698" s="97"/>
      <c r="C698" s="110"/>
      <c r="D698" s="109"/>
      <c r="E698" s="97"/>
      <c r="F698" s="97"/>
      <c r="G698" s="109"/>
      <c r="H698" s="109"/>
      <c r="I698" s="97"/>
      <c r="J698" s="97"/>
      <c r="K698" s="83"/>
      <c r="L698" s="111"/>
      <c r="M698" s="111"/>
      <c r="N698" s="111"/>
      <c r="O698" s="111"/>
      <c r="P698" s="111"/>
      <c r="Q698" s="111"/>
      <c r="R698" s="111"/>
    </row>
    <row r="699" spans="2:18" s="108" customFormat="1">
      <c r="B699" s="97"/>
      <c r="C699" s="110"/>
      <c r="D699" s="109"/>
      <c r="E699" s="97"/>
      <c r="F699" s="97"/>
      <c r="G699" s="109"/>
      <c r="H699" s="109"/>
      <c r="I699" s="97"/>
      <c r="J699" s="97"/>
      <c r="K699" s="83"/>
      <c r="L699" s="111"/>
      <c r="M699" s="111"/>
      <c r="N699" s="111"/>
      <c r="O699" s="111"/>
      <c r="P699" s="111"/>
      <c r="Q699" s="111"/>
      <c r="R699" s="111"/>
    </row>
    <row r="700" spans="2:18" s="108" customFormat="1">
      <c r="B700" s="97"/>
      <c r="C700" s="110"/>
      <c r="D700" s="109"/>
      <c r="E700" s="97"/>
      <c r="F700" s="97"/>
      <c r="G700" s="109"/>
      <c r="H700" s="109"/>
      <c r="I700" s="97"/>
      <c r="J700" s="97"/>
      <c r="K700" s="83"/>
      <c r="L700" s="111"/>
      <c r="M700" s="111"/>
      <c r="N700" s="111"/>
      <c r="O700" s="111"/>
      <c r="P700" s="111"/>
      <c r="Q700" s="111"/>
      <c r="R700" s="111"/>
    </row>
    <row r="701" spans="2:18" s="108" customFormat="1">
      <c r="B701" s="97"/>
      <c r="C701" s="110"/>
      <c r="D701" s="109"/>
      <c r="E701" s="97"/>
      <c r="F701" s="97"/>
      <c r="G701" s="109"/>
      <c r="H701" s="109"/>
      <c r="I701" s="97"/>
      <c r="J701" s="97"/>
      <c r="K701" s="83"/>
      <c r="L701" s="111"/>
      <c r="M701" s="111"/>
      <c r="N701" s="111"/>
      <c r="O701" s="111"/>
      <c r="P701" s="111"/>
      <c r="Q701" s="111"/>
      <c r="R701" s="111"/>
    </row>
    <row r="702" spans="2:18" s="108" customFormat="1">
      <c r="B702" s="97"/>
      <c r="C702" s="110"/>
      <c r="D702" s="109"/>
      <c r="E702" s="97"/>
      <c r="F702" s="97"/>
      <c r="G702" s="109"/>
      <c r="H702" s="109"/>
      <c r="I702" s="97"/>
      <c r="J702" s="97"/>
      <c r="K702" s="83"/>
      <c r="L702" s="111"/>
      <c r="M702" s="111"/>
      <c r="N702" s="111"/>
      <c r="O702" s="111"/>
      <c r="P702" s="111"/>
      <c r="Q702" s="111"/>
      <c r="R702" s="111"/>
    </row>
    <row r="703" spans="2:18" s="108" customFormat="1">
      <c r="B703" s="97"/>
      <c r="C703" s="110"/>
      <c r="D703" s="109"/>
      <c r="E703" s="97"/>
      <c r="F703" s="97"/>
      <c r="G703" s="109"/>
      <c r="H703" s="109"/>
      <c r="I703" s="97"/>
      <c r="J703" s="97"/>
      <c r="K703" s="83"/>
      <c r="L703" s="111"/>
      <c r="M703" s="111"/>
      <c r="N703" s="111"/>
      <c r="O703" s="111"/>
      <c r="P703" s="111"/>
      <c r="Q703" s="111"/>
      <c r="R703" s="111"/>
    </row>
    <row r="704" spans="2:18" s="108" customFormat="1">
      <c r="B704" s="97"/>
      <c r="C704" s="110"/>
      <c r="D704" s="109"/>
      <c r="E704" s="97"/>
      <c r="F704" s="97"/>
      <c r="G704" s="109"/>
      <c r="H704" s="109"/>
      <c r="I704" s="97"/>
      <c r="J704" s="97"/>
      <c r="K704" s="83"/>
      <c r="L704" s="111"/>
      <c r="M704" s="111"/>
      <c r="N704" s="111"/>
      <c r="O704" s="111"/>
      <c r="P704" s="111"/>
      <c r="Q704" s="111"/>
      <c r="R704" s="111"/>
    </row>
    <row r="705" spans="2:18" s="108" customFormat="1">
      <c r="B705" s="97"/>
      <c r="C705" s="110"/>
      <c r="D705" s="109"/>
      <c r="E705" s="97"/>
      <c r="F705" s="97"/>
      <c r="G705" s="109"/>
      <c r="H705" s="109"/>
      <c r="I705" s="97"/>
      <c r="J705" s="97"/>
      <c r="K705" s="83"/>
      <c r="L705" s="111"/>
      <c r="M705" s="111"/>
      <c r="N705" s="111"/>
      <c r="O705" s="111"/>
      <c r="P705" s="111"/>
      <c r="Q705" s="111"/>
      <c r="R705" s="111"/>
    </row>
    <row r="706" spans="2:18" s="108" customFormat="1">
      <c r="B706" s="97"/>
      <c r="C706" s="110"/>
      <c r="D706" s="109"/>
      <c r="E706" s="97"/>
      <c r="F706" s="97"/>
      <c r="G706" s="109"/>
      <c r="H706" s="109"/>
      <c r="I706" s="97"/>
      <c r="J706" s="97"/>
      <c r="K706" s="83"/>
      <c r="L706" s="111"/>
      <c r="M706" s="111"/>
      <c r="N706" s="111"/>
      <c r="O706" s="111"/>
      <c r="P706" s="111"/>
      <c r="Q706" s="111"/>
      <c r="R706" s="111"/>
    </row>
    <row r="707" spans="2:18" s="108" customFormat="1">
      <c r="B707" s="97"/>
      <c r="C707" s="110"/>
      <c r="D707" s="109"/>
      <c r="E707" s="97"/>
      <c r="F707" s="97"/>
      <c r="G707" s="109"/>
      <c r="H707" s="109"/>
      <c r="I707" s="97"/>
      <c r="J707" s="97"/>
      <c r="K707" s="83"/>
      <c r="L707" s="111"/>
      <c r="M707" s="111"/>
      <c r="N707" s="111"/>
      <c r="O707" s="111"/>
      <c r="P707" s="111"/>
      <c r="Q707" s="111"/>
      <c r="R707" s="111"/>
    </row>
    <row r="708" spans="2:18" s="108" customFormat="1">
      <c r="B708" s="97"/>
      <c r="C708" s="110"/>
      <c r="D708" s="109"/>
      <c r="E708" s="97"/>
      <c r="F708" s="97"/>
      <c r="G708" s="109"/>
      <c r="H708" s="109"/>
      <c r="I708" s="97"/>
      <c r="J708" s="97"/>
      <c r="K708" s="83"/>
      <c r="L708" s="111"/>
      <c r="M708" s="111"/>
      <c r="N708" s="111"/>
      <c r="O708" s="111"/>
      <c r="P708" s="111"/>
      <c r="Q708" s="111"/>
      <c r="R708" s="111"/>
    </row>
    <row r="709" spans="2:18" s="108" customFormat="1">
      <c r="B709" s="97"/>
      <c r="C709" s="110"/>
      <c r="D709" s="109"/>
      <c r="E709" s="97"/>
      <c r="F709" s="97"/>
      <c r="G709" s="109"/>
      <c r="H709" s="109"/>
      <c r="I709" s="97"/>
      <c r="J709" s="97"/>
      <c r="K709" s="83"/>
      <c r="L709" s="111"/>
      <c r="M709" s="111"/>
      <c r="N709" s="111"/>
      <c r="O709" s="111"/>
      <c r="P709" s="111"/>
      <c r="Q709" s="111"/>
      <c r="R709" s="111"/>
    </row>
    <row r="710" spans="2:18" s="108" customFormat="1">
      <c r="B710" s="97"/>
      <c r="C710" s="110"/>
      <c r="D710" s="109"/>
      <c r="E710" s="97"/>
      <c r="F710" s="97"/>
      <c r="G710" s="109"/>
      <c r="H710" s="109"/>
      <c r="I710" s="97"/>
      <c r="J710" s="97"/>
      <c r="K710" s="83"/>
      <c r="L710" s="111"/>
      <c r="M710" s="111"/>
      <c r="N710" s="111"/>
      <c r="O710" s="111"/>
      <c r="P710" s="111"/>
      <c r="Q710" s="111"/>
      <c r="R710" s="111"/>
    </row>
    <row r="711" spans="2:18" s="108" customFormat="1">
      <c r="B711" s="97"/>
      <c r="C711" s="110"/>
      <c r="D711" s="109"/>
      <c r="E711" s="97"/>
      <c r="F711" s="97"/>
      <c r="G711" s="109"/>
      <c r="H711" s="109"/>
      <c r="I711" s="97"/>
      <c r="J711" s="97"/>
      <c r="K711" s="83"/>
      <c r="L711" s="111"/>
      <c r="M711" s="111"/>
      <c r="N711" s="111"/>
      <c r="O711" s="111"/>
      <c r="P711" s="111"/>
      <c r="Q711" s="111"/>
      <c r="R711" s="111"/>
    </row>
    <row r="712" spans="2:18" s="108" customFormat="1">
      <c r="B712" s="97"/>
      <c r="C712" s="110"/>
      <c r="D712" s="109"/>
      <c r="E712" s="97"/>
      <c r="F712" s="97"/>
      <c r="G712" s="109"/>
      <c r="H712" s="109"/>
      <c r="I712" s="97"/>
      <c r="J712" s="97"/>
      <c r="K712" s="83"/>
      <c r="L712" s="111"/>
      <c r="M712" s="111"/>
      <c r="N712" s="111"/>
      <c r="O712" s="111"/>
      <c r="P712" s="111"/>
      <c r="Q712" s="111"/>
      <c r="R712" s="111"/>
    </row>
    <row r="713" spans="2:18" s="108" customFormat="1">
      <c r="B713" s="97"/>
      <c r="C713" s="110"/>
      <c r="D713" s="109"/>
      <c r="E713" s="97"/>
      <c r="F713" s="97"/>
      <c r="G713" s="109"/>
      <c r="H713" s="109"/>
      <c r="I713" s="97"/>
      <c r="J713" s="97"/>
      <c r="K713" s="83"/>
      <c r="L713" s="111"/>
      <c r="M713" s="111"/>
      <c r="N713" s="111"/>
      <c r="O713" s="111"/>
      <c r="P713" s="111"/>
      <c r="Q713" s="111"/>
      <c r="R713" s="111"/>
    </row>
    <row r="714" spans="2:18" s="108" customFormat="1">
      <c r="B714" s="97"/>
      <c r="C714" s="110"/>
      <c r="D714" s="109"/>
      <c r="E714" s="97"/>
      <c r="F714" s="97"/>
      <c r="G714" s="109"/>
      <c r="H714" s="109"/>
      <c r="I714" s="97"/>
      <c r="J714" s="97"/>
      <c r="K714" s="83"/>
      <c r="L714" s="111"/>
      <c r="M714" s="111"/>
      <c r="N714" s="111"/>
      <c r="O714" s="111"/>
      <c r="P714" s="111"/>
      <c r="Q714" s="111"/>
      <c r="R714" s="111"/>
    </row>
    <row r="715" spans="2:18" s="108" customFormat="1">
      <c r="B715" s="97"/>
      <c r="C715" s="110"/>
      <c r="D715" s="109"/>
      <c r="E715" s="97"/>
      <c r="F715" s="97"/>
      <c r="G715" s="109"/>
      <c r="H715" s="109"/>
      <c r="I715" s="97"/>
      <c r="J715" s="97"/>
      <c r="K715" s="83"/>
      <c r="L715" s="111"/>
      <c r="M715" s="111"/>
      <c r="N715" s="111"/>
      <c r="O715" s="111"/>
      <c r="P715" s="111"/>
      <c r="Q715" s="111"/>
      <c r="R715" s="111"/>
    </row>
    <row r="716" spans="2:18" s="108" customFormat="1">
      <c r="B716" s="97"/>
      <c r="C716" s="110"/>
      <c r="D716" s="109"/>
      <c r="E716" s="97"/>
      <c r="F716" s="97"/>
      <c r="G716" s="109"/>
      <c r="H716" s="109"/>
      <c r="I716" s="97"/>
      <c r="J716" s="97"/>
      <c r="K716" s="83"/>
      <c r="L716" s="111"/>
      <c r="M716" s="111"/>
      <c r="N716" s="111"/>
      <c r="O716" s="111"/>
      <c r="P716" s="111"/>
      <c r="Q716" s="111"/>
      <c r="R716" s="111"/>
    </row>
    <row r="717" spans="2:18" s="108" customFormat="1">
      <c r="B717" s="97"/>
      <c r="C717" s="110"/>
      <c r="D717" s="109"/>
      <c r="E717" s="97"/>
      <c r="F717" s="97"/>
      <c r="G717" s="109"/>
      <c r="H717" s="109"/>
      <c r="I717" s="97"/>
      <c r="J717" s="97"/>
      <c r="K717" s="83"/>
      <c r="L717" s="111"/>
      <c r="M717" s="111"/>
      <c r="N717" s="111"/>
      <c r="O717" s="111"/>
      <c r="P717" s="111"/>
      <c r="Q717" s="111"/>
      <c r="R717" s="111"/>
    </row>
    <row r="718" spans="2:18" s="108" customFormat="1">
      <c r="B718" s="97"/>
      <c r="C718" s="110"/>
      <c r="D718" s="109"/>
      <c r="E718" s="97"/>
      <c r="F718" s="97"/>
      <c r="G718" s="109"/>
      <c r="H718" s="109"/>
      <c r="I718" s="97"/>
      <c r="J718" s="97"/>
      <c r="K718" s="83"/>
      <c r="L718" s="111"/>
      <c r="M718" s="111"/>
      <c r="N718" s="111"/>
      <c r="O718" s="111"/>
      <c r="P718" s="111"/>
      <c r="Q718" s="111"/>
      <c r="R718" s="111"/>
    </row>
    <row r="719" spans="2:18" s="108" customFormat="1">
      <c r="B719" s="97"/>
      <c r="C719" s="110"/>
      <c r="D719" s="109"/>
      <c r="E719" s="97"/>
      <c r="F719" s="97"/>
      <c r="G719" s="109"/>
      <c r="H719" s="109"/>
      <c r="I719" s="97"/>
      <c r="J719" s="97"/>
      <c r="K719" s="83"/>
      <c r="L719" s="111"/>
      <c r="M719" s="111"/>
      <c r="N719" s="111"/>
      <c r="O719" s="111"/>
      <c r="P719" s="111"/>
      <c r="Q719" s="111"/>
      <c r="R719" s="111"/>
    </row>
    <row r="720" spans="2:18" s="108" customFormat="1">
      <c r="B720" s="97"/>
      <c r="C720" s="110"/>
      <c r="D720" s="109"/>
      <c r="E720" s="97"/>
      <c r="F720" s="97"/>
      <c r="G720" s="109"/>
      <c r="H720" s="109"/>
      <c r="I720" s="97"/>
      <c r="J720" s="97"/>
      <c r="K720" s="83"/>
      <c r="L720" s="111"/>
      <c r="M720" s="111"/>
      <c r="N720" s="111"/>
      <c r="O720" s="111"/>
      <c r="P720" s="111"/>
      <c r="Q720" s="111"/>
      <c r="R720" s="111"/>
    </row>
    <row r="721" spans="2:18" s="108" customFormat="1">
      <c r="B721" s="97"/>
      <c r="C721" s="110"/>
      <c r="D721" s="109"/>
      <c r="E721" s="97"/>
      <c r="F721" s="97"/>
      <c r="G721" s="109"/>
      <c r="H721" s="109"/>
      <c r="I721" s="97"/>
      <c r="J721" s="97"/>
      <c r="K721" s="83"/>
      <c r="L721" s="111"/>
      <c r="M721" s="111"/>
      <c r="N721" s="111"/>
      <c r="O721" s="111"/>
      <c r="P721" s="111"/>
      <c r="Q721" s="111"/>
      <c r="R721" s="111"/>
    </row>
    <row r="722" spans="2:18" s="108" customFormat="1">
      <c r="B722" s="97"/>
      <c r="C722" s="110"/>
      <c r="D722" s="109"/>
      <c r="E722" s="97"/>
      <c r="F722" s="97"/>
      <c r="G722" s="109"/>
      <c r="H722" s="109"/>
      <c r="I722" s="97"/>
      <c r="J722" s="97"/>
      <c r="K722" s="83"/>
      <c r="L722" s="111"/>
      <c r="M722" s="111"/>
      <c r="N722" s="111"/>
      <c r="O722" s="111"/>
      <c r="P722" s="111"/>
      <c r="Q722" s="111"/>
      <c r="R722" s="111"/>
    </row>
    <row r="723" spans="2:18" s="108" customFormat="1">
      <c r="B723" s="97"/>
      <c r="C723" s="110"/>
      <c r="D723" s="109"/>
      <c r="E723" s="97"/>
      <c r="F723" s="97"/>
      <c r="G723" s="109"/>
      <c r="H723" s="109"/>
      <c r="I723" s="97"/>
      <c r="J723" s="97"/>
      <c r="K723" s="83"/>
      <c r="L723" s="111"/>
      <c r="M723" s="111"/>
      <c r="N723" s="111"/>
      <c r="O723" s="111"/>
      <c r="P723" s="111"/>
      <c r="Q723" s="111"/>
      <c r="R723" s="111"/>
    </row>
    <row r="724" spans="2:18" s="108" customFormat="1">
      <c r="B724" s="97"/>
      <c r="C724" s="110"/>
      <c r="D724" s="109"/>
      <c r="E724" s="97"/>
      <c r="F724" s="97"/>
      <c r="G724" s="109"/>
      <c r="H724" s="109"/>
      <c r="I724" s="97"/>
      <c r="J724" s="97"/>
      <c r="K724" s="83"/>
      <c r="L724" s="111"/>
      <c r="M724" s="111"/>
      <c r="N724" s="111"/>
      <c r="O724" s="111"/>
      <c r="P724" s="111"/>
      <c r="Q724" s="111"/>
      <c r="R724" s="111"/>
    </row>
    <row r="725" spans="2:18" s="108" customFormat="1">
      <c r="B725" s="97"/>
      <c r="C725" s="110"/>
      <c r="D725" s="109"/>
      <c r="E725" s="97"/>
      <c r="F725" s="97"/>
      <c r="G725" s="109"/>
      <c r="H725" s="109"/>
      <c r="I725" s="97"/>
      <c r="J725" s="97"/>
      <c r="K725" s="83"/>
      <c r="L725" s="111"/>
      <c r="M725" s="111"/>
      <c r="N725" s="111"/>
      <c r="O725" s="111"/>
      <c r="P725" s="111"/>
      <c r="Q725" s="111"/>
      <c r="R725" s="111"/>
    </row>
    <row r="726" spans="2:18" s="108" customFormat="1">
      <c r="B726" s="97"/>
      <c r="C726" s="110"/>
      <c r="D726" s="109"/>
      <c r="E726" s="97"/>
      <c r="F726" s="97"/>
      <c r="G726" s="109"/>
      <c r="H726" s="109"/>
      <c r="I726" s="97"/>
      <c r="J726" s="97"/>
      <c r="K726" s="83"/>
      <c r="L726" s="111"/>
      <c r="M726" s="111"/>
      <c r="N726" s="111"/>
      <c r="O726" s="111"/>
      <c r="P726" s="111"/>
      <c r="Q726" s="111"/>
      <c r="R726" s="111"/>
    </row>
    <row r="727" spans="2:18" s="108" customFormat="1">
      <c r="B727" s="97"/>
      <c r="C727" s="110"/>
      <c r="D727" s="109"/>
      <c r="E727" s="97"/>
      <c r="F727" s="97"/>
      <c r="G727" s="109"/>
      <c r="H727" s="109"/>
      <c r="I727" s="97"/>
      <c r="J727" s="97"/>
      <c r="K727" s="83"/>
      <c r="L727" s="111"/>
      <c r="M727" s="111"/>
      <c r="N727" s="111"/>
      <c r="O727" s="111"/>
      <c r="P727" s="111"/>
      <c r="Q727" s="111"/>
      <c r="R727" s="111"/>
    </row>
    <row r="728" spans="2:18" s="108" customFormat="1">
      <c r="B728" s="97"/>
      <c r="C728" s="110"/>
      <c r="D728" s="109"/>
      <c r="E728" s="97"/>
      <c r="F728" s="97"/>
      <c r="G728" s="109"/>
      <c r="H728" s="109"/>
      <c r="I728" s="97"/>
      <c r="J728" s="97"/>
      <c r="K728" s="83"/>
      <c r="L728" s="111"/>
      <c r="M728" s="111"/>
      <c r="N728" s="111"/>
      <c r="O728" s="111"/>
      <c r="P728" s="111"/>
      <c r="Q728" s="111"/>
      <c r="R728" s="111"/>
    </row>
    <row r="729" spans="2:18" s="108" customFormat="1">
      <c r="B729" s="97"/>
      <c r="C729" s="110"/>
      <c r="D729" s="109"/>
      <c r="E729" s="97"/>
      <c r="F729" s="97"/>
      <c r="G729" s="109"/>
      <c r="H729" s="109"/>
      <c r="I729" s="97"/>
      <c r="J729" s="97"/>
      <c r="K729" s="83"/>
      <c r="L729" s="111"/>
      <c r="M729" s="111"/>
      <c r="N729" s="111"/>
      <c r="O729" s="111"/>
      <c r="P729" s="111"/>
      <c r="Q729" s="111"/>
      <c r="R729" s="111"/>
    </row>
    <row r="730" spans="2:18" s="108" customFormat="1">
      <c r="B730" s="97"/>
      <c r="C730" s="110"/>
      <c r="D730" s="109"/>
      <c r="E730" s="97"/>
      <c r="F730" s="97"/>
      <c r="G730" s="109"/>
      <c r="H730" s="109"/>
      <c r="I730" s="97"/>
      <c r="J730" s="97"/>
      <c r="K730" s="83"/>
      <c r="L730" s="111"/>
      <c r="M730" s="111"/>
      <c r="N730" s="111"/>
      <c r="O730" s="111"/>
      <c r="P730" s="111"/>
      <c r="Q730" s="111"/>
      <c r="R730" s="111"/>
    </row>
    <row r="731" spans="2:18" s="108" customFormat="1">
      <c r="B731" s="97"/>
      <c r="C731" s="110"/>
      <c r="D731" s="109"/>
      <c r="E731" s="97"/>
      <c r="F731" s="97"/>
      <c r="G731" s="109"/>
      <c r="H731" s="109"/>
      <c r="I731" s="97"/>
      <c r="J731" s="97"/>
      <c r="K731" s="83"/>
      <c r="L731" s="111"/>
      <c r="M731" s="111"/>
      <c r="N731" s="111"/>
      <c r="O731" s="111"/>
      <c r="P731" s="111"/>
      <c r="Q731" s="111"/>
      <c r="R731" s="111"/>
    </row>
    <row r="732" spans="2:18" s="108" customFormat="1">
      <c r="B732" s="97"/>
      <c r="C732" s="110"/>
      <c r="D732" s="109"/>
      <c r="E732" s="97"/>
      <c r="F732" s="97"/>
      <c r="G732" s="109"/>
      <c r="H732" s="109"/>
      <c r="I732" s="97"/>
      <c r="J732" s="97"/>
      <c r="K732" s="83"/>
      <c r="L732" s="111"/>
      <c r="M732" s="111"/>
      <c r="N732" s="111"/>
      <c r="O732" s="111"/>
      <c r="P732" s="111"/>
      <c r="Q732" s="111"/>
      <c r="R732" s="111"/>
    </row>
    <row r="733" spans="2:18" s="108" customFormat="1">
      <c r="B733" s="97"/>
      <c r="C733" s="110"/>
      <c r="D733" s="109"/>
      <c r="E733" s="97"/>
      <c r="F733" s="97"/>
      <c r="G733" s="109"/>
      <c r="H733" s="109"/>
      <c r="I733" s="97"/>
      <c r="J733" s="97"/>
      <c r="K733" s="83"/>
      <c r="L733" s="111"/>
      <c r="M733" s="111"/>
      <c r="N733" s="111"/>
      <c r="O733" s="111"/>
      <c r="P733" s="111"/>
      <c r="Q733" s="111"/>
      <c r="R733" s="111"/>
    </row>
    <row r="734" spans="2:18" s="108" customFormat="1">
      <c r="B734" s="97"/>
      <c r="C734" s="110"/>
      <c r="D734" s="109"/>
      <c r="E734" s="97"/>
      <c r="F734" s="97"/>
      <c r="G734" s="109"/>
      <c r="H734" s="109"/>
      <c r="I734" s="97"/>
      <c r="J734" s="97"/>
      <c r="K734" s="83"/>
      <c r="L734" s="111"/>
      <c r="M734" s="111"/>
      <c r="N734" s="111"/>
      <c r="O734" s="111"/>
      <c r="P734" s="111"/>
      <c r="Q734" s="111"/>
      <c r="R734" s="111"/>
    </row>
    <row r="735" spans="2:18" s="108" customFormat="1">
      <c r="B735" s="97"/>
      <c r="C735" s="110"/>
      <c r="D735" s="109"/>
      <c r="E735" s="97"/>
      <c r="F735" s="97"/>
      <c r="G735" s="109"/>
      <c r="H735" s="109"/>
      <c r="I735" s="97"/>
      <c r="J735" s="97"/>
      <c r="K735" s="83"/>
      <c r="L735" s="111"/>
      <c r="M735" s="111"/>
      <c r="N735" s="111"/>
      <c r="O735" s="111"/>
      <c r="P735" s="111"/>
      <c r="Q735" s="111"/>
      <c r="R735" s="111"/>
    </row>
    <row r="736" spans="2:18" s="108" customFormat="1">
      <c r="B736" s="97"/>
      <c r="C736" s="110"/>
      <c r="D736" s="109"/>
      <c r="E736" s="97"/>
      <c r="F736" s="97"/>
      <c r="G736" s="109"/>
      <c r="H736" s="109"/>
      <c r="I736" s="97"/>
      <c r="J736" s="97"/>
      <c r="K736" s="83"/>
      <c r="L736" s="111"/>
      <c r="M736" s="111"/>
      <c r="N736" s="111"/>
      <c r="O736" s="111"/>
      <c r="P736" s="111"/>
      <c r="Q736" s="111"/>
      <c r="R736" s="111"/>
    </row>
    <row r="737" spans="2:18" s="108" customFormat="1">
      <c r="B737" s="97"/>
      <c r="C737" s="110"/>
      <c r="D737" s="109"/>
      <c r="E737" s="97"/>
      <c r="F737" s="97"/>
      <c r="G737" s="109"/>
      <c r="H737" s="109"/>
      <c r="I737" s="97"/>
      <c r="J737" s="97"/>
      <c r="K737" s="83"/>
      <c r="L737" s="111"/>
      <c r="M737" s="111"/>
      <c r="N737" s="111"/>
      <c r="O737" s="111"/>
      <c r="P737" s="111"/>
      <c r="Q737" s="111"/>
      <c r="R737" s="111"/>
    </row>
    <row r="738" spans="2:18" s="108" customFormat="1">
      <c r="B738" s="97"/>
      <c r="C738" s="110"/>
      <c r="D738" s="109"/>
      <c r="E738" s="97"/>
      <c r="F738" s="97"/>
      <c r="G738" s="109"/>
      <c r="H738" s="109"/>
      <c r="I738" s="97"/>
      <c r="J738" s="97"/>
      <c r="K738" s="83"/>
      <c r="L738" s="111"/>
      <c r="M738" s="111"/>
      <c r="N738" s="111"/>
      <c r="O738" s="111"/>
      <c r="P738" s="111"/>
      <c r="Q738" s="111"/>
      <c r="R738" s="111"/>
    </row>
    <row r="739" spans="2:18" s="108" customFormat="1">
      <c r="B739" s="97"/>
      <c r="C739" s="110"/>
      <c r="D739" s="109"/>
      <c r="E739" s="97"/>
      <c r="F739" s="97"/>
      <c r="G739" s="109"/>
      <c r="H739" s="109"/>
      <c r="I739" s="97"/>
      <c r="J739" s="97"/>
      <c r="K739" s="83"/>
      <c r="L739" s="111"/>
      <c r="M739" s="111"/>
      <c r="N739" s="111"/>
      <c r="O739" s="111"/>
      <c r="P739" s="111"/>
      <c r="Q739" s="111"/>
      <c r="R739" s="111"/>
    </row>
    <row r="740" spans="2:18" s="108" customFormat="1">
      <c r="B740" s="97"/>
      <c r="C740" s="110"/>
      <c r="D740" s="109"/>
      <c r="E740" s="97"/>
      <c r="F740" s="97"/>
      <c r="G740" s="109"/>
      <c r="H740" s="109"/>
      <c r="I740" s="97"/>
      <c r="J740" s="97"/>
      <c r="K740" s="83"/>
      <c r="L740" s="111"/>
      <c r="M740" s="111"/>
      <c r="N740" s="111"/>
      <c r="O740" s="111"/>
      <c r="P740" s="111"/>
      <c r="Q740" s="111"/>
      <c r="R740" s="111"/>
    </row>
    <row r="741" spans="2:18" s="108" customFormat="1">
      <c r="B741" s="97"/>
      <c r="C741" s="110"/>
      <c r="D741" s="109"/>
      <c r="E741" s="97"/>
      <c r="F741" s="97"/>
      <c r="G741" s="109"/>
      <c r="H741" s="109"/>
      <c r="I741" s="97"/>
      <c r="J741" s="97"/>
      <c r="K741" s="83"/>
      <c r="L741" s="111"/>
      <c r="M741" s="111"/>
      <c r="N741" s="111"/>
      <c r="O741" s="111"/>
      <c r="P741" s="111"/>
      <c r="Q741" s="111"/>
      <c r="R741" s="111"/>
    </row>
    <row r="742" spans="2:18" s="108" customFormat="1">
      <c r="B742" s="97"/>
      <c r="C742" s="110"/>
      <c r="D742" s="109"/>
      <c r="E742" s="97"/>
      <c r="F742" s="97"/>
      <c r="G742" s="109"/>
      <c r="H742" s="109"/>
      <c r="I742" s="97"/>
      <c r="J742" s="97"/>
      <c r="K742" s="83"/>
      <c r="L742" s="111"/>
      <c r="M742" s="111"/>
      <c r="N742" s="111"/>
      <c r="O742" s="111"/>
      <c r="P742" s="111"/>
      <c r="Q742" s="111"/>
      <c r="R742" s="111"/>
    </row>
    <row r="743" spans="2:18" s="108" customFormat="1">
      <c r="B743" s="97"/>
      <c r="C743" s="110"/>
      <c r="D743" s="109"/>
      <c r="E743" s="97"/>
      <c r="F743" s="97"/>
      <c r="G743" s="109"/>
      <c r="H743" s="109"/>
      <c r="I743" s="97"/>
      <c r="J743" s="97"/>
      <c r="K743" s="83"/>
      <c r="L743" s="111"/>
      <c r="M743" s="111"/>
      <c r="N743" s="111"/>
      <c r="O743" s="111"/>
      <c r="P743" s="111"/>
      <c r="Q743" s="111"/>
      <c r="R743" s="111"/>
    </row>
    <row r="744" spans="2:18" s="108" customFormat="1">
      <c r="B744" s="97"/>
      <c r="C744" s="110"/>
      <c r="D744" s="109"/>
      <c r="E744" s="97"/>
      <c r="F744" s="97"/>
      <c r="G744" s="109"/>
      <c r="H744" s="109"/>
      <c r="I744" s="97"/>
      <c r="J744" s="97"/>
      <c r="K744" s="83"/>
      <c r="L744" s="111"/>
      <c r="M744" s="111"/>
      <c r="N744" s="111"/>
      <c r="O744" s="111"/>
      <c r="P744" s="111"/>
      <c r="Q744" s="111"/>
      <c r="R744" s="111"/>
    </row>
    <row r="745" spans="2:18" s="108" customFormat="1">
      <c r="B745" s="97"/>
      <c r="C745" s="110"/>
      <c r="D745" s="109"/>
      <c r="E745" s="97"/>
      <c r="F745" s="97"/>
      <c r="G745" s="109"/>
      <c r="H745" s="109"/>
      <c r="I745" s="97"/>
      <c r="J745" s="97"/>
      <c r="K745" s="83"/>
      <c r="L745" s="111"/>
      <c r="M745" s="111"/>
      <c r="N745" s="111"/>
      <c r="O745" s="111"/>
      <c r="P745" s="111"/>
      <c r="Q745" s="111"/>
      <c r="R745" s="111"/>
    </row>
    <row r="746" spans="2:18" s="108" customFormat="1">
      <c r="B746" s="97"/>
      <c r="C746" s="110"/>
      <c r="D746" s="109"/>
      <c r="E746" s="97"/>
      <c r="F746" s="97"/>
      <c r="G746" s="109"/>
      <c r="H746" s="109"/>
      <c r="I746" s="97"/>
      <c r="J746" s="97"/>
      <c r="K746" s="83"/>
      <c r="L746" s="111"/>
      <c r="M746" s="111"/>
      <c r="N746" s="111"/>
      <c r="O746" s="111"/>
      <c r="P746" s="111"/>
      <c r="Q746" s="111"/>
      <c r="R746" s="111"/>
    </row>
    <row r="747" spans="2:18" s="108" customFormat="1">
      <c r="B747" s="97"/>
      <c r="C747" s="110"/>
      <c r="D747" s="109"/>
      <c r="E747" s="97"/>
      <c r="F747" s="97"/>
      <c r="G747" s="109"/>
      <c r="H747" s="109"/>
      <c r="I747" s="97"/>
      <c r="J747" s="97"/>
      <c r="K747" s="83"/>
      <c r="L747" s="111"/>
      <c r="M747" s="111"/>
      <c r="N747" s="111"/>
      <c r="O747" s="111"/>
      <c r="P747" s="111"/>
      <c r="Q747" s="111"/>
      <c r="R747" s="111"/>
    </row>
    <row r="748" spans="2:18" s="108" customFormat="1">
      <c r="B748" s="97"/>
      <c r="C748" s="110"/>
      <c r="D748" s="109"/>
      <c r="E748" s="97"/>
      <c r="F748" s="97"/>
      <c r="G748" s="109"/>
      <c r="H748" s="109"/>
      <c r="I748" s="97"/>
      <c r="J748" s="97"/>
      <c r="K748" s="83"/>
      <c r="L748" s="111"/>
      <c r="M748" s="111"/>
      <c r="N748" s="111"/>
      <c r="O748" s="111"/>
      <c r="P748" s="111"/>
      <c r="Q748" s="111"/>
      <c r="R748" s="111"/>
    </row>
    <row r="749" spans="2:18" s="108" customFormat="1">
      <c r="B749" s="97"/>
      <c r="C749" s="110"/>
      <c r="D749" s="109"/>
      <c r="E749" s="97"/>
      <c r="F749" s="97"/>
      <c r="G749" s="109"/>
      <c r="H749" s="109"/>
      <c r="I749" s="97"/>
      <c r="J749" s="97"/>
      <c r="K749" s="83"/>
      <c r="L749" s="111"/>
      <c r="M749" s="111"/>
      <c r="N749" s="111"/>
      <c r="O749" s="111"/>
      <c r="P749" s="111"/>
      <c r="Q749" s="111"/>
      <c r="R749" s="111"/>
    </row>
    <row r="750" spans="2:18" s="108" customFormat="1">
      <c r="B750" s="97"/>
      <c r="C750" s="110"/>
      <c r="D750" s="109"/>
      <c r="E750" s="97"/>
      <c r="F750" s="97"/>
      <c r="G750" s="109"/>
      <c r="H750" s="109"/>
      <c r="I750" s="97"/>
      <c r="J750" s="97"/>
      <c r="K750" s="83"/>
      <c r="L750" s="111"/>
      <c r="M750" s="111"/>
      <c r="N750" s="111"/>
      <c r="O750" s="111"/>
      <c r="P750" s="111"/>
      <c r="Q750" s="111"/>
      <c r="R750" s="111"/>
    </row>
    <row r="751" spans="2:18" s="108" customFormat="1">
      <c r="B751" s="97"/>
      <c r="C751" s="110"/>
      <c r="D751" s="109"/>
      <c r="E751" s="97"/>
      <c r="F751" s="97"/>
      <c r="G751" s="109"/>
      <c r="H751" s="109"/>
      <c r="I751" s="97"/>
      <c r="J751" s="97"/>
      <c r="K751" s="83"/>
      <c r="L751" s="111"/>
      <c r="M751" s="111"/>
      <c r="N751" s="111"/>
      <c r="O751" s="111"/>
      <c r="P751" s="111"/>
      <c r="Q751" s="111"/>
      <c r="R751" s="111"/>
    </row>
    <row r="752" spans="2:18" s="108" customFormat="1">
      <c r="B752" s="97"/>
      <c r="C752" s="110"/>
      <c r="D752" s="109"/>
      <c r="E752" s="97"/>
      <c r="F752" s="97"/>
      <c r="G752" s="109"/>
      <c r="H752" s="109"/>
      <c r="I752" s="97"/>
      <c r="J752" s="97"/>
      <c r="K752" s="83"/>
      <c r="L752" s="111"/>
      <c r="M752" s="111"/>
      <c r="N752" s="111"/>
      <c r="O752" s="111"/>
      <c r="P752" s="111"/>
      <c r="Q752" s="111"/>
      <c r="R752" s="111"/>
    </row>
    <row r="753" spans="2:18" s="108" customFormat="1">
      <c r="B753" s="97"/>
      <c r="C753" s="110"/>
      <c r="D753" s="109"/>
      <c r="E753" s="97"/>
      <c r="F753" s="97"/>
      <c r="G753" s="109"/>
      <c r="H753" s="109"/>
      <c r="I753" s="97"/>
      <c r="J753" s="97"/>
      <c r="K753" s="83"/>
      <c r="L753" s="111"/>
      <c r="M753" s="111"/>
      <c r="N753" s="111"/>
      <c r="O753" s="111"/>
      <c r="P753" s="111"/>
      <c r="Q753" s="111"/>
      <c r="R753" s="111"/>
    </row>
    <row r="754" spans="2:18" s="108" customFormat="1">
      <c r="B754" s="97"/>
      <c r="C754" s="110"/>
      <c r="D754" s="109"/>
      <c r="E754" s="97"/>
      <c r="F754" s="97"/>
      <c r="G754" s="109"/>
      <c r="H754" s="109"/>
      <c r="I754" s="97"/>
      <c r="J754" s="97"/>
      <c r="K754" s="83"/>
      <c r="L754" s="111"/>
      <c r="M754" s="111"/>
      <c r="N754" s="111"/>
      <c r="O754" s="111"/>
      <c r="P754" s="111"/>
      <c r="Q754" s="111"/>
      <c r="R754" s="111"/>
    </row>
    <row r="755" spans="2:18" s="108" customFormat="1">
      <c r="B755" s="97"/>
      <c r="C755" s="110"/>
      <c r="D755" s="109"/>
      <c r="E755" s="97"/>
      <c r="F755" s="97"/>
      <c r="G755" s="109"/>
      <c r="H755" s="109"/>
      <c r="I755" s="97"/>
      <c r="J755" s="97"/>
      <c r="K755" s="83"/>
      <c r="L755" s="111"/>
      <c r="M755" s="111"/>
      <c r="N755" s="111"/>
      <c r="O755" s="111"/>
      <c r="P755" s="111"/>
      <c r="Q755" s="111"/>
      <c r="R755" s="111"/>
    </row>
    <row r="756" spans="2:18" s="108" customFormat="1">
      <c r="B756" s="97"/>
      <c r="C756" s="110"/>
      <c r="D756" s="109"/>
      <c r="E756" s="97"/>
      <c r="F756" s="97"/>
      <c r="G756" s="109"/>
      <c r="H756" s="109"/>
      <c r="I756" s="97"/>
      <c r="J756" s="97"/>
      <c r="K756" s="83"/>
      <c r="L756" s="111"/>
      <c r="M756" s="111"/>
      <c r="N756" s="111"/>
      <c r="O756" s="111"/>
      <c r="P756" s="111"/>
      <c r="Q756" s="111"/>
      <c r="R756" s="111"/>
    </row>
    <row r="757" spans="2:18" s="108" customFormat="1">
      <c r="B757" s="97"/>
      <c r="C757" s="110"/>
      <c r="D757" s="109"/>
      <c r="E757" s="97"/>
      <c r="F757" s="97"/>
      <c r="G757" s="109"/>
      <c r="H757" s="109"/>
      <c r="I757" s="97"/>
      <c r="J757" s="97"/>
      <c r="K757" s="83"/>
      <c r="L757" s="111"/>
      <c r="M757" s="111"/>
      <c r="N757" s="111"/>
      <c r="O757" s="111"/>
      <c r="P757" s="111"/>
      <c r="Q757" s="111"/>
      <c r="R757" s="111"/>
    </row>
    <row r="758" spans="2:18" s="108" customFormat="1">
      <c r="B758" s="97"/>
      <c r="C758" s="110"/>
      <c r="D758" s="109"/>
      <c r="E758" s="97"/>
      <c r="F758" s="97"/>
      <c r="G758" s="109"/>
      <c r="H758" s="109"/>
      <c r="I758" s="97"/>
      <c r="J758" s="97"/>
      <c r="K758" s="83"/>
      <c r="L758" s="111"/>
      <c r="M758" s="111"/>
      <c r="N758" s="111"/>
      <c r="O758" s="111"/>
      <c r="P758" s="111"/>
      <c r="Q758" s="111"/>
      <c r="R758" s="111"/>
    </row>
    <row r="759" spans="2:18" s="108" customFormat="1">
      <c r="B759" s="97"/>
      <c r="C759" s="110"/>
      <c r="D759" s="109"/>
      <c r="E759" s="97"/>
      <c r="F759" s="97"/>
      <c r="G759" s="109"/>
      <c r="H759" s="109"/>
      <c r="I759" s="97"/>
      <c r="J759" s="97"/>
      <c r="K759" s="83"/>
      <c r="L759" s="111"/>
      <c r="M759" s="111"/>
      <c r="N759" s="111"/>
      <c r="O759" s="111"/>
      <c r="P759" s="111"/>
      <c r="Q759" s="111"/>
      <c r="R759" s="111"/>
    </row>
    <row r="760" spans="2:18" s="108" customFormat="1">
      <c r="B760" s="97"/>
      <c r="C760" s="110"/>
      <c r="D760" s="109"/>
      <c r="E760" s="97"/>
      <c r="F760" s="97"/>
      <c r="G760" s="109"/>
      <c r="H760" s="109"/>
      <c r="I760" s="97"/>
      <c r="J760" s="97"/>
      <c r="K760" s="83"/>
      <c r="L760" s="111"/>
      <c r="M760" s="111"/>
      <c r="N760" s="111"/>
      <c r="O760" s="111"/>
      <c r="P760" s="111"/>
      <c r="Q760" s="111"/>
      <c r="R760" s="111"/>
    </row>
    <row r="761" spans="2:18" s="108" customFormat="1">
      <c r="B761" s="97"/>
      <c r="C761" s="110"/>
      <c r="D761" s="109"/>
      <c r="E761" s="97"/>
      <c r="F761" s="97"/>
      <c r="G761" s="109"/>
      <c r="H761" s="109"/>
      <c r="I761" s="97"/>
      <c r="J761" s="97"/>
      <c r="K761" s="83"/>
      <c r="L761" s="111"/>
      <c r="M761" s="111"/>
      <c r="N761" s="111"/>
      <c r="O761" s="111"/>
      <c r="P761" s="111"/>
      <c r="Q761" s="111"/>
      <c r="R761" s="111"/>
    </row>
    <row r="762" spans="2:18" s="108" customFormat="1">
      <c r="B762" s="97"/>
      <c r="C762" s="110"/>
      <c r="D762" s="109"/>
      <c r="E762" s="97"/>
      <c r="F762" s="97"/>
      <c r="G762" s="109"/>
      <c r="H762" s="109"/>
      <c r="I762" s="97"/>
      <c r="J762" s="97"/>
      <c r="K762" s="83"/>
      <c r="L762" s="111"/>
      <c r="M762" s="111"/>
      <c r="N762" s="111"/>
      <c r="O762" s="111"/>
      <c r="P762" s="111"/>
      <c r="Q762" s="111"/>
      <c r="R762" s="111"/>
    </row>
    <row r="763" spans="2:18" s="108" customFormat="1">
      <c r="B763" s="97"/>
      <c r="C763" s="110"/>
      <c r="D763" s="109"/>
      <c r="E763" s="97"/>
      <c r="F763" s="97"/>
      <c r="G763" s="109"/>
      <c r="H763" s="109"/>
      <c r="I763" s="97"/>
      <c r="J763" s="97"/>
      <c r="K763" s="83"/>
      <c r="L763" s="111"/>
      <c r="M763" s="111"/>
      <c r="N763" s="111"/>
      <c r="O763" s="111"/>
      <c r="P763" s="111"/>
      <c r="Q763" s="111"/>
      <c r="R763" s="111"/>
    </row>
    <row r="764" spans="2:18" s="108" customFormat="1">
      <c r="B764" s="97"/>
      <c r="C764" s="110"/>
      <c r="D764" s="109"/>
      <c r="E764" s="97"/>
      <c r="F764" s="97"/>
      <c r="G764" s="109"/>
      <c r="H764" s="109"/>
      <c r="I764" s="97"/>
      <c r="J764" s="97"/>
      <c r="K764" s="83"/>
      <c r="L764" s="111"/>
      <c r="M764" s="111"/>
      <c r="N764" s="111"/>
      <c r="O764" s="111"/>
      <c r="P764" s="111"/>
      <c r="Q764" s="111"/>
      <c r="R764" s="111"/>
    </row>
    <row r="765" spans="2:18" s="108" customFormat="1">
      <c r="B765" s="97"/>
      <c r="C765" s="110"/>
      <c r="D765" s="109"/>
      <c r="E765" s="97"/>
      <c r="F765" s="97"/>
      <c r="G765" s="109"/>
      <c r="H765" s="109"/>
      <c r="I765" s="97"/>
      <c r="J765" s="97"/>
      <c r="K765" s="83"/>
      <c r="L765" s="111"/>
      <c r="M765" s="111"/>
      <c r="N765" s="111"/>
      <c r="O765" s="111"/>
      <c r="P765" s="111"/>
      <c r="Q765" s="111"/>
      <c r="R765" s="111"/>
    </row>
    <row r="766" spans="2:18" s="108" customFormat="1">
      <c r="B766" s="97"/>
      <c r="C766" s="110"/>
      <c r="D766" s="109"/>
      <c r="E766" s="97"/>
      <c r="F766" s="97"/>
      <c r="G766" s="109"/>
      <c r="H766" s="109"/>
      <c r="I766" s="97"/>
      <c r="J766" s="97"/>
      <c r="K766" s="83"/>
      <c r="L766" s="111"/>
      <c r="M766" s="111"/>
      <c r="N766" s="111"/>
      <c r="O766" s="111"/>
      <c r="P766" s="111"/>
      <c r="Q766" s="111"/>
      <c r="R766" s="111"/>
    </row>
    <row r="767" spans="2:18" s="108" customFormat="1">
      <c r="B767" s="97"/>
      <c r="C767" s="110"/>
      <c r="D767" s="109"/>
      <c r="E767" s="97"/>
      <c r="F767" s="97"/>
      <c r="G767" s="109"/>
      <c r="H767" s="109"/>
      <c r="I767" s="97"/>
      <c r="J767" s="97"/>
      <c r="K767" s="83"/>
      <c r="L767" s="111"/>
      <c r="M767" s="111"/>
      <c r="N767" s="111"/>
      <c r="O767" s="111"/>
      <c r="P767" s="111"/>
      <c r="Q767" s="111"/>
      <c r="R767" s="111"/>
    </row>
    <row r="768" spans="2:18" s="108" customFormat="1">
      <c r="B768" s="97"/>
      <c r="C768" s="110"/>
      <c r="D768" s="109"/>
      <c r="E768" s="97"/>
      <c r="F768" s="97"/>
      <c r="G768" s="109"/>
      <c r="H768" s="109"/>
      <c r="I768" s="97"/>
      <c r="J768" s="97"/>
      <c r="K768" s="83"/>
      <c r="L768" s="111"/>
      <c r="M768" s="111"/>
      <c r="N768" s="111"/>
      <c r="O768" s="111"/>
      <c r="P768" s="111"/>
      <c r="Q768" s="111"/>
      <c r="R768" s="111"/>
    </row>
    <row r="769" spans="2:18" s="108" customFormat="1">
      <c r="B769" s="97"/>
      <c r="C769" s="110"/>
      <c r="D769" s="109"/>
      <c r="E769" s="97"/>
      <c r="F769" s="97"/>
      <c r="G769" s="109"/>
      <c r="H769" s="109"/>
      <c r="I769" s="97"/>
      <c r="J769" s="97"/>
      <c r="K769" s="83"/>
      <c r="L769" s="111"/>
      <c r="M769" s="111"/>
      <c r="N769" s="111"/>
      <c r="O769" s="111"/>
      <c r="P769" s="111"/>
      <c r="Q769" s="111"/>
      <c r="R769" s="111"/>
    </row>
    <row r="770" spans="2:18" s="108" customFormat="1">
      <c r="B770" s="97"/>
      <c r="C770" s="110"/>
      <c r="D770" s="109"/>
      <c r="E770" s="97"/>
      <c r="F770" s="97"/>
      <c r="G770" s="109"/>
      <c r="H770" s="109"/>
      <c r="I770" s="97"/>
      <c r="J770" s="97"/>
      <c r="K770" s="83"/>
      <c r="L770" s="111"/>
      <c r="M770" s="111"/>
      <c r="N770" s="111"/>
      <c r="O770" s="111"/>
      <c r="P770" s="111"/>
      <c r="Q770" s="111"/>
      <c r="R770" s="111"/>
    </row>
    <row r="771" spans="2:18" s="108" customFormat="1">
      <c r="B771" s="97"/>
      <c r="C771" s="110"/>
      <c r="D771" s="109"/>
      <c r="E771" s="97"/>
      <c r="F771" s="97"/>
      <c r="G771" s="109"/>
      <c r="H771" s="109"/>
      <c r="I771" s="97"/>
      <c r="J771" s="97"/>
      <c r="K771" s="83"/>
      <c r="L771" s="111"/>
      <c r="M771" s="111"/>
      <c r="N771" s="111"/>
      <c r="O771" s="111"/>
      <c r="P771" s="111"/>
      <c r="Q771" s="111"/>
      <c r="R771" s="111"/>
    </row>
    <row r="772" spans="2:18" s="108" customFormat="1">
      <c r="B772" s="97"/>
      <c r="C772" s="110"/>
      <c r="D772" s="109"/>
      <c r="E772" s="97"/>
      <c r="F772" s="97"/>
      <c r="G772" s="109"/>
      <c r="H772" s="109"/>
      <c r="I772" s="97"/>
      <c r="J772" s="97"/>
      <c r="K772" s="83"/>
      <c r="L772" s="111"/>
      <c r="M772" s="111"/>
      <c r="N772" s="111"/>
      <c r="O772" s="111"/>
      <c r="P772" s="111"/>
      <c r="Q772" s="111"/>
      <c r="R772" s="111"/>
    </row>
    <row r="773" spans="2:18" s="108" customFormat="1">
      <c r="B773" s="97"/>
      <c r="C773" s="110"/>
      <c r="D773" s="109"/>
      <c r="E773" s="97"/>
      <c r="F773" s="97"/>
      <c r="G773" s="109"/>
      <c r="H773" s="109"/>
      <c r="I773" s="97"/>
      <c r="J773" s="97"/>
      <c r="K773" s="83"/>
      <c r="L773" s="111"/>
      <c r="M773" s="111"/>
      <c r="N773" s="111"/>
      <c r="O773" s="111"/>
      <c r="P773" s="111"/>
      <c r="Q773" s="111"/>
      <c r="R773" s="111"/>
    </row>
    <row r="774" spans="2:18" s="108" customFormat="1">
      <c r="B774" s="97"/>
      <c r="C774" s="110"/>
      <c r="D774" s="109"/>
      <c r="E774" s="97"/>
      <c r="F774" s="97"/>
      <c r="G774" s="109"/>
      <c r="H774" s="109"/>
      <c r="I774" s="97"/>
      <c r="J774" s="97"/>
      <c r="K774" s="83"/>
      <c r="L774" s="111"/>
      <c r="M774" s="111"/>
      <c r="N774" s="111"/>
      <c r="O774" s="111"/>
      <c r="P774" s="111"/>
      <c r="Q774" s="111"/>
      <c r="R774" s="111"/>
    </row>
    <row r="775" spans="2:18" s="108" customFormat="1">
      <c r="B775" s="97"/>
      <c r="C775" s="110"/>
      <c r="D775" s="109"/>
      <c r="E775" s="97"/>
      <c r="F775" s="97"/>
      <c r="G775" s="109"/>
      <c r="H775" s="109"/>
      <c r="I775" s="97"/>
      <c r="J775" s="97"/>
      <c r="K775" s="83"/>
      <c r="L775" s="111"/>
      <c r="M775" s="111"/>
      <c r="N775" s="111"/>
      <c r="O775" s="111"/>
      <c r="P775" s="111"/>
      <c r="Q775" s="111"/>
      <c r="R775" s="111"/>
    </row>
    <row r="776" spans="2:18" s="108" customFormat="1">
      <c r="B776" s="97"/>
      <c r="C776" s="110"/>
      <c r="D776" s="109"/>
      <c r="E776" s="97"/>
      <c r="F776" s="97"/>
      <c r="G776" s="109"/>
      <c r="H776" s="109"/>
      <c r="I776" s="97"/>
      <c r="J776" s="97"/>
      <c r="K776" s="83"/>
      <c r="L776" s="111"/>
      <c r="M776" s="111"/>
      <c r="N776" s="111"/>
      <c r="O776" s="111"/>
      <c r="P776" s="111"/>
      <c r="Q776" s="111"/>
      <c r="R776" s="111"/>
    </row>
    <row r="777" spans="2:18" s="108" customFormat="1">
      <c r="B777" s="97"/>
      <c r="C777" s="110"/>
      <c r="D777" s="109"/>
      <c r="E777" s="97"/>
      <c r="F777" s="97"/>
      <c r="G777" s="109"/>
      <c r="H777" s="109"/>
      <c r="I777" s="97"/>
      <c r="J777" s="97"/>
      <c r="K777" s="83"/>
      <c r="L777" s="111"/>
      <c r="M777" s="111"/>
      <c r="N777" s="111"/>
      <c r="O777" s="111"/>
      <c r="P777" s="111"/>
      <c r="Q777" s="111"/>
      <c r="R777" s="111"/>
    </row>
    <row r="778" spans="2:18" s="108" customFormat="1">
      <c r="B778" s="97"/>
      <c r="C778" s="110"/>
      <c r="D778" s="109"/>
      <c r="E778" s="97"/>
      <c r="F778" s="97"/>
      <c r="G778" s="109"/>
      <c r="H778" s="109"/>
      <c r="I778" s="97"/>
      <c r="J778" s="97"/>
      <c r="K778" s="83"/>
      <c r="L778" s="111"/>
      <c r="M778" s="111"/>
      <c r="N778" s="111"/>
      <c r="O778" s="111"/>
      <c r="P778" s="111"/>
      <c r="Q778" s="111"/>
      <c r="R778" s="111"/>
    </row>
    <row r="779" spans="2:18" s="108" customFormat="1">
      <c r="B779" s="97"/>
      <c r="C779" s="110"/>
      <c r="D779" s="109"/>
      <c r="E779" s="97"/>
      <c r="F779" s="97"/>
      <c r="G779" s="109"/>
      <c r="H779" s="109"/>
      <c r="I779" s="97"/>
      <c r="J779" s="97"/>
      <c r="K779" s="83"/>
      <c r="L779" s="111"/>
      <c r="M779" s="111"/>
      <c r="N779" s="111"/>
      <c r="O779" s="111"/>
      <c r="P779" s="111"/>
      <c r="Q779" s="111"/>
      <c r="R779" s="111"/>
    </row>
    <row r="780" spans="2:18" s="108" customFormat="1">
      <c r="B780" s="97"/>
      <c r="C780" s="110"/>
      <c r="D780" s="109"/>
      <c r="E780" s="97"/>
      <c r="F780" s="97"/>
      <c r="G780" s="109"/>
      <c r="H780" s="109"/>
      <c r="I780" s="97"/>
      <c r="J780" s="97"/>
      <c r="K780" s="83"/>
      <c r="L780" s="111"/>
      <c r="M780" s="111"/>
      <c r="N780" s="111"/>
      <c r="O780" s="111"/>
      <c r="P780" s="111"/>
      <c r="Q780" s="111"/>
      <c r="R780" s="111"/>
    </row>
    <row r="781" spans="2:18" s="108" customFormat="1">
      <c r="B781" s="97"/>
      <c r="C781" s="110"/>
      <c r="D781" s="109"/>
      <c r="E781" s="97"/>
      <c r="F781" s="97"/>
      <c r="G781" s="109"/>
      <c r="H781" s="109"/>
      <c r="I781" s="97"/>
      <c r="J781" s="97"/>
      <c r="K781" s="83"/>
      <c r="L781" s="111"/>
      <c r="M781" s="111"/>
      <c r="N781" s="111"/>
      <c r="O781" s="111"/>
      <c r="P781" s="111"/>
      <c r="Q781" s="111"/>
      <c r="R781" s="111"/>
    </row>
    <row r="782" spans="2:18" s="108" customFormat="1">
      <c r="B782" s="97"/>
      <c r="C782" s="110"/>
      <c r="D782" s="109"/>
      <c r="E782" s="97"/>
      <c r="F782" s="97"/>
      <c r="G782" s="109"/>
      <c r="H782" s="109"/>
      <c r="I782" s="97"/>
      <c r="J782" s="97"/>
      <c r="K782" s="83"/>
      <c r="L782" s="111"/>
      <c r="M782" s="111"/>
      <c r="N782" s="111"/>
      <c r="O782" s="111"/>
      <c r="P782" s="111"/>
      <c r="Q782" s="111"/>
      <c r="R782" s="111"/>
    </row>
    <row r="783" spans="2:18" s="108" customFormat="1">
      <c r="B783" s="97"/>
      <c r="C783" s="110"/>
      <c r="D783" s="109"/>
      <c r="E783" s="97"/>
      <c r="F783" s="97"/>
      <c r="G783" s="109"/>
      <c r="H783" s="109"/>
      <c r="I783" s="97"/>
      <c r="J783" s="97"/>
      <c r="K783" s="83"/>
      <c r="L783" s="111"/>
      <c r="M783" s="111"/>
      <c r="N783" s="111"/>
      <c r="O783" s="111"/>
      <c r="P783" s="111"/>
      <c r="Q783" s="111"/>
      <c r="R783" s="111"/>
    </row>
    <row r="784" spans="2:18" s="108" customFormat="1">
      <c r="B784" s="97"/>
      <c r="C784" s="110"/>
      <c r="D784" s="109"/>
      <c r="E784" s="97"/>
      <c r="F784" s="97"/>
      <c r="G784" s="109"/>
      <c r="H784" s="109"/>
      <c r="I784" s="97"/>
      <c r="J784" s="97"/>
      <c r="K784" s="83"/>
      <c r="L784" s="111"/>
      <c r="M784" s="111"/>
      <c r="N784" s="111"/>
      <c r="O784" s="111"/>
      <c r="P784" s="111"/>
      <c r="Q784" s="111"/>
      <c r="R784" s="111"/>
    </row>
    <row r="785" spans="2:18" s="108" customFormat="1">
      <c r="B785" s="97"/>
      <c r="C785" s="110"/>
      <c r="D785" s="109"/>
      <c r="E785" s="97"/>
      <c r="F785" s="97"/>
      <c r="G785" s="109"/>
      <c r="H785" s="109"/>
      <c r="I785" s="97"/>
      <c r="J785" s="97"/>
      <c r="K785" s="83"/>
      <c r="L785" s="111"/>
      <c r="M785" s="111"/>
      <c r="N785" s="111"/>
      <c r="O785" s="111"/>
      <c r="P785" s="111"/>
      <c r="Q785" s="111"/>
      <c r="R785" s="111"/>
    </row>
    <row r="786" spans="2:18" s="108" customFormat="1">
      <c r="B786" s="97"/>
      <c r="C786" s="110"/>
      <c r="D786" s="109"/>
      <c r="E786" s="97"/>
      <c r="F786" s="97"/>
      <c r="G786" s="109"/>
      <c r="H786" s="109"/>
      <c r="I786" s="97"/>
      <c r="J786" s="97"/>
      <c r="K786" s="83"/>
      <c r="L786" s="111"/>
      <c r="M786" s="111"/>
      <c r="N786" s="111"/>
      <c r="O786" s="111"/>
      <c r="P786" s="111"/>
      <c r="Q786" s="111"/>
      <c r="R786" s="111"/>
    </row>
    <row r="787" spans="2:18" s="108" customFormat="1">
      <c r="B787" s="97"/>
      <c r="C787" s="110"/>
      <c r="D787" s="109"/>
      <c r="E787" s="97"/>
      <c r="F787" s="97"/>
      <c r="G787" s="109"/>
      <c r="H787" s="109"/>
      <c r="I787" s="97"/>
      <c r="J787" s="97"/>
      <c r="K787" s="83"/>
      <c r="L787" s="111"/>
      <c r="M787" s="111"/>
      <c r="N787" s="111"/>
      <c r="O787" s="111"/>
      <c r="P787" s="111"/>
      <c r="Q787" s="111"/>
      <c r="R787" s="111"/>
    </row>
    <row r="788" spans="2:18" s="108" customFormat="1">
      <c r="B788" s="97"/>
      <c r="C788" s="110"/>
      <c r="D788" s="109"/>
      <c r="E788" s="97"/>
      <c r="F788" s="97"/>
      <c r="G788" s="109"/>
      <c r="H788" s="109"/>
      <c r="I788" s="97"/>
      <c r="J788" s="97"/>
      <c r="K788" s="83"/>
      <c r="L788" s="111"/>
      <c r="M788" s="111"/>
      <c r="N788" s="111"/>
      <c r="O788" s="111"/>
      <c r="P788" s="111"/>
      <c r="Q788" s="111"/>
      <c r="R788" s="111"/>
    </row>
    <row r="789" spans="2:18" s="108" customFormat="1">
      <c r="B789" s="97"/>
      <c r="C789" s="110"/>
      <c r="D789" s="109"/>
      <c r="E789" s="97"/>
      <c r="F789" s="97"/>
      <c r="G789" s="109"/>
      <c r="H789" s="109"/>
      <c r="I789" s="97"/>
      <c r="J789" s="97"/>
      <c r="K789" s="83"/>
      <c r="L789" s="111"/>
      <c r="M789" s="111"/>
      <c r="N789" s="111"/>
      <c r="O789" s="111"/>
      <c r="P789" s="111"/>
      <c r="Q789" s="111"/>
      <c r="R789" s="111"/>
    </row>
    <row r="790" spans="2:18" s="108" customFormat="1">
      <c r="B790" s="97"/>
      <c r="C790" s="110"/>
      <c r="D790" s="109"/>
      <c r="E790" s="97"/>
      <c r="F790" s="97"/>
      <c r="G790" s="109"/>
      <c r="H790" s="109"/>
      <c r="I790" s="97"/>
      <c r="J790" s="97"/>
      <c r="K790" s="83"/>
      <c r="L790" s="111"/>
      <c r="M790" s="111"/>
      <c r="N790" s="111"/>
      <c r="O790" s="111"/>
      <c r="P790" s="111"/>
      <c r="Q790" s="111"/>
      <c r="R790" s="111"/>
    </row>
    <row r="791" spans="2:18" s="108" customFormat="1">
      <c r="B791" s="97"/>
      <c r="C791" s="110"/>
      <c r="D791" s="109"/>
      <c r="E791" s="97"/>
      <c r="F791" s="97"/>
      <c r="G791" s="109"/>
      <c r="H791" s="109"/>
      <c r="I791" s="97"/>
      <c r="J791" s="97"/>
      <c r="K791" s="83"/>
      <c r="L791" s="111"/>
      <c r="M791" s="111"/>
      <c r="N791" s="111"/>
      <c r="O791" s="111"/>
      <c r="P791" s="111"/>
      <c r="Q791" s="111"/>
      <c r="R791" s="111"/>
    </row>
    <row r="792" spans="2:18" s="108" customFormat="1">
      <c r="B792" s="97"/>
      <c r="C792" s="110"/>
      <c r="D792" s="109"/>
      <c r="E792" s="97"/>
      <c r="F792" s="97"/>
      <c r="G792" s="109"/>
      <c r="H792" s="109"/>
      <c r="I792" s="97"/>
      <c r="J792" s="97"/>
      <c r="K792" s="83"/>
      <c r="L792" s="111"/>
      <c r="M792" s="111"/>
      <c r="N792" s="111"/>
      <c r="O792" s="111"/>
      <c r="P792" s="111"/>
      <c r="Q792" s="111"/>
      <c r="R792" s="111"/>
    </row>
    <row r="793" spans="2:18" s="108" customFormat="1">
      <c r="B793" s="97"/>
      <c r="C793" s="110"/>
      <c r="D793" s="109"/>
      <c r="E793" s="97"/>
      <c r="F793" s="97"/>
      <c r="G793" s="109"/>
      <c r="H793" s="109"/>
      <c r="I793" s="97"/>
      <c r="J793" s="97"/>
      <c r="K793" s="83"/>
      <c r="L793" s="111"/>
      <c r="M793" s="111"/>
      <c r="N793" s="111"/>
      <c r="O793" s="111"/>
      <c r="P793" s="111"/>
      <c r="Q793" s="111"/>
      <c r="R793" s="111"/>
    </row>
    <row r="794" spans="2:18" s="108" customFormat="1">
      <c r="B794" s="97"/>
      <c r="C794" s="110"/>
      <c r="D794" s="109"/>
      <c r="E794" s="97"/>
      <c r="F794" s="97"/>
      <c r="G794" s="109"/>
      <c r="H794" s="109"/>
      <c r="I794" s="97"/>
      <c r="J794" s="97"/>
      <c r="K794" s="83"/>
      <c r="L794" s="111"/>
      <c r="M794" s="111"/>
      <c r="N794" s="111"/>
      <c r="O794" s="111"/>
      <c r="P794" s="111"/>
      <c r="Q794" s="111"/>
      <c r="R794" s="111"/>
    </row>
    <row r="795" spans="2:18" s="108" customFormat="1">
      <c r="B795" s="97"/>
      <c r="C795" s="110"/>
      <c r="D795" s="109"/>
      <c r="E795" s="97"/>
      <c r="F795" s="97"/>
      <c r="G795" s="109"/>
      <c r="H795" s="109"/>
      <c r="I795" s="97"/>
      <c r="J795" s="97"/>
      <c r="K795" s="83"/>
      <c r="L795" s="111"/>
      <c r="M795" s="111"/>
      <c r="N795" s="111"/>
      <c r="O795" s="111"/>
      <c r="P795" s="111"/>
      <c r="Q795" s="111"/>
      <c r="R795" s="111"/>
    </row>
    <row r="796" spans="2:18" s="108" customFormat="1">
      <c r="B796" s="97"/>
      <c r="C796" s="110"/>
      <c r="D796" s="109"/>
      <c r="E796" s="97"/>
      <c r="F796" s="97"/>
      <c r="G796" s="109"/>
      <c r="H796" s="109"/>
      <c r="I796" s="97"/>
      <c r="J796" s="97"/>
      <c r="K796" s="83"/>
      <c r="L796" s="111"/>
      <c r="M796" s="111"/>
      <c r="N796" s="111"/>
      <c r="O796" s="111"/>
      <c r="P796" s="111"/>
      <c r="Q796" s="111"/>
      <c r="R796" s="111"/>
    </row>
    <row r="797" spans="2:18" s="108" customFormat="1">
      <c r="B797" s="97"/>
      <c r="C797" s="110"/>
      <c r="D797" s="109"/>
      <c r="E797" s="97"/>
      <c r="F797" s="97"/>
      <c r="G797" s="109"/>
      <c r="H797" s="109"/>
      <c r="I797" s="97"/>
      <c r="J797" s="97"/>
      <c r="K797" s="83"/>
      <c r="L797" s="111"/>
      <c r="M797" s="111"/>
      <c r="N797" s="111"/>
      <c r="O797" s="111"/>
      <c r="P797" s="111"/>
      <c r="Q797" s="111"/>
      <c r="R797" s="111"/>
    </row>
    <row r="798" spans="2:18" s="108" customFormat="1">
      <c r="B798" s="97"/>
      <c r="C798" s="110"/>
      <c r="D798" s="109"/>
      <c r="E798" s="97"/>
      <c r="F798" s="97"/>
      <c r="G798" s="109"/>
      <c r="H798" s="109"/>
      <c r="I798" s="97"/>
      <c r="J798" s="97"/>
      <c r="K798" s="83"/>
      <c r="L798" s="111"/>
      <c r="M798" s="111"/>
      <c r="N798" s="111"/>
      <c r="O798" s="111"/>
      <c r="P798" s="111"/>
      <c r="Q798" s="111"/>
      <c r="R798" s="111"/>
    </row>
    <row r="799" spans="2:18" s="108" customFormat="1">
      <c r="B799" s="97"/>
      <c r="C799" s="110"/>
      <c r="D799" s="109"/>
      <c r="E799" s="97"/>
      <c r="F799" s="97"/>
      <c r="G799" s="109"/>
      <c r="H799" s="109"/>
      <c r="I799" s="97"/>
      <c r="J799" s="97"/>
      <c r="K799" s="83"/>
      <c r="L799" s="111"/>
      <c r="M799" s="111"/>
      <c r="N799" s="111"/>
      <c r="O799" s="111"/>
      <c r="P799" s="111"/>
      <c r="Q799" s="111"/>
      <c r="R799" s="111"/>
    </row>
    <row r="800" spans="2:18" s="108" customFormat="1">
      <c r="B800" s="97"/>
      <c r="C800" s="110"/>
      <c r="D800" s="109"/>
      <c r="E800" s="97"/>
      <c r="F800" s="97"/>
      <c r="G800" s="109"/>
      <c r="H800" s="109"/>
      <c r="I800" s="97"/>
      <c r="J800" s="97"/>
      <c r="K800" s="83"/>
      <c r="L800" s="111"/>
      <c r="M800" s="111"/>
      <c r="N800" s="111"/>
      <c r="O800" s="111"/>
      <c r="P800" s="111"/>
      <c r="Q800" s="111"/>
      <c r="R800" s="111"/>
    </row>
    <row r="801" spans="2:18" s="108" customFormat="1">
      <c r="B801" s="97"/>
      <c r="C801" s="110"/>
      <c r="D801" s="109"/>
      <c r="E801" s="97"/>
      <c r="F801" s="97"/>
      <c r="G801" s="109"/>
      <c r="H801" s="109"/>
      <c r="I801" s="97"/>
      <c r="J801" s="97"/>
      <c r="K801" s="83"/>
      <c r="L801" s="111"/>
      <c r="M801" s="111"/>
      <c r="N801" s="111"/>
      <c r="O801" s="111"/>
      <c r="P801" s="111"/>
      <c r="Q801" s="111"/>
      <c r="R801" s="111"/>
    </row>
    <row r="802" spans="2:18" s="108" customFormat="1">
      <c r="B802" s="97"/>
      <c r="C802" s="110"/>
      <c r="D802" s="109"/>
      <c r="E802" s="97"/>
      <c r="F802" s="97"/>
      <c r="G802" s="109"/>
      <c r="H802" s="109"/>
      <c r="I802" s="97"/>
      <c r="J802" s="97"/>
      <c r="K802" s="83"/>
      <c r="L802" s="111"/>
      <c r="M802" s="111"/>
      <c r="N802" s="111"/>
      <c r="O802" s="111"/>
      <c r="P802" s="111"/>
      <c r="Q802" s="111"/>
      <c r="R802" s="111"/>
    </row>
    <row r="803" spans="2:18" s="108" customFormat="1">
      <c r="B803" s="97"/>
      <c r="C803" s="110"/>
      <c r="D803" s="109"/>
      <c r="E803" s="97"/>
      <c r="F803" s="97"/>
      <c r="G803" s="109"/>
      <c r="H803" s="109"/>
      <c r="I803" s="97"/>
      <c r="J803" s="97"/>
      <c r="K803" s="83"/>
      <c r="L803" s="111"/>
      <c r="M803" s="111"/>
      <c r="N803" s="111"/>
      <c r="O803" s="111"/>
      <c r="P803" s="111"/>
      <c r="Q803" s="111"/>
      <c r="R803" s="111"/>
    </row>
    <row r="804" spans="2:18" s="108" customFormat="1">
      <c r="B804" s="97"/>
      <c r="C804" s="110"/>
      <c r="D804" s="109"/>
      <c r="E804" s="97"/>
      <c r="F804" s="97"/>
      <c r="G804" s="109"/>
      <c r="H804" s="109"/>
      <c r="I804" s="97"/>
      <c r="J804" s="97"/>
      <c r="K804" s="83"/>
      <c r="L804" s="111"/>
      <c r="M804" s="111"/>
      <c r="N804" s="111"/>
      <c r="O804" s="111"/>
      <c r="P804" s="111"/>
      <c r="Q804" s="111"/>
      <c r="R804" s="111"/>
    </row>
    <row r="805" spans="2:18" s="108" customFormat="1">
      <c r="B805" s="97"/>
      <c r="C805" s="110"/>
      <c r="D805" s="109"/>
      <c r="E805" s="97"/>
      <c r="F805" s="97"/>
      <c r="G805" s="109"/>
      <c r="H805" s="109"/>
      <c r="I805" s="97"/>
      <c r="J805" s="97"/>
      <c r="K805" s="83"/>
      <c r="L805" s="111"/>
      <c r="M805" s="111"/>
      <c r="N805" s="111"/>
      <c r="O805" s="111"/>
      <c r="P805" s="111"/>
      <c r="Q805" s="111"/>
      <c r="R805" s="111"/>
    </row>
    <row r="806" spans="2:18" s="108" customFormat="1">
      <c r="B806" s="97"/>
      <c r="C806" s="110"/>
      <c r="D806" s="109"/>
      <c r="E806" s="97"/>
      <c r="F806" s="97"/>
      <c r="G806" s="109"/>
      <c r="H806" s="109"/>
      <c r="I806" s="97"/>
      <c r="J806" s="97"/>
      <c r="K806" s="83"/>
      <c r="L806" s="111"/>
      <c r="M806" s="111"/>
      <c r="N806" s="111"/>
      <c r="O806" s="111"/>
      <c r="P806" s="111"/>
      <c r="Q806" s="111"/>
      <c r="R806" s="111"/>
    </row>
    <row r="807" spans="2:18" s="108" customFormat="1">
      <c r="B807" s="97"/>
      <c r="C807" s="110"/>
      <c r="D807" s="109"/>
      <c r="E807" s="97"/>
      <c r="F807" s="97"/>
      <c r="G807" s="109"/>
      <c r="H807" s="109"/>
      <c r="I807" s="97"/>
      <c r="J807" s="97"/>
      <c r="K807" s="83"/>
      <c r="L807" s="111"/>
      <c r="M807" s="111"/>
      <c r="N807" s="111"/>
      <c r="O807" s="111"/>
      <c r="P807" s="111"/>
      <c r="Q807" s="111"/>
      <c r="R807" s="111"/>
    </row>
    <row r="808" spans="2:18" s="108" customFormat="1">
      <c r="B808" s="97"/>
      <c r="C808" s="110"/>
      <c r="D808" s="109"/>
      <c r="E808" s="97"/>
      <c r="F808" s="97"/>
      <c r="G808" s="109"/>
      <c r="H808" s="109"/>
      <c r="I808" s="97"/>
      <c r="J808" s="97"/>
      <c r="K808" s="83"/>
      <c r="L808" s="111"/>
      <c r="M808" s="111"/>
      <c r="N808" s="111"/>
      <c r="O808" s="111"/>
      <c r="P808" s="111"/>
      <c r="Q808" s="111"/>
      <c r="R808" s="111"/>
    </row>
    <row r="809" spans="2:18" s="108" customFormat="1">
      <c r="B809" s="97"/>
      <c r="C809" s="110"/>
      <c r="D809" s="109"/>
      <c r="E809" s="97"/>
      <c r="F809" s="97"/>
      <c r="G809" s="109"/>
      <c r="H809" s="109"/>
      <c r="I809" s="97"/>
      <c r="J809" s="97"/>
      <c r="K809" s="83"/>
      <c r="L809" s="111"/>
      <c r="M809" s="111"/>
      <c r="N809" s="111"/>
      <c r="O809" s="111"/>
      <c r="P809" s="111"/>
      <c r="Q809" s="111"/>
      <c r="R809" s="111"/>
    </row>
    <row r="810" spans="2:18" s="108" customFormat="1">
      <c r="B810" s="97"/>
      <c r="C810" s="110"/>
      <c r="D810" s="109"/>
      <c r="E810" s="97"/>
      <c r="F810" s="97"/>
      <c r="G810" s="109"/>
      <c r="H810" s="109"/>
      <c r="I810" s="97"/>
      <c r="J810" s="97"/>
      <c r="K810" s="83"/>
      <c r="L810" s="111"/>
      <c r="M810" s="111"/>
      <c r="N810" s="111"/>
      <c r="O810" s="111"/>
      <c r="P810" s="111"/>
      <c r="Q810" s="111"/>
      <c r="R810" s="111"/>
    </row>
    <row r="811" spans="2:18" s="108" customFormat="1">
      <c r="B811" s="97"/>
      <c r="C811" s="110"/>
      <c r="D811" s="109"/>
      <c r="E811" s="97"/>
      <c r="F811" s="97"/>
      <c r="G811" s="109"/>
      <c r="H811" s="109"/>
      <c r="I811" s="97"/>
      <c r="J811" s="97"/>
      <c r="K811" s="83"/>
      <c r="L811" s="111"/>
      <c r="M811" s="111"/>
      <c r="N811" s="111"/>
      <c r="O811" s="111"/>
      <c r="P811" s="111"/>
      <c r="Q811" s="111"/>
      <c r="R811" s="111"/>
    </row>
    <row r="812" spans="2:18" s="108" customFormat="1">
      <c r="B812" s="97"/>
      <c r="C812" s="110"/>
      <c r="D812" s="109"/>
      <c r="E812" s="97"/>
      <c r="F812" s="97"/>
      <c r="G812" s="109"/>
      <c r="H812" s="109"/>
      <c r="I812" s="97"/>
      <c r="J812" s="97"/>
      <c r="K812" s="83"/>
      <c r="L812" s="111"/>
      <c r="M812" s="111"/>
      <c r="N812" s="111"/>
      <c r="O812" s="111"/>
      <c r="P812" s="111"/>
      <c r="Q812" s="111"/>
      <c r="R812" s="111"/>
    </row>
    <row r="813" spans="2:18" s="108" customFormat="1">
      <c r="B813" s="97"/>
      <c r="C813" s="110"/>
      <c r="D813" s="109"/>
      <c r="E813" s="97"/>
      <c r="F813" s="97"/>
      <c r="G813" s="109"/>
      <c r="H813" s="109"/>
      <c r="I813" s="97"/>
      <c r="J813" s="97"/>
      <c r="K813" s="83"/>
      <c r="L813" s="111"/>
      <c r="M813" s="111"/>
      <c r="N813" s="111"/>
      <c r="O813" s="111"/>
      <c r="P813" s="111"/>
      <c r="Q813" s="111"/>
      <c r="R813" s="111"/>
    </row>
    <row r="814" spans="2:18" s="108" customFormat="1">
      <c r="B814" s="97"/>
      <c r="C814" s="110"/>
      <c r="D814" s="109"/>
      <c r="E814" s="97"/>
      <c r="F814" s="97"/>
      <c r="G814" s="109"/>
      <c r="H814" s="109"/>
      <c r="I814" s="97"/>
      <c r="J814" s="97"/>
      <c r="K814" s="83"/>
      <c r="L814" s="111"/>
      <c r="M814" s="111"/>
      <c r="N814" s="111"/>
      <c r="O814" s="111"/>
      <c r="P814" s="111"/>
      <c r="Q814" s="111"/>
      <c r="R814" s="111"/>
    </row>
    <row r="815" spans="2:18" s="108" customFormat="1">
      <c r="B815" s="97"/>
      <c r="C815" s="110"/>
      <c r="D815" s="109"/>
      <c r="E815" s="97"/>
      <c r="F815" s="97"/>
      <c r="G815" s="109"/>
      <c r="H815" s="109"/>
      <c r="I815" s="97"/>
      <c r="J815" s="97"/>
      <c r="K815" s="83"/>
      <c r="L815" s="111"/>
      <c r="M815" s="111"/>
      <c r="N815" s="111"/>
      <c r="O815" s="111"/>
      <c r="P815" s="111"/>
      <c r="Q815" s="111"/>
      <c r="R815" s="111"/>
    </row>
    <row r="816" spans="2:18" s="108" customFormat="1">
      <c r="B816" s="97"/>
      <c r="C816" s="110"/>
      <c r="D816" s="109"/>
      <c r="E816" s="97"/>
      <c r="F816" s="97"/>
      <c r="G816" s="109"/>
      <c r="H816" s="109"/>
      <c r="I816" s="97"/>
      <c r="J816" s="97"/>
      <c r="K816" s="83"/>
      <c r="L816" s="111"/>
      <c r="M816" s="111"/>
      <c r="N816" s="111"/>
      <c r="O816" s="111"/>
      <c r="P816" s="111"/>
      <c r="Q816" s="111"/>
      <c r="R816" s="111"/>
    </row>
    <row r="817" spans="2:18" s="108" customFormat="1">
      <c r="B817" s="97"/>
      <c r="C817" s="110"/>
      <c r="D817" s="109"/>
      <c r="E817" s="97"/>
      <c r="F817" s="97"/>
      <c r="G817" s="109"/>
      <c r="H817" s="109"/>
      <c r="I817" s="97"/>
      <c r="J817" s="97"/>
      <c r="K817" s="83"/>
      <c r="L817" s="111"/>
      <c r="M817" s="111"/>
      <c r="N817" s="111"/>
      <c r="O817" s="111"/>
      <c r="P817" s="111"/>
      <c r="Q817" s="111"/>
      <c r="R817" s="111"/>
    </row>
    <row r="818" spans="2:18" s="108" customFormat="1">
      <c r="B818" s="97"/>
      <c r="C818" s="110"/>
      <c r="D818" s="109"/>
      <c r="E818" s="97"/>
      <c r="F818" s="97"/>
      <c r="G818" s="109"/>
      <c r="H818" s="109"/>
      <c r="I818" s="97"/>
      <c r="J818" s="97"/>
      <c r="K818" s="83"/>
      <c r="L818" s="111"/>
      <c r="M818" s="111"/>
      <c r="N818" s="111"/>
      <c r="O818" s="111"/>
      <c r="P818" s="111"/>
      <c r="Q818" s="111"/>
      <c r="R818" s="111"/>
    </row>
    <row r="819" spans="2:18" s="108" customFormat="1">
      <c r="B819" s="97"/>
      <c r="C819" s="110"/>
      <c r="D819" s="109"/>
      <c r="E819" s="97"/>
      <c r="F819" s="97"/>
      <c r="G819" s="109"/>
      <c r="H819" s="109"/>
      <c r="I819" s="97"/>
      <c r="J819" s="97"/>
      <c r="K819" s="83"/>
      <c r="L819" s="111"/>
      <c r="M819" s="111"/>
      <c r="N819" s="111"/>
      <c r="O819" s="111"/>
      <c r="P819" s="111"/>
      <c r="Q819" s="111"/>
      <c r="R819" s="111"/>
    </row>
    <row r="820" spans="2:18" s="108" customFormat="1">
      <c r="B820" s="97"/>
      <c r="C820" s="110"/>
      <c r="D820" s="109"/>
      <c r="E820" s="97"/>
      <c r="F820" s="97"/>
      <c r="G820" s="109"/>
      <c r="H820" s="109"/>
      <c r="I820" s="97"/>
      <c r="J820" s="97"/>
      <c r="K820" s="83"/>
      <c r="L820" s="111"/>
      <c r="M820" s="111"/>
      <c r="N820" s="111"/>
      <c r="O820" s="111"/>
      <c r="P820" s="111"/>
      <c r="Q820" s="111"/>
      <c r="R820" s="111"/>
    </row>
    <row r="821" spans="2:18" s="108" customFormat="1">
      <c r="B821" s="97"/>
      <c r="C821" s="110"/>
      <c r="D821" s="109"/>
      <c r="E821" s="97"/>
      <c r="F821" s="97"/>
      <c r="G821" s="109"/>
      <c r="H821" s="109"/>
      <c r="I821" s="97"/>
      <c r="J821" s="97"/>
      <c r="K821" s="83"/>
      <c r="L821" s="111"/>
      <c r="M821" s="111"/>
      <c r="N821" s="111"/>
      <c r="O821" s="111"/>
      <c r="P821" s="111"/>
      <c r="Q821" s="111"/>
      <c r="R821" s="111"/>
    </row>
    <row r="822" spans="2:18" s="108" customFormat="1">
      <c r="B822" s="97"/>
      <c r="C822" s="110"/>
      <c r="D822" s="109"/>
      <c r="E822" s="97"/>
      <c r="F822" s="97"/>
      <c r="G822" s="109"/>
      <c r="H822" s="109"/>
      <c r="I822" s="97"/>
      <c r="J822" s="97"/>
      <c r="K822" s="83"/>
      <c r="L822" s="111"/>
      <c r="M822" s="111"/>
      <c r="N822" s="111"/>
      <c r="O822" s="111"/>
      <c r="P822" s="111"/>
      <c r="Q822" s="111"/>
      <c r="R822" s="111"/>
    </row>
    <row r="823" spans="2:18" s="108" customFormat="1">
      <c r="B823" s="97"/>
      <c r="C823" s="110"/>
      <c r="D823" s="109"/>
      <c r="E823" s="97"/>
      <c r="F823" s="97"/>
      <c r="G823" s="109"/>
      <c r="H823" s="109"/>
      <c r="I823" s="97"/>
      <c r="J823" s="97"/>
      <c r="K823" s="83"/>
      <c r="L823" s="111"/>
      <c r="M823" s="111"/>
      <c r="N823" s="111"/>
      <c r="O823" s="111"/>
      <c r="P823" s="111"/>
      <c r="Q823" s="111"/>
      <c r="R823" s="111"/>
    </row>
    <row r="824" spans="2:18" s="108" customFormat="1">
      <c r="B824" s="97"/>
      <c r="C824" s="110"/>
      <c r="D824" s="109"/>
      <c r="E824" s="97"/>
      <c r="F824" s="97"/>
      <c r="G824" s="109"/>
      <c r="H824" s="109"/>
      <c r="I824" s="97"/>
      <c r="J824" s="97"/>
      <c r="K824" s="83"/>
      <c r="L824" s="111"/>
      <c r="M824" s="111"/>
      <c r="N824" s="111"/>
      <c r="O824" s="111"/>
      <c r="P824" s="111"/>
      <c r="Q824" s="111"/>
      <c r="R824" s="111"/>
    </row>
    <row r="825" spans="2:18" s="108" customFormat="1">
      <c r="B825" s="97"/>
      <c r="C825" s="110"/>
      <c r="D825" s="109"/>
      <c r="E825" s="97"/>
      <c r="F825" s="97"/>
      <c r="G825" s="109"/>
      <c r="H825" s="109"/>
      <c r="I825" s="97"/>
      <c r="J825" s="97"/>
      <c r="K825" s="83"/>
      <c r="L825" s="111"/>
      <c r="M825" s="111"/>
      <c r="N825" s="111"/>
      <c r="O825" s="111"/>
      <c r="P825" s="111"/>
      <c r="Q825" s="111"/>
      <c r="R825" s="111"/>
    </row>
    <row r="826" spans="2:18" s="108" customFormat="1">
      <c r="B826" s="97"/>
      <c r="C826" s="110"/>
      <c r="D826" s="109"/>
      <c r="E826" s="97"/>
      <c r="F826" s="97"/>
      <c r="G826" s="109"/>
      <c r="H826" s="109"/>
      <c r="I826" s="97"/>
      <c r="J826" s="97"/>
      <c r="K826" s="83"/>
      <c r="L826" s="111"/>
      <c r="M826" s="111"/>
      <c r="N826" s="111"/>
      <c r="O826" s="111"/>
      <c r="P826" s="111"/>
      <c r="Q826" s="111"/>
      <c r="R826" s="111"/>
    </row>
    <row r="827" spans="2:18" s="108" customFormat="1">
      <c r="B827" s="97"/>
      <c r="C827" s="110"/>
      <c r="D827" s="109"/>
      <c r="E827" s="97"/>
      <c r="F827" s="97"/>
      <c r="G827" s="109"/>
      <c r="H827" s="109"/>
      <c r="I827" s="97"/>
      <c r="J827" s="97"/>
      <c r="K827" s="83"/>
      <c r="L827" s="111"/>
      <c r="M827" s="111"/>
      <c r="N827" s="111"/>
      <c r="O827" s="111"/>
      <c r="P827" s="111"/>
      <c r="Q827" s="111"/>
      <c r="R827" s="111"/>
    </row>
    <row r="828" spans="2:18" s="108" customFormat="1">
      <c r="B828" s="97"/>
      <c r="C828" s="110"/>
      <c r="D828" s="109"/>
      <c r="E828" s="97"/>
      <c r="F828" s="97"/>
      <c r="G828" s="109"/>
      <c r="H828" s="109"/>
      <c r="I828" s="97"/>
      <c r="J828" s="97"/>
      <c r="K828" s="83"/>
      <c r="L828" s="111"/>
      <c r="M828" s="111"/>
      <c r="N828" s="111"/>
      <c r="O828" s="111"/>
      <c r="P828" s="111"/>
      <c r="Q828" s="111"/>
      <c r="R828" s="111"/>
    </row>
    <row r="829" spans="2:18" s="108" customFormat="1">
      <c r="B829" s="97"/>
      <c r="C829" s="110"/>
      <c r="D829" s="109"/>
      <c r="E829" s="97"/>
      <c r="F829" s="97"/>
      <c r="G829" s="109"/>
      <c r="H829" s="109"/>
      <c r="I829" s="97"/>
      <c r="J829" s="97"/>
      <c r="K829" s="83"/>
      <c r="L829" s="111"/>
      <c r="M829" s="111"/>
      <c r="N829" s="111"/>
      <c r="O829" s="111"/>
      <c r="P829" s="111"/>
      <c r="Q829" s="111"/>
      <c r="R829" s="111"/>
    </row>
    <row r="830" spans="2:18" s="108" customFormat="1">
      <c r="B830" s="97"/>
      <c r="C830" s="110"/>
      <c r="D830" s="109"/>
      <c r="E830" s="97"/>
      <c r="F830" s="97"/>
      <c r="G830" s="109"/>
      <c r="H830" s="109"/>
      <c r="I830" s="97"/>
      <c r="J830" s="97"/>
      <c r="K830" s="83"/>
      <c r="L830" s="111"/>
      <c r="M830" s="111"/>
      <c r="N830" s="111"/>
      <c r="O830" s="111"/>
      <c r="P830" s="111"/>
      <c r="Q830" s="111"/>
      <c r="R830" s="111"/>
    </row>
    <row r="831" spans="2:18" s="108" customFormat="1">
      <c r="B831" s="97"/>
      <c r="C831" s="110"/>
      <c r="D831" s="109"/>
      <c r="E831" s="97"/>
      <c r="F831" s="97"/>
      <c r="G831" s="109"/>
      <c r="H831" s="109"/>
      <c r="I831" s="97"/>
      <c r="J831" s="97"/>
      <c r="K831" s="83"/>
      <c r="L831" s="111"/>
      <c r="M831" s="111"/>
      <c r="N831" s="111"/>
      <c r="O831" s="111"/>
      <c r="P831" s="111"/>
      <c r="Q831" s="111"/>
      <c r="R831" s="111"/>
    </row>
    <row r="832" spans="2:18" s="108" customFormat="1">
      <c r="B832" s="97"/>
      <c r="C832" s="110"/>
      <c r="D832" s="109"/>
      <c r="E832" s="97"/>
      <c r="F832" s="97"/>
      <c r="G832" s="109"/>
      <c r="H832" s="109"/>
      <c r="I832" s="97"/>
      <c r="J832" s="97"/>
      <c r="K832" s="83"/>
      <c r="L832" s="111"/>
      <c r="M832" s="111"/>
      <c r="N832" s="111"/>
      <c r="O832" s="111"/>
      <c r="P832" s="111"/>
      <c r="Q832" s="111"/>
      <c r="R832" s="111"/>
    </row>
    <row r="833" spans="2:18" s="108" customFormat="1">
      <c r="B833" s="97"/>
      <c r="C833" s="110"/>
      <c r="D833" s="109"/>
      <c r="E833" s="97"/>
      <c r="F833" s="97"/>
      <c r="G833" s="109"/>
      <c r="H833" s="109"/>
      <c r="I833" s="97"/>
      <c r="J833" s="97"/>
      <c r="K833" s="83"/>
      <c r="L833" s="111"/>
      <c r="M833" s="111"/>
      <c r="N833" s="111"/>
      <c r="O833" s="111"/>
      <c r="P833" s="111"/>
      <c r="Q833" s="111"/>
      <c r="R833" s="111"/>
    </row>
    <row r="834" spans="2:18" s="108" customFormat="1">
      <c r="B834" s="97"/>
      <c r="C834" s="110"/>
      <c r="D834" s="109"/>
      <c r="E834" s="97"/>
      <c r="F834" s="97"/>
      <c r="G834" s="109"/>
      <c r="H834" s="109"/>
      <c r="I834" s="97"/>
      <c r="J834" s="97"/>
      <c r="K834" s="83"/>
      <c r="L834" s="111"/>
      <c r="M834" s="111"/>
      <c r="N834" s="111"/>
      <c r="O834" s="111"/>
      <c r="P834" s="111"/>
      <c r="Q834" s="111"/>
      <c r="R834" s="111"/>
    </row>
    <row r="835" spans="2:18" s="108" customFormat="1">
      <c r="B835" s="97"/>
      <c r="C835" s="110"/>
      <c r="D835" s="109"/>
      <c r="E835" s="97"/>
      <c r="F835" s="97"/>
      <c r="G835" s="109"/>
      <c r="H835" s="109"/>
      <c r="I835" s="97"/>
      <c r="J835" s="97"/>
      <c r="K835" s="83"/>
      <c r="L835" s="111"/>
      <c r="M835" s="111"/>
      <c r="N835" s="111"/>
      <c r="O835" s="111"/>
      <c r="P835" s="111"/>
      <c r="Q835" s="111"/>
      <c r="R835" s="111"/>
    </row>
    <row r="836" spans="2:18" s="108" customFormat="1">
      <c r="B836" s="97"/>
      <c r="C836" s="110"/>
      <c r="D836" s="109"/>
      <c r="E836" s="97"/>
      <c r="F836" s="97"/>
      <c r="G836" s="109"/>
      <c r="H836" s="109"/>
      <c r="I836" s="97"/>
      <c r="J836" s="97"/>
      <c r="K836" s="83"/>
      <c r="L836" s="111"/>
      <c r="M836" s="111"/>
      <c r="N836" s="111"/>
      <c r="O836" s="111"/>
      <c r="P836" s="111"/>
      <c r="Q836" s="111"/>
      <c r="R836" s="111"/>
    </row>
    <row r="837" spans="2:18" s="108" customFormat="1">
      <c r="B837" s="97"/>
      <c r="C837" s="110"/>
      <c r="D837" s="109"/>
      <c r="E837" s="97"/>
      <c r="F837" s="97"/>
      <c r="G837" s="109"/>
      <c r="H837" s="109"/>
      <c r="I837" s="97"/>
      <c r="J837" s="97"/>
      <c r="K837" s="83"/>
      <c r="L837" s="111"/>
      <c r="M837" s="111"/>
      <c r="N837" s="111"/>
      <c r="O837" s="111"/>
      <c r="P837" s="111"/>
      <c r="Q837" s="111"/>
      <c r="R837" s="111"/>
    </row>
    <row r="838" spans="2:18" s="108" customFormat="1">
      <c r="B838" s="97"/>
      <c r="C838" s="110"/>
      <c r="D838" s="109"/>
      <c r="E838" s="97"/>
      <c r="F838" s="97"/>
      <c r="G838" s="109"/>
      <c r="H838" s="109"/>
      <c r="I838" s="97"/>
      <c r="J838" s="97"/>
      <c r="K838" s="83"/>
      <c r="L838" s="111"/>
      <c r="M838" s="111"/>
      <c r="N838" s="111"/>
      <c r="O838" s="111"/>
      <c r="P838" s="111"/>
      <c r="Q838" s="111"/>
      <c r="R838" s="111"/>
    </row>
    <row r="839" spans="2:18" s="108" customFormat="1">
      <c r="B839" s="97"/>
      <c r="C839" s="110"/>
      <c r="D839" s="109"/>
      <c r="E839" s="97"/>
      <c r="F839" s="97"/>
      <c r="G839" s="109"/>
      <c r="H839" s="109"/>
      <c r="I839" s="97"/>
      <c r="J839" s="97"/>
      <c r="K839" s="83"/>
      <c r="L839" s="111"/>
      <c r="M839" s="111"/>
      <c r="N839" s="111"/>
      <c r="O839" s="111"/>
      <c r="P839" s="111"/>
      <c r="Q839" s="111"/>
      <c r="R839" s="111"/>
    </row>
    <row r="840" spans="2:18" s="108" customFormat="1">
      <c r="B840" s="97"/>
      <c r="C840" s="110"/>
      <c r="D840" s="109"/>
      <c r="E840" s="97"/>
      <c r="F840" s="97"/>
      <c r="G840" s="109"/>
      <c r="H840" s="109"/>
      <c r="I840" s="97"/>
      <c r="J840" s="97"/>
      <c r="K840" s="83"/>
      <c r="L840" s="111"/>
      <c r="M840" s="111"/>
      <c r="N840" s="111"/>
      <c r="O840" s="111"/>
      <c r="P840" s="111"/>
      <c r="Q840" s="111"/>
      <c r="R840" s="111"/>
    </row>
    <row r="841" spans="2:18" s="108" customFormat="1">
      <c r="B841" s="97"/>
      <c r="C841" s="110"/>
      <c r="D841" s="109"/>
      <c r="E841" s="97"/>
      <c r="F841" s="97"/>
      <c r="G841" s="109"/>
      <c r="H841" s="109"/>
      <c r="I841" s="97"/>
      <c r="J841" s="97"/>
      <c r="K841" s="83"/>
      <c r="L841" s="111"/>
      <c r="M841" s="111"/>
      <c r="N841" s="111"/>
      <c r="O841" s="111"/>
      <c r="P841" s="111"/>
      <c r="Q841" s="111"/>
      <c r="R841" s="111"/>
    </row>
    <row r="842" spans="2:18" s="108" customFormat="1">
      <c r="B842" s="97"/>
      <c r="C842" s="110"/>
      <c r="D842" s="109"/>
      <c r="E842" s="97"/>
      <c r="F842" s="97"/>
      <c r="G842" s="109"/>
      <c r="H842" s="109"/>
      <c r="I842" s="97"/>
      <c r="J842" s="97"/>
      <c r="K842" s="83"/>
      <c r="L842" s="111"/>
      <c r="M842" s="111"/>
      <c r="N842" s="111"/>
      <c r="O842" s="111"/>
      <c r="P842" s="111"/>
      <c r="Q842" s="111"/>
      <c r="R842" s="111"/>
    </row>
    <row r="843" spans="2:18" s="108" customFormat="1">
      <c r="B843" s="97"/>
      <c r="C843" s="110"/>
      <c r="D843" s="109"/>
      <c r="E843" s="97"/>
      <c r="F843" s="97"/>
      <c r="G843" s="109"/>
      <c r="H843" s="109"/>
      <c r="I843" s="97"/>
      <c r="J843" s="97"/>
      <c r="K843" s="83"/>
      <c r="L843" s="111"/>
      <c r="M843" s="111"/>
      <c r="N843" s="111"/>
      <c r="O843" s="111"/>
      <c r="P843" s="111"/>
      <c r="Q843" s="111"/>
      <c r="R843" s="111"/>
    </row>
    <row r="844" spans="2:18" s="108" customFormat="1">
      <c r="B844" s="97"/>
      <c r="C844" s="110"/>
      <c r="D844" s="109"/>
      <c r="E844" s="97"/>
      <c r="F844" s="97"/>
      <c r="G844" s="109"/>
      <c r="H844" s="109"/>
      <c r="I844" s="97"/>
      <c r="J844" s="97"/>
      <c r="K844" s="83"/>
      <c r="L844" s="111"/>
      <c r="M844" s="111"/>
      <c r="N844" s="111"/>
      <c r="O844" s="111"/>
      <c r="P844" s="111"/>
      <c r="Q844" s="111"/>
      <c r="R844" s="111"/>
    </row>
    <row r="845" spans="2:18" s="108" customFormat="1">
      <c r="B845" s="97"/>
      <c r="C845" s="110"/>
      <c r="D845" s="109"/>
      <c r="E845" s="97"/>
      <c r="F845" s="97"/>
      <c r="G845" s="109"/>
      <c r="H845" s="109"/>
      <c r="I845" s="97"/>
      <c r="J845" s="97"/>
      <c r="K845" s="83"/>
      <c r="L845" s="111"/>
      <c r="M845" s="111"/>
      <c r="N845" s="111"/>
      <c r="O845" s="111"/>
      <c r="P845" s="111"/>
      <c r="Q845" s="111"/>
      <c r="R845" s="111"/>
    </row>
    <row r="846" spans="2:18" s="108" customFormat="1">
      <c r="B846" s="97"/>
      <c r="C846" s="110"/>
      <c r="D846" s="109"/>
      <c r="E846" s="97"/>
      <c r="F846" s="97"/>
      <c r="G846" s="109"/>
      <c r="H846" s="109"/>
      <c r="I846" s="97"/>
      <c r="J846" s="97"/>
      <c r="K846" s="83"/>
      <c r="L846" s="111"/>
      <c r="M846" s="111"/>
      <c r="N846" s="111"/>
      <c r="O846" s="111"/>
      <c r="P846" s="111"/>
      <c r="Q846" s="111"/>
      <c r="R846" s="111"/>
    </row>
    <row r="847" spans="2:18" s="108" customFormat="1">
      <c r="B847" s="97"/>
      <c r="C847" s="110"/>
      <c r="D847" s="109"/>
      <c r="E847" s="97"/>
      <c r="F847" s="97"/>
      <c r="G847" s="109"/>
      <c r="H847" s="109"/>
      <c r="I847" s="97"/>
      <c r="J847" s="97"/>
      <c r="K847" s="83"/>
      <c r="L847" s="111"/>
      <c r="M847" s="111"/>
      <c r="N847" s="111"/>
      <c r="O847" s="111"/>
      <c r="P847" s="111"/>
      <c r="Q847" s="111"/>
      <c r="R847" s="111"/>
    </row>
    <row r="848" spans="2:18" s="108" customFormat="1">
      <c r="B848" s="97"/>
      <c r="C848" s="110"/>
      <c r="D848" s="109"/>
      <c r="E848" s="97"/>
      <c r="F848" s="97"/>
      <c r="G848" s="109"/>
      <c r="H848" s="109"/>
      <c r="I848" s="97"/>
      <c r="J848" s="97"/>
      <c r="K848" s="83"/>
      <c r="L848" s="111"/>
      <c r="M848" s="111"/>
      <c r="N848" s="111"/>
      <c r="O848" s="111"/>
      <c r="P848" s="111"/>
      <c r="Q848" s="111"/>
      <c r="R848" s="111"/>
    </row>
    <row r="849" spans="2:18" s="108" customFormat="1">
      <c r="B849" s="97"/>
      <c r="C849" s="110"/>
      <c r="D849" s="109"/>
      <c r="E849" s="97"/>
      <c r="F849" s="97"/>
      <c r="G849" s="109"/>
      <c r="H849" s="109"/>
      <c r="I849" s="97"/>
      <c r="J849" s="97"/>
      <c r="K849" s="83"/>
      <c r="L849" s="111"/>
      <c r="M849" s="111"/>
      <c r="N849" s="111"/>
      <c r="O849" s="111"/>
      <c r="P849" s="111"/>
      <c r="Q849" s="111"/>
      <c r="R849" s="111"/>
    </row>
    <row r="850" spans="2:18" s="108" customFormat="1">
      <c r="B850" s="97"/>
      <c r="C850" s="110"/>
      <c r="D850" s="109"/>
      <c r="E850" s="97"/>
      <c r="F850" s="97"/>
      <c r="G850" s="109"/>
      <c r="H850" s="109"/>
      <c r="I850" s="97"/>
      <c r="J850" s="97"/>
      <c r="K850" s="83"/>
      <c r="L850" s="111"/>
      <c r="M850" s="111"/>
      <c r="N850" s="111"/>
      <c r="O850" s="111"/>
      <c r="P850" s="111"/>
      <c r="Q850" s="111"/>
      <c r="R850" s="111"/>
    </row>
    <row r="851" spans="2:18" s="108" customFormat="1">
      <c r="B851" s="97"/>
      <c r="C851" s="110"/>
      <c r="D851" s="109"/>
      <c r="E851" s="97"/>
      <c r="F851" s="97"/>
      <c r="G851" s="109"/>
      <c r="H851" s="109"/>
      <c r="I851" s="97"/>
      <c r="J851" s="97"/>
      <c r="K851" s="83"/>
      <c r="L851" s="111"/>
      <c r="M851" s="111"/>
      <c r="N851" s="111"/>
      <c r="O851" s="111"/>
      <c r="P851" s="111"/>
      <c r="Q851" s="111"/>
      <c r="R851" s="111"/>
    </row>
    <row r="852" spans="2:18" s="108" customFormat="1">
      <c r="B852" s="97"/>
      <c r="C852" s="110"/>
      <c r="D852" s="109"/>
      <c r="E852" s="97"/>
      <c r="F852" s="97"/>
      <c r="G852" s="109"/>
      <c r="H852" s="109"/>
      <c r="I852" s="97"/>
      <c r="J852" s="97"/>
      <c r="K852" s="83"/>
      <c r="L852" s="111"/>
      <c r="M852" s="111"/>
      <c r="N852" s="111"/>
      <c r="O852" s="111"/>
      <c r="P852" s="111"/>
      <c r="Q852" s="111"/>
      <c r="R852" s="111"/>
    </row>
    <row r="853" spans="2:18" s="108" customFormat="1">
      <c r="B853" s="97"/>
      <c r="C853" s="110"/>
      <c r="D853" s="109"/>
      <c r="E853" s="97"/>
      <c r="F853" s="97"/>
      <c r="G853" s="109"/>
      <c r="H853" s="109"/>
      <c r="I853" s="97"/>
      <c r="J853" s="97"/>
      <c r="K853" s="83"/>
      <c r="L853" s="111"/>
      <c r="M853" s="111"/>
      <c r="N853" s="111"/>
      <c r="O853" s="111"/>
      <c r="P853" s="111"/>
      <c r="Q853" s="111"/>
      <c r="R853" s="111"/>
    </row>
    <row r="854" spans="2:18" s="108" customFormat="1">
      <c r="B854" s="97"/>
      <c r="C854" s="110"/>
      <c r="D854" s="109"/>
      <c r="E854" s="97"/>
      <c r="F854" s="97"/>
      <c r="G854" s="109"/>
      <c r="H854" s="109"/>
      <c r="I854" s="97"/>
      <c r="J854" s="97"/>
      <c r="K854" s="83"/>
      <c r="L854" s="111"/>
      <c r="M854" s="111"/>
      <c r="N854" s="111"/>
      <c r="O854" s="111"/>
      <c r="P854" s="111"/>
      <c r="Q854" s="111"/>
      <c r="R854" s="111"/>
    </row>
    <row r="855" spans="2:18" s="108" customFormat="1">
      <c r="B855" s="97"/>
      <c r="C855" s="110"/>
      <c r="D855" s="109"/>
      <c r="E855" s="97"/>
      <c r="F855" s="97"/>
      <c r="G855" s="109"/>
      <c r="H855" s="109"/>
      <c r="I855" s="97"/>
      <c r="J855" s="97"/>
      <c r="K855" s="83"/>
      <c r="L855" s="111"/>
      <c r="M855" s="111"/>
      <c r="N855" s="111"/>
      <c r="O855" s="111"/>
      <c r="P855" s="111"/>
      <c r="Q855" s="111"/>
      <c r="R855" s="111"/>
    </row>
    <row r="856" spans="2:18" s="108" customFormat="1">
      <c r="B856" s="97"/>
      <c r="C856" s="110"/>
      <c r="D856" s="109"/>
      <c r="E856" s="97"/>
      <c r="F856" s="97"/>
      <c r="G856" s="109"/>
      <c r="H856" s="109"/>
      <c r="I856" s="97"/>
      <c r="J856" s="97"/>
      <c r="K856" s="83"/>
      <c r="L856" s="111"/>
      <c r="M856" s="111"/>
      <c r="N856" s="111"/>
      <c r="O856" s="111"/>
      <c r="P856" s="111"/>
      <c r="Q856" s="111"/>
      <c r="R856" s="111"/>
    </row>
    <row r="857" spans="2:18" s="108" customFormat="1">
      <c r="B857" s="97"/>
      <c r="C857" s="110"/>
      <c r="D857" s="109"/>
      <c r="E857" s="97"/>
      <c r="F857" s="97"/>
      <c r="G857" s="109"/>
      <c r="H857" s="109"/>
      <c r="I857" s="97"/>
      <c r="J857" s="97"/>
      <c r="K857" s="83"/>
      <c r="L857" s="111"/>
      <c r="M857" s="111"/>
      <c r="N857" s="111"/>
      <c r="O857" s="111"/>
      <c r="P857" s="111"/>
      <c r="Q857" s="111"/>
      <c r="R857" s="111"/>
    </row>
    <row r="858" spans="2:18" s="108" customFormat="1">
      <c r="B858" s="97"/>
      <c r="C858" s="110"/>
      <c r="D858" s="109"/>
      <c r="E858" s="97"/>
      <c r="F858" s="97"/>
      <c r="G858" s="109"/>
      <c r="H858" s="109"/>
      <c r="I858" s="97"/>
      <c r="J858" s="97"/>
      <c r="K858" s="83"/>
      <c r="L858" s="111"/>
      <c r="M858" s="111"/>
      <c r="N858" s="111"/>
      <c r="O858" s="111"/>
      <c r="P858" s="111"/>
      <c r="Q858" s="111"/>
      <c r="R858" s="111"/>
    </row>
    <row r="859" spans="2:18" s="108" customFormat="1">
      <c r="B859" s="97"/>
      <c r="C859" s="110"/>
      <c r="D859" s="109"/>
      <c r="E859" s="97"/>
      <c r="F859" s="97"/>
      <c r="G859" s="109"/>
      <c r="H859" s="109"/>
      <c r="I859" s="97"/>
      <c r="J859" s="97"/>
      <c r="K859" s="83"/>
      <c r="L859" s="111"/>
      <c r="M859" s="111"/>
      <c r="N859" s="111"/>
      <c r="O859" s="111"/>
      <c r="P859" s="111"/>
      <c r="Q859" s="111"/>
      <c r="R859" s="111"/>
    </row>
    <row r="860" spans="2:18" s="108" customFormat="1">
      <c r="B860" s="97"/>
      <c r="C860" s="110"/>
      <c r="D860" s="109"/>
      <c r="E860" s="97"/>
      <c r="F860" s="97"/>
      <c r="G860" s="109"/>
      <c r="H860" s="109"/>
      <c r="I860" s="97"/>
      <c r="J860" s="97"/>
      <c r="K860" s="83"/>
      <c r="L860" s="111"/>
      <c r="M860" s="111"/>
      <c r="N860" s="111"/>
      <c r="O860" s="111"/>
      <c r="P860" s="111"/>
      <c r="Q860" s="111"/>
      <c r="R860" s="111"/>
    </row>
    <row r="861" spans="2:18" s="108" customFormat="1">
      <c r="B861" s="97"/>
      <c r="C861" s="110"/>
      <c r="D861" s="109"/>
      <c r="E861" s="97"/>
      <c r="F861" s="97"/>
      <c r="G861" s="109"/>
      <c r="H861" s="109"/>
      <c r="I861" s="97"/>
      <c r="J861" s="97"/>
      <c r="K861" s="83"/>
      <c r="L861" s="111"/>
      <c r="M861" s="111"/>
      <c r="N861" s="111"/>
      <c r="O861" s="111"/>
      <c r="P861" s="111"/>
      <c r="Q861" s="111"/>
      <c r="R861" s="111"/>
    </row>
    <row r="862" spans="2:18" s="108" customFormat="1">
      <c r="B862" s="97"/>
      <c r="C862" s="110"/>
      <c r="D862" s="109"/>
      <c r="E862" s="97"/>
      <c r="F862" s="97"/>
      <c r="G862" s="109"/>
      <c r="H862" s="109"/>
      <c r="I862" s="97"/>
      <c r="J862" s="97"/>
      <c r="K862" s="83"/>
      <c r="L862" s="111"/>
      <c r="M862" s="111"/>
      <c r="N862" s="111"/>
      <c r="O862" s="111"/>
      <c r="P862" s="111"/>
      <c r="Q862" s="111"/>
      <c r="R862" s="111"/>
    </row>
    <row r="863" spans="2:18" s="108" customFormat="1">
      <c r="B863" s="97"/>
      <c r="C863" s="110"/>
      <c r="D863" s="109"/>
      <c r="E863" s="97"/>
      <c r="F863" s="97"/>
      <c r="G863" s="109"/>
      <c r="H863" s="109"/>
      <c r="I863" s="97"/>
      <c r="J863" s="97"/>
      <c r="K863" s="83"/>
      <c r="L863" s="111"/>
      <c r="M863" s="111"/>
      <c r="N863" s="111"/>
      <c r="O863" s="111"/>
      <c r="P863" s="111"/>
      <c r="Q863" s="111"/>
      <c r="R863" s="111"/>
    </row>
    <row r="864" spans="2:18" s="108" customFormat="1">
      <c r="B864" s="97"/>
      <c r="C864" s="110"/>
      <c r="D864" s="109"/>
      <c r="E864" s="97"/>
      <c r="F864" s="97"/>
      <c r="G864" s="109"/>
      <c r="H864" s="109"/>
      <c r="I864" s="97"/>
      <c r="J864" s="97"/>
      <c r="K864" s="83"/>
      <c r="L864" s="111"/>
      <c r="M864" s="111"/>
      <c r="N864" s="111"/>
      <c r="O864" s="111"/>
      <c r="P864" s="111"/>
      <c r="Q864" s="111"/>
      <c r="R864" s="111"/>
    </row>
    <row r="865" spans="2:18" s="108" customFormat="1">
      <c r="B865" s="97"/>
      <c r="C865" s="110"/>
      <c r="D865" s="109"/>
      <c r="E865" s="97"/>
      <c r="F865" s="97"/>
      <c r="G865" s="109"/>
      <c r="H865" s="109"/>
      <c r="I865" s="97"/>
      <c r="J865" s="97"/>
      <c r="K865" s="83"/>
      <c r="L865" s="111"/>
      <c r="M865" s="111"/>
      <c r="N865" s="111"/>
      <c r="O865" s="111"/>
      <c r="P865" s="111"/>
      <c r="Q865" s="111"/>
      <c r="R865" s="111"/>
    </row>
    <row r="866" spans="2:18" s="108" customFormat="1">
      <c r="B866" s="97"/>
      <c r="C866" s="110"/>
      <c r="D866" s="109"/>
      <c r="E866" s="97"/>
      <c r="F866" s="97"/>
      <c r="G866" s="109"/>
      <c r="H866" s="109"/>
      <c r="I866" s="97"/>
      <c r="J866" s="97"/>
      <c r="K866" s="83"/>
      <c r="L866" s="111"/>
      <c r="M866" s="111"/>
      <c r="N866" s="111"/>
      <c r="O866" s="111"/>
      <c r="P866" s="111"/>
      <c r="Q866" s="111"/>
      <c r="R866" s="111"/>
    </row>
    <row r="867" spans="2:18" s="108" customFormat="1">
      <c r="B867" s="97"/>
      <c r="C867" s="110"/>
      <c r="D867" s="109"/>
      <c r="E867" s="97"/>
      <c r="F867" s="97"/>
      <c r="G867" s="109"/>
      <c r="H867" s="109"/>
      <c r="I867" s="97"/>
      <c r="J867" s="97"/>
      <c r="K867" s="83"/>
      <c r="L867" s="111"/>
      <c r="M867" s="111"/>
      <c r="N867" s="111"/>
      <c r="O867" s="111"/>
      <c r="P867" s="111"/>
      <c r="Q867" s="111"/>
      <c r="R867" s="111"/>
    </row>
    <row r="868" spans="2:18" s="108" customFormat="1">
      <c r="B868" s="97"/>
      <c r="C868" s="110"/>
      <c r="D868" s="109"/>
      <c r="E868" s="97"/>
      <c r="F868" s="97"/>
      <c r="G868" s="109"/>
      <c r="H868" s="109"/>
      <c r="I868" s="97"/>
      <c r="J868" s="97"/>
      <c r="K868" s="83"/>
      <c r="L868" s="111"/>
      <c r="M868" s="111"/>
      <c r="N868" s="111"/>
      <c r="O868" s="111"/>
      <c r="P868" s="111"/>
      <c r="Q868" s="111"/>
      <c r="R868" s="111"/>
    </row>
    <row r="869" spans="2:18" s="108" customFormat="1">
      <c r="B869" s="97"/>
      <c r="C869" s="110"/>
      <c r="D869" s="109"/>
      <c r="E869" s="97"/>
      <c r="F869" s="97"/>
      <c r="G869" s="109"/>
      <c r="H869" s="109"/>
      <c r="I869" s="97"/>
      <c r="J869" s="97"/>
      <c r="K869" s="83"/>
      <c r="L869" s="111"/>
      <c r="M869" s="111"/>
      <c r="N869" s="111"/>
      <c r="O869" s="111"/>
      <c r="P869" s="111"/>
      <c r="Q869" s="111"/>
      <c r="R869" s="111"/>
    </row>
    <row r="870" spans="2:18" s="108" customFormat="1">
      <c r="B870" s="97"/>
      <c r="C870" s="110"/>
      <c r="D870" s="109"/>
      <c r="E870" s="97"/>
      <c r="F870" s="97"/>
      <c r="G870" s="109"/>
      <c r="H870" s="109"/>
      <c r="I870" s="97"/>
      <c r="J870" s="97"/>
      <c r="K870" s="83"/>
      <c r="L870" s="111"/>
      <c r="M870" s="111"/>
      <c r="N870" s="111"/>
      <c r="O870" s="111"/>
      <c r="P870" s="111"/>
      <c r="Q870" s="111"/>
      <c r="R870" s="111"/>
    </row>
    <row r="871" spans="2:18" s="108" customFormat="1">
      <c r="B871" s="97"/>
      <c r="C871" s="110"/>
      <c r="D871" s="109"/>
      <c r="E871" s="97"/>
      <c r="F871" s="97"/>
      <c r="G871" s="109"/>
      <c r="H871" s="109"/>
      <c r="I871" s="97"/>
      <c r="J871" s="97"/>
      <c r="K871" s="83"/>
      <c r="L871" s="111"/>
      <c r="M871" s="111"/>
      <c r="N871" s="111"/>
      <c r="O871" s="111"/>
      <c r="P871" s="111"/>
      <c r="Q871" s="111"/>
      <c r="R871" s="111"/>
    </row>
    <row r="872" spans="2:18" s="108" customFormat="1">
      <c r="B872" s="97"/>
      <c r="C872" s="110"/>
      <c r="D872" s="109"/>
      <c r="E872" s="97"/>
      <c r="F872" s="97"/>
      <c r="G872" s="109"/>
      <c r="H872" s="109"/>
      <c r="I872" s="97"/>
      <c r="J872" s="97"/>
      <c r="K872" s="83"/>
      <c r="L872" s="111"/>
      <c r="M872" s="111"/>
      <c r="N872" s="111"/>
      <c r="O872" s="111"/>
      <c r="P872" s="111"/>
      <c r="Q872" s="111"/>
      <c r="R872" s="111"/>
    </row>
    <row r="873" spans="2:18" s="108" customFormat="1">
      <c r="B873" s="97"/>
      <c r="C873" s="110"/>
      <c r="D873" s="109"/>
      <c r="E873" s="97"/>
      <c r="F873" s="97"/>
      <c r="G873" s="109"/>
      <c r="H873" s="109"/>
      <c r="I873" s="97"/>
      <c r="J873" s="97"/>
      <c r="K873" s="83"/>
      <c r="L873" s="111"/>
      <c r="M873" s="111"/>
      <c r="N873" s="111"/>
      <c r="O873" s="111"/>
      <c r="P873" s="111"/>
      <c r="Q873" s="111"/>
      <c r="R873" s="111"/>
    </row>
    <row r="874" spans="2:18" s="108" customFormat="1">
      <c r="B874" s="97"/>
      <c r="C874" s="110"/>
      <c r="D874" s="109"/>
      <c r="E874" s="97"/>
      <c r="F874" s="97"/>
      <c r="G874" s="109"/>
      <c r="H874" s="109"/>
      <c r="I874" s="97"/>
      <c r="J874" s="97"/>
      <c r="K874" s="83"/>
      <c r="L874" s="111"/>
      <c r="M874" s="111"/>
      <c r="N874" s="111"/>
      <c r="O874" s="111"/>
      <c r="P874" s="111"/>
      <c r="Q874" s="111"/>
      <c r="R874" s="111"/>
    </row>
    <row r="875" spans="2:18" s="108" customFormat="1">
      <c r="B875" s="97"/>
      <c r="C875" s="110"/>
      <c r="D875" s="109"/>
      <c r="E875" s="97"/>
      <c r="F875" s="97"/>
      <c r="G875" s="109"/>
      <c r="H875" s="109"/>
      <c r="I875" s="97"/>
      <c r="J875" s="97"/>
      <c r="K875" s="83"/>
      <c r="L875" s="111"/>
      <c r="M875" s="111"/>
      <c r="N875" s="111"/>
      <c r="O875" s="111"/>
      <c r="P875" s="111"/>
      <c r="Q875" s="111"/>
      <c r="R875" s="111"/>
    </row>
    <row r="876" spans="2:18" s="108" customFormat="1">
      <c r="B876" s="97"/>
      <c r="C876" s="110"/>
      <c r="D876" s="109"/>
      <c r="E876" s="97"/>
      <c r="F876" s="97"/>
      <c r="G876" s="109"/>
      <c r="H876" s="109"/>
      <c r="I876" s="97"/>
      <c r="J876" s="97"/>
      <c r="K876" s="83"/>
      <c r="L876" s="111"/>
      <c r="M876" s="111"/>
      <c r="N876" s="111"/>
      <c r="O876" s="111"/>
      <c r="P876" s="111"/>
      <c r="Q876" s="111"/>
      <c r="R876" s="111"/>
    </row>
    <row r="877" spans="2:18" s="108" customFormat="1">
      <c r="B877" s="97"/>
      <c r="C877" s="110"/>
      <c r="D877" s="109"/>
      <c r="E877" s="97"/>
      <c r="F877" s="97"/>
      <c r="G877" s="109"/>
      <c r="H877" s="109"/>
      <c r="I877" s="97"/>
      <c r="J877" s="97"/>
      <c r="K877" s="83"/>
      <c r="L877" s="111"/>
      <c r="M877" s="111"/>
      <c r="N877" s="111"/>
      <c r="O877" s="111"/>
      <c r="P877" s="111"/>
      <c r="Q877" s="111"/>
      <c r="R877" s="111"/>
    </row>
    <row r="878" spans="2:18" s="108" customFormat="1">
      <c r="B878" s="97"/>
      <c r="C878" s="110"/>
      <c r="D878" s="109"/>
      <c r="E878" s="97"/>
      <c r="F878" s="97"/>
      <c r="G878" s="109"/>
      <c r="H878" s="109"/>
      <c r="I878" s="97"/>
      <c r="J878" s="97"/>
      <c r="K878" s="83"/>
      <c r="L878" s="111"/>
      <c r="M878" s="111"/>
      <c r="N878" s="111"/>
      <c r="O878" s="111"/>
      <c r="P878" s="111"/>
      <c r="Q878" s="111"/>
      <c r="R878" s="111"/>
    </row>
    <row r="879" spans="2:18" s="108" customFormat="1">
      <c r="B879" s="97"/>
      <c r="C879" s="110"/>
      <c r="D879" s="109"/>
      <c r="E879" s="97"/>
      <c r="F879" s="97"/>
      <c r="G879" s="109"/>
      <c r="H879" s="109"/>
      <c r="I879" s="97"/>
      <c r="J879" s="97"/>
      <c r="K879" s="83"/>
      <c r="L879" s="111"/>
      <c r="M879" s="111"/>
      <c r="N879" s="111"/>
      <c r="O879" s="111"/>
      <c r="P879" s="111"/>
      <c r="Q879" s="111"/>
      <c r="R879" s="111"/>
    </row>
    <row r="880" spans="2:18" s="108" customFormat="1">
      <c r="B880" s="97"/>
      <c r="C880" s="110"/>
      <c r="D880" s="109"/>
      <c r="E880" s="97"/>
      <c r="F880" s="97"/>
      <c r="G880" s="109"/>
      <c r="H880" s="109"/>
      <c r="I880" s="97"/>
      <c r="J880" s="97"/>
      <c r="K880" s="83"/>
      <c r="L880" s="111"/>
      <c r="M880" s="111"/>
      <c r="N880" s="111"/>
      <c r="O880" s="111"/>
      <c r="P880" s="111"/>
      <c r="Q880" s="111"/>
      <c r="R880" s="111"/>
    </row>
    <row r="881" spans="2:18" s="108" customFormat="1">
      <c r="B881" s="97"/>
      <c r="C881" s="110"/>
      <c r="D881" s="109"/>
      <c r="E881" s="97"/>
      <c r="F881" s="97"/>
      <c r="G881" s="109"/>
      <c r="H881" s="109"/>
      <c r="I881" s="97"/>
      <c r="J881" s="97"/>
      <c r="K881" s="83"/>
      <c r="L881" s="111"/>
      <c r="M881" s="111"/>
      <c r="N881" s="111"/>
      <c r="O881" s="111"/>
      <c r="P881" s="111"/>
      <c r="Q881" s="111"/>
      <c r="R881" s="111"/>
    </row>
    <row r="882" spans="2:18" s="108" customFormat="1">
      <c r="B882" s="97"/>
      <c r="C882" s="110"/>
      <c r="D882" s="109"/>
      <c r="E882" s="97"/>
      <c r="F882" s="97"/>
      <c r="G882" s="109"/>
      <c r="H882" s="109"/>
      <c r="I882" s="97"/>
      <c r="J882" s="97"/>
      <c r="K882" s="83"/>
      <c r="L882" s="111"/>
      <c r="M882" s="111"/>
      <c r="N882" s="111"/>
      <c r="O882" s="111"/>
      <c r="P882" s="111"/>
      <c r="Q882" s="111"/>
      <c r="R882" s="111"/>
    </row>
    <row r="883" spans="2:18" s="108" customFormat="1">
      <c r="B883" s="97"/>
      <c r="C883" s="110"/>
      <c r="D883" s="109"/>
      <c r="E883" s="97"/>
      <c r="F883" s="97"/>
      <c r="G883" s="109"/>
      <c r="H883" s="109"/>
      <c r="I883" s="97"/>
      <c r="J883" s="97"/>
      <c r="K883" s="83"/>
      <c r="L883" s="111"/>
      <c r="M883" s="111"/>
      <c r="N883" s="111"/>
      <c r="O883" s="111"/>
      <c r="P883" s="111"/>
      <c r="Q883" s="111"/>
      <c r="R883" s="111"/>
    </row>
    <row r="884" spans="2:18" s="108" customFormat="1">
      <c r="B884" s="97"/>
      <c r="C884" s="110"/>
      <c r="D884" s="109"/>
      <c r="E884" s="97"/>
      <c r="F884" s="97"/>
      <c r="G884" s="109"/>
      <c r="H884" s="109"/>
      <c r="I884" s="97"/>
      <c r="J884" s="97"/>
      <c r="K884" s="83"/>
      <c r="L884" s="111"/>
      <c r="M884" s="111"/>
      <c r="N884" s="111"/>
      <c r="O884" s="111"/>
      <c r="P884" s="111"/>
      <c r="Q884" s="111"/>
      <c r="R884" s="111"/>
    </row>
    <row r="885" spans="2:18" s="108" customFormat="1">
      <c r="B885" s="97"/>
      <c r="C885" s="110"/>
      <c r="D885" s="109"/>
      <c r="E885" s="97"/>
      <c r="F885" s="97"/>
      <c r="G885" s="109"/>
      <c r="H885" s="109"/>
      <c r="I885" s="97"/>
      <c r="J885" s="97"/>
      <c r="K885" s="83"/>
      <c r="L885" s="111"/>
      <c r="M885" s="111"/>
      <c r="N885" s="111"/>
      <c r="O885" s="111"/>
      <c r="P885" s="111"/>
      <c r="Q885" s="111"/>
      <c r="R885" s="111"/>
    </row>
    <row r="886" spans="2:18" s="108" customFormat="1">
      <c r="B886" s="97"/>
      <c r="C886" s="110"/>
      <c r="D886" s="109"/>
      <c r="E886" s="97"/>
      <c r="F886" s="97"/>
      <c r="G886" s="109"/>
      <c r="H886" s="109"/>
      <c r="I886" s="97"/>
      <c r="J886" s="97"/>
      <c r="K886" s="83"/>
      <c r="L886" s="111"/>
      <c r="M886" s="111"/>
      <c r="N886" s="111"/>
      <c r="O886" s="111"/>
      <c r="P886" s="111"/>
      <c r="Q886" s="111"/>
      <c r="R886" s="111"/>
    </row>
    <row r="887" spans="2:18" s="108" customFormat="1">
      <c r="B887" s="97"/>
      <c r="C887" s="110"/>
      <c r="D887" s="109"/>
      <c r="E887" s="97"/>
      <c r="F887" s="97"/>
      <c r="G887" s="109"/>
      <c r="H887" s="109"/>
      <c r="I887" s="97"/>
      <c r="J887" s="97"/>
      <c r="K887" s="83"/>
      <c r="L887" s="111"/>
      <c r="M887" s="111"/>
      <c r="N887" s="111"/>
      <c r="O887" s="111"/>
      <c r="P887" s="111"/>
      <c r="Q887" s="111"/>
      <c r="R887" s="111"/>
    </row>
    <row r="888" spans="2:18" s="108" customFormat="1">
      <c r="B888" s="97"/>
      <c r="C888" s="110"/>
      <c r="D888" s="109"/>
      <c r="E888" s="97"/>
      <c r="F888" s="97"/>
      <c r="G888" s="109"/>
      <c r="H888" s="109"/>
      <c r="I888" s="97"/>
      <c r="J888" s="97"/>
      <c r="K888" s="83"/>
      <c r="L888" s="111"/>
      <c r="M888" s="111"/>
      <c r="N888" s="111"/>
      <c r="O888" s="111"/>
      <c r="P888" s="111"/>
      <c r="Q888" s="111"/>
      <c r="R888" s="111"/>
    </row>
    <row r="889" spans="2:18" s="108" customFormat="1">
      <c r="B889" s="97"/>
      <c r="C889" s="110"/>
      <c r="D889" s="109"/>
      <c r="E889" s="97"/>
      <c r="F889" s="97"/>
      <c r="G889" s="109"/>
      <c r="H889" s="109"/>
      <c r="I889" s="97"/>
      <c r="J889" s="97"/>
      <c r="K889" s="83"/>
      <c r="L889" s="111"/>
      <c r="M889" s="111"/>
      <c r="N889" s="111"/>
      <c r="O889" s="111"/>
      <c r="P889" s="111"/>
      <c r="Q889" s="111"/>
      <c r="R889" s="111"/>
    </row>
    <row r="890" spans="2:18" s="108" customFormat="1">
      <c r="B890" s="97"/>
      <c r="C890" s="110"/>
      <c r="D890" s="109"/>
      <c r="E890" s="97"/>
      <c r="F890" s="97"/>
      <c r="G890" s="109"/>
      <c r="H890" s="109"/>
      <c r="I890" s="97"/>
      <c r="J890" s="97"/>
      <c r="K890" s="83"/>
      <c r="L890" s="111"/>
      <c r="M890" s="111"/>
      <c r="N890" s="111"/>
      <c r="O890" s="111"/>
      <c r="P890" s="111"/>
      <c r="Q890" s="111"/>
      <c r="R890" s="111"/>
    </row>
    <row r="891" spans="2:18" s="108" customFormat="1">
      <c r="B891" s="97"/>
      <c r="C891" s="110"/>
      <c r="D891" s="109"/>
      <c r="E891" s="97"/>
      <c r="F891" s="97"/>
      <c r="G891" s="109"/>
      <c r="H891" s="109"/>
      <c r="I891" s="97"/>
      <c r="J891" s="97"/>
      <c r="K891" s="83"/>
      <c r="L891" s="111"/>
      <c r="M891" s="111"/>
      <c r="N891" s="111"/>
      <c r="O891" s="111"/>
      <c r="P891" s="111"/>
      <c r="Q891" s="111"/>
      <c r="R891" s="111"/>
    </row>
    <row r="892" spans="2:18" s="108" customFormat="1">
      <c r="B892" s="97"/>
      <c r="C892" s="110"/>
      <c r="D892" s="109"/>
      <c r="E892" s="97"/>
      <c r="F892" s="97"/>
      <c r="G892" s="109"/>
      <c r="H892" s="109"/>
      <c r="I892" s="97"/>
      <c r="J892" s="97"/>
      <c r="K892" s="83"/>
      <c r="L892" s="111"/>
      <c r="M892" s="111"/>
      <c r="N892" s="111"/>
      <c r="O892" s="111"/>
      <c r="P892" s="111"/>
      <c r="Q892" s="111"/>
      <c r="R892" s="111"/>
    </row>
    <row r="893" spans="2:18" s="108" customFormat="1">
      <c r="B893" s="97"/>
      <c r="C893" s="110"/>
      <c r="D893" s="109"/>
      <c r="E893" s="97"/>
      <c r="F893" s="97"/>
      <c r="G893" s="109"/>
      <c r="H893" s="109"/>
      <c r="I893" s="97"/>
      <c r="J893" s="97"/>
      <c r="K893" s="83"/>
      <c r="L893" s="111"/>
      <c r="M893" s="111"/>
      <c r="N893" s="111"/>
      <c r="O893" s="111"/>
      <c r="P893" s="111"/>
      <c r="Q893" s="111"/>
      <c r="R893" s="111"/>
    </row>
    <row r="894" spans="2:18" s="108" customFormat="1">
      <c r="B894" s="97"/>
      <c r="C894" s="110"/>
      <c r="D894" s="109"/>
      <c r="E894" s="97"/>
      <c r="F894" s="97"/>
      <c r="G894" s="109"/>
      <c r="H894" s="109"/>
      <c r="I894" s="97"/>
      <c r="J894" s="97"/>
      <c r="K894" s="83"/>
      <c r="L894" s="111"/>
      <c r="M894" s="111"/>
      <c r="N894" s="111"/>
      <c r="O894" s="111"/>
      <c r="P894" s="111"/>
      <c r="Q894" s="111"/>
      <c r="R894" s="111"/>
    </row>
    <row r="895" spans="2:18" s="108" customFormat="1">
      <c r="B895" s="97"/>
      <c r="C895" s="110"/>
      <c r="D895" s="109"/>
      <c r="E895" s="97"/>
      <c r="F895" s="97"/>
      <c r="G895" s="109"/>
      <c r="H895" s="109"/>
      <c r="I895" s="97"/>
      <c r="J895" s="97"/>
      <c r="K895" s="83"/>
      <c r="L895" s="111"/>
      <c r="M895" s="111"/>
      <c r="N895" s="111"/>
      <c r="O895" s="111"/>
      <c r="P895" s="111"/>
      <c r="Q895" s="111"/>
      <c r="R895" s="111"/>
    </row>
    <row r="896" spans="2:18" s="108" customFormat="1">
      <c r="B896" s="97"/>
      <c r="C896" s="110"/>
      <c r="D896" s="109"/>
      <c r="E896" s="97"/>
      <c r="F896" s="97"/>
      <c r="G896" s="109"/>
      <c r="H896" s="109"/>
      <c r="I896" s="97"/>
      <c r="J896" s="97"/>
      <c r="K896" s="83"/>
      <c r="L896" s="111"/>
      <c r="M896" s="111"/>
      <c r="N896" s="111"/>
      <c r="O896" s="111"/>
      <c r="P896" s="111"/>
      <c r="Q896" s="111"/>
      <c r="R896" s="111"/>
    </row>
    <row r="897" spans="2:18" s="108" customFormat="1">
      <c r="B897" s="97"/>
      <c r="C897" s="110"/>
      <c r="D897" s="109"/>
      <c r="E897" s="97"/>
      <c r="F897" s="97"/>
      <c r="G897" s="109"/>
      <c r="H897" s="109"/>
      <c r="I897" s="97"/>
      <c r="J897" s="97"/>
      <c r="K897" s="83"/>
      <c r="L897" s="111"/>
      <c r="M897" s="111"/>
      <c r="N897" s="111"/>
      <c r="O897" s="111"/>
      <c r="P897" s="111"/>
      <c r="Q897" s="111"/>
      <c r="R897" s="111"/>
    </row>
    <row r="898" spans="2:18" s="108" customFormat="1">
      <c r="B898" s="97"/>
      <c r="C898" s="110"/>
      <c r="D898" s="109"/>
      <c r="E898" s="97"/>
      <c r="F898" s="97"/>
      <c r="G898" s="109"/>
      <c r="H898" s="109"/>
      <c r="I898" s="97"/>
      <c r="J898" s="97"/>
      <c r="K898" s="83"/>
      <c r="L898" s="111"/>
      <c r="M898" s="111"/>
      <c r="N898" s="111"/>
      <c r="O898" s="111"/>
      <c r="P898" s="111"/>
      <c r="Q898" s="111"/>
      <c r="R898" s="111"/>
    </row>
    <row r="899" spans="2:18" s="108" customFormat="1">
      <c r="B899" s="97"/>
      <c r="C899" s="110"/>
      <c r="D899" s="109"/>
      <c r="E899" s="97"/>
      <c r="F899" s="97"/>
      <c r="G899" s="109"/>
      <c r="H899" s="109"/>
      <c r="I899" s="97"/>
      <c r="J899" s="97"/>
      <c r="K899" s="83"/>
      <c r="L899" s="111"/>
      <c r="M899" s="111"/>
      <c r="N899" s="111"/>
      <c r="O899" s="111"/>
      <c r="P899" s="111"/>
      <c r="Q899" s="111"/>
      <c r="R899" s="111"/>
    </row>
    <row r="900" spans="2:18" s="108" customFormat="1">
      <c r="B900" s="97"/>
      <c r="C900" s="110"/>
      <c r="D900" s="109"/>
      <c r="E900" s="97"/>
      <c r="F900" s="97"/>
      <c r="G900" s="109"/>
      <c r="H900" s="109"/>
      <c r="I900" s="97"/>
      <c r="J900" s="97"/>
      <c r="K900" s="83"/>
      <c r="L900" s="111"/>
      <c r="M900" s="111"/>
      <c r="N900" s="111"/>
      <c r="O900" s="111"/>
      <c r="P900" s="111"/>
      <c r="Q900" s="111"/>
      <c r="R900" s="111"/>
    </row>
    <row r="901" spans="2:18" s="108" customFormat="1">
      <c r="B901" s="97"/>
      <c r="C901" s="110"/>
      <c r="D901" s="109"/>
      <c r="E901" s="97"/>
      <c r="F901" s="97"/>
      <c r="G901" s="109"/>
      <c r="H901" s="109"/>
      <c r="I901" s="97"/>
      <c r="J901" s="97"/>
      <c r="K901" s="83"/>
      <c r="L901" s="111"/>
      <c r="M901" s="111"/>
      <c r="N901" s="111"/>
      <c r="O901" s="111"/>
      <c r="P901" s="111"/>
      <c r="Q901" s="111"/>
      <c r="R901" s="111"/>
    </row>
    <row r="902" spans="2:18" s="108" customFormat="1">
      <c r="B902" s="97"/>
      <c r="C902" s="110"/>
      <c r="D902" s="109"/>
      <c r="E902" s="97"/>
      <c r="F902" s="97"/>
      <c r="G902" s="109"/>
      <c r="H902" s="109"/>
      <c r="I902" s="97"/>
      <c r="J902" s="97"/>
      <c r="K902" s="83"/>
      <c r="L902" s="111"/>
      <c r="M902" s="111"/>
      <c r="N902" s="111"/>
      <c r="O902" s="111"/>
      <c r="P902" s="111"/>
      <c r="Q902" s="111"/>
      <c r="R902" s="111"/>
    </row>
    <row r="903" spans="2:18" s="108" customFormat="1">
      <c r="B903" s="97"/>
      <c r="C903" s="110"/>
      <c r="D903" s="109"/>
      <c r="E903" s="97"/>
      <c r="F903" s="97"/>
      <c r="G903" s="109"/>
      <c r="H903" s="109"/>
      <c r="I903" s="97"/>
      <c r="J903" s="97"/>
      <c r="K903" s="83"/>
      <c r="L903" s="111"/>
      <c r="M903" s="111"/>
      <c r="N903" s="111"/>
      <c r="O903" s="111"/>
      <c r="P903" s="111"/>
      <c r="Q903" s="111"/>
      <c r="R903" s="111"/>
    </row>
    <row r="904" spans="2:18" s="108" customFormat="1">
      <c r="B904" s="97"/>
      <c r="C904" s="110"/>
      <c r="D904" s="109"/>
      <c r="E904" s="97"/>
      <c r="F904" s="97"/>
      <c r="G904" s="109"/>
      <c r="H904" s="109"/>
      <c r="I904" s="97"/>
      <c r="J904" s="97"/>
      <c r="K904" s="83"/>
      <c r="L904" s="111"/>
      <c r="M904" s="111"/>
      <c r="N904" s="111"/>
      <c r="O904" s="111"/>
      <c r="P904" s="111"/>
      <c r="Q904" s="111"/>
      <c r="R904" s="111"/>
    </row>
    <row r="905" spans="2:18" s="108" customFormat="1">
      <c r="B905" s="97"/>
      <c r="C905" s="110"/>
      <c r="D905" s="109"/>
      <c r="E905" s="97"/>
      <c r="F905" s="97"/>
      <c r="G905" s="109"/>
      <c r="H905" s="109"/>
      <c r="I905" s="97"/>
      <c r="J905" s="97"/>
      <c r="K905" s="83"/>
      <c r="L905" s="111"/>
      <c r="M905" s="111"/>
      <c r="N905" s="111"/>
      <c r="O905" s="111"/>
      <c r="P905" s="111"/>
      <c r="Q905" s="111"/>
      <c r="R905" s="111"/>
    </row>
    <row r="906" spans="2:18" s="108" customFormat="1">
      <c r="B906" s="97"/>
      <c r="C906" s="110"/>
      <c r="D906" s="109"/>
      <c r="E906" s="97"/>
      <c r="F906" s="97"/>
      <c r="G906" s="109"/>
      <c r="H906" s="109"/>
      <c r="I906" s="97"/>
      <c r="J906" s="97"/>
      <c r="K906" s="83"/>
      <c r="L906" s="111"/>
      <c r="M906" s="111"/>
      <c r="N906" s="111"/>
      <c r="O906" s="111"/>
      <c r="P906" s="111"/>
      <c r="Q906" s="111"/>
      <c r="R906" s="111"/>
    </row>
    <row r="907" spans="2:18" s="108" customFormat="1">
      <c r="B907" s="97"/>
      <c r="C907" s="110"/>
      <c r="D907" s="109"/>
      <c r="E907" s="97"/>
      <c r="F907" s="97"/>
      <c r="G907" s="109"/>
      <c r="H907" s="109"/>
      <c r="I907" s="97"/>
      <c r="J907" s="97"/>
      <c r="K907" s="83"/>
      <c r="L907" s="111"/>
      <c r="M907" s="111"/>
      <c r="N907" s="111"/>
      <c r="O907" s="111"/>
      <c r="P907" s="111"/>
      <c r="Q907" s="111"/>
      <c r="R907" s="111"/>
    </row>
    <row r="908" spans="2:18" s="108" customFormat="1">
      <c r="B908" s="97"/>
      <c r="C908" s="110"/>
      <c r="D908" s="109"/>
      <c r="E908" s="97"/>
      <c r="F908" s="97"/>
      <c r="G908" s="109"/>
      <c r="H908" s="109"/>
      <c r="I908" s="97"/>
      <c r="J908" s="97"/>
      <c r="K908" s="83"/>
      <c r="L908" s="111"/>
      <c r="M908" s="111"/>
      <c r="N908" s="111"/>
      <c r="O908" s="111"/>
      <c r="P908" s="111"/>
      <c r="Q908" s="111"/>
      <c r="R908" s="111"/>
    </row>
    <row r="909" spans="2:18" s="108" customFormat="1">
      <c r="B909" s="97"/>
      <c r="C909" s="110"/>
      <c r="D909" s="109"/>
      <c r="E909" s="97"/>
      <c r="F909" s="97"/>
      <c r="G909" s="109"/>
      <c r="H909" s="109"/>
      <c r="I909" s="97"/>
      <c r="J909" s="97"/>
      <c r="K909" s="83"/>
      <c r="L909" s="111"/>
      <c r="M909" s="111"/>
      <c r="N909" s="111"/>
      <c r="O909" s="111"/>
      <c r="P909" s="111"/>
      <c r="Q909" s="111"/>
      <c r="R909" s="111"/>
    </row>
    <row r="910" spans="2:18" s="108" customFormat="1">
      <c r="B910" s="97"/>
      <c r="C910" s="110"/>
      <c r="D910" s="109"/>
      <c r="E910" s="97"/>
      <c r="F910" s="97"/>
      <c r="G910" s="109"/>
      <c r="H910" s="109"/>
      <c r="I910" s="97"/>
      <c r="J910" s="97"/>
      <c r="K910" s="83"/>
      <c r="L910" s="111"/>
      <c r="M910" s="111"/>
      <c r="N910" s="111"/>
      <c r="O910" s="111"/>
      <c r="P910" s="111"/>
      <c r="Q910" s="111"/>
      <c r="R910" s="111"/>
    </row>
    <row r="911" spans="2:18" s="108" customFormat="1">
      <c r="B911" s="97"/>
      <c r="C911" s="110"/>
      <c r="D911" s="109"/>
      <c r="E911" s="97"/>
      <c r="F911" s="97"/>
      <c r="G911" s="109"/>
      <c r="H911" s="109"/>
      <c r="I911" s="97"/>
      <c r="J911" s="97"/>
      <c r="K911" s="83"/>
      <c r="L911" s="111"/>
      <c r="M911" s="111"/>
      <c r="N911" s="111"/>
      <c r="O911" s="111"/>
      <c r="P911" s="111"/>
      <c r="Q911" s="111"/>
      <c r="R911" s="111"/>
    </row>
    <row r="912" spans="2:18" s="108" customFormat="1">
      <c r="B912" s="97"/>
      <c r="C912" s="110"/>
      <c r="D912" s="109"/>
      <c r="E912" s="97"/>
      <c r="F912" s="97"/>
      <c r="G912" s="109"/>
      <c r="H912" s="109"/>
      <c r="I912" s="97"/>
      <c r="J912" s="97"/>
      <c r="K912" s="83"/>
      <c r="L912" s="111"/>
      <c r="M912" s="111"/>
      <c r="N912" s="111"/>
      <c r="O912" s="111"/>
      <c r="P912" s="111"/>
      <c r="Q912" s="111"/>
      <c r="R912" s="111"/>
    </row>
    <row r="913" spans="2:18" s="108" customFormat="1">
      <c r="B913" s="97"/>
      <c r="C913" s="110"/>
      <c r="D913" s="109"/>
      <c r="E913" s="97"/>
      <c r="F913" s="97"/>
      <c r="G913" s="109"/>
      <c r="H913" s="109"/>
      <c r="I913" s="97"/>
      <c r="J913" s="97"/>
      <c r="K913" s="83"/>
      <c r="L913" s="111"/>
      <c r="M913" s="111"/>
      <c r="N913" s="111"/>
      <c r="O913" s="111"/>
      <c r="P913" s="111"/>
      <c r="Q913" s="111"/>
      <c r="R913" s="111"/>
    </row>
    <row r="914" spans="2:18" s="108" customFormat="1">
      <c r="B914" s="97"/>
      <c r="C914" s="110"/>
      <c r="D914" s="109"/>
      <c r="E914" s="97"/>
      <c r="F914" s="97"/>
      <c r="G914" s="109"/>
      <c r="H914" s="109"/>
      <c r="I914" s="97"/>
      <c r="J914" s="97"/>
      <c r="K914" s="83"/>
      <c r="L914" s="111"/>
      <c r="M914" s="111"/>
      <c r="N914" s="111"/>
      <c r="O914" s="111"/>
      <c r="P914" s="111"/>
      <c r="Q914" s="111"/>
      <c r="R914" s="111"/>
    </row>
    <row r="915" spans="2:18" s="108" customFormat="1">
      <c r="B915" s="97"/>
      <c r="C915" s="110"/>
      <c r="D915" s="109"/>
      <c r="E915" s="97"/>
      <c r="F915" s="97"/>
      <c r="G915" s="109"/>
      <c r="H915" s="109"/>
      <c r="I915" s="97"/>
      <c r="J915" s="97"/>
      <c r="K915" s="83"/>
      <c r="L915" s="111"/>
      <c r="M915" s="111"/>
      <c r="N915" s="111"/>
      <c r="O915" s="111"/>
      <c r="P915" s="111"/>
      <c r="Q915" s="111"/>
      <c r="R915" s="111"/>
    </row>
    <row r="916" spans="2:18" s="108" customFormat="1">
      <c r="B916" s="97"/>
      <c r="C916" s="110"/>
      <c r="D916" s="109"/>
      <c r="E916" s="97"/>
      <c r="F916" s="97"/>
      <c r="G916" s="109"/>
      <c r="H916" s="109"/>
      <c r="I916" s="97"/>
      <c r="J916" s="97"/>
      <c r="K916" s="83"/>
      <c r="L916" s="111"/>
      <c r="M916" s="111"/>
      <c r="N916" s="111"/>
      <c r="O916" s="111"/>
      <c r="P916" s="111"/>
      <c r="Q916" s="111"/>
      <c r="R916" s="111"/>
    </row>
    <row r="917" spans="2:18" s="108" customFormat="1">
      <c r="B917" s="97"/>
      <c r="C917" s="110"/>
      <c r="D917" s="109"/>
      <c r="E917" s="97"/>
      <c r="F917" s="97"/>
      <c r="G917" s="109"/>
      <c r="H917" s="109"/>
      <c r="I917" s="97"/>
      <c r="J917" s="97"/>
      <c r="K917" s="83"/>
      <c r="L917" s="111"/>
      <c r="M917" s="111"/>
      <c r="N917" s="111"/>
      <c r="O917" s="111"/>
      <c r="P917" s="111"/>
      <c r="Q917" s="111"/>
      <c r="R917" s="111"/>
    </row>
    <row r="918" spans="2:18" s="108" customFormat="1">
      <c r="B918" s="97"/>
      <c r="C918" s="110"/>
      <c r="D918" s="109"/>
      <c r="E918" s="97"/>
      <c r="F918" s="97"/>
      <c r="G918" s="109"/>
      <c r="H918" s="109"/>
      <c r="I918" s="97"/>
      <c r="J918" s="97"/>
      <c r="K918" s="83"/>
      <c r="L918" s="111"/>
      <c r="M918" s="111"/>
      <c r="N918" s="111"/>
      <c r="O918" s="111"/>
      <c r="P918" s="111"/>
      <c r="Q918" s="111"/>
      <c r="R918" s="111"/>
    </row>
    <row r="919" spans="2:18" s="108" customFormat="1">
      <c r="B919" s="97"/>
      <c r="C919" s="110"/>
      <c r="D919" s="109"/>
      <c r="E919" s="97"/>
      <c r="F919" s="97"/>
      <c r="G919" s="109"/>
      <c r="H919" s="109"/>
      <c r="I919" s="97"/>
      <c r="J919" s="97"/>
      <c r="K919" s="83"/>
      <c r="L919" s="111"/>
      <c r="M919" s="111"/>
      <c r="N919" s="111"/>
      <c r="O919" s="111"/>
      <c r="P919" s="111"/>
      <c r="Q919" s="111"/>
      <c r="R919" s="111"/>
    </row>
    <row r="920" spans="2:18" s="108" customFormat="1">
      <c r="B920" s="97"/>
      <c r="C920" s="110"/>
      <c r="D920" s="109"/>
      <c r="E920" s="97"/>
      <c r="F920" s="97"/>
      <c r="G920" s="109"/>
      <c r="H920" s="109"/>
      <c r="I920" s="97"/>
      <c r="J920" s="97"/>
      <c r="K920" s="83"/>
      <c r="L920" s="111"/>
      <c r="M920" s="111"/>
      <c r="N920" s="111"/>
      <c r="O920" s="111"/>
      <c r="P920" s="111"/>
      <c r="Q920" s="111"/>
      <c r="R920" s="111"/>
    </row>
    <row r="921" spans="2:18" s="108" customFormat="1">
      <c r="B921" s="97"/>
      <c r="C921" s="110"/>
      <c r="D921" s="109"/>
      <c r="E921" s="97"/>
      <c r="F921" s="97"/>
      <c r="G921" s="109"/>
      <c r="H921" s="109"/>
      <c r="I921" s="97"/>
      <c r="J921" s="97"/>
      <c r="K921" s="83"/>
      <c r="L921" s="111"/>
      <c r="M921" s="111"/>
      <c r="N921" s="111"/>
      <c r="O921" s="111"/>
      <c r="P921" s="111"/>
      <c r="Q921" s="111"/>
      <c r="R921" s="111"/>
    </row>
    <row r="922" spans="2:18" s="108" customFormat="1">
      <c r="B922" s="97"/>
      <c r="C922" s="110"/>
      <c r="D922" s="109"/>
      <c r="E922" s="97"/>
      <c r="F922" s="97"/>
      <c r="G922" s="109"/>
      <c r="H922" s="109"/>
      <c r="I922" s="97"/>
      <c r="J922" s="97"/>
      <c r="K922" s="83"/>
      <c r="L922" s="111"/>
      <c r="M922" s="111"/>
      <c r="N922" s="111"/>
      <c r="O922" s="111"/>
      <c r="P922" s="111"/>
      <c r="Q922" s="111"/>
      <c r="R922" s="111"/>
    </row>
    <row r="923" spans="2:18" s="108" customFormat="1">
      <c r="B923" s="97"/>
      <c r="C923" s="110"/>
      <c r="D923" s="109"/>
      <c r="E923" s="97"/>
      <c r="F923" s="97"/>
      <c r="G923" s="109"/>
      <c r="H923" s="109"/>
      <c r="I923" s="97"/>
      <c r="J923" s="97"/>
      <c r="K923" s="83"/>
      <c r="L923" s="111"/>
      <c r="M923" s="111"/>
      <c r="N923" s="111"/>
      <c r="O923" s="111"/>
      <c r="P923" s="111"/>
      <c r="Q923" s="111"/>
      <c r="R923" s="111"/>
    </row>
    <row r="924" spans="2:18" s="108" customFormat="1">
      <c r="B924" s="97"/>
      <c r="C924" s="110"/>
      <c r="D924" s="109"/>
      <c r="E924" s="97"/>
      <c r="F924" s="97"/>
      <c r="G924" s="109"/>
      <c r="H924" s="109"/>
      <c r="I924" s="97"/>
      <c r="J924" s="97"/>
      <c r="K924" s="83"/>
      <c r="L924" s="111"/>
      <c r="M924" s="111"/>
      <c r="N924" s="111"/>
      <c r="O924" s="111"/>
      <c r="P924" s="111"/>
      <c r="Q924" s="111"/>
      <c r="R924" s="111"/>
    </row>
    <row r="925" spans="2:18" s="108" customFormat="1">
      <c r="B925" s="97"/>
      <c r="C925" s="110"/>
      <c r="D925" s="109"/>
      <c r="E925" s="97"/>
      <c r="F925" s="97"/>
      <c r="G925" s="109"/>
      <c r="H925" s="109"/>
      <c r="I925" s="97"/>
      <c r="J925" s="97"/>
      <c r="K925" s="83"/>
      <c r="L925" s="111"/>
      <c r="M925" s="111"/>
      <c r="N925" s="111"/>
      <c r="O925" s="111"/>
      <c r="P925" s="111"/>
      <c r="Q925" s="111"/>
      <c r="R925" s="111"/>
    </row>
    <row r="926" spans="2:18" s="108" customFormat="1">
      <c r="B926" s="97"/>
      <c r="C926" s="110"/>
      <c r="D926" s="109"/>
      <c r="E926" s="97"/>
      <c r="F926" s="97"/>
      <c r="G926" s="109"/>
      <c r="H926" s="109"/>
      <c r="I926" s="97"/>
      <c r="J926" s="97"/>
      <c r="K926" s="83"/>
      <c r="L926" s="111"/>
      <c r="M926" s="111"/>
      <c r="N926" s="111"/>
      <c r="O926" s="111"/>
      <c r="P926" s="111"/>
      <c r="Q926" s="111"/>
      <c r="R926" s="111"/>
    </row>
    <row r="927" spans="2:18" s="108" customFormat="1">
      <c r="B927" s="97"/>
      <c r="C927" s="110"/>
      <c r="D927" s="109"/>
      <c r="E927" s="97"/>
      <c r="F927" s="97"/>
      <c r="G927" s="109"/>
      <c r="H927" s="109"/>
      <c r="I927" s="97"/>
      <c r="J927" s="97"/>
      <c r="K927" s="83"/>
      <c r="L927" s="111"/>
      <c r="M927" s="111"/>
      <c r="N927" s="111"/>
      <c r="O927" s="111"/>
      <c r="P927" s="111"/>
      <c r="Q927" s="111"/>
      <c r="R927" s="111"/>
    </row>
    <row r="928" spans="2:18" s="108" customFormat="1">
      <c r="B928" s="97"/>
      <c r="C928" s="110"/>
      <c r="D928" s="109"/>
      <c r="E928" s="97"/>
      <c r="F928" s="97"/>
      <c r="G928" s="109"/>
      <c r="H928" s="109"/>
      <c r="I928" s="97"/>
      <c r="J928" s="97"/>
      <c r="K928" s="83"/>
      <c r="L928" s="111"/>
      <c r="M928" s="111"/>
      <c r="N928" s="111"/>
      <c r="O928" s="111"/>
      <c r="P928" s="111"/>
      <c r="Q928" s="111"/>
      <c r="R928" s="111"/>
    </row>
    <row r="929" spans="2:18" s="108" customFormat="1">
      <c r="B929" s="97"/>
      <c r="C929" s="110"/>
      <c r="D929" s="109"/>
      <c r="E929" s="97"/>
      <c r="F929" s="97"/>
      <c r="G929" s="109"/>
      <c r="H929" s="109"/>
      <c r="I929" s="97"/>
      <c r="J929" s="97"/>
      <c r="K929" s="83"/>
      <c r="L929" s="111"/>
      <c r="M929" s="111"/>
      <c r="N929" s="111"/>
      <c r="O929" s="111"/>
      <c r="P929" s="111"/>
      <c r="Q929" s="111"/>
      <c r="R929" s="111"/>
    </row>
    <row r="930" spans="2:18" s="108" customFormat="1">
      <c r="B930" s="97"/>
      <c r="C930" s="110"/>
      <c r="D930" s="109"/>
      <c r="E930" s="97"/>
      <c r="F930" s="97"/>
      <c r="G930" s="109"/>
      <c r="H930" s="109"/>
      <c r="I930" s="97"/>
      <c r="J930" s="97"/>
      <c r="K930" s="83"/>
      <c r="L930" s="111"/>
      <c r="M930" s="111"/>
      <c r="N930" s="111"/>
      <c r="O930" s="111"/>
      <c r="P930" s="111"/>
      <c r="Q930" s="111"/>
      <c r="R930" s="111"/>
    </row>
    <row r="931" spans="2:18" s="108" customFormat="1">
      <c r="B931" s="97"/>
      <c r="C931" s="110"/>
      <c r="D931" s="109"/>
      <c r="E931" s="97"/>
      <c r="F931" s="97"/>
      <c r="G931" s="109"/>
      <c r="H931" s="109"/>
      <c r="I931" s="97"/>
      <c r="J931" s="97"/>
      <c r="K931" s="83"/>
      <c r="L931" s="111"/>
      <c r="M931" s="111"/>
      <c r="N931" s="111"/>
      <c r="O931" s="111"/>
      <c r="P931" s="111"/>
      <c r="Q931" s="111"/>
      <c r="R931" s="111"/>
    </row>
    <row r="932" spans="2:18" s="108" customFormat="1">
      <c r="B932" s="97"/>
      <c r="C932" s="110"/>
      <c r="D932" s="109"/>
      <c r="E932" s="97"/>
      <c r="F932" s="97"/>
      <c r="G932" s="109"/>
      <c r="H932" s="109"/>
      <c r="I932" s="97"/>
      <c r="J932" s="97"/>
      <c r="K932" s="83"/>
      <c r="L932" s="111"/>
      <c r="M932" s="111"/>
      <c r="N932" s="111"/>
      <c r="O932" s="111"/>
      <c r="P932" s="111"/>
      <c r="Q932" s="111"/>
      <c r="R932" s="111"/>
    </row>
    <row r="933" spans="2:18" s="108" customFormat="1">
      <c r="B933" s="97"/>
      <c r="C933" s="110"/>
      <c r="D933" s="109"/>
      <c r="E933" s="97"/>
      <c r="F933" s="97"/>
      <c r="G933" s="109"/>
      <c r="H933" s="109"/>
      <c r="I933" s="97"/>
      <c r="J933" s="97"/>
      <c r="K933" s="83"/>
      <c r="L933" s="111"/>
      <c r="M933" s="111"/>
      <c r="N933" s="111"/>
      <c r="O933" s="111"/>
      <c r="P933" s="111"/>
      <c r="Q933" s="111"/>
      <c r="R933" s="111"/>
    </row>
    <row r="934" spans="2:18" s="108" customFormat="1">
      <c r="B934" s="97"/>
      <c r="C934" s="110"/>
      <c r="D934" s="109"/>
      <c r="E934" s="97"/>
      <c r="F934" s="97"/>
      <c r="G934" s="109"/>
      <c r="H934" s="109"/>
      <c r="I934" s="97"/>
      <c r="J934" s="97"/>
      <c r="K934" s="83"/>
      <c r="L934" s="111"/>
      <c r="M934" s="111"/>
      <c r="N934" s="111"/>
      <c r="O934" s="111"/>
      <c r="P934" s="111"/>
      <c r="Q934" s="111"/>
      <c r="R934" s="111"/>
    </row>
    <row r="935" spans="2:18" s="108" customFormat="1">
      <c r="B935" s="97"/>
      <c r="C935" s="110"/>
      <c r="D935" s="109"/>
      <c r="E935" s="97"/>
      <c r="F935" s="97"/>
      <c r="G935" s="109"/>
      <c r="H935" s="109"/>
      <c r="I935" s="97"/>
      <c r="J935" s="97"/>
      <c r="K935" s="83"/>
      <c r="L935" s="111"/>
      <c r="M935" s="111"/>
      <c r="N935" s="111"/>
      <c r="O935" s="111"/>
      <c r="P935" s="111"/>
      <c r="Q935" s="111"/>
      <c r="R935" s="111"/>
    </row>
    <row r="936" spans="2:18" s="108" customFormat="1">
      <c r="B936" s="97"/>
      <c r="C936" s="110"/>
      <c r="D936" s="109"/>
      <c r="E936" s="97"/>
      <c r="F936" s="97"/>
      <c r="G936" s="109"/>
      <c r="H936" s="109"/>
      <c r="I936" s="97"/>
      <c r="J936" s="97"/>
      <c r="K936" s="83"/>
      <c r="L936" s="111"/>
      <c r="M936" s="111"/>
      <c r="N936" s="111"/>
      <c r="O936" s="111"/>
      <c r="P936" s="111"/>
      <c r="Q936" s="111"/>
      <c r="R936" s="111"/>
    </row>
    <row r="937" spans="2:18" s="108" customFormat="1">
      <c r="B937" s="97"/>
      <c r="C937" s="110"/>
      <c r="D937" s="109"/>
      <c r="E937" s="97"/>
      <c r="F937" s="97"/>
      <c r="G937" s="109"/>
      <c r="H937" s="109"/>
      <c r="I937" s="97"/>
      <c r="J937" s="97"/>
      <c r="K937" s="83"/>
      <c r="L937" s="111"/>
      <c r="M937" s="111"/>
      <c r="N937" s="111"/>
      <c r="O937" s="111"/>
      <c r="P937" s="111"/>
      <c r="Q937" s="111"/>
      <c r="R937" s="111"/>
    </row>
    <row r="938" spans="2:18" s="108" customFormat="1">
      <c r="B938" s="97"/>
      <c r="C938" s="110"/>
      <c r="D938" s="109"/>
      <c r="E938" s="97"/>
      <c r="F938" s="97"/>
      <c r="G938" s="109"/>
      <c r="H938" s="109"/>
      <c r="I938" s="97"/>
      <c r="J938" s="97"/>
      <c r="K938" s="83"/>
      <c r="L938" s="111"/>
      <c r="M938" s="111"/>
      <c r="N938" s="111"/>
      <c r="O938" s="111"/>
      <c r="P938" s="111"/>
      <c r="Q938" s="111"/>
      <c r="R938" s="111"/>
    </row>
    <row r="939" spans="2:18" s="108" customFormat="1">
      <c r="B939" s="97"/>
      <c r="C939" s="110"/>
      <c r="D939" s="109"/>
      <c r="E939" s="97"/>
      <c r="F939" s="97"/>
      <c r="G939" s="109"/>
      <c r="H939" s="109"/>
      <c r="I939" s="97"/>
      <c r="J939" s="97"/>
      <c r="K939" s="83"/>
      <c r="L939" s="111"/>
      <c r="M939" s="111"/>
      <c r="N939" s="111"/>
      <c r="O939" s="111"/>
      <c r="P939" s="111"/>
      <c r="Q939" s="111"/>
      <c r="R939" s="111"/>
    </row>
    <row r="940" spans="2:18" s="108" customFormat="1">
      <c r="B940" s="97"/>
      <c r="C940" s="110"/>
      <c r="D940" s="109"/>
      <c r="E940" s="97"/>
      <c r="F940" s="97"/>
      <c r="G940" s="109"/>
      <c r="H940" s="109"/>
      <c r="I940" s="97"/>
      <c r="J940" s="97"/>
      <c r="K940" s="83"/>
      <c r="L940" s="111"/>
      <c r="M940" s="111"/>
      <c r="N940" s="111"/>
      <c r="O940" s="111"/>
      <c r="P940" s="111"/>
      <c r="Q940" s="111"/>
      <c r="R940" s="111"/>
    </row>
    <row r="941" spans="2:18" s="108" customFormat="1">
      <c r="B941" s="97"/>
      <c r="C941" s="110"/>
      <c r="D941" s="109"/>
      <c r="E941" s="97"/>
      <c r="F941" s="97"/>
      <c r="G941" s="109"/>
      <c r="H941" s="109"/>
      <c r="I941" s="97"/>
      <c r="J941" s="97"/>
      <c r="K941" s="83"/>
      <c r="L941" s="111"/>
      <c r="M941" s="111"/>
      <c r="N941" s="111"/>
      <c r="O941" s="111"/>
      <c r="P941" s="111"/>
      <c r="Q941" s="111"/>
      <c r="R941" s="111"/>
    </row>
    <row r="942" spans="2:18" s="108" customFormat="1">
      <c r="B942" s="97"/>
      <c r="C942" s="110"/>
      <c r="D942" s="109"/>
      <c r="E942" s="97"/>
      <c r="F942" s="97"/>
      <c r="G942" s="109"/>
      <c r="H942" s="109"/>
      <c r="I942" s="97"/>
      <c r="J942" s="97"/>
      <c r="K942" s="83"/>
      <c r="L942" s="111"/>
      <c r="M942" s="111"/>
      <c r="N942" s="111"/>
      <c r="O942" s="111"/>
      <c r="P942" s="111"/>
      <c r="Q942" s="111"/>
      <c r="R942" s="111"/>
    </row>
    <row r="943" spans="2:18" s="108" customFormat="1">
      <c r="B943" s="97"/>
      <c r="C943" s="110"/>
      <c r="D943" s="109"/>
      <c r="E943" s="97"/>
      <c r="F943" s="97"/>
      <c r="G943" s="109"/>
      <c r="H943" s="109"/>
      <c r="I943" s="97"/>
      <c r="J943" s="97"/>
      <c r="K943" s="83"/>
      <c r="L943" s="111"/>
      <c r="M943" s="111"/>
      <c r="N943" s="111"/>
      <c r="O943" s="111"/>
      <c r="P943" s="111"/>
      <c r="Q943" s="111"/>
      <c r="R943" s="111"/>
    </row>
    <row r="944" spans="2:18" s="108" customFormat="1">
      <c r="B944" s="97"/>
      <c r="C944" s="110"/>
      <c r="D944" s="109"/>
      <c r="E944" s="97"/>
      <c r="F944" s="97"/>
      <c r="G944" s="109"/>
      <c r="H944" s="109"/>
      <c r="I944" s="97"/>
      <c r="J944" s="97"/>
      <c r="K944" s="83"/>
      <c r="L944" s="111"/>
      <c r="M944" s="111"/>
      <c r="N944" s="111"/>
      <c r="O944" s="111"/>
      <c r="P944" s="111"/>
      <c r="Q944" s="111"/>
      <c r="R944" s="111"/>
    </row>
    <row r="945" spans="2:18" s="108" customFormat="1">
      <c r="B945" s="97"/>
      <c r="C945" s="110"/>
      <c r="D945" s="109"/>
      <c r="E945" s="97"/>
      <c r="F945" s="97"/>
      <c r="G945" s="109"/>
      <c r="H945" s="109"/>
      <c r="I945" s="97"/>
      <c r="J945" s="97"/>
      <c r="K945" s="83"/>
      <c r="L945" s="111"/>
      <c r="M945" s="111"/>
      <c r="N945" s="111"/>
      <c r="O945" s="111"/>
      <c r="P945" s="111"/>
      <c r="Q945" s="111"/>
      <c r="R945" s="111"/>
    </row>
    <row r="946" spans="2:18" s="108" customFormat="1">
      <c r="B946" s="97"/>
      <c r="C946" s="110"/>
      <c r="D946" s="109"/>
      <c r="E946" s="97"/>
      <c r="F946" s="97"/>
      <c r="G946" s="109"/>
      <c r="H946" s="109"/>
      <c r="I946" s="97"/>
      <c r="J946" s="97"/>
      <c r="K946" s="83"/>
      <c r="L946" s="111"/>
      <c r="M946" s="111"/>
      <c r="N946" s="111"/>
      <c r="O946" s="111"/>
      <c r="P946" s="111"/>
      <c r="Q946" s="111"/>
      <c r="R946" s="111"/>
    </row>
    <row r="947" spans="2:18" s="108" customFormat="1">
      <c r="B947" s="97"/>
      <c r="C947" s="110"/>
      <c r="D947" s="109"/>
      <c r="E947" s="97"/>
      <c r="F947" s="97"/>
      <c r="G947" s="109"/>
      <c r="H947" s="109"/>
      <c r="I947" s="97"/>
      <c r="J947" s="97"/>
      <c r="K947" s="83"/>
      <c r="L947" s="111"/>
      <c r="M947" s="111"/>
      <c r="N947" s="111"/>
      <c r="O947" s="111"/>
      <c r="P947" s="111"/>
      <c r="Q947" s="111"/>
      <c r="R947" s="111"/>
    </row>
    <row r="948" spans="2:18" s="108" customFormat="1">
      <c r="B948" s="97"/>
      <c r="C948" s="110"/>
      <c r="D948" s="109"/>
      <c r="E948" s="97"/>
      <c r="F948" s="97"/>
      <c r="G948" s="109"/>
      <c r="H948" s="109"/>
      <c r="I948" s="97"/>
      <c r="J948" s="97"/>
      <c r="K948" s="83"/>
      <c r="L948" s="111"/>
      <c r="M948" s="111"/>
      <c r="N948" s="111"/>
      <c r="O948" s="111"/>
      <c r="P948" s="111"/>
      <c r="Q948" s="111"/>
      <c r="R948" s="111"/>
    </row>
    <row r="949" spans="2:18" s="108" customFormat="1">
      <c r="B949" s="97"/>
      <c r="C949" s="110"/>
      <c r="D949" s="109"/>
      <c r="E949" s="97"/>
      <c r="F949" s="97"/>
      <c r="G949" s="109"/>
      <c r="H949" s="109"/>
      <c r="I949" s="97"/>
      <c r="J949" s="97"/>
      <c r="K949" s="83"/>
      <c r="L949" s="111"/>
      <c r="M949" s="111"/>
      <c r="N949" s="111"/>
      <c r="O949" s="111"/>
      <c r="P949" s="111"/>
      <c r="Q949" s="111"/>
      <c r="R949" s="111"/>
    </row>
    <row r="950" spans="2:18" s="108" customFormat="1">
      <c r="B950" s="97"/>
      <c r="C950" s="110"/>
      <c r="D950" s="109"/>
      <c r="E950" s="97"/>
      <c r="F950" s="97"/>
      <c r="G950" s="109"/>
      <c r="H950" s="109"/>
      <c r="I950" s="97"/>
      <c r="J950" s="97"/>
      <c r="K950" s="83"/>
      <c r="L950" s="111"/>
      <c r="M950" s="111"/>
      <c r="N950" s="111"/>
      <c r="O950" s="111"/>
      <c r="P950" s="111"/>
      <c r="Q950" s="111"/>
      <c r="R950" s="111"/>
    </row>
    <row r="951" spans="2:18" s="108" customFormat="1">
      <c r="B951" s="97"/>
      <c r="C951" s="110"/>
      <c r="D951" s="109"/>
      <c r="E951" s="97"/>
      <c r="F951" s="97"/>
      <c r="G951" s="109"/>
      <c r="H951" s="109"/>
      <c r="I951" s="97"/>
      <c r="J951" s="97"/>
      <c r="K951" s="83"/>
      <c r="L951" s="111"/>
      <c r="M951" s="111"/>
      <c r="N951" s="111"/>
      <c r="O951" s="111"/>
      <c r="P951" s="111"/>
      <c r="Q951" s="111"/>
      <c r="R951" s="111"/>
    </row>
    <row r="952" spans="2:18" s="108" customFormat="1">
      <c r="B952" s="97"/>
      <c r="C952" s="110"/>
      <c r="D952" s="109"/>
      <c r="E952" s="97"/>
      <c r="F952" s="97"/>
      <c r="G952" s="109"/>
      <c r="H952" s="109"/>
      <c r="I952" s="97"/>
      <c r="J952" s="97"/>
      <c r="K952" s="83"/>
      <c r="L952" s="111"/>
      <c r="M952" s="111"/>
      <c r="N952" s="111"/>
      <c r="O952" s="111"/>
      <c r="P952" s="111"/>
      <c r="Q952" s="111"/>
      <c r="R952" s="111"/>
    </row>
    <row r="953" spans="2:18" s="108" customFormat="1">
      <c r="B953" s="97"/>
      <c r="C953" s="110"/>
      <c r="D953" s="109"/>
      <c r="E953" s="97"/>
      <c r="F953" s="97"/>
      <c r="G953" s="109"/>
      <c r="H953" s="109"/>
      <c r="I953" s="97"/>
      <c r="J953" s="97"/>
      <c r="K953" s="83"/>
      <c r="L953" s="111"/>
      <c r="M953" s="111"/>
      <c r="N953" s="111"/>
      <c r="O953" s="111"/>
      <c r="P953" s="111"/>
      <c r="Q953" s="111"/>
      <c r="R953" s="111"/>
    </row>
    <row r="954" spans="2:18" s="108" customFormat="1">
      <c r="B954" s="97"/>
      <c r="C954" s="110"/>
      <c r="D954" s="109"/>
      <c r="E954" s="97"/>
      <c r="F954" s="97"/>
      <c r="G954" s="109"/>
      <c r="H954" s="109"/>
      <c r="I954" s="97"/>
      <c r="J954" s="97"/>
      <c r="K954" s="83"/>
      <c r="L954" s="111"/>
      <c r="M954" s="111"/>
      <c r="N954" s="111"/>
      <c r="O954" s="111"/>
      <c r="P954" s="111"/>
      <c r="Q954" s="111"/>
      <c r="R954" s="111"/>
    </row>
    <row r="955" spans="2:18" s="108" customFormat="1">
      <c r="B955" s="97"/>
      <c r="C955" s="110"/>
      <c r="D955" s="109"/>
      <c r="E955" s="97"/>
      <c r="F955" s="97"/>
      <c r="G955" s="109"/>
      <c r="H955" s="109"/>
      <c r="I955" s="97"/>
      <c r="J955" s="97"/>
      <c r="K955" s="83"/>
      <c r="L955" s="111"/>
      <c r="M955" s="111"/>
      <c r="N955" s="111"/>
      <c r="O955" s="111"/>
      <c r="P955" s="111"/>
      <c r="Q955" s="111"/>
      <c r="R955" s="111"/>
    </row>
    <row r="956" spans="2:18" s="108" customFormat="1">
      <c r="B956" s="97"/>
      <c r="C956" s="110"/>
      <c r="D956" s="109"/>
      <c r="E956" s="97"/>
      <c r="F956" s="97"/>
      <c r="G956" s="109"/>
      <c r="H956" s="109"/>
      <c r="I956" s="97"/>
      <c r="J956" s="97"/>
      <c r="K956" s="83"/>
      <c r="L956" s="111"/>
      <c r="M956" s="111"/>
      <c r="N956" s="111"/>
      <c r="O956" s="111"/>
      <c r="P956" s="111"/>
      <c r="Q956" s="111"/>
      <c r="R956" s="111"/>
    </row>
    <row r="957" spans="2:18" s="108" customFormat="1">
      <c r="B957" s="97"/>
      <c r="C957" s="110"/>
      <c r="D957" s="109"/>
      <c r="E957" s="97"/>
      <c r="F957" s="97"/>
      <c r="G957" s="109"/>
      <c r="H957" s="109"/>
      <c r="I957" s="97"/>
      <c r="J957" s="97"/>
      <c r="K957" s="83"/>
      <c r="L957" s="111"/>
      <c r="M957" s="111"/>
      <c r="N957" s="111"/>
      <c r="O957" s="111"/>
      <c r="P957" s="111"/>
      <c r="Q957" s="111"/>
      <c r="R957" s="111"/>
    </row>
    <row r="958" spans="2:18" s="108" customFormat="1">
      <c r="B958" s="97"/>
      <c r="C958" s="110"/>
      <c r="D958" s="109"/>
      <c r="E958" s="97"/>
      <c r="F958" s="97"/>
      <c r="G958" s="109"/>
      <c r="H958" s="109"/>
      <c r="I958" s="97"/>
      <c r="J958" s="97"/>
      <c r="K958" s="83"/>
      <c r="L958" s="111"/>
      <c r="M958" s="111"/>
      <c r="N958" s="111"/>
      <c r="O958" s="111"/>
      <c r="P958" s="111"/>
      <c r="Q958" s="111"/>
      <c r="R958" s="111"/>
    </row>
    <row r="959" spans="2:18" s="108" customFormat="1">
      <c r="B959" s="97"/>
      <c r="C959" s="110"/>
      <c r="D959" s="109"/>
      <c r="E959" s="97"/>
      <c r="F959" s="97"/>
      <c r="G959" s="109"/>
      <c r="H959" s="109"/>
      <c r="I959" s="97"/>
      <c r="J959" s="97"/>
      <c r="K959" s="83"/>
      <c r="L959" s="111"/>
      <c r="M959" s="111"/>
      <c r="N959" s="111"/>
      <c r="O959" s="111"/>
      <c r="P959" s="111"/>
      <c r="Q959" s="111"/>
      <c r="R959" s="111"/>
    </row>
    <row r="960" spans="2:18" s="108" customFormat="1">
      <c r="B960" s="97"/>
      <c r="C960" s="110"/>
      <c r="D960" s="109"/>
      <c r="E960" s="97"/>
      <c r="F960" s="97"/>
      <c r="G960" s="109"/>
      <c r="H960" s="109"/>
      <c r="I960" s="97"/>
      <c r="J960" s="97"/>
      <c r="K960" s="83"/>
      <c r="L960" s="111"/>
      <c r="M960" s="111"/>
      <c r="N960" s="111"/>
      <c r="O960" s="111"/>
      <c r="P960" s="111"/>
      <c r="Q960" s="111"/>
      <c r="R960" s="111"/>
    </row>
    <row r="961" spans="2:18" s="108" customFormat="1">
      <c r="B961" s="97"/>
      <c r="C961" s="110"/>
      <c r="D961" s="109"/>
      <c r="E961" s="97"/>
      <c r="F961" s="97"/>
      <c r="G961" s="109"/>
      <c r="H961" s="109"/>
      <c r="I961" s="97"/>
      <c r="J961" s="97"/>
      <c r="K961" s="83"/>
      <c r="L961" s="111"/>
      <c r="M961" s="111"/>
      <c r="N961" s="111"/>
      <c r="O961" s="111"/>
      <c r="P961" s="111"/>
      <c r="Q961" s="111"/>
      <c r="R961" s="111"/>
    </row>
    <row r="962" spans="2:18" s="108" customFormat="1">
      <c r="B962" s="97"/>
      <c r="C962" s="110"/>
      <c r="D962" s="109"/>
      <c r="E962" s="97"/>
      <c r="F962" s="97"/>
      <c r="G962" s="109"/>
      <c r="H962" s="109"/>
      <c r="I962" s="97"/>
      <c r="J962" s="97"/>
      <c r="K962" s="83"/>
      <c r="L962" s="111"/>
      <c r="M962" s="111"/>
      <c r="N962" s="111"/>
      <c r="O962" s="111"/>
      <c r="P962" s="111"/>
      <c r="Q962" s="111"/>
      <c r="R962" s="111"/>
    </row>
    <row r="963" spans="2:18" s="108" customFormat="1">
      <c r="B963" s="97"/>
      <c r="C963" s="110"/>
      <c r="D963" s="109"/>
      <c r="E963" s="97"/>
      <c r="F963" s="97"/>
      <c r="G963" s="109"/>
      <c r="H963" s="109"/>
      <c r="I963" s="97"/>
      <c r="J963" s="97"/>
      <c r="K963" s="83"/>
      <c r="L963" s="111"/>
      <c r="M963" s="111"/>
      <c r="N963" s="111"/>
      <c r="O963" s="111"/>
      <c r="P963" s="111"/>
      <c r="Q963" s="111"/>
      <c r="R963" s="111"/>
    </row>
    <row r="964" spans="2:18" s="108" customFormat="1">
      <c r="B964" s="97"/>
      <c r="C964" s="110"/>
      <c r="D964" s="109"/>
      <c r="E964" s="97"/>
      <c r="F964" s="97"/>
      <c r="G964" s="109"/>
      <c r="H964" s="109"/>
      <c r="I964" s="97"/>
      <c r="J964" s="97"/>
      <c r="K964" s="83"/>
      <c r="L964" s="111"/>
      <c r="M964" s="111"/>
      <c r="N964" s="111"/>
      <c r="O964" s="111"/>
      <c r="P964" s="111"/>
      <c r="Q964" s="111"/>
      <c r="R964" s="111"/>
    </row>
    <row r="965" spans="2:18" s="108" customFormat="1">
      <c r="B965" s="97"/>
      <c r="C965" s="110"/>
      <c r="D965" s="109"/>
      <c r="E965" s="97"/>
      <c r="F965" s="97"/>
      <c r="G965" s="109"/>
      <c r="H965" s="109"/>
      <c r="I965" s="97"/>
      <c r="J965" s="97"/>
      <c r="K965" s="83"/>
      <c r="L965" s="111"/>
      <c r="M965" s="111"/>
      <c r="N965" s="111"/>
      <c r="O965" s="111"/>
      <c r="P965" s="111"/>
      <c r="Q965" s="111"/>
      <c r="R965" s="111"/>
    </row>
    <row r="966" spans="2:18" s="108" customFormat="1">
      <c r="B966" s="97"/>
      <c r="C966" s="110"/>
      <c r="D966" s="109"/>
      <c r="E966" s="97"/>
      <c r="F966" s="97"/>
      <c r="G966" s="109"/>
      <c r="H966" s="109"/>
      <c r="I966" s="97"/>
      <c r="J966" s="97"/>
      <c r="K966" s="83"/>
      <c r="L966" s="111"/>
      <c r="M966" s="111"/>
      <c r="N966" s="111"/>
      <c r="O966" s="111"/>
      <c r="P966" s="111"/>
      <c r="Q966" s="111"/>
      <c r="R966" s="111"/>
    </row>
    <row r="967" spans="2:18" s="108" customFormat="1">
      <c r="B967" s="97"/>
      <c r="C967" s="110"/>
      <c r="D967" s="109"/>
      <c r="E967" s="97"/>
      <c r="F967" s="97"/>
      <c r="G967" s="109"/>
      <c r="H967" s="109"/>
      <c r="I967" s="97"/>
      <c r="J967" s="97"/>
      <c r="K967" s="83"/>
      <c r="L967" s="111"/>
      <c r="M967" s="111"/>
      <c r="N967" s="111"/>
      <c r="O967" s="111"/>
      <c r="P967" s="111"/>
      <c r="Q967" s="111"/>
      <c r="R967" s="111"/>
    </row>
    <row r="968" spans="2:18" s="108" customFormat="1">
      <c r="B968" s="97"/>
      <c r="C968" s="110"/>
      <c r="D968" s="109"/>
      <c r="E968" s="97"/>
      <c r="F968" s="97"/>
      <c r="G968" s="109"/>
      <c r="H968" s="109"/>
      <c r="I968" s="97"/>
      <c r="J968" s="97"/>
      <c r="K968" s="83"/>
      <c r="L968" s="111"/>
      <c r="M968" s="111"/>
      <c r="N968" s="111"/>
      <c r="O968" s="111"/>
      <c r="P968" s="111"/>
      <c r="Q968" s="111"/>
      <c r="R968" s="111"/>
    </row>
    <row r="969" spans="2:18" s="108" customFormat="1">
      <c r="B969" s="97"/>
      <c r="C969" s="110"/>
      <c r="D969" s="109"/>
      <c r="E969" s="97"/>
      <c r="F969" s="97"/>
      <c r="G969" s="109"/>
      <c r="H969" s="109"/>
      <c r="I969" s="97"/>
      <c r="J969" s="97"/>
      <c r="K969" s="83"/>
      <c r="L969" s="111"/>
      <c r="M969" s="111"/>
      <c r="N969" s="111"/>
      <c r="O969" s="111"/>
      <c r="P969" s="111"/>
      <c r="Q969" s="111"/>
      <c r="R969" s="111"/>
    </row>
    <row r="970" spans="2:18" s="108" customFormat="1">
      <c r="B970" s="97"/>
      <c r="C970" s="110"/>
      <c r="D970" s="109"/>
      <c r="E970" s="97"/>
      <c r="F970" s="97"/>
      <c r="G970" s="109"/>
      <c r="H970" s="109"/>
      <c r="I970" s="97"/>
      <c r="J970" s="97"/>
      <c r="K970" s="83"/>
      <c r="L970" s="111"/>
      <c r="M970" s="111"/>
      <c r="N970" s="111"/>
      <c r="O970" s="111"/>
      <c r="P970" s="111"/>
      <c r="Q970" s="111"/>
      <c r="R970" s="111"/>
    </row>
    <row r="971" spans="2:18" s="108" customFormat="1">
      <c r="B971" s="97"/>
      <c r="C971" s="110"/>
      <c r="D971" s="109"/>
      <c r="E971" s="97"/>
      <c r="F971" s="97"/>
      <c r="G971" s="109"/>
      <c r="H971" s="109"/>
      <c r="I971" s="97"/>
      <c r="J971" s="97"/>
      <c r="K971" s="83"/>
      <c r="L971" s="111"/>
      <c r="M971" s="111"/>
      <c r="N971" s="111"/>
      <c r="O971" s="111"/>
      <c r="P971" s="111"/>
      <c r="Q971" s="111"/>
      <c r="R971" s="111"/>
    </row>
    <row r="972" spans="2:18" s="108" customFormat="1">
      <c r="B972" s="97"/>
      <c r="C972" s="110"/>
      <c r="D972" s="109"/>
      <c r="E972" s="97"/>
      <c r="F972" s="97"/>
      <c r="G972" s="109"/>
      <c r="H972" s="109"/>
      <c r="I972" s="97"/>
      <c r="J972" s="97"/>
      <c r="K972" s="83"/>
      <c r="L972" s="111"/>
      <c r="M972" s="111"/>
      <c r="N972" s="111"/>
      <c r="O972" s="111"/>
      <c r="P972" s="111"/>
      <c r="Q972" s="111"/>
      <c r="R972" s="111"/>
    </row>
    <row r="973" spans="2:18" s="108" customFormat="1">
      <c r="B973" s="97"/>
      <c r="C973" s="110"/>
      <c r="D973" s="109"/>
      <c r="E973" s="97"/>
      <c r="F973" s="97"/>
      <c r="G973" s="109"/>
      <c r="H973" s="109"/>
      <c r="I973" s="97"/>
      <c r="J973" s="97"/>
      <c r="K973" s="83"/>
      <c r="L973" s="111"/>
      <c r="M973" s="111"/>
      <c r="N973" s="111"/>
      <c r="O973" s="111"/>
      <c r="P973" s="111"/>
      <c r="Q973" s="111"/>
      <c r="R973" s="111"/>
    </row>
    <row r="974" spans="2:18" s="108" customFormat="1">
      <c r="B974" s="97"/>
      <c r="C974" s="110"/>
      <c r="D974" s="109"/>
      <c r="E974" s="97"/>
      <c r="F974" s="97"/>
      <c r="G974" s="109"/>
      <c r="H974" s="109"/>
      <c r="I974" s="97"/>
      <c r="J974" s="97"/>
      <c r="K974" s="83"/>
      <c r="L974" s="111"/>
      <c r="M974" s="111"/>
      <c r="N974" s="111"/>
      <c r="O974" s="111"/>
      <c r="P974" s="111"/>
      <c r="Q974" s="111"/>
      <c r="R974" s="111"/>
    </row>
    <row r="975" spans="2:18" s="108" customFormat="1">
      <c r="B975" s="97"/>
      <c r="C975" s="110"/>
      <c r="D975" s="109"/>
      <c r="E975" s="97"/>
      <c r="F975" s="97"/>
      <c r="G975" s="109"/>
      <c r="H975" s="109"/>
      <c r="I975" s="97"/>
      <c r="J975" s="97"/>
      <c r="K975" s="83"/>
      <c r="L975" s="111"/>
      <c r="M975" s="111"/>
      <c r="N975" s="111"/>
      <c r="O975" s="111"/>
      <c r="P975" s="111"/>
      <c r="Q975" s="111"/>
      <c r="R975" s="111"/>
    </row>
    <row r="976" spans="2:18" s="108" customFormat="1">
      <c r="B976" s="97"/>
      <c r="C976" s="110"/>
      <c r="D976" s="109"/>
      <c r="E976" s="97"/>
      <c r="F976" s="97"/>
      <c r="G976" s="109"/>
      <c r="H976" s="109"/>
      <c r="I976" s="97"/>
      <c r="J976" s="97"/>
      <c r="K976" s="83"/>
      <c r="L976" s="111"/>
      <c r="M976" s="111"/>
      <c r="N976" s="111"/>
      <c r="O976" s="111"/>
      <c r="P976" s="111"/>
      <c r="Q976" s="111"/>
      <c r="R976" s="111"/>
    </row>
    <row r="977" spans="2:18" s="108" customFormat="1">
      <c r="B977" s="97"/>
      <c r="C977" s="110"/>
      <c r="D977" s="109"/>
      <c r="E977" s="97"/>
      <c r="F977" s="97"/>
      <c r="G977" s="109"/>
      <c r="H977" s="109"/>
      <c r="I977" s="97"/>
      <c r="J977" s="97"/>
      <c r="K977" s="83"/>
      <c r="L977" s="111"/>
      <c r="M977" s="111"/>
      <c r="N977" s="111"/>
      <c r="O977" s="111"/>
      <c r="P977" s="111"/>
      <c r="Q977" s="111"/>
      <c r="R977" s="111"/>
    </row>
    <row r="978" spans="2:18" s="108" customFormat="1">
      <c r="B978" s="97"/>
      <c r="C978" s="110"/>
      <c r="D978" s="109"/>
      <c r="E978" s="97"/>
      <c r="F978" s="97"/>
      <c r="G978" s="109"/>
      <c r="H978" s="109"/>
      <c r="I978" s="97"/>
      <c r="J978" s="97"/>
      <c r="K978" s="83"/>
      <c r="L978" s="111"/>
      <c r="M978" s="111"/>
      <c r="N978" s="111"/>
      <c r="O978" s="111"/>
      <c r="P978" s="111"/>
      <c r="Q978" s="111"/>
      <c r="R978" s="111"/>
    </row>
    <row r="979" spans="2:18" s="108" customFormat="1">
      <c r="B979" s="97"/>
      <c r="C979" s="110"/>
      <c r="D979" s="109"/>
      <c r="E979" s="97"/>
      <c r="F979" s="97"/>
      <c r="G979" s="109"/>
      <c r="H979" s="109"/>
      <c r="I979" s="97"/>
      <c r="J979" s="97"/>
      <c r="K979" s="83"/>
      <c r="L979" s="111"/>
      <c r="M979" s="111"/>
      <c r="N979" s="111"/>
      <c r="O979" s="111"/>
      <c r="P979" s="111"/>
      <c r="Q979" s="111"/>
      <c r="R979" s="111"/>
    </row>
    <row r="980" spans="2:18" s="108" customFormat="1">
      <c r="B980" s="97"/>
      <c r="C980" s="110"/>
      <c r="D980" s="109"/>
      <c r="E980" s="97"/>
      <c r="F980" s="97"/>
      <c r="G980" s="109"/>
      <c r="H980" s="109"/>
      <c r="I980" s="97"/>
      <c r="J980" s="97"/>
      <c r="K980" s="83"/>
      <c r="L980" s="111"/>
      <c r="M980" s="111"/>
      <c r="N980" s="111"/>
      <c r="O980" s="111"/>
      <c r="P980" s="111"/>
      <c r="Q980" s="111"/>
      <c r="R980" s="111"/>
    </row>
    <row r="981" spans="2:18" s="108" customFormat="1">
      <c r="B981" s="97"/>
      <c r="C981" s="110"/>
      <c r="D981" s="109"/>
      <c r="E981" s="97"/>
      <c r="F981" s="97"/>
      <c r="G981" s="109"/>
      <c r="H981" s="109"/>
      <c r="I981" s="97"/>
      <c r="J981" s="97"/>
      <c r="K981" s="83"/>
      <c r="L981" s="111"/>
      <c r="M981" s="111"/>
      <c r="N981" s="111"/>
      <c r="O981" s="111"/>
      <c r="P981" s="111"/>
      <c r="Q981" s="111"/>
      <c r="R981" s="111"/>
    </row>
    <row r="982" spans="2:18" s="108" customFormat="1">
      <c r="B982" s="97"/>
      <c r="C982" s="110"/>
      <c r="D982" s="109"/>
      <c r="E982" s="97"/>
      <c r="F982" s="97"/>
      <c r="G982" s="109"/>
      <c r="H982" s="109"/>
      <c r="I982" s="97"/>
      <c r="J982" s="97"/>
      <c r="K982" s="83"/>
      <c r="L982" s="111"/>
      <c r="M982" s="111"/>
      <c r="N982" s="111"/>
      <c r="O982" s="111"/>
      <c r="P982" s="111"/>
      <c r="Q982" s="111"/>
      <c r="R982" s="111"/>
    </row>
    <row r="983" spans="2:18" s="108" customFormat="1">
      <c r="B983" s="97"/>
      <c r="C983" s="110"/>
      <c r="D983" s="109"/>
      <c r="E983" s="97"/>
      <c r="F983" s="97"/>
      <c r="G983" s="109"/>
      <c r="H983" s="109"/>
      <c r="I983" s="97"/>
      <c r="J983" s="97"/>
      <c r="K983" s="83"/>
      <c r="L983" s="111"/>
      <c r="M983" s="111"/>
      <c r="N983" s="111"/>
      <c r="O983" s="111"/>
      <c r="P983" s="111"/>
      <c r="Q983" s="111"/>
      <c r="R983" s="111"/>
    </row>
    <row r="984" spans="2:18" s="108" customFormat="1">
      <c r="B984" s="97"/>
      <c r="C984" s="110"/>
      <c r="D984" s="109"/>
      <c r="E984" s="97"/>
      <c r="F984" s="97"/>
      <c r="G984" s="109"/>
      <c r="H984" s="109"/>
      <c r="I984" s="97"/>
      <c r="J984" s="97"/>
      <c r="K984" s="83"/>
      <c r="L984" s="111"/>
      <c r="M984" s="111"/>
      <c r="N984" s="111"/>
      <c r="O984" s="111"/>
      <c r="P984" s="111"/>
      <c r="Q984" s="111"/>
      <c r="R984" s="111"/>
    </row>
    <row r="985" spans="2:18" s="108" customFormat="1">
      <c r="B985" s="97"/>
      <c r="C985" s="110"/>
      <c r="D985" s="109"/>
      <c r="E985" s="97"/>
      <c r="F985" s="97"/>
      <c r="G985" s="109"/>
      <c r="H985" s="109"/>
      <c r="I985" s="97"/>
      <c r="J985" s="97"/>
      <c r="K985" s="83"/>
      <c r="L985" s="111"/>
      <c r="M985" s="111"/>
      <c r="N985" s="111"/>
      <c r="O985" s="111"/>
      <c r="P985" s="111"/>
      <c r="Q985" s="111"/>
      <c r="R985" s="111"/>
    </row>
    <row r="986" spans="2:18" s="108" customFormat="1">
      <c r="B986" s="97"/>
      <c r="C986" s="110"/>
      <c r="D986" s="109"/>
      <c r="E986" s="97"/>
      <c r="F986" s="97"/>
      <c r="G986" s="109"/>
      <c r="H986" s="109"/>
      <c r="I986" s="97"/>
      <c r="J986" s="97"/>
      <c r="K986" s="83"/>
      <c r="L986" s="111"/>
      <c r="M986" s="111"/>
      <c r="N986" s="111"/>
      <c r="O986" s="111"/>
      <c r="P986" s="111"/>
      <c r="Q986" s="111"/>
      <c r="R986" s="111"/>
    </row>
    <row r="987" spans="2:18" s="108" customFormat="1">
      <c r="B987" s="97"/>
      <c r="C987" s="110"/>
      <c r="D987" s="109"/>
      <c r="E987" s="97"/>
      <c r="F987" s="97"/>
      <c r="G987" s="109"/>
      <c r="H987" s="109"/>
      <c r="I987" s="97"/>
      <c r="J987" s="97"/>
      <c r="K987" s="83"/>
      <c r="L987" s="111"/>
      <c r="M987" s="111"/>
      <c r="N987" s="111"/>
      <c r="O987" s="111"/>
      <c r="P987" s="111"/>
      <c r="Q987" s="111"/>
      <c r="R987" s="111"/>
    </row>
    <row r="988" spans="2:18" s="108" customFormat="1">
      <c r="B988" s="97"/>
      <c r="C988" s="110"/>
      <c r="D988" s="109"/>
      <c r="E988" s="97"/>
      <c r="F988" s="97"/>
      <c r="G988" s="109"/>
      <c r="H988" s="109"/>
      <c r="I988" s="97"/>
      <c r="J988" s="97"/>
      <c r="K988" s="83"/>
      <c r="L988" s="111"/>
      <c r="M988" s="111"/>
      <c r="N988" s="111"/>
      <c r="O988" s="111"/>
      <c r="P988" s="111"/>
      <c r="Q988" s="111"/>
      <c r="R988" s="111"/>
    </row>
    <row r="989" spans="2:18" s="108" customFormat="1">
      <c r="B989" s="97"/>
      <c r="C989" s="110"/>
      <c r="D989" s="109"/>
      <c r="E989" s="97"/>
      <c r="F989" s="97"/>
      <c r="G989" s="109"/>
      <c r="H989" s="109"/>
      <c r="I989" s="97"/>
      <c r="J989" s="97"/>
      <c r="K989" s="83"/>
      <c r="L989" s="111"/>
      <c r="M989" s="111"/>
      <c r="N989" s="111"/>
      <c r="O989" s="111"/>
      <c r="P989" s="111"/>
      <c r="Q989" s="111"/>
      <c r="R989" s="111"/>
    </row>
    <row r="990" spans="2:18" s="108" customFormat="1">
      <c r="B990" s="97"/>
      <c r="C990" s="110"/>
      <c r="D990" s="109"/>
      <c r="E990" s="97"/>
      <c r="F990" s="97"/>
      <c r="G990" s="109"/>
      <c r="H990" s="109"/>
      <c r="I990" s="97"/>
      <c r="J990" s="97"/>
      <c r="K990" s="83"/>
      <c r="L990" s="111"/>
      <c r="M990" s="111"/>
      <c r="N990" s="111"/>
      <c r="O990" s="111"/>
      <c r="P990" s="111"/>
      <c r="Q990" s="111"/>
      <c r="R990" s="111"/>
    </row>
    <row r="991" spans="2:18" s="108" customFormat="1">
      <c r="B991" s="97"/>
      <c r="C991" s="110"/>
      <c r="D991" s="109"/>
      <c r="E991" s="97"/>
      <c r="F991" s="97"/>
      <c r="G991" s="109"/>
      <c r="H991" s="109"/>
      <c r="I991" s="97"/>
      <c r="J991" s="97"/>
      <c r="K991" s="83"/>
      <c r="L991" s="111"/>
      <c r="M991" s="111"/>
      <c r="N991" s="111"/>
      <c r="O991" s="111"/>
      <c r="P991" s="111"/>
      <c r="Q991" s="111"/>
      <c r="R991" s="111"/>
    </row>
    <row r="992" spans="2:18" s="108" customFormat="1">
      <c r="B992" s="97"/>
      <c r="C992" s="110"/>
      <c r="D992" s="109"/>
      <c r="E992" s="97"/>
      <c r="F992" s="97"/>
      <c r="G992" s="109"/>
      <c r="H992" s="109"/>
      <c r="I992" s="97"/>
      <c r="J992" s="97"/>
      <c r="K992" s="83"/>
      <c r="L992" s="111"/>
      <c r="M992" s="111"/>
      <c r="N992" s="111"/>
      <c r="O992" s="111"/>
      <c r="P992" s="111"/>
      <c r="Q992" s="111"/>
      <c r="R992" s="111"/>
    </row>
    <row r="993" spans="2:18" s="108" customFormat="1">
      <c r="B993" s="97"/>
      <c r="C993" s="110"/>
      <c r="D993" s="109"/>
      <c r="E993" s="97"/>
      <c r="F993" s="97"/>
      <c r="G993" s="109"/>
      <c r="H993" s="109"/>
      <c r="I993" s="97"/>
      <c r="J993" s="97"/>
      <c r="K993" s="83"/>
      <c r="L993" s="111"/>
      <c r="M993" s="111"/>
      <c r="N993" s="111"/>
      <c r="O993" s="111"/>
      <c r="P993" s="111"/>
      <c r="Q993" s="111"/>
      <c r="R993" s="111"/>
    </row>
    <row r="994" spans="2:18" s="108" customFormat="1">
      <c r="B994" s="97"/>
      <c r="C994" s="110"/>
      <c r="D994" s="109"/>
      <c r="E994" s="97"/>
      <c r="F994" s="97"/>
      <c r="G994" s="109"/>
      <c r="H994" s="109"/>
      <c r="I994" s="97"/>
      <c r="J994" s="97"/>
      <c r="K994" s="83"/>
      <c r="L994" s="111"/>
      <c r="M994" s="111"/>
      <c r="N994" s="111"/>
      <c r="O994" s="111"/>
      <c r="P994" s="111"/>
      <c r="Q994" s="111"/>
      <c r="R994" s="111"/>
    </row>
    <row r="995" spans="2:18" s="108" customFormat="1">
      <c r="B995" s="97"/>
      <c r="C995" s="110"/>
      <c r="D995" s="109"/>
      <c r="E995" s="97"/>
      <c r="F995" s="97"/>
      <c r="G995" s="109"/>
      <c r="H995" s="109"/>
      <c r="I995" s="97"/>
      <c r="J995" s="97"/>
      <c r="K995" s="83"/>
      <c r="L995" s="111"/>
      <c r="M995" s="111"/>
      <c r="N995" s="111"/>
      <c r="O995" s="111"/>
      <c r="P995" s="111"/>
      <c r="Q995" s="111"/>
      <c r="R995" s="111"/>
    </row>
    <row r="996" spans="2:18" s="108" customFormat="1">
      <c r="B996" s="97"/>
      <c r="C996" s="110"/>
      <c r="D996" s="109"/>
      <c r="E996" s="97"/>
      <c r="F996" s="97"/>
      <c r="G996" s="109"/>
      <c r="H996" s="109"/>
      <c r="I996" s="97"/>
      <c r="J996" s="97"/>
      <c r="K996" s="83"/>
      <c r="L996" s="111"/>
      <c r="M996" s="111"/>
      <c r="N996" s="111"/>
      <c r="O996" s="111"/>
      <c r="P996" s="111"/>
      <c r="Q996" s="111"/>
      <c r="R996" s="111"/>
    </row>
    <row r="997" spans="2:18" s="108" customFormat="1">
      <c r="B997" s="97"/>
      <c r="C997" s="110"/>
      <c r="D997" s="109"/>
      <c r="E997" s="97"/>
      <c r="F997" s="97"/>
      <c r="G997" s="109"/>
      <c r="H997" s="109"/>
      <c r="I997" s="97"/>
      <c r="J997" s="97"/>
      <c r="K997" s="83"/>
      <c r="L997" s="111"/>
      <c r="M997" s="111"/>
      <c r="N997" s="111"/>
      <c r="O997" s="111"/>
      <c r="P997" s="111"/>
      <c r="Q997" s="111"/>
      <c r="R997" s="111"/>
    </row>
    <row r="998" spans="2:18" s="108" customFormat="1">
      <c r="B998" s="97"/>
      <c r="C998" s="110"/>
      <c r="D998" s="109"/>
      <c r="E998" s="97"/>
      <c r="F998" s="97"/>
      <c r="G998" s="109"/>
      <c r="H998" s="109"/>
      <c r="I998" s="97"/>
      <c r="J998" s="97"/>
      <c r="K998" s="83"/>
      <c r="L998" s="111"/>
      <c r="M998" s="111"/>
      <c r="N998" s="111"/>
      <c r="O998" s="111"/>
      <c r="P998" s="111"/>
      <c r="Q998" s="111"/>
      <c r="R998" s="111"/>
    </row>
    <row r="999" spans="2:18" s="108" customFormat="1">
      <c r="B999" s="97"/>
      <c r="C999" s="110"/>
      <c r="D999" s="109"/>
      <c r="E999" s="97"/>
      <c r="F999" s="97"/>
      <c r="G999" s="109"/>
      <c r="H999" s="109"/>
      <c r="I999" s="97"/>
      <c r="J999" s="97"/>
      <c r="K999" s="83"/>
      <c r="L999" s="111"/>
      <c r="M999" s="111"/>
      <c r="N999" s="111"/>
      <c r="O999" s="111"/>
      <c r="P999" s="111"/>
      <c r="Q999" s="111"/>
      <c r="R999" s="111"/>
    </row>
    <row r="1000" spans="2:18" s="108" customFormat="1">
      <c r="B1000" s="97"/>
      <c r="C1000" s="110"/>
      <c r="D1000" s="109"/>
      <c r="E1000" s="97"/>
      <c r="F1000" s="97"/>
      <c r="G1000" s="109"/>
      <c r="H1000" s="109"/>
      <c r="I1000" s="97"/>
      <c r="J1000" s="97"/>
      <c r="K1000" s="83"/>
      <c r="L1000" s="111"/>
      <c r="M1000" s="111"/>
      <c r="N1000" s="111"/>
      <c r="O1000" s="111"/>
      <c r="P1000" s="111"/>
      <c r="Q1000" s="111"/>
      <c r="R1000" s="111"/>
    </row>
    <row r="1001" spans="2:18" s="108" customFormat="1">
      <c r="B1001" s="97"/>
      <c r="C1001" s="110"/>
      <c r="D1001" s="109"/>
      <c r="E1001" s="97"/>
      <c r="F1001" s="97"/>
      <c r="G1001" s="109"/>
      <c r="H1001" s="109"/>
      <c r="I1001" s="97"/>
      <c r="J1001" s="97"/>
      <c r="K1001" s="83"/>
      <c r="L1001" s="111"/>
      <c r="M1001" s="111"/>
      <c r="N1001" s="111"/>
      <c r="O1001" s="111"/>
      <c r="P1001" s="111"/>
      <c r="Q1001" s="111"/>
      <c r="R1001" s="111"/>
    </row>
    <row r="1002" spans="2:18" s="108" customFormat="1">
      <c r="B1002" s="97"/>
      <c r="C1002" s="110"/>
      <c r="D1002" s="109"/>
      <c r="E1002" s="97"/>
      <c r="F1002" s="97"/>
      <c r="G1002" s="109"/>
      <c r="H1002" s="109"/>
      <c r="I1002" s="97"/>
      <c r="J1002" s="97"/>
      <c r="K1002" s="83"/>
      <c r="L1002" s="111"/>
      <c r="M1002" s="111"/>
      <c r="N1002" s="111"/>
      <c r="O1002" s="111"/>
      <c r="P1002" s="111"/>
      <c r="Q1002" s="111"/>
      <c r="R1002" s="111"/>
    </row>
    <row r="1003" spans="2:18" s="108" customFormat="1">
      <c r="B1003" s="97"/>
      <c r="C1003" s="110"/>
      <c r="D1003" s="109"/>
      <c r="E1003" s="97"/>
      <c r="F1003" s="97"/>
      <c r="G1003" s="109"/>
      <c r="H1003" s="109"/>
      <c r="I1003" s="97"/>
      <c r="J1003" s="97"/>
      <c r="K1003" s="83"/>
      <c r="L1003" s="111"/>
      <c r="M1003" s="111"/>
      <c r="N1003" s="111"/>
      <c r="O1003" s="111"/>
      <c r="P1003" s="111"/>
      <c r="Q1003" s="111"/>
      <c r="R1003" s="111"/>
    </row>
    <row r="1004" spans="2:18" s="108" customFormat="1">
      <c r="B1004" s="97"/>
      <c r="C1004" s="110"/>
      <c r="D1004" s="109"/>
      <c r="E1004" s="97"/>
      <c r="F1004" s="97"/>
      <c r="G1004" s="109"/>
      <c r="H1004" s="109"/>
      <c r="I1004" s="97"/>
      <c r="J1004" s="97"/>
      <c r="K1004" s="83"/>
      <c r="L1004" s="111"/>
      <c r="M1004" s="111"/>
      <c r="N1004" s="111"/>
      <c r="O1004" s="111"/>
      <c r="P1004" s="111"/>
      <c r="Q1004" s="111"/>
      <c r="R1004" s="111"/>
    </row>
    <row r="1005" spans="2:18" s="108" customFormat="1">
      <c r="B1005" s="97"/>
      <c r="C1005" s="110"/>
      <c r="D1005" s="109"/>
      <c r="E1005" s="97"/>
      <c r="F1005" s="97"/>
      <c r="G1005" s="109"/>
      <c r="H1005" s="109"/>
      <c r="I1005" s="97"/>
      <c r="J1005" s="97"/>
      <c r="K1005" s="83"/>
      <c r="L1005" s="111"/>
      <c r="M1005" s="111"/>
      <c r="N1005" s="111"/>
      <c r="O1005" s="111"/>
      <c r="P1005" s="111"/>
      <c r="Q1005" s="111"/>
      <c r="R1005" s="111"/>
    </row>
    <row r="1006" spans="2:18" s="108" customFormat="1">
      <c r="B1006" s="97"/>
      <c r="C1006" s="110"/>
      <c r="D1006" s="109"/>
      <c r="E1006" s="97"/>
      <c r="F1006" s="97"/>
      <c r="G1006" s="109"/>
      <c r="H1006" s="109"/>
      <c r="I1006" s="97"/>
      <c r="J1006" s="97"/>
      <c r="K1006" s="83"/>
      <c r="L1006" s="111"/>
      <c r="M1006" s="111"/>
      <c r="N1006" s="111"/>
      <c r="O1006" s="111"/>
      <c r="P1006" s="111"/>
      <c r="Q1006" s="111"/>
      <c r="R1006" s="111"/>
    </row>
    <row r="1007" spans="2:18" s="108" customFormat="1">
      <c r="B1007" s="97"/>
      <c r="C1007" s="110"/>
      <c r="D1007" s="109"/>
      <c r="E1007" s="97"/>
      <c r="F1007" s="97"/>
      <c r="G1007" s="109"/>
      <c r="H1007" s="109"/>
      <c r="I1007" s="97"/>
      <c r="J1007" s="97"/>
      <c r="K1007" s="83"/>
      <c r="L1007" s="111"/>
      <c r="M1007" s="111"/>
      <c r="N1007" s="111"/>
      <c r="O1007" s="111"/>
      <c r="P1007" s="111"/>
      <c r="Q1007" s="111"/>
      <c r="R1007" s="111"/>
    </row>
    <row r="1008" spans="2:18" s="108" customFormat="1">
      <c r="B1008" s="97"/>
      <c r="C1008" s="110"/>
      <c r="D1008" s="109"/>
      <c r="E1008" s="97"/>
      <c r="F1008" s="97"/>
      <c r="G1008" s="109"/>
      <c r="H1008" s="109"/>
      <c r="I1008" s="97"/>
      <c r="J1008" s="97"/>
      <c r="K1008" s="83"/>
      <c r="L1008" s="111"/>
      <c r="M1008" s="111"/>
      <c r="N1008" s="111"/>
      <c r="O1008" s="111"/>
      <c r="P1008" s="111"/>
      <c r="Q1008" s="111"/>
      <c r="R1008" s="111"/>
    </row>
    <row r="1009" spans="2:18" s="108" customFormat="1">
      <c r="B1009" s="97"/>
      <c r="C1009" s="110"/>
      <c r="D1009" s="109"/>
      <c r="E1009" s="97"/>
      <c r="F1009" s="97"/>
      <c r="G1009" s="109"/>
      <c r="H1009" s="109"/>
      <c r="I1009" s="97"/>
      <c r="J1009" s="97"/>
      <c r="K1009" s="83"/>
      <c r="L1009" s="111"/>
      <c r="M1009" s="111"/>
      <c r="N1009" s="111"/>
      <c r="O1009" s="111"/>
      <c r="P1009" s="111"/>
      <c r="Q1009" s="111"/>
      <c r="R1009" s="111"/>
    </row>
    <row r="1010" spans="2:18" s="108" customFormat="1">
      <c r="B1010" s="97"/>
      <c r="C1010" s="110"/>
      <c r="D1010" s="109"/>
      <c r="E1010" s="97"/>
      <c r="F1010" s="97"/>
      <c r="G1010" s="109"/>
      <c r="H1010" s="109"/>
      <c r="I1010" s="97"/>
      <c r="J1010" s="97"/>
      <c r="K1010" s="83"/>
      <c r="L1010" s="111"/>
      <c r="M1010" s="111"/>
      <c r="N1010" s="111"/>
      <c r="O1010" s="111"/>
      <c r="P1010" s="111"/>
      <c r="Q1010" s="111"/>
      <c r="R1010" s="111"/>
    </row>
    <row r="1011" spans="2:18" s="108" customFormat="1">
      <c r="B1011" s="97"/>
      <c r="C1011" s="110"/>
      <c r="D1011" s="109"/>
      <c r="E1011" s="97"/>
      <c r="F1011" s="97"/>
      <c r="G1011" s="109"/>
      <c r="H1011" s="109"/>
      <c r="I1011" s="97"/>
      <c r="J1011" s="97"/>
      <c r="K1011" s="83"/>
      <c r="L1011" s="111"/>
      <c r="M1011" s="111"/>
      <c r="N1011" s="111"/>
      <c r="O1011" s="111"/>
      <c r="P1011" s="111"/>
      <c r="Q1011" s="111"/>
      <c r="R1011" s="111"/>
    </row>
    <row r="1012" spans="2:18" s="108" customFormat="1">
      <c r="B1012" s="97"/>
      <c r="C1012" s="110"/>
      <c r="D1012" s="109"/>
      <c r="E1012" s="97"/>
      <c r="F1012" s="97"/>
      <c r="G1012" s="109"/>
      <c r="H1012" s="109"/>
      <c r="I1012" s="97"/>
      <c r="J1012" s="97"/>
      <c r="K1012" s="83"/>
      <c r="L1012" s="111"/>
      <c r="M1012" s="111"/>
      <c r="N1012" s="111"/>
      <c r="O1012" s="111"/>
      <c r="P1012" s="111"/>
      <c r="Q1012" s="111"/>
      <c r="R1012" s="111"/>
    </row>
    <row r="1013" spans="2:18" s="108" customFormat="1">
      <c r="B1013" s="97"/>
      <c r="C1013" s="110"/>
      <c r="D1013" s="109"/>
      <c r="E1013" s="97"/>
      <c r="F1013" s="97"/>
      <c r="G1013" s="109"/>
      <c r="H1013" s="109"/>
      <c r="I1013" s="97"/>
      <c r="J1013" s="97"/>
      <c r="K1013" s="83"/>
      <c r="L1013" s="111"/>
      <c r="M1013" s="111"/>
      <c r="N1013" s="111"/>
      <c r="O1013" s="111"/>
      <c r="P1013" s="111"/>
      <c r="Q1013" s="111"/>
      <c r="R1013" s="111"/>
    </row>
    <row r="1014" spans="2:18" s="108" customFormat="1">
      <c r="B1014" s="97"/>
      <c r="C1014" s="110"/>
      <c r="D1014" s="109"/>
      <c r="E1014" s="97"/>
      <c r="F1014" s="97"/>
      <c r="G1014" s="109"/>
      <c r="H1014" s="109"/>
      <c r="I1014" s="97"/>
      <c r="J1014" s="97"/>
      <c r="K1014" s="83"/>
      <c r="L1014" s="111"/>
      <c r="M1014" s="111"/>
      <c r="N1014" s="111"/>
      <c r="O1014" s="111"/>
      <c r="P1014" s="111"/>
      <c r="Q1014" s="111"/>
      <c r="R1014" s="111"/>
    </row>
    <row r="1015" spans="2:18" s="108" customFormat="1">
      <c r="B1015" s="97"/>
      <c r="C1015" s="110"/>
      <c r="D1015" s="109"/>
      <c r="E1015" s="97"/>
      <c r="F1015" s="97"/>
      <c r="G1015" s="109"/>
      <c r="H1015" s="109"/>
      <c r="I1015" s="97"/>
      <c r="J1015" s="97"/>
      <c r="K1015" s="83"/>
      <c r="L1015" s="111"/>
      <c r="M1015" s="111"/>
      <c r="N1015" s="111"/>
      <c r="O1015" s="111"/>
      <c r="P1015" s="111"/>
      <c r="Q1015" s="111"/>
      <c r="R1015" s="111"/>
    </row>
    <row r="1016" spans="2:18" s="108" customFormat="1">
      <c r="B1016" s="97"/>
      <c r="C1016" s="110"/>
      <c r="D1016" s="109"/>
      <c r="E1016" s="97"/>
      <c r="F1016" s="97"/>
      <c r="G1016" s="109"/>
      <c r="H1016" s="109"/>
      <c r="I1016" s="97"/>
      <c r="J1016" s="97"/>
      <c r="K1016" s="83"/>
      <c r="L1016" s="111"/>
      <c r="M1016" s="111"/>
      <c r="N1016" s="111"/>
      <c r="O1016" s="111"/>
      <c r="P1016" s="111"/>
      <c r="Q1016" s="111"/>
      <c r="R1016" s="111"/>
    </row>
    <row r="1017" spans="2:18" s="108" customFormat="1">
      <c r="B1017" s="97"/>
      <c r="C1017" s="110"/>
      <c r="D1017" s="109"/>
      <c r="E1017" s="97"/>
      <c r="F1017" s="97"/>
      <c r="G1017" s="109"/>
      <c r="H1017" s="109"/>
      <c r="I1017" s="97"/>
      <c r="J1017" s="97"/>
      <c r="K1017" s="83"/>
      <c r="L1017" s="111"/>
      <c r="M1017" s="111"/>
      <c r="N1017" s="111"/>
      <c r="O1017" s="111"/>
      <c r="P1017" s="111"/>
      <c r="Q1017" s="111"/>
      <c r="R1017" s="111"/>
    </row>
    <row r="1018" spans="2:18" s="108" customFormat="1">
      <c r="B1018" s="97"/>
      <c r="C1018" s="110"/>
      <c r="D1018" s="109"/>
      <c r="E1018" s="97"/>
      <c r="F1018" s="97"/>
      <c r="G1018" s="109"/>
      <c r="H1018" s="109"/>
      <c r="I1018" s="97"/>
      <c r="J1018" s="97"/>
      <c r="K1018" s="83"/>
      <c r="L1018" s="111"/>
      <c r="M1018" s="111"/>
      <c r="N1018" s="111"/>
      <c r="O1018" s="111"/>
      <c r="P1018" s="111"/>
      <c r="Q1018" s="111"/>
      <c r="R1018" s="111"/>
    </row>
    <row r="1019" spans="2:18" s="108" customFormat="1">
      <c r="B1019" s="97"/>
      <c r="C1019" s="110"/>
      <c r="D1019" s="109"/>
      <c r="E1019" s="97"/>
      <c r="F1019" s="97"/>
      <c r="G1019" s="109"/>
      <c r="H1019" s="109"/>
      <c r="I1019" s="97"/>
      <c r="J1019" s="97"/>
      <c r="K1019" s="83"/>
      <c r="L1019" s="111"/>
      <c r="M1019" s="111"/>
      <c r="N1019" s="111"/>
      <c r="O1019" s="111"/>
      <c r="P1019" s="111"/>
      <c r="Q1019" s="111"/>
      <c r="R1019" s="111"/>
    </row>
    <row r="1020" spans="2:18" s="108" customFormat="1">
      <c r="B1020" s="97"/>
      <c r="C1020" s="110"/>
      <c r="D1020" s="109"/>
      <c r="E1020" s="97"/>
      <c r="F1020" s="97"/>
      <c r="G1020" s="109"/>
      <c r="H1020" s="109"/>
      <c r="I1020" s="97"/>
      <c r="J1020" s="97"/>
      <c r="K1020" s="83"/>
      <c r="L1020" s="111"/>
      <c r="M1020" s="111"/>
      <c r="N1020" s="111"/>
      <c r="O1020" s="111"/>
      <c r="P1020" s="111"/>
      <c r="Q1020" s="111"/>
      <c r="R1020" s="111"/>
    </row>
    <row r="1021" spans="2:18" s="108" customFormat="1">
      <c r="B1021" s="97"/>
      <c r="C1021" s="110"/>
      <c r="D1021" s="109"/>
      <c r="E1021" s="97"/>
      <c r="F1021" s="97"/>
      <c r="G1021" s="109"/>
      <c r="H1021" s="109"/>
      <c r="I1021" s="97"/>
      <c r="J1021" s="97"/>
      <c r="K1021" s="83"/>
      <c r="L1021" s="111"/>
      <c r="M1021" s="111"/>
      <c r="N1021" s="111"/>
      <c r="O1021" s="111"/>
      <c r="P1021" s="111"/>
      <c r="Q1021" s="111"/>
      <c r="R1021" s="111"/>
    </row>
    <row r="1022" spans="2:18" s="108" customFormat="1">
      <c r="B1022" s="97"/>
      <c r="C1022" s="110"/>
      <c r="D1022" s="109"/>
      <c r="E1022" s="97"/>
      <c r="F1022" s="97"/>
      <c r="G1022" s="109"/>
      <c r="H1022" s="109"/>
      <c r="I1022" s="97"/>
      <c r="J1022" s="97"/>
      <c r="K1022" s="83"/>
      <c r="L1022" s="111"/>
      <c r="M1022" s="111"/>
      <c r="N1022" s="111"/>
      <c r="O1022" s="111"/>
      <c r="P1022" s="111"/>
      <c r="Q1022" s="111"/>
      <c r="R1022" s="111"/>
    </row>
    <row r="1023" spans="2:18" s="108" customFormat="1">
      <c r="B1023" s="97"/>
      <c r="C1023" s="110"/>
      <c r="D1023" s="109"/>
      <c r="E1023" s="97"/>
      <c r="F1023" s="97"/>
      <c r="G1023" s="109"/>
      <c r="H1023" s="109"/>
      <c r="I1023" s="97"/>
      <c r="J1023" s="97"/>
      <c r="K1023" s="83"/>
      <c r="L1023" s="111"/>
      <c r="M1023" s="111"/>
      <c r="N1023" s="111"/>
      <c r="O1023" s="111"/>
      <c r="P1023" s="111"/>
      <c r="Q1023" s="111"/>
      <c r="R1023" s="111"/>
    </row>
    <row r="1024" spans="2:18" s="108" customFormat="1">
      <c r="B1024" s="97"/>
      <c r="C1024" s="110"/>
      <c r="D1024" s="109"/>
      <c r="E1024" s="97"/>
      <c r="F1024" s="97"/>
      <c r="G1024" s="109"/>
      <c r="H1024" s="109"/>
      <c r="I1024" s="97"/>
      <c r="J1024" s="97"/>
      <c r="K1024" s="83"/>
      <c r="L1024" s="111"/>
      <c r="M1024" s="111"/>
      <c r="N1024" s="111"/>
      <c r="O1024" s="111"/>
      <c r="P1024" s="111"/>
      <c r="Q1024" s="111"/>
      <c r="R1024" s="111"/>
    </row>
    <row r="1025" spans="2:18" s="108" customFormat="1">
      <c r="B1025" s="97"/>
      <c r="C1025" s="110"/>
      <c r="D1025" s="109"/>
      <c r="E1025" s="97"/>
      <c r="F1025" s="97"/>
      <c r="G1025" s="109"/>
      <c r="H1025" s="109"/>
      <c r="I1025" s="97"/>
      <c r="J1025" s="97"/>
      <c r="K1025" s="83"/>
      <c r="L1025" s="111"/>
      <c r="M1025" s="111"/>
      <c r="N1025" s="111"/>
      <c r="O1025" s="111"/>
      <c r="P1025" s="111"/>
      <c r="Q1025" s="111"/>
      <c r="R1025" s="111"/>
    </row>
    <row r="1026" spans="2:18" s="108" customFormat="1">
      <c r="B1026" s="97"/>
      <c r="C1026" s="110"/>
      <c r="D1026" s="109"/>
      <c r="E1026" s="97"/>
      <c r="F1026" s="97"/>
      <c r="G1026" s="109"/>
      <c r="H1026" s="109"/>
      <c r="I1026" s="97"/>
      <c r="J1026" s="97"/>
      <c r="K1026" s="83"/>
      <c r="L1026" s="111"/>
      <c r="M1026" s="111"/>
      <c r="N1026" s="111"/>
      <c r="O1026" s="111"/>
      <c r="P1026" s="111"/>
      <c r="Q1026" s="111"/>
      <c r="R1026" s="111"/>
    </row>
    <row r="1027" spans="2:18" s="108" customFormat="1">
      <c r="B1027" s="97"/>
      <c r="C1027" s="110"/>
      <c r="D1027" s="109"/>
      <c r="E1027" s="97"/>
      <c r="F1027" s="97"/>
      <c r="G1027" s="109"/>
      <c r="H1027" s="109"/>
      <c r="I1027" s="97"/>
      <c r="J1027" s="97"/>
      <c r="K1027" s="83"/>
      <c r="L1027" s="111"/>
      <c r="M1027" s="111"/>
      <c r="N1027" s="111"/>
      <c r="O1027" s="111"/>
      <c r="P1027" s="111"/>
      <c r="Q1027" s="111"/>
      <c r="R1027" s="111"/>
    </row>
    <row r="1028" spans="2:18" s="108" customFormat="1">
      <c r="B1028" s="97"/>
      <c r="C1028" s="110"/>
      <c r="D1028" s="109"/>
      <c r="E1028" s="97"/>
      <c r="F1028" s="97"/>
      <c r="G1028" s="109"/>
      <c r="H1028" s="109"/>
      <c r="I1028" s="97"/>
      <c r="J1028" s="97"/>
      <c r="K1028" s="83"/>
      <c r="L1028" s="111"/>
      <c r="M1028" s="111"/>
      <c r="N1028" s="111"/>
      <c r="O1028" s="111"/>
      <c r="P1028" s="111"/>
      <c r="Q1028" s="111"/>
      <c r="R1028" s="111"/>
    </row>
    <row r="1029" spans="2:18" s="108" customFormat="1">
      <c r="B1029" s="97"/>
      <c r="C1029" s="110"/>
      <c r="D1029" s="109"/>
      <c r="E1029" s="97"/>
      <c r="F1029" s="97"/>
      <c r="G1029" s="109"/>
      <c r="H1029" s="109"/>
      <c r="I1029" s="97"/>
      <c r="J1029" s="97"/>
      <c r="K1029" s="83"/>
      <c r="L1029" s="111"/>
      <c r="M1029" s="111"/>
      <c r="N1029" s="111"/>
      <c r="O1029" s="111"/>
      <c r="P1029" s="111"/>
      <c r="Q1029" s="111"/>
      <c r="R1029" s="111"/>
    </row>
    <row r="1030" spans="2:18" s="108" customFormat="1">
      <c r="B1030" s="97"/>
      <c r="C1030" s="110"/>
      <c r="D1030" s="109"/>
      <c r="E1030" s="97"/>
      <c r="F1030" s="97"/>
      <c r="G1030" s="109"/>
      <c r="H1030" s="109"/>
      <c r="I1030" s="97"/>
      <c r="J1030" s="97"/>
      <c r="K1030" s="83"/>
      <c r="L1030" s="111"/>
      <c r="M1030" s="111"/>
      <c r="N1030" s="111"/>
      <c r="O1030" s="111"/>
      <c r="P1030" s="111"/>
      <c r="Q1030" s="111"/>
      <c r="R1030" s="111"/>
    </row>
    <row r="1031" spans="2:18" s="108" customFormat="1">
      <c r="B1031" s="97"/>
      <c r="C1031" s="110"/>
      <c r="D1031" s="109"/>
      <c r="E1031" s="97"/>
      <c r="F1031" s="97"/>
      <c r="G1031" s="109"/>
      <c r="H1031" s="109"/>
      <c r="I1031" s="97"/>
      <c r="J1031" s="97"/>
      <c r="K1031" s="83"/>
      <c r="L1031" s="111"/>
      <c r="M1031" s="111"/>
      <c r="N1031" s="111"/>
      <c r="O1031" s="111"/>
      <c r="P1031" s="111"/>
      <c r="Q1031" s="111"/>
      <c r="R1031" s="111"/>
    </row>
    <row r="1032" spans="2:18" s="108" customFormat="1">
      <c r="B1032" s="97"/>
      <c r="C1032" s="110"/>
      <c r="D1032" s="109"/>
      <c r="E1032" s="97"/>
      <c r="F1032" s="97"/>
      <c r="G1032" s="109"/>
      <c r="H1032" s="109"/>
      <c r="I1032" s="97"/>
      <c r="J1032" s="97"/>
      <c r="K1032" s="83"/>
      <c r="L1032" s="111"/>
      <c r="M1032" s="111"/>
      <c r="N1032" s="111"/>
      <c r="O1032" s="111"/>
      <c r="P1032" s="111"/>
      <c r="Q1032" s="111"/>
      <c r="R1032" s="111"/>
    </row>
    <row r="1033" spans="2:18" s="108" customFormat="1">
      <c r="B1033" s="97"/>
      <c r="C1033" s="110"/>
      <c r="D1033" s="109"/>
      <c r="E1033" s="97"/>
      <c r="F1033" s="97"/>
      <c r="G1033" s="109"/>
      <c r="H1033" s="109"/>
      <c r="I1033" s="97"/>
      <c r="J1033" s="97"/>
      <c r="K1033" s="83"/>
      <c r="L1033" s="111"/>
      <c r="M1033" s="111"/>
      <c r="N1033" s="111"/>
      <c r="O1033" s="111"/>
      <c r="P1033" s="111"/>
      <c r="Q1033" s="111"/>
      <c r="R1033" s="111"/>
    </row>
    <row r="1034" spans="2:18" s="108" customFormat="1">
      <c r="B1034" s="97"/>
      <c r="C1034" s="110"/>
      <c r="D1034" s="109"/>
      <c r="E1034" s="97"/>
      <c r="F1034" s="97"/>
      <c r="G1034" s="109"/>
      <c r="H1034" s="109"/>
      <c r="I1034" s="97"/>
      <c r="J1034" s="97"/>
      <c r="K1034" s="83"/>
      <c r="L1034" s="111"/>
      <c r="M1034" s="111"/>
      <c r="N1034" s="111"/>
      <c r="O1034" s="111"/>
      <c r="P1034" s="111"/>
      <c r="Q1034" s="111"/>
      <c r="R1034" s="111"/>
    </row>
    <row r="1035" spans="2:18" s="108" customFormat="1">
      <c r="B1035" s="97"/>
      <c r="C1035" s="110"/>
      <c r="D1035" s="109"/>
      <c r="E1035" s="97"/>
      <c r="F1035" s="97"/>
      <c r="G1035" s="109"/>
      <c r="H1035" s="109"/>
      <c r="I1035" s="97"/>
      <c r="J1035" s="97"/>
      <c r="K1035" s="83"/>
      <c r="L1035" s="111"/>
      <c r="M1035" s="111"/>
      <c r="N1035" s="111"/>
      <c r="O1035" s="111"/>
      <c r="P1035" s="111"/>
      <c r="Q1035" s="111"/>
      <c r="R1035" s="111"/>
    </row>
    <row r="1036" spans="2:18" s="108" customFormat="1">
      <c r="B1036" s="97"/>
      <c r="C1036" s="110"/>
      <c r="D1036" s="109"/>
      <c r="E1036" s="97"/>
      <c r="F1036" s="97"/>
      <c r="G1036" s="109"/>
      <c r="H1036" s="109"/>
      <c r="I1036" s="97"/>
      <c r="J1036" s="97"/>
      <c r="K1036" s="83"/>
      <c r="L1036" s="111"/>
      <c r="M1036" s="111"/>
      <c r="N1036" s="111"/>
      <c r="O1036" s="111"/>
      <c r="P1036" s="111"/>
      <c r="Q1036" s="111"/>
      <c r="R1036" s="111"/>
    </row>
    <row r="1037" spans="2:18" s="108" customFormat="1">
      <c r="B1037" s="97"/>
      <c r="C1037" s="110"/>
      <c r="D1037" s="109"/>
      <c r="E1037" s="97"/>
      <c r="F1037" s="97"/>
      <c r="G1037" s="109"/>
      <c r="H1037" s="109"/>
      <c r="I1037" s="97"/>
      <c r="J1037" s="97"/>
      <c r="K1037" s="83"/>
      <c r="L1037" s="111"/>
      <c r="M1037" s="111"/>
      <c r="N1037" s="111"/>
      <c r="O1037" s="111"/>
      <c r="P1037" s="111"/>
      <c r="Q1037" s="111"/>
      <c r="R1037" s="111"/>
    </row>
    <row r="1038" spans="2:18" s="108" customFormat="1">
      <c r="B1038" s="97"/>
      <c r="C1038" s="110"/>
      <c r="D1038" s="109"/>
      <c r="E1038" s="97"/>
      <c r="F1038" s="97"/>
      <c r="G1038" s="109"/>
      <c r="H1038" s="109"/>
      <c r="I1038" s="97"/>
      <c r="J1038" s="97"/>
      <c r="K1038" s="83"/>
      <c r="L1038" s="111"/>
      <c r="M1038" s="111"/>
      <c r="N1038" s="111"/>
      <c r="O1038" s="111"/>
      <c r="P1038" s="111"/>
      <c r="Q1038" s="111"/>
      <c r="R1038" s="111"/>
    </row>
    <row r="1039" spans="2:18" s="108" customFormat="1">
      <c r="B1039" s="97"/>
      <c r="C1039" s="110"/>
      <c r="D1039" s="109"/>
      <c r="E1039" s="97"/>
      <c r="F1039" s="97"/>
      <c r="G1039" s="109"/>
      <c r="H1039" s="109"/>
      <c r="I1039" s="97"/>
      <c r="J1039" s="97"/>
      <c r="K1039" s="83"/>
      <c r="L1039" s="111"/>
      <c r="M1039" s="111"/>
      <c r="N1039" s="111"/>
      <c r="O1039" s="111"/>
      <c r="P1039" s="111"/>
      <c r="Q1039" s="111"/>
      <c r="R1039" s="111"/>
    </row>
    <row r="1040" spans="2:18" s="108" customFormat="1">
      <c r="B1040" s="97"/>
      <c r="C1040" s="110"/>
      <c r="D1040" s="109"/>
      <c r="E1040" s="97"/>
      <c r="F1040" s="97"/>
      <c r="G1040" s="109"/>
      <c r="H1040" s="109"/>
      <c r="I1040" s="97"/>
      <c r="J1040" s="97"/>
      <c r="K1040" s="83"/>
      <c r="L1040" s="111"/>
      <c r="M1040" s="111"/>
      <c r="N1040" s="111"/>
      <c r="O1040" s="111"/>
      <c r="P1040" s="111"/>
      <c r="Q1040" s="111"/>
      <c r="R1040" s="111"/>
    </row>
    <row r="1041" spans="2:18" s="108" customFormat="1">
      <c r="B1041" s="97"/>
      <c r="C1041" s="110"/>
      <c r="D1041" s="109"/>
      <c r="E1041" s="97"/>
      <c r="F1041" s="97"/>
      <c r="G1041" s="109"/>
      <c r="H1041" s="109"/>
      <c r="I1041" s="97"/>
      <c r="J1041" s="97"/>
      <c r="K1041" s="83"/>
      <c r="L1041" s="111"/>
      <c r="M1041" s="111"/>
      <c r="N1041" s="111"/>
      <c r="O1041" s="111"/>
      <c r="P1041" s="111"/>
      <c r="Q1041" s="111"/>
      <c r="R1041" s="111"/>
    </row>
    <row r="1042" spans="2:18" s="108" customFormat="1">
      <c r="B1042" s="97"/>
      <c r="C1042" s="110"/>
      <c r="D1042" s="109"/>
      <c r="E1042" s="97"/>
      <c r="F1042" s="97"/>
      <c r="G1042" s="109"/>
      <c r="H1042" s="109"/>
      <c r="I1042" s="97"/>
      <c r="J1042" s="97"/>
      <c r="K1042" s="83"/>
      <c r="L1042" s="111"/>
      <c r="M1042" s="111"/>
      <c r="N1042" s="111"/>
      <c r="O1042" s="111"/>
      <c r="P1042" s="111"/>
      <c r="Q1042" s="111"/>
      <c r="R1042" s="111"/>
    </row>
    <row r="1043" spans="2:18" s="108" customFormat="1">
      <c r="B1043" s="97"/>
      <c r="C1043" s="110"/>
      <c r="D1043" s="109"/>
      <c r="E1043" s="97"/>
      <c r="F1043" s="97"/>
      <c r="G1043" s="109"/>
      <c r="H1043" s="109"/>
      <c r="I1043" s="97"/>
      <c r="J1043" s="97"/>
      <c r="K1043" s="83"/>
      <c r="L1043" s="111"/>
      <c r="M1043" s="111"/>
      <c r="N1043" s="111"/>
      <c r="O1043" s="111"/>
      <c r="P1043" s="111"/>
      <c r="Q1043" s="111"/>
      <c r="R1043" s="111"/>
    </row>
    <row r="1044" spans="2:18" s="108" customFormat="1">
      <c r="B1044" s="97"/>
      <c r="C1044" s="110"/>
      <c r="D1044" s="109"/>
      <c r="E1044" s="97"/>
      <c r="F1044" s="97"/>
      <c r="G1044" s="109"/>
      <c r="H1044" s="109"/>
      <c r="I1044" s="97"/>
      <c r="J1044" s="97"/>
      <c r="K1044" s="83"/>
      <c r="L1044" s="111"/>
      <c r="M1044" s="111"/>
      <c r="N1044" s="111"/>
      <c r="O1044" s="111"/>
      <c r="P1044" s="111"/>
      <c r="Q1044" s="111"/>
      <c r="R1044" s="111"/>
    </row>
    <row r="1045" spans="2:18" s="108" customFormat="1">
      <c r="B1045" s="97"/>
      <c r="C1045" s="110"/>
      <c r="D1045" s="109"/>
      <c r="E1045" s="97"/>
      <c r="F1045" s="97"/>
      <c r="G1045" s="109"/>
      <c r="H1045" s="109"/>
      <c r="I1045" s="97"/>
      <c r="J1045" s="97"/>
      <c r="K1045" s="83"/>
      <c r="L1045" s="111"/>
      <c r="M1045" s="111"/>
      <c r="N1045" s="111"/>
      <c r="O1045" s="111"/>
      <c r="P1045" s="111"/>
      <c r="Q1045" s="111"/>
      <c r="R1045" s="111"/>
    </row>
    <row r="1046" spans="2:18" s="108" customFormat="1">
      <c r="B1046" s="97"/>
      <c r="C1046" s="110"/>
      <c r="D1046" s="109"/>
      <c r="E1046" s="97"/>
      <c r="F1046" s="97"/>
      <c r="G1046" s="109"/>
      <c r="H1046" s="109"/>
      <c r="I1046" s="97"/>
      <c r="J1046" s="97"/>
      <c r="K1046" s="83"/>
      <c r="L1046" s="111"/>
      <c r="M1046" s="111"/>
      <c r="N1046" s="111"/>
      <c r="O1046" s="111"/>
      <c r="P1046" s="111"/>
      <c r="Q1046" s="111"/>
      <c r="R1046" s="111"/>
    </row>
    <row r="1047" spans="2:18" s="108" customFormat="1">
      <c r="B1047" s="97"/>
      <c r="C1047" s="110"/>
      <c r="D1047" s="109"/>
      <c r="E1047" s="97"/>
      <c r="F1047" s="97"/>
      <c r="G1047" s="109"/>
      <c r="H1047" s="109"/>
      <c r="I1047" s="97"/>
      <c r="J1047" s="97"/>
      <c r="K1047" s="83"/>
      <c r="L1047" s="111"/>
      <c r="M1047" s="111"/>
      <c r="N1047" s="111"/>
      <c r="O1047" s="111"/>
      <c r="P1047" s="111"/>
      <c r="Q1047" s="111"/>
      <c r="R1047" s="111"/>
    </row>
    <row r="1048" spans="2:18" s="108" customFormat="1">
      <c r="B1048" s="97"/>
      <c r="C1048" s="110"/>
      <c r="D1048" s="109"/>
      <c r="E1048" s="97"/>
      <c r="F1048" s="97"/>
      <c r="G1048" s="109"/>
      <c r="H1048" s="109"/>
      <c r="I1048" s="97"/>
      <c r="J1048" s="97"/>
      <c r="K1048" s="83"/>
      <c r="L1048" s="111"/>
      <c r="M1048" s="111"/>
      <c r="N1048" s="111"/>
      <c r="O1048" s="111"/>
      <c r="P1048" s="111"/>
      <c r="Q1048" s="111"/>
      <c r="R1048" s="111"/>
    </row>
    <row r="1049" spans="2:18" s="108" customFormat="1">
      <c r="B1049" s="97"/>
      <c r="C1049" s="110"/>
      <c r="D1049" s="109"/>
      <c r="E1049" s="97"/>
      <c r="F1049" s="97"/>
      <c r="G1049" s="109"/>
      <c r="H1049" s="109"/>
      <c r="I1049" s="97"/>
      <c r="J1049" s="97"/>
      <c r="K1049" s="83"/>
      <c r="L1049" s="111"/>
      <c r="M1049" s="111"/>
      <c r="N1049" s="111"/>
      <c r="O1049" s="111"/>
      <c r="P1049" s="111"/>
      <c r="Q1049" s="111"/>
      <c r="R1049" s="111"/>
    </row>
    <row r="1050" spans="2:18" s="108" customFormat="1">
      <c r="B1050" s="97"/>
      <c r="C1050" s="110"/>
      <c r="D1050" s="109"/>
      <c r="E1050" s="97"/>
      <c r="F1050" s="97"/>
      <c r="G1050" s="109"/>
      <c r="H1050" s="109"/>
      <c r="I1050" s="97"/>
      <c r="J1050" s="97"/>
      <c r="K1050" s="83"/>
      <c r="L1050" s="111"/>
      <c r="M1050" s="111"/>
      <c r="N1050" s="111"/>
      <c r="O1050" s="111"/>
      <c r="P1050" s="111"/>
      <c r="Q1050" s="111"/>
      <c r="R1050" s="111"/>
    </row>
    <row r="1051" spans="2:18" s="108" customFormat="1">
      <c r="B1051" s="97"/>
      <c r="C1051" s="110"/>
      <c r="D1051" s="109"/>
      <c r="E1051" s="97"/>
      <c r="F1051" s="97"/>
      <c r="G1051" s="109"/>
      <c r="H1051" s="109"/>
      <c r="I1051" s="97"/>
      <c r="J1051" s="97"/>
      <c r="K1051" s="83"/>
      <c r="L1051" s="111"/>
      <c r="M1051" s="111"/>
      <c r="N1051" s="111"/>
      <c r="O1051" s="111"/>
      <c r="P1051" s="111"/>
      <c r="Q1051" s="111"/>
      <c r="R1051" s="111"/>
    </row>
    <row r="1052" spans="2:18" s="108" customFormat="1">
      <c r="B1052" s="97"/>
      <c r="C1052" s="110"/>
      <c r="D1052" s="109"/>
      <c r="E1052" s="97"/>
      <c r="F1052" s="97"/>
      <c r="G1052" s="109"/>
      <c r="H1052" s="109"/>
      <c r="I1052" s="97"/>
      <c r="J1052" s="97"/>
      <c r="K1052" s="83"/>
      <c r="L1052" s="111"/>
      <c r="M1052" s="111"/>
      <c r="N1052" s="111"/>
      <c r="O1052" s="111"/>
      <c r="P1052" s="111"/>
      <c r="Q1052" s="111"/>
      <c r="R1052" s="111"/>
    </row>
    <row r="1053" spans="2:18" s="108" customFormat="1">
      <c r="B1053" s="97"/>
      <c r="C1053" s="110"/>
      <c r="D1053" s="109"/>
      <c r="E1053" s="97"/>
      <c r="F1053" s="97"/>
      <c r="G1053" s="109"/>
      <c r="H1053" s="109"/>
      <c r="I1053" s="97"/>
      <c r="J1053" s="97"/>
      <c r="K1053" s="83"/>
      <c r="L1053" s="111"/>
      <c r="M1053" s="111"/>
      <c r="N1053" s="111"/>
      <c r="O1053" s="111"/>
      <c r="P1053" s="111"/>
      <c r="Q1053" s="111"/>
      <c r="R1053" s="111"/>
    </row>
    <row r="1054" spans="2:18" s="108" customFormat="1">
      <c r="B1054" s="97"/>
      <c r="C1054" s="110"/>
      <c r="D1054" s="109"/>
      <c r="E1054" s="97"/>
      <c r="F1054" s="97"/>
      <c r="G1054" s="109"/>
      <c r="H1054" s="109"/>
      <c r="I1054" s="97"/>
      <c r="J1054" s="97"/>
      <c r="K1054" s="83"/>
      <c r="L1054" s="111"/>
      <c r="M1054" s="111"/>
      <c r="N1054" s="111"/>
      <c r="O1054" s="111"/>
      <c r="P1054" s="111"/>
      <c r="Q1054" s="111"/>
      <c r="R1054" s="111"/>
    </row>
    <row r="1055" spans="2:18" s="108" customFormat="1">
      <c r="B1055" s="97"/>
      <c r="C1055" s="110"/>
      <c r="D1055" s="109"/>
      <c r="E1055" s="97"/>
      <c r="F1055" s="97"/>
      <c r="G1055" s="109"/>
      <c r="H1055" s="109"/>
      <c r="I1055" s="97"/>
      <c r="J1055" s="97"/>
      <c r="K1055" s="83"/>
      <c r="L1055" s="111"/>
      <c r="M1055" s="111"/>
      <c r="N1055" s="111"/>
      <c r="O1055" s="111"/>
      <c r="P1055" s="111"/>
      <c r="Q1055" s="111"/>
      <c r="R1055" s="111"/>
    </row>
    <row r="1056" spans="2:18" s="108" customFormat="1">
      <c r="B1056" s="97"/>
      <c r="C1056" s="110"/>
      <c r="D1056" s="109"/>
      <c r="E1056" s="97"/>
      <c r="F1056" s="97"/>
      <c r="G1056" s="109"/>
      <c r="H1056" s="109"/>
      <c r="I1056" s="97"/>
      <c r="J1056" s="97"/>
      <c r="K1056" s="83"/>
      <c r="L1056" s="111"/>
      <c r="M1056" s="111"/>
      <c r="N1056" s="111"/>
      <c r="O1056" s="111"/>
      <c r="P1056" s="111"/>
      <c r="Q1056" s="111"/>
      <c r="R1056" s="111"/>
    </row>
    <row r="1057" spans="2:18" s="108" customFormat="1">
      <c r="B1057" s="97"/>
      <c r="C1057" s="110"/>
      <c r="D1057" s="109"/>
      <c r="E1057" s="97"/>
      <c r="F1057" s="97"/>
      <c r="G1057" s="109"/>
      <c r="H1057" s="109"/>
      <c r="I1057" s="97"/>
      <c r="J1057" s="97"/>
      <c r="K1057" s="83"/>
      <c r="L1057" s="111"/>
      <c r="M1057" s="111"/>
      <c r="N1057" s="111"/>
      <c r="O1057" s="111"/>
      <c r="P1057" s="111"/>
      <c r="Q1057" s="111"/>
      <c r="R1057" s="111"/>
    </row>
    <row r="1058" spans="2:18" s="108" customFormat="1">
      <c r="B1058" s="97"/>
      <c r="C1058" s="110"/>
      <c r="D1058" s="109"/>
      <c r="E1058" s="97"/>
      <c r="F1058" s="97"/>
      <c r="G1058" s="109"/>
      <c r="H1058" s="109"/>
      <c r="I1058" s="97"/>
      <c r="J1058" s="97"/>
      <c r="K1058" s="83"/>
      <c r="L1058" s="111"/>
      <c r="M1058" s="111"/>
      <c r="N1058" s="111"/>
      <c r="O1058" s="111"/>
      <c r="P1058" s="111"/>
      <c r="Q1058" s="111"/>
      <c r="R1058" s="111"/>
    </row>
    <row r="1059" spans="2:18" s="108" customFormat="1">
      <c r="B1059" s="97"/>
      <c r="C1059" s="110"/>
      <c r="D1059" s="109"/>
      <c r="E1059" s="97"/>
      <c r="F1059" s="97"/>
      <c r="G1059" s="109"/>
      <c r="H1059" s="109"/>
      <c r="I1059" s="97"/>
      <c r="J1059" s="97"/>
      <c r="K1059" s="83"/>
      <c r="L1059" s="111"/>
      <c r="M1059" s="111"/>
      <c r="N1059" s="111"/>
      <c r="O1059" s="111"/>
      <c r="P1059" s="111"/>
      <c r="Q1059" s="111"/>
      <c r="R1059" s="111"/>
    </row>
    <row r="1060" spans="2:18" s="108" customFormat="1">
      <c r="B1060" s="97"/>
      <c r="C1060" s="110"/>
      <c r="D1060" s="109"/>
      <c r="E1060" s="97"/>
      <c r="F1060" s="97"/>
      <c r="G1060" s="109"/>
      <c r="H1060" s="109"/>
      <c r="I1060" s="97"/>
      <c r="J1060" s="97"/>
      <c r="K1060" s="83"/>
      <c r="L1060" s="111"/>
      <c r="M1060" s="111"/>
      <c r="N1060" s="111"/>
      <c r="O1060" s="111"/>
      <c r="P1060" s="111"/>
      <c r="Q1060" s="111"/>
      <c r="R1060" s="111"/>
    </row>
    <row r="1061" spans="2:18" s="108" customFormat="1">
      <c r="B1061" s="97"/>
      <c r="C1061" s="110"/>
      <c r="D1061" s="109"/>
      <c r="E1061" s="97"/>
      <c r="F1061" s="97"/>
      <c r="G1061" s="109"/>
      <c r="H1061" s="109"/>
      <c r="I1061" s="97"/>
      <c r="J1061" s="97"/>
      <c r="K1061" s="83"/>
      <c r="L1061" s="111"/>
      <c r="M1061" s="111"/>
      <c r="N1061" s="111"/>
      <c r="O1061" s="111"/>
      <c r="P1061" s="111"/>
      <c r="Q1061" s="111"/>
      <c r="R1061" s="111"/>
    </row>
    <row r="1062" spans="2:18" s="108" customFormat="1">
      <c r="B1062" s="97"/>
      <c r="C1062" s="110"/>
      <c r="D1062" s="109"/>
      <c r="E1062" s="97"/>
      <c r="F1062" s="97"/>
      <c r="G1062" s="109"/>
      <c r="H1062" s="109"/>
      <c r="I1062" s="97"/>
      <c r="J1062" s="97"/>
      <c r="K1062" s="83"/>
      <c r="L1062" s="111"/>
      <c r="M1062" s="111"/>
      <c r="N1062" s="111"/>
      <c r="O1062" s="111"/>
      <c r="P1062" s="111"/>
      <c r="Q1062" s="111"/>
      <c r="R1062" s="111"/>
    </row>
    <row r="1063" spans="2:18" s="108" customFormat="1">
      <c r="B1063" s="97"/>
      <c r="C1063" s="110"/>
      <c r="D1063" s="109"/>
      <c r="E1063" s="97"/>
      <c r="F1063" s="97"/>
      <c r="G1063" s="109"/>
      <c r="H1063" s="109"/>
      <c r="I1063" s="97"/>
      <c r="J1063" s="97"/>
      <c r="K1063" s="83"/>
      <c r="L1063" s="111"/>
      <c r="M1063" s="111"/>
      <c r="N1063" s="111"/>
      <c r="O1063" s="111"/>
      <c r="P1063" s="111"/>
      <c r="Q1063" s="111"/>
      <c r="R1063" s="111"/>
    </row>
    <row r="1064" spans="2:18" s="108" customFormat="1">
      <c r="B1064" s="97"/>
      <c r="C1064" s="110"/>
      <c r="D1064" s="109"/>
      <c r="E1064" s="97"/>
      <c r="F1064" s="97"/>
      <c r="G1064" s="109"/>
      <c r="H1064" s="109"/>
      <c r="I1064" s="97"/>
      <c r="J1064" s="97"/>
      <c r="K1064" s="83"/>
      <c r="L1064" s="111"/>
      <c r="M1064" s="111"/>
      <c r="N1064" s="111"/>
      <c r="O1064" s="111"/>
      <c r="P1064" s="111"/>
      <c r="Q1064" s="111"/>
      <c r="R1064" s="111"/>
    </row>
    <row r="1065" spans="2:18" s="108" customFormat="1">
      <c r="B1065" s="97"/>
      <c r="C1065" s="110"/>
      <c r="D1065" s="109"/>
      <c r="E1065" s="97"/>
      <c r="F1065" s="97"/>
      <c r="G1065" s="109"/>
      <c r="H1065" s="109"/>
      <c r="I1065" s="97"/>
      <c r="J1065" s="97"/>
      <c r="K1065" s="83"/>
      <c r="L1065" s="111"/>
      <c r="M1065" s="111"/>
      <c r="N1065" s="111"/>
      <c r="O1065" s="111"/>
      <c r="P1065" s="111"/>
      <c r="Q1065" s="111"/>
      <c r="R1065" s="111"/>
    </row>
    <row r="1066" spans="2:18" s="108" customFormat="1">
      <c r="B1066" s="97"/>
      <c r="C1066" s="110"/>
      <c r="D1066" s="109"/>
      <c r="E1066" s="97"/>
      <c r="F1066" s="97"/>
      <c r="G1066" s="109"/>
      <c r="H1066" s="109"/>
      <c r="I1066" s="97"/>
      <c r="J1066" s="97"/>
      <c r="K1066" s="83"/>
      <c r="L1066" s="111"/>
      <c r="M1066" s="111"/>
      <c r="N1066" s="111"/>
      <c r="O1066" s="111"/>
      <c r="P1066" s="111"/>
      <c r="Q1066" s="111"/>
      <c r="R1066" s="111"/>
    </row>
    <row r="1067" spans="2:18" s="108" customFormat="1">
      <c r="B1067" s="97"/>
      <c r="C1067" s="110"/>
      <c r="D1067" s="109"/>
      <c r="E1067" s="97"/>
      <c r="F1067" s="97"/>
      <c r="G1067" s="109"/>
      <c r="H1067" s="109"/>
      <c r="I1067" s="97"/>
      <c r="J1067" s="97"/>
      <c r="K1067" s="83"/>
      <c r="L1067" s="111"/>
      <c r="M1067" s="111"/>
      <c r="N1067" s="111"/>
      <c r="O1067" s="111"/>
      <c r="P1067" s="111"/>
      <c r="Q1067" s="111"/>
      <c r="R1067" s="111"/>
    </row>
    <row r="1068" spans="2:18" s="108" customFormat="1">
      <c r="B1068" s="97"/>
      <c r="C1068" s="110"/>
      <c r="D1068" s="109"/>
      <c r="E1068" s="97"/>
      <c r="F1068" s="97"/>
      <c r="G1068" s="109"/>
      <c r="H1068" s="109"/>
      <c r="I1068" s="97"/>
      <c r="J1068" s="97"/>
      <c r="K1068" s="83"/>
      <c r="L1068" s="111"/>
      <c r="M1068" s="111"/>
      <c r="N1068" s="111"/>
      <c r="O1068" s="111"/>
      <c r="P1068" s="111"/>
      <c r="Q1068" s="111"/>
      <c r="R1068" s="111"/>
    </row>
    <row r="1069" spans="2:18" s="108" customFormat="1">
      <c r="B1069" s="97"/>
      <c r="C1069" s="110"/>
      <c r="D1069" s="109"/>
      <c r="E1069" s="97"/>
      <c r="F1069" s="97"/>
      <c r="G1069" s="109"/>
      <c r="H1069" s="109"/>
      <c r="I1069" s="97"/>
      <c r="J1069" s="97"/>
      <c r="K1069" s="83"/>
      <c r="L1069" s="111"/>
      <c r="M1069" s="111"/>
      <c r="N1069" s="111"/>
      <c r="O1069" s="111"/>
      <c r="P1069" s="111"/>
      <c r="Q1069" s="111"/>
      <c r="R1069" s="111"/>
    </row>
    <row r="1070" spans="2:18" s="108" customFormat="1">
      <c r="B1070" s="97"/>
      <c r="C1070" s="110"/>
      <c r="D1070" s="109"/>
      <c r="E1070" s="97"/>
      <c r="F1070" s="97"/>
      <c r="G1070" s="109"/>
      <c r="H1070" s="109"/>
      <c r="I1070" s="97"/>
      <c r="J1070" s="97"/>
      <c r="K1070" s="83"/>
      <c r="L1070" s="111"/>
      <c r="M1070" s="111"/>
      <c r="N1070" s="111"/>
      <c r="O1070" s="111"/>
      <c r="P1070" s="111"/>
      <c r="Q1070" s="111"/>
      <c r="R1070" s="111"/>
    </row>
    <row r="1071" spans="2:18" s="108" customFormat="1">
      <c r="B1071" s="97"/>
      <c r="C1071" s="110"/>
      <c r="D1071" s="109"/>
      <c r="E1071" s="97"/>
      <c r="F1071" s="97"/>
      <c r="G1071" s="109"/>
      <c r="H1071" s="109"/>
      <c r="I1071" s="97"/>
      <c r="J1071" s="97"/>
      <c r="K1071" s="83"/>
      <c r="L1071" s="111"/>
      <c r="M1071" s="111"/>
      <c r="N1071" s="111"/>
      <c r="O1071" s="111"/>
      <c r="P1071" s="111"/>
      <c r="Q1071" s="111"/>
      <c r="R1071" s="111"/>
    </row>
    <row r="1072" spans="2:18" s="108" customFormat="1">
      <c r="B1072" s="97"/>
      <c r="C1072" s="110"/>
      <c r="D1072" s="109"/>
      <c r="E1072" s="97"/>
      <c r="F1072" s="97"/>
      <c r="G1072" s="109"/>
      <c r="H1072" s="109"/>
      <c r="I1072" s="97"/>
      <c r="J1072" s="97"/>
      <c r="K1072" s="83"/>
      <c r="L1072" s="111"/>
      <c r="M1072" s="111"/>
      <c r="N1072" s="111"/>
      <c r="O1072" s="111"/>
      <c r="P1072" s="111"/>
      <c r="Q1072" s="111"/>
      <c r="R1072" s="111"/>
    </row>
    <row r="1073" spans="2:18" s="108" customFormat="1">
      <c r="B1073" s="97"/>
      <c r="C1073" s="110"/>
      <c r="D1073" s="109"/>
      <c r="E1073" s="97"/>
      <c r="F1073" s="97"/>
      <c r="G1073" s="109"/>
      <c r="H1073" s="109"/>
      <c r="I1073" s="97"/>
      <c r="J1073" s="97"/>
      <c r="K1073" s="83"/>
      <c r="L1073" s="111"/>
      <c r="M1073" s="111"/>
      <c r="N1073" s="111"/>
      <c r="O1073" s="111"/>
      <c r="P1073" s="111"/>
      <c r="Q1073" s="111"/>
      <c r="R1073" s="111"/>
    </row>
    <row r="1074" spans="2:18" s="108" customFormat="1">
      <c r="B1074" s="97"/>
      <c r="C1074" s="110"/>
      <c r="D1074" s="109"/>
      <c r="E1074" s="97"/>
      <c r="F1074" s="97"/>
      <c r="G1074" s="109"/>
      <c r="H1074" s="109"/>
      <c r="I1074" s="97"/>
      <c r="J1074" s="97"/>
      <c r="K1074" s="83"/>
      <c r="L1074" s="111"/>
      <c r="M1074" s="111"/>
      <c r="N1074" s="111"/>
      <c r="O1074" s="111"/>
      <c r="P1074" s="111"/>
      <c r="Q1074" s="111"/>
      <c r="R1074" s="111"/>
    </row>
    <row r="1075" spans="2:18" s="108" customFormat="1">
      <c r="B1075" s="97"/>
      <c r="C1075" s="110"/>
      <c r="D1075" s="109"/>
      <c r="E1075" s="97"/>
      <c r="F1075" s="97"/>
      <c r="G1075" s="109"/>
      <c r="H1075" s="109"/>
      <c r="I1075" s="97"/>
      <c r="J1075" s="97"/>
      <c r="K1075" s="83"/>
      <c r="L1075" s="111"/>
      <c r="M1075" s="111"/>
      <c r="N1075" s="111"/>
      <c r="O1075" s="111"/>
      <c r="P1075" s="111"/>
      <c r="Q1075" s="111"/>
      <c r="R1075" s="111"/>
    </row>
    <row r="1076" spans="2:18" s="108" customFormat="1">
      <c r="B1076" s="97"/>
      <c r="C1076" s="110"/>
      <c r="D1076" s="109"/>
      <c r="E1076" s="97"/>
      <c r="F1076" s="97"/>
      <c r="G1076" s="109"/>
      <c r="H1076" s="109"/>
      <c r="I1076" s="97"/>
      <c r="J1076" s="97"/>
      <c r="K1076" s="83"/>
      <c r="L1076" s="111"/>
      <c r="M1076" s="111"/>
      <c r="N1076" s="111"/>
      <c r="O1076" s="111"/>
      <c r="P1076" s="111"/>
      <c r="Q1076" s="111"/>
      <c r="R1076" s="111"/>
    </row>
    <row r="1077" spans="2:18" s="108" customFormat="1">
      <c r="B1077" s="97"/>
      <c r="C1077" s="110"/>
      <c r="D1077" s="109"/>
      <c r="E1077" s="97"/>
      <c r="F1077" s="97"/>
      <c r="G1077" s="109"/>
      <c r="H1077" s="109"/>
      <c r="I1077" s="97"/>
      <c r="J1077" s="97"/>
      <c r="K1077" s="83"/>
      <c r="L1077" s="111"/>
      <c r="M1077" s="111"/>
      <c r="N1077" s="111"/>
      <c r="O1077" s="111"/>
      <c r="P1077" s="111"/>
      <c r="Q1077" s="111"/>
      <c r="R1077" s="111"/>
    </row>
    <row r="1078" spans="2:18" s="108" customFormat="1">
      <c r="B1078" s="97"/>
      <c r="C1078" s="110"/>
      <c r="D1078" s="109"/>
      <c r="E1078" s="97"/>
      <c r="F1078" s="97"/>
      <c r="G1078" s="109"/>
      <c r="H1078" s="109"/>
      <c r="I1078" s="97"/>
      <c r="J1078" s="97"/>
      <c r="K1078" s="83"/>
      <c r="L1078" s="111"/>
      <c r="M1078" s="111"/>
      <c r="N1078" s="111"/>
      <c r="O1078" s="111"/>
      <c r="P1078" s="111"/>
      <c r="Q1078" s="111"/>
      <c r="R1078" s="111"/>
    </row>
    <row r="1079" spans="2:18" s="108" customFormat="1">
      <c r="B1079" s="97"/>
      <c r="C1079" s="110"/>
      <c r="D1079" s="109"/>
      <c r="E1079" s="97"/>
      <c r="F1079" s="97"/>
      <c r="G1079" s="109"/>
      <c r="H1079" s="109"/>
      <c r="I1079" s="97"/>
      <c r="J1079" s="97"/>
      <c r="K1079" s="83"/>
      <c r="L1079" s="111"/>
      <c r="M1079" s="111"/>
      <c r="N1079" s="111"/>
      <c r="O1079" s="111"/>
      <c r="P1079" s="111"/>
      <c r="Q1079" s="111"/>
      <c r="R1079" s="111"/>
    </row>
    <row r="1080" spans="2:18" s="108" customFormat="1">
      <c r="B1080" s="97"/>
      <c r="C1080" s="110"/>
      <c r="D1080" s="109"/>
      <c r="E1080" s="97"/>
      <c r="F1080" s="97"/>
      <c r="G1080" s="109"/>
      <c r="H1080" s="109"/>
      <c r="I1080" s="97"/>
      <c r="J1080" s="97"/>
      <c r="K1080" s="83"/>
      <c r="L1080" s="111"/>
      <c r="M1080" s="111"/>
      <c r="N1080" s="111"/>
      <c r="O1080" s="111"/>
      <c r="P1080" s="111"/>
      <c r="Q1080" s="111"/>
      <c r="R1080" s="111"/>
    </row>
    <row r="1081" spans="2:18" s="108" customFormat="1">
      <c r="B1081" s="97"/>
      <c r="C1081" s="110"/>
      <c r="D1081" s="109"/>
      <c r="E1081" s="97"/>
      <c r="F1081" s="97"/>
      <c r="G1081" s="109"/>
      <c r="H1081" s="109"/>
      <c r="I1081" s="97"/>
      <c r="J1081" s="97"/>
      <c r="K1081" s="83"/>
      <c r="L1081" s="111"/>
      <c r="M1081" s="111"/>
      <c r="N1081" s="111"/>
      <c r="O1081" s="111"/>
      <c r="P1081" s="111"/>
      <c r="Q1081" s="111"/>
      <c r="R1081" s="111"/>
    </row>
    <row r="1082" spans="2:18" s="108" customFormat="1">
      <c r="B1082" s="97"/>
      <c r="C1082" s="110"/>
      <c r="D1082" s="109"/>
      <c r="E1082" s="97"/>
      <c r="F1082" s="97"/>
      <c r="G1082" s="109"/>
      <c r="H1082" s="109"/>
      <c r="I1082" s="97"/>
      <c r="J1082" s="97"/>
      <c r="K1082" s="83"/>
      <c r="L1082" s="111"/>
      <c r="M1082" s="111"/>
      <c r="N1082" s="111"/>
      <c r="O1082" s="111"/>
      <c r="P1082" s="111"/>
      <c r="Q1082" s="111"/>
      <c r="R1082" s="111"/>
    </row>
    <row r="1083" spans="2:18" s="108" customFormat="1">
      <c r="B1083" s="97"/>
      <c r="C1083" s="110"/>
      <c r="D1083" s="109"/>
      <c r="E1083" s="97"/>
      <c r="F1083" s="97"/>
      <c r="G1083" s="109"/>
      <c r="H1083" s="109"/>
      <c r="I1083" s="97"/>
      <c r="J1083" s="97"/>
      <c r="K1083" s="83"/>
      <c r="L1083" s="111"/>
      <c r="M1083" s="111"/>
      <c r="N1083" s="111"/>
      <c r="O1083" s="111"/>
      <c r="P1083" s="111"/>
      <c r="Q1083" s="111"/>
      <c r="R1083" s="111"/>
    </row>
    <row r="1084" spans="2:18" s="108" customFormat="1">
      <c r="B1084" s="97"/>
      <c r="C1084" s="110"/>
      <c r="D1084" s="109"/>
      <c r="E1084" s="97"/>
      <c r="F1084" s="97"/>
      <c r="G1084" s="109"/>
      <c r="H1084" s="109"/>
      <c r="I1084" s="97"/>
      <c r="J1084" s="97"/>
      <c r="K1084" s="83"/>
      <c r="L1084" s="111"/>
      <c r="M1084" s="111"/>
      <c r="N1084" s="111"/>
      <c r="O1084" s="111"/>
      <c r="P1084" s="111"/>
      <c r="Q1084" s="111"/>
      <c r="R1084" s="111"/>
    </row>
    <row r="1085" spans="2:18" s="108" customFormat="1">
      <c r="B1085" s="97"/>
      <c r="C1085" s="110"/>
      <c r="D1085" s="109"/>
      <c r="E1085" s="97"/>
      <c r="F1085" s="97"/>
      <c r="G1085" s="109"/>
      <c r="H1085" s="109"/>
      <c r="I1085" s="97"/>
      <c r="J1085" s="97"/>
      <c r="K1085" s="83"/>
      <c r="L1085" s="111"/>
      <c r="M1085" s="111"/>
      <c r="N1085" s="111"/>
      <c r="O1085" s="111"/>
      <c r="P1085" s="111"/>
      <c r="Q1085" s="111"/>
      <c r="R1085" s="111"/>
    </row>
    <row r="1086" spans="2:18" s="108" customFormat="1">
      <c r="B1086" s="97"/>
      <c r="C1086" s="110"/>
      <c r="D1086" s="109"/>
      <c r="E1086" s="97"/>
      <c r="F1086" s="97"/>
      <c r="G1086" s="109"/>
      <c r="H1086" s="109"/>
      <c r="I1086" s="97"/>
      <c r="J1086" s="97"/>
      <c r="K1086" s="83"/>
      <c r="L1086" s="111"/>
      <c r="M1086" s="111"/>
      <c r="N1086" s="111"/>
      <c r="O1086" s="111"/>
      <c r="P1086" s="111"/>
      <c r="Q1086" s="111"/>
      <c r="R1086" s="111"/>
    </row>
    <row r="1087" spans="2:18" s="108" customFormat="1">
      <c r="B1087" s="97"/>
      <c r="C1087" s="110"/>
      <c r="D1087" s="109"/>
      <c r="E1087" s="97"/>
      <c r="F1087" s="97"/>
      <c r="G1087" s="109"/>
      <c r="H1087" s="109"/>
      <c r="I1087" s="97"/>
      <c r="J1087" s="97"/>
      <c r="K1087" s="83"/>
      <c r="L1087" s="111"/>
      <c r="M1087" s="111"/>
      <c r="N1087" s="111"/>
      <c r="O1087" s="111"/>
      <c r="P1087" s="111"/>
      <c r="Q1087" s="111"/>
      <c r="R1087" s="111"/>
    </row>
    <row r="1088" spans="2:18" s="108" customFormat="1">
      <c r="B1088" s="97"/>
      <c r="C1088" s="110"/>
      <c r="D1088" s="109"/>
      <c r="E1088" s="97"/>
      <c r="F1088" s="97"/>
      <c r="G1088" s="109"/>
      <c r="H1088" s="109"/>
      <c r="I1088" s="97"/>
      <c r="J1088" s="97"/>
      <c r="K1088" s="83"/>
      <c r="L1088" s="111"/>
      <c r="M1088" s="111"/>
      <c r="N1088" s="111"/>
      <c r="O1088" s="111"/>
      <c r="P1088" s="111"/>
      <c r="Q1088" s="111"/>
      <c r="R1088" s="111"/>
    </row>
    <row r="1089" spans="2:18" s="108" customFormat="1">
      <c r="B1089" s="97"/>
      <c r="C1089" s="110"/>
      <c r="D1089" s="109"/>
      <c r="E1089" s="97"/>
      <c r="F1089" s="97"/>
      <c r="G1089" s="109"/>
      <c r="H1089" s="109"/>
      <c r="I1089" s="97"/>
      <c r="J1089" s="97"/>
      <c r="K1089" s="83"/>
      <c r="L1089" s="111"/>
      <c r="M1089" s="111"/>
      <c r="N1089" s="111"/>
      <c r="O1089" s="111"/>
      <c r="P1089" s="111"/>
      <c r="Q1089" s="111"/>
      <c r="R1089" s="111"/>
    </row>
    <row r="1090" spans="2:18" s="108" customFormat="1">
      <c r="B1090" s="97"/>
      <c r="C1090" s="110"/>
      <c r="D1090" s="109"/>
      <c r="E1090" s="97"/>
      <c r="F1090" s="97"/>
      <c r="G1090" s="109"/>
      <c r="H1090" s="109"/>
      <c r="I1090" s="97"/>
      <c r="J1090" s="97"/>
      <c r="K1090" s="83"/>
      <c r="L1090" s="111"/>
      <c r="M1090" s="111"/>
      <c r="N1090" s="111"/>
      <c r="O1090" s="111"/>
      <c r="P1090" s="111"/>
      <c r="Q1090" s="111"/>
      <c r="R1090" s="111"/>
    </row>
    <row r="1091" spans="2:18" s="108" customFormat="1">
      <c r="B1091" s="97"/>
      <c r="C1091" s="110"/>
      <c r="D1091" s="109"/>
      <c r="E1091" s="97"/>
      <c r="F1091" s="97"/>
      <c r="G1091" s="109"/>
      <c r="H1091" s="109"/>
      <c r="I1091" s="97"/>
      <c r="J1091" s="97"/>
      <c r="K1091" s="83"/>
      <c r="L1091" s="111"/>
      <c r="M1091" s="111"/>
      <c r="N1091" s="111"/>
      <c r="O1091" s="111"/>
      <c r="P1091" s="111"/>
      <c r="Q1091" s="111"/>
      <c r="R1091" s="111"/>
    </row>
    <row r="1092" spans="2:18" s="108" customFormat="1">
      <c r="B1092" s="97"/>
      <c r="C1092" s="110"/>
      <c r="D1092" s="109"/>
      <c r="E1092" s="97"/>
      <c r="F1092" s="97"/>
      <c r="G1092" s="109"/>
      <c r="H1092" s="109"/>
      <c r="I1092" s="97"/>
      <c r="J1092" s="97"/>
      <c r="K1092" s="83"/>
      <c r="L1092" s="111"/>
      <c r="M1092" s="111"/>
      <c r="N1092" s="111"/>
      <c r="O1092" s="111"/>
      <c r="P1092" s="111"/>
      <c r="Q1092" s="111"/>
      <c r="R1092" s="111"/>
    </row>
    <row r="1093" spans="2:18" s="108" customFormat="1">
      <c r="B1093" s="97"/>
      <c r="C1093" s="110"/>
      <c r="D1093" s="109"/>
      <c r="E1093" s="97"/>
      <c r="F1093" s="97"/>
      <c r="G1093" s="109"/>
      <c r="H1093" s="109"/>
      <c r="I1093" s="97"/>
      <c r="J1093" s="97"/>
      <c r="K1093" s="83"/>
      <c r="L1093" s="111"/>
      <c r="M1093" s="111"/>
      <c r="N1093" s="111"/>
      <c r="O1093" s="111"/>
      <c r="P1093" s="111"/>
      <c r="Q1093" s="111"/>
      <c r="R1093" s="111"/>
    </row>
    <row r="1094" spans="2:18" s="108" customFormat="1">
      <c r="B1094" s="97"/>
      <c r="C1094" s="110"/>
      <c r="D1094" s="109"/>
      <c r="E1094" s="97"/>
      <c r="F1094" s="97"/>
      <c r="G1094" s="109"/>
      <c r="H1094" s="109"/>
      <c r="I1094" s="97"/>
      <c r="J1094" s="97"/>
      <c r="K1094" s="83"/>
      <c r="L1094" s="111"/>
      <c r="M1094" s="111"/>
      <c r="N1094" s="111"/>
      <c r="O1094" s="111"/>
      <c r="P1094" s="111"/>
      <c r="Q1094" s="111"/>
      <c r="R1094" s="111"/>
    </row>
    <row r="1095" spans="2:18" s="108" customFormat="1">
      <c r="B1095" s="97"/>
      <c r="C1095" s="110"/>
      <c r="D1095" s="109"/>
      <c r="E1095" s="97"/>
      <c r="F1095" s="97"/>
      <c r="G1095" s="109"/>
      <c r="H1095" s="109"/>
      <c r="I1095" s="97"/>
      <c r="J1095" s="97"/>
      <c r="K1095" s="83"/>
      <c r="L1095" s="111"/>
      <c r="M1095" s="111"/>
      <c r="N1095" s="111"/>
      <c r="O1095" s="111"/>
      <c r="P1095" s="111"/>
      <c r="Q1095" s="111"/>
      <c r="R1095" s="111"/>
    </row>
    <row r="1096" spans="2:18" s="108" customFormat="1">
      <c r="B1096" s="97"/>
      <c r="C1096" s="110"/>
      <c r="D1096" s="109"/>
      <c r="E1096" s="97"/>
      <c r="F1096" s="97"/>
      <c r="G1096" s="109"/>
      <c r="H1096" s="109"/>
      <c r="I1096" s="97"/>
      <c r="J1096" s="97"/>
      <c r="K1096" s="83"/>
      <c r="L1096" s="111"/>
      <c r="M1096" s="111"/>
      <c r="N1096" s="111"/>
      <c r="O1096" s="111"/>
      <c r="P1096" s="111"/>
      <c r="Q1096" s="111"/>
      <c r="R1096" s="111"/>
    </row>
    <row r="1097" spans="2:18" s="108" customFormat="1">
      <c r="B1097" s="97"/>
      <c r="C1097" s="110"/>
      <c r="D1097" s="109"/>
      <c r="E1097" s="97"/>
      <c r="F1097" s="97"/>
      <c r="G1097" s="109"/>
      <c r="H1097" s="109"/>
      <c r="I1097" s="97"/>
      <c r="J1097" s="97"/>
      <c r="K1097" s="83"/>
      <c r="L1097" s="111"/>
      <c r="M1097" s="111"/>
      <c r="N1097" s="111"/>
      <c r="O1097" s="111"/>
      <c r="P1097" s="111"/>
      <c r="Q1097" s="111"/>
      <c r="R1097" s="111"/>
    </row>
    <row r="1098" spans="2:18" s="108" customFormat="1">
      <c r="B1098" s="97"/>
      <c r="C1098" s="110"/>
      <c r="D1098" s="109"/>
      <c r="E1098" s="97"/>
      <c r="F1098" s="97"/>
      <c r="G1098" s="109"/>
      <c r="H1098" s="109"/>
      <c r="I1098" s="97"/>
      <c r="J1098" s="97"/>
      <c r="K1098" s="83"/>
      <c r="L1098" s="111"/>
      <c r="M1098" s="111"/>
      <c r="N1098" s="111"/>
      <c r="O1098" s="111"/>
      <c r="P1098" s="111"/>
      <c r="Q1098" s="111"/>
      <c r="R1098" s="111"/>
    </row>
    <row r="1099" spans="2:18" s="108" customFormat="1">
      <c r="B1099" s="97"/>
      <c r="C1099" s="110"/>
      <c r="D1099" s="109"/>
      <c r="E1099" s="97"/>
      <c r="F1099" s="97"/>
      <c r="G1099" s="109"/>
      <c r="H1099" s="109"/>
      <c r="I1099" s="97"/>
      <c r="J1099" s="97"/>
      <c r="K1099" s="83"/>
      <c r="L1099" s="111"/>
      <c r="M1099" s="111"/>
      <c r="N1099" s="111"/>
      <c r="O1099" s="111"/>
      <c r="P1099" s="111"/>
      <c r="Q1099" s="111"/>
      <c r="R1099" s="111"/>
    </row>
    <row r="1100" spans="2:18" s="108" customFormat="1">
      <c r="B1100" s="97"/>
      <c r="C1100" s="110"/>
      <c r="D1100" s="109"/>
      <c r="E1100" s="97"/>
      <c r="F1100" s="97"/>
      <c r="G1100" s="109"/>
      <c r="H1100" s="109"/>
      <c r="I1100" s="97"/>
      <c r="J1100" s="97"/>
      <c r="K1100" s="83"/>
      <c r="L1100" s="111"/>
      <c r="M1100" s="111"/>
      <c r="N1100" s="111"/>
      <c r="O1100" s="111"/>
      <c r="P1100" s="111"/>
      <c r="Q1100" s="111"/>
      <c r="R1100" s="111"/>
    </row>
    <row r="1101" spans="2:18" s="108" customFormat="1">
      <c r="B1101" s="97"/>
      <c r="C1101" s="110"/>
      <c r="D1101" s="109"/>
      <c r="E1101" s="97"/>
      <c r="F1101" s="97"/>
      <c r="G1101" s="109"/>
      <c r="H1101" s="109"/>
      <c r="I1101" s="97"/>
      <c r="J1101" s="97"/>
      <c r="K1101" s="83"/>
      <c r="L1101" s="111"/>
      <c r="M1101" s="111"/>
      <c r="N1101" s="111"/>
      <c r="O1101" s="111"/>
      <c r="P1101" s="111"/>
      <c r="Q1101" s="111"/>
      <c r="R1101" s="111"/>
    </row>
    <row r="1102" spans="2:18" s="108" customFormat="1">
      <c r="B1102" s="97"/>
      <c r="C1102" s="110"/>
      <c r="D1102" s="109"/>
      <c r="E1102" s="97"/>
      <c r="F1102" s="97"/>
      <c r="G1102" s="109"/>
      <c r="H1102" s="109"/>
      <c r="I1102" s="97"/>
      <c r="J1102" s="97"/>
      <c r="K1102" s="83"/>
      <c r="L1102" s="111"/>
      <c r="M1102" s="111"/>
      <c r="N1102" s="111"/>
      <c r="O1102" s="111"/>
      <c r="P1102" s="111"/>
      <c r="Q1102" s="111"/>
      <c r="R1102" s="111"/>
    </row>
    <row r="1103" spans="2:18" s="108" customFormat="1">
      <c r="B1103" s="97"/>
      <c r="C1103" s="110"/>
      <c r="D1103" s="109"/>
      <c r="E1103" s="97"/>
      <c r="F1103" s="97"/>
      <c r="G1103" s="109"/>
      <c r="H1103" s="109"/>
      <c r="I1103" s="97"/>
      <c r="J1103" s="97"/>
      <c r="K1103" s="83"/>
      <c r="L1103" s="111"/>
      <c r="M1103" s="111"/>
      <c r="N1103" s="111"/>
      <c r="O1103" s="111"/>
      <c r="P1103" s="111"/>
      <c r="Q1103" s="111"/>
      <c r="R1103" s="111"/>
    </row>
    <row r="1104" spans="2:18" s="108" customFormat="1">
      <c r="B1104" s="97"/>
      <c r="C1104" s="110"/>
      <c r="D1104" s="109"/>
      <c r="E1104" s="97"/>
      <c r="F1104" s="97"/>
      <c r="G1104" s="109"/>
      <c r="H1104" s="109"/>
      <c r="I1104" s="97"/>
      <c r="J1104" s="97"/>
      <c r="K1104" s="83"/>
      <c r="L1104" s="111"/>
      <c r="M1104" s="111"/>
      <c r="N1104" s="111"/>
      <c r="O1104" s="111"/>
      <c r="P1104" s="111"/>
      <c r="Q1104" s="111"/>
      <c r="R1104" s="111"/>
    </row>
    <row r="1105" spans="2:18" s="108" customFormat="1">
      <c r="B1105" s="97"/>
      <c r="C1105" s="110"/>
      <c r="D1105" s="109"/>
      <c r="E1105" s="97"/>
      <c r="F1105" s="97"/>
      <c r="G1105" s="109"/>
      <c r="H1105" s="109"/>
      <c r="I1105" s="97"/>
      <c r="J1105" s="97"/>
      <c r="K1105" s="83"/>
      <c r="L1105" s="111"/>
      <c r="M1105" s="111"/>
      <c r="N1105" s="111"/>
      <c r="O1105" s="111"/>
      <c r="P1105" s="111"/>
      <c r="Q1105" s="111"/>
      <c r="R1105" s="111"/>
    </row>
    <row r="1106" spans="2:18" s="108" customFormat="1">
      <c r="B1106" s="97"/>
      <c r="C1106" s="110"/>
      <c r="D1106" s="109"/>
      <c r="E1106" s="97"/>
      <c r="F1106" s="97"/>
      <c r="G1106" s="109"/>
      <c r="H1106" s="109"/>
      <c r="I1106" s="97"/>
      <c r="J1106" s="97"/>
      <c r="K1106" s="83"/>
      <c r="L1106" s="111"/>
      <c r="M1106" s="111"/>
      <c r="N1106" s="111"/>
      <c r="O1106" s="111"/>
      <c r="P1106" s="111"/>
      <c r="Q1106" s="111"/>
      <c r="R1106" s="111"/>
    </row>
    <row r="1107" spans="2:18" s="108" customFormat="1">
      <c r="B1107" s="97"/>
      <c r="C1107" s="110"/>
      <c r="D1107" s="109"/>
      <c r="E1107" s="97"/>
      <c r="F1107" s="97"/>
      <c r="G1107" s="109"/>
      <c r="H1107" s="109"/>
      <c r="I1107" s="97"/>
      <c r="J1107" s="97"/>
      <c r="K1107" s="83"/>
      <c r="L1107" s="111"/>
      <c r="M1107" s="111"/>
      <c r="N1107" s="111"/>
      <c r="O1107" s="111"/>
      <c r="P1107" s="111"/>
      <c r="Q1107" s="111"/>
      <c r="R1107" s="111"/>
    </row>
    <row r="1108" spans="2:18" s="108" customFormat="1">
      <c r="B1108" s="97"/>
      <c r="C1108" s="110"/>
      <c r="D1108" s="109"/>
      <c r="E1108" s="97"/>
      <c r="F1108" s="97"/>
      <c r="G1108" s="109"/>
      <c r="H1108" s="109"/>
      <c r="I1108" s="97"/>
      <c r="J1108" s="97"/>
      <c r="K1108" s="83"/>
      <c r="L1108" s="111"/>
      <c r="M1108" s="111"/>
      <c r="N1108" s="111"/>
      <c r="O1108" s="111"/>
      <c r="P1108" s="111"/>
      <c r="Q1108" s="111"/>
      <c r="R1108" s="111"/>
    </row>
    <row r="1109" spans="2:18" s="108" customFormat="1">
      <c r="B1109" s="97"/>
      <c r="C1109" s="110"/>
      <c r="D1109" s="109"/>
      <c r="E1109" s="97"/>
      <c r="F1109" s="97"/>
      <c r="G1109" s="109"/>
      <c r="H1109" s="109"/>
      <c r="I1109" s="97"/>
      <c r="J1109" s="97"/>
      <c r="K1109" s="83"/>
      <c r="L1109" s="111"/>
      <c r="M1109" s="111"/>
      <c r="N1109" s="111"/>
      <c r="O1109" s="111"/>
      <c r="P1109" s="111"/>
      <c r="Q1109" s="111"/>
      <c r="R1109" s="111"/>
    </row>
    <row r="1110" spans="2:18" s="108" customFormat="1">
      <c r="B1110" s="97"/>
      <c r="C1110" s="110"/>
      <c r="D1110" s="109"/>
      <c r="E1110" s="97"/>
      <c r="F1110" s="97"/>
      <c r="G1110" s="109"/>
      <c r="H1110" s="109"/>
      <c r="I1110" s="97"/>
      <c r="J1110" s="97"/>
      <c r="K1110" s="83"/>
      <c r="L1110" s="111"/>
      <c r="M1110" s="111"/>
      <c r="N1110" s="111"/>
      <c r="O1110" s="111"/>
      <c r="P1110" s="111"/>
      <c r="Q1110" s="111"/>
      <c r="R1110" s="111"/>
    </row>
    <row r="1111" spans="2:18" s="108" customFormat="1">
      <c r="B1111" s="97"/>
      <c r="C1111" s="110"/>
      <c r="D1111" s="109"/>
      <c r="E1111" s="97"/>
      <c r="F1111" s="97"/>
      <c r="G1111" s="109"/>
      <c r="H1111" s="109"/>
      <c r="I1111" s="97"/>
      <c r="J1111" s="97"/>
      <c r="K1111" s="83"/>
      <c r="L1111" s="111"/>
      <c r="M1111" s="111"/>
      <c r="N1111" s="111"/>
      <c r="O1111" s="111"/>
      <c r="P1111" s="111"/>
      <c r="Q1111" s="111"/>
      <c r="R1111" s="111"/>
    </row>
    <row r="1112" spans="2:18" s="108" customFormat="1">
      <c r="B1112" s="97"/>
      <c r="C1112" s="110"/>
      <c r="D1112" s="109"/>
      <c r="E1112" s="97"/>
      <c r="F1112" s="97"/>
      <c r="G1112" s="109"/>
      <c r="H1112" s="109"/>
      <c r="I1112" s="97"/>
      <c r="J1112" s="97"/>
      <c r="K1112" s="83"/>
      <c r="L1112" s="111"/>
      <c r="M1112" s="111"/>
      <c r="N1112" s="111"/>
      <c r="O1112" s="111"/>
      <c r="P1112" s="111"/>
      <c r="Q1112" s="111"/>
      <c r="R1112" s="111"/>
    </row>
    <row r="1113" spans="2:18" s="108" customFormat="1">
      <c r="B1113" s="97"/>
      <c r="C1113" s="110"/>
      <c r="D1113" s="109"/>
      <c r="E1113" s="97"/>
      <c r="F1113" s="97"/>
      <c r="G1113" s="109"/>
      <c r="H1113" s="109"/>
      <c r="I1113" s="97"/>
      <c r="J1113" s="97"/>
      <c r="K1113" s="83"/>
      <c r="L1113" s="111"/>
      <c r="M1113" s="111"/>
      <c r="N1113" s="111"/>
      <c r="O1113" s="111"/>
      <c r="P1113" s="111"/>
      <c r="Q1113" s="111"/>
      <c r="R1113" s="111"/>
    </row>
    <row r="1114" spans="2:18" s="108" customFormat="1">
      <c r="B1114" s="97"/>
      <c r="C1114" s="110"/>
      <c r="D1114" s="109"/>
      <c r="E1114" s="97"/>
      <c r="F1114" s="97"/>
      <c r="G1114" s="109"/>
      <c r="H1114" s="109"/>
      <c r="I1114" s="97"/>
      <c r="J1114" s="97"/>
      <c r="K1114" s="83"/>
      <c r="L1114" s="111"/>
      <c r="M1114" s="111"/>
      <c r="N1114" s="111"/>
      <c r="O1114" s="111"/>
      <c r="P1114" s="111"/>
      <c r="Q1114" s="111"/>
      <c r="R1114" s="111"/>
    </row>
    <row r="1115" spans="2:18" s="108" customFormat="1">
      <c r="B1115" s="97"/>
      <c r="C1115" s="110"/>
      <c r="D1115" s="109"/>
      <c r="E1115" s="97"/>
      <c r="F1115" s="97"/>
      <c r="G1115" s="109"/>
      <c r="H1115" s="109"/>
      <c r="I1115" s="97"/>
      <c r="J1115" s="97"/>
      <c r="K1115" s="83"/>
      <c r="L1115" s="111"/>
      <c r="M1115" s="111"/>
      <c r="N1115" s="111"/>
      <c r="O1115" s="111"/>
      <c r="P1115" s="111"/>
      <c r="Q1115" s="111"/>
      <c r="R1115" s="111"/>
    </row>
    <row r="1116" spans="2:18" s="108" customFormat="1">
      <c r="B1116" s="97"/>
      <c r="C1116" s="110"/>
      <c r="D1116" s="109"/>
      <c r="E1116" s="97"/>
      <c r="F1116" s="97"/>
      <c r="G1116" s="109"/>
      <c r="H1116" s="109"/>
      <c r="I1116" s="97"/>
      <c r="J1116" s="97"/>
      <c r="K1116" s="83"/>
      <c r="L1116" s="111"/>
      <c r="M1116" s="111"/>
      <c r="N1116" s="111"/>
      <c r="O1116" s="111"/>
      <c r="P1116" s="111"/>
      <c r="Q1116" s="111"/>
      <c r="R1116" s="111"/>
    </row>
    <row r="1117" spans="2:18" s="108" customFormat="1">
      <c r="B1117" s="97"/>
      <c r="C1117" s="110"/>
      <c r="D1117" s="109"/>
      <c r="E1117" s="97"/>
      <c r="F1117" s="97"/>
      <c r="G1117" s="109"/>
      <c r="H1117" s="109"/>
      <c r="I1117" s="97"/>
      <c r="J1117" s="97"/>
      <c r="K1117" s="83"/>
      <c r="L1117" s="111"/>
      <c r="M1117" s="111"/>
      <c r="N1117" s="111"/>
      <c r="O1117" s="111"/>
      <c r="P1117" s="111"/>
      <c r="Q1117" s="111"/>
      <c r="R1117" s="111"/>
    </row>
    <row r="1118" spans="2:18" s="108" customFormat="1">
      <c r="B1118" s="97"/>
      <c r="C1118" s="110"/>
      <c r="D1118" s="109"/>
      <c r="E1118" s="97"/>
      <c r="F1118" s="97"/>
      <c r="G1118" s="109"/>
      <c r="H1118" s="109"/>
      <c r="I1118" s="97"/>
      <c r="J1118" s="97"/>
      <c r="K1118" s="83"/>
      <c r="L1118" s="111"/>
      <c r="M1118" s="111"/>
      <c r="N1118" s="111"/>
      <c r="O1118" s="111"/>
      <c r="P1118" s="111"/>
      <c r="Q1118" s="111"/>
      <c r="R1118" s="111"/>
    </row>
    <row r="1119" spans="2:18" s="108" customFormat="1">
      <c r="B1119" s="97"/>
      <c r="C1119" s="110"/>
      <c r="D1119" s="109"/>
      <c r="E1119" s="97"/>
      <c r="F1119" s="97"/>
      <c r="G1119" s="109"/>
      <c r="H1119" s="109"/>
      <c r="I1119" s="97"/>
      <c r="J1119" s="97"/>
      <c r="K1119" s="83"/>
      <c r="L1119" s="111"/>
      <c r="M1119" s="111"/>
      <c r="N1119" s="111"/>
      <c r="O1119" s="111"/>
      <c r="P1119" s="111"/>
      <c r="Q1119" s="111"/>
      <c r="R1119" s="111"/>
    </row>
    <row r="1120" spans="2:18" s="108" customFormat="1">
      <c r="B1120" s="97"/>
      <c r="C1120" s="110"/>
      <c r="D1120" s="109"/>
      <c r="E1120" s="97"/>
      <c r="F1120" s="97"/>
      <c r="G1120" s="109"/>
      <c r="H1120" s="109"/>
      <c r="I1120" s="97"/>
      <c r="J1120" s="97"/>
      <c r="K1120" s="83"/>
      <c r="L1120" s="111"/>
      <c r="M1120" s="111"/>
      <c r="N1120" s="111"/>
      <c r="O1120" s="111"/>
      <c r="P1120" s="111"/>
      <c r="Q1120" s="111"/>
      <c r="R1120" s="111"/>
    </row>
    <row r="1121" spans="2:18" s="108" customFormat="1">
      <c r="B1121" s="97"/>
      <c r="C1121" s="110"/>
      <c r="D1121" s="109"/>
      <c r="E1121" s="97"/>
      <c r="F1121" s="97"/>
      <c r="G1121" s="109"/>
      <c r="H1121" s="109"/>
      <c r="I1121" s="97"/>
      <c r="J1121" s="97"/>
      <c r="K1121" s="83"/>
      <c r="L1121" s="111"/>
      <c r="M1121" s="111"/>
      <c r="N1121" s="111"/>
      <c r="O1121" s="111"/>
      <c r="P1121" s="111"/>
      <c r="Q1121" s="111"/>
      <c r="R1121" s="111"/>
    </row>
    <row r="1122" spans="2:18" s="108" customFormat="1">
      <c r="B1122" s="97"/>
      <c r="C1122" s="110"/>
      <c r="D1122" s="109"/>
      <c r="E1122" s="97"/>
      <c r="F1122" s="97"/>
      <c r="G1122" s="109"/>
      <c r="H1122" s="109"/>
      <c r="I1122" s="97"/>
      <c r="J1122" s="97"/>
      <c r="K1122" s="83"/>
      <c r="L1122" s="111"/>
      <c r="M1122" s="111"/>
      <c r="N1122" s="111"/>
      <c r="O1122" s="111"/>
      <c r="P1122" s="111"/>
      <c r="Q1122" s="111"/>
      <c r="R1122" s="111"/>
    </row>
    <row r="1123" spans="2:18" s="108" customFormat="1">
      <c r="B1123" s="97"/>
      <c r="C1123" s="110"/>
      <c r="D1123" s="109"/>
      <c r="E1123" s="97"/>
      <c r="F1123" s="97"/>
      <c r="G1123" s="109"/>
      <c r="H1123" s="109"/>
      <c r="I1123" s="97"/>
      <c r="J1123" s="97"/>
      <c r="K1123" s="83"/>
      <c r="L1123" s="111"/>
      <c r="M1123" s="111"/>
      <c r="N1123" s="111"/>
      <c r="O1123" s="111"/>
      <c r="P1123" s="111"/>
      <c r="Q1123" s="111"/>
      <c r="R1123" s="111"/>
    </row>
    <row r="1124" spans="2:18" s="108" customFormat="1">
      <c r="B1124" s="97"/>
      <c r="C1124" s="110"/>
      <c r="D1124" s="109"/>
      <c r="E1124" s="97"/>
      <c r="F1124" s="97"/>
      <c r="G1124" s="109"/>
      <c r="H1124" s="109"/>
      <c r="I1124" s="97"/>
      <c r="J1124" s="97"/>
      <c r="K1124" s="83"/>
      <c r="L1124" s="111"/>
      <c r="M1124" s="111"/>
      <c r="N1124" s="111"/>
      <c r="O1124" s="111"/>
      <c r="P1124" s="111"/>
      <c r="Q1124" s="111"/>
      <c r="R1124" s="111"/>
    </row>
    <row r="1125" spans="2:18" s="108" customFormat="1">
      <c r="B1125" s="97"/>
      <c r="C1125" s="110"/>
      <c r="D1125" s="109"/>
      <c r="E1125" s="97"/>
      <c r="F1125" s="97"/>
      <c r="G1125" s="109"/>
      <c r="H1125" s="109"/>
      <c r="I1125" s="97"/>
      <c r="J1125" s="97"/>
      <c r="K1125" s="83"/>
      <c r="L1125" s="111"/>
      <c r="M1125" s="111"/>
      <c r="N1125" s="111"/>
      <c r="O1125" s="111"/>
      <c r="P1125" s="111"/>
      <c r="Q1125" s="111"/>
      <c r="R1125" s="111"/>
    </row>
    <row r="1126" spans="2:18" s="108" customFormat="1">
      <c r="B1126" s="97"/>
      <c r="C1126" s="110"/>
      <c r="D1126" s="109"/>
      <c r="E1126" s="97"/>
      <c r="F1126" s="97"/>
      <c r="G1126" s="109"/>
      <c r="H1126" s="109"/>
      <c r="I1126" s="97"/>
      <c r="J1126" s="97"/>
      <c r="K1126" s="83"/>
      <c r="L1126" s="111"/>
      <c r="M1126" s="111"/>
      <c r="N1126" s="111"/>
      <c r="O1126" s="111"/>
      <c r="P1126" s="111"/>
      <c r="Q1126" s="111"/>
      <c r="R1126" s="111"/>
    </row>
    <row r="1127" spans="2:18" s="108" customFormat="1">
      <c r="B1127" s="97"/>
      <c r="C1127" s="110"/>
      <c r="D1127" s="109"/>
      <c r="E1127" s="97"/>
      <c r="F1127" s="97"/>
      <c r="G1127" s="109"/>
      <c r="H1127" s="109"/>
      <c r="I1127" s="97"/>
      <c r="J1127" s="97"/>
      <c r="K1127" s="83"/>
      <c r="L1127" s="111"/>
      <c r="M1127" s="111"/>
      <c r="N1127" s="111"/>
      <c r="O1127" s="111"/>
      <c r="P1127" s="111"/>
      <c r="Q1127" s="111"/>
      <c r="R1127" s="111"/>
    </row>
    <row r="1128" spans="2:18" s="108" customFormat="1">
      <c r="B1128" s="97"/>
      <c r="C1128" s="110"/>
      <c r="D1128" s="109"/>
      <c r="E1128" s="97"/>
      <c r="F1128" s="97"/>
      <c r="G1128" s="109"/>
      <c r="H1128" s="109"/>
      <c r="I1128" s="97"/>
      <c r="J1128" s="97"/>
      <c r="K1128" s="83"/>
      <c r="L1128" s="111"/>
      <c r="M1128" s="111"/>
      <c r="N1128" s="111"/>
      <c r="O1128" s="111"/>
      <c r="P1128" s="111"/>
      <c r="Q1128" s="111"/>
      <c r="R1128" s="111"/>
    </row>
    <row r="1129" spans="2:18" s="108" customFormat="1">
      <c r="B1129" s="97"/>
      <c r="C1129" s="110"/>
      <c r="D1129" s="109"/>
      <c r="E1129" s="97"/>
      <c r="F1129" s="97"/>
      <c r="G1129" s="109"/>
      <c r="H1129" s="109"/>
      <c r="I1129" s="97"/>
      <c r="J1129" s="97"/>
      <c r="K1129" s="83"/>
      <c r="L1129" s="111"/>
      <c r="M1129" s="111"/>
      <c r="N1129" s="111"/>
      <c r="O1129" s="111"/>
      <c r="P1129" s="111"/>
      <c r="Q1129" s="111"/>
      <c r="R1129" s="111"/>
    </row>
    <row r="1130" spans="2:18" s="108" customFormat="1">
      <c r="B1130" s="97"/>
      <c r="C1130" s="110"/>
      <c r="D1130" s="109"/>
      <c r="E1130" s="97"/>
      <c r="F1130" s="97"/>
      <c r="G1130" s="109"/>
      <c r="H1130" s="109"/>
      <c r="I1130" s="97"/>
      <c r="J1130" s="97"/>
      <c r="K1130" s="83"/>
      <c r="L1130" s="111"/>
      <c r="M1130" s="111"/>
      <c r="N1130" s="111"/>
      <c r="O1130" s="111"/>
      <c r="P1130" s="111"/>
      <c r="Q1130" s="111"/>
      <c r="R1130" s="111"/>
    </row>
    <row r="1131" spans="2:18" s="108" customFormat="1">
      <c r="B1131" s="97"/>
      <c r="C1131" s="110"/>
      <c r="D1131" s="109"/>
      <c r="E1131" s="97"/>
      <c r="F1131" s="97"/>
      <c r="G1131" s="109"/>
      <c r="H1131" s="109"/>
      <c r="I1131" s="97"/>
      <c r="J1131" s="97"/>
      <c r="K1131" s="83"/>
      <c r="L1131" s="111"/>
      <c r="M1131" s="111"/>
      <c r="N1131" s="111"/>
      <c r="O1131" s="111"/>
      <c r="P1131" s="111"/>
      <c r="Q1131" s="111"/>
      <c r="R1131" s="111"/>
    </row>
    <row r="1132" spans="2:18" s="108" customFormat="1">
      <c r="B1132" s="97"/>
      <c r="C1132" s="110"/>
      <c r="D1132" s="109"/>
      <c r="E1132" s="97"/>
      <c r="F1132" s="97"/>
      <c r="G1132" s="109"/>
      <c r="H1132" s="109"/>
      <c r="I1132" s="97"/>
      <c r="J1132" s="97"/>
      <c r="K1132" s="83"/>
      <c r="L1132" s="111"/>
      <c r="M1132" s="111"/>
      <c r="N1132" s="111"/>
      <c r="O1132" s="111"/>
      <c r="P1132" s="111"/>
      <c r="Q1132" s="111"/>
      <c r="R1132" s="111"/>
    </row>
    <row r="1133" spans="2:18" s="108" customFormat="1">
      <c r="B1133" s="97"/>
      <c r="C1133" s="110"/>
      <c r="D1133" s="109"/>
      <c r="E1133" s="97"/>
      <c r="F1133" s="97"/>
      <c r="G1133" s="109"/>
      <c r="H1133" s="109"/>
      <c r="I1133" s="97"/>
      <c r="J1133" s="97"/>
      <c r="K1133" s="83"/>
      <c r="L1133" s="111"/>
      <c r="M1133" s="111"/>
      <c r="N1133" s="111"/>
      <c r="O1133" s="111"/>
      <c r="P1133" s="111"/>
      <c r="Q1133" s="111"/>
      <c r="R1133" s="111"/>
    </row>
    <row r="1134" spans="2:18" s="108" customFormat="1">
      <c r="B1134" s="97"/>
      <c r="C1134" s="110"/>
      <c r="D1134" s="109"/>
      <c r="E1134" s="97"/>
      <c r="F1134" s="97"/>
      <c r="G1134" s="109"/>
      <c r="H1134" s="109"/>
      <c r="I1134" s="97"/>
      <c r="J1134" s="97"/>
      <c r="K1134" s="83"/>
      <c r="L1134" s="111"/>
      <c r="M1134" s="111"/>
      <c r="N1134" s="111"/>
      <c r="O1134" s="111"/>
      <c r="P1134" s="111"/>
      <c r="Q1134" s="111"/>
      <c r="R1134" s="111"/>
    </row>
    <row r="1135" spans="2:18" s="108" customFormat="1">
      <c r="B1135" s="97"/>
      <c r="C1135" s="110"/>
      <c r="D1135" s="109"/>
      <c r="E1135" s="97"/>
      <c r="F1135" s="97"/>
      <c r="G1135" s="109"/>
      <c r="H1135" s="109"/>
      <c r="I1135" s="97"/>
      <c r="J1135" s="97"/>
      <c r="K1135" s="83"/>
      <c r="L1135" s="111"/>
      <c r="M1135" s="111"/>
      <c r="N1135" s="111"/>
      <c r="O1135" s="111"/>
      <c r="P1135" s="111"/>
      <c r="Q1135" s="111"/>
      <c r="R1135" s="111"/>
    </row>
    <row r="1136" spans="2:18" s="108" customFormat="1">
      <c r="B1136" s="97"/>
      <c r="C1136" s="110"/>
      <c r="D1136" s="109"/>
      <c r="E1136" s="97"/>
      <c r="F1136" s="97"/>
      <c r="G1136" s="109"/>
      <c r="H1136" s="109"/>
      <c r="I1136" s="97"/>
      <c r="J1136" s="97"/>
      <c r="K1136" s="83"/>
      <c r="L1136" s="111"/>
      <c r="M1136" s="111"/>
      <c r="N1136" s="111"/>
      <c r="O1136" s="111"/>
      <c r="P1136" s="111"/>
      <c r="Q1136" s="111"/>
      <c r="R1136" s="111"/>
    </row>
    <row r="1137" spans="2:18" s="108" customFormat="1">
      <c r="B1137" s="97"/>
      <c r="C1137" s="110"/>
      <c r="D1137" s="109"/>
      <c r="E1137" s="97"/>
      <c r="F1137" s="97"/>
      <c r="G1137" s="109"/>
      <c r="H1137" s="109"/>
      <c r="I1137" s="97"/>
      <c r="J1137" s="97"/>
      <c r="K1137" s="83"/>
      <c r="L1137" s="111"/>
      <c r="M1137" s="111"/>
      <c r="N1137" s="111"/>
      <c r="O1137" s="111"/>
      <c r="P1137" s="111"/>
      <c r="Q1137" s="111"/>
      <c r="R1137" s="111"/>
    </row>
    <row r="1138" spans="2:18" s="108" customFormat="1">
      <c r="B1138" s="97"/>
      <c r="C1138" s="110"/>
      <c r="D1138" s="109"/>
      <c r="E1138" s="97"/>
      <c r="F1138" s="97"/>
      <c r="G1138" s="109"/>
      <c r="H1138" s="109"/>
      <c r="I1138" s="97"/>
      <c r="J1138" s="97"/>
      <c r="K1138" s="83"/>
      <c r="L1138" s="111"/>
      <c r="M1138" s="111"/>
      <c r="N1138" s="111"/>
      <c r="O1138" s="111"/>
      <c r="P1138" s="111"/>
      <c r="Q1138" s="111"/>
      <c r="R1138" s="111"/>
    </row>
    <row r="1139" spans="2:18" s="108" customFormat="1">
      <c r="B1139" s="97"/>
      <c r="C1139" s="110"/>
      <c r="D1139" s="109"/>
      <c r="E1139" s="97"/>
      <c r="F1139" s="97"/>
      <c r="G1139" s="109"/>
      <c r="H1139" s="109"/>
      <c r="I1139" s="97"/>
      <c r="J1139" s="97"/>
      <c r="K1139" s="83"/>
      <c r="L1139" s="111"/>
      <c r="M1139" s="111"/>
      <c r="N1139" s="111"/>
      <c r="O1139" s="111"/>
      <c r="P1139" s="111"/>
      <c r="Q1139" s="111"/>
      <c r="R1139" s="111"/>
    </row>
    <row r="1140" spans="2:18" s="108" customFormat="1">
      <c r="B1140" s="97"/>
      <c r="C1140" s="110"/>
      <c r="D1140" s="109"/>
      <c r="E1140" s="97"/>
      <c r="F1140" s="97"/>
      <c r="G1140" s="109"/>
      <c r="H1140" s="109"/>
      <c r="I1140" s="97"/>
      <c r="J1140" s="97"/>
      <c r="K1140" s="83"/>
      <c r="L1140" s="111"/>
      <c r="M1140" s="111"/>
      <c r="N1140" s="111"/>
      <c r="O1140" s="111"/>
      <c r="P1140" s="111"/>
      <c r="Q1140" s="111"/>
      <c r="R1140" s="111"/>
    </row>
    <row r="1141" spans="2:18" s="108" customFormat="1">
      <c r="B1141" s="97"/>
      <c r="C1141" s="110"/>
      <c r="D1141" s="109"/>
      <c r="E1141" s="97"/>
      <c r="F1141" s="97"/>
      <c r="G1141" s="109"/>
      <c r="H1141" s="109"/>
      <c r="I1141" s="97"/>
      <c r="J1141" s="97"/>
      <c r="K1141" s="83"/>
      <c r="L1141" s="111"/>
      <c r="M1141" s="111"/>
      <c r="N1141" s="111"/>
      <c r="O1141" s="111"/>
      <c r="P1141" s="111"/>
      <c r="Q1141" s="111"/>
      <c r="R1141" s="111"/>
    </row>
    <row r="1142" spans="2:18" s="108" customFormat="1">
      <c r="B1142" s="97"/>
      <c r="C1142" s="110"/>
      <c r="D1142" s="109"/>
      <c r="E1142" s="97"/>
      <c r="F1142" s="97"/>
      <c r="G1142" s="109"/>
      <c r="H1142" s="109"/>
      <c r="I1142" s="97"/>
      <c r="J1142" s="97"/>
      <c r="K1142" s="83"/>
      <c r="L1142" s="111"/>
      <c r="M1142" s="111"/>
      <c r="N1142" s="111"/>
      <c r="O1142" s="111"/>
      <c r="P1142" s="111"/>
      <c r="Q1142" s="111"/>
      <c r="R1142" s="111"/>
    </row>
    <row r="1143" spans="2:18" s="108" customFormat="1">
      <c r="B1143" s="97"/>
      <c r="C1143" s="110"/>
      <c r="D1143" s="109"/>
      <c r="E1143" s="97"/>
      <c r="F1143" s="97"/>
      <c r="G1143" s="109"/>
      <c r="H1143" s="109"/>
      <c r="I1143" s="97"/>
      <c r="J1143" s="97"/>
      <c r="K1143" s="83"/>
      <c r="L1143" s="111"/>
      <c r="M1143" s="111"/>
      <c r="N1143" s="111"/>
      <c r="O1143" s="111"/>
      <c r="P1143" s="111"/>
      <c r="Q1143" s="111"/>
      <c r="R1143" s="111"/>
    </row>
    <row r="1144" spans="2:18" s="108" customFormat="1">
      <c r="B1144" s="97"/>
      <c r="C1144" s="110"/>
      <c r="D1144" s="109"/>
      <c r="E1144" s="97"/>
      <c r="F1144" s="97"/>
      <c r="G1144" s="109"/>
      <c r="H1144" s="109"/>
      <c r="I1144" s="97"/>
      <c r="J1144" s="97"/>
      <c r="K1144" s="83"/>
      <c r="L1144" s="111"/>
      <c r="M1144" s="111"/>
      <c r="N1144" s="111"/>
      <c r="O1144" s="111"/>
      <c r="P1144" s="111"/>
      <c r="Q1144" s="111"/>
      <c r="R1144" s="111"/>
    </row>
    <row r="1145" spans="2:18" s="108" customFormat="1">
      <c r="B1145" s="97"/>
      <c r="C1145" s="110"/>
      <c r="D1145" s="109"/>
      <c r="E1145" s="97"/>
      <c r="F1145" s="97"/>
      <c r="G1145" s="109"/>
      <c r="H1145" s="109"/>
      <c r="I1145" s="97"/>
      <c r="J1145" s="97"/>
      <c r="K1145" s="83"/>
      <c r="L1145" s="111"/>
      <c r="M1145" s="111"/>
      <c r="N1145" s="111"/>
      <c r="O1145" s="111"/>
      <c r="P1145" s="111"/>
      <c r="Q1145" s="111"/>
      <c r="R1145" s="111"/>
    </row>
    <row r="1146" spans="2:18" s="108" customFormat="1">
      <c r="B1146" s="97"/>
      <c r="C1146" s="110"/>
      <c r="D1146" s="109"/>
      <c r="E1146" s="97"/>
      <c r="F1146" s="97"/>
      <c r="G1146" s="109"/>
      <c r="H1146" s="109"/>
      <c r="I1146" s="97"/>
      <c r="J1146" s="97"/>
      <c r="K1146" s="83"/>
      <c r="L1146" s="111"/>
      <c r="M1146" s="111"/>
      <c r="N1146" s="111"/>
      <c r="O1146" s="111"/>
      <c r="P1146" s="111"/>
      <c r="Q1146" s="111"/>
      <c r="R1146" s="111"/>
    </row>
    <row r="1147" spans="2:18" s="108" customFormat="1">
      <c r="B1147" s="97"/>
      <c r="C1147" s="110"/>
      <c r="D1147" s="109"/>
      <c r="E1147" s="97"/>
      <c r="F1147" s="97"/>
      <c r="G1147" s="109"/>
      <c r="H1147" s="109"/>
      <c r="I1147" s="97"/>
      <c r="J1147" s="97"/>
      <c r="K1147" s="83"/>
      <c r="L1147" s="111"/>
      <c r="M1147" s="111"/>
      <c r="N1147" s="111"/>
      <c r="O1147" s="111"/>
      <c r="P1147" s="111"/>
      <c r="Q1147" s="111"/>
      <c r="R1147" s="111"/>
    </row>
    <row r="1148" spans="2:18" s="108" customFormat="1">
      <c r="B1148" s="97"/>
      <c r="C1148" s="110"/>
      <c r="D1148" s="109"/>
      <c r="E1148" s="97"/>
      <c r="F1148" s="97"/>
      <c r="G1148" s="109"/>
      <c r="H1148" s="109"/>
      <c r="I1148" s="97"/>
      <c r="J1148" s="97"/>
      <c r="K1148" s="83"/>
      <c r="L1148" s="111"/>
      <c r="M1148" s="111"/>
      <c r="N1148" s="111"/>
      <c r="O1148" s="111"/>
      <c r="P1148" s="111"/>
      <c r="Q1148" s="111"/>
      <c r="R1148" s="111"/>
    </row>
    <row r="1149" spans="2:18" s="108" customFormat="1">
      <c r="B1149" s="97"/>
      <c r="C1149" s="110"/>
      <c r="D1149" s="109"/>
      <c r="E1149" s="97"/>
      <c r="F1149" s="97"/>
      <c r="G1149" s="109"/>
      <c r="H1149" s="109"/>
      <c r="I1149" s="97"/>
      <c r="J1149" s="97"/>
      <c r="K1149" s="83"/>
      <c r="L1149" s="111"/>
      <c r="M1149" s="111"/>
      <c r="N1149" s="111"/>
      <c r="O1149" s="111"/>
      <c r="P1149" s="111"/>
      <c r="Q1149" s="111"/>
      <c r="R1149" s="111"/>
    </row>
    <row r="1150" spans="2:18" s="108" customFormat="1">
      <c r="B1150" s="97"/>
      <c r="C1150" s="110"/>
      <c r="D1150" s="109"/>
      <c r="E1150" s="97"/>
      <c r="F1150" s="97"/>
      <c r="G1150" s="109"/>
      <c r="H1150" s="109"/>
      <c r="I1150" s="97"/>
      <c r="J1150" s="97"/>
      <c r="K1150" s="83"/>
      <c r="L1150" s="111"/>
      <c r="M1150" s="111"/>
      <c r="N1150" s="111"/>
      <c r="O1150" s="111"/>
      <c r="P1150" s="111"/>
      <c r="Q1150" s="111"/>
      <c r="R1150" s="111"/>
    </row>
    <row r="1151" spans="2:18" s="108" customFormat="1">
      <c r="B1151" s="97"/>
      <c r="C1151" s="110"/>
      <c r="D1151" s="109"/>
      <c r="E1151" s="97"/>
      <c r="F1151" s="97"/>
      <c r="G1151" s="109"/>
      <c r="H1151" s="109"/>
      <c r="I1151" s="97"/>
      <c r="J1151" s="97"/>
      <c r="K1151" s="83"/>
      <c r="L1151" s="111"/>
      <c r="M1151" s="111"/>
      <c r="N1151" s="111"/>
      <c r="O1151" s="111"/>
      <c r="P1151" s="111"/>
      <c r="Q1151" s="111"/>
      <c r="R1151" s="111"/>
    </row>
    <row r="1152" spans="2:18" s="108" customFormat="1">
      <c r="B1152" s="97"/>
      <c r="C1152" s="110"/>
      <c r="D1152" s="109"/>
      <c r="E1152" s="97"/>
      <c r="F1152" s="97"/>
      <c r="G1152" s="109"/>
      <c r="H1152" s="109"/>
      <c r="I1152" s="97"/>
      <c r="J1152" s="97"/>
      <c r="K1152" s="83"/>
      <c r="L1152" s="111"/>
      <c r="M1152" s="111"/>
      <c r="N1152" s="111"/>
      <c r="O1152" s="111"/>
      <c r="P1152" s="111"/>
      <c r="Q1152" s="111"/>
      <c r="R1152" s="111"/>
    </row>
    <row r="1153" spans="2:18" s="108" customFormat="1">
      <c r="B1153" s="97"/>
      <c r="C1153" s="110"/>
      <c r="D1153" s="109"/>
      <c r="E1153" s="97"/>
      <c r="F1153" s="97"/>
      <c r="G1153" s="109"/>
      <c r="H1153" s="109"/>
      <c r="I1153" s="97"/>
      <c r="J1153" s="97"/>
      <c r="K1153" s="83"/>
      <c r="L1153" s="111"/>
      <c r="M1153" s="111"/>
      <c r="N1153" s="111"/>
      <c r="O1153" s="111"/>
      <c r="P1153" s="111"/>
      <c r="Q1153" s="111"/>
      <c r="R1153" s="111"/>
    </row>
    <row r="1154" spans="2:18" s="108" customFormat="1">
      <c r="B1154" s="97"/>
      <c r="C1154" s="110"/>
      <c r="D1154" s="109"/>
      <c r="E1154" s="97"/>
      <c r="F1154" s="97"/>
      <c r="G1154" s="109"/>
      <c r="H1154" s="109"/>
      <c r="I1154" s="97"/>
      <c r="J1154" s="97"/>
      <c r="K1154" s="83"/>
      <c r="L1154" s="111"/>
      <c r="M1154" s="111"/>
      <c r="N1154" s="111"/>
      <c r="O1154" s="111"/>
      <c r="P1154" s="111"/>
      <c r="Q1154" s="111"/>
      <c r="R1154" s="111"/>
    </row>
    <row r="1155" spans="2:18" s="108" customFormat="1">
      <c r="B1155" s="97"/>
      <c r="C1155" s="110"/>
      <c r="D1155" s="109"/>
      <c r="E1155" s="97"/>
      <c r="F1155" s="97"/>
      <c r="G1155" s="109"/>
      <c r="H1155" s="109"/>
      <c r="I1155" s="97"/>
      <c r="J1155" s="97"/>
      <c r="K1155" s="83"/>
      <c r="L1155" s="111"/>
      <c r="M1155" s="111"/>
      <c r="N1155" s="111"/>
      <c r="O1155" s="111"/>
      <c r="P1155" s="111"/>
      <c r="Q1155" s="111"/>
      <c r="R1155" s="111"/>
    </row>
    <row r="1156" spans="2:18" s="108" customFormat="1">
      <c r="B1156" s="97"/>
      <c r="C1156" s="110"/>
      <c r="D1156" s="109"/>
      <c r="E1156" s="97"/>
      <c r="F1156" s="97"/>
      <c r="G1156" s="109"/>
      <c r="H1156" s="109"/>
      <c r="I1156" s="97"/>
      <c r="J1156" s="97"/>
      <c r="K1156" s="83"/>
      <c r="L1156" s="111"/>
      <c r="M1156" s="111"/>
      <c r="N1156" s="111"/>
      <c r="O1156" s="111"/>
      <c r="P1156" s="111"/>
      <c r="Q1156" s="111"/>
      <c r="R1156" s="111"/>
    </row>
    <row r="1157" spans="2:18" s="108" customFormat="1">
      <c r="B1157" s="97"/>
      <c r="C1157" s="110"/>
      <c r="D1157" s="109"/>
      <c r="E1157" s="97"/>
      <c r="F1157" s="97"/>
      <c r="G1157" s="109"/>
      <c r="H1157" s="109"/>
      <c r="I1157" s="97"/>
      <c r="J1157" s="97"/>
      <c r="K1157" s="83"/>
      <c r="L1157" s="111"/>
      <c r="M1157" s="111"/>
      <c r="N1157" s="111"/>
      <c r="O1157" s="111"/>
      <c r="P1157" s="111"/>
      <c r="Q1157" s="111"/>
      <c r="R1157" s="111"/>
    </row>
    <row r="1158" spans="2:18" s="108" customFormat="1">
      <c r="B1158" s="97"/>
      <c r="C1158" s="110"/>
      <c r="D1158" s="109"/>
      <c r="E1158" s="97"/>
      <c r="F1158" s="97"/>
      <c r="G1158" s="109"/>
      <c r="H1158" s="109"/>
      <c r="I1158" s="97"/>
      <c r="J1158" s="97"/>
      <c r="K1158" s="83"/>
      <c r="L1158" s="111"/>
      <c r="M1158" s="111"/>
      <c r="N1158" s="111"/>
      <c r="O1158" s="111"/>
      <c r="P1158" s="111"/>
      <c r="Q1158" s="111"/>
      <c r="R1158" s="111"/>
    </row>
    <row r="1159" spans="2:18" s="108" customFormat="1">
      <c r="B1159" s="97"/>
      <c r="C1159" s="110"/>
      <c r="D1159" s="109"/>
      <c r="E1159" s="97"/>
      <c r="F1159" s="97"/>
      <c r="G1159" s="109"/>
      <c r="H1159" s="109"/>
      <c r="I1159" s="97"/>
      <c r="J1159" s="97"/>
      <c r="K1159" s="83"/>
      <c r="L1159" s="111"/>
      <c r="M1159" s="111"/>
      <c r="N1159" s="111"/>
      <c r="O1159" s="111"/>
      <c r="P1159" s="111"/>
      <c r="Q1159" s="111"/>
      <c r="R1159" s="111"/>
    </row>
    <row r="1160" spans="2:18" s="108" customFormat="1">
      <c r="B1160" s="97"/>
      <c r="C1160" s="110"/>
      <c r="D1160" s="109"/>
      <c r="E1160" s="97"/>
      <c r="F1160" s="97"/>
      <c r="G1160" s="109"/>
      <c r="H1160" s="109"/>
      <c r="I1160" s="97"/>
      <c r="J1160" s="97"/>
      <c r="K1160" s="83"/>
      <c r="L1160" s="111"/>
      <c r="M1160" s="111"/>
      <c r="N1160" s="111"/>
      <c r="O1160" s="111"/>
      <c r="P1160" s="111"/>
      <c r="Q1160" s="111"/>
      <c r="R1160" s="111"/>
    </row>
    <row r="1161" spans="2:18" s="108" customFormat="1">
      <c r="B1161" s="97"/>
      <c r="C1161" s="110"/>
      <c r="D1161" s="109"/>
      <c r="E1161" s="97"/>
      <c r="F1161" s="97"/>
      <c r="G1161" s="109"/>
      <c r="H1161" s="109"/>
      <c r="I1161" s="97"/>
      <c r="J1161" s="97"/>
      <c r="K1161" s="83"/>
      <c r="L1161" s="111"/>
      <c r="M1161" s="111"/>
      <c r="N1161" s="111"/>
      <c r="O1161" s="111"/>
      <c r="P1161" s="111"/>
      <c r="Q1161" s="111"/>
      <c r="R1161" s="111"/>
    </row>
    <row r="1162" spans="2:18" s="108" customFormat="1">
      <c r="B1162" s="97"/>
      <c r="C1162" s="110"/>
      <c r="D1162" s="109"/>
      <c r="E1162" s="97"/>
      <c r="F1162" s="97"/>
      <c r="G1162" s="109"/>
      <c r="H1162" s="109"/>
      <c r="I1162" s="97"/>
      <c r="J1162" s="97"/>
      <c r="K1162" s="83"/>
      <c r="L1162" s="111"/>
      <c r="M1162" s="111"/>
      <c r="N1162" s="111"/>
      <c r="O1162" s="111"/>
      <c r="P1162" s="111"/>
      <c r="Q1162" s="111"/>
      <c r="R1162" s="111"/>
    </row>
    <row r="1163" spans="2:18" s="108" customFormat="1">
      <c r="B1163" s="97"/>
      <c r="C1163" s="110"/>
      <c r="D1163" s="109"/>
      <c r="E1163" s="97"/>
      <c r="F1163" s="97"/>
      <c r="G1163" s="109"/>
      <c r="H1163" s="109"/>
      <c r="I1163" s="97"/>
      <c r="J1163" s="97"/>
      <c r="K1163" s="83"/>
      <c r="L1163" s="111"/>
      <c r="M1163" s="111"/>
      <c r="N1163" s="111"/>
      <c r="O1163" s="111"/>
      <c r="P1163" s="111"/>
      <c r="Q1163" s="111"/>
      <c r="R1163" s="111"/>
    </row>
    <row r="1164" spans="2:18" s="108" customFormat="1">
      <c r="B1164" s="97"/>
      <c r="C1164" s="110"/>
      <c r="D1164" s="109"/>
      <c r="E1164" s="97"/>
      <c r="F1164" s="97"/>
      <c r="G1164" s="109"/>
      <c r="H1164" s="109"/>
      <c r="I1164" s="97"/>
      <c r="J1164" s="97"/>
      <c r="K1164" s="83"/>
      <c r="L1164" s="111"/>
      <c r="M1164" s="111"/>
      <c r="N1164" s="111"/>
      <c r="O1164" s="111"/>
      <c r="P1164" s="111"/>
      <c r="Q1164" s="111"/>
      <c r="R1164" s="111"/>
    </row>
    <row r="1165" spans="2:18" s="108" customFormat="1">
      <c r="B1165" s="97"/>
      <c r="C1165" s="110"/>
      <c r="D1165" s="109"/>
      <c r="E1165" s="97"/>
      <c r="F1165" s="97"/>
      <c r="G1165" s="109"/>
      <c r="H1165" s="109"/>
      <c r="I1165" s="97"/>
      <c r="J1165" s="97"/>
      <c r="K1165" s="83"/>
      <c r="L1165" s="111"/>
      <c r="M1165" s="111"/>
      <c r="N1165" s="111"/>
      <c r="O1165" s="111"/>
      <c r="P1165" s="111"/>
      <c r="Q1165" s="111"/>
      <c r="R1165" s="111"/>
    </row>
    <row r="1166" spans="2:18" s="108" customFormat="1">
      <c r="B1166" s="97"/>
      <c r="C1166" s="110"/>
      <c r="D1166" s="109"/>
      <c r="E1166" s="97"/>
      <c r="F1166" s="97"/>
      <c r="G1166" s="109"/>
      <c r="H1166" s="109"/>
      <c r="I1166" s="97"/>
      <c r="J1166" s="97"/>
      <c r="K1166" s="83"/>
      <c r="L1166" s="111"/>
      <c r="M1166" s="111"/>
      <c r="N1166" s="111"/>
      <c r="O1166" s="111"/>
      <c r="P1166" s="111"/>
      <c r="Q1166" s="111"/>
      <c r="R1166" s="111"/>
    </row>
    <row r="1167" spans="2:18" s="108" customFormat="1">
      <c r="B1167" s="97"/>
      <c r="C1167" s="110"/>
      <c r="D1167" s="109"/>
      <c r="E1167" s="97"/>
      <c r="F1167" s="97"/>
      <c r="G1167" s="109"/>
      <c r="H1167" s="109"/>
      <c r="I1167" s="97"/>
      <c r="J1167" s="97"/>
      <c r="K1167" s="83"/>
      <c r="L1167" s="111"/>
      <c r="M1167" s="111"/>
      <c r="N1167" s="111"/>
      <c r="O1167" s="111"/>
      <c r="P1167" s="111"/>
      <c r="Q1167" s="111"/>
      <c r="R1167" s="111"/>
    </row>
    <row r="1168" spans="2:18" s="108" customFormat="1">
      <c r="B1168" s="97"/>
      <c r="C1168" s="110"/>
      <c r="D1168" s="109"/>
      <c r="E1168" s="97"/>
      <c r="F1168" s="97"/>
      <c r="G1168" s="109"/>
      <c r="H1168" s="109"/>
      <c r="I1168" s="97"/>
      <c r="J1168" s="97"/>
      <c r="K1168" s="83"/>
      <c r="L1168" s="111"/>
      <c r="M1168" s="111"/>
      <c r="N1168" s="111"/>
      <c r="O1168" s="111"/>
      <c r="P1168" s="111"/>
      <c r="Q1168" s="111"/>
      <c r="R1168" s="111"/>
    </row>
    <row r="1169" spans="2:18" s="108" customFormat="1">
      <c r="B1169" s="97"/>
      <c r="C1169" s="110"/>
      <c r="D1169" s="109"/>
      <c r="E1169" s="97"/>
      <c r="F1169" s="97"/>
      <c r="G1169" s="109"/>
      <c r="H1169" s="109"/>
      <c r="I1169" s="97"/>
      <c r="J1169" s="97"/>
      <c r="K1169" s="83"/>
      <c r="L1169" s="111"/>
      <c r="M1169" s="111"/>
      <c r="N1169" s="111"/>
      <c r="O1169" s="111"/>
      <c r="P1169" s="111"/>
      <c r="Q1169" s="111"/>
      <c r="R1169" s="111"/>
    </row>
    <row r="1170" spans="2:18" s="108" customFormat="1">
      <c r="B1170" s="97"/>
      <c r="C1170" s="110"/>
      <c r="D1170" s="109"/>
      <c r="E1170" s="97"/>
      <c r="F1170" s="97"/>
      <c r="G1170" s="109"/>
      <c r="H1170" s="109"/>
      <c r="I1170" s="97"/>
      <c r="J1170" s="97"/>
      <c r="K1170" s="83"/>
      <c r="L1170" s="111"/>
      <c r="M1170" s="111"/>
      <c r="N1170" s="111"/>
      <c r="O1170" s="111"/>
      <c r="P1170" s="111"/>
      <c r="Q1170" s="111"/>
      <c r="R1170" s="111"/>
    </row>
    <row r="1171" spans="2:18" s="108" customFormat="1">
      <c r="B1171" s="97"/>
      <c r="C1171" s="110"/>
      <c r="D1171" s="109"/>
      <c r="E1171" s="97"/>
      <c r="F1171" s="97"/>
      <c r="G1171" s="109"/>
      <c r="H1171" s="109"/>
      <c r="I1171" s="97"/>
      <c r="J1171" s="97"/>
      <c r="K1171" s="83"/>
      <c r="L1171" s="111"/>
      <c r="M1171" s="111"/>
      <c r="N1171" s="111"/>
      <c r="O1171" s="111"/>
      <c r="P1171" s="111"/>
      <c r="Q1171" s="111"/>
      <c r="R1171" s="111"/>
    </row>
    <row r="1172" spans="2:18" s="108" customFormat="1">
      <c r="B1172" s="97"/>
      <c r="C1172" s="110"/>
      <c r="D1172" s="109"/>
      <c r="E1172" s="97"/>
      <c r="F1172" s="97"/>
      <c r="G1172" s="109"/>
      <c r="H1172" s="109"/>
      <c r="I1172" s="97"/>
      <c r="J1172" s="97"/>
      <c r="K1172" s="83"/>
      <c r="L1172" s="111"/>
      <c r="M1172" s="111"/>
      <c r="N1172" s="111"/>
      <c r="O1172" s="111"/>
      <c r="P1172" s="111"/>
      <c r="Q1172" s="111"/>
      <c r="R1172" s="111"/>
    </row>
    <row r="1173" spans="2:18" s="108" customFormat="1">
      <c r="B1173" s="97"/>
      <c r="C1173" s="110"/>
      <c r="D1173" s="109"/>
      <c r="E1173" s="97"/>
      <c r="F1173" s="97"/>
      <c r="G1173" s="109"/>
      <c r="H1173" s="109"/>
      <c r="I1173" s="97"/>
      <c r="J1173" s="97"/>
      <c r="K1173" s="83"/>
      <c r="L1173" s="111"/>
      <c r="M1173" s="111"/>
      <c r="N1173" s="111"/>
      <c r="O1173" s="111"/>
      <c r="P1173" s="111"/>
      <c r="Q1173" s="111"/>
      <c r="R1173" s="111"/>
    </row>
    <row r="1174" spans="2:18" s="108" customFormat="1">
      <c r="B1174" s="97"/>
      <c r="C1174" s="110"/>
      <c r="D1174" s="109"/>
      <c r="E1174" s="97"/>
      <c r="F1174" s="97"/>
      <c r="G1174" s="109"/>
      <c r="H1174" s="109"/>
      <c r="I1174" s="97"/>
      <c r="J1174" s="97"/>
      <c r="K1174" s="83"/>
      <c r="L1174" s="111"/>
      <c r="M1174" s="111"/>
      <c r="N1174" s="111"/>
      <c r="O1174" s="111"/>
      <c r="P1174" s="111"/>
      <c r="Q1174" s="111"/>
      <c r="R1174" s="111"/>
    </row>
    <row r="1175" spans="2:18" s="108" customFormat="1">
      <c r="B1175" s="97"/>
      <c r="C1175" s="110"/>
      <c r="D1175" s="109"/>
      <c r="E1175" s="97"/>
      <c r="F1175" s="97"/>
      <c r="G1175" s="109"/>
      <c r="H1175" s="109"/>
      <c r="I1175" s="97"/>
      <c r="J1175" s="97"/>
      <c r="K1175" s="83"/>
      <c r="L1175" s="111"/>
      <c r="M1175" s="111"/>
      <c r="N1175" s="111"/>
      <c r="O1175" s="111"/>
      <c r="P1175" s="111"/>
      <c r="Q1175" s="111"/>
      <c r="R1175" s="111"/>
    </row>
    <row r="1176" spans="2:18" s="108" customFormat="1">
      <c r="B1176" s="97"/>
      <c r="C1176" s="110"/>
      <c r="D1176" s="109"/>
      <c r="E1176" s="97"/>
      <c r="F1176" s="97"/>
      <c r="G1176" s="109"/>
      <c r="H1176" s="109"/>
      <c r="I1176" s="97"/>
      <c r="J1176" s="97"/>
      <c r="K1176" s="83"/>
      <c r="L1176" s="111"/>
      <c r="M1176" s="111"/>
      <c r="N1176" s="111"/>
      <c r="O1176" s="111"/>
      <c r="P1176" s="111"/>
      <c r="Q1176" s="111"/>
      <c r="R1176" s="111"/>
    </row>
    <row r="1177" spans="2:18" s="108" customFormat="1">
      <c r="B1177" s="97"/>
      <c r="C1177" s="110"/>
      <c r="D1177" s="109"/>
      <c r="E1177" s="97"/>
      <c r="F1177" s="97"/>
      <c r="G1177" s="109"/>
      <c r="H1177" s="109"/>
      <c r="I1177" s="97"/>
      <c r="J1177" s="97"/>
      <c r="K1177" s="83"/>
      <c r="L1177" s="111"/>
      <c r="M1177" s="111"/>
      <c r="N1177" s="111"/>
      <c r="O1177" s="111"/>
      <c r="P1177" s="111"/>
      <c r="Q1177" s="111"/>
      <c r="R1177" s="111"/>
    </row>
    <row r="1178" spans="2:18" s="108" customFormat="1">
      <c r="B1178" s="97"/>
      <c r="C1178" s="110"/>
      <c r="D1178" s="109"/>
      <c r="E1178" s="97"/>
      <c r="F1178" s="97"/>
      <c r="G1178" s="109"/>
      <c r="H1178" s="109"/>
      <c r="I1178" s="97"/>
      <c r="J1178" s="97"/>
      <c r="K1178" s="83"/>
      <c r="L1178" s="111"/>
      <c r="M1178" s="111"/>
      <c r="N1178" s="111"/>
      <c r="O1178" s="111"/>
      <c r="P1178" s="111"/>
      <c r="Q1178" s="111"/>
      <c r="R1178" s="111"/>
    </row>
    <row r="1179" spans="2:18" s="108" customFormat="1">
      <c r="B1179" s="97"/>
      <c r="C1179" s="110"/>
      <c r="D1179" s="109"/>
      <c r="E1179" s="97"/>
      <c r="F1179" s="97"/>
      <c r="G1179" s="109"/>
      <c r="H1179" s="109"/>
      <c r="I1179" s="97"/>
      <c r="J1179" s="97"/>
      <c r="K1179" s="83"/>
      <c r="L1179" s="111"/>
      <c r="M1179" s="111"/>
      <c r="N1179" s="111"/>
      <c r="O1179" s="111"/>
      <c r="P1179" s="111"/>
      <c r="Q1179" s="111"/>
      <c r="R1179" s="111"/>
    </row>
    <row r="1180" spans="2:18" s="108" customFormat="1">
      <c r="B1180" s="97"/>
      <c r="C1180" s="110"/>
      <c r="D1180" s="109"/>
      <c r="E1180" s="97"/>
      <c r="F1180" s="97"/>
      <c r="G1180" s="109"/>
      <c r="H1180" s="109"/>
      <c r="I1180" s="97"/>
      <c r="J1180" s="97"/>
      <c r="K1180" s="83"/>
      <c r="L1180" s="111"/>
      <c r="M1180" s="111"/>
      <c r="N1180" s="111"/>
      <c r="O1180" s="111"/>
      <c r="P1180" s="111"/>
      <c r="Q1180" s="111"/>
      <c r="R1180" s="111"/>
    </row>
    <row r="1181" spans="2:18" s="108" customFormat="1">
      <c r="B1181" s="97"/>
      <c r="C1181" s="110"/>
      <c r="D1181" s="109"/>
      <c r="E1181" s="97"/>
      <c r="F1181" s="97"/>
      <c r="G1181" s="109"/>
      <c r="H1181" s="109"/>
      <c r="I1181" s="97"/>
      <c r="J1181" s="97"/>
      <c r="K1181" s="83"/>
      <c r="L1181" s="111"/>
      <c r="M1181" s="111"/>
      <c r="N1181" s="111"/>
      <c r="O1181" s="111"/>
      <c r="P1181" s="111"/>
      <c r="Q1181" s="111"/>
      <c r="R1181" s="111"/>
    </row>
    <row r="1182" spans="2:18" s="108" customFormat="1">
      <c r="B1182" s="97"/>
      <c r="C1182" s="110"/>
      <c r="D1182" s="109"/>
      <c r="E1182" s="97"/>
      <c r="F1182" s="97"/>
      <c r="G1182" s="109"/>
      <c r="H1182" s="109"/>
      <c r="I1182" s="97"/>
      <c r="J1182" s="97"/>
      <c r="K1182" s="83"/>
      <c r="L1182" s="111"/>
      <c r="M1182" s="111"/>
      <c r="N1182" s="111"/>
      <c r="O1182" s="111"/>
      <c r="P1182" s="111"/>
      <c r="Q1182" s="111"/>
      <c r="R1182" s="111"/>
    </row>
    <row r="1183" spans="2:18" s="108" customFormat="1">
      <c r="B1183" s="97"/>
      <c r="C1183" s="110"/>
      <c r="D1183" s="109"/>
      <c r="E1183" s="97"/>
      <c r="F1183" s="97"/>
      <c r="G1183" s="109"/>
      <c r="H1183" s="109"/>
      <c r="I1183" s="97"/>
      <c r="J1183" s="97"/>
      <c r="K1183" s="83"/>
      <c r="L1183" s="111"/>
      <c r="M1183" s="111"/>
      <c r="N1183" s="111"/>
      <c r="O1183" s="111"/>
      <c r="P1183" s="111"/>
      <c r="Q1183" s="111"/>
      <c r="R1183" s="111"/>
    </row>
    <row r="1184" spans="2:18" s="108" customFormat="1">
      <c r="B1184" s="97"/>
      <c r="C1184" s="110"/>
      <c r="D1184" s="109"/>
      <c r="E1184" s="97"/>
      <c r="F1184" s="97"/>
      <c r="G1184" s="109"/>
      <c r="H1184" s="109"/>
      <c r="I1184" s="97"/>
      <c r="J1184" s="97"/>
      <c r="K1184" s="83"/>
      <c r="L1184" s="111"/>
      <c r="M1184" s="111"/>
      <c r="N1184" s="111"/>
      <c r="O1184" s="111"/>
      <c r="P1184" s="111"/>
      <c r="Q1184" s="111"/>
      <c r="R1184" s="111"/>
    </row>
    <row r="1185" spans="2:18" s="108" customFormat="1">
      <c r="B1185" s="97"/>
      <c r="C1185" s="110"/>
      <c r="D1185" s="109"/>
      <c r="E1185" s="97"/>
      <c r="F1185" s="97"/>
      <c r="G1185" s="109"/>
      <c r="H1185" s="109"/>
      <c r="I1185" s="97"/>
      <c r="J1185" s="97"/>
      <c r="K1185" s="83"/>
      <c r="L1185" s="111"/>
      <c r="M1185" s="111"/>
      <c r="N1185" s="111"/>
      <c r="O1185" s="111"/>
      <c r="P1185" s="111"/>
      <c r="Q1185" s="111"/>
      <c r="R1185" s="111"/>
    </row>
    <row r="1186" spans="2:18" s="108" customFormat="1">
      <c r="B1186" s="97"/>
      <c r="C1186" s="110"/>
      <c r="D1186" s="109"/>
      <c r="E1186" s="97"/>
      <c r="F1186" s="97"/>
      <c r="G1186" s="109"/>
      <c r="H1186" s="109"/>
      <c r="I1186" s="97"/>
      <c r="J1186" s="97"/>
      <c r="K1186" s="83"/>
      <c r="L1186" s="111"/>
      <c r="M1186" s="111"/>
      <c r="N1186" s="111"/>
      <c r="O1186" s="111"/>
      <c r="P1186" s="111"/>
      <c r="Q1186" s="111"/>
      <c r="R1186" s="111"/>
    </row>
    <row r="1187" spans="2:18" s="108" customFormat="1">
      <c r="B1187" s="97"/>
      <c r="C1187" s="110"/>
      <c r="D1187" s="109"/>
      <c r="E1187" s="97"/>
      <c r="F1187" s="97"/>
      <c r="G1187" s="109"/>
      <c r="H1187" s="109"/>
      <c r="I1187" s="97"/>
      <c r="J1187" s="97"/>
      <c r="K1187" s="83"/>
      <c r="L1187" s="111"/>
      <c r="M1187" s="111"/>
      <c r="N1187" s="111"/>
      <c r="O1187" s="111"/>
      <c r="P1187" s="111"/>
      <c r="Q1187" s="111"/>
      <c r="R1187" s="111"/>
    </row>
    <row r="1188" spans="2:18" s="108" customFormat="1">
      <c r="B1188" s="97"/>
      <c r="C1188" s="110"/>
      <c r="D1188" s="109"/>
      <c r="E1188" s="97"/>
      <c r="F1188" s="97"/>
      <c r="G1188" s="109"/>
      <c r="H1188" s="109"/>
      <c r="I1188" s="97"/>
      <c r="J1188" s="97"/>
      <c r="K1188" s="83"/>
      <c r="L1188" s="111"/>
      <c r="M1188" s="111"/>
      <c r="N1188" s="111"/>
      <c r="O1188" s="111"/>
      <c r="P1188" s="111"/>
      <c r="Q1188" s="111"/>
      <c r="R1188" s="111"/>
    </row>
    <row r="1189" spans="2:18" s="108" customFormat="1">
      <c r="B1189" s="97"/>
      <c r="C1189" s="110"/>
      <c r="D1189" s="109"/>
      <c r="E1189" s="97"/>
      <c r="F1189" s="97"/>
      <c r="G1189" s="109"/>
      <c r="H1189" s="109"/>
      <c r="I1189" s="97"/>
      <c r="J1189" s="97"/>
      <c r="K1189" s="83"/>
      <c r="L1189" s="111"/>
      <c r="M1189" s="111"/>
      <c r="N1189" s="111"/>
      <c r="O1189" s="111"/>
      <c r="P1189" s="111"/>
      <c r="Q1189" s="111"/>
      <c r="R1189" s="111"/>
    </row>
    <row r="1190" spans="2:18" s="108" customFormat="1">
      <c r="B1190" s="97"/>
      <c r="C1190" s="110"/>
      <c r="D1190" s="109"/>
      <c r="E1190" s="97"/>
      <c r="F1190" s="97"/>
      <c r="G1190" s="109"/>
      <c r="H1190" s="109"/>
      <c r="I1190" s="97"/>
      <c r="J1190" s="97"/>
      <c r="K1190" s="83"/>
      <c r="L1190" s="111"/>
      <c r="M1190" s="111"/>
      <c r="N1190" s="111"/>
      <c r="O1190" s="111"/>
      <c r="P1190" s="111"/>
      <c r="Q1190" s="111"/>
      <c r="R1190" s="111"/>
    </row>
    <row r="1191" spans="2:18" s="108" customFormat="1">
      <c r="B1191" s="97"/>
      <c r="C1191" s="110"/>
      <c r="D1191" s="109"/>
      <c r="E1191" s="97"/>
      <c r="F1191" s="97"/>
      <c r="G1191" s="109"/>
      <c r="H1191" s="109"/>
      <c r="I1191" s="97"/>
      <c r="J1191" s="97"/>
      <c r="K1191" s="83"/>
      <c r="L1191" s="111"/>
      <c r="M1191" s="111"/>
      <c r="N1191" s="111"/>
      <c r="O1191" s="111"/>
      <c r="P1191" s="111"/>
      <c r="Q1191" s="111"/>
      <c r="R1191" s="111"/>
    </row>
    <row r="1192" spans="2:18" s="108" customFormat="1">
      <c r="B1192" s="97"/>
      <c r="C1192" s="110"/>
      <c r="D1192" s="109"/>
      <c r="E1192" s="97"/>
      <c r="F1192" s="97"/>
      <c r="G1192" s="109"/>
      <c r="H1192" s="109"/>
      <c r="I1192" s="97"/>
      <c r="J1192" s="97"/>
      <c r="K1192" s="83"/>
      <c r="L1192" s="111"/>
      <c r="M1192" s="111"/>
      <c r="N1192" s="111"/>
      <c r="O1192" s="111"/>
      <c r="P1192" s="111"/>
      <c r="Q1192" s="111"/>
      <c r="R1192" s="111"/>
    </row>
    <row r="1193" spans="2:18" s="108" customFormat="1">
      <c r="B1193" s="97"/>
      <c r="C1193" s="110"/>
      <c r="D1193" s="109"/>
      <c r="E1193" s="97"/>
      <c r="F1193" s="97"/>
      <c r="G1193" s="109"/>
      <c r="H1193" s="109"/>
      <c r="I1193" s="97"/>
      <c r="J1193" s="97"/>
      <c r="K1193" s="83"/>
      <c r="L1193" s="111"/>
      <c r="M1193" s="111"/>
      <c r="N1193" s="111"/>
      <c r="O1193" s="111"/>
      <c r="P1193" s="111"/>
      <c r="Q1193" s="111"/>
      <c r="R1193" s="111"/>
    </row>
    <row r="1194" spans="2:18" s="108" customFormat="1">
      <c r="B1194" s="97"/>
      <c r="C1194" s="110"/>
      <c r="D1194" s="109"/>
      <c r="E1194" s="97"/>
      <c r="F1194" s="97"/>
      <c r="G1194" s="109"/>
      <c r="H1194" s="109"/>
      <c r="I1194" s="97"/>
      <c r="J1194" s="97"/>
      <c r="K1194" s="83"/>
      <c r="L1194" s="111"/>
      <c r="M1194" s="111"/>
      <c r="N1194" s="111"/>
      <c r="O1194" s="111"/>
      <c r="P1194" s="111"/>
      <c r="Q1194" s="111"/>
      <c r="R1194" s="111"/>
    </row>
    <row r="1195" spans="2:18" s="108" customFormat="1">
      <c r="B1195" s="97"/>
      <c r="C1195" s="110"/>
      <c r="D1195" s="109"/>
      <c r="E1195" s="97"/>
      <c r="F1195" s="97"/>
      <c r="G1195" s="109"/>
      <c r="H1195" s="109"/>
      <c r="I1195" s="97"/>
      <c r="J1195" s="97"/>
      <c r="K1195" s="83"/>
      <c r="L1195" s="111"/>
      <c r="M1195" s="111"/>
      <c r="N1195" s="111"/>
      <c r="O1195" s="111"/>
      <c r="P1195" s="111"/>
      <c r="Q1195" s="111"/>
      <c r="R1195" s="111"/>
    </row>
    <row r="1196" spans="2:18" s="108" customFormat="1">
      <c r="B1196" s="97"/>
      <c r="C1196" s="110"/>
      <c r="D1196" s="109"/>
      <c r="E1196" s="97"/>
      <c r="F1196" s="97"/>
      <c r="G1196" s="109"/>
      <c r="H1196" s="109"/>
      <c r="I1196" s="97"/>
      <c r="J1196" s="97"/>
      <c r="K1196" s="83"/>
      <c r="L1196" s="111"/>
      <c r="M1196" s="111"/>
      <c r="N1196" s="111"/>
      <c r="O1196" s="111"/>
      <c r="P1196" s="111"/>
      <c r="Q1196" s="111"/>
      <c r="R1196" s="111"/>
    </row>
    <row r="1197" spans="2:18" s="108" customFormat="1">
      <c r="B1197" s="97"/>
      <c r="C1197" s="110"/>
      <c r="D1197" s="109"/>
      <c r="E1197" s="97"/>
      <c r="F1197" s="97"/>
      <c r="G1197" s="109"/>
      <c r="H1197" s="109"/>
      <c r="I1197" s="97"/>
      <c r="J1197" s="97"/>
      <c r="K1197" s="83"/>
      <c r="L1197" s="111"/>
      <c r="M1197" s="111"/>
      <c r="N1197" s="111"/>
      <c r="O1197" s="111"/>
      <c r="P1197" s="111"/>
      <c r="Q1197" s="111"/>
      <c r="R1197" s="111"/>
    </row>
    <row r="1198" spans="2:18" s="108" customFormat="1">
      <c r="B1198" s="97"/>
      <c r="C1198" s="110"/>
      <c r="D1198" s="109"/>
      <c r="E1198" s="97"/>
      <c r="F1198" s="97"/>
      <c r="G1198" s="109"/>
      <c r="H1198" s="109"/>
      <c r="I1198" s="97"/>
      <c r="J1198" s="97"/>
      <c r="K1198" s="83"/>
      <c r="L1198" s="111"/>
      <c r="M1198" s="111"/>
      <c r="N1198" s="111"/>
      <c r="O1198" s="111"/>
      <c r="P1198" s="111"/>
      <c r="Q1198" s="111"/>
      <c r="R1198" s="111"/>
    </row>
    <row r="1199" spans="2:18" s="108" customFormat="1">
      <c r="B1199" s="97"/>
      <c r="C1199" s="110"/>
      <c r="D1199" s="109"/>
      <c r="E1199" s="97"/>
      <c r="F1199" s="97"/>
      <c r="G1199" s="109"/>
      <c r="H1199" s="109"/>
      <c r="I1199" s="97"/>
      <c r="J1199" s="97"/>
      <c r="K1199" s="83"/>
      <c r="L1199" s="111"/>
      <c r="M1199" s="111"/>
      <c r="N1199" s="111"/>
      <c r="O1199" s="111"/>
      <c r="P1199" s="111"/>
      <c r="Q1199" s="111"/>
      <c r="R1199" s="111"/>
    </row>
    <row r="1200" spans="2:18" s="108" customFormat="1">
      <c r="B1200" s="97"/>
      <c r="C1200" s="110"/>
      <c r="D1200" s="109"/>
      <c r="E1200" s="97"/>
      <c r="F1200" s="97"/>
      <c r="G1200" s="109"/>
      <c r="H1200" s="109"/>
      <c r="I1200" s="97"/>
      <c r="J1200" s="97"/>
      <c r="K1200" s="83"/>
      <c r="L1200" s="111"/>
      <c r="M1200" s="111"/>
      <c r="N1200" s="111"/>
      <c r="O1200" s="111"/>
      <c r="P1200" s="111"/>
      <c r="Q1200" s="111"/>
      <c r="R1200" s="111"/>
    </row>
    <row r="1201" spans="2:18" s="108" customFormat="1">
      <c r="B1201" s="97"/>
      <c r="C1201" s="110"/>
      <c r="D1201" s="109"/>
      <c r="E1201" s="97"/>
      <c r="F1201" s="97"/>
      <c r="G1201" s="109"/>
      <c r="H1201" s="109"/>
      <c r="I1201" s="97"/>
      <c r="J1201" s="97"/>
      <c r="K1201" s="83"/>
      <c r="L1201" s="111"/>
      <c r="M1201" s="111"/>
      <c r="N1201" s="111"/>
      <c r="O1201" s="111"/>
      <c r="P1201" s="111"/>
      <c r="Q1201" s="111"/>
      <c r="R1201" s="111"/>
    </row>
    <row r="1202" spans="2:18" s="108" customFormat="1">
      <c r="B1202" s="97"/>
      <c r="C1202" s="110"/>
      <c r="D1202" s="109"/>
      <c r="E1202" s="97"/>
      <c r="F1202" s="97"/>
      <c r="G1202" s="109"/>
      <c r="H1202" s="109"/>
      <c r="I1202" s="97"/>
      <c r="J1202" s="97"/>
      <c r="K1202" s="83"/>
      <c r="L1202" s="111"/>
      <c r="M1202" s="111"/>
      <c r="N1202" s="111"/>
      <c r="O1202" s="111"/>
      <c r="P1202" s="111"/>
      <c r="Q1202" s="111"/>
      <c r="R1202" s="111"/>
    </row>
    <row r="1203" spans="2:18" s="108" customFormat="1">
      <c r="B1203" s="97"/>
      <c r="C1203" s="110"/>
      <c r="D1203" s="109"/>
      <c r="E1203" s="97"/>
      <c r="F1203" s="97"/>
      <c r="G1203" s="109"/>
      <c r="H1203" s="109"/>
      <c r="I1203" s="97"/>
      <c r="J1203" s="97"/>
      <c r="K1203" s="83"/>
      <c r="L1203" s="111"/>
      <c r="M1203" s="111"/>
      <c r="N1203" s="111"/>
      <c r="O1203" s="111"/>
      <c r="P1203" s="111"/>
      <c r="Q1203" s="111"/>
      <c r="R1203" s="111"/>
    </row>
    <row r="1204" spans="2:18" s="108" customFormat="1">
      <c r="B1204" s="97"/>
      <c r="C1204" s="110"/>
      <c r="D1204" s="109"/>
      <c r="E1204" s="97"/>
      <c r="F1204" s="97"/>
      <c r="G1204" s="109"/>
      <c r="H1204" s="109"/>
      <c r="I1204" s="97"/>
      <c r="J1204" s="97"/>
      <c r="K1204" s="83"/>
      <c r="L1204" s="111"/>
      <c r="M1204" s="111"/>
      <c r="N1204" s="111"/>
      <c r="O1204" s="111"/>
      <c r="P1204" s="111"/>
      <c r="Q1204" s="111"/>
      <c r="R1204" s="111"/>
    </row>
    <row r="1205" spans="2:18" s="108" customFormat="1">
      <c r="B1205" s="97"/>
      <c r="C1205" s="110"/>
      <c r="D1205" s="109"/>
      <c r="E1205" s="97"/>
      <c r="F1205" s="97"/>
      <c r="G1205" s="109"/>
      <c r="H1205" s="109"/>
      <c r="I1205" s="97"/>
      <c r="J1205" s="97"/>
      <c r="K1205" s="83"/>
      <c r="L1205" s="111"/>
      <c r="M1205" s="111"/>
      <c r="N1205" s="111"/>
      <c r="O1205" s="111"/>
      <c r="P1205" s="111"/>
      <c r="Q1205" s="111"/>
      <c r="R1205" s="111"/>
    </row>
    <row r="1206" spans="2:18" s="108" customFormat="1">
      <c r="B1206" s="97"/>
      <c r="C1206" s="110"/>
      <c r="D1206" s="109"/>
      <c r="E1206" s="97"/>
      <c r="F1206" s="97"/>
      <c r="G1206" s="109"/>
      <c r="H1206" s="109"/>
      <c r="I1206" s="97"/>
      <c r="J1206" s="97"/>
      <c r="K1206" s="83"/>
      <c r="L1206" s="111"/>
      <c r="M1206" s="111"/>
      <c r="N1206" s="111"/>
      <c r="O1206" s="111"/>
      <c r="P1206" s="111"/>
      <c r="Q1206" s="111"/>
      <c r="R1206" s="111"/>
    </row>
    <row r="1207" spans="2:18" s="108" customFormat="1">
      <c r="B1207" s="97"/>
      <c r="C1207" s="110"/>
      <c r="D1207" s="109"/>
      <c r="E1207" s="97"/>
      <c r="F1207" s="97"/>
      <c r="G1207" s="109"/>
      <c r="H1207" s="109"/>
      <c r="I1207" s="97"/>
      <c r="J1207" s="97"/>
      <c r="K1207" s="83"/>
      <c r="L1207" s="111"/>
      <c r="M1207" s="111"/>
      <c r="N1207" s="111"/>
      <c r="O1207" s="111"/>
      <c r="P1207" s="111"/>
      <c r="Q1207" s="111"/>
      <c r="R1207" s="111"/>
    </row>
    <row r="1208" spans="2:18" s="108" customFormat="1">
      <c r="B1208" s="97"/>
      <c r="C1208" s="110"/>
      <c r="D1208" s="109"/>
      <c r="E1208" s="97"/>
      <c r="F1208" s="97"/>
      <c r="G1208" s="109"/>
      <c r="H1208" s="109"/>
      <c r="I1208" s="97"/>
      <c r="J1208" s="97"/>
      <c r="K1208" s="83"/>
      <c r="L1208" s="111"/>
      <c r="M1208" s="111"/>
      <c r="N1208" s="111"/>
      <c r="O1208" s="111"/>
      <c r="P1208" s="111"/>
      <c r="Q1208" s="111"/>
      <c r="R1208" s="111"/>
    </row>
    <row r="1209" spans="2:18" s="108" customFormat="1">
      <c r="B1209" s="97"/>
      <c r="C1209" s="110"/>
      <c r="D1209" s="109"/>
      <c r="E1209" s="97"/>
      <c r="F1209" s="97"/>
      <c r="G1209" s="109"/>
      <c r="H1209" s="109"/>
      <c r="I1209" s="97"/>
      <c r="J1209" s="97"/>
      <c r="K1209" s="83"/>
      <c r="L1209" s="111"/>
      <c r="M1209" s="111"/>
      <c r="N1209" s="111"/>
      <c r="O1209" s="111"/>
      <c r="P1209" s="111"/>
      <c r="Q1209" s="111"/>
      <c r="R1209" s="111"/>
    </row>
    <row r="1210" spans="2:18" s="108" customFormat="1">
      <c r="B1210" s="97"/>
      <c r="C1210" s="110"/>
      <c r="D1210" s="109"/>
      <c r="E1210" s="97"/>
      <c r="F1210" s="97"/>
      <c r="G1210" s="109"/>
      <c r="H1210" s="109"/>
      <c r="I1210" s="97"/>
      <c r="J1210" s="97"/>
      <c r="K1210" s="83"/>
      <c r="L1210" s="111"/>
      <c r="M1210" s="111"/>
      <c r="N1210" s="111"/>
      <c r="O1210" s="111"/>
      <c r="P1210" s="111"/>
      <c r="Q1210" s="111"/>
      <c r="R1210" s="111"/>
    </row>
    <row r="1211" spans="2:18" s="108" customFormat="1">
      <c r="B1211" s="97"/>
      <c r="C1211" s="110"/>
      <c r="D1211" s="109"/>
      <c r="E1211" s="97"/>
      <c r="F1211" s="97"/>
      <c r="G1211" s="109"/>
      <c r="H1211" s="109"/>
      <c r="I1211" s="97"/>
      <c r="J1211" s="97"/>
      <c r="K1211" s="83"/>
      <c r="L1211" s="111"/>
      <c r="M1211" s="111"/>
      <c r="N1211" s="111"/>
      <c r="O1211" s="111"/>
      <c r="P1211" s="111"/>
      <c r="Q1211" s="111"/>
      <c r="R1211" s="111"/>
    </row>
    <row r="1212" spans="2:18" s="108" customFormat="1">
      <c r="B1212" s="97"/>
      <c r="C1212" s="110"/>
      <c r="D1212" s="109"/>
      <c r="E1212" s="97"/>
      <c r="F1212" s="97"/>
      <c r="G1212" s="109"/>
      <c r="H1212" s="109"/>
      <c r="I1212" s="97"/>
      <c r="J1212" s="97"/>
      <c r="K1212" s="83"/>
      <c r="L1212" s="111"/>
      <c r="M1212" s="111"/>
      <c r="N1212" s="111"/>
      <c r="O1212" s="111"/>
      <c r="P1212" s="111"/>
      <c r="Q1212" s="111"/>
      <c r="R1212" s="111"/>
    </row>
    <row r="1213" spans="2:18" s="108" customFormat="1">
      <c r="B1213" s="97"/>
      <c r="C1213" s="110"/>
      <c r="D1213" s="109"/>
      <c r="E1213" s="97"/>
      <c r="F1213" s="97"/>
      <c r="G1213" s="109"/>
      <c r="H1213" s="109"/>
      <c r="I1213" s="97"/>
      <c r="J1213" s="97"/>
      <c r="K1213" s="83"/>
      <c r="L1213" s="111"/>
      <c r="M1213" s="111"/>
      <c r="N1213" s="111"/>
      <c r="O1213" s="111"/>
      <c r="P1213" s="111"/>
      <c r="Q1213" s="111"/>
      <c r="R1213" s="111"/>
    </row>
    <row r="1214" spans="2:18" s="108" customFormat="1">
      <c r="B1214" s="97"/>
      <c r="C1214" s="110"/>
      <c r="D1214" s="109"/>
      <c r="E1214" s="97"/>
      <c r="F1214" s="97"/>
      <c r="G1214" s="109"/>
      <c r="H1214" s="109"/>
      <c r="I1214" s="97"/>
      <c r="J1214" s="97"/>
      <c r="K1214" s="83"/>
      <c r="L1214" s="111"/>
      <c r="M1214" s="111"/>
      <c r="N1214" s="111"/>
      <c r="O1214" s="111"/>
      <c r="P1214" s="111"/>
      <c r="Q1214" s="111"/>
      <c r="R1214" s="111"/>
    </row>
    <row r="1215" spans="2:18" s="108" customFormat="1">
      <c r="B1215" s="97"/>
      <c r="C1215" s="110"/>
      <c r="D1215" s="109"/>
      <c r="E1215" s="97"/>
      <c r="F1215" s="97"/>
      <c r="G1215" s="109"/>
      <c r="H1215" s="109"/>
      <c r="I1215" s="97"/>
      <c r="J1215" s="97"/>
      <c r="K1215" s="83"/>
      <c r="L1215" s="111"/>
      <c r="M1215" s="111"/>
      <c r="N1215" s="111"/>
      <c r="O1215" s="111"/>
      <c r="P1215" s="111"/>
      <c r="Q1215" s="111"/>
      <c r="R1215" s="111"/>
    </row>
    <row r="1216" spans="2:18" s="108" customFormat="1">
      <c r="B1216" s="97"/>
      <c r="C1216" s="110"/>
      <c r="D1216" s="109"/>
      <c r="E1216" s="97"/>
      <c r="F1216" s="97"/>
      <c r="G1216" s="109"/>
      <c r="H1216" s="109"/>
      <c r="I1216" s="97"/>
      <c r="J1216" s="97"/>
      <c r="K1216" s="83"/>
      <c r="L1216" s="111"/>
      <c r="M1216" s="111"/>
      <c r="N1216" s="111"/>
      <c r="O1216" s="111"/>
      <c r="P1216" s="111"/>
      <c r="Q1216" s="111"/>
      <c r="R1216" s="111"/>
    </row>
    <row r="1217" spans="2:18" s="108" customFormat="1">
      <c r="B1217" s="97"/>
      <c r="C1217" s="110"/>
      <c r="D1217" s="109"/>
      <c r="E1217" s="97"/>
      <c r="F1217" s="97"/>
      <c r="G1217" s="109"/>
      <c r="H1217" s="109"/>
      <c r="I1217" s="97"/>
      <c r="J1217" s="97"/>
      <c r="K1217" s="83"/>
      <c r="L1217" s="111"/>
      <c r="M1217" s="111"/>
      <c r="N1217" s="111"/>
      <c r="O1217" s="111"/>
      <c r="P1217" s="111"/>
      <c r="Q1217" s="111"/>
      <c r="R1217" s="111"/>
    </row>
    <row r="1218" spans="2:18" s="108" customFormat="1">
      <c r="B1218" s="97"/>
      <c r="C1218" s="110"/>
      <c r="D1218" s="109"/>
      <c r="E1218" s="97"/>
      <c r="F1218" s="97"/>
      <c r="G1218" s="109"/>
      <c r="H1218" s="109"/>
      <c r="I1218" s="97"/>
      <c r="J1218" s="97"/>
      <c r="K1218" s="83"/>
      <c r="L1218" s="111"/>
      <c r="M1218" s="111"/>
      <c r="N1218" s="111"/>
      <c r="O1218" s="111"/>
      <c r="P1218" s="111"/>
      <c r="Q1218" s="111"/>
      <c r="R1218" s="111"/>
    </row>
    <row r="1219" spans="2:18" s="108" customFormat="1">
      <c r="B1219" s="97"/>
      <c r="C1219" s="110"/>
      <c r="D1219" s="109"/>
      <c r="E1219" s="97"/>
      <c r="F1219" s="97"/>
      <c r="G1219" s="109"/>
      <c r="H1219" s="109"/>
      <c r="I1219" s="97"/>
      <c r="J1219" s="97"/>
      <c r="K1219" s="83"/>
      <c r="L1219" s="111"/>
      <c r="M1219" s="111"/>
      <c r="N1219" s="111"/>
      <c r="O1219" s="111"/>
      <c r="P1219" s="111"/>
      <c r="Q1219" s="111"/>
      <c r="R1219" s="111"/>
    </row>
    <row r="1220" spans="2:18" s="108" customFormat="1">
      <c r="B1220" s="97"/>
      <c r="C1220" s="110"/>
      <c r="D1220" s="109"/>
      <c r="E1220" s="97"/>
      <c r="F1220" s="97"/>
      <c r="G1220" s="109"/>
      <c r="H1220" s="109"/>
      <c r="I1220" s="97"/>
      <c r="J1220" s="97"/>
      <c r="K1220" s="83"/>
      <c r="L1220" s="111"/>
      <c r="M1220" s="111"/>
      <c r="N1220" s="111"/>
      <c r="O1220" s="111"/>
      <c r="P1220" s="111"/>
      <c r="Q1220" s="111"/>
      <c r="R1220" s="111"/>
    </row>
    <row r="1221" spans="2:18" s="108" customFormat="1">
      <c r="B1221" s="97"/>
      <c r="C1221" s="110"/>
      <c r="D1221" s="109"/>
      <c r="E1221" s="97"/>
      <c r="F1221" s="97"/>
      <c r="G1221" s="109"/>
      <c r="H1221" s="109"/>
      <c r="I1221" s="97"/>
      <c r="J1221" s="97"/>
      <c r="K1221" s="83"/>
      <c r="L1221" s="111"/>
      <c r="M1221" s="111"/>
      <c r="N1221" s="111"/>
      <c r="O1221" s="111"/>
      <c r="P1221" s="111"/>
      <c r="Q1221" s="111"/>
      <c r="R1221" s="111"/>
    </row>
    <row r="1222" spans="2:18" s="108" customFormat="1">
      <c r="B1222" s="97"/>
      <c r="C1222" s="110"/>
      <c r="D1222" s="109"/>
      <c r="E1222" s="97"/>
      <c r="F1222" s="97"/>
      <c r="G1222" s="109"/>
      <c r="H1222" s="109"/>
      <c r="I1222" s="97"/>
      <c r="J1222" s="97"/>
      <c r="K1222" s="83"/>
      <c r="L1222" s="111"/>
      <c r="M1222" s="111"/>
      <c r="N1222" s="111"/>
      <c r="O1222" s="111"/>
      <c r="P1222" s="111"/>
      <c r="Q1222" s="111"/>
      <c r="R1222" s="111"/>
    </row>
    <row r="1223" spans="2:18" s="108" customFormat="1">
      <c r="B1223" s="97"/>
      <c r="C1223" s="110"/>
      <c r="D1223" s="109"/>
      <c r="E1223" s="97"/>
      <c r="F1223" s="97"/>
      <c r="G1223" s="109"/>
      <c r="H1223" s="109"/>
      <c r="I1223" s="97"/>
      <c r="J1223" s="97"/>
      <c r="K1223" s="83"/>
      <c r="L1223" s="111"/>
      <c r="M1223" s="111"/>
      <c r="N1223" s="111"/>
      <c r="O1223" s="111"/>
      <c r="P1223" s="111"/>
      <c r="Q1223" s="111"/>
      <c r="R1223" s="111"/>
    </row>
    <row r="1224" spans="2:18" s="108" customFormat="1">
      <c r="B1224" s="97"/>
      <c r="C1224" s="110"/>
      <c r="D1224" s="109"/>
      <c r="E1224" s="97"/>
      <c r="F1224" s="97"/>
      <c r="G1224" s="109"/>
      <c r="H1224" s="109"/>
      <c r="I1224" s="97"/>
      <c r="J1224" s="97"/>
      <c r="K1224" s="83"/>
      <c r="L1224" s="111"/>
      <c r="M1224" s="111"/>
      <c r="N1224" s="111"/>
      <c r="O1224" s="111"/>
      <c r="P1224" s="111"/>
      <c r="Q1224" s="111"/>
      <c r="R1224" s="111"/>
    </row>
    <row r="1225" spans="2:18" s="108" customFormat="1">
      <c r="B1225" s="97"/>
      <c r="C1225" s="110"/>
      <c r="D1225" s="109"/>
      <c r="E1225" s="97"/>
      <c r="F1225" s="97"/>
      <c r="G1225" s="109"/>
      <c r="H1225" s="109"/>
      <c r="I1225" s="97"/>
      <c r="J1225" s="97"/>
      <c r="K1225" s="83"/>
      <c r="L1225" s="111"/>
      <c r="M1225" s="111"/>
      <c r="N1225" s="111"/>
      <c r="O1225" s="111"/>
      <c r="P1225" s="111"/>
      <c r="Q1225" s="111"/>
      <c r="R1225" s="111"/>
    </row>
    <row r="1226" spans="2:18" s="108" customFormat="1">
      <c r="B1226" s="97"/>
      <c r="C1226" s="110"/>
      <c r="D1226" s="109"/>
      <c r="E1226" s="97"/>
      <c r="F1226" s="97"/>
      <c r="G1226" s="109"/>
      <c r="H1226" s="109"/>
      <c r="I1226" s="97"/>
      <c r="J1226" s="97"/>
      <c r="K1226" s="83"/>
      <c r="L1226" s="111"/>
      <c r="M1226" s="111"/>
      <c r="N1226" s="111"/>
      <c r="O1226" s="111"/>
      <c r="P1226" s="111"/>
      <c r="Q1226" s="111"/>
      <c r="R1226" s="111"/>
    </row>
    <row r="1227" spans="2:18" s="108" customFormat="1">
      <c r="B1227" s="97"/>
      <c r="C1227" s="110"/>
      <c r="D1227" s="109"/>
      <c r="E1227" s="97"/>
      <c r="F1227" s="97"/>
      <c r="G1227" s="109"/>
      <c r="H1227" s="109"/>
      <c r="I1227" s="97"/>
      <c r="J1227" s="97"/>
      <c r="K1227" s="83"/>
      <c r="L1227" s="111"/>
      <c r="M1227" s="111"/>
      <c r="N1227" s="111"/>
      <c r="O1227" s="111"/>
      <c r="P1227" s="111"/>
      <c r="Q1227" s="111"/>
      <c r="R1227" s="111"/>
    </row>
    <row r="1228" spans="2:18" s="108" customFormat="1">
      <c r="B1228" s="97"/>
      <c r="C1228" s="110"/>
      <c r="D1228" s="109"/>
      <c r="E1228" s="97"/>
      <c r="F1228" s="97"/>
      <c r="G1228" s="109"/>
      <c r="H1228" s="109"/>
      <c r="I1228" s="97"/>
      <c r="J1228" s="97"/>
      <c r="K1228" s="83"/>
      <c r="L1228" s="111"/>
      <c r="M1228" s="111"/>
      <c r="N1228" s="111"/>
      <c r="O1228" s="111"/>
      <c r="P1228" s="111"/>
      <c r="Q1228" s="111"/>
      <c r="R1228" s="111"/>
    </row>
    <row r="1229" spans="2:18" s="108" customFormat="1">
      <c r="B1229" s="97"/>
      <c r="C1229" s="110"/>
      <c r="D1229" s="109"/>
      <c r="E1229" s="97"/>
      <c r="F1229" s="97"/>
      <c r="G1229" s="109"/>
      <c r="H1229" s="109"/>
      <c r="I1229" s="97"/>
      <c r="J1229" s="97"/>
      <c r="K1229" s="83"/>
      <c r="L1229" s="111"/>
      <c r="M1229" s="111"/>
      <c r="N1229" s="111"/>
      <c r="O1229" s="111"/>
      <c r="P1229" s="111"/>
      <c r="Q1229" s="111"/>
      <c r="R1229" s="111"/>
    </row>
    <row r="1230" spans="2:18" s="108" customFormat="1">
      <c r="B1230" s="97"/>
      <c r="C1230" s="110"/>
      <c r="D1230" s="109"/>
      <c r="E1230" s="97"/>
      <c r="F1230" s="97"/>
      <c r="G1230" s="109"/>
      <c r="H1230" s="109"/>
      <c r="I1230" s="97"/>
      <c r="J1230" s="97"/>
      <c r="K1230" s="83"/>
      <c r="L1230" s="111"/>
      <c r="M1230" s="111"/>
      <c r="N1230" s="111"/>
      <c r="O1230" s="111"/>
      <c r="P1230" s="111"/>
      <c r="Q1230" s="111"/>
      <c r="R1230" s="111"/>
    </row>
    <row r="1231" spans="2:18" s="108" customFormat="1">
      <c r="B1231" s="97"/>
      <c r="C1231" s="110"/>
      <c r="D1231" s="109"/>
      <c r="E1231" s="97"/>
      <c r="F1231" s="97"/>
      <c r="G1231" s="109"/>
      <c r="H1231" s="109"/>
      <c r="I1231" s="97"/>
      <c r="J1231" s="97"/>
      <c r="K1231" s="83"/>
      <c r="L1231" s="111"/>
      <c r="M1231" s="111"/>
      <c r="N1231" s="111"/>
      <c r="O1231" s="111"/>
      <c r="P1231" s="111"/>
      <c r="Q1231" s="111"/>
      <c r="R1231" s="111"/>
    </row>
    <row r="1232" spans="2:18" s="108" customFormat="1">
      <c r="B1232" s="97"/>
      <c r="C1232" s="110"/>
      <c r="D1232" s="109"/>
      <c r="E1232" s="97"/>
      <c r="F1232" s="97"/>
      <c r="G1232" s="109"/>
      <c r="H1232" s="109"/>
      <c r="I1232" s="97"/>
      <c r="J1232" s="97"/>
      <c r="K1232" s="83"/>
      <c r="L1232" s="111"/>
      <c r="M1232" s="111"/>
      <c r="N1232" s="111"/>
      <c r="O1232" s="111"/>
      <c r="P1232" s="111"/>
      <c r="Q1232" s="111"/>
      <c r="R1232" s="111"/>
    </row>
    <row r="1233" spans="2:18" s="108" customFormat="1">
      <c r="B1233" s="97"/>
      <c r="C1233" s="110"/>
      <c r="D1233" s="109"/>
      <c r="E1233" s="97"/>
      <c r="F1233" s="97"/>
      <c r="G1233" s="109"/>
      <c r="H1233" s="109"/>
      <c r="I1233" s="97"/>
      <c r="J1233" s="97"/>
      <c r="K1233" s="83"/>
      <c r="L1233" s="111"/>
      <c r="M1233" s="111"/>
      <c r="N1233" s="111"/>
      <c r="O1233" s="111"/>
      <c r="P1233" s="111"/>
      <c r="Q1233" s="111"/>
      <c r="R1233" s="111"/>
    </row>
    <row r="1234" spans="2:18" s="108" customFormat="1">
      <c r="B1234" s="97"/>
      <c r="C1234" s="110"/>
      <c r="D1234" s="109"/>
      <c r="E1234" s="97"/>
      <c r="F1234" s="97"/>
      <c r="G1234" s="109"/>
      <c r="H1234" s="109"/>
      <c r="I1234" s="97"/>
      <c r="J1234" s="97"/>
      <c r="K1234" s="83"/>
      <c r="L1234" s="111"/>
      <c r="M1234" s="111"/>
      <c r="N1234" s="111"/>
      <c r="O1234" s="111"/>
      <c r="P1234" s="111"/>
      <c r="Q1234" s="111"/>
      <c r="R1234" s="111"/>
    </row>
    <row r="1235" spans="2:18" s="108" customFormat="1">
      <c r="B1235" s="97"/>
      <c r="C1235" s="110"/>
      <c r="D1235" s="109"/>
      <c r="E1235" s="97"/>
      <c r="F1235" s="97"/>
      <c r="G1235" s="109"/>
      <c r="H1235" s="109"/>
      <c r="I1235" s="97"/>
      <c r="J1235" s="97"/>
      <c r="K1235" s="83"/>
      <c r="L1235" s="111"/>
      <c r="M1235" s="111"/>
      <c r="N1235" s="111"/>
      <c r="O1235" s="111"/>
      <c r="P1235" s="111"/>
      <c r="Q1235" s="111"/>
      <c r="R1235" s="111"/>
    </row>
    <row r="1236" spans="2:18" s="108" customFormat="1">
      <c r="B1236" s="97"/>
      <c r="C1236" s="110"/>
      <c r="D1236" s="109"/>
      <c r="E1236" s="97"/>
      <c r="F1236" s="97"/>
      <c r="G1236" s="109"/>
      <c r="H1236" s="109"/>
      <c r="I1236" s="97"/>
      <c r="J1236" s="97"/>
      <c r="K1236" s="83"/>
      <c r="L1236" s="111"/>
      <c r="M1236" s="111"/>
      <c r="N1236" s="111"/>
      <c r="O1236" s="111"/>
      <c r="P1236" s="111"/>
      <c r="Q1236" s="111"/>
      <c r="R1236" s="111"/>
    </row>
    <row r="1237" spans="2:18" s="108" customFormat="1">
      <c r="B1237" s="97"/>
      <c r="C1237" s="110"/>
      <c r="D1237" s="109"/>
      <c r="E1237" s="97"/>
      <c r="F1237" s="97"/>
      <c r="G1237" s="109"/>
      <c r="H1237" s="109"/>
      <c r="I1237" s="97"/>
      <c r="J1237" s="97"/>
      <c r="K1237" s="83"/>
      <c r="L1237" s="111"/>
      <c r="M1237" s="111"/>
      <c r="N1237" s="111"/>
      <c r="O1237" s="111"/>
      <c r="P1237" s="111"/>
      <c r="Q1237" s="111"/>
      <c r="R1237" s="111"/>
    </row>
    <row r="1238" spans="2:18" s="108" customFormat="1">
      <c r="B1238" s="97"/>
      <c r="C1238" s="110"/>
      <c r="D1238" s="109"/>
      <c r="E1238" s="97"/>
      <c r="F1238" s="97"/>
      <c r="G1238" s="109"/>
      <c r="H1238" s="109"/>
      <c r="I1238" s="97"/>
      <c r="J1238" s="97"/>
      <c r="K1238" s="83"/>
      <c r="L1238" s="111"/>
      <c r="M1238" s="111"/>
      <c r="N1238" s="111"/>
      <c r="O1238" s="111"/>
      <c r="P1238" s="111"/>
      <c r="Q1238" s="111"/>
      <c r="R1238" s="111"/>
    </row>
    <row r="1239" spans="2:18" s="108" customFormat="1">
      <c r="B1239" s="97"/>
      <c r="C1239" s="110"/>
      <c r="D1239" s="109"/>
      <c r="E1239" s="97"/>
      <c r="F1239" s="97"/>
      <c r="G1239" s="109"/>
      <c r="H1239" s="109"/>
      <c r="I1239" s="97"/>
      <c r="J1239" s="97"/>
      <c r="K1239" s="83"/>
      <c r="L1239" s="111"/>
      <c r="M1239" s="111"/>
      <c r="N1239" s="111"/>
      <c r="O1239" s="111"/>
      <c r="P1239" s="111"/>
      <c r="Q1239" s="111"/>
      <c r="R1239" s="111"/>
    </row>
    <row r="1240" spans="2:18" s="108" customFormat="1">
      <c r="B1240" s="97"/>
      <c r="C1240" s="110"/>
      <c r="D1240" s="109"/>
      <c r="E1240" s="97"/>
      <c r="F1240" s="97"/>
      <c r="G1240" s="109"/>
      <c r="H1240" s="109"/>
      <c r="I1240" s="97"/>
      <c r="J1240" s="97"/>
      <c r="K1240" s="83"/>
      <c r="L1240" s="111"/>
      <c r="M1240" s="111"/>
      <c r="N1240" s="111"/>
      <c r="O1240" s="111"/>
      <c r="P1240" s="111"/>
      <c r="Q1240" s="111"/>
      <c r="R1240" s="111"/>
    </row>
    <row r="1241" spans="2:18" s="108" customFormat="1">
      <c r="B1241" s="97"/>
      <c r="C1241" s="110"/>
      <c r="D1241" s="109"/>
      <c r="E1241" s="97"/>
      <c r="F1241" s="97"/>
      <c r="G1241" s="109"/>
      <c r="H1241" s="109"/>
      <c r="I1241" s="97"/>
      <c r="J1241" s="97"/>
      <c r="K1241" s="83"/>
      <c r="L1241" s="111"/>
      <c r="M1241" s="111"/>
      <c r="N1241" s="111"/>
      <c r="O1241" s="111"/>
      <c r="P1241" s="111"/>
      <c r="Q1241" s="111"/>
      <c r="R1241" s="111"/>
    </row>
    <row r="1242" spans="2:18" s="108" customFormat="1">
      <c r="B1242" s="97"/>
      <c r="C1242" s="110"/>
      <c r="D1242" s="109"/>
      <c r="E1242" s="97"/>
      <c r="F1242" s="97"/>
      <c r="G1242" s="109"/>
      <c r="H1242" s="109"/>
      <c r="I1242" s="97"/>
      <c r="J1242" s="97"/>
      <c r="K1242" s="83"/>
      <c r="L1242" s="111"/>
      <c r="M1242" s="111"/>
      <c r="N1242" s="111"/>
      <c r="O1242" s="111"/>
      <c r="P1242" s="111"/>
      <c r="Q1242" s="111"/>
      <c r="R1242" s="111"/>
    </row>
    <row r="1243" spans="2:18" s="108" customFormat="1">
      <c r="B1243" s="97"/>
      <c r="C1243" s="110"/>
      <c r="D1243" s="109"/>
      <c r="E1243" s="97"/>
      <c r="F1243" s="97"/>
      <c r="G1243" s="109"/>
      <c r="H1243" s="109"/>
      <c r="I1243" s="97"/>
      <c r="J1243" s="97"/>
      <c r="K1243" s="83"/>
      <c r="L1243" s="111"/>
      <c r="M1243" s="111"/>
      <c r="N1243" s="111"/>
      <c r="O1243" s="111"/>
      <c r="P1243" s="111"/>
      <c r="Q1243" s="111"/>
      <c r="R1243" s="111"/>
    </row>
    <row r="1244" spans="2:18" s="108" customFormat="1">
      <c r="B1244" s="97"/>
      <c r="C1244" s="110"/>
      <c r="D1244" s="109"/>
      <c r="E1244" s="97"/>
      <c r="F1244" s="97"/>
      <c r="G1244" s="109"/>
      <c r="H1244" s="109"/>
      <c r="I1244" s="97"/>
      <c r="J1244" s="97"/>
      <c r="K1244" s="83"/>
      <c r="L1244" s="111"/>
      <c r="M1244" s="111"/>
      <c r="N1244" s="111"/>
      <c r="O1244" s="111"/>
      <c r="P1244" s="111"/>
      <c r="Q1244" s="111"/>
      <c r="R1244" s="111"/>
    </row>
    <row r="1245" spans="2:18" s="108" customFormat="1">
      <c r="B1245" s="97"/>
      <c r="C1245" s="110"/>
      <c r="D1245" s="109"/>
      <c r="E1245" s="97"/>
      <c r="F1245" s="97"/>
      <c r="G1245" s="109"/>
      <c r="H1245" s="109"/>
      <c r="I1245" s="97"/>
      <c r="J1245" s="97"/>
      <c r="K1245" s="83"/>
      <c r="L1245" s="111"/>
      <c r="M1245" s="111"/>
      <c r="N1245" s="111"/>
      <c r="O1245" s="111"/>
      <c r="P1245" s="111"/>
      <c r="Q1245" s="111"/>
      <c r="R1245" s="111"/>
    </row>
    <row r="1246" spans="2:18" s="108" customFormat="1">
      <c r="B1246" s="97"/>
      <c r="C1246" s="110"/>
      <c r="D1246" s="109"/>
      <c r="E1246" s="97"/>
      <c r="F1246" s="97"/>
      <c r="G1246" s="109"/>
      <c r="H1246" s="109"/>
      <c r="I1246" s="97"/>
      <c r="J1246" s="97"/>
      <c r="K1246" s="83"/>
      <c r="L1246" s="111"/>
      <c r="M1246" s="111"/>
      <c r="N1246" s="111"/>
      <c r="O1246" s="111"/>
      <c r="P1246" s="111"/>
      <c r="Q1246" s="111"/>
      <c r="R1246" s="111"/>
    </row>
    <row r="1247" spans="2:18" s="108" customFormat="1">
      <c r="B1247" s="97"/>
      <c r="C1247" s="110"/>
      <c r="D1247" s="109"/>
      <c r="E1247" s="97"/>
      <c r="F1247" s="97"/>
      <c r="G1247" s="109"/>
      <c r="H1247" s="109"/>
      <c r="I1247" s="97"/>
      <c r="J1247" s="97"/>
      <c r="K1247" s="83"/>
      <c r="L1247" s="111"/>
      <c r="M1247" s="111"/>
      <c r="N1247" s="111"/>
      <c r="O1247" s="111"/>
      <c r="P1247" s="111"/>
      <c r="Q1247" s="111"/>
      <c r="R1247" s="111"/>
    </row>
    <row r="1248" spans="2:18" s="108" customFormat="1">
      <c r="B1248" s="97"/>
      <c r="C1248" s="110"/>
      <c r="D1248" s="109"/>
      <c r="E1248" s="97"/>
      <c r="F1248" s="97"/>
      <c r="G1248" s="109"/>
      <c r="H1248" s="109"/>
      <c r="I1248" s="97"/>
      <c r="J1248" s="97"/>
      <c r="K1248" s="83"/>
      <c r="L1248" s="111"/>
      <c r="M1248" s="111"/>
      <c r="N1248" s="111"/>
      <c r="O1248" s="111"/>
      <c r="P1248" s="111"/>
      <c r="Q1248" s="111"/>
      <c r="R1248" s="111"/>
    </row>
    <row r="1249" spans="2:18" s="108" customFormat="1">
      <c r="B1249" s="97"/>
      <c r="C1249" s="110"/>
      <c r="D1249" s="109"/>
      <c r="E1249" s="97"/>
      <c r="F1249" s="97"/>
      <c r="G1249" s="109"/>
      <c r="H1249" s="109"/>
      <c r="I1249" s="97"/>
      <c r="J1249" s="97"/>
      <c r="K1249" s="83"/>
      <c r="L1249" s="111"/>
      <c r="M1249" s="111"/>
      <c r="N1249" s="111"/>
      <c r="O1249" s="111"/>
      <c r="P1249" s="111"/>
      <c r="Q1249" s="111"/>
      <c r="R1249" s="111"/>
    </row>
    <row r="1250" spans="2:18" s="108" customFormat="1">
      <c r="B1250" s="97"/>
      <c r="C1250" s="110"/>
      <c r="D1250" s="109"/>
      <c r="E1250" s="97"/>
      <c r="F1250" s="97"/>
      <c r="G1250" s="109"/>
      <c r="H1250" s="109"/>
      <c r="I1250" s="97"/>
      <c r="J1250" s="97"/>
      <c r="K1250" s="83"/>
      <c r="L1250" s="111"/>
      <c r="M1250" s="111"/>
      <c r="N1250" s="111"/>
      <c r="O1250" s="111"/>
      <c r="P1250" s="111"/>
      <c r="Q1250" s="111"/>
      <c r="R1250" s="111"/>
    </row>
    <row r="1251" spans="2:18" s="108" customFormat="1">
      <c r="B1251" s="97"/>
      <c r="C1251" s="110"/>
      <c r="D1251" s="109"/>
      <c r="E1251" s="97"/>
      <c r="F1251" s="97"/>
      <c r="G1251" s="109"/>
      <c r="H1251" s="109"/>
      <c r="I1251" s="97"/>
      <c r="J1251" s="97"/>
      <c r="K1251" s="83"/>
      <c r="L1251" s="111"/>
      <c r="M1251" s="111"/>
      <c r="N1251" s="111"/>
      <c r="O1251" s="111"/>
      <c r="P1251" s="111"/>
      <c r="Q1251" s="111"/>
      <c r="R1251" s="111"/>
    </row>
    <row r="1252" spans="2:18" s="108" customFormat="1">
      <c r="B1252" s="97"/>
      <c r="C1252" s="110"/>
      <c r="D1252" s="109"/>
      <c r="E1252" s="97"/>
      <c r="F1252" s="97"/>
      <c r="G1252" s="109"/>
      <c r="H1252" s="109"/>
      <c r="I1252" s="97"/>
      <c r="J1252" s="97"/>
      <c r="K1252" s="83"/>
      <c r="L1252" s="111"/>
      <c r="M1252" s="111"/>
      <c r="N1252" s="111"/>
      <c r="O1252" s="111"/>
      <c r="P1252" s="111"/>
      <c r="Q1252" s="111"/>
      <c r="R1252" s="111"/>
    </row>
    <row r="1253" spans="2:18" s="108" customFormat="1">
      <c r="B1253" s="97"/>
      <c r="C1253" s="110"/>
      <c r="D1253" s="109"/>
      <c r="E1253" s="97"/>
      <c r="F1253" s="97"/>
      <c r="G1253" s="109"/>
      <c r="H1253" s="109"/>
      <c r="I1253" s="97"/>
      <c r="J1253" s="97"/>
      <c r="K1253" s="83"/>
      <c r="L1253" s="111"/>
      <c r="M1253" s="111"/>
      <c r="N1253" s="111"/>
      <c r="O1253" s="111"/>
      <c r="P1253" s="111"/>
      <c r="Q1253" s="111"/>
      <c r="R1253" s="111"/>
    </row>
    <row r="1254" spans="2:18" s="108" customFormat="1">
      <c r="B1254" s="97"/>
      <c r="C1254" s="110"/>
      <c r="D1254" s="109"/>
      <c r="E1254" s="97"/>
      <c r="F1254" s="97"/>
      <c r="G1254" s="109"/>
      <c r="H1254" s="109"/>
      <c r="I1254" s="97"/>
      <c r="J1254" s="97"/>
      <c r="K1254" s="83"/>
      <c r="L1254" s="111"/>
      <c r="M1254" s="111"/>
      <c r="N1254" s="111"/>
      <c r="O1254" s="111"/>
      <c r="P1254" s="111"/>
      <c r="Q1254" s="111"/>
      <c r="R1254" s="111"/>
    </row>
    <row r="1255" spans="2:18" s="108" customFormat="1">
      <c r="B1255" s="97"/>
      <c r="C1255" s="110"/>
      <c r="D1255" s="109"/>
      <c r="E1255" s="97"/>
      <c r="F1255" s="97"/>
      <c r="G1255" s="109"/>
      <c r="H1255" s="109"/>
      <c r="I1255" s="97"/>
      <c r="J1255" s="97"/>
      <c r="K1255" s="83"/>
      <c r="L1255" s="111"/>
      <c r="M1255" s="111"/>
      <c r="N1255" s="111"/>
      <c r="O1255" s="111"/>
      <c r="P1255" s="111"/>
      <c r="Q1255" s="111"/>
      <c r="R1255" s="111"/>
    </row>
    <row r="1256" spans="2:18" s="108" customFormat="1">
      <c r="B1256" s="97"/>
      <c r="C1256" s="110"/>
      <c r="D1256" s="109"/>
      <c r="E1256" s="97"/>
      <c r="F1256" s="97"/>
      <c r="G1256" s="109"/>
      <c r="H1256" s="109"/>
      <c r="I1256" s="97"/>
      <c r="J1256" s="97"/>
      <c r="K1256" s="83"/>
      <c r="L1256" s="111"/>
      <c r="M1256" s="111"/>
      <c r="N1256" s="111"/>
      <c r="O1256" s="111"/>
      <c r="P1256" s="111"/>
      <c r="Q1256" s="111"/>
      <c r="R1256" s="111"/>
    </row>
    <row r="1257" spans="2:18" s="108" customFormat="1">
      <c r="B1257" s="97"/>
      <c r="C1257" s="110"/>
      <c r="D1257" s="109"/>
      <c r="E1257" s="97"/>
      <c r="F1257" s="97"/>
      <c r="G1257" s="109"/>
      <c r="H1257" s="109"/>
      <c r="I1257" s="97"/>
      <c r="J1257" s="97"/>
      <c r="K1257" s="83"/>
      <c r="L1257" s="111"/>
      <c r="M1257" s="111"/>
      <c r="N1257" s="111"/>
      <c r="O1257" s="111"/>
      <c r="P1257" s="111"/>
      <c r="Q1257" s="111"/>
      <c r="R1257" s="111"/>
    </row>
    <row r="1258" spans="2:18" s="108" customFormat="1">
      <c r="B1258" s="97"/>
      <c r="C1258" s="110"/>
      <c r="D1258" s="109"/>
      <c r="E1258" s="97"/>
      <c r="F1258" s="97"/>
      <c r="G1258" s="109"/>
      <c r="H1258" s="109"/>
      <c r="I1258" s="97"/>
      <c r="J1258" s="97"/>
      <c r="K1258" s="83"/>
      <c r="L1258" s="111"/>
      <c r="M1258" s="111"/>
      <c r="N1258" s="111"/>
      <c r="O1258" s="111"/>
      <c r="P1258" s="111"/>
      <c r="Q1258" s="111"/>
      <c r="R1258" s="111"/>
    </row>
    <row r="1259" spans="2:18" s="108" customFormat="1">
      <c r="B1259" s="97"/>
      <c r="C1259" s="110"/>
      <c r="D1259" s="109"/>
      <c r="E1259" s="97"/>
      <c r="F1259" s="97"/>
      <c r="G1259" s="109"/>
      <c r="H1259" s="109"/>
      <c r="I1259" s="97"/>
      <c r="J1259" s="97"/>
      <c r="K1259" s="83"/>
      <c r="L1259" s="111"/>
      <c r="M1259" s="111"/>
      <c r="N1259" s="111"/>
      <c r="O1259" s="111"/>
      <c r="P1259" s="111"/>
      <c r="Q1259" s="111"/>
      <c r="R1259" s="111"/>
    </row>
    <row r="1260" spans="2:18" s="108" customFormat="1">
      <c r="B1260" s="97"/>
      <c r="C1260" s="110"/>
      <c r="D1260" s="109"/>
      <c r="E1260" s="97"/>
      <c r="F1260" s="97"/>
      <c r="G1260" s="109"/>
      <c r="H1260" s="109"/>
      <c r="I1260" s="97"/>
      <c r="J1260" s="97"/>
      <c r="K1260" s="83"/>
      <c r="L1260" s="111"/>
      <c r="M1260" s="111"/>
      <c r="N1260" s="111"/>
      <c r="O1260" s="111"/>
      <c r="P1260" s="111"/>
      <c r="Q1260" s="111"/>
      <c r="R1260" s="111"/>
    </row>
    <row r="1261" spans="2:18" s="108" customFormat="1">
      <c r="B1261" s="97"/>
      <c r="C1261" s="110"/>
      <c r="D1261" s="109"/>
      <c r="E1261" s="97"/>
      <c r="F1261" s="97"/>
      <c r="G1261" s="109"/>
      <c r="H1261" s="109"/>
      <c r="I1261" s="97"/>
      <c r="J1261" s="97"/>
      <c r="K1261" s="83"/>
      <c r="L1261" s="111"/>
      <c r="M1261" s="111"/>
      <c r="N1261" s="111"/>
      <c r="O1261" s="111"/>
      <c r="P1261" s="111"/>
      <c r="Q1261" s="111"/>
      <c r="R1261" s="111"/>
    </row>
    <row r="1262" spans="2:18" s="108" customFormat="1">
      <c r="B1262" s="97"/>
      <c r="C1262" s="110"/>
      <c r="D1262" s="109"/>
      <c r="E1262" s="97"/>
      <c r="F1262" s="97"/>
      <c r="G1262" s="109"/>
      <c r="H1262" s="109"/>
      <c r="I1262" s="97"/>
      <c r="J1262" s="97"/>
      <c r="K1262" s="83"/>
      <c r="L1262" s="111"/>
      <c r="M1262" s="111"/>
      <c r="N1262" s="111"/>
      <c r="O1262" s="111"/>
      <c r="P1262" s="111"/>
      <c r="Q1262" s="111"/>
      <c r="R1262" s="111"/>
    </row>
    <row r="1263" spans="2:18" s="108" customFormat="1">
      <c r="B1263" s="97"/>
      <c r="C1263" s="110"/>
      <c r="D1263" s="109"/>
      <c r="E1263" s="97"/>
      <c r="F1263" s="97"/>
      <c r="G1263" s="109"/>
      <c r="H1263" s="109"/>
      <c r="I1263" s="97"/>
      <c r="J1263" s="97"/>
      <c r="K1263" s="83"/>
      <c r="L1263" s="111"/>
      <c r="M1263" s="111"/>
      <c r="N1263" s="111"/>
      <c r="O1263" s="111"/>
      <c r="P1263" s="111"/>
      <c r="Q1263" s="111"/>
      <c r="R1263" s="111"/>
    </row>
    <row r="1264" spans="2:18" s="108" customFormat="1">
      <c r="B1264" s="97"/>
      <c r="C1264" s="110"/>
      <c r="D1264" s="109"/>
      <c r="E1264" s="97"/>
      <c r="F1264" s="97"/>
      <c r="G1264" s="109"/>
      <c r="H1264" s="109"/>
      <c r="I1264" s="97"/>
      <c r="J1264" s="97"/>
      <c r="K1264" s="83"/>
      <c r="L1264" s="111"/>
      <c r="M1264" s="111"/>
      <c r="N1264" s="111"/>
      <c r="O1264" s="111"/>
      <c r="P1264" s="111"/>
      <c r="Q1264" s="111"/>
      <c r="R1264" s="111"/>
    </row>
    <row r="1265" spans="2:18" s="108" customFormat="1">
      <c r="B1265" s="97"/>
      <c r="C1265" s="110"/>
      <c r="D1265" s="109"/>
      <c r="E1265" s="97"/>
      <c r="F1265" s="97"/>
      <c r="G1265" s="109"/>
      <c r="H1265" s="109"/>
      <c r="I1265" s="97"/>
      <c r="J1265" s="97"/>
      <c r="K1265" s="83"/>
      <c r="L1265" s="111"/>
      <c r="M1265" s="111"/>
      <c r="N1265" s="111"/>
      <c r="O1265" s="111"/>
      <c r="P1265" s="111"/>
      <c r="Q1265" s="111"/>
      <c r="R1265" s="111"/>
    </row>
    <row r="1266" spans="2:18" s="108" customFormat="1">
      <c r="B1266" s="97"/>
      <c r="C1266" s="110"/>
      <c r="D1266" s="109"/>
      <c r="E1266" s="97"/>
      <c r="F1266" s="97"/>
      <c r="G1266" s="109"/>
      <c r="H1266" s="109"/>
      <c r="I1266" s="97"/>
      <c r="J1266" s="97"/>
      <c r="K1266" s="83"/>
      <c r="L1266" s="111"/>
      <c r="M1266" s="111"/>
      <c r="N1266" s="111"/>
      <c r="O1266" s="111"/>
      <c r="P1266" s="111"/>
      <c r="Q1266" s="111"/>
      <c r="R1266" s="111"/>
    </row>
    <row r="1267" spans="2:18" s="108" customFormat="1">
      <c r="B1267" s="97"/>
      <c r="C1267" s="110"/>
      <c r="D1267" s="109"/>
      <c r="E1267" s="97"/>
      <c r="F1267" s="97"/>
      <c r="G1267" s="109"/>
      <c r="H1267" s="109"/>
      <c r="I1267" s="97"/>
      <c r="J1267" s="97"/>
      <c r="K1267" s="83"/>
      <c r="L1267" s="111"/>
      <c r="M1267" s="111"/>
      <c r="N1267" s="111"/>
      <c r="O1267" s="111"/>
      <c r="P1267" s="111"/>
      <c r="Q1267" s="111"/>
      <c r="R1267" s="111"/>
    </row>
    <row r="1268" spans="2:18" s="108" customFormat="1">
      <c r="B1268" s="97"/>
      <c r="C1268" s="110"/>
      <c r="D1268" s="109"/>
      <c r="E1268" s="97"/>
      <c r="F1268" s="97"/>
      <c r="G1268" s="109"/>
      <c r="H1268" s="109"/>
      <c r="I1268" s="97"/>
      <c r="J1268" s="97"/>
      <c r="K1268" s="83"/>
      <c r="L1268" s="111"/>
      <c r="M1268" s="111"/>
      <c r="N1268" s="111"/>
      <c r="O1268" s="111"/>
      <c r="P1268" s="111"/>
      <c r="Q1268" s="111"/>
      <c r="R1268" s="111"/>
    </row>
    <row r="1269" spans="2:18" s="108" customFormat="1">
      <c r="B1269" s="97"/>
      <c r="C1269" s="110"/>
      <c r="D1269" s="109"/>
      <c r="E1269" s="97"/>
      <c r="F1269" s="97"/>
      <c r="G1269" s="109"/>
      <c r="H1269" s="109"/>
      <c r="I1269" s="97"/>
      <c r="J1269" s="97"/>
      <c r="K1269" s="83"/>
      <c r="L1269" s="111"/>
      <c r="M1269" s="111"/>
      <c r="N1269" s="111"/>
      <c r="O1269" s="111"/>
      <c r="P1269" s="111"/>
      <c r="Q1269" s="111"/>
      <c r="R1269" s="111"/>
    </row>
    <row r="1270" spans="2:18" s="108" customFormat="1">
      <c r="B1270" s="97"/>
      <c r="C1270" s="110"/>
      <c r="D1270" s="109"/>
      <c r="E1270" s="97"/>
      <c r="F1270" s="97"/>
      <c r="G1270" s="109"/>
      <c r="H1270" s="109"/>
      <c r="I1270" s="97"/>
      <c r="J1270" s="97"/>
      <c r="K1270" s="83"/>
      <c r="L1270" s="111"/>
      <c r="M1270" s="111"/>
      <c r="N1270" s="111"/>
      <c r="O1270" s="111"/>
      <c r="P1270" s="111"/>
      <c r="Q1270" s="111"/>
      <c r="R1270" s="111"/>
    </row>
    <row r="1271" spans="2:18" s="108" customFormat="1">
      <c r="B1271" s="97"/>
      <c r="C1271" s="110"/>
      <c r="D1271" s="109"/>
      <c r="E1271" s="97"/>
      <c r="F1271" s="97"/>
      <c r="G1271" s="109"/>
      <c r="H1271" s="109"/>
      <c r="I1271" s="97"/>
      <c r="J1271" s="97"/>
      <c r="K1271" s="83"/>
      <c r="L1271" s="111"/>
      <c r="M1271" s="111"/>
      <c r="N1271" s="111"/>
      <c r="O1271" s="111"/>
      <c r="P1271" s="111"/>
      <c r="Q1271" s="111"/>
      <c r="R1271" s="111"/>
    </row>
    <row r="1272" spans="2:18" s="108" customFormat="1">
      <c r="B1272" s="97"/>
      <c r="C1272" s="110"/>
      <c r="D1272" s="109"/>
      <c r="E1272" s="97"/>
      <c r="F1272" s="97"/>
      <c r="G1272" s="109"/>
      <c r="H1272" s="109"/>
      <c r="I1272" s="97"/>
      <c r="J1272" s="97"/>
      <c r="K1272" s="83"/>
      <c r="L1272" s="111"/>
      <c r="M1272" s="111"/>
      <c r="N1272" s="111"/>
      <c r="O1272" s="111"/>
      <c r="P1272" s="111"/>
      <c r="Q1272" s="111"/>
      <c r="R1272" s="111"/>
    </row>
    <row r="1273" spans="2:18" s="108" customFormat="1">
      <c r="B1273" s="97"/>
      <c r="C1273" s="110"/>
      <c r="D1273" s="109"/>
      <c r="E1273" s="97"/>
      <c r="F1273" s="97"/>
      <c r="G1273" s="109"/>
      <c r="H1273" s="109"/>
      <c r="I1273" s="97"/>
      <c r="J1273" s="97"/>
      <c r="K1273" s="83"/>
      <c r="L1273" s="111"/>
      <c r="M1273" s="111"/>
      <c r="N1273" s="111"/>
      <c r="O1273" s="111"/>
      <c r="P1273" s="111"/>
      <c r="Q1273" s="111"/>
      <c r="R1273" s="111"/>
    </row>
    <row r="1274" spans="2:18" s="108" customFormat="1">
      <c r="B1274" s="97"/>
      <c r="C1274" s="110"/>
      <c r="D1274" s="109"/>
      <c r="E1274" s="97"/>
      <c r="F1274" s="97"/>
      <c r="G1274" s="109"/>
      <c r="H1274" s="109"/>
      <c r="I1274" s="97"/>
      <c r="J1274" s="97"/>
      <c r="K1274" s="83"/>
      <c r="L1274" s="111"/>
      <c r="M1274" s="111"/>
      <c r="N1274" s="111"/>
      <c r="O1274" s="111"/>
      <c r="P1274" s="111"/>
      <c r="Q1274" s="111"/>
      <c r="R1274" s="111"/>
    </row>
    <row r="1275" spans="2:18" s="108" customFormat="1">
      <c r="B1275" s="97"/>
      <c r="C1275" s="110"/>
      <c r="D1275" s="109"/>
      <c r="E1275" s="97"/>
      <c r="F1275" s="97"/>
      <c r="G1275" s="109"/>
      <c r="H1275" s="109"/>
      <c r="I1275" s="97"/>
      <c r="J1275" s="97"/>
      <c r="K1275" s="83"/>
      <c r="L1275" s="111"/>
      <c r="M1275" s="111"/>
      <c r="N1275" s="111"/>
      <c r="O1275" s="111"/>
      <c r="P1275" s="111"/>
      <c r="Q1275" s="111"/>
      <c r="R1275" s="111"/>
    </row>
    <row r="1276" spans="2:18" s="108" customFormat="1">
      <c r="B1276" s="97"/>
      <c r="C1276" s="110"/>
      <c r="D1276" s="109"/>
      <c r="E1276" s="97"/>
      <c r="F1276" s="97"/>
      <c r="G1276" s="109"/>
      <c r="H1276" s="109"/>
      <c r="I1276" s="97"/>
      <c r="J1276" s="97"/>
      <c r="K1276" s="83"/>
      <c r="L1276" s="111"/>
      <c r="M1276" s="111"/>
      <c r="N1276" s="111"/>
      <c r="O1276" s="111"/>
      <c r="P1276" s="111"/>
      <c r="Q1276" s="111"/>
      <c r="R1276" s="111"/>
    </row>
    <row r="1277" spans="2:18" s="108" customFormat="1">
      <c r="B1277" s="97"/>
      <c r="C1277" s="110"/>
      <c r="D1277" s="109"/>
      <c r="E1277" s="97"/>
      <c r="F1277" s="97"/>
      <c r="G1277" s="109"/>
      <c r="H1277" s="109"/>
      <c r="I1277" s="97"/>
      <c r="J1277" s="97"/>
      <c r="K1277" s="83"/>
      <c r="L1277" s="111"/>
      <c r="M1277" s="111"/>
      <c r="N1277" s="111"/>
      <c r="O1277" s="111"/>
      <c r="P1277" s="111"/>
      <c r="Q1277" s="111"/>
      <c r="R1277" s="111"/>
    </row>
    <row r="1278" spans="2:18" s="108" customFormat="1">
      <c r="B1278" s="97"/>
      <c r="C1278" s="110"/>
      <c r="D1278" s="109"/>
      <c r="E1278" s="97"/>
      <c r="F1278" s="97"/>
      <c r="G1278" s="109"/>
      <c r="H1278" s="109"/>
      <c r="I1278" s="97"/>
      <c r="J1278" s="97"/>
      <c r="K1278" s="83"/>
      <c r="L1278" s="111"/>
      <c r="M1278" s="111"/>
      <c r="N1278" s="111"/>
      <c r="O1278" s="111"/>
      <c r="P1278" s="111"/>
      <c r="Q1278" s="111"/>
      <c r="R1278" s="111"/>
    </row>
    <row r="1279" spans="2:18" s="108" customFormat="1">
      <c r="B1279" s="97"/>
      <c r="C1279" s="110"/>
      <c r="D1279" s="109"/>
      <c r="E1279" s="97"/>
      <c r="F1279" s="97"/>
      <c r="G1279" s="109"/>
      <c r="H1279" s="109"/>
      <c r="I1279" s="97"/>
      <c r="J1279" s="97"/>
      <c r="K1279" s="83"/>
      <c r="L1279" s="111"/>
      <c r="M1279" s="111"/>
      <c r="N1279" s="111"/>
      <c r="O1279" s="111"/>
      <c r="P1279" s="111"/>
      <c r="Q1279" s="111"/>
      <c r="R1279" s="111"/>
    </row>
    <row r="1280" spans="2:18" s="108" customFormat="1">
      <c r="B1280" s="97"/>
      <c r="C1280" s="110"/>
      <c r="D1280" s="109"/>
      <c r="E1280" s="97"/>
      <c r="F1280" s="97"/>
      <c r="G1280" s="109"/>
      <c r="H1280" s="109"/>
      <c r="I1280" s="97"/>
      <c r="J1280" s="97"/>
      <c r="K1280" s="83"/>
      <c r="L1280" s="111"/>
      <c r="M1280" s="111"/>
      <c r="N1280" s="111"/>
      <c r="O1280" s="111"/>
      <c r="P1280" s="111"/>
      <c r="Q1280" s="111"/>
      <c r="R1280" s="111"/>
    </row>
    <row r="1281" spans="2:18" s="108" customFormat="1">
      <c r="B1281" s="97"/>
      <c r="C1281" s="110"/>
      <c r="D1281" s="109"/>
      <c r="E1281" s="97"/>
      <c r="F1281" s="97"/>
      <c r="G1281" s="109"/>
      <c r="H1281" s="109"/>
      <c r="I1281" s="97"/>
      <c r="J1281" s="97"/>
      <c r="K1281" s="83"/>
      <c r="L1281" s="111"/>
      <c r="M1281" s="111"/>
      <c r="N1281" s="111"/>
      <c r="O1281" s="111"/>
      <c r="P1281" s="111"/>
      <c r="Q1281" s="111"/>
      <c r="R1281" s="111"/>
    </row>
    <row r="1282" spans="2:18" s="108" customFormat="1">
      <c r="B1282" s="97"/>
      <c r="C1282" s="110"/>
      <c r="D1282" s="109"/>
      <c r="E1282" s="97"/>
      <c r="F1282" s="97"/>
      <c r="G1282" s="109"/>
      <c r="H1282" s="109"/>
      <c r="I1282" s="97"/>
      <c r="J1282" s="97"/>
      <c r="K1282" s="83"/>
      <c r="L1282" s="111"/>
      <c r="M1282" s="111"/>
      <c r="N1282" s="111"/>
      <c r="O1282" s="111"/>
      <c r="P1282" s="111"/>
      <c r="Q1282" s="111"/>
      <c r="R1282" s="111"/>
    </row>
    <row r="1283" spans="2:18" s="108" customFormat="1">
      <c r="B1283" s="97"/>
      <c r="C1283" s="110"/>
      <c r="D1283" s="109"/>
      <c r="E1283" s="97"/>
      <c r="F1283" s="97"/>
      <c r="G1283" s="109"/>
      <c r="H1283" s="109"/>
      <c r="I1283" s="97"/>
      <c r="J1283" s="97"/>
      <c r="K1283" s="83"/>
      <c r="L1283" s="111"/>
      <c r="M1283" s="111"/>
      <c r="N1283" s="111"/>
      <c r="O1283" s="111"/>
      <c r="P1283" s="111"/>
      <c r="Q1283" s="111"/>
      <c r="R1283" s="111"/>
    </row>
    <row r="1284" spans="2:18" s="108" customFormat="1">
      <c r="B1284" s="97"/>
      <c r="C1284" s="110"/>
      <c r="D1284" s="109"/>
      <c r="E1284" s="97"/>
      <c r="F1284" s="97"/>
      <c r="G1284" s="109"/>
      <c r="H1284" s="109"/>
      <c r="I1284" s="97"/>
      <c r="J1284" s="97"/>
      <c r="K1284" s="83"/>
      <c r="L1284" s="111"/>
      <c r="M1284" s="111"/>
      <c r="N1284" s="111"/>
      <c r="O1284" s="111"/>
      <c r="P1284" s="111"/>
      <c r="Q1284" s="111"/>
      <c r="R1284" s="111"/>
    </row>
    <row r="1285" spans="2:18" s="108" customFormat="1">
      <c r="B1285" s="97"/>
      <c r="C1285" s="110"/>
      <c r="D1285" s="109"/>
      <c r="E1285" s="97"/>
      <c r="F1285" s="97"/>
      <c r="G1285" s="109"/>
      <c r="H1285" s="109"/>
      <c r="I1285" s="97"/>
      <c r="J1285" s="97"/>
      <c r="K1285" s="83"/>
      <c r="L1285" s="111"/>
      <c r="M1285" s="111"/>
      <c r="N1285" s="111"/>
      <c r="O1285" s="111"/>
      <c r="P1285" s="111"/>
      <c r="Q1285" s="111"/>
      <c r="R1285" s="111"/>
    </row>
    <row r="1286" spans="2:18" s="108" customFormat="1">
      <c r="B1286" s="97"/>
      <c r="C1286" s="110"/>
      <c r="D1286" s="109"/>
      <c r="E1286" s="97"/>
      <c r="F1286" s="97"/>
      <c r="G1286" s="109"/>
      <c r="H1286" s="109"/>
      <c r="I1286" s="97"/>
      <c r="J1286" s="97"/>
      <c r="K1286" s="83"/>
      <c r="L1286" s="111"/>
      <c r="M1286" s="111"/>
      <c r="N1286" s="111"/>
      <c r="O1286" s="111"/>
      <c r="P1286" s="111"/>
      <c r="Q1286" s="111"/>
      <c r="R1286" s="111"/>
    </row>
    <row r="1287" spans="2:18" s="108" customFormat="1">
      <c r="B1287" s="97"/>
      <c r="C1287" s="110"/>
      <c r="D1287" s="109"/>
      <c r="E1287" s="97"/>
      <c r="F1287" s="97"/>
      <c r="G1287" s="109"/>
      <c r="H1287" s="109"/>
      <c r="I1287" s="97"/>
      <c r="J1287" s="97"/>
      <c r="K1287" s="83"/>
      <c r="L1287" s="111"/>
      <c r="M1287" s="111"/>
      <c r="N1287" s="111"/>
      <c r="O1287" s="111"/>
      <c r="P1287" s="111"/>
      <c r="Q1287" s="111"/>
      <c r="R1287" s="111"/>
    </row>
    <row r="1288" spans="2:18" s="108" customFormat="1">
      <c r="B1288" s="97"/>
      <c r="C1288" s="110"/>
      <c r="D1288" s="109"/>
      <c r="E1288" s="97"/>
      <c r="F1288" s="97"/>
      <c r="G1288" s="109"/>
      <c r="H1288" s="109"/>
      <c r="I1288" s="97"/>
      <c r="J1288" s="97"/>
      <c r="K1288" s="83"/>
      <c r="L1288" s="111"/>
      <c r="M1288" s="111"/>
      <c r="N1288" s="111"/>
      <c r="O1288" s="111"/>
      <c r="P1288" s="111"/>
      <c r="Q1288" s="111"/>
      <c r="R1288" s="111"/>
    </row>
    <row r="1289" spans="2:18" s="108" customFormat="1">
      <c r="B1289" s="97"/>
      <c r="C1289" s="110"/>
      <c r="D1289" s="109"/>
      <c r="E1289" s="97"/>
      <c r="F1289" s="97"/>
      <c r="G1289" s="109"/>
      <c r="H1289" s="109"/>
      <c r="I1289" s="97"/>
      <c r="J1289" s="97"/>
      <c r="K1289" s="83"/>
      <c r="L1289" s="111"/>
      <c r="M1289" s="111"/>
      <c r="N1289" s="111"/>
      <c r="O1289" s="111"/>
      <c r="P1289" s="111"/>
      <c r="Q1289" s="111"/>
      <c r="R1289" s="111"/>
    </row>
    <row r="1290" spans="2:18" s="108" customFormat="1">
      <c r="B1290" s="97"/>
      <c r="C1290" s="110"/>
      <c r="D1290" s="109"/>
      <c r="E1290" s="97"/>
      <c r="F1290" s="97"/>
      <c r="G1290" s="109"/>
      <c r="H1290" s="109"/>
      <c r="I1290" s="97"/>
      <c r="J1290" s="97"/>
      <c r="K1290" s="83"/>
      <c r="L1290" s="111"/>
      <c r="M1290" s="111"/>
      <c r="N1290" s="111"/>
      <c r="O1290" s="111"/>
      <c r="P1290" s="111"/>
      <c r="Q1290" s="111"/>
      <c r="R1290" s="111"/>
    </row>
    <row r="1291" spans="2:18" s="108" customFormat="1">
      <c r="B1291" s="97"/>
      <c r="C1291" s="110"/>
      <c r="D1291" s="109"/>
      <c r="E1291" s="97"/>
      <c r="F1291" s="97"/>
      <c r="G1291" s="109"/>
      <c r="H1291" s="109"/>
      <c r="I1291" s="97"/>
      <c r="J1291" s="97"/>
      <c r="K1291" s="83"/>
      <c r="L1291" s="111"/>
      <c r="M1291" s="111"/>
      <c r="N1291" s="111"/>
      <c r="O1291" s="111"/>
      <c r="P1291" s="111"/>
      <c r="Q1291" s="111"/>
      <c r="R1291" s="111"/>
    </row>
    <row r="1292" spans="2:18" s="108" customFormat="1">
      <c r="B1292" s="97"/>
      <c r="C1292" s="110"/>
      <c r="D1292" s="109"/>
      <c r="E1292" s="97"/>
      <c r="F1292" s="97"/>
      <c r="G1292" s="109"/>
      <c r="H1292" s="109"/>
      <c r="I1292" s="97"/>
      <c r="J1292" s="97"/>
      <c r="K1292" s="83"/>
      <c r="L1292" s="111"/>
      <c r="M1292" s="111"/>
      <c r="N1292" s="111"/>
      <c r="O1292" s="111"/>
      <c r="P1292" s="111"/>
      <c r="Q1292" s="111"/>
      <c r="R1292" s="111"/>
    </row>
    <row r="1293" spans="2:18" s="108" customFormat="1">
      <c r="B1293" s="97"/>
      <c r="C1293" s="110"/>
      <c r="D1293" s="109"/>
      <c r="E1293" s="97"/>
      <c r="F1293" s="97"/>
      <c r="G1293" s="109"/>
      <c r="H1293" s="109"/>
      <c r="I1293" s="97"/>
      <c r="J1293" s="97"/>
      <c r="K1293" s="83"/>
      <c r="L1293" s="111"/>
      <c r="M1293" s="111"/>
      <c r="N1293" s="111"/>
      <c r="O1293" s="111"/>
      <c r="P1293" s="111"/>
      <c r="Q1293" s="111"/>
      <c r="R1293" s="111"/>
    </row>
    <row r="1294" spans="2:18" s="108" customFormat="1">
      <c r="B1294" s="97"/>
      <c r="C1294" s="110"/>
      <c r="D1294" s="109"/>
      <c r="E1294" s="97"/>
      <c r="F1294" s="97"/>
      <c r="G1294" s="109"/>
      <c r="H1294" s="109"/>
      <c r="I1294" s="97"/>
      <c r="J1294" s="97"/>
      <c r="K1294" s="83"/>
      <c r="L1294" s="111"/>
      <c r="M1294" s="111"/>
      <c r="N1294" s="111"/>
      <c r="O1294" s="111"/>
      <c r="P1294" s="111"/>
      <c r="Q1294" s="111"/>
      <c r="R1294" s="111"/>
    </row>
    <row r="1295" spans="2:18" s="108" customFormat="1">
      <c r="B1295" s="97"/>
      <c r="C1295" s="110"/>
      <c r="D1295" s="109"/>
      <c r="E1295" s="97"/>
      <c r="F1295" s="97"/>
      <c r="G1295" s="109"/>
      <c r="H1295" s="109"/>
      <c r="I1295" s="97"/>
      <c r="J1295" s="97"/>
      <c r="K1295" s="83"/>
      <c r="L1295" s="111"/>
      <c r="M1295" s="111"/>
      <c r="N1295" s="111"/>
      <c r="O1295" s="111"/>
      <c r="P1295" s="111"/>
      <c r="Q1295" s="111"/>
      <c r="R1295" s="111"/>
    </row>
    <row r="1296" spans="2:18" s="108" customFormat="1">
      <c r="B1296" s="97"/>
      <c r="C1296" s="110"/>
      <c r="D1296" s="109"/>
      <c r="E1296" s="97"/>
      <c r="F1296" s="97"/>
      <c r="G1296" s="109"/>
      <c r="H1296" s="109"/>
      <c r="I1296" s="97"/>
      <c r="J1296" s="97"/>
      <c r="K1296" s="83"/>
      <c r="L1296" s="111"/>
      <c r="M1296" s="111"/>
      <c r="N1296" s="111"/>
      <c r="O1296" s="111"/>
      <c r="P1296" s="111"/>
      <c r="Q1296" s="111"/>
      <c r="R1296" s="111"/>
    </row>
    <row r="1297" spans="2:18" s="108" customFormat="1">
      <c r="B1297" s="97"/>
      <c r="C1297" s="110"/>
      <c r="D1297" s="109"/>
      <c r="E1297" s="97"/>
      <c r="F1297" s="97"/>
      <c r="G1297" s="109"/>
      <c r="H1297" s="109"/>
      <c r="I1297" s="97"/>
      <c r="J1297" s="97"/>
      <c r="K1297" s="83"/>
      <c r="L1297" s="111"/>
      <c r="M1297" s="111"/>
      <c r="N1297" s="111"/>
      <c r="O1297" s="111"/>
      <c r="P1297" s="111"/>
      <c r="Q1297" s="111"/>
      <c r="R1297" s="111"/>
    </row>
    <row r="1298" spans="2:18" s="108" customFormat="1">
      <c r="B1298" s="97"/>
      <c r="C1298" s="110"/>
      <c r="D1298" s="109"/>
      <c r="E1298" s="97"/>
      <c r="F1298" s="97"/>
      <c r="G1298" s="109"/>
      <c r="H1298" s="109"/>
      <c r="I1298" s="97"/>
      <c r="J1298" s="97"/>
      <c r="K1298" s="83"/>
      <c r="L1298" s="111"/>
      <c r="M1298" s="111"/>
      <c r="N1298" s="111"/>
      <c r="O1298" s="111"/>
      <c r="P1298" s="111"/>
      <c r="Q1298" s="111"/>
      <c r="R1298" s="111"/>
    </row>
    <row r="1299" spans="2:18" s="108" customFormat="1">
      <c r="B1299" s="97"/>
      <c r="C1299" s="110"/>
      <c r="D1299" s="109"/>
      <c r="E1299" s="97"/>
      <c r="F1299" s="97"/>
      <c r="G1299" s="109"/>
      <c r="H1299" s="109"/>
      <c r="I1299" s="97"/>
      <c r="J1299" s="97"/>
      <c r="K1299" s="83"/>
      <c r="L1299" s="111"/>
      <c r="M1299" s="111"/>
      <c r="N1299" s="111"/>
      <c r="O1299" s="111"/>
      <c r="P1299" s="111"/>
      <c r="Q1299" s="111"/>
      <c r="R1299" s="111"/>
    </row>
    <row r="1300" spans="2:18" s="108" customFormat="1">
      <c r="B1300" s="97"/>
      <c r="C1300" s="110"/>
      <c r="D1300" s="109"/>
      <c r="E1300" s="97"/>
      <c r="F1300" s="97"/>
      <c r="G1300" s="109"/>
      <c r="H1300" s="109"/>
      <c r="I1300" s="97"/>
      <c r="J1300" s="97"/>
      <c r="K1300" s="83"/>
      <c r="L1300" s="111"/>
      <c r="M1300" s="111"/>
      <c r="N1300" s="111"/>
      <c r="O1300" s="111"/>
      <c r="P1300" s="111"/>
      <c r="Q1300" s="111"/>
      <c r="R1300" s="111"/>
    </row>
    <row r="1301" spans="2:18" s="108" customFormat="1">
      <c r="B1301" s="97"/>
      <c r="C1301" s="110"/>
      <c r="D1301" s="109"/>
      <c r="E1301" s="97"/>
      <c r="F1301" s="97"/>
      <c r="G1301" s="109"/>
      <c r="H1301" s="109"/>
      <c r="I1301" s="97"/>
      <c r="J1301" s="97"/>
      <c r="K1301" s="83"/>
      <c r="L1301" s="111"/>
      <c r="M1301" s="111"/>
      <c r="N1301" s="111"/>
      <c r="O1301" s="111"/>
      <c r="P1301" s="111"/>
      <c r="Q1301" s="111"/>
      <c r="R1301" s="111"/>
    </row>
    <row r="1302" spans="2:18" s="108" customFormat="1">
      <c r="B1302" s="97"/>
      <c r="C1302" s="110"/>
      <c r="D1302" s="109"/>
      <c r="E1302" s="97"/>
      <c r="F1302" s="97"/>
      <c r="G1302" s="109"/>
      <c r="H1302" s="109"/>
      <c r="I1302" s="97"/>
      <c r="J1302" s="97"/>
      <c r="K1302" s="83"/>
      <c r="L1302" s="111"/>
      <c r="M1302" s="111"/>
      <c r="N1302" s="111"/>
      <c r="O1302" s="111"/>
      <c r="P1302" s="111"/>
      <c r="Q1302" s="111"/>
      <c r="R1302" s="111"/>
    </row>
    <row r="1303" spans="2:18" s="108" customFormat="1">
      <c r="B1303" s="97"/>
      <c r="C1303" s="110"/>
      <c r="D1303" s="109"/>
      <c r="E1303" s="97"/>
      <c r="F1303" s="97"/>
      <c r="G1303" s="109"/>
      <c r="H1303" s="109"/>
      <c r="I1303" s="97"/>
      <c r="J1303" s="97"/>
      <c r="K1303" s="83"/>
      <c r="L1303" s="111"/>
      <c r="M1303" s="111"/>
      <c r="N1303" s="111"/>
      <c r="O1303" s="111"/>
      <c r="P1303" s="111"/>
      <c r="Q1303" s="111"/>
      <c r="R1303" s="111"/>
    </row>
    <row r="1304" spans="2:18" s="108" customFormat="1">
      <c r="B1304" s="97"/>
      <c r="C1304" s="110"/>
      <c r="D1304" s="109"/>
      <c r="E1304" s="97"/>
      <c r="F1304" s="97"/>
      <c r="G1304" s="109"/>
      <c r="H1304" s="109"/>
      <c r="I1304" s="97"/>
      <c r="J1304" s="97"/>
      <c r="K1304" s="83"/>
      <c r="L1304" s="111"/>
      <c r="M1304" s="111"/>
      <c r="N1304" s="111"/>
      <c r="O1304" s="111"/>
      <c r="P1304" s="111"/>
      <c r="Q1304" s="111"/>
      <c r="R1304" s="111"/>
    </row>
    <row r="1305" spans="2:18" s="108" customFormat="1">
      <c r="B1305" s="97"/>
      <c r="C1305" s="110"/>
      <c r="D1305" s="109"/>
      <c r="E1305" s="97"/>
      <c r="F1305" s="97"/>
      <c r="G1305" s="109"/>
      <c r="H1305" s="109"/>
      <c r="I1305" s="97"/>
      <c r="J1305" s="97"/>
      <c r="K1305" s="83"/>
      <c r="L1305" s="111"/>
      <c r="M1305" s="111"/>
      <c r="N1305" s="111"/>
      <c r="O1305" s="111"/>
      <c r="P1305" s="111"/>
      <c r="Q1305" s="111"/>
      <c r="R1305" s="111"/>
    </row>
    <row r="1306" spans="2:18" s="108" customFormat="1">
      <c r="B1306" s="97"/>
      <c r="C1306" s="110"/>
      <c r="D1306" s="109"/>
      <c r="E1306" s="97"/>
      <c r="F1306" s="97"/>
      <c r="G1306" s="109"/>
      <c r="H1306" s="109"/>
      <c r="I1306" s="97"/>
      <c r="J1306" s="97"/>
      <c r="K1306" s="83"/>
      <c r="L1306" s="111"/>
      <c r="M1306" s="111"/>
      <c r="N1306" s="111"/>
      <c r="O1306" s="111"/>
      <c r="P1306" s="111"/>
      <c r="Q1306" s="111"/>
      <c r="R1306" s="111"/>
    </row>
    <row r="1307" spans="2:18" s="108" customFormat="1">
      <c r="B1307" s="97"/>
      <c r="C1307" s="110"/>
      <c r="D1307" s="109"/>
      <c r="E1307" s="97"/>
      <c r="F1307" s="97"/>
      <c r="G1307" s="109"/>
      <c r="H1307" s="109"/>
      <c r="I1307" s="97"/>
      <c r="J1307" s="97"/>
      <c r="K1307" s="83"/>
      <c r="L1307" s="111"/>
      <c r="M1307" s="111"/>
      <c r="N1307" s="111"/>
      <c r="O1307" s="111"/>
      <c r="P1307" s="111"/>
      <c r="Q1307" s="111"/>
      <c r="R1307" s="111"/>
    </row>
    <row r="1308" spans="2:18" s="108" customFormat="1">
      <c r="B1308" s="97"/>
      <c r="C1308" s="110"/>
      <c r="D1308" s="109"/>
      <c r="E1308" s="97"/>
      <c r="F1308" s="97"/>
      <c r="G1308" s="109"/>
      <c r="H1308" s="109"/>
      <c r="I1308" s="97"/>
      <c r="J1308" s="97"/>
      <c r="K1308" s="83"/>
      <c r="L1308" s="111"/>
      <c r="M1308" s="111"/>
      <c r="N1308" s="111"/>
      <c r="O1308" s="111"/>
      <c r="P1308" s="111"/>
      <c r="Q1308" s="111"/>
      <c r="R1308" s="111"/>
    </row>
    <row r="1309" spans="2:18" s="108" customFormat="1">
      <c r="B1309" s="97"/>
      <c r="C1309" s="110"/>
      <c r="D1309" s="109"/>
      <c r="E1309" s="97"/>
      <c r="F1309" s="97"/>
      <c r="G1309" s="109"/>
      <c r="H1309" s="109"/>
      <c r="I1309" s="97"/>
      <c r="J1309" s="97"/>
      <c r="K1309" s="83"/>
      <c r="L1309" s="111"/>
      <c r="M1309" s="111"/>
      <c r="N1309" s="111"/>
      <c r="O1309" s="111"/>
      <c r="P1309" s="111"/>
      <c r="Q1309" s="111"/>
      <c r="R1309" s="111"/>
    </row>
    <row r="1310" spans="2:18" s="108" customFormat="1">
      <c r="B1310" s="97"/>
      <c r="C1310" s="110"/>
      <c r="D1310" s="109"/>
      <c r="E1310" s="97"/>
      <c r="F1310" s="97"/>
      <c r="G1310" s="109"/>
      <c r="H1310" s="109"/>
      <c r="I1310" s="97"/>
      <c r="J1310" s="97"/>
      <c r="K1310" s="83"/>
      <c r="L1310" s="111"/>
      <c r="M1310" s="111"/>
      <c r="N1310" s="111"/>
      <c r="O1310" s="111"/>
      <c r="P1310" s="111"/>
      <c r="Q1310" s="111"/>
      <c r="R1310" s="111"/>
    </row>
    <row r="1311" spans="2:18" s="108" customFormat="1">
      <c r="B1311" s="97"/>
      <c r="C1311" s="110"/>
      <c r="D1311" s="109"/>
      <c r="E1311" s="97"/>
      <c r="F1311" s="97"/>
      <c r="G1311" s="109"/>
      <c r="H1311" s="109"/>
      <c r="I1311" s="97"/>
      <c r="J1311" s="97"/>
      <c r="K1311" s="83"/>
      <c r="L1311" s="111"/>
      <c r="M1311" s="111"/>
      <c r="N1311" s="111"/>
      <c r="O1311" s="111"/>
      <c r="P1311" s="111"/>
      <c r="Q1311" s="111"/>
      <c r="R1311" s="111"/>
    </row>
    <row r="1312" spans="2:18" s="108" customFormat="1">
      <c r="B1312" s="97"/>
      <c r="C1312" s="110"/>
      <c r="D1312" s="109"/>
      <c r="E1312" s="97"/>
      <c r="F1312" s="97"/>
      <c r="G1312" s="109"/>
      <c r="H1312" s="109"/>
      <c r="I1312" s="97"/>
      <c r="J1312" s="97"/>
      <c r="K1312" s="83"/>
      <c r="L1312" s="111"/>
      <c r="M1312" s="111"/>
      <c r="N1312" s="111"/>
      <c r="O1312" s="111"/>
      <c r="P1312" s="111"/>
      <c r="Q1312" s="111"/>
      <c r="R1312" s="111"/>
    </row>
    <row r="1313" spans="2:18" s="108" customFormat="1">
      <c r="B1313" s="97"/>
      <c r="C1313" s="110"/>
      <c r="D1313" s="109"/>
      <c r="E1313" s="97"/>
      <c r="F1313" s="97"/>
      <c r="G1313" s="109"/>
      <c r="H1313" s="109"/>
      <c r="I1313" s="97"/>
      <c r="J1313" s="97"/>
      <c r="K1313" s="83"/>
      <c r="L1313" s="111"/>
      <c r="M1313" s="111"/>
      <c r="N1313" s="111"/>
      <c r="O1313" s="111"/>
      <c r="P1313" s="111"/>
      <c r="Q1313" s="111"/>
      <c r="R1313" s="111"/>
    </row>
    <row r="1314" spans="2:18" s="108" customFormat="1">
      <c r="B1314" s="97"/>
      <c r="C1314" s="110"/>
      <c r="D1314" s="109"/>
      <c r="E1314" s="97"/>
      <c r="F1314" s="97"/>
      <c r="G1314" s="109"/>
      <c r="H1314" s="109"/>
      <c r="I1314" s="97"/>
      <c r="J1314" s="97"/>
      <c r="K1314" s="83"/>
      <c r="L1314" s="111"/>
      <c r="M1314" s="111"/>
      <c r="N1314" s="111"/>
      <c r="O1314" s="111"/>
      <c r="P1314" s="111"/>
      <c r="Q1314" s="111"/>
      <c r="R1314" s="111"/>
    </row>
    <row r="1315" spans="2:18" s="108" customFormat="1">
      <c r="B1315" s="97"/>
      <c r="C1315" s="110"/>
      <c r="D1315" s="109"/>
      <c r="E1315" s="97"/>
      <c r="F1315" s="97"/>
      <c r="G1315" s="109"/>
      <c r="H1315" s="109"/>
      <c r="I1315" s="97"/>
      <c r="J1315" s="97"/>
      <c r="K1315" s="83"/>
      <c r="L1315" s="111"/>
      <c r="M1315" s="111"/>
      <c r="N1315" s="111"/>
      <c r="O1315" s="111"/>
      <c r="P1315" s="111"/>
      <c r="Q1315" s="111"/>
      <c r="R1315" s="111"/>
    </row>
    <row r="1316" spans="2:18" s="108" customFormat="1">
      <c r="B1316" s="97"/>
      <c r="C1316" s="110"/>
      <c r="D1316" s="109"/>
      <c r="E1316" s="97"/>
      <c r="F1316" s="97"/>
      <c r="G1316" s="109"/>
      <c r="H1316" s="109"/>
      <c r="I1316" s="97"/>
      <c r="J1316" s="97"/>
      <c r="K1316" s="83"/>
      <c r="L1316" s="111"/>
      <c r="M1316" s="111"/>
      <c r="N1316" s="111"/>
      <c r="O1316" s="111"/>
      <c r="P1316" s="111"/>
      <c r="Q1316" s="111"/>
      <c r="R1316" s="111"/>
    </row>
    <row r="1317" spans="2:18" s="108" customFormat="1">
      <c r="B1317" s="97"/>
      <c r="C1317" s="110"/>
      <c r="D1317" s="109"/>
      <c r="E1317" s="97"/>
      <c r="F1317" s="97"/>
      <c r="G1317" s="109"/>
      <c r="H1317" s="109"/>
      <c r="I1317" s="97"/>
      <c r="J1317" s="97"/>
      <c r="K1317" s="83"/>
      <c r="L1317" s="111"/>
      <c r="M1317" s="111"/>
      <c r="N1317" s="111"/>
      <c r="O1317" s="111"/>
      <c r="P1317" s="111"/>
      <c r="Q1317" s="111"/>
      <c r="R1317" s="111"/>
    </row>
    <row r="1318" spans="2:18" s="108" customFormat="1">
      <c r="B1318" s="97"/>
      <c r="C1318" s="110"/>
      <c r="D1318" s="109"/>
      <c r="E1318" s="97"/>
      <c r="F1318" s="97"/>
      <c r="G1318" s="109"/>
      <c r="H1318" s="109"/>
      <c r="I1318" s="97"/>
      <c r="J1318" s="97"/>
      <c r="K1318" s="83"/>
      <c r="L1318" s="111"/>
      <c r="M1318" s="111"/>
      <c r="N1318" s="111"/>
      <c r="O1318" s="111"/>
      <c r="P1318" s="111"/>
      <c r="Q1318" s="111"/>
      <c r="R1318" s="111"/>
    </row>
    <row r="1319" spans="2:18" s="108" customFormat="1">
      <c r="B1319" s="97"/>
      <c r="C1319" s="110"/>
      <c r="D1319" s="109"/>
      <c r="E1319" s="97"/>
      <c r="F1319" s="97"/>
      <c r="G1319" s="109"/>
      <c r="H1319" s="109"/>
      <c r="I1319" s="97"/>
      <c r="J1319" s="97"/>
      <c r="K1319" s="83"/>
      <c r="L1319" s="111"/>
      <c r="M1319" s="111"/>
      <c r="N1319" s="111"/>
      <c r="O1319" s="111"/>
      <c r="P1319" s="111"/>
      <c r="Q1319" s="111"/>
      <c r="R1319" s="111"/>
    </row>
    <row r="1320" spans="2:18" s="108" customFormat="1">
      <c r="B1320" s="97"/>
      <c r="C1320" s="110"/>
      <c r="D1320" s="109"/>
      <c r="E1320" s="97"/>
      <c r="F1320" s="97"/>
      <c r="G1320" s="109"/>
      <c r="H1320" s="109"/>
      <c r="I1320" s="97"/>
      <c r="J1320" s="97"/>
      <c r="K1320" s="83"/>
      <c r="L1320" s="111"/>
      <c r="M1320" s="111"/>
      <c r="N1320" s="111"/>
      <c r="O1320" s="111"/>
      <c r="P1320" s="111"/>
      <c r="Q1320" s="111"/>
      <c r="R1320" s="111"/>
    </row>
    <row r="1321" spans="2:18" s="108" customFormat="1">
      <c r="B1321" s="97"/>
      <c r="C1321" s="110"/>
      <c r="D1321" s="109"/>
      <c r="E1321" s="97"/>
      <c r="F1321" s="97"/>
      <c r="G1321" s="109"/>
      <c r="H1321" s="109"/>
      <c r="I1321" s="97"/>
      <c r="J1321" s="97"/>
      <c r="K1321" s="83"/>
      <c r="L1321" s="111"/>
      <c r="M1321" s="111"/>
      <c r="N1321" s="111"/>
      <c r="O1321" s="111"/>
      <c r="P1321" s="111"/>
      <c r="Q1321" s="111"/>
      <c r="R1321" s="111"/>
    </row>
    <row r="1322" spans="2:18" s="108" customFormat="1">
      <c r="B1322" s="97"/>
      <c r="C1322" s="110"/>
      <c r="D1322" s="109"/>
      <c r="E1322" s="97"/>
      <c r="F1322" s="97"/>
      <c r="G1322" s="109"/>
      <c r="H1322" s="109"/>
      <c r="I1322" s="97"/>
      <c r="J1322" s="97"/>
      <c r="K1322" s="83"/>
      <c r="L1322" s="111"/>
      <c r="M1322" s="111"/>
      <c r="N1322" s="111"/>
      <c r="O1322" s="111"/>
      <c r="P1322" s="111"/>
      <c r="Q1322" s="111"/>
      <c r="R1322" s="111"/>
    </row>
    <row r="1323" spans="2:18" s="108" customFormat="1">
      <c r="B1323" s="97"/>
      <c r="C1323" s="110"/>
      <c r="D1323" s="109"/>
      <c r="E1323" s="97"/>
      <c r="F1323" s="97"/>
      <c r="G1323" s="109"/>
      <c r="H1323" s="109"/>
      <c r="I1323" s="97"/>
      <c r="J1323" s="97"/>
      <c r="K1323" s="83"/>
      <c r="L1323" s="111"/>
      <c r="M1323" s="111"/>
      <c r="N1323" s="111"/>
      <c r="O1323" s="111"/>
      <c r="P1323" s="111"/>
      <c r="Q1323" s="111"/>
      <c r="R1323" s="111"/>
    </row>
    <row r="1324" spans="2:18" s="108" customFormat="1">
      <c r="B1324" s="97"/>
      <c r="C1324" s="110"/>
      <c r="D1324" s="109"/>
      <c r="E1324" s="97"/>
      <c r="F1324" s="97"/>
      <c r="G1324" s="109"/>
      <c r="H1324" s="109"/>
      <c r="I1324" s="97"/>
      <c r="J1324" s="97"/>
      <c r="K1324" s="83"/>
      <c r="L1324" s="111"/>
      <c r="M1324" s="111"/>
      <c r="N1324" s="111"/>
      <c r="O1324" s="111"/>
      <c r="P1324" s="111"/>
      <c r="Q1324" s="111"/>
      <c r="R1324" s="111"/>
    </row>
    <row r="1325" spans="2:18" s="108" customFormat="1">
      <c r="B1325" s="97"/>
      <c r="C1325" s="110"/>
      <c r="D1325" s="109"/>
      <c r="E1325" s="97"/>
      <c r="F1325" s="97"/>
      <c r="G1325" s="109"/>
      <c r="H1325" s="109"/>
      <c r="I1325" s="97"/>
      <c r="J1325" s="97"/>
      <c r="K1325" s="83"/>
      <c r="L1325" s="111"/>
      <c r="M1325" s="111"/>
      <c r="N1325" s="111"/>
      <c r="O1325" s="111"/>
      <c r="P1325" s="111"/>
      <c r="Q1325" s="111"/>
      <c r="R1325" s="111"/>
    </row>
    <row r="1326" spans="2:18" s="108" customFormat="1">
      <c r="B1326" s="97"/>
      <c r="C1326" s="110"/>
      <c r="D1326" s="109"/>
      <c r="E1326" s="97"/>
      <c r="F1326" s="97"/>
      <c r="G1326" s="109"/>
      <c r="H1326" s="109"/>
      <c r="I1326" s="97"/>
      <c r="J1326" s="97"/>
      <c r="K1326" s="83"/>
      <c r="L1326" s="111"/>
      <c r="M1326" s="111"/>
      <c r="N1326" s="111"/>
      <c r="O1326" s="111"/>
      <c r="P1326" s="111"/>
      <c r="Q1326" s="111"/>
      <c r="R1326" s="111"/>
    </row>
    <row r="1327" spans="2:18" s="108" customFormat="1">
      <c r="B1327" s="97"/>
      <c r="C1327" s="110"/>
      <c r="D1327" s="109"/>
      <c r="E1327" s="97"/>
      <c r="F1327" s="97"/>
      <c r="G1327" s="109"/>
      <c r="H1327" s="109"/>
      <c r="I1327" s="97"/>
      <c r="J1327" s="97"/>
      <c r="K1327" s="83"/>
      <c r="L1327" s="111"/>
      <c r="M1327" s="111"/>
      <c r="N1327" s="111"/>
      <c r="O1327" s="111"/>
      <c r="P1327" s="111"/>
      <c r="Q1327" s="111"/>
      <c r="R1327" s="111"/>
    </row>
    <row r="1328" spans="2:18" s="108" customFormat="1">
      <c r="B1328" s="97"/>
      <c r="C1328" s="110"/>
      <c r="D1328" s="109"/>
      <c r="E1328" s="97"/>
      <c r="F1328" s="97"/>
      <c r="G1328" s="109"/>
      <c r="H1328" s="109"/>
      <c r="I1328" s="97"/>
      <c r="J1328" s="97"/>
      <c r="K1328" s="83"/>
      <c r="L1328" s="111"/>
      <c r="M1328" s="111"/>
      <c r="N1328" s="111"/>
      <c r="O1328" s="111"/>
      <c r="P1328" s="111"/>
      <c r="Q1328" s="111"/>
      <c r="R1328" s="111"/>
    </row>
    <row r="1329" spans="2:18" s="108" customFormat="1">
      <c r="B1329" s="97"/>
      <c r="C1329" s="110"/>
      <c r="D1329" s="109"/>
      <c r="E1329" s="97"/>
      <c r="F1329" s="97"/>
      <c r="G1329" s="109"/>
      <c r="H1329" s="109"/>
      <c r="I1329" s="97"/>
      <c r="J1329" s="97"/>
      <c r="K1329" s="83"/>
      <c r="L1329" s="111"/>
      <c r="M1329" s="111"/>
      <c r="N1329" s="111"/>
      <c r="O1329" s="111"/>
      <c r="P1329" s="111"/>
      <c r="Q1329" s="111"/>
      <c r="R1329" s="111"/>
    </row>
    <row r="1330" spans="2:18" s="108" customFormat="1">
      <c r="B1330" s="97"/>
      <c r="C1330" s="110"/>
      <c r="D1330" s="109"/>
      <c r="E1330" s="97"/>
      <c r="F1330" s="97"/>
      <c r="G1330" s="109"/>
      <c r="H1330" s="109"/>
      <c r="I1330" s="97"/>
      <c r="J1330" s="97"/>
      <c r="K1330" s="83"/>
      <c r="L1330" s="111"/>
      <c r="M1330" s="111"/>
      <c r="N1330" s="111"/>
      <c r="O1330" s="111"/>
      <c r="P1330" s="111"/>
      <c r="Q1330" s="111"/>
      <c r="R1330" s="111"/>
    </row>
    <row r="1331" spans="2:18" s="108" customFormat="1">
      <c r="B1331" s="97"/>
      <c r="C1331" s="110"/>
      <c r="D1331" s="109"/>
      <c r="E1331" s="97"/>
      <c r="F1331" s="97"/>
      <c r="G1331" s="109"/>
      <c r="H1331" s="109"/>
      <c r="I1331" s="97"/>
      <c r="J1331" s="97"/>
      <c r="K1331" s="83"/>
      <c r="L1331" s="111"/>
      <c r="M1331" s="111"/>
      <c r="N1331" s="111"/>
      <c r="O1331" s="111"/>
      <c r="P1331" s="111"/>
      <c r="Q1331" s="111"/>
      <c r="R1331" s="111"/>
    </row>
    <row r="1332" spans="2:18" s="108" customFormat="1">
      <c r="B1332" s="97"/>
      <c r="C1332" s="110"/>
      <c r="D1332" s="109"/>
      <c r="E1332" s="97"/>
      <c r="F1332" s="97"/>
      <c r="G1332" s="109"/>
      <c r="H1332" s="109"/>
      <c r="I1332" s="97"/>
      <c r="J1332" s="97"/>
      <c r="K1332" s="83"/>
      <c r="L1332" s="111"/>
      <c r="M1332" s="111"/>
      <c r="N1332" s="111"/>
      <c r="O1332" s="111"/>
      <c r="P1332" s="111"/>
      <c r="Q1332" s="111"/>
      <c r="R1332" s="111"/>
    </row>
    <row r="1333" spans="2:18" s="108" customFormat="1">
      <c r="B1333" s="97"/>
      <c r="C1333" s="110"/>
      <c r="D1333" s="109"/>
      <c r="E1333" s="97"/>
      <c r="F1333" s="97"/>
      <c r="G1333" s="109"/>
      <c r="H1333" s="109"/>
      <c r="I1333" s="97"/>
      <c r="J1333" s="97"/>
      <c r="K1333" s="83"/>
      <c r="L1333" s="111"/>
      <c r="M1333" s="111"/>
      <c r="N1333" s="111"/>
      <c r="O1333" s="111"/>
      <c r="P1333" s="111"/>
      <c r="Q1333" s="111"/>
      <c r="R1333" s="111"/>
    </row>
    <row r="1334" spans="2:18" s="108" customFormat="1">
      <c r="B1334" s="97"/>
      <c r="C1334" s="110"/>
      <c r="D1334" s="109"/>
      <c r="E1334" s="97"/>
      <c r="F1334" s="97"/>
      <c r="G1334" s="109"/>
      <c r="H1334" s="109"/>
      <c r="I1334" s="97"/>
      <c r="J1334" s="97"/>
      <c r="K1334" s="83"/>
      <c r="L1334" s="111"/>
      <c r="M1334" s="111"/>
      <c r="N1334" s="111"/>
      <c r="O1334" s="111"/>
      <c r="P1334" s="111"/>
      <c r="Q1334" s="111"/>
      <c r="R1334" s="111"/>
    </row>
    <row r="1335" spans="2:18" s="108" customFormat="1">
      <c r="B1335" s="97"/>
      <c r="C1335" s="110"/>
      <c r="D1335" s="109"/>
      <c r="E1335" s="97"/>
      <c r="F1335" s="97"/>
      <c r="G1335" s="109"/>
      <c r="H1335" s="109"/>
      <c r="I1335" s="97"/>
      <c r="J1335" s="97"/>
      <c r="K1335" s="83"/>
      <c r="L1335" s="111"/>
      <c r="M1335" s="111"/>
      <c r="N1335" s="111"/>
      <c r="O1335" s="111"/>
      <c r="P1335" s="111"/>
      <c r="Q1335" s="111"/>
      <c r="R1335" s="111"/>
    </row>
    <row r="1336" spans="2:18" s="108" customFormat="1">
      <c r="B1336" s="97"/>
      <c r="C1336" s="110"/>
      <c r="D1336" s="109"/>
      <c r="E1336" s="97"/>
      <c r="F1336" s="97"/>
      <c r="G1336" s="109"/>
      <c r="H1336" s="109"/>
      <c r="I1336" s="97"/>
      <c r="J1336" s="97"/>
      <c r="K1336" s="83"/>
      <c r="L1336" s="111"/>
      <c r="M1336" s="111"/>
      <c r="N1336" s="111"/>
      <c r="O1336" s="111"/>
      <c r="P1336" s="111"/>
      <c r="Q1336" s="111"/>
      <c r="R1336" s="111"/>
    </row>
    <row r="1337" spans="2:18" s="108" customFormat="1">
      <c r="B1337" s="97"/>
      <c r="C1337" s="110"/>
      <c r="D1337" s="109"/>
      <c r="E1337" s="97"/>
      <c r="F1337" s="97"/>
      <c r="G1337" s="109"/>
      <c r="H1337" s="109"/>
      <c r="I1337" s="97"/>
      <c r="J1337" s="97"/>
      <c r="K1337" s="83"/>
      <c r="L1337" s="111"/>
      <c r="M1337" s="111"/>
      <c r="N1337" s="111"/>
      <c r="O1337" s="111"/>
      <c r="P1337" s="111"/>
      <c r="Q1337" s="111"/>
      <c r="R1337" s="111"/>
    </row>
    <row r="1338" spans="2:18" s="108" customFormat="1">
      <c r="B1338" s="97"/>
      <c r="C1338" s="110"/>
      <c r="D1338" s="109"/>
      <c r="E1338" s="97"/>
      <c r="F1338" s="97"/>
      <c r="G1338" s="109"/>
      <c r="H1338" s="109"/>
      <c r="I1338" s="97"/>
      <c r="J1338" s="97"/>
      <c r="K1338" s="83"/>
      <c r="L1338" s="111"/>
      <c r="M1338" s="111"/>
      <c r="N1338" s="111"/>
      <c r="O1338" s="111"/>
      <c r="P1338" s="111"/>
      <c r="Q1338" s="111"/>
      <c r="R1338" s="111"/>
    </row>
    <row r="1339" spans="2:18" s="108" customFormat="1">
      <c r="B1339" s="97"/>
      <c r="C1339" s="110"/>
      <c r="D1339" s="109"/>
      <c r="E1339" s="97"/>
      <c r="F1339" s="97"/>
      <c r="G1339" s="109"/>
      <c r="H1339" s="109"/>
      <c r="I1339" s="97"/>
      <c r="J1339" s="97"/>
      <c r="K1339" s="83"/>
      <c r="L1339" s="111"/>
      <c r="M1339" s="111"/>
      <c r="N1339" s="111"/>
      <c r="O1339" s="111"/>
      <c r="P1339" s="111"/>
      <c r="Q1339" s="111"/>
      <c r="R1339" s="111"/>
    </row>
    <row r="1340" spans="2:18" s="108" customFormat="1">
      <c r="B1340" s="97"/>
      <c r="C1340" s="110"/>
      <c r="D1340" s="109"/>
      <c r="E1340" s="97"/>
      <c r="F1340" s="97"/>
      <c r="G1340" s="109"/>
      <c r="H1340" s="109"/>
      <c r="I1340" s="97"/>
      <c r="J1340" s="97"/>
      <c r="K1340" s="83"/>
      <c r="L1340" s="111"/>
      <c r="M1340" s="111"/>
      <c r="N1340" s="111"/>
      <c r="O1340" s="111"/>
      <c r="P1340" s="111"/>
      <c r="Q1340" s="111"/>
      <c r="R1340" s="111"/>
    </row>
    <row r="1341" spans="2:18" s="108" customFormat="1">
      <c r="B1341" s="97"/>
      <c r="C1341" s="110"/>
      <c r="D1341" s="109"/>
      <c r="E1341" s="97"/>
      <c r="F1341" s="97"/>
      <c r="G1341" s="109"/>
      <c r="H1341" s="109"/>
      <c r="I1341" s="97"/>
      <c r="J1341" s="97"/>
      <c r="K1341" s="83"/>
      <c r="L1341" s="111"/>
      <c r="M1341" s="111"/>
      <c r="N1341" s="111"/>
      <c r="O1341" s="111"/>
      <c r="P1341" s="111"/>
      <c r="Q1341" s="111"/>
      <c r="R1341" s="111"/>
    </row>
    <row r="1342" spans="2:18" s="108" customFormat="1">
      <c r="B1342" s="97"/>
      <c r="C1342" s="110"/>
      <c r="D1342" s="109"/>
      <c r="E1342" s="97"/>
      <c r="F1342" s="97"/>
      <c r="G1342" s="109"/>
      <c r="H1342" s="109"/>
      <c r="I1342" s="97"/>
      <c r="J1342" s="97"/>
      <c r="K1342" s="83"/>
      <c r="L1342" s="111"/>
      <c r="M1342" s="111"/>
      <c r="N1342" s="111"/>
      <c r="O1342" s="111"/>
      <c r="P1342" s="111"/>
      <c r="Q1342" s="111"/>
      <c r="R1342" s="111"/>
    </row>
    <row r="1343" spans="2:18" s="108" customFormat="1">
      <c r="B1343" s="97"/>
      <c r="C1343" s="110"/>
      <c r="D1343" s="109"/>
      <c r="E1343" s="97"/>
      <c r="F1343" s="97"/>
      <c r="G1343" s="109"/>
      <c r="H1343" s="109"/>
      <c r="I1343" s="97"/>
      <c r="J1343" s="97"/>
      <c r="K1343" s="83"/>
      <c r="L1343" s="111"/>
      <c r="M1343" s="111"/>
      <c r="N1343" s="111"/>
      <c r="O1343" s="111"/>
      <c r="P1343" s="111"/>
      <c r="Q1343" s="111"/>
      <c r="R1343" s="111"/>
    </row>
    <row r="1344" spans="2:18" s="108" customFormat="1">
      <c r="B1344" s="97"/>
      <c r="C1344" s="110"/>
      <c r="D1344" s="109"/>
      <c r="E1344" s="97"/>
      <c r="F1344" s="97"/>
      <c r="G1344" s="109"/>
      <c r="H1344" s="109"/>
      <c r="I1344" s="97"/>
      <c r="J1344" s="97"/>
      <c r="K1344" s="83"/>
      <c r="L1344" s="111"/>
      <c r="M1344" s="111"/>
      <c r="N1344" s="111"/>
      <c r="O1344" s="111"/>
      <c r="P1344" s="111"/>
      <c r="Q1344" s="111"/>
      <c r="R1344" s="111"/>
    </row>
    <row r="1345" spans="2:18" s="108" customFormat="1">
      <c r="B1345" s="97"/>
      <c r="C1345" s="110"/>
      <c r="D1345" s="109"/>
      <c r="E1345" s="97"/>
      <c r="F1345" s="97"/>
      <c r="G1345" s="109"/>
      <c r="H1345" s="109"/>
      <c r="I1345" s="97"/>
      <c r="J1345" s="97"/>
      <c r="K1345" s="83"/>
      <c r="L1345" s="111"/>
      <c r="M1345" s="111"/>
      <c r="N1345" s="111"/>
      <c r="O1345" s="111"/>
      <c r="P1345" s="111"/>
      <c r="Q1345" s="111"/>
      <c r="R1345" s="111"/>
    </row>
    <row r="1346" spans="2:18" s="108" customFormat="1">
      <c r="B1346" s="97"/>
      <c r="C1346" s="110"/>
      <c r="D1346" s="109"/>
      <c r="E1346" s="97"/>
      <c r="F1346" s="97"/>
      <c r="G1346" s="109"/>
      <c r="H1346" s="109"/>
      <c r="I1346" s="97"/>
      <c r="J1346" s="97"/>
      <c r="K1346" s="83"/>
      <c r="L1346" s="111"/>
      <c r="M1346" s="111"/>
      <c r="N1346" s="111"/>
      <c r="O1346" s="111"/>
      <c r="P1346" s="111"/>
      <c r="Q1346" s="111"/>
      <c r="R1346" s="111"/>
    </row>
    <row r="1347" spans="2:18" s="108" customFormat="1">
      <c r="B1347" s="97"/>
      <c r="C1347" s="110"/>
      <c r="D1347" s="109"/>
      <c r="E1347" s="97"/>
      <c r="F1347" s="97"/>
      <c r="G1347" s="109"/>
      <c r="H1347" s="109"/>
      <c r="I1347" s="97"/>
      <c r="J1347" s="97"/>
      <c r="K1347" s="83"/>
      <c r="L1347" s="111"/>
      <c r="M1347" s="111"/>
      <c r="N1347" s="111"/>
      <c r="O1347" s="111"/>
      <c r="P1347" s="111"/>
      <c r="Q1347" s="111"/>
      <c r="R1347" s="111"/>
    </row>
    <row r="1348" spans="2:18" s="108" customFormat="1">
      <c r="B1348" s="97"/>
      <c r="C1348" s="110"/>
      <c r="D1348" s="109"/>
      <c r="E1348" s="97"/>
      <c r="F1348" s="97"/>
      <c r="G1348" s="109"/>
      <c r="H1348" s="109"/>
      <c r="I1348" s="97"/>
      <c r="J1348" s="97"/>
      <c r="K1348" s="83"/>
      <c r="L1348" s="111"/>
      <c r="M1348" s="111"/>
      <c r="N1348" s="111"/>
      <c r="O1348" s="111"/>
      <c r="P1348" s="111"/>
      <c r="Q1348" s="111"/>
      <c r="R1348" s="111"/>
    </row>
    <row r="1349" spans="2:18" s="108" customFormat="1">
      <c r="B1349" s="97"/>
      <c r="C1349" s="110"/>
      <c r="D1349" s="109"/>
      <c r="E1349" s="97"/>
      <c r="F1349" s="97"/>
      <c r="G1349" s="109"/>
      <c r="H1349" s="109"/>
      <c r="I1349" s="97"/>
      <c r="J1349" s="97"/>
      <c r="K1349" s="83"/>
      <c r="L1349" s="111"/>
      <c r="M1349" s="111"/>
      <c r="N1349" s="111"/>
      <c r="O1349" s="111"/>
      <c r="P1349" s="111"/>
      <c r="Q1349" s="111"/>
      <c r="R1349" s="111"/>
    </row>
    <row r="1350" spans="2:18" s="108" customFormat="1">
      <c r="B1350" s="97"/>
      <c r="C1350" s="110"/>
      <c r="D1350" s="109"/>
      <c r="E1350" s="97"/>
      <c r="F1350" s="97"/>
      <c r="G1350" s="109"/>
      <c r="H1350" s="109"/>
      <c r="I1350" s="97"/>
      <c r="J1350" s="97"/>
      <c r="K1350" s="83"/>
      <c r="L1350" s="111"/>
      <c r="M1350" s="111"/>
      <c r="N1350" s="111"/>
      <c r="O1350" s="111"/>
      <c r="P1350" s="111"/>
      <c r="Q1350" s="111"/>
      <c r="R1350" s="111"/>
    </row>
    <row r="1351" spans="2:18" s="108" customFormat="1">
      <c r="B1351" s="97"/>
      <c r="C1351" s="110"/>
      <c r="D1351" s="109"/>
      <c r="E1351" s="97"/>
      <c r="F1351" s="97"/>
      <c r="G1351" s="109"/>
      <c r="H1351" s="109"/>
      <c r="I1351" s="97"/>
      <c r="J1351" s="97"/>
      <c r="K1351" s="83"/>
      <c r="L1351" s="111"/>
      <c r="M1351" s="111"/>
      <c r="N1351" s="111"/>
      <c r="O1351" s="111"/>
      <c r="P1351" s="111"/>
      <c r="Q1351" s="111"/>
      <c r="R1351" s="111"/>
    </row>
    <row r="1352" spans="2:18" s="108" customFormat="1">
      <c r="B1352" s="97"/>
      <c r="C1352" s="110"/>
      <c r="D1352" s="109"/>
      <c r="E1352" s="97"/>
      <c r="F1352" s="97"/>
      <c r="G1352" s="109"/>
      <c r="H1352" s="109"/>
      <c r="I1352" s="97"/>
      <c r="J1352" s="97"/>
      <c r="K1352" s="83"/>
      <c r="L1352" s="111"/>
      <c r="M1352" s="111"/>
      <c r="N1352" s="111"/>
      <c r="O1352" s="111"/>
      <c r="P1352" s="111"/>
      <c r="Q1352" s="111"/>
      <c r="R1352" s="111"/>
    </row>
    <row r="1353" spans="2:18" s="108" customFormat="1">
      <c r="B1353" s="97"/>
      <c r="C1353" s="110"/>
      <c r="D1353" s="109"/>
      <c r="E1353" s="97"/>
      <c r="F1353" s="97"/>
      <c r="G1353" s="109"/>
      <c r="H1353" s="109"/>
      <c r="I1353" s="97"/>
      <c r="J1353" s="97"/>
      <c r="K1353" s="83"/>
      <c r="L1353" s="111"/>
      <c r="M1353" s="111"/>
      <c r="N1353" s="111"/>
      <c r="O1353" s="111"/>
      <c r="P1353" s="111"/>
      <c r="Q1353" s="111"/>
      <c r="R1353" s="111"/>
    </row>
    <row r="1354" spans="2:18" s="108" customFormat="1">
      <c r="B1354" s="97"/>
      <c r="C1354" s="110"/>
      <c r="D1354" s="109"/>
      <c r="E1354" s="97"/>
      <c r="F1354" s="97"/>
      <c r="G1354" s="109"/>
      <c r="H1354" s="109"/>
      <c r="I1354" s="97"/>
      <c r="J1354" s="97"/>
      <c r="K1354" s="83"/>
      <c r="L1354" s="111"/>
      <c r="M1354" s="111"/>
      <c r="N1354" s="111"/>
      <c r="O1354" s="111"/>
      <c r="P1354" s="111"/>
      <c r="Q1354" s="111"/>
      <c r="R1354" s="111"/>
    </row>
    <row r="1355" spans="2:18" s="108" customFormat="1">
      <c r="B1355" s="97"/>
      <c r="C1355" s="110"/>
      <c r="D1355" s="109"/>
      <c r="E1355" s="97"/>
      <c r="F1355" s="97"/>
      <c r="G1355" s="109"/>
      <c r="H1355" s="109"/>
      <c r="I1355" s="97"/>
      <c r="J1355" s="97"/>
      <c r="K1355" s="83"/>
      <c r="L1355" s="111"/>
      <c r="M1355" s="111"/>
      <c r="N1355" s="111"/>
      <c r="O1355" s="111"/>
      <c r="P1355" s="111"/>
      <c r="Q1355" s="111"/>
      <c r="R1355" s="111"/>
    </row>
    <row r="1356" spans="2:18" s="108" customFormat="1">
      <c r="B1356" s="97"/>
      <c r="C1356" s="110"/>
      <c r="D1356" s="109"/>
      <c r="E1356" s="97"/>
      <c r="F1356" s="97"/>
      <c r="G1356" s="109"/>
      <c r="H1356" s="109"/>
      <c r="I1356" s="97"/>
      <c r="J1356" s="97"/>
      <c r="K1356" s="83"/>
      <c r="L1356" s="111"/>
      <c r="M1356" s="111"/>
      <c r="N1356" s="111"/>
      <c r="O1356" s="111"/>
      <c r="P1356" s="111"/>
      <c r="Q1356" s="111"/>
      <c r="R1356" s="111"/>
    </row>
    <row r="1357" spans="2:18" s="108" customFormat="1">
      <c r="B1357" s="97"/>
      <c r="C1357" s="110"/>
      <c r="D1357" s="109"/>
      <c r="E1357" s="97"/>
      <c r="F1357" s="97"/>
      <c r="G1357" s="109"/>
      <c r="H1357" s="109"/>
      <c r="I1357" s="97"/>
      <c r="J1357" s="97"/>
      <c r="K1357" s="83"/>
      <c r="L1357" s="111"/>
      <c r="M1357" s="111"/>
      <c r="N1357" s="111"/>
      <c r="O1357" s="111"/>
      <c r="P1357" s="111"/>
      <c r="Q1357" s="111"/>
      <c r="R1357" s="111"/>
    </row>
    <row r="1358" spans="2:18" s="108" customFormat="1">
      <c r="B1358" s="97"/>
      <c r="C1358" s="110"/>
      <c r="D1358" s="109"/>
      <c r="E1358" s="97"/>
      <c r="F1358" s="97"/>
      <c r="G1358" s="109"/>
      <c r="H1358" s="109"/>
      <c r="I1358" s="97"/>
      <c r="J1358" s="97"/>
      <c r="K1358" s="83"/>
      <c r="L1358" s="111"/>
      <c r="M1358" s="111"/>
      <c r="N1358" s="111"/>
      <c r="O1358" s="111"/>
      <c r="P1358" s="111"/>
      <c r="Q1358" s="111"/>
      <c r="R1358" s="111"/>
    </row>
    <row r="1359" spans="2:18" s="108" customFormat="1">
      <c r="B1359" s="97"/>
      <c r="C1359" s="110"/>
      <c r="D1359" s="109"/>
      <c r="E1359" s="97"/>
      <c r="F1359" s="97"/>
      <c r="G1359" s="109"/>
      <c r="H1359" s="109"/>
      <c r="I1359" s="97"/>
      <c r="J1359" s="97"/>
      <c r="K1359" s="83"/>
      <c r="L1359" s="111"/>
      <c r="M1359" s="111"/>
      <c r="N1359" s="111"/>
      <c r="O1359" s="111"/>
      <c r="P1359" s="111"/>
      <c r="Q1359" s="111"/>
      <c r="R1359" s="111"/>
    </row>
    <row r="1360" spans="2:18" s="108" customFormat="1">
      <c r="B1360" s="97"/>
      <c r="C1360" s="110"/>
      <c r="D1360" s="109"/>
      <c r="E1360" s="97"/>
      <c r="F1360" s="97"/>
      <c r="G1360" s="109"/>
      <c r="H1360" s="109"/>
      <c r="I1360" s="97"/>
      <c r="J1360" s="97"/>
      <c r="K1360" s="83"/>
      <c r="L1360" s="111"/>
      <c r="M1360" s="111"/>
      <c r="N1360" s="111"/>
      <c r="O1360" s="111"/>
      <c r="P1360" s="111"/>
      <c r="Q1360" s="111"/>
      <c r="R1360" s="111"/>
    </row>
    <row r="1361" spans="2:18" s="108" customFormat="1">
      <c r="B1361" s="97"/>
      <c r="C1361" s="110"/>
      <c r="D1361" s="109"/>
      <c r="E1361" s="97"/>
      <c r="F1361" s="97"/>
      <c r="G1361" s="109"/>
      <c r="H1361" s="109"/>
      <c r="I1361" s="97"/>
      <c r="J1361" s="97"/>
      <c r="K1361" s="83"/>
      <c r="L1361" s="111"/>
      <c r="M1361" s="111"/>
      <c r="N1361" s="111"/>
      <c r="O1361" s="111"/>
      <c r="P1361" s="111"/>
      <c r="Q1361" s="111"/>
      <c r="R1361" s="111"/>
    </row>
    <row r="1362" spans="2:18" s="108" customFormat="1">
      <c r="B1362" s="97"/>
      <c r="C1362" s="110"/>
      <c r="D1362" s="109"/>
      <c r="E1362" s="97"/>
      <c r="F1362" s="97"/>
      <c r="G1362" s="109"/>
      <c r="H1362" s="109"/>
      <c r="I1362" s="97"/>
      <c r="J1362" s="97"/>
      <c r="K1362" s="83"/>
      <c r="L1362" s="111"/>
      <c r="M1362" s="111"/>
      <c r="N1362" s="111"/>
      <c r="O1362" s="111"/>
      <c r="P1362" s="111"/>
      <c r="Q1362" s="111"/>
      <c r="R1362" s="111"/>
    </row>
    <row r="1363" spans="2:18" s="108" customFormat="1">
      <c r="B1363" s="97"/>
      <c r="C1363" s="110"/>
      <c r="D1363" s="109"/>
      <c r="E1363" s="97"/>
      <c r="F1363" s="97"/>
      <c r="G1363" s="109"/>
      <c r="H1363" s="109"/>
      <c r="I1363" s="97"/>
      <c r="J1363" s="97"/>
      <c r="K1363" s="83"/>
      <c r="L1363" s="111"/>
      <c r="M1363" s="111"/>
      <c r="N1363" s="111"/>
      <c r="O1363" s="111"/>
      <c r="P1363" s="111"/>
      <c r="Q1363" s="111"/>
      <c r="R1363" s="111"/>
    </row>
    <row r="1364" spans="2:18" s="108" customFormat="1">
      <c r="B1364" s="97"/>
      <c r="C1364" s="110"/>
      <c r="D1364" s="109"/>
      <c r="E1364" s="97"/>
      <c r="F1364" s="97"/>
      <c r="G1364" s="109"/>
      <c r="H1364" s="109"/>
      <c r="I1364" s="97"/>
      <c r="J1364" s="97"/>
      <c r="K1364" s="83"/>
      <c r="L1364" s="111"/>
      <c r="M1364" s="111"/>
      <c r="N1364" s="111"/>
      <c r="O1364" s="111"/>
      <c r="P1364" s="111"/>
      <c r="Q1364" s="111"/>
      <c r="R1364" s="111"/>
    </row>
    <row r="1365" spans="2:18" s="108" customFormat="1">
      <c r="B1365" s="97"/>
      <c r="C1365" s="110"/>
      <c r="D1365" s="109"/>
      <c r="E1365" s="97"/>
      <c r="F1365" s="97"/>
      <c r="G1365" s="109"/>
      <c r="H1365" s="109"/>
      <c r="I1365" s="97"/>
      <c r="J1365" s="97"/>
      <c r="K1365" s="83"/>
      <c r="L1365" s="111"/>
      <c r="M1365" s="111"/>
      <c r="N1365" s="111"/>
      <c r="O1365" s="111"/>
      <c r="P1365" s="111"/>
      <c r="Q1365" s="111"/>
      <c r="R1365" s="111"/>
    </row>
    <row r="1366" spans="2:18" s="108" customFormat="1">
      <c r="B1366" s="97"/>
      <c r="C1366" s="110"/>
      <c r="D1366" s="109"/>
      <c r="E1366" s="97"/>
      <c r="F1366" s="97"/>
      <c r="G1366" s="109"/>
      <c r="H1366" s="109"/>
      <c r="I1366" s="97"/>
      <c r="J1366" s="97"/>
      <c r="K1366" s="83"/>
      <c r="L1366" s="111"/>
      <c r="M1366" s="111"/>
      <c r="N1366" s="111"/>
      <c r="O1366" s="111"/>
      <c r="P1366" s="111"/>
      <c r="Q1366" s="111"/>
      <c r="R1366" s="111"/>
    </row>
    <row r="1367" spans="2:18" s="108" customFormat="1">
      <c r="B1367" s="97"/>
      <c r="C1367" s="110"/>
      <c r="D1367" s="109"/>
      <c r="E1367" s="97"/>
      <c r="F1367" s="97"/>
      <c r="G1367" s="109"/>
      <c r="H1367" s="109"/>
      <c r="I1367" s="97"/>
      <c r="J1367" s="97"/>
      <c r="K1367" s="83"/>
      <c r="L1367" s="111"/>
      <c r="M1367" s="111"/>
      <c r="N1367" s="111"/>
      <c r="O1367" s="111"/>
      <c r="P1367" s="111"/>
      <c r="Q1367" s="111"/>
      <c r="R1367" s="111"/>
    </row>
    <row r="1368" spans="2:18" s="108" customFormat="1">
      <c r="B1368" s="97"/>
      <c r="C1368" s="110"/>
      <c r="D1368" s="109"/>
      <c r="E1368" s="97"/>
      <c r="F1368" s="97"/>
      <c r="G1368" s="109"/>
      <c r="H1368" s="109"/>
      <c r="I1368" s="97"/>
      <c r="J1368" s="97"/>
      <c r="K1368" s="83"/>
      <c r="L1368" s="111"/>
      <c r="M1368" s="111"/>
      <c r="N1368" s="111"/>
      <c r="O1368" s="111"/>
      <c r="P1368" s="111"/>
      <c r="Q1368" s="111"/>
      <c r="R1368" s="111"/>
    </row>
    <row r="1369" spans="2:18" s="108" customFormat="1">
      <c r="B1369" s="97"/>
      <c r="C1369" s="110"/>
      <c r="D1369" s="109"/>
      <c r="E1369" s="97"/>
      <c r="F1369" s="97"/>
      <c r="G1369" s="109"/>
      <c r="H1369" s="109"/>
      <c r="I1369" s="97"/>
      <c r="J1369" s="97"/>
      <c r="K1369" s="83"/>
      <c r="L1369" s="111"/>
      <c r="M1369" s="111"/>
      <c r="N1369" s="111"/>
      <c r="O1369" s="111"/>
      <c r="P1369" s="111"/>
      <c r="Q1369" s="111"/>
      <c r="R1369" s="111"/>
    </row>
    <row r="1370" spans="2:18" s="108" customFormat="1">
      <c r="B1370" s="97"/>
      <c r="C1370" s="110"/>
      <c r="D1370" s="109"/>
      <c r="E1370" s="97"/>
      <c r="F1370" s="97"/>
      <c r="G1370" s="109"/>
      <c r="H1370" s="109"/>
      <c r="I1370" s="97"/>
      <c r="J1370" s="97"/>
      <c r="K1370" s="83"/>
      <c r="L1370" s="111"/>
      <c r="M1370" s="111"/>
      <c r="N1370" s="111"/>
      <c r="O1370" s="111"/>
      <c r="P1370" s="111"/>
      <c r="Q1370" s="111"/>
      <c r="R1370" s="111"/>
    </row>
    <row r="1371" spans="2:18" s="108" customFormat="1">
      <c r="B1371" s="97"/>
      <c r="C1371" s="110"/>
      <c r="D1371" s="109"/>
      <c r="E1371" s="97"/>
      <c r="F1371" s="97"/>
      <c r="G1371" s="109"/>
      <c r="H1371" s="109"/>
      <c r="I1371" s="97"/>
      <c r="J1371" s="97"/>
      <c r="K1371" s="83"/>
      <c r="L1371" s="111"/>
      <c r="M1371" s="111"/>
      <c r="N1371" s="111"/>
      <c r="O1371" s="111"/>
      <c r="P1371" s="111"/>
      <c r="Q1371" s="111"/>
      <c r="R1371" s="111"/>
    </row>
    <row r="1372" spans="2:18" s="108" customFormat="1">
      <c r="B1372" s="97"/>
      <c r="C1372" s="110"/>
      <c r="D1372" s="109"/>
      <c r="E1372" s="97"/>
      <c r="F1372" s="97"/>
      <c r="G1372" s="109"/>
      <c r="H1372" s="109"/>
      <c r="I1372" s="97"/>
      <c r="J1372" s="97"/>
      <c r="K1372" s="83"/>
      <c r="L1372" s="111"/>
      <c r="M1372" s="111"/>
      <c r="N1372" s="111"/>
      <c r="O1372" s="111"/>
      <c r="P1372" s="111"/>
      <c r="Q1372" s="111"/>
      <c r="R1372" s="111"/>
    </row>
    <row r="1373" spans="2:18" s="108" customFormat="1">
      <c r="B1373" s="97"/>
      <c r="C1373" s="110"/>
      <c r="D1373" s="109"/>
      <c r="E1373" s="97"/>
      <c r="F1373" s="97"/>
      <c r="G1373" s="109"/>
      <c r="H1373" s="109"/>
      <c r="I1373" s="97"/>
      <c r="J1373" s="97"/>
      <c r="K1373" s="83"/>
      <c r="L1373" s="111"/>
      <c r="M1373" s="111"/>
      <c r="N1373" s="111"/>
      <c r="O1373" s="111"/>
      <c r="P1373" s="111"/>
      <c r="Q1373" s="111"/>
      <c r="R1373" s="111"/>
    </row>
    <row r="1374" spans="2:18" s="108" customFormat="1">
      <c r="B1374" s="97"/>
      <c r="C1374" s="110"/>
      <c r="D1374" s="109"/>
      <c r="E1374" s="97"/>
      <c r="F1374" s="97"/>
      <c r="G1374" s="109"/>
      <c r="H1374" s="109"/>
      <c r="I1374" s="97"/>
      <c r="J1374" s="97"/>
      <c r="K1374" s="83"/>
      <c r="L1374" s="111"/>
      <c r="M1374" s="111"/>
      <c r="N1374" s="111"/>
      <c r="O1374" s="111"/>
      <c r="P1374" s="111"/>
      <c r="Q1374" s="111"/>
      <c r="R1374" s="111"/>
    </row>
    <row r="1375" spans="2:18" s="108" customFormat="1">
      <c r="B1375" s="97"/>
      <c r="C1375" s="110"/>
      <c r="D1375" s="109"/>
      <c r="E1375" s="97"/>
      <c r="F1375" s="97"/>
      <c r="G1375" s="109"/>
      <c r="H1375" s="109"/>
      <c r="I1375" s="97"/>
      <c r="J1375" s="97"/>
      <c r="K1375" s="83"/>
      <c r="L1375" s="111"/>
      <c r="M1375" s="111"/>
      <c r="N1375" s="111"/>
      <c r="O1375" s="111"/>
      <c r="P1375" s="111"/>
      <c r="Q1375" s="111"/>
      <c r="R1375" s="111"/>
    </row>
    <row r="1376" spans="2:18" s="108" customFormat="1">
      <c r="B1376" s="97"/>
      <c r="C1376" s="110"/>
      <c r="D1376" s="109"/>
      <c r="E1376" s="97"/>
      <c r="F1376" s="97"/>
      <c r="G1376" s="109"/>
      <c r="H1376" s="109"/>
      <c r="I1376" s="97"/>
      <c r="J1376" s="97"/>
      <c r="K1376" s="83"/>
      <c r="L1376" s="111"/>
      <c r="M1376" s="111"/>
      <c r="N1376" s="111"/>
      <c r="O1376" s="111"/>
      <c r="P1376" s="111"/>
      <c r="Q1376" s="111"/>
      <c r="R1376" s="111"/>
    </row>
    <row r="1377" spans="2:18" s="108" customFormat="1">
      <c r="B1377" s="97"/>
      <c r="C1377" s="110"/>
      <c r="D1377" s="109"/>
      <c r="E1377" s="97"/>
      <c r="F1377" s="97"/>
      <c r="G1377" s="109"/>
      <c r="H1377" s="109"/>
      <c r="I1377" s="97"/>
      <c r="J1377" s="97"/>
      <c r="K1377" s="83"/>
      <c r="L1377" s="111"/>
      <c r="M1377" s="111"/>
      <c r="N1377" s="111"/>
      <c r="O1377" s="111"/>
      <c r="P1377" s="111"/>
      <c r="Q1377" s="111"/>
      <c r="R1377" s="111"/>
    </row>
    <row r="1378" spans="2:18" s="108" customFormat="1">
      <c r="B1378" s="97"/>
      <c r="C1378" s="110"/>
      <c r="D1378" s="109"/>
      <c r="E1378" s="97"/>
      <c r="F1378" s="97"/>
      <c r="G1378" s="109"/>
      <c r="H1378" s="109"/>
      <c r="I1378" s="97"/>
      <c r="J1378" s="97"/>
      <c r="K1378" s="83"/>
      <c r="L1378" s="111"/>
      <c r="M1378" s="111"/>
      <c r="N1378" s="111"/>
      <c r="O1378" s="111"/>
      <c r="P1378" s="111"/>
      <c r="Q1378" s="111"/>
      <c r="R1378" s="111"/>
    </row>
    <row r="1379" spans="2:18" s="108" customFormat="1">
      <c r="B1379" s="97"/>
      <c r="C1379" s="110"/>
      <c r="D1379" s="109"/>
      <c r="E1379" s="97"/>
      <c r="F1379" s="97"/>
      <c r="G1379" s="109"/>
      <c r="H1379" s="109"/>
      <c r="I1379" s="97"/>
      <c r="J1379" s="97"/>
      <c r="K1379" s="83"/>
      <c r="L1379" s="111"/>
      <c r="M1379" s="111"/>
      <c r="N1379" s="111"/>
      <c r="O1379" s="111"/>
      <c r="P1379" s="111"/>
      <c r="Q1379" s="111"/>
      <c r="R1379" s="111"/>
    </row>
    <row r="1380" spans="2:18" s="108" customFormat="1">
      <c r="B1380" s="97"/>
      <c r="C1380" s="110"/>
      <c r="D1380" s="109"/>
      <c r="E1380" s="97"/>
      <c r="F1380" s="97"/>
      <c r="G1380" s="109"/>
      <c r="H1380" s="109"/>
      <c r="I1380" s="97"/>
      <c r="J1380" s="97"/>
      <c r="K1380" s="83"/>
      <c r="L1380" s="111"/>
      <c r="M1380" s="111"/>
      <c r="N1380" s="111"/>
      <c r="O1380" s="111"/>
      <c r="P1380" s="111"/>
      <c r="Q1380" s="111"/>
      <c r="R1380" s="111"/>
    </row>
    <row r="1381" spans="2:18" s="108" customFormat="1">
      <c r="B1381" s="97"/>
      <c r="C1381" s="110"/>
      <c r="D1381" s="109"/>
      <c r="E1381" s="97"/>
      <c r="F1381" s="97"/>
      <c r="G1381" s="109"/>
      <c r="H1381" s="109"/>
      <c r="I1381" s="97"/>
      <c r="J1381" s="97"/>
      <c r="K1381" s="83"/>
      <c r="L1381" s="111"/>
      <c r="M1381" s="111"/>
      <c r="N1381" s="111"/>
      <c r="O1381" s="111"/>
      <c r="P1381" s="111"/>
      <c r="Q1381" s="111"/>
      <c r="R1381" s="111"/>
    </row>
    <row r="1382" spans="2:18" s="108" customFormat="1">
      <c r="B1382" s="97"/>
      <c r="C1382" s="110"/>
      <c r="D1382" s="109"/>
      <c r="E1382" s="97"/>
      <c r="F1382" s="97"/>
      <c r="G1382" s="109"/>
      <c r="H1382" s="109"/>
      <c r="I1382" s="97"/>
      <c r="J1382" s="97"/>
      <c r="K1382" s="83"/>
      <c r="L1382" s="111"/>
      <c r="M1382" s="111"/>
      <c r="N1382" s="111"/>
      <c r="O1382" s="111"/>
      <c r="P1382" s="111"/>
      <c r="Q1382" s="111"/>
      <c r="R1382" s="111"/>
    </row>
    <row r="1383" spans="2:18" s="108" customFormat="1">
      <c r="B1383" s="97"/>
      <c r="C1383" s="110"/>
      <c r="D1383" s="109"/>
      <c r="E1383" s="97"/>
      <c r="F1383" s="97"/>
      <c r="G1383" s="109"/>
      <c r="H1383" s="109"/>
      <c r="I1383" s="97"/>
      <c r="J1383" s="97"/>
      <c r="K1383" s="83"/>
      <c r="L1383" s="111"/>
      <c r="M1383" s="111"/>
      <c r="N1383" s="111"/>
      <c r="O1383" s="111"/>
      <c r="P1383" s="111"/>
      <c r="Q1383" s="111"/>
      <c r="R1383" s="111"/>
    </row>
    <row r="1384" spans="2:18" s="108" customFormat="1">
      <c r="B1384" s="97"/>
      <c r="C1384" s="110"/>
      <c r="D1384" s="109"/>
      <c r="E1384" s="97"/>
      <c r="F1384" s="97"/>
      <c r="G1384" s="109"/>
      <c r="H1384" s="109"/>
      <c r="I1384" s="97"/>
      <c r="J1384" s="97"/>
      <c r="K1384" s="83"/>
      <c r="L1384" s="111"/>
      <c r="M1384" s="111"/>
      <c r="N1384" s="111"/>
      <c r="O1384" s="111"/>
      <c r="P1384" s="111"/>
      <c r="Q1384" s="111"/>
      <c r="R1384" s="111"/>
    </row>
    <row r="1385" spans="2:18" s="108" customFormat="1">
      <c r="B1385" s="97"/>
      <c r="C1385" s="110"/>
      <c r="D1385" s="109"/>
      <c r="E1385" s="97"/>
      <c r="F1385" s="97"/>
      <c r="G1385" s="109"/>
      <c r="H1385" s="109"/>
      <c r="I1385" s="97"/>
      <c r="J1385" s="97"/>
      <c r="K1385" s="83"/>
      <c r="L1385" s="111"/>
      <c r="M1385" s="111"/>
      <c r="N1385" s="111"/>
      <c r="O1385" s="111"/>
      <c r="P1385" s="111"/>
      <c r="Q1385" s="111"/>
      <c r="R1385" s="111"/>
    </row>
    <row r="1386" spans="2:18" s="108" customFormat="1">
      <c r="B1386" s="97"/>
      <c r="C1386" s="110"/>
      <c r="D1386" s="109"/>
      <c r="E1386" s="97"/>
      <c r="F1386" s="97"/>
      <c r="G1386" s="109"/>
      <c r="H1386" s="109"/>
      <c r="I1386" s="97"/>
      <c r="J1386" s="97"/>
      <c r="K1386" s="83"/>
      <c r="L1386" s="111"/>
      <c r="M1386" s="111"/>
      <c r="N1386" s="111"/>
      <c r="O1386" s="111"/>
      <c r="P1386" s="111"/>
      <c r="Q1386" s="111"/>
      <c r="R1386" s="111"/>
    </row>
    <row r="1387" spans="2:18" s="108" customFormat="1">
      <c r="B1387" s="97"/>
      <c r="C1387" s="110"/>
      <c r="D1387" s="109"/>
      <c r="E1387" s="97"/>
      <c r="F1387" s="97"/>
      <c r="G1387" s="109"/>
      <c r="H1387" s="109"/>
      <c r="I1387" s="97"/>
      <c r="J1387" s="97"/>
      <c r="K1387" s="83"/>
      <c r="L1387" s="111"/>
      <c r="M1387" s="111"/>
      <c r="N1387" s="111"/>
      <c r="O1387" s="111"/>
      <c r="P1387" s="111"/>
      <c r="Q1387" s="111"/>
      <c r="R1387" s="111"/>
    </row>
    <row r="1388" spans="2:18" s="108" customFormat="1">
      <c r="B1388" s="97"/>
      <c r="C1388" s="110"/>
      <c r="D1388" s="109"/>
      <c r="E1388" s="97"/>
      <c r="F1388" s="97"/>
      <c r="G1388" s="109"/>
      <c r="H1388" s="109"/>
      <c r="I1388" s="97"/>
      <c r="J1388" s="97"/>
      <c r="K1388" s="83"/>
      <c r="L1388" s="111"/>
      <c r="M1388" s="111"/>
      <c r="N1388" s="111"/>
      <c r="O1388" s="111"/>
      <c r="P1388" s="111"/>
      <c r="Q1388" s="111"/>
      <c r="R1388" s="111"/>
    </row>
    <row r="1389" spans="2:18" s="108" customFormat="1">
      <c r="B1389" s="97"/>
      <c r="C1389" s="110"/>
      <c r="D1389" s="109"/>
      <c r="E1389" s="97"/>
      <c r="F1389" s="97"/>
      <c r="G1389" s="109"/>
      <c r="H1389" s="109"/>
      <c r="I1389" s="97"/>
      <c r="J1389" s="97"/>
      <c r="K1389" s="83"/>
      <c r="L1389" s="111"/>
      <c r="M1389" s="111"/>
      <c r="N1389" s="111"/>
      <c r="O1389" s="111"/>
      <c r="P1389" s="111"/>
      <c r="Q1389" s="111"/>
      <c r="R1389" s="111"/>
    </row>
    <row r="1390" spans="2:18" s="108" customFormat="1">
      <c r="B1390" s="97"/>
      <c r="C1390" s="110"/>
      <c r="D1390" s="109"/>
      <c r="E1390" s="97"/>
      <c r="F1390" s="97"/>
      <c r="G1390" s="109"/>
      <c r="H1390" s="109"/>
      <c r="I1390" s="97"/>
      <c r="J1390" s="97"/>
      <c r="K1390" s="83"/>
      <c r="L1390" s="111"/>
      <c r="M1390" s="111"/>
      <c r="N1390" s="111"/>
      <c r="O1390" s="111"/>
      <c r="P1390" s="111"/>
      <c r="Q1390" s="111"/>
      <c r="R1390" s="111"/>
    </row>
    <row r="1391" spans="2:18" s="108" customFormat="1">
      <c r="B1391" s="97"/>
      <c r="C1391" s="110"/>
      <c r="D1391" s="109"/>
      <c r="E1391" s="97"/>
      <c r="F1391" s="97"/>
      <c r="G1391" s="109"/>
      <c r="H1391" s="109"/>
      <c r="I1391" s="97"/>
      <c r="J1391" s="97"/>
      <c r="K1391" s="83"/>
      <c r="L1391" s="111"/>
      <c r="M1391" s="111"/>
      <c r="N1391" s="111"/>
      <c r="O1391" s="111"/>
      <c r="P1391" s="111"/>
      <c r="Q1391" s="111"/>
      <c r="R1391" s="111"/>
    </row>
    <row r="1392" spans="2:18" s="108" customFormat="1">
      <c r="B1392" s="97"/>
      <c r="C1392" s="110"/>
      <c r="D1392" s="109"/>
      <c r="E1392" s="97"/>
      <c r="F1392" s="97"/>
      <c r="G1392" s="109"/>
      <c r="H1392" s="109"/>
      <c r="I1392" s="97"/>
      <c r="J1392" s="97"/>
      <c r="K1392" s="83"/>
      <c r="L1392" s="111"/>
      <c r="M1392" s="111"/>
      <c r="N1392" s="111"/>
      <c r="O1392" s="111"/>
      <c r="P1392" s="111"/>
      <c r="Q1392" s="111"/>
      <c r="R1392" s="111"/>
    </row>
    <row r="1393" spans="2:18" s="108" customFormat="1">
      <c r="B1393" s="97"/>
      <c r="C1393" s="110"/>
      <c r="D1393" s="109"/>
      <c r="E1393" s="97"/>
      <c r="F1393" s="97"/>
      <c r="G1393" s="109"/>
      <c r="H1393" s="109"/>
      <c r="I1393" s="97"/>
      <c r="J1393" s="97"/>
      <c r="K1393" s="83"/>
      <c r="L1393" s="111"/>
      <c r="M1393" s="111"/>
      <c r="N1393" s="111"/>
      <c r="O1393" s="111"/>
      <c r="P1393" s="111"/>
      <c r="Q1393" s="111"/>
      <c r="R1393" s="111"/>
    </row>
    <row r="1394" spans="2:18" s="108" customFormat="1">
      <c r="B1394" s="97"/>
      <c r="C1394" s="110"/>
      <c r="D1394" s="109"/>
      <c r="E1394" s="97"/>
      <c r="F1394" s="97"/>
      <c r="G1394" s="109"/>
      <c r="H1394" s="109"/>
      <c r="I1394" s="97"/>
      <c r="J1394" s="97"/>
      <c r="K1394" s="83"/>
      <c r="L1394" s="111"/>
      <c r="M1394" s="111"/>
      <c r="N1394" s="111"/>
      <c r="O1394" s="111"/>
      <c r="P1394" s="111"/>
      <c r="Q1394" s="111"/>
      <c r="R1394" s="111"/>
    </row>
    <row r="1395" spans="2:18" s="108" customFormat="1">
      <c r="B1395" s="97"/>
      <c r="C1395" s="110"/>
      <c r="D1395" s="109"/>
      <c r="E1395" s="97"/>
      <c r="F1395" s="97"/>
      <c r="G1395" s="109"/>
      <c r="H1395" s="109"/>
      <c r="I1395" s="97"/>
      <c r="J1395" s="97"/>
      <c r="K1395" s="83"/>
      <c r="L1395" s="111"/>
      <c r="M1395" s="111"/>
      <c r="N1395" s="111"/>
      <c r="O1395" s="111"/>
      <c r="P1395" s="111"/>
      <c r="Q1395" s="111"/>
      <c r="R1395" s="111"/>
    </row>
    <row r="1396" spans="2:18" s="108" customFormat="1">
      <c r="B1396" s="97"/>
      <c r="C1396" s="110"/>
      <c r="D1396" s="109"/>
      <c r="E1396" s="97"/>
      <c r="F1396" s="97"/>
      <c r="G1396" s="109"/>
      <c r="H1396" s="109"/>
      <c r="I1396" s="97"/>
      <c r="J1396" s="97"/>
      <c r="K1396" s="83"/>
      <c r="L1396" s="111"/>
      <c r="M1396" s="111"/>
      <c r="N1396" s="111"/>
      <c r="O1396" s="111"/>
      <c r="P1396" s="111"/>
      <c r="Q1396" s="111"/>
      <c r="R1396" s="111"/>
    </row>
    <row r="1397" spans="2:18" s="108" customFormat="1">
      <c r="B1397" s="97"/>
      <c r="C1397" s="110"/>
      <c r="D1397" s="109"/>
      <c r="E1397" s="97"/>
      <c r="F1397" s="97"/>
      <c r="G1397" s="109"/>
      <c r="H1397" s="109"/>
      <c r="I1397" s="97"/>
      <c r="J1397" s="97"/>
      <c r="K1397" s="83"/>
      <c r="L1397" s="111"/>
      <c r="M1397" s="111"/>
      <c r="N1397" s="111"/>
      <c r="O1397" s="111"/>
      <c r="P1397" s="111"/>
      <c r="Q1397" s="111"/>
      <c r="R1397" s="111"/>
    </row>
    <row r="1398" spans="2:18" s="108" customFormat="1">
      <c r="B1398" s="97"/>
      <c r="C1398" s="110"/>
      <c r="D1398" s="109"/>
      <c r="E1398" s="97"/>
      <c r="F1398" s="97"/>
      <c r="G1398" s="109"/>
      <c r="H1398" s="109"/>
      <c r="I1398" s="97"/>
      <c r="J1398" s="97"/>
      <c r="K1398" s="83"/>
      <c r="L1398" s="111"/>
      <c r="M1398" s="111"/>
      <c r="N1398" s="111"/>
      <c r="O1398" s="111"/>
      <c r="P1398" s="111"/>
      <c r="Q1398" s="111"/>
      <c r="R1398" s="111"/>
    </row>
    <row r="1399" spans="2:18" s="108" customFormat="1">
      <c r="B1399" s="97"/>
      <c r="C1399" s="110"/>
      <c r="D1399" s="109"/>
      <c r="E1399" s="97"/>
      <c r="F1399" s="97"/>
      <c r="G1399" s="109"/>
      <c r="H1399" s="109"/>
      <c r="I1399" s="97"/>
      <c r="J1399" s="97"/>
      <c r="K1399" s="83"/>
      <c r="L1399" s="111"/>
      <c r="M1399" s="111"/>
      <c r="N1399" s="111"/>
      <c r="O1399" s="111"/>
      <c r="P1399" s="111"/>
      <c r="Q1399" s="111"/>
      <c r="R1399" s="111"/>
    </row>
    <row r="1400" spans="2:18" s="108" customFormat="1">
      <c r="B1400" s="97"/>
      <c r="C1400" s="110"/>
      <c r="D1400" s="109"/>
      <c r="E1400" s="97"/>
      <c r="F1400" s="97"/>
      <c r="G1400" s="109"/>
      <c r="H1400" s="109"/>
      <c r="I1400" s="97"/>
      <c r="J1400" s="97"/>
      <c r="K1400" s="83"/>
      <c r="L1400" s="111"/>
      <c r="M1400" s="111"/>
      <c r="N1400" s="111"/>
      <c r="O1400" s="111"/>
      <c r="P1400" s="111"/>
      <c r="Q1400" s="111"/>
      <c r="R1400" s="111"/>
    </row>
    <row r="1401" spans="2:18" s="108" customFormat="1">
      <c r="B1401" s="97"/>
      <c r="C1401" s="110"/>
      <c r="D1401" s="109"/>
      <c r="E1401" s="97"/>
      <c r="F1401" s="97"/>
      <c r="G1401" s="109"/>
      <c r="H1401" s="109"/>
      <c r="I1401" s="97"/>
      <c r="J1401" s="97"/>
      <c r="K1401" s="83"/>
      <c r="L1401" s="111"/>
      <c r="M1401" s="111"/>
      <c r="N1401" s="111"/>
      <c r="O1401" s="111"/>
      <c r="P1401" s="111"/>
      <c r="Q1401" s="111"/>
      <c r="R1401" s="111"/>
    </row>
    <row r="1402" spans="2:18" s="108" customFormat="1">
      <c r="B1402" s="97"/>
      <c r="C1402" s="110"/>
      <c r="D1402" s="109"/>
      <c r="E1402" s="97"/>
      <c r="F1402" s="97"/>
      <c r="G1402" s="109"/>
      <c r="H1402" s="109"/>
      <c r="I1402" s="97"/>
      <c r="J1402" s="97"/>
      <c r="K1402" s="83"/>
      <c r="L1402" s="111"/>
      <c r="M1402" s="111"/>
      <c r="N1402" s="111"/>
      <c r="O1402" s="111"/>
      <c r="P1402" s="111"/>
      <c r="Q1402" s="111"/>
      <c r="R1402" s="111"/>
    </row>
    <row r="1403" spans="2:18" s="108" customFormat="1">
      <c r="B1403" s="97"/>
      <c r="C1403" s="110"/>
      <c r="D1403" s="109"/>
      <c r="E1403" s="97"/>
      <c r="F1403" s="97"/>
      <c r="G1403" s="109"/>
      <c r="H1403" s="109"/>
      <c r="I1403" s="97"/>
      <c r="J1403" s="97"/>
      <c r="K1403" s="83"/>
      <c r="L1403" s="111"/>
      <c r="M1403" s="111"/>
      <c r="N1403" s="111"/>
      <c r="O1403" s="111"/>
      <c r="P1403" s="111"/>
      <c r="Q1403" s="111"/>
      <c r="R1403" s="111"/>
    </row>
    <row r="1404" spans="2:18" s="108" customFormat="1">
      <c r="B1404" s="97"/>
      <c r="C1404" s="110"/>
      <c r="D1404" s="109"/>
      <c r="E1404" s="97"/>
      <c r="F1404" s="97"/>
      <c r="G1404" s="109"/>
      <c r="H1404" s="109"/>
      <c r="I1404" s="97"/>
      <c r="J1404" s="97"/>
      <c r="K1404" s="83"/>
      <c r="L1404" s="111"/>
      <c r="M1404" s="111"/>
      <c r="N1404" s="111"/>
      <c r="O1404" s="111"/>
      <c r="P1404" s="111"/>
      <c r="Q1404" s="111"/>
      <c r="R1404" s="111"/>
    </row>
    <row r="1405" spans="2:18" s="108" customFormat="1">
      <c r="B1405" s="97"/>
      <c r="C1405" s="110"/>
      <c r="D1405" s="109"/>
      <c r="E1405" s="97"/>
      <c r="F1405" s="97"/>
      <c r="G1405" s="109"/>
      <c r="H1405" s="109"/>
      <c r="I1405" s="97"/>
      <c r="J1405" s="97"/>
      <c r="K1405" s="83"/>
      <c r="L1405" s="111"/>
      <c r="M1405" s="111"/>
      <c r="N1405" s="111"/>
      <c r="O1405" s="111"/>
      <c r="P1405" s="111"/>
      <c r="Q1405" s="111"/>
      <c r="R1405" s="111"/>
    </row>
    <row r="1406" spans="2:18" s="108" customFormat="1">
      <c r="B1406" s="97"/>
      <c r="C1406" s="110"/>
      <c r="D1406" s="109"/>
      <c r="E1406" s="97"/>
      <c r="F1406" s="97"/>
      <c r="G1406" s="109"/>
      <c r="H1406" s="109"/>
      <c r="I1406" s="97"/>
      <c r="J1406" s="97"/>
      <c r="K1406" s="83"/>
      <c r="L1406" s="111"/>
      <c r="M1406" s="111"/>
      <c r="N1406" s="111"/>
      <c r="O1406" s="111"/>
      <c r="P1406" s="111"/>
      <c r="Q1406" s="111"/>
      <c r="R1406" s="111"/>
    </row>
    <row r="1407" spans="2:18" s="108" customFormat="1">
      <c r="B1407" s="97"/>
      <c r="C1407" s="110"/>
      <c r="D1407" s="109"/>
      <c r="E1407" s="97"/>
      <c r="F1407" s="97"/>
      <c r="G1407" s="109"/>
      <c r="H1407" s="109"/>
      <c r="I1407" s="97"/>
      <c r="J1407" s="97"/>
      <c r="K1407" s="83"/>
      <c r="L1407" s="111"/>
      <c r="M1407" s="111"/>
      <c r="N1407" s="111"/>
      <c r="O1407" s="111"/>
      <c r="P1407" s="111"/>
      <c r="Q1407" s="111"/>
      <c r="R1407" s="111"/>
    </row>
    <row r="1408" spans="2:18" s="108" customFormat="1">
      <c r="B1408" s="97"/>
      <c r="C1408" s="110"/>
      <c r="D1408" s="109"/>
      <c r="E1408" s="97"/>
      <c r="F1408" s="97"/>
      <c r="G1408" s="109"/>
      <c r="H1408" s="109"/>
      <c r="I1408" s="97"/>
      <c r="J1408" s="97"/>
      <c r="K1408" s="83"/>
      <c r="L1408" s="111"/>
      <c r="M1408" s="111"/>
      <c r="N1408" s="111"/>
      <c r="O1408" s="111"/>
      <c r="P1408" s="111"/>
      <c r="Q1408" s="111"/>
      <c r="R1408" s="111"/>
    </row>
    <row r="1409" spans="2:18" s="108" customFormat="1">
      <c r="B1409" s="97"/>
      <c r="C1409" s="110"/>
      <c r="D1409" s="109"/>
      <c r="E1409" s="97"/>
      <c r="F1409" s="97"/>
      <c r="G1409" s="109"/>
      <c r="H1409" s="109"/>
      <c r="I1409" s="97"/>
      <c r="J1409" s="97"/>
      <c r="K1409" s="83"/>
      <c r="L1409" s="111"/>
      <c r="M1409" s="111"/>
      <c r="N1409" s="111"/>
      <c r="O1409" s="111"/>
      <c r="P1409" s="111"/>
      <c r="Q1409" s="111"/>
      <c r="R1409" s="111"/>
    </row>
    <row r="1410" spans="2:18" s="108" customFormat="1">
      <c r="B1410" s="97"/>
      <c r="C1410" s="110"/>
      <c r="D1410" s="109"/>
      <c r="E1410" s="97"/>
      <c r="F1410" s="97"/>
      <c r="G1410" s="109"/>
      <c r="H1410" s="109"/>
      <c r="I1410" s="97"/>
      <c r="J1410" s="97"/>
      <c r="K1410" s="83"/>
      <c r="L1410" s="111"/>
      <c r="M1410" s="111"/>
      <c r="N1410" s="111"/>
      <c r="O1410" s="111"/>
      <c r="P1410" s="111"/>
      <c r="Q1410" s="111"/>
      <c r="R1410" s="111"/>
    </row>
    <row r="1411" spans="2:18" s="108" customFormat="1">
      <c r="B1411" s="97"/>
      <c r="C1411" s="110"/>
      <c r="D1411" s="109"/>
      <c r="E1411" s="97"/>
      <c r="F1411" s="97"/>
      <c r="G1411" s="109"/>
      <c r="H1411" s="109"/>
      <c r="I1411" s="97"/>
      <c r="J1411" s="97"/>
      <c r="K1411" s="83"/>
      <c r="L1411" s="111"/>
      <c r="M1411" s="111"/>
      <c r="N1411" s="111"/>
      <c r="O1411" s="111"/>
      <c r="P1411" s="111"/>
      <c r="Q1411" s="111"/>
      <c r="R1411" s="111"/>
    </row>
    <row r="1412" spans="2:18" s="108" customFormat="1">
      <c r="B1412" s="97"/>
      <c r="C1412" s="110"/>
      <c r="D1412" s="109"/>
      <c r="E1412" s="97"/>
      <c r="F1412" s="97"/>
      <c r="G1412" s="109"/>
      <c r="H1412" s="109"/>
      <c r="I1412" s="97"/>
      <c r="J1412" s="97"/>
      <c r="K1412" s="83"/>
      <c r="L1412" s="111"/>
      <c r="M1412" s="111"/>
      <c r="N1412" s="111"/>
      <c r="O1412" s="111"/>
      <c r="P1412" s="111"/>
      <c r="Q1412" s="111"/>
      <c r="R1412" s="111"/>
    </row>
    <row r="1413" spans="2:18" s="108" customFormat="1">
      <c r="B1413" s="97"/>
      <c r="C1413" s="110"/>
      <c r="D1413" s="109"/>
      <c r="E1413" s="97"/>
      <c r="F1413" s="97"/>
      <c r="G1413" s="109"/>
      <c r="H1413" s="109"/>
      <c r="I1413" s="97"/>
      <c r="J1413" s="97"/>
      <c r="K1413" s="83"/>
      <c r="L1413" s="111"/>
      <c r="M1413" s="111"/>
      <c r="N1413" s="111"/>
      <c r="O1413" s="111"/>
      <c r="P1413" s="111"/>
      <c r="Q1413" s="111"/>
      <c r="R1413" s="111"/>
    </row>
    <row r="1414" spans="2:18" s="108" customFormat="1">
      <c r="B1414" s="97"/>
      <c r="C1414" s="110"/>
      <c r="D1414" s="109"/>
      <c r="E1414" s="97"/>
      <c r="F1414" s="97"/>
      <c r="G1414" s="109"/>
      <c r="H1414" s="109"/>
      <c r="I1414" s="97"/>
      <c r="J1414" s="97"/>
      <c r="K1414" s="83"/>
      <c r="L1414" s="111"/>
      <c r="M1414" s="111"/>
      <c r="N1414" s="111"/>
      <c r="O1414" s="111"/>
      <c r="P1414" s="111"/>
      <c r="Q1414" s="111"/>
      <c r="R1414" s="111"/>
    </row>
    <row r="1415" spans="2:18" s="108" customFormat="1">
      <c r="B1415" s="97"/>
      <c r="C1415" s="110"/>
      <c r="D1415" s="109"/>
      <c r="E1415" s="97"/>
      <c r="F1415" s="97"/>
      <c r="G1415" s="109"/>
      <c r="H1415" s="109"/>
      <c r="I1415" s="97"/>
      <c r="J1415" s="97"/>
      <c r="K1415" s="83"/>
      <c r="L1415" s="111"/>
      <c r="M1415" s="111"/>
      <c r="N1415" s="111"/>
      <c r="O1415" s="111"/>
      <c r="P1415" s="111"/>
      <c r="Q1415" s="111"/>
      <c r="R1415" s="111"/>
    </row>
    <row r="1416" spans="2:18" s="108" customFormat="1">
      <c r="B1416" s="97"/>
      <c r="C1416" s="110"/>
      <c r="D1416" s="109"/>
      <c r="E1416" s="97"/>
      <c r="F1416" s="97"/>
      <c r="G1416" s="109"/>
      <c r="H1416" s="109"/>
      <c r="I1416" s="97"/>
      <c r="J1416" s="97"/>
      <c r="K1416" s="83"/>
      <c r="L1416" s="111"/>
      <c r="M1416" s="111"/>
      <c r="N1416" s="111"/>
      <c r="O1416" s="111"/>
      <c r="P1416" s="111"/>
      <c r="Q1416" s="111"/>
      <c r="R1416" s="111"/>
    </row>
    <row r="1417" spans="2:18" s="108" customFormat="1">
      <c r="B1417" s="97"/>
      <c r="C1417" s="110"/>
      <c r="D1417" s="109"/>
      <c r="E1417" s="97"/>
      <c r="F1417" s="97"/>
      <c r="G1417" s="109"/>
      <c r="H1417" s="109"/>
      <c r="I1417" s="97"/>
      <c r="J1417" s="97"/>
      <c r="K1417" s="83"/>
      <c r="L1417" s="111"/>
      <c r="M1417" s="111"/>
      <c r="N1417" s="111"/>
      <c r="O1417" s="111"/>
      <c r="P1417" s="111"/>
      <c r="Q1417" s="111"/>
      <c r="R1417" s="111"/>
    </row>
    <row r="1418" spans="2:18" s="108" customFormat="1">
      <c r="B1418" s="97"/>
      <c r="C1418" s="110"/>
      <c r="D1418" s="109"/>
      <c r="E1418" s="97"/>
      <c r="F1418" s="97"/>
      <c r="G1418" s="109"/>
      <c r="H1418" s="109"/>
      <c r="I1418" s="97"/>
      <c r="J1418" s="97"/>
      <c r="K1418" s="83"/>
      <c r="L1418" s="111"/>
      <c r="M1418" s="111"/>
      <c r="N1418" s="111"/>
      <c r="O1418" s="111"/>
      <c r="P1418" s="111"/>
      <c r="Q1418" s="111"/>
      <c r="R1418" s="111"/>
    </row>
    <row r="1419" spans="2:18" s="108" customFormat="1">
      <c r="B1419" s="97"/>
      <c r="C1419" s="110"/>
      <c r="D1419" s="109"/>
      <c r="E1419" s="97"/>
      <c r="F1419" s="97"/>
      <c r="G1419" s="109"/>
      <c r="H1419" s="109"/>
      <c r="I1419" s="97"/>
      <c r="J1419" s="97"/>
      <c r="K1419" s="83"/>
      <c r="L1419" s="111"/>
      <c r="M1419" s="111"/>
      <c r="N1419" s="111"/>
      <c r="O1419" s="111"/>
      <c r="P1419" s="111"/>
      <c r="Q1419" s="111"/>
      <c r="R1419" s="111"/>
    </row>
    <row r="1420" spans="2:18" s="108" customFormat="1">
      <c r="B1420" s="97"/>
      <c r="C1420" s="110"/>
      <c r="D1420" s="109"/>
      <c r="E1420" s="97"/>
      <c r="F1420" s="97"/>
      <c r="G1420" s="109"/>
      <c r="H1420" s="109"/>
      <c r="I1420" s="97"/>
      <c r="J1420" s="97"/>
      <c r="K1420" s="83"/>
      <c r="L1420" s="111"/>
      <c r="M1420" s="111"/>
      <c r="N1420" s="111"/>
      <c r="O1420" s="111"/>
      <c r="P1420" s="111"/>
      <c r="Q1420" s="111"/>
      <c r="R1420" s="111"/>
    </row>
    <row r="1421" spans="2:18" s="108" customFormat="1">
      <c r="B1421" s="97"/>
      <c r="C1421" s="110"/>
      <c r="D1421" s="109"/>
      <c r="E1421" s="97"/>
      <c r="F1421" s="97"/>
      <c r="G1421" s="109"/>
      <c r="H1421" s="109"/>
      <c r="I1421" s="97"/>
      <c r="J1421" s="97"/>
      <c r="K1421" s="83"/>
      <c r="L1421" s="111"/>
      <c r="M1421" s="111"/>
      <c r="N1421" s="111"/>
      <c r="O1421" s="111"/>
      <c r="P1421" s="111"/>
      <c r="Q1421" s="111"/>
      <c r="R1421" s="111"/>
    </row>
    <row r="1422" spans="2:18" s="108" customFormat="1">
      <c r="B1422" s="97"/>
      <c r="C1422" s="110"/>
      <c r="D1422" s="109"/>
      <c r="E1422" s="97"/>
      <c r="F1422" s="97"/>
      <c r="G1422" s="109"/>
      <c r="H1422" s="109"/>
      <c r="I1422" s="97"/>
      <c r="J1422" s="97"/>
      <c r="K1422" s="83"/>
      <c r="L1422" s="111"/>
      <c r="M1422" s="111"/>
      <c r="N1422" s="111"/>
      <c r="O1422" s="111"/>
      <c r="P1422" s="111"/>
      <c r="Q1422" s="111"/>
      <c r="R1422" s="111"/>
    </row>
    <row r="1423" spans="2:18" s="108" customFormat="1">
      <c r="B1423" s="97"/>
      <c r="C1423" s="110"/>
      <c r="D1423" s="109"/>
      <c r="E1423" s="97"/>
      <c r="F1423" s="97"/>
      <c r="G1423" s="109"/>
      <c r="H1423" s="109"/>
      <c r="I1423" s="97"/>
      <c r="J1423" s="97"/>
      <c r="K1423" s="83"/>
      <c r="L1423" s="111"/>
      <c r="M1423" s="111"/>
      <c r="N1423" s="111"/>
      <c r="O1423" s="111"/>
      <c r="P1423" s="111"/>
      <c r="Q1423" s="111"/>
      <c r="R1423" s="111"/>
    </row>
    <row r="1424" spans="2:18" s="108" customFormat="1">
      <c r="B1424" s="97"/>
      <c r="C1424" s="110"/>
      <c r="D1424" s="109"/>
      <c r="E1424" s="97"/>
      <c r="F1424" s="97"/>
      <c r="G1424" s="109"/>
      <c r="H1424" s="109"/>
      <c r="I1424" s="97"/>
      <c r="J1424" s="97"/>
      <c r="K1424" s="83"/>
      <c r="L1424" s="111"/>
      <c r="M1424" s="111"/>
      <c r="N1424" s="111"/>
      <c r="O1424" s="111"/>
      <c r="P1424" s="111"/>
      <c r="Q1424" s="111"/>
      <c r="R1424" s="111"/>
    </row>
    <row r="1425" spans="2:18" s="108" customFormat="1">
      <c r="B1425" s="97"/>
      <c r="C1425" s="110"/>
      <c r="D1425" s="109"/>
      <c r="E1425" s="97"/>
      <c r="F1425" s="97"/>
      <c r="G1425" s="109"/>
      <c r="H1425" s="109"/>
      <c r="I1425" s="97"/>
      <c r="J1425" s="97"/>
      <c r="K1425" s="83"/>
      <c r="L1425" s="111"/>
      <c r="M1425" s="111"/>
      <c r="N1425" s="111"/>
      <c r="O1425" s="111"/>
      <c r="P1425" s="111"/>
      <c r="Q1425" s="111"/>
      <c r="R1425" s="111"/>
    </row>
    <row r="1426" spans="2:18" s="108" customFormat="1">
      <c r="B1426" s="97"/>
      <c r="C1426" s="110"/>
      <c r="D1426" s="109"/>
      <c r="E1426" s="97"/>
      <c r="F1426" s="97"/>
      <c r="G1426" s="109"/>
      <c r="H1426" s="109"/>
      <c r="I1426" s="97"/>
      <c r="J1426" s="97"/>
      <c r="K1426" s="83"/>
      <c r="L1426" s="111"/>
      <c r="M1426" s="111"/>
      <c r="N1426" s="111"/>
      <c r="O1426" s="111"/>
      <c r="P1426" s="111"/>
      <c r="Q1426" s="111"/>
      <c r="R1426" s="111"/>
    </row>
    <row r="1427" spans="2:18" s="108" customFormat="1">
      <c r="B1427" s="97"/>
      <c r="C1427" s="110"/>
      <c r="D1427" s="109"/>
      <c r="E1427" s="97"/>
      <c r="F1427" s="97"/>
      <c r="G1427" s="109"/>
      <c r="H1427" s="109"/>
      <c r="I1427" s="97"/>
      <c r="J1427" s="97"/>
      <c r="K1427" s="83"/>
      <c r="L1427" s="111"/>
      <c r="M1427" s="111"/>
      <c r="N1427" s="111"/>
      <c r="O1427" s="111"/>
      <c r="P1427" s="111"/>
      <c r="Q1427" s="111"/>
      <c r="R1427" s="111"/>
    </row>
    <row r="1428" spans="2:18" s="108" customFormat="1">
      <c r="B1428" s="97"/>
      <c r="C1428" s="110"/>
      <c r="D1428" s="109"/>
      <c r="E1428" s="97"/>
      <c r="F1428" s="97"/>
      <c r="G1428" s="109"/>
      <c r="H1428" s="109"/>
      <c r="I1428" s="97"/>
      <c r="J1428" s="97"/>
      <c r="K1428" s="83"/>
      <c r="L1428" s="111"/>
      <c r="M1428" s="111"/>
      <c r="N1428" s="111"/>
      <c r="O1428" s="111"/>
      <c r="P1428" s="111"/>
      <c r="Q1428" s="111"/>
      <c r="R1428" s="111"/>
    </row>
    <row r="1429" spans="2:18" s="108" customFormat="1">
      <c r="B1429" s="97"/>
      <c r="C1429" s="110"/>
      <c r="D1429" s="109"/>
      <c r="E1429" s="97"/>
      <c r="F1429" s="97"/>
      <c r="G1429" s="109"/>
      <c r="H1429" s="109"/>
      <c r="I1429" s="97"/>
      <c r="J1429" s="97"/>
      <c r="K1429" s="83"/>
      <c r="L1429" s="111"/>
      <c r="M1429" s="111"/>
      <c r="N1429" s="111"/>
      <c r="O1429" s="111"/>
      <c r="P1429" s="111"/>
      <c r="Q1429" s="111"/>
      <c r="R1429" s="111"/>
    </row>
    <row r="1430" spans="2:18" s="108" customFormat="1">
      <c r="B1430" s="97"/>
      <c r="C1430" s="110"/>
      <c r="D1430" s="109"/>
      <c r="E1430" s="97"/>
      <c r="F1430" s="97"/>
      <c r="G1430" s="109"/>
      <c r="H1430" s="109"/>
      <c r="I1430" s="97"/>
      <c r="J1430" s="97"/>
      <c r="K1430" s="83"/>
      <c r="L1430" s="111"/>
      <c r="M1430" s="111"/>
      <c r="N1430" s="111"/>
      <c r="O1430" s="111"/>
      <c r="P1430" s="111"/>
      <c r="Q1430" s="111"/>
      <c r="R1430" s="111"/>
    </row>
    <row r="1431" spans="2:18" s="108" customFormat="1">
      <c r="B1431" s="97"/>
      <c r="C1431" s="110"/>
      <c r="D1431" s="109"/>
      <c r="E1431" s="97"/>
      <c r="F1431" s="97"/>
      <c r="G1431" s="109"/>
      <c r="H1431" s="109"/>
      <c r="I1431" s="97"/>
      <c r="J1431" s="97"/>
      <c r="K1431" s="83"/>
      <c r="L1431" s="111"/>
      <c r="M1431" s="111"/>
      <c r="N1431" s="111"/>
      <c r="O1431" s="111"/>
      <c r="P1431" s="111"/>
      <c r="Q1431" s="111"/>
      <c r="R1431" s="111"/>
    </row>
    <row r="1432" spans="2:18" s="108" customFormat="1">
      <c r="B1432" s="97"/>
      <c r="C1432" s="110"/>
      <c r="D1432" s="109"/>
      <c r="E1432" s="97"/>
      <c r="F1432" s="97"/>
      <c r="G1432" s="109"/>
      <c r="H1432" s="109"/>
      <c r="I1432" s="97"/>
      <c r="J1432" s="97"/>
      <c r="K1432" s="83"/>
      <c r="L1432" s="111"/>
      <c r="M1432" s="111"/>
      <c r="N1432" s="111"/>
      <c r="O1432" s="111"/>
      <c r="P1432" s="111"/>
      <c r="Q1432" s="111"/>
      <c r="R1432" s="111"/>
    </row>
    <row r="1433" spans="2:18" s="108" customFormat="1">
      <c r="B1433" s="97"/>
      <c r="C1433" s="110"/>
      <c r="D1433" s="109"/>
      <c r="E1433" s="97"/>
      <c r="F1433" s="97"/>
      <c r="G1433" s="109"/>
      <c r="H1433" s="109"/>
      <c r="I1433" s="97"/>
      <c r="J1433" s="97"/>
      <c r="K1433" s="83"/>
      <c r="L1433" s="111"/>
      <c r="M1433" s="111"/>
      <c r="N1433" s="111"/>
      <c r="O1433" s="111"/>
      <c r="P1433" s="111"/>
      <c r="Q1433" s="111"/>
      <c r="R1433" s="111"/>
    </row>
    <row r="1434" spans="2:18" s="108" customFormat="1">
      <c r="B1434" s="97"/>
      <c r="C1434" s="110"/>
      <c r="D1434" s="109"/>
      <c r="E1434" s="97"/>
      <c r="F1434" s="97"/>
      <c r="G1434" s="109"/>
      <c r="H1434" s="109"/>
      <c r="I1434" s="97"/>
      <c r="J1434" s="97"/>
      <c r="K1434" s="83"/>
      <c r="L1434" s="111"/>
      <c r="M1434" s="111"/>
      <c r="N1434" s="111"/>
      <c r="O1434" s="111"/>
      <c r="P1434" s="111"/>
      <c r="Q1434" s="111"/>
      <c r="R1434" s="111"/>
    </row>
    <row r="1435" spans="2:18" s="108" customFormat="1">
      <c r="B1435" s="97"/>
      <c r="C1435" s="110"/>
      <c r="D1435" s="109"/>
      <c r="E1435" s="97"/>
      <c r="F1435" s="97"/>
      <c r="G1435" s="109"/>
      <c r="H1435" s="109"/>
      <c r="I1435" s="97"/>
      <c r="J1435" s="97"/>
      <c r="K1435" s="83"/>
      <c r="L1435" s="111"/>
      <c r="M1435" s="111"/>
      <c r="N1435" s="111"/>
      <c r="O1435" s="111"/>
      <c r="P1435" s="111"/>
      <c r="Q1435" s="111"/>
      <c r="R1435" s="111"/>
    </row>
    <row r="1436" spans="2:18" s="108" customFormat="1">
      <c r="B1436" s="97"/>
      <c r="C1436" s="110"/>
      <c r="D1436" s="109"/>
      <c r="E1436" s="97"/>
      <c r="F1436" s="97"/>
      <c r="G1436" s="109"/>
      <c r="H1436" s="109"/>
      <c r="I1436" s="97"/>
      <c r="J1436" s="97"/>
      <c r="K1436" s="83"/>
      <c r="L1436" s="111"/>
      <c r="M1436" s="111"/>
      <c r="N1436" s="111"/>
      <c r="O1436" s="111"/>
      <c r="P1436" s="111"/>
      <c r="Q1436" s="111"/>
      <c r="R1436" s="111"/>
    </row>
    <row r="1437" spans="2:18" s="108" customFormat="1">
      <c r="B1437" s="97"/>
      <c r="C1437" s="110"/>
      <c r="D1437" s="109"/>
      <c r="E1437" s="97"/>
      <c r="F1437" s="97"/>
      <c r="G1437" s="109"/>
      <c r="H1437" s="109"/>
      <c r="I1437" s="97"/>
      <c r="J1437" s="97"/>
      <c r="K1437" s="83"/>
      <c r="L1437" s="111"/>
      <c r="M1437" s="111"/>
      <c r="N1437" s="111"/>
      <c r="O1437" s="111"/>
      <c r="P1437" s="111"/>
      <c r="Q1437" s="111"/>
      <c r="R1437" s="111"/>
    </row>
    <row r="1438" spans="2:18" s="108" customFormat="1">
      <c r="B1438" s="97"/>
      <c r="C1438" s="110"/>
      <c r="D1438" s="109"/>
      <c r="E1438" s="97"/>
      <c r="F1438" s="97"/>
      <c r="G1438" s="109"/>
      <c r="H1438" s="109"/>
      <c r="I1438" s="97"/>
      <c r="J1438" s="97"/>
      <c r="K1438" s="83"/>
      <c r="L1438" s="111"/>
      <c r="M1438" s="111"/>
      <c r="N1438" s="111"/>
      <c r="O1438" s="111"/>
      <c r="P1438" s="111"/>
      <c r="Q1438" s="111"/>
      <c r="R1438" s="111"/>
    </row>
    <row r="1439" spans="2:18" s="108" customFormat="1">
      <c r="B1439" s="97"/>
      <c r="C1439" s="110"/>
      <c r="D1439" s="109"/>
      <c r="E1439" s="97"/>
      <c r="F1439" s="97"/>
      <c r="G1439" s="109"/>
      <c r="H1439" s="109"/>
      <c r="I1439" s="97"/>
      <c r="J1439" s="97"/>
      <c r="K1439" s="83"/>
      <c r="L1439" s="111"/>
      <c r="M1439" s="111"/>
      <c r="N1439" s="111"/>
      <c r="O1439" s="111"/>
      <c r="P1439" s="111"/>
      <c r="Q1439" s="111"/>
      <c r="R1439" s="111"/>
    </row>
    <row r="1440" spans="2:18" s="108" customFormat="1">
      <c r="B1440" s="97"/>
      <c r="C1440" s="110"/>
      <c r="D1440" s="109"/>
      <c r="E1440" s="97"/>
      <c r="F1440" s="97"/>
      <c r="G1440" s="109"/>
      <c r="H1440" s="109"/>
      <c r="I1440" s="97"/>
      <c r="J1440" s="97"/>
      <c r="K1440" s="83"/>
      <c r="L1440" s="111"/>
      <c r="M1440" s="111"/>
      <c r="N1440" s="111"/>
      <c r="O1440" s="111"/>
      <c r="P1440" s="111"/>
      <c r="Q1440" s="111"/>
      <c r="R1440" s="111"/>
    </row>
    <row r="1441" spans="2:18" s="108" customFormat="1">
      <c r="B1441" s="97"/>
      <c r="C1441" s="110"/>
      <c r="D1441" s="109"/>
      <c r="E1441" s="97"/>
      <c r="F1441" s="97"/>
      <c r="G1441" s="109"/>
      <c r="H1441" s="109"/>
      <c r="I1441" s="97"/>
      <c r="J1441" s="97"/>
      <c r="K1441" s="83"/>
      <c r="L1441" s="111"/>
      <c r="M1441" s="111"/>
      <c r="N1441" s="111"/>
      <c r="O1441" s="111"/>
      <c r="P1441" s="111"/>
      <c r="Q1441" s="111"/>
      <c r="R1441" s="111"/>
    </row>
    <row r="1442" spans="2:18" s="108" customFormat="1">
      <c r="B1442" s="97"/>
      <c r="C1442" s="110"/>
      <c r="D1442" s="109"/>
      <c r="E1442" s="97"/>
      <c r="F1442" s="97"/>
      <c r="G1442" s="109"/>
      <c r="H1442" s="109"/>
      <c r="I1442" s="97"/>
      <c r="J1442" s="97"/>
      <c r="K1442" s="83"/>
      <c r="L1442" s="111"/>
      <c r="M1442" s="111"/>
      <c r="N1442" s="111"/>
      <c r="O1442" s="111"/>
      <c r="P1442" s="111"/>
      <c r="Q1442" s="111"/>
      <c r="R1442" s="111"/>
    </row>
    <row r="1443" spans="2:18" s="108" customFormat="1">
      <c r="B1443" s="97"/>
      <c r="C1443" s="110"/>
      <c r="D1443" s="109"/>
      <c r="E1443" s="97"/>
      <c r="F1443" s="97"/>
      <c r="G1443" s="109"/>
      <c r="H1443" s="109"/>
      <c r="I1443" s="97"/>
      <c r="J1443" s="97"/>
      <c r="K1443" s="83"/>
      <c r="L1443" s="111"/>
      <c r="M1443" s="111"/>
      <c r="N1443" s="111"/>
      <c r="O1443" s="111"/>
      <c r="P1443" s="111"/>
      <c r="Q1443" s="111"/>
      <c r="R1443" s="111"/>
    </row>
    <row r="1444" spans="2:18" s="108" customFormat="1">
      <c r="B1444" s="97"/>
      <c r="C1444" s="110"/>
      <c r="D1444" s="109"/>
      <c r="E1444" s="97"/>
      <c r="F1444" s="97"/>
      <c r="G1444" s="109"/>
      <c r="H1444" s="109"/>
      <c r="I1444" s="97"/>
      <c r="J1444" s="97"/>
      <c r="K1444" s="83"/>
      <c r="L1444" s="111"/>
      <c r="M1444" s="111"/>
      <c r="N1444" s="111"/>
      <c r="O1444" s="111"/>
      <c r="P1444" s="111"/>
      <c r="Q1444" s="111"/>
      <c r="R1444" s="111"/>
    </row>
    <row r="1445" spans="2:18" s="108" customFormat="1">
      <c r="B1445" s="97"/>
      <c r="C1445" s="110"/>
      <c r="D1445" s="109"/>
      <c r="E1445" s="97"/>
      <c r="F1445" s="97"/>
      <c r="G1445" s="109"/>
      <c r="H1445" s="109"/>
      <c r="I1445" s="97"/>
      <c r="J1445" s="97"/>
      <c r="K1445" s="83"/>
      <c r="L1445" s="111"/>
      <c r="M1445" s="111"/>
      <c r="N1445" s="111"/>
      <c r="O1445" s="111"/>
      <c r="P1445" s="111"/>
      <c r="Q1445" s="111"/>
      <c r="R1445" s="111"/>
    </row>
    <row r="1446" spans="2:18" s="108" customFormat="1">
      <c r="B1446" s="97"/>
      <c r="C1446" s="110"/>
      <c r="D1446" s="109"/>
      <c r="E1446" s="97"/>
      <c r="F1446" s="97"/>
      <c r="G1446" s="109"/>
      <c r="H1446" s="109"/>
      <c r="I1446" s="97"/>
      <c r="J1446" s="97"/>
      <c r="K1446" s="83"/>
      <c r="L1446" s="111"/>
      <c r="M1446" s="111"/>
      <c r="N1446" s="111"/>
      <c r="O1446" s="111"/>
      <c r="P1446" s="111"/>
      <c r="Q1446" s="111"/>
      <c r="R1446" s="111"/>
    </row>
    <row r="1447" spans="2:18" s="108" customFormat="1">
      <c r="B1447" s="97"/>
      <c r="C1447" s="110"/>
      <c r="D1447" s="109"/>
      <c r="E1447" s="97"/>
      <c r="F1447" s="97"/>
      <c r="G1447" s="109"/>
      <c r="H1447" s="109"/>
      <c r="I1447" s="97"/>
      <c r="J1447" s="97"/>
      <c r="K1447" s="83"/>
      <c r="L1447" s="111"/>
      <c r="M1447" s="111"/>
      <c r="N1447" s="111"/>
      <c r="O1447" s="111"/>
      <c r="P1447" s="111"/>
      <c r="Q1447" s="111"/>
      <c r="R1447" s="111"/>
    </row>
    <row r="1448" spans="2:18" s="108" customFormat="1">
      <c r="B1448" s="97"/>
      <c r="C1448" s="110"/>
      <c r="D1448" s="109"/>
      <c r="E1448" s="97"/>
      <c r="F1448" s="97"/>
      <c r="G1448" s="109"/>
      <c r="H1448" s="109"/>
      <c r="I1448" s="97"/>
      <c r="J1448" s="97"/>
      <c r="K1448" s="83"/>
      <c r="L1448" s="111"/>
      <c r="M1448" s="111"/>
      <c r="N1448" s="111"/>
      <c r="O1448" s="111"/>
      <c r="P1448" s="111"/>
      <c r="Q1448" s="111"/>
      <c r="R1448" s="111"/>
    </row>
    <row r="1449" spans="2:18" s="108" customFormat="1">
      <c r="B1449" s="97"/>
      <c r="C1449" s="110"/>
      <c r="D1449" s="109"/>
      <c r="E1449" s="97"/>
      <c r="F1449" s="97"/>
      <c r="G1449" s="109"/>
      <c r="H1449" s="109"/>
      <c r="I1449" s="97"/>
      <c r="J1449" s="97"/>
      <c r="K1449" s="83"/>
      <c r="L1449" s="111"/>
      <c r="M1449" s="111"/>
      <c r="N1449" s="111"/>
      <c r="O1449" s="111"/>
      <c r="P1449" s="111"/>
      <c r="Q1449" s="111"/>
      <c r="R1449" s="111"/>
    </row>
    <row r="1450" spans="2:18" s="108" customFormat="1">
      <c r="B1450" s="97"/>
      <c r="C1450" s="110"/>
      <c r="D1450" s="109"/>
      <c r="E1450" s="97"/>
      <c r="F1450" s="97"/>
      <c r="G1450" s="109"/>
      <c r="H1450" s="109"/>
      <c r="I1450" s="97"/>
      <c r="J1450" s="97"/>
      <c r="K1450" s="83"/>
      <c r="L1450" s="111"/>
      <c r="M1450" s="111"/>
      <c r="N1450" s="111"/>
      <c r="O1450" s="111"/>
      <c r="P1450" s="111"/>
      <c r="Q1450" s="111"/>
      <c r="R1450" s="111"/>
    </row>
    <row r="1451" spans="2:18" s="108" customFormat="1">
      <c r="B1451" s="97"/>
      <c r="C1451" s="110"/>
      <c r="D1451" s="109"/>
      <c r="E1451" s="97"/>
      <c r="F1451" s="97"/>
      <c r="G1451" s="109"/>
      <c r="H1451" s="109"/>
      <c r="I1451" s="97"/>
      <c r="J1451" s="97"/>
      <c r="K1451" s="83"/>
      <c r="L1451" s="111"/>
      <c r="M1451" s="111"/>
      <c r="N1451" s="111"/>
      <c r="O1451" s="111"/>
      <c r="P1451" s="111"/>
      <c r="Q1451" s="111"/>
      <c r="R1451" s="111"/>
    </row>
    <row r="1452" spans="2:18" s="108" customFormat="1">
      <c r="B1452" s="97"/>
      <c r="C1452" s="110"/>
      <c r="D1452" s="109"/>
      <c r="E1452" s="97"/>
      <c r="F1452" s="97"/>
      <c r="G1452" s="109"/>
      <c r="H1452" s="109"/>
      <c r="I1452" s="97"/>
      <c r="J1452" s="97"/>
      <c r="K1452" s="83"/>
      <c r="L1452" s="111"/>
      <c r="M1452" s="111"/>
      <c r="N1452" s="111"/>
      <c r="O1452" s="111"/>
      <c r="P1452" s="111"/>
      <c r="Q1452" s="111"/>
      <c r="R1452" s="111"/>
    </row>
    <row r="1453" spans="2:18" s="108" customFormat="1">
      <c r="B1453" s="97"/>
      <c r="C1453" s="110"/>
      <c r="D1453" s="109"/>
      <c r="E1453" s="97"/>
      <c r="F1453" s="97"/>
      <c r="G1453" s="109"/>
      <c r="H1453" s="109"/>
      <c r="I1453" s="97"/>
      <c r="J1453" s="97"/>
      <c r="K1453" s="83"/>
      <c r="L1453" s="111"/>
      <c r="M1453" s="111"/>
      <c r="N1453" s="111"/>
      <c r="O1453" s="111"/>
      <c r="P1453" s="111"/>
      <c r="Q1453" s="111"/>
      <c r="R1453" s="111"/>
    </row>
    <row r="1454" spans="2:18" s="108" customFormat="1">
      <c r="B1454" s="97"/>
      <c r="C1454" s="110"/>
      <c r="D1454" s="109"/>
      <c r="E1454" s="97"/>
      <c r="F1454" s="97"/>
      <c r="G1454" s="109"/>
      <c r="H1454" s="109"/>
      <c r="I1454" s="97"/>
      <c r="J1454" s="97"/>
      <c r="K1454" s="83"/>
      <c r="L1454" s="111"/>
      <c r="M1454" s="111"/>
      <c r="N1454" s="111"/>
      <c r="O1454" s="111"/>
      <c r="P1454" s="111"/>
      <c r="Q1454" s="111"/>
      <c r="R1454" s="111"/>
    </row>
    <row r="1455" spans="2:18" s="108" customFormat="1">
      <c r="B1455" s="97"/>
      <c r="C1455" s="110"/>
      <c r="D1455" s="109"/>
      <c r="E1455" s="97"/>
      <c r="F1455" s="97"/>
      <c r="G1455" s="109"/>
      <c r="H1455" s="109"/>
      <c r="I1455" s="97"/>
      <c r="J1455" s="97"/>
      <c r="K1455" s="83"/>
      <c r="L1455" s="111"/>
      <c r="M1455" s="111"/>
      <c r="N1455" s="111"/>
      <c r="O1455" s="111"/>
      <c r="P1455" s="111"/>
      <c r="Q1455" s="111"/>
      <c r="R1455" s="111"/>
    </row>
    <row r="1456" spans="2:18" s="108" customFormat="1">
      <c r="B1456" s="97"/>
      <c r="C1456" s="110"/>
      <c r="D1456" s="109"/>
      <c r="E1456" s="97"/>
      <c r="F1456" s="97"/>
      <c r="G1456" s="109"/>
      <c r="H1456" s="109"/>
      <c r="I1456" s="97"/>
      <c r="J1456" s="97"/>
      <c r="K1456" s="83"/>
      <c r="L1456" s="111"/>
      <c r="M1456" s="111"/>
      <c r="N1456" s="111"/>
      <c r="O1456" s="111"/>
      <c r="P1456" s="111"/>
      <c r="Q1456" s="111"/>
      <c r="R1456" s="111"/>
    </row>
    <row r="1457" spans="2:18" s="108" customFormat="1">
      <c r="B1457" s="97"/>
      <c r="C1457" s="110"/>
      <c r="D1457" s="109"/>
      <c r="E1457" s="97"/>
      <c r="F1457" s="97"/>
      <c r="G1457" s="109"/>
      <c r="H1457" s="109"/>
      <c r="I1457" s="97"/>
      <c r="J1457" s="97"/>
      <c r="K1457" s="83"/>
      <c r="L1457" s="111"/>
      <c r="M1457" s="111"/>
      <c r="N1457" s="111"/>
      <c r="O1457" s="111"/>
      <c r="P1457" s="111"/>
      <c r="Q1457" s="111"/>
      <c r="R1457" s="111"/>
    </row>
    <row r="1458" spans="2:18" s="108" customFormat="1">
      <c r="B1458" s="97"/>
      <c r="C1458" s="110"/>
      <c r="D1458" s="109"/>
      <c r="E1458" s="97"/>
      <c r="F1458" s="97"/>
      <c r="G1458" s="109"/>
      <c r="H1458" s="109"/>
      <c r="I1458" s="97"/>
      <c r="J1458" s="97"/>
      <c r="K1458" s="83"/>
      <c r="L1458" s="111"/>
      <c r="M1458" s="111"/>
      <c r="N1458" s="111"/>
      <c r="O1458" s="111"/>
      <c r="P1458" s="111"/>
      <c r="Q1458" s="111"/>
      <c r="R1458" s="111"/>
    </row>
    <row r="1459" spans="2:18" s="108" customFormat="1">
      <c r="B1459" s="97"/>
      <c r="C1459" s="110"/>
      <c r="D1459" s="109"/>
      <c r="E1459" s="97"/>
      <c r="F1459" s="97"/>
      <c r="G1459" s="109"/>
      <c r="H1459" s="109"/>
      <c r="I1459" s="97"/>
      <c r="J1459" s="97"/>
      <c r="K1459" s="83"/>
      <c r="L1459" s="111"/>
      <c r="M1459" s="111"/>
      <c r="N1459" s="111"/>
      <c r="O1459" s="111"/>
      <c r="P1459" s="111"/>
      <c r="Q1459" s="111"/>
      <c r="R1459" s="111"/>
    </row>
    <row r="1460" spans="2:18" s="108" customFormat="1">
      <c r="B1460" s="97"/>
      <c r="C1460" s="110"/>
      <c r="D1460" s="109"/>
      <c r="E1460" s="97"/>
      <c r="F1460" s="97"/>
      <c r="G1460" s="109"/>
      <c r="H1460" s="109"/>
      <c r="I1460" s="97"/>
      <c r="J1460" s="97"/>
      <c r="K1460" s="83"/>
      <c r="L1460" s="111"/>
      <c r="M1460" s="111"/>
      <c r="N1460" s="111"/>
      <c r="O1460" s="111"/>
      <c r="P1460" s="111"/>
      <c r="Q1460" s="111"/>
      <c r="R1460" s="111"/>
    </row>
    <row r="1461" spans="2:18" s="108" customFormat="1">
      <c r="B1461" s="97"/>
      <c r="C1461" s="110"/>
      <c r="D1461" s="109"/>
      <c r="E1461" s="97"/>
      <c r="F1461" s="97"/>
      <c r="G1461" s="109"/>
      <c r="H1461" s="109"/>
      <c r="I1461" s="97"/>
      <c r="J1461" s="97"/>
      <c r="K1461" s="83"/>
      <c r="L1461" s="111"/>
      <c r="M1461" s="111"/>
      <c r="N1461" s="111"/>
      <c r="O1461" s="111"/>
      <c r="P1461" s="111"/>
      <c r="Q1461" s="111"/>
      <c r="R1461" s="111"/>
    </row>
    <row r="1462" spans="2:18" s="108" customFormat="1">
      <c r="B1462" s="97"/>
      <c r="C1462" s="110"/>
      <c r="D1462" s="109"/>
      <c r="E1462" s="97"/>
      <c r="F1462" s="97"/>
      <c r="G1462" s="109"/>
      <c r="H1462" s="109"/>
      <c r="I1462" s="97"/>
      <c r="J1462" s="97"/>
      <c r="K1462" s="83"/>
      <c r="L1462" s="111"/>
      <c r="M1462" s="111"/>
      <c r="N1462" s="111"/>
      <c r="O1462" s="111"/>
      <c r="P1462" s="111"/>
      <c r="Q1462" s="111"/>
      <c r="R1462" s="111"/>
    </row>
    <row r="1463" spans="2:18" s="108" customFormat="1">
      <c r="B1463" s="97"/>
      <c r="C1463" s="110"/>
      <c r="D1463" s="109"/>
      <c r="E1463" s="97"/>
      <c r="F1463" s="97"/>
      <c r="G1463" s="109"/>
      <c r="H1463" s="109"/>
      <c r="I1463" s="97"/>
      <c r="J1463" s="97"/>
      <c r="K1463" s="83"/>
      <c r="L1463" s="111"/>
      <c r="M1463" s="111"/>
      <c r="N1463" s="111"/>
      <c r="O1463" s="111"/>
      <c r="P1463" s="111"/>
      <c r="Q1463" s="111"/>
      <c r="R1463" s="111"/>
    </row>
    <row r="1464" spans="2:18" s="108" customFormat="1">
      <c r="B1464" s="97"/>
      <c r="C1464" s="110"/>
      <c r="D1464" s="109"/>
      <c r="E1464" s="97"/>
      <c r="F1464" s="97"/>
      <c r="G1464" s="109"/>
      <c r="H1464" s="109"/>
      <c r="I1464" s="97"/>
      <c r="J1464" s="97"/>
      <c r="K1464" s="83"/>
      <c r="L1464" s="111"/>
      <c r="M1464" s="111"/>
      <c r="N1464" s="111"/>
      <c r="O1464" s="111"/>
      <c r="P1464" s="111"/>
      <c r="Q1464" s="111"/>
      <c r="R1464" s="111"/>
    </row>
    <row r="1465" spans="2:18" s="108" customFormat="1">
      <c r="B1465" s="97"/>
      <c r="C1465" s="110"/>
      <c r="D1465" s="109"/>
      <c r="E1465" s="97"/>
      <c r="F1465" s="97"/>
      <c r="G1465" s="109"/>
      <c r="H1465" s="109"/>
      <c r="I1465" s="97"/>
      <c r="J1465" s="97"/>
      <c r="K1465" s="83"/>
      <c r="L1465" s="111"/>
      <c r="M1465" s="111"/>
      <c r="N1465" s="111"/>
      <c r="O1465" s="111"/>
      <c r="P1465" s="111"/>
      <c r="Q1465" s="111"/>
      <c r="R1465" s="111"/>
    </row>
    <row r="1466" spans="2:18" s="108" customFormat="1">
      <c r="B1466" s="97"/>
      <c r="C1466" s="110"/>
      <c r="D1466" s="109"/>
      <c r="E1466" s="97"/>
      <c r="F1466" s="97"/>
      <c r="G1466" s="109"/>
      <c r="H1466" s="109"/>
      <c r="I1466" s="97"/>
      <c r="J1466" s="97"/>
      <c r="K1466" s="83"/>
      <c r="L1466" s="111"/>
      <c r="M1466" s="111"/>
      <c r="N1466" s="111"/>
      <c r="O1466" s="111"/>
      <c r="P1466" s="111"/>
      <c r="Q1466" s="111"/>
      <c r="R1466" s="111"/>
    </row>
    <row r="1467" spans="2:18" s="108" customFormat="1">
      <c r="B1467" s="97"/>
      <c r="C1467" s="110"/>
      <c r="D1467" s="109"/>
      <c r="E1467" s="97"/>
      <c r="F1467" s="97"/>
      <c r="G1467" s="109"/>
      <c r="H1467" s="109"/>
      <c r="I1467" s="97"/>
      <c r="J1467" s="97"/>
      <c r="K1467" s="83"/>
      <c r="L1467" s="111"/>
      <c r="M1467" s="111"/>
      <c r="N1467" s="111"/>
      <c r="O1467" s="111"/>
      <c r="P1467" s="111"/>
      <c r="Q1467" s="111"/>
      <c r="R1467" s="111"/>
    </row>
    <row r="1468" spans="2:18" s="108" customFormat="1">
      <c r="B1468" s="97"/>
      <c r="C1468" s="110"/>
      <c r="D1468" s="109"/>
      <c r="E1468" s="97"/>
      <c r="F1468" s="97"/>
      <c r="G1468" s="109"/>
      <c r="H1468" s="109"/>
      <c r="I1468" s="97"/>
      <c r="J1468" s="97"/>
      <c r="K1468" s="83"/>
      <c r="L1468" s="111"/>
      <c r="M1468" s="111"/>
      <c r="N1468" s="111"/>
      <c r="O1468" s="111"/>
      <c r="P1468" s="111"/>
      <c r="Q1468" s="111"/>
      <c r="R1468" s="111"/>
    </row>
    <row r="1469" spans="2:18" s="108" customFormat="1">
      <c r="B1469" s="97"/>
      <c r="C1469" s="110"/>
      <c r="D1469" s="109"/>
      <c r="E1469" s="97"/>
      <c r="F1469" s="97"/>
      <c r="G1469" s="109"/>
      <c r="H1469" s="109"/>
      <c r="I1469" s="97"/>
      <c r="J1469" s="97"/>
      <c r="K1469" s="83"/>
      <c r="L1469" s="111"/>
      <c r="M1469" s="111"/>
      <c r="N1469" s="111"/>
      <c r="O1469" s="111"/>
      <c r="P1469" s="111"/>
      <c r="Q1469" s="111"/>
      <c r="R1469" s="111"/>
    </row>
    <row r="1470" spans="2:18" s="108" customFormat="1">
      <c r="B1470" s="97"/>
      <c r="C1470" s="110"/>
      <c r="D1470" s="109"/>
      <c r="E1470" s="97"/>
      <c r="F1470" s="97"/>
      <c r="G1470" s="109"/>
      <c r="H1470" s="109"/>
      <c r="I1470" s="97"/>
      <c r="J1470" s="97"/>
      <c r="K1470" s="83"/>
      <c r="L1470" s="111"/>
      <c r="M1470" s="111"/>
      <c r="N1470" s="111"/>
      <c r="O1470" s="111"/>
      <c r="P1470" s="111"/>
      <c r="Q1470" s="111"/>
      <c r="R1470" s="111"/>
    </row>
    <row r="1471" spans="2:18" s="108" customFormat="1">
      <c r="B1471" s="97"/>
      <c r="C1471" s="110"/>
      <c r="D1471" s="109"/>
      <c r="E1471" s="97"/>
      <c r="F1471" s="97"/>
      <c r="G1471" s="109"/>
      <c r="H1471" s="109"/>
      <c r="I1471" s="97"/>
      <c r="J1471" s="97"/>
      <c r="K1471" s="83"/>
      <c r="L1471" s="111"/>
      <c r="M1471" s="111"/>
      <c r="N1471" s="111"/>
      <c r="O1471" s="111"/>
      <c r="P1471" s="111"/>
      <c r="Q1471" s="111"/>
      <c r="R1471" s="111"/>
    </row>
    <row r="1472" spans="2:18" s="108" customFormat="1">
      <c r="B1472" s="97"/>
      <c r="C1472" s="110"/>
      <c r="D1472" s="109"/>
      <c r="E1472" s="97"/>
      <c r="F1472" s="97"/>
      <c r="G1472" s="109"/>
      <c r="H1472" s="109"/>
      <c r="I1472" s="97"/>
      <c r="J1472" s="97"/>
      <c r="K1472" s="83"/>
      <c r="L1472" s="111"/>
      <c r="M1472" s="111"/>
      <c r="N1472" s="111"/>
      <c r="O1472" s="111"/>
      <c r="P1472" s="111"/>
      <c r="Q1472" s="111"/>
      <c r="R1472" s="111"/>
    </row>
    <row r="1473" spans="2:18" s="108" customFormat="1">
      <c r="B1473" s="97"/>
      <c r="C1473" s="110"/>
      <c r="D1473" s="109"/>
      <c r="E1473" s="97"/>
      <c r="F1473" s="97"/>
      <c r="G1473" s="109"/>
      <c r="H1473" s="109"/>
      <c r="I1473" s="97"/>
      <c r="J1473" s="97"/>
      <c r="K1473" s="83"/>
      <c r="L1473" s="111"/>
      <c r="M1473" s="111"/>
      <c r="N1473" s="111"/>
      <c r="O1473" s="111"/>
      <c r="P1473" s="111"/>
      <c r="Q1473" s="111"/>
      <c r="R1473" s="111"/>
    </row>
    <row r="1474" spans="2:18" s="108" customFormat="1">
      <c r="B1474" s="97"/>
      <c r="C1474" s="110"/>
      <c r="D1474" s="109"/>
      <c r="E1474" s="97"/>
      <c r="F1474" s="97"/>
      <c r="G1474" s="109"/>
      <c r="H1474" s="109"/>
      <c r="I1474" s="97"/>
      <c r="J1474" s="97"/>
      <c r="K1474" s="83"/>
      <c r="L1474" s="111"/>
      <c r="M1474" s="111"/>
      <c r="N1474" s="111"/>
      <c r="O1474" s="111"/>
      <c r="P1474" s="111"/>
      <c r="Q1474" s="111"/>
      <c r="R1474" s="111"/>
    </row>
    <row r="1475" spans="2:18" s="108" customFormat="1">
      <c r="B1475" s="97"/>
      <c r="C1475" s="110"/>
      <c r="D1475" s="109"/>
      <c r="E1475" s="97"/>
      <c r="F1475" s="97"/>
      <c r="G1475" s="109"/>
      <c r="H1475" s="109"/>
      <c r="I1475" s="97"/>
      <c r="J1475" s="97"/>
      <c r="K1475" s="83"/>
      <c r="L1475" s="111"/>
      <c r="M1475" s="111"/>
      <c r="N1475" s="111"/>
      <c r="O1475" s="111"/>
      <c r="P1475" s="111"/>
      <c r="Q1475" s="111"/>
      <c r="R1475" s="111"/>
    </row>
    <row r="1476" spans="2:18" s="108" customFormat="1">
      <c r="B1476" s="97"/>
      <c r="C1476" s="110"/>
      <c r="D1476" s="109"/>
      <c r="E1476" s="97"/>
      <c r="F1476" s="97"/>
      <c r="G1476" s="109"/>
      <c r="H1476" s="109"/>
      <c r="I1476" s="97"/>
      <c r="J1476" s="97"/>
      <c r="K1476" s="83"/>
      <c r="L1476" s="111"/>
      <c r="M1476" s="111"/>
      <c r="N1476" s="111"/>
      <c r="O1476" s="111"/>
      <c r="P1476" s="111"/>
      <c r="Q1476" s="111"/>
      <c r="R1476" s="111"/>
    </row>
    <row r="1477" spans="2:18" s="108" customFormat="1">
      <c r="B1477" s="97"/>
      <c r="C1477" s="110"/>
      <c r="D1477" s="109"/>
      <c r="E1477" s="97"/>
      <c r="F1477" s="97"/>
      <c r="G1477" s="109"/>
      <c r="H1477" s="109"/>
      <c r="I1477" s="97"/>
      <c r="J1477" s="97"/>
      <c r="K1477" s="83"/>
      <c r="L1477" s="111"/>
      <c r="M1477" s="111"/>
      <c r="N1477" s="111"/>
      <c r="O1477" s="111"/>
      <c r="P1477" s="111"/>
      <c r="Q1477" s="111"/>
      <c r="R1477" s="111"/>
    </row>
    <row r="1478" spans="2:18" s="108" customFormat="1">
      <c r="B1478" s="97"/>
      <c r="C1478" s="110"/>
      <c r="D1478" s="109"/>
      <c r="E1478" s="97"/>
      <c r="F1478" s="97"/>
      <c r="G1478" s="109"/>
      <c r="H1478" s="109"/>
      <c r="I1478" s="97"/>
      <c r="J1478" s="97"/>
      <c r="K1478" s="83"/>
      <c r="L1478" s="111"/>
      <c r="M1478" s="111"/>
      <c r="N1478" s="111"/>
      <c r="O1478" s="111"/>
      <c r="P1478" s="111"/>
      <c r="Q1478" s="111"/>
      <c r="R1478" s="111"/>
    </row>
    <row r="1479" spans="2:18" s="108" customFormat="1">
      <c r="B1479" s="97"/>
      <c r="C1479" s="110"/>
      <c r="D1479" s="109"/>
      <c r="E1479" s="97"/>
      <c r="F1479" s="97"/>
      <c r="G1479" s="109"/>
      <c r="H1479" s="109"/>
      <c r="I1479" s="97"/>
      <c r="J1479" s="97"/>
      <c r="K1479" s="83"/>
      <c r="L1479" s="111"/>
      <c r="M1479" s="111"/>
      <c r="N1479" s="111"/>
      <c r="O1479" s="111"/>
      <c r="P1479" s="111"/>
      <c r="Q1479" s="111"/>
      <c r="R1479" s="111"/>
    </row>
    <row r="1480" spans="2:18" s="108" customFormat="1">
      <c r="B1480" s="97"/>
      <c r="C1480" s="110"/>
      <c r="D1480" s="109"/>
      <c r="E1480" s="97"/>
      <c r="F1480" s="97"/>
      <c r="G1480" s="109"/>
      <c r="H1480" s="109"/>
      <c r="I1480" s="97"/>
      <c r="J1480" s="97"/>
      <c r="K1480" s="83"/>
      <c r="L1480" s="111"/>
      <c r="M1480" s="111"/>
      <c r="N1480" s="111"/>
      <c r="O1480" s="111"/>
      <c r="P1480" s="111"/>
      <c r="Q1480" s="111"/>
      <c r="R1480" s="111"/>
    </row>
    <row r="1481" spans="2:18" s="108" customFormat="1">
      <c r="B1481" s="97"/>
      <c r="C1481" s="110"/>
      <c r="D1481" s="109"/>
      <c r="E1481" s="97"/>
      <c r="F1481" s="97"/>
      <c r="G1481" s="109"/>
      <c r="H1481" s="109"/>
      <c r="I1481" s="97"/>
      <c r="J1481" s="97"/>
      <c r="K1481" s="83"/>
      <c r="L1481" s="111"/>
      <c r="M1481" s="111"/>
      <c r="N1481" s="111"/>
      <c r="O1481" s="111"/>
      <c r="P1481" s="111"/>
      <c r="Q1481" s="111"/>
      <c r="R1481" s="111"/>
    </row>
    <row r="1482" spans="2:18" s="108" customFormat="1">
      <c r="B1482" s="97"/>
      <c r="C1482" s="110"/>
      <c r="D1482" s="109"/>
      <c r="E1482" s="97"/>
      <c r="F1482" s="97"/>
      <c r="G1482" s="109"/>
      <c r="H1482" s="109"/>
      <c r="I1482" s="97"/>
      <c r="J1482" s="97"/>
      <c r="K1482" s="83"/>
      <c r="L1482" s="111"/>
      <c r="M1482" s="111"/>
      <c r="N1482" s="111"/>
      <c r="O1482" s="111"/>
      <c r="P1482" s="111"/>
      <c r="Q1482" s="111"/>
      <c r="R1482" s="111"/>
    </row>
    <row r="1483" spans="2:18" s="108" customFormat="1">
      <c r="B1483" s="97"/>
      <c r="C1483" s="110"/>
      <c r="D1483" s="109"/>
      <c r="E1483" s="97"/>
      <c r="F1483" s="97"/>
      <c r="G1483" s="109"/>
      <c r="H1483" s="109"/>
      <c r="I1483" s="97"/>
      <c r="J1483" s="97"/>
      <c r="K1483" s="83"/>
      <c r="L1483" s="111"/>
      <c r="M1483" s="111"/>
      <c r="N1483" s="111"/>
      <c r="O1483" s="111"/>
      <c r="P1483" s="111"/>
      <c r="Q1483" s="111"/>
      <c r="R1483" s="111"/>
    </row>
    <row r="1484" spans="2:18" s="108" customFormat="1">
      <c r="B1484" s="97"/>
      <c r="C1484" s="110"/>
      <c r="D1484" s="109"/>
      <c r="E1484" s="97"/>
      <c r="F1484" s="97"/>
      <c r="G1484" s="109"/>
      <c r="H1484" s="109"/>
      <c r="I1484" s="97"/>
      <c r="J1484" s="97"/>
      <c r="K1484" s="83"/>
      <c r="L1484" s="111"/>
      <c r="M1484" s="111"/>
      <c r="N1484" s="111"/>
      <c r="O1484" s="111"/>
      <c r="P1484" s="111"/>
      <c r="Q1484" s="111"/>
      <c r="R1484" s="111"/>
    </row>
    <row r="1485" spans="2:18" s="108" customFormat="1">
      <c r="B1485" s="97"/>
      <c r="C1485" s="110"/>
      <c r="D1485" s="109"/>
      <c r="E1485" s="97"/>
      <c r="F1485" s="97"/>
      <c r="G1485" s="109"/>
      <c r="H1485" s="109"/>
      <c r="I1485" s="97"/>
      <c r="J1485" s="97"/>
      <c r="K1485" s="83"/>
      <c r="L1485" s="111"/>
      <c r="M1485" s="111"/>
      <c r="N1485" s="111"/>
      <c r="O1485" s="111"/>
      <c r="P1485" s="111"/>
      <c r="Q1485" s="111"/>
      <c r="R1485" s="111"/>
    </row>
    <row r="1486" spans="2:18" s="108" customFormat="1">
      <c r="B1486" s="97"/>
      <c r="C1486" s="110"/>
      <c r="D1486" s="109"/>
      <c r="E1486" s="97"/>
      <c r="F1486" s="97"/>
      <c r="G1486" s="109"/>
      <c r="H1486" s="109"/>
      <c r="I1486" s="97"/>
      <c r="J1486" s="97"/>
      <c r="K1486" s="83"/>
      <c r="L1486" s="111"/>
      <c r="M1486" s="111"/>
      <c r="N1486" s="111"/>
      <c r="O1486" s="111"/>
      <c r="P1486" s="111"/>
      <c r="Q1486" s="111"/>
      <c r="R1486" s="111"/>
    </row>
    <row r="1487" spans="2:18" s="108" customFormat="1">
      <c r="B1487" s="97"/>
      <c r="C1487" s="110"/>
      <c r="D1487" s="109"/>
      <c r="E1487" s="97"/>
      <c r="F1487" s="97"/>
      <c r="G1487" s="109"/>
      <c r="H1487" s="109"/>
      <c r="I1487" s="97"/>
      <c r="J1487" s="97"/>
      <c r="K1487" s="83"/>
      <c r="L1487" s="111"/>
      <c r="M1487" s="111"/>
      <c r="N1487" s="111"/>
      <c r="O1487" s="111"/>
      <c r="P1487" s="111"/>
      <c r="Q1487" s="111"/>
      <c r="R1487" s="111"/>
    </row>
    <row r="1488" spans="2:18" s="108" customFormat="1">
      <c r="B1488" s="97"/>
      <c r="C1488" s="110"/>
      <c r="D1488" s="109"/>
      <c r="E1488" s="97"/>
      <c r="F1488" s="97"/>
      <c r="G1488" s="109"/>
      <c r="H1488" s="109"/>
      <c r="I1488" s="97"/>
      <c r="J1488" s="97"/>
      <c r="K1488" s="83"/>
      <c r="L1488" s="111"/>
      <c r="M1488" s="111"/>
      <c r="N1488" s="111"/>
      <c r="O1488" s="111"/>
      <c r="P1488" s="111"/>
      <c r="Q1488" s="111"/>
      <c r="R1488" s="111"/>
    </row>
    <row r="1489" spans="2:18" s="108" customFormat="1">
      <c r="B1489" s="97"/>
      <c r="C1489" s="110"/>
      <c r="D1489" s="109"/>
      <c r="E1489" s="97"/>
      <c r="F1489" s="97"/>
      <c r="G1489" s="109"/>
      <c r="H1489" s="109"/>
      <c r="I1489" s="97"/>
      <c r="J1489" s="97"/>
      <c r="K1489" s="83"/>
      <c r="L1489" s="111"/>
      <c r="M1489" s="111"/>
      <c r="N1489" s="111"/>
      <c r="O1489" s="111"/>
      <c r="P1489" s="111"/>
      <c r="Q1489" s="111"/>
      <c r="R1489" s="111"/>
    </row>
    <row r="1490" spans="2:18" s="108" customFormat="1">
      <c r="B1490" s="97"/>
      <c r="C1490" s="110"/>
      <c r="D1490" s="109"/>
      <c r="E1490" s="97"/>
      <c r="F1490" s="97"/>
      <c r="G1490" s="109"/>
      <c r="H1490" s="109"/>
      <c r="I1490" s="97"/>
      <c r="J1490" s="97"/>
      <c r="K1490" s="83"/>
      <c r="L1490" s="111"/>
      <c r="M1490" s="111"/>
      <c r="N1490" s="111"/>
      <c r="O1490" s="111"/>
      <c r="P1490" s="111"/>
      <c r="Q1490" s="111"/>
      <c r="R1490" s="111"/>
    </row>
    <row r="1491" spans="2:18" s="108" customFormat="1">
      <c r="B1491" s="97"/>
      <c r="C1491" s="110"/>
      <c r="D1491" s="109"/>
      <c r="E1491" s="97"/>
      <c r="F1491" s="97"/>
      <c r="G1491" s="109"/>
      <c r="H1491" s="109"/>
      <c r="I1491" s="97"/>
      <c r="J1491" s="97"/>
      <c r="K1491" s="83"/>
      <c r="L1491" s="111"/>
      <c r="M1491" s="111"/>
      <c r="N1491" s="111"/>
      <c r="O1491" s="111"/>
      <c r="P1491" s="111"/>
      <c r="Q1491" s="111"/>
      <c r="R1491" s="111"/>
    </row>
    <row r="1492" spans="2:18" s="108" customFormat="1">
      <c r="B1492" s="97"/>
      <c r="C1492" s="110"/>
      <c r="D1492" s="109"/>
      <c r="E1492" s="97"/>
      <c r="F1492" s="97"/>
      <c r="G1492" s="109"/>
      <c r="H1492" s="109"/>
      <c r="I1492" s="97"/>
      <c r="J1492" s="97"/>
      <c r="K1492" s="83"/>
      <c r="L1492" s="111"/>
      <c r="M1492" s="111"/>
      <c r="N1492" s="111"/>
      <c r="O1492" s="111"/>
      <c r="P1492" s="111"/>
      <c r="Q1492" s="111"/>
      <c r="R1492" s="111"/>
    </row>
    <row r="1493" spans="2:18" s="108" customFormat="1">
      <c r="B1493" s="97"/>
      <c r="C1493" s="110"/>
      <c r="D1493" s="109"/>
      <c r="E1493" s="97"/>
      <c r="F1493" s="97"/>
      <c r="G1493" s="109"/>
      <c r="H1493" s="109"/>
      <c r="I1493" s="97"/>
      <c r="J1493" s="97"/>
      <c r="K1493" s="83"/>
      <c r="L1493" s="111"/>
      <c r="M1493" s="111"/>
      <c r="N1493" s="111"/>
      <c r="O1493" s="111"/>
      <c r="P1493" s="111"/>
      <c r="Q1493" s="111"/>
      <c r="R1493" s="111"/>
    </row>
    <row r="1494" spans="2:18" s="108" customFormat="1">
      <c r="B1494" s="97"/>
      <c r="C1494" s="110"/>
      <c r="D1494" s="109"/>
      <c r="E1494" s="97"/>
      <c r="F1494" s="97"/>
      <c r="G1494" s="109"/>
      <c r="H1494" s="109"/>
      <c r="I1494" s="97"/>
      <c r="J1494" s="97"/>
      <c r="K1494" s="83"/>
      <c r="L1494" s="111"/>
      <c r="M1494" s="111"/>
      <c r="N1494" s="111"/>
      <c r="O1494" s="111"/>
      <c r="P1494" s="111"/>
      <c r="Q1494" s="111"/>
      <c r="R1494" s="111"/>
    </row>
    <row r="1495" spans="2:18" s="108" customFormat="1">
      <c r="B1495" s="97"/>
      <c r="C1495" s="110"/>
      <c r="D1495" s="109"/>
      <c r="E1495" s="97"/>
      <c r="F1495" s="97"/>
      <c r="G1495" s="109"/>
      <c r="H1495" s="109"/>
      <c r="I1495" s="97"/>
      <c r="J1495" s="97"/>
      <c r="K1495" s="83"/>
      <c r="L1495" s="111"/>
      <c r="M1495" s="111"/>
      <c r="N1495" s="111"/>
      <c r="O1495" s="111"/>
      <c r="P1495" s="111"/>
      <c r="Q1495" s="111"/>
      <c r="R1495" s="111"/>
    </row>
    <row r="1496" spans="2:18" s="108" customFormat="1">
      <c r="B1496" s="97"/>
      <c r="C1496" s="110"/>
      <c r="D1496" s="109"/>
      <c r="E1496" s="97"/>
      <c r="F1496" s="97"/>
      <c r="G1496" s="109"/>
      <c r="H1496" s="109"/>
      <c r="I1496" s="97"/>
      <c r="J1496" s="97"/>
      <c r="K1496" s="83"/>
      <c r="L1496" s="111"/>
      <c r="M1496" s="111"/>
      <c r="N1496" s="111"/>
      <c r="O1496" s="111"/>
      <c r="P1496" s="111"/>
      <c r="Q1496" s="111"/>
      <c r="R1496" s="111"/>
    </row>
    <row r="1497" spans="2:18" s="108" customFormat="1">
      <c r="B1497" s="97"/>
      <c r="C1497" s="110"/>
      <c r="D1497" s="109"/>
      <c r="E1497" s="97"/>
      <c r="F1497" s="97"/>
      <c r="G1497" s="109"/>
      <c r="H1497" s="109"/>
      <c r="I1497" s="97"/>
      <c r="J1497" s="97"/>
      <c r="K1497" s="83"/>
      <c r="L1497" s="111"/>
      <c r="M1497" s="111"/>
      <c r="N1497" s="111"/>
      <c r="O1497" s="111"/>
      <c r="P1497" s="111"/>
      <c r="Q1497" s="111"/>
      <c r="R1497" s="111"/>
    </row>
    <row r="1498" spans="2:18" s="108" customFormat="1">
      <c r="B1498" s="97"/>
      <c r="C1498" s="110"/>
      <c r="D1498" s="109"/>
      <c r="E1498" s="97"/>
      <c r="F1498" s="97"/>
      <c r="G1498" s="109"/>
      <c r="H1498" s="109"/>
      <c r="I1498" s="97"/>
      <c r="J1498" s="97"/>
      <c r="K1498" s="83"/>
      <c r="L1498" s="111"/>
      <c r="M1498" s="111"/>
      <c r="N1498" s="111"/>
      <c r="O1498" s="111"/>
      <c r="P1498" s="111"/>
      <c r="Q1498" s="111"/>
      <c r="R1498" s="111"/>
    </row>
    <row r="1499" spans="2:18" s="108" customFormat="1">
      <c r="B1499" s="97"/>
      <c r="C1499" s="110"/>
      <c r="D1499" s="109"/>
      <c r="E1499" s="97"/>
      <c r="F1499" s="97"/>
      <c r="G1499" s="109"/>
      <c r="H1499" s="109"/>
      <c r="I1499" s="97"/>
      <c r="J1499" s="97"/>
      <c r="K1499" s="83"/>
      <c r="L1499" s="111"/>
      <c r="M1499" s="111"/>
      <c r="N1499" s="111"/>
      <c r="O1499" s="111"/>
      <c r="P1499" s="111"/>
      <c r="Q1499" s="111"/>
      <c r="R1499" s="111"/>
    </row>
    <row r="1500" spans="2:18" s="108" customFormat="1">
      <c r="B1500" s="97"/>
      <c r="C1500" s="110"/>
      <c r="D1500" s="109"/>
      <c r="E1500" s="97"/>
      <c r="F1500" s="97"/>
      <c r="G1500" s="109"/>
      <c r="H1500" s="109"/>
      <c r="I1500" s="97"/>
      <c r="J1500" s="97"/>
      <c r="K1500" s="83"/>
      <c r="L1500" s="111"/>
      <c r="M1500" s="111"/>
      <c r="N1500" s="111"/>
      <c r="O1500" s="111"/>
      <c r="P1500" s="111"/>
      <c r="Q1500" s="111"/>
      <c r="R1500" s="111"/>
    </row>
    <row r="1501" spans="2:18" s="108" customFormat="1">
      <c r="B1501" s="97"/>
      <c r="C1501" s="110"/>
      <c r="D1501" s="109"/>
      <c r="E1501" s="97"/>
      <c r="F1501" s="97"/>
      <c r="G1501" s="109"/>
      <c r="H1501" s="109"/>
      <c r="I1501" s="97"/>
      <c r="J1501" s="97"/>
      <c r="K1501" s="83"/>
      <c r="L1501" s="111"/>
      <c r="M1501" s="111"/>
      <c r="N1501" s="111"/>
      <c r="O1501" s="111"/>
      <c r="P1501" s="111"/>
      <c r="Q1501" s="111"/>
      <c r="R1501" s="111"/>
    </row>
    <row r="1502" spans="2:18" s="108" customFormat="1">
      <c r="B1502" s="97"/>
      <c r="C1502" s="110"/>
      <c r="D1502" s="109"/>
      <c r="E1502" s="97"/>
      <c r="F1502" s="97"/>
      <c r="G1502" s="109"/>
      <c r="H1502" s="109"/>
      <c r="I1502" s="97"/>
      <c r="J1502" s="97"/>
      <c r="K1502" s="83"/>
      <c r="L1502" s="111"/>
      <c r="M1502" s="111"/>
      <c r="N1502" s="111"/>
      <c r="O1502" s="111"/>
      <c r="P1502" s="111"/>
      <c r="Q1502" s="111"/>
      <c r="R1502" s="111"/>
    </row>
    <row r="1503" spans="2:18" s="108" customFormat="1">
      <c r="B1503" s="97"/>
      <c r="C1503" s="110"/>
      <c r="D1503" s="109"/>
      <c r="E1503" s="97"/>
      <c r="F1503" s="97"/>
      <c r="G1503" s="109"/>
      <c r="H1503" s="109"/>
      <c r="I1503" s="97"/>
      <c r="J1503" s="97"/>
      <c r="K1503" s="83"/>
      <c r="L1503" s="111"/>
      <c r="M1503" s="111"/>
      <c r="N1503" s="111"/>
      <c r="O1503" s="111"/>
      <c r="P1503" s="111"/>
      <c r="Q1503" s="111"/>
      <c r="R1503" s="111"/>
    </row>
    <row r="1504" spans="2:18" s="108" customFormat="1">
      <c r="B1504" s="97"/>
      <c r="C1504" s="110"/>
      <c r="D1504" s="109"/>
      <c r="E1504" s="97"/>
      <c r="F1504" s="97"/>
      <c r="G1504" s="109"/>
      <c r="H1504" s="109"/>
      <c r="I1504" s="97"/>
      <c r="J1504" s="97"/>
      <c r="K1504" s="83"/>
      <c r="L1504" s="111"/>
      <c r="M1504" s="111"/>
      <c r="N1504" s="111"/>
      <c r="O1504" s="111"/>
      <c r="P1504" s="111"/>
      <c r="Q1504" s="111"/>
      <c r="R1504" s="111"/>
    </row>
    <row r="1505" spans="2:18" s="108" customFormat="1">
      <c r="B1505" s="97"/>
      <c r="C1505" s="110"/>
      <c r="D1505" s="109"/>
      <c r="E1505" s="97"/>
      <c r="F1505" s="97"/>
      <c r="G1505" s="109"/>
      <c r="H1505" s="109"/>
      <c r="I1505" s="97"/>
      <c r="J1505" s="97"/>
      <c r="K1505" s="83"/>
      <c r="L1505" s="111"/>
      <c r="M1505" s="111"/>
      <c r="N1505" s="111"/>
      <c r="O1505" s="111"/>
      <c r="P1505" s="111"/>
      <c r="Q1505" s="111"/>
      <c r="R1505" s="111"/>
    </row>
    <row r="1506" spans="2:18" s="108" customFormat="1">
      <c r="B1506" s="97"/>
      <c r="C1506" s="110"/>
      <c r="D1506" s="109"/>
      <c r="E1506" s="97"/>
      <c r="F1506" s="97"/>
      <c r="G1506" s="109"/>
      <c r="H1506" s="109"/>
      <c r="I1506" s="97"/>
      <c r="J1506" s="97"/>
      <c r="K1506" s="83"/>
      <c r="L1506" s="111"/>
      <c r="M1506" s="111"/>
      <c r="N1506" s="111"/>
      <c r="O1506" s="111"/>
      <c r="P1506" s="111"/>
      <c r="Q1506" s="111"/>
      <c r="R1506" s="111"/>
    </row>
    <row r="1507" spans="2:18" s="108" customFormat="1">
      <c r="B1507" s="97"/>
      <c r="C1507" s="110"/>
      <c r="D1507" s="109"/>
      <c r="E1507" s="97"/>
      <c r="F1507" s="97"/>
      <c r="G1507" s="109"/>
      <c r="H1507" s="109"/>
      <c r="I1507" s="97"/>
      <c r="J1507" s="97"/>
      <c r="K1507" s="83"/>
      <c r="L1507" s="111"/>
      <c r="M1507" s="111"/>
      <c r="N1507" s="111"/>
      <c r="O1507" s="111"/>
      <c r="P1507" s="111"/>
      <c r="Q1507" s="111"/>
      <c r="R1507" s="111"/>
    </row>
    <row r="1508" spans="2:18" s="108" customFormat="1">
      <c r="B1508" s="97"/>
      <c r="C1508" s="110"/>
      <c r="D1508" s="109"/>
      <c r="E1508" s="97"/>
      <c r="F1508" s="97"/>
      <c r="G1508" s="109"/>
      <c r="H1508" s="109"/>
      <c r="I1508" s="97"/>
      <c r="J1508" s="97"/>
      <c r="K1508" s="83"/>
      <c r="L1508" s="111"/>
      <c r="M1508" s="111"/>
      <c r="N1508" s="111"/>
      <c r="O1508" s="111"/>
      <c r="P1508" s="111"/>
      <c r="Q1508" s="111"/>
      <c r="R1508" s="111"/>
    </row>
    <row r="1509" spans="2:18" s="108" customFormat="1">
      <c r="B1509" s="97"/>
      <c r="C1509" s="110"/>
      <c r="D1509" s="109"/>
      <c r="E1509" s="97"/>
      <c r="F1509" s="97"/>
      <c r="G1509" s="109"/>
      <c r="H1509" s="109"/>
      <c r="I1509" s="97"/>
      <c r="J1509" s="97"/>
      <c r="K1509" s="83"/>
      <c r="L1509" s="111"/>
      <c r="M1509" s="111"/>
      <c r="N1509" s="111"/>
      <c r="O1509" s="111"/>
      <c r="P1509" s="111"/>
      <c r="Q1509" s="111"/>
      <c r="R1509" s="111"/>
    </row>
    <row r="1510" spans="2:18" s="108" customFormat="1">
      <c r="B1510" s="97"/>
      <c r="C1510" s="110"/>
      <c r="D1510" s="109"/>
      <c r="E1510" s="97"/>
      <c r="F1510" s="97"/>
      <c r="G1510" s="109"/>
      <c r="H1510" s="109"/>
      <c r="I1510" s="97"/>
      <c r="J1510" s="97"/>
      <c r="K1510" s="83"/>
      <c r="L1510" s="111"/>
      <c r="M1510" s="111"/>
      <c r="N1510" s="111"/>
      <c r="O1510" s="111"/>
      <c r="P1510" s="111"/>
      <c r="Q1510" s="111"/>
      <c r="R1510" s="111"/>
    </row>
    <row r="1511" spans="2:18" s="108" customFormat="1">
      <c r="B1511" s="97"/>
      <c r="C1511" s="110"/>
      <c r="D1511" s="109"/>
      <c r="E1511" s="97"/>
      <c r="F1511" s="97"/>
      <c r="G1511" s="109"/>
      <c r="H1511" s="109"/>
      <c r="I1511" s="97"/>
      <c r="J1511" s="97"/>
      <c r="K1511" s="83"/>
      <c r="L1511" s="111"/>
      <c r="M1511" s="111"/>
      <c r="N1511" s="111"/>
      <c r="O1511" s="111"/>
      <c r="P1511" s="111"/>
      <c r="Q1511" s="111"/>
      <c r="R1511" s="111"/>
    </row>
    <row r="1512" spans="2:18" s="108" customFormat="1">
      <c r="B1512" s="97"/>
      <c r="C1512" s="110"/>
      <c r="D1512" s="109"/>
      <c r="E1512" s="97"/>
      <c r="F1512" s="97"/>
      <c r="G1512" s="109"/>
      <c r="H1512" s="109"/>
      <c r="I1512" s="97"/>
      <c r="J1512" s="97"/>
      <c r="K1512" s="83"/>
      <c r="L1512" s="111"/>
      <c r="M1512" s="111"/>
      <c r="N1512" s="111"/>
      <c r="O1512" s="111"/>
      <c r="P1512" s="111"/>
      <c r="Q1512" s="111"/>
      <c r="R1512" s="111"/>
    </row>
    <row r="1513" spans="2:18" s="108" customFormat="1">
      <c r="B1513" s="97"/>
      <c r="C1513" s="110"/>
      <c r="D1513" s="109"/>
      <c r="E1513" s="97"/>
      <c r="F1513" s="97"/>
      <c r="G1513" s="109"/>
      <c r="H1513" s="109"/>
      <c r="I1513" s="97"/>
      <c r="J1513" s="97"/>
      <c r="K1513" s="83"/>
      <c r="L1513" s="111"/>
      <c r="M1513" s="111"/>
      <c r="N1513" s="111"/>
      <c r="O1513" s="111"/>
      <c r="P1513" s="111"/>
      <c r="Q1513" s="111"/>
      <c r="R1513" s="111"/>
    </row>
    <row r="1514" spans="2:18" s="108" customFormat="1">
      <c r="B1514" s="97"/>
      <c r="C1514" s="110"/>
      <c r="D1514" s="109"/>
      <c r="E1514" s="97"/>
      <c r="F1514" s="97"/>
      <c r="G1514" s="109"/>
      <c r="H1514" s="109"/>
      <c r="I1514" s="97"/>
      <c r="J1514" s="97"/>
      <c r="K1514" s="83"/>
      <c r="L1514" s="111"/>
      <c r="M1514" s="111"/>
      <c r="N1514" s="111"/>
      <c r="O1514" s="111"/>
      <c r="P1514" s="111"/>
      <c r="Q1514" s="111"/>
      <c r="R1514" s="111"/>
    </row>
    <row r="1515" spans="2:18" s="108" customFormat="1">
      <c r="B1515" s="97"/>
      <c r="C1515" s="110"/>
      <c r="D1515" s="109"/>
      <c r="E1515" s="97"/>
      <c r="F1515" s="97"/>
      <c r="G1515" s="109"/>
      <c r="H1515" s="109"/>
      <c r="I1515" s="97"/>
      <c r="J1515" s="97"/>
      <c r="K1515" s="83"/>
      <c r="L1515" s="111"/>
      <c r="M1515" s="111"/>
      <c r="N1515" s="111"/>
      <c r="O1515" s="111"/>
      <c r="P1515" s="111"/>
      <c r="Q1515" s="111"/>
      <c r="R1515" s="111"/>
    </row>
    <row r="1516" spans="2:18" s="108" customFormat="1">
      <c r="B1516" s="97"/>
      <c r="C1516" s="110"/>
      <c r="D1516" s="109"/>
      <c r="E1516" s="97"/>
      <c r="F1516" s="97"/>
      <c r="G1516" s="109"/>
      <c r="H1516" s="109"/>
      <c r="I1516" s="97"/>
      <c r="J1516" s="97"/>
      <c r="K1516" s="83"/>
      <c r="L1516" s="111"/>
      <c r="M1516" s="111"/>
      <c r="N1516" s="111"/>
      <c r="O1516" s="111"/>
      <c r="P1516" s="111"/>
      <c r="Q1516" s="111"/>
      <c r="R1516" s="111"/>
    </row>
    <row r="1517" spans="2:18" s="108" customFormat="1">
      <c r="B1517" s="97"/>
      <c r="C1517" s="110"/>
      <c r="D1517" s="109"/>
      <c r="E1517" s="97"/>
      <c r="F1517" s="97"/>
      <c r="G1517" s="109"/>
      <c r="H1517" s="109"/>
      <c r="I1517" s="97"/>
      <c r="J1517" s="97"/>
      <c r="K1517" s="83"/>
      <c r="L1517" s="111"/>
      <c r="M1517" s="111"/>
      <c r="N1517" s="111"/>
      <c r="O1517" s="111"/>
      <c r="P1517" s="111"/>
      <c r="Q1517" s="111"/>
      <c r="R1517" s="111"/>
    </row>
    <row r="1518" spans="2:18" s="108" customFormat="1">
      <c r="B1518" s="97"/>
      <c r="C1518" s="110"/>
      <c r="D1518" s="109"/>
      <c r="E1518" s="97"/>
      <c r="F1518" s="97"/>
      <c r="G1518" s="109"/>
      <c r="H1518" s="109"/>
      <c r="I1518" s="97"/>
      <c r="J1518" s="97"/>
      <c r="K1518" s="83"/>
      <c r="L1518" s="111"/>
      <c r="M1518" s="111"/>
      <c r="N1518" s="111"/>
      <c r="O1518" s="111"/>
      <c r="P1518" s="111"/>
      <c r="Q1518" s="111"/>
      <c r="R1518" s="111"/>
    </row>
    <row r="1519" spans="2:18" s="108" customFormat="1">
      <c r="B1519" s="97"/>
      <c r="C1519" s="110"/>
      <c r="D1519" s="109"/>
      <c r="E1519" s="97"/>
      <c r="F1519" s="97"/>
      <c r="G1519" s="109"/>
      <c r="H1519" s="109"/>
      <c r="I1519" s="97"/>
      <c r="J1519" s="97"/>
      <c r="K1519" s="83"/>
      <c r="L1519" s="111"/>
      <c r="M1519" s="111"/>
      <c r="N1519" s="111"/>
      <c r="O1519" s="111"/>
      <c r="P1519" s="111"/>
      <c r="Q1519" s="111"/>
      <c r="R1519" s="111"/>
    </row>
    <row r="1520" spans="2:18" s="108" customFormat="1">
      <c r="B1520" s="97"/>
      <c r="C1520" s="110"/>
      <c r="D1520" s="109"/>
      <c r="E1520" s="97"/>
      <c r="F1520" s="97"/>
      <c r="G1520" s="109"/>
      <c r="H1520" s="109"/>
      <c r="I1520" s="97"/>
      <c r="J1520" s="97"/>
      <c r="K1520" s="83"/>
      <c r="L1520" s="111"/>
      <c r="M1520" s="111"/>
      <c r="N1520" s="111"/>
      <c r="O1520" s="111"/>
      <c r="P1520" s="111"/>
      <c r="Q1520" s="111"/>
      <c r="R1520" s="111"/>
    </row>
    <row r="1521" spans="2:18" s="108" customFormat="1">
      <c r="B1521" s="97"/>
      <c r="C1521" s="110"/>
      <c r="D1521" s="109"/>
      <c r="E1521" s="97"/>
      <c r="F1521" s="97"/>
      <c r="G1521" s="109"/>
      <c r="H1521" s="109"/>
      <c r="I1521" s="97"/>
      <c r="J1521" s="97"/>
      <c r="K1521" s="83"/>
      <c r="L1521" s="111"/>
      <c r="M1521" s="111"/>
      <c r="N1521" s="111"/>
      <c r="O1521" s="111"/>
      <c r="P1521" s="111"/>
      <c r="Q1521" s="111"/>
      <c r="R1521" s="111"/>
    </row>
    <row r="1522" spans="2:18" s="108" customFormat="1">
      <c r="B1522" s="97"/>
      <c r="C1522" s="110"/>
      <c r="D1522" s="109"/>
      <c r="E1522" s="97"/>
      <c r="F1522" s="97"/>
      <c r="G1522" s="109"/>
      <c r="H1522" s="109"/>
      <c r="I1522" s="97"/>
      <c r="J1522" s="97"/>
      <c r="K1522" s="83"/>
      <c r="L1522" s="111"/>
      <c r="M1522" s="111"/>
      <c r="N1522" s="111"/>
      <c r="O1522" s="111"/>
      <c r="P1522" s="111"/>
      <c r="Q1522" s="111"/>
      <c r="R1522" s="111"/>
    </row>
    <row r="1523" spans="2:18" s="108" customFormat="1">
      <c r="B1523" s="97"/>
      <c r="C1523" s="110"/>
      <c r="D1523" s="109"/>
      <c r="E1523" s="97"/>
      <c r="F1523" s="97"/>
      <c r="G1523" s="109"/>
      <c r="H1523" s="109"/>
      <c r="I1523" s="97"/>
      <c r="J1523" s="97"/>
      <c r="K1523" s="83"/>
      <c r="L1523" s="111"/>
      <c r="M1523" s="111"/>
      <c r="N1523" s="111"/>
      <c r="O1523" s="111"/>
      <c r="P1523" s="111"/>
      <c r="Q1523" s="111"/>
      <c r="R1523" s="111"/>
    </row>
    <row r="1524" spans="2:18" s="108" customFormat="1">
      <c r="B1524" s="97"/>
      <c r="C1524" s="110"/>
      <c r="D1524" s="109"/>
      <c r="E1524" s="97"/>
      <c r="F1524" s="97"/>
      <c r="G1524" s="109"/>
      <c r="H1524" s="109"/>
      <c r="I1524" s="97"/>
      <c r="J1524" s="97"/>
      <c r="K1524" s="83"/>
      <c r="L1524" s="111"/>
      <c r="M1524" s="111"/>
      <c r="N1524" s="111"/>
      <c r="O1524" s="111"/>
      <c r="P1524" s="111"/>
      <c r="Q1524" s="111"/>
      <c r="R1524" s="111"/>
    </row>
    <row r="1525" spans="2:18" s="108" customFormat="1">
      <c r="B1525" s="97"/>
      <c r="C1525" s="110"/>
      <c r="D1525" s="109"/>
      <c r="E1525" s="97"/>
      <c r="F1525" s="97"/>
      <c r="G1525" s="109"/>
      <c r="H1525" s="109"/>
      <c r="I1525" s="97"/>
      <c r="J1525" s="97"/>
      <c r="K1525" s="83"/>
      <c r="L1525" s="111"/>
      <c r="M1525" s="111"/>
      <c r="N1525" s="111"/>
      <c r="O1525" s="111"/>
      <c r="P1525" s="111"/>
      <c r="Q1525" s="111"/>
      <c r="R1525" s="111"/>
    </row>
    <row r="1526" spans="2:18" s="108" customFormat="1">
      <c r="B1526" s="97"/>
      <c r="C1526" s="110"/>
      <c r="D1526" s="109"/>
      <c r="E1526" s="97"/>
      <c r="F1526" s="97"/>
      <c r="G1526" s="109"/>
      <c r="H1526" s="109"/>
      <c r="I1526" s="97"/>
      <c r="J1526" s="97"/>
      <c r="K1526" s="83"/>
      <c r="L1526" s="111"/>
      <c r="M1526" s="111"/>
      <c r="N1526" s="111"/>
      <c r="O1526" s="111"/>
      <c r="P1526" s="111"/>
      <c r="Q1526" s="111"/>
      <c r="R1526" s="111"/>
    </row>
    <row r="1527" spans="2:18" s="108" customFormat="1">
      <c r="B1527" s="97"/>
      <c r="C1527" s="110"/>
      <c r="D1527" s="109"/>
      <c r="E1527" s="97"/>
      <c r="F1527" s="97"/>
      <c r="G1527" s="109"/>
      <c r="H1527" s="109"/>
      <c r="I1527" s="97"/>
      <c r="J1527" s="97"/>
      <c r="K1527" s="83"/>
      <c r="L1527" s="111"/>
      <c r="M1527" s="111"/>
      <c r="N1527" s="111"/>
      <c r="O1527" s="111"/>
      <c r="P1527" s="111"/>
      <c r="Q1527" s="111"/>
      <c r="R1527" s="111"/>
    </row>
    <row r="1528" spans="2:18" s="108" customFormat="1">
      <c r="B1528" s="97"/>
      <c r="C1528" s="110"/>
      <c r="D1528" s="109"/>
      <c r="E1528" s="97"/>
      <c r="F1528" s="97"/>
      <c r="G1528" s="109"/>
      <c r="H1528" s="109"/>
      <c r="I1528" s="97"/>
      <c r="J1528" s="97"/>
      <c r="K1528" s="83"/>
      <c r="L1528" s="111"/>
      <c r="M1528" s="111"/>
      <c r="N1528" s="111"/>
      <c r="O1528" s="111"/>
      <c r="P1528" s="111"/>
      <c r="Q1528" s="111"/>
      <c r="R1528" s="111"/>
    </row>
    <row r="1529" spans="2:18" s="108" customFormat="1">
      <c r="B1529" s="97"/>
      <c r="C1529" s="110"/>
      <c r="D1529" s="109"/>
      <c r="E1529" s="97"/>
      <c r="F1529" s="97"/>
      <c r="G1529" s="109"/>
      <c r="H1529" s="109"/>
      <c r="I1529" s="97"/>
      <c r="J1529" s="97"/>
      <c r="K1529" s="83"/>
      <c r="L1529" s="111"/>
      <c r="M1529" s="111"/>
      <c r="N1529" s="111"/>
      <c r="O1529" s="111"/>
      <c r="P1529" s="111"/>
      <c r="Q1529" s="111"/>
      <c r="R1529" s="111"/>
    </row>
    <row r="1530" spans="2:18" s="108" customFormat="1">
      <c r="B1530" s="97"/>
      <c r="C1530" s="110"/>
      <c r="D1530" s="109"/>
      <c r="E1530" s="97"/>
      <c r="F1530" s="97"/>
      <c r="G1530" s="109"/>
      <c r="H1530" s="109"/>
      <c r="I1530" s="97"/>
      <c r="J1530" s="97"/>
      <c r="K1530" s="83"/>
      <c r="L1530" s="111"/>
      <c r="M1530" s="111"/>
      <c r="N1530" s="111"/>
      <c r="O1530" s="111"/>
      <c r="P1530" s="111"/>
      <c r="Q1530" s="111"/>
      <c r="R1530" s="111"/>
    </row>
    <row r="1531" spans="2:18" s="108" customFormat="1">
      <c r="B1531" s="97"/>
      <c r="C1531" s="110"/>
      <c r="D1531" s="109"/>
      <c r="E1531" s="97"/>
      <c r="F1531" s="97"/>
      <c r="G1531" s="109"/>
      <c r="H1531" s="109"/>
      <c r="I1531" s="97"/>
      <c r="J1531" s="97"/>
      <c r="K1531" s="83"/>
      <c r="L1531" s="111"/>
      <c r="M1531" s="111"/>
      <c r="N1531" s="111"/>
      <c r="O1531" s="111"/>
      <c r="P1531" s="111"/>
      <c r="Q1531" s="111"/>
      <c r="R1531" s="111"/>
    </row>
    <row r="1532" spans="2:18" s="108" customFormat="1">
      <c r="B1532" s="97"/>
      <c r="C1532" s="110"/>
      <c r="D1532" s="109"/>
      <c r="E1532" s="97"/>
      <c r="F1532" s="97"/>
      <c r="G1532" s="109"/>
      <c r="H1532" s="109"/>
      <c r="I1532" s="97"/>
      <c r="J1532" s="97"/>
      <c r="K1532" s="83"/>
      <c r="L1532" s="111"/>
      <c r="M1532" s="111"/>
      <c r="N1532" s="111"/>
      <c r="O1532" s="111"/>
      <c r="P1532" s="111"/>
      <c r="Q1532" s="111"/>
      <c r="R1532" s="111"/>
    </row>
    <row r="1533" spans="2:18" s="108" customFormat="1">
      <c r="B1533" s="97"/>
      <c r="C1533" s="110"/>
      <c r="D1533" s="109"/>
      <c r="E1533" s="97"/>
      <c r="F1533" s="97"/>
      <c r="G1533" s="109"/>
      <c r="H1533" s="109"/>
      <c r="I1533" s="97"/>
      <c r="J1533" s="97"/>
      <c r="K1533" s="83"/>
      <c r="L1533" s="111"/>
      <c r="M1533" s="111"/>
      <c r="N1533" s="111"/>
      <c r="O1533" s="111"/>
      <c r="P1533" s="111"/>
      <c r="Q1533" s="111"/>
      <c r="R1533" s="111"/>
    </row>
    <row r="1534" spans="2:18" s="108" customFormat="1">
      <c r="B1534" s="97"/>
      <c r="C1534" s="110"/>
      <c r="D1534" s="109"/>
      <c r="E1534" s="97"/>
      <c r="F1534" s="97"/>
      <c r="G1534" s="109"/>
      <c r="H1534" s="109"/>
      <c r="I1534" s="97"/>
      <c r="J1534" s="97"/>
      <c r="K1534" s="83"/>
      <c r="L1534" s="111"/>
      <c r="M1534" s="111"/>
      <c r="N1534" s="111"/>
      <c r="O1534" s="111"/>
      <c r="P1534" s="111"/>
      <c r="Q1534" s="111"/>
      <c r="R1534" s="111"/>
    </row>
    <row r="1535" spans="2:18" s="108" customFormat="1">
      <c r="B1535" s="97"/>
      <c r="C1535" s="110"/>
      <c r="D1535" s="109"/>
      <c r="E1535" s="97"/>
      <c r="F1535" s="97"/>
      <c r="G1535" s="109"/>
      <c r="H1535" s="109"/>
      <c r="I1535" s="97"/>
      <c r="J1535" s="97"/>
      <c r="K1535" s="83"/>
      <c r="L1535" s="111"/>
      <c r="M1535" s="111"/>
      <c r="N1535" s="111"/>
      <c r="O1535" s="111"/>
      <c r="P1535" s="111"/>
      <c r="Q1535" s="111"/>
      <c r="R1535" s="111"/>
    </row>
    <row r="1536" spans="2:18" s="108" customFormat="1">
      <c r="B1536" s="97"/>
      <c r="C1536" s="110"/>
      <c r="D1536" s="109"/>
      <c r="E1536" s="97"/>
      <c r="F1536" s="97"/>
      <c r="G1536" s="109"/>
      <c r="H1536" s="109"/>
      <c r="I1536" s="97"/>
      <c r="J1536" s="97"/>
      <c r="K1536" s="83"/>
      <c r="L1536" s="111"/>
      <c r="M1536" s="111"/>
      <c r="N1536" s="111"/>
      <c r="O1536" s="111"/>
      <c r="P1536" s="111"/>
      <c r="Q1536" s="111"/>
      <c r="R1536" s="111"/>
    </row>
    <row r="1537" spans="2:18" s="108" customFormat="1">
      <c r="B1537" s="97"/>
      <c r="C1537" s="110"/>
      <c r="D1537" s="109"/>
      <c r="E1537" s="97"/>
      <c r="F1537" s="97"/>
      <c r="G1537" s="109"/>
      <c r="H1537" s="109"/>
      <c r="I1537" s="97"/>
      <c r="J1537" s="97"/>
      <c r="K1537" s="83"/>
      <c r="L1537" s="111"/>
      <c r="M1537" s="111"/>
      <c r="N1537" s="111"/>
      <c r="O1537" s="111"/>
      <c r="P1537" s="111"/>
      <c r="Q1537" s="111"/>
      <c r="R1537" s="111"/>
    </row>
    <row r="1538" spans="2:18" s="108" customFormat="1">
      <c r="B1538" s="97"/>
      <c r="C1538" s="110"/>
      <c r="D1538" s="109"/>
      <c r="E1538" s="97"/>
      <c r="F1538" s="97"/>
      <c r="G1538" s="109"/>
      <c r="H1538" s="109"/>
      <c r="I1538" s="97"/>
      <c r="J1538" s="97"/>
      <c r="K1538" s="83"/>
      <c r="L1538" s="111"/>
      <c r="M1538" s="111"/>
      <c r="N1538" s="111"/>
      <c r="O1538" s="111"/>
      <c r="P1538" s="111"/>
      <c r="Q1538" s="111"/>
      <c r="R1538" s="111"/>
    </row>
    <row r="1539" spans="2:18" s="108" customFormat="1">
      <c r="B1539" s="97"/>
      <c r="C1539" s="110"/>
      <c r="D1539" s="109"/>
      <c r="E1539" s="97"/>
      <c r="F1539" s="97"/>
      <c r="G1539" s="109"/>
      <c r="H1539" s="109"/>
      <c r="I1539" s="97"/>
      <c r="J1539" s="97"/>
      <c r="K1539" s="83"/>
      <c r="L1539" s="111"/>
      <c r="M1539" s="111"/>
      <c r="N1539" s="111"/>
      <c r="O1539" s="111"/>
      <c r="P1539" s="111"/>
      <c r="Q1539" s="111"/>
      <c r="R1539" s="111"/>
    </row>
    <row r="1540" spans="2:18" s="108" customFormat="1">
      <c r="B1540" s="97"/>
      <c r="C1540" s="110"/>
      <c r="D1540" s="109"/>
      <c r="E1540" s="97"/>
      <c r="F1540" s="97"/>
      <c r="G1540" s="109"/>
      <c r="H1540" s="109"/>
      <c r="I1540" s="97"/>
      <c r="J1540" s="97"/>
      <c r="K1540" s="83"/>
      <c r="L1540" s="111"/>
      <c r="M1540" s="111"/>
      <c r="N1540" s="111"/>
      <c r="O1540" s="111"/>
      <c r="P1540" s="111"/>
      <c r="Q1540" s="111"/>
      <c r="R1540" s="111"/>
    </row>
    <row r="1541" spans="2:18" s="108" customFormat="1">
      <c r="B1541" s="97"/>
      <c r="C1541" s="110"/>
      <c r="D1541" s="109"/>
      <c r="E1541" s="97"/>
      <c r="F1541" s="97"/>
      <c r="G1541" s="109"/>
      <c r="H1541" s="109"/>
      <c r="I1541" s="97"/>
      <c r="J1541" s="97"/>
      <c r="K1541" s="83"/>
      <c r="L1541" s="111"/>
      <c r="M1541" s="111"/>
      <c r="N1541" s="111"/>
      <c r="O1541" s="111"/>
      <c r="P1541" s="111"/>
      <c r="Q1541" s="111"/>
      <c r="R1541" s="111"/>
    </row>
    <row r="1542" spans="2:18" s="108" customFormat="1">
      <c r="B1542" s="97"/>
      <c r="C1542" s="110"/>
      <c r="D1542" s="109"/>
      <c r="E1542" s="97"/>
      <c r="F1542" s="97"/>
      <c r="G1542" s="109"/>
      <c r="H1542" s="109"/>
      <c r="I1542" s="97"/>
      <c r="J1542" s="97"/>
      <c r="K1542" s="83"/>
      <c r="L1542" s="111"/>
      <c r="M1542" s="111"/>
      <c r="N1542" s="111"/>
      <c r="O1542" s="111"/>
      <c r="P1542" s="111"/>
      <c r="Q1542" s="111"/>
      <c r="R1542" s="111"/>
    </row>
    <row r="1543" spans="2:18" s="108" customFormat="1">
      <c r="B1543" s="97"/>
      <c r="C1543" s="110"/>
      <c r="D1543" s="109"/>
      <c r="E1543" s="97"/>
      <c r="F1543" s="97"/>
      <c r="G1543" s="109"/>
      <c r="H1543" s="109"/>
      <c r="I1543" s="97"/>
      <c r="J1543" s="97"/>
      <c r="K1543" s="83"/>
      <c r="L1543" s="111"/>
      <c r="M1543" s="111"/>
      <c r="N1543" s="111"/>
      <c r="O1543" s="111"/>
      <c r="P1543" s="111"/>
      <c r="Q1543" s="111"/>
      <c r="R1543" s="111"/>
    </row>
    <row r="1544" spans="2:18" s="108" customFormat="1">
      <c r="B1544" s="97"/>
      <c r="C1544" s="110"/>
      <c r="D1544" s="109"/>
      <c r="E1544" s="97"/>
      <c r="F1544" s="97"/>
      <c r="G1544" s="109"/>
      <c r="H1544" s="109"/>
      <c r="I1544" s="97"/>
      <c r="J1544" s="97"/>
      <c r="K1544" s="83"/>
      <c r="L1544" s="111"/>
      <c r="M1544" s="111"/>
      <c r="N1544" s="111"/>
      <c r="O1544" s="111"/>
      <c r="P1544" s="111"/>
      <c r="Q1544" s="111"/>
      <c r="R1544" s="111"/>
    </row>
    <row r="1545" spans="2:18" s="108" customFormat="1">
      <c r="B1545" s="97"/>
      <c r="C1545" s="110"/>
      <c r="D1545" s="109"/>
      <c r="E1545" s="97"/>
      <c r="F1545" s="97"/>
      <c r="G1545" s="109"/>
      <c r="H1545" s="109"/>
      <c r="I1545" s="97"/>
      <c r="J1545" s="97"/>
      <c r="K1545" s="83"/>
      <c r="L1545" s="111"/>
      <c r="M1545" s="111"/>
      <c r="N1545" s="111"/>
      <c r="O1545" s="111"/>
      <c r="P1545" s="111"/>
      <c r="Q1545" s="111"/>
      <c r="R1545" s="111"/>
    </row>
    <row r="1546" spans="2:18" s="108" customFormat="1">
      <c r="B1546" s="97"/>
      <c r="C1546" s="110"/>
      <c r="D1546" s="109"/>
      <c r="E1546" s="97"/>
      <c r="F1546" s="97"/>
      <c r="G1546" s="109"/>
      <c r="H1546" s="109"/>
      <c r="I1546" s="97"/>
      <c r="J1546" s="97"/>
      <c r="K1546" s="83"/>
      <c r="L1546" s="111"/>
      <c r="M1546" s="111"/>
      <c r="N1546" s="111"/>
      <c r="O1546" s="111"/>
      <c r="P1546" s="111"/>
      <c r="Q1546" s="111"/>
      <c r="R1546" s="111"/>
    </row>
    <row r="1547" spans="2:18" s="108" customFormat="1">
      <c r="B1547" s="97"/>
      <c r="C1547" s="110"/>
      <c r="D1547" s="109"/>
      <c r="E1547" s="97"/>
      <c r="F1547" s="97"/>
      <c r="G1547" s="109"/>
      <c r="H1547" s="109"/>
      <c r="I1547" s="97"/>
      <c r="J1547" s="97"/>
      <c r="K1547" s="83"/>
      <c r="L1547" s="111"/>
      <c r="M1547" s="111"/>
      <c r="N1547" s="111"/>
      <c r="O1547" s="111"/>
      <c r="P1547" s="111"/>
      <c r="Q1547" s="111"/>
      <c r="R1547" s="111"/>
    </row>
    <row r="1548" spans="2:18" s="108" customFormat="1">
      <c r="B1548" s="97"/>
      <c r="C1548" s="110"/>
      <c r="D1548" s="109"/>
      <c r="E1548" s="97"/>
      <c r="F1548" s="97"/>
      <c r="G1548" s="109"/>
      <c r="H1548" s="109"/>
      <c r="I1548" s="97"/>
      <c r="J1548" s="97"/>
      <c r="K1548" s="83"/>
      <c r="L1548" s="111"/>
      <c r="M1548" s="111"/>
      <c r="N1548" s="111"/>
      <c r="O1548" s="111"/>
      <c r="P1548" s="111"/>
      <c r="Q1548" s="111"/>
      <c r="R1548" s="111"/>
    </row>
    <row r="1549" spans="2:18" s="108" customFormat="1">
      <c r="B1549" s="97"/>
      <c r="C1549" s="110"/>
      <c r="D1549" s="109"/>
      <c r="E1549" s="97"/>
      <c r="F1549" s="97"/>
      <c r="G1549" s="109"/>
      <c r="H1549" s="109"/>
      <c r="I1549" s="97"/>
      <c r="J1549" s="97"/>
      <c r="K1549" s="83"/>
      <c r="L1549" s="111"/>
      <c r="M1549" s="111"/>
      <c r="N1549" s="111"/>
      <c r="O1549" s="111"/>
      <c r="P1549" s="111"/>
      <c r="Q1549" s="111"/>
      <c r="R1549" s="111"/>
    </row>
    <row r="1550" spans="2:18" s="108" customFormat="1">
      <c r="B1550" s="97"/>
      <c r="C1550" s="110"/>
      <c r="D1550" s="109"/>
      <c r="E1550" s="97"/>
      <c r="F1550" s="97"/>
      <c r="G1550" s="109"/>
      <c r="H1550" s="109"/>
      <c r="I1550" s="97"/>
      <c r="J1550" s="97"/>
      <c r="K1550" s="83"/>
      <c r="L1550" s="111"/>
      <c r="M1550" s="111"/>
      <c r="N1550" s="111"/>
      <c r="O1550" s="111"/>
      <c r="P1550" s="111"/>
      <c r="Q1550" s="111"/>
      <c r="R1550" s="111"/>
    </row>
    <row r="1551" spans="2:18" s="108" customFormat="1">
      <c r="B1551" s="97"/>
      <c r="C1551" s="110"/>
      <c r="D1551" s="109"/>
      <c r="E1551" s="97"/>
      <c r="F1551" s="97"/>
      <c r="G1551" s="109"/>
      <c r="H1551" s="109"/>
      <c r="I1551" s="97"/>
      <c r="J1551" s="97"/>
      <c r="K1551" s="83"/>
      <c r="L1551" s="111"/>
      <c r="M1551" s="111"/>
      <c r="N1551" s="111"/>
      <c r="O1551" s="111"/>
      <c r="P1551" s="111"/>
      <c r="Q1551" s="111"/>
      <c r="R1551" s="111"/>
    </row>
    <row r="1552" spans="2:18" s="108" customFormat="1">
      <c r="B1552" s="97"/>
      <c r="C1552" s="110"/>
      <c r="D1552" s="109"/>
      <c r="E1552" s="97"/>
      <c r="F1552" s="97"/>
      <c r="G1552" s="109"/>
      <c r="H1552" s="109"/>
      <c r="I1552" s="97"/>
      <c r="J1552" s="97"/>
      <c r="K1552" s="83"/>
      <c r="L1552" s="111"/>
      <c r="M1552" s="111"/>
      <c r="N1552" s="111"/>
      <c r="O1552" s="111"/>
      <c r="P1552" s="111"/>
      <c r="Q1552" s="111"/>
      <c r="R1552" s="111"/>
    </row>
    <row r="1553" spans="2:18" s="108" customFormat="1">
      <c r="B1553" s="97"/>
      <c r="C1553" s="110"/>
      <c r="D1553" s="109"/>
      <c r="E1553" s="97"/>
      <c r="F1553" s="97"/>
      <c r="G1553" s="109"/>
      <c r="H1553" s="109"/>
      <c r="I1553" s="97"/>
      <c r="J1553" s="97"/>
      <c r="K1553" s="83"/>
      <c r="L1553" s="111"/>
      <c r="M1553" s="111"/>
      <c r="N1553" s="111"/>
      <c r="O1553" s="111"/>
      <c r="P1553" s="111"/>
      <c r="Q1553" s="111"/>
      <c r="R1553" s="111"/>
    </row>
    <row r="1554" spans="2:18" s="108" customFormat="1">
      <c r="B1554" s="97"/>
      <c r="C1554" s="110"/>
      <c r="D1554" s="109"/>
      <c r="E1554" s="97"/>
      <c r="F1554" s="97"/>
      <c r="G1554" s="109"/>
      <c r="H1554" s="109"/>
      <c r="I1554" s="97"/>
      <c r="J1554" s="97"/>
      <c r="K1554" s="83"/>
      <c r="L1554" s="111"/>
      <c r="M1554" s="111"/>
      <c r="N1554" s="111"/>
      <c r="O1554" s="111"/>
      <c r="P1554" s="111"/>
      <c r="Q1554" s="111"/>
      <c r="R1554" s="111"/>
    </row>
    <row r="1555" spans="2:18" s="108" customFormat="1">
      <c r="B1555" s="97"/>
      <c r="C1555" s="110"/>
      <c r="D1555" s="109"/>
      <c r="E1555" s="97"/>
      <c r="F1555" s="97"/>
      <c r="G1555" s="109"/>
      <c r="H1555" s="109"/>
      <c r="I1555" s="97"/>
      <c r="J1555" s="97"/>
      <c r="K1555" s="83"/>
      <c r="L1555" s="111"/>
      <c r="M1555" s="111"/>
      <c r="N1555" s="111"/>
      <c r="O1555" s="111"/>
      <c r="P1555" s="111"/>
      <c r="Q1555" s="111"/>
      <c r="R1555" s="111"/>
    </row>
    <row r="1556" spans="2:18" s="108" customFormat="1">
      <c r="B1556" s="97"/>
      <c r="C1556" s="110"/>
      <c r="D1556" s="109"/>
      <c r="E1556" s="97"/>
      <c r="F1556" s="97"/>
      <c r="G1556" s="109"/>
      <c r="H1556" s="109"/>
      <c r="I1556" s="97"/>
      <c r="J1556" s="97"/>
      <c r="K1556" s="83"/>
      <c r="L1556" s="111"/>
      <c r="M1556" s="111"/>
      <c r="N1556" s="111"/>
      <c r="O1556" s="111"/>
      <c r="P1556" s="111"/>
      <c r="Q1556" s="111"/>
      <c r="R1556" s="111"/>
    </row>
    <row r="1557" spans="2:18" s="108" customFormat="1">
      <c r="B1557" s="97"/>
      <c r="C1557" s="110"/>
      <c r="D1557" s="109"/>
      <c r="E1557" s="97"/>
      <c r="F1557" s="97"/>
      <c r="G1557" s="109"/>
      <c r="H1557" s="109"/>
      <c r="I1557" s="97"/>
      <c r="J1557" s="97"/>
      <c r="K1557" s="83"/>
      <c r="L1557" s="111"/>
      <c r="M1557" s="111"/>
      <c r="N1557" s="111"/>
      <c r="O1557" s="111"/>
      <c r="P1557" s="111"/>
      <c r="Q1557" s="111"/>
      <c r="R1557" s="111"/>
    </row>
    <row r="1558" spans="2:18" s="108" customFormat="1">
      <c r="B1558" s="97"/>
      <c r="C1558" s="110"/>
      <c r="D1558" s="109"/>
      <c r="E1558" s="97"/>
      <c r="F1558" s="97"/>
      <c r="G1558" s="109"/>
      <c r="H1558" s="109"/>
      <c r="I1558" s="97"/>
      <c r="J1558" s="97"/>
      <c r="K1558" s="83"/>
      <c r="L1558" s="111"/>
      <c r="M1558" s="111"/>
      <c r="N1558" s="111"/>
      <c r="O1558" s="111"/>
      <c r="P1558" s="111"/>
      <c r="Q1558" s="111"/>
      <c r="R1558" s="111"/>
    </row>
    <row r="1559" spans="2:18" s="108" customFormat="1">
      <c r="B1559" s="97"/>
      <c r="C1559" s="110"/>
      <c r="D1559" s="109"/>
      <c r="E1559" s="97"/>
      <c r="F1559" s="97"/>
      <c r="G1559" s="109"/>
      <c r="H1559" s="109"/>
      <c r="I1559" s="97"/>
      <c r="J1559" s="97"/>
      <c r="K1559" s="83"/>
      <c r="L1559" s="111"/>
      <c r="M1559" s="111"/>
      <c r="N1559" s="111"/>
      <c r="O1559" s="111"/>
      <c r="P1559" s="111"/>
      <c r="Q1559" s="111"/>
      <c r="R1559" s="111"/>
    </row>
    <row r="1560" spans="2:18" s="108" customFormat="1">
      <c r="B1560" s="97"/>
      <c r="C1560" s="110"/>
      <c r="D1560" s="109"/>
      <c r="E1560" s="97"/>
      <c r="F1560" s="97"/>
      <c r="G1560" s="109"/>
      <c r="H1560" s="109"/>
      <c r="I1560" s="97"/>
      <c r="J1560" s="97"/>
      <c r="K1560" s="83"/>
      <c r="L1560" s="111"/>
      <c r="M1560" s="111"/>
      <c r="N1560" s="111"/>
      <c r="O1560" s="111"/>
      <c r="P1560" s="111"/>
      <c r="Q1560" s="111"/>
      <c r="R1560" s="111"/>
    </row>
    <row r="1561" spans="2:18" s="108" customFormat="1">
      <c r="B1561" s="97"/>
      <c r="C1561" s="110"/>
      <c r="D1561" s="109"/>
      <c r="E1561" s="97"/>
      <c r="F1561" s="97"/>
      <c r="G1561" s="109"/>
      <c r="H1561" s="109"/>
      <c r="I1561" s="97"/>
      <c r="J1561" s="97"/>
      <c r="K1561" s="83"/>
      <c r="L1561" s="111"/>
      <c r="M1561" s="111"/>
      <c r="N1561" s="111"/>
      <c r="O1561" s="111"/>
      <c r="P1561" s="111"/>
      <c r="Q1561" s="111"/>
      <c r="R1561" s="111"/>
    </row>
    <row r="1562" spans="2:18" s="108" customFormat="1">
      <c r="B1562" s="97"/>
      <c r="C1562" s="110"/>
      <c r="D1562" s="109"/>
      <c r="E1562" s="97"/>
      <c r="F1562" s="97"/>
      <c r="G1562" s="109"/>
      <c r="H1562" s="109"/>
      <c r="I1562" s="97"/>
      <c r="J1562" s="97"/>
      <c r="K1562" s="83"/>
      <c r="L1562" s="111"/>
      <c r="M1562" s="111"/>
      <c r="N1562" s="111"/>
      <c r="O1562" s="111"/>
      <c r="P1562" s="111"/>
      <c r="Q1562" s="111"/>
      <c r="R1562" s="111"/>
    </row>
    <row r="1563" spans="2:18" s="108" customFormat="1">
      <c r="B1563" s="97"/>
      <c r="C1563" s="110"/>
      <c r="D1563" s="109"/>
      <c r="E1563" s="97"/>
      <c r="F1563" s="97"/>
      <c r="G1563" s="109"/>
      <c r="H1563" s="109"/>
      <c r="I1563" s="97"/>
      <c r="J1563" s="97"/>
      <c r="K1563" s="83"/>
      <c r="L1563" s="111"/>
      <c r="M1563" s="111"/>
      <c r="N1563" s="111"/>
      <c r="O1563" s="111"/>
      <c r="P1563" s="111"/>
      <c r="Q1563" s="111"/>
      <c r="R1563" s="111"/>
    </row>
    <row r="1564" spans="2:18" s="108" customFormat="1">
      <c r="B1564" s="97"/>
      <c r="C1564" s="110"/>
      <c r="D1564" s="109"/>
      <c r="E1564" s="97"/>
      <c r="F1564" s="97"/>
      <c r="G1564" s="109"/>
      <c r="H1564" s="109"/>
      <c r="I1564" s="97"/>
      <c r="J1564" s="97"/>
      <c r="K1564" s="83"/>
      <c r="L1564" s="111"/>
      <c r="M1564" s="111"/>
      <c r="N1564" s="111"/>
      <c r="O1564" s="111"/>
      <c r="P1564" s="111"/>
      <c r="Q1564" s="111"/>
      <c r="R1564" s="111"/>
    </row>
    <row r="1565" spans="2:18" s="108" customFormat="1">
      <c r="B1565" s="97"/>
      <c r="C1565" s="110"/>
      <c r="D1565" s="109"/>
      <c r="E1565" s="97"/>
      <c r="F1565" s="97"/>
      <c r="G1565" s="109"/>
      <c r="H1565" s="109"/>
      <c r="I1565" s="97"/>
      <c r="J1565" s="97"/>
      <c r="K1565" s="83"/>
      <c r="L1565" s="111"/>
      <c r="M1565" s="111"/>
      <c r="N1565" s="111"/>
      <c r="O1565" s="111"/>
      <c r="P1565" s="111"/>
      <c r="Q1565" s="111"/>
      <c r="R1565" s="111"/>
    </row>
    <row r="1566" spans="2:18" s="108" customFormat="1">
      <c r="B1566" s="97"/>
      <c r="C1566" s="110"/>
      <c r="D1566" s="109"/>
      <c r="E1566" s="97"/>
      <c r="F1566" s="97"/>
      <c r="G1566" s="109"/>
      <c r="H1566" s="109"/>
      <c r="I1566" s="97"/>
      <c r="J1566" s="97"/>
      <c r="K1566" s="83"/>
      <c r="L1566" s="111"/>
      <c r="M1566" s="111"/>
      <c r="N1566" s="111"/>
      <c r="O1566" s="111"/>
      <c r="P1566" s="111"/>
      <c r="Q1566" s="111"/>
      <c r="R1566" s="111"/>
    </row>
    <row r="1567" spans="2:18" s="108" customFormat="1">
      <c r="B1567" s="97"/>
      <c r="C1567" s="110"/>
      <c r="D1567" s="109"/>
      <c r="E1567" s="97"/>
      <c r="F1567" s="97"/>
      <c r="G1567" s="109"/>
      <c r="H1567" s="109"/>
      <c r="I1567" s="97"/>
      <c r="J1567" s="97"/>
      <c r="K1567" s="83"/>
      <c r="L1567" s="111"/>
      <c r="M1567" s="111"/>
      <c r="N1567" s="111"/>
      <c r="O1567" s="111"/>
      <c r="P1567" s="111"/>
      <c r="Q1567" s="111"/>
      <c r="R1567" s="111"/>
    </row>
    <row r="1568" spans="2:18" s="108" customFormat="1">
      <c r="B1568" s="97"/>
      <c r="C1568" s="110"/>
      <c r="D1568" s="109"/>
      <c r="E1568" s="97"/>
      <c r="F1568" s="97"/>
      <c r="G1568" s="109"/>
      <c r="H1568" s="109"/>
      <c r="I1568" s="97"/>
      <c r="J1568" s="97"/>
      <c r="K1568" s="83"/>
      <c r="L1568" s="111"/>
      <c r="M1568" s="111"/>
      <c r="N1568" s="111"/>
      <c r="O1568" s="111"/>
      <c r="P1568" s="111"/>
      <c r="Q1568" s="111"/>
      <c r="R1568" s="111"/>
    </row>
    <row r="1569" spans="2:18" s="108" customFormat="1">
      <c r="B1569" s="97"/>
      <c r="C1569" s="110"/>
      <c r="D1569" s="109"/>
      <c r="E1569" s="97"/>
      <c r="F1569" s="97"/>
      <c r="G1569" s="109"/>
      <c r="H1569" s="109"/>
      <c r="I1569" s="97"/>
      <c r="J1569" s="97"/>
      <c r="K1569" s="83"/>
      <c r="L1569" s="111"/>
      <c r="M1569" s="111"/>
      <c r="N1569" s="111"/>
      <c r="O1569" s="111"/>
      <c r="P1569" s="111"/>
      <c r="Q1569" s="111"/>
      <c r="R1569" s="111"/>
    </row>
    <row r="1570" spans="2:18" s="108" customFormat="1">
      <c r="B1570" s="97"/>
      <c r="C1570" s="110"/>
      <c r="D1570" s="109"/>
      <c r="E1570" s="97"/>
      <c r="F1570" s="97"/>
      <c r="G1570" s="109"/>
      <c r="H1570" s="109"/>
      <c r="I1570" s="97"/>
      <c r="J1570" s="97"/>
      <c r="K1570" s="83"/>
      <c r="L1570" s="111"/>
      <c r="M1570" s="111"/>
      <c r="N1570" s="111"/>
      <c r="O1570" s="111"/>
      <c r="P1570" s="111"/>
      <c r="Q1570" s="111"/>
      <c r="R1570" s="111"/>
    </row>
    <row r="1571" spans="2:18" s="108" customFormat="1">
      <c r="B1571" s="97"/>
      <c r="C1571" s="110"/>
      <c r="D1571" s="109"/>
      <c r="E1571" s="97"/>
      <c r="F1571" s="97"/>
      <c r="G1571" s="109"/>
      <c r="H1571" s="109"/>
      <c r="I1571" s="97"/>
      <c r="J1571" s="97"/>
      <c r="K1571" s="83"/>
      <c r="L1571" s="111"/>
      <c r="M1571" s="111"/>
      <c r="N1571" s="111"/>
      <c r="O1571" s="111"/>
      <c r="P1571" s="111"/>
      <c r="Q1571" s="111"/>
      <c r="R1571" s="111"/>
    </row>
    <row r="1572" spans="2:18" s="108" customFormat="1">
      <c r="B1572" s="97"/>
      <c r="C1572" s="110"/>
      <c r="D1572" s="109"/>
      <c r="E1572" s="97"/>
      <c r="F1572" s="97"/>
      <c r="G1572" s="109"/>
      <c r="H1572" s="109"/>
      <c r="I1572" s="97"/>
      <c r="J1572" s="97"/>
      <c r="K1572" s="83"/>
      <c r="L1572" s="111"/>
      <c r="M1572" s="111"/>
      <c r="N1572" s="111"/>
      <c r="O1572" s="111"/>
      <c r="P1572" s="111"/>
      <c r="Q1572" s="111"/>
      <c r="R1572" s="111"/>
    </row>
    <row r="1573" spans="2:18" s="108" customFormat="1">
      <c r="B1573" s="97"/>
      <c r="C1573" s="110"/>
      <c r="D1573" s="109"/>
      <c r="E1573" s="97"/>
      <c r="F1573" s="97"/>
      <c r="G1573" s="109"/>
      <c r="H1573" s="109"/>
      <c r="I1573" s="97"/>
      <c r="J1573" s="97"/>
      <c r="K1573" s="83"/>
      <c r="L1573" s="111"/>
      <c r="M1573" s="111"/>
      <c r="N1573" s="111"/>
      <c r="O1573" s="111"/>
      <c r="P1573" s="111"/>
      <c r="Q1573" s="111"/>
      <c r="R1573" s="111"/>
    </row>
    <row r="1574" spans="2:18" s="108" customFormat="1">
      <c r="B1574" s="97"/>
      <c r="C1574" s="110"/>
      <c r="D1574" s="109"/>
      <c r="E1574" s="97"/>
      <c r="F1574" s="97"/>
      <c r="G1574" s="109"/>
      <c r="H1574" s="109"/>
      <c r="I1574" s="97"/>
      <c r="J1574" s="97"/>
      <c r="K1574" s="83"/>
      <c r="L1574" s="111"/>
      <c r="M1574" s="111"/>
      <c r="N1574" s="111"/>
      <c r="O1574" s="111"/>
      <c r="P1574" s="111"/>
      <c r="Q1574" s="111"/>
      <c r="R1574" s="111"/>
    </row>
    <row r="1575" spans="2:18" s="108" customFormat="1">
      <c r="B1575" s="97"/>
      <c r="C1575" s="110"/>
      <c r="D1575" s="109"/>
      <c r="E1575" s="97"/>
      <c r="F1575" s="97"/>
      <c r="G1575" s="109"/>
      <c r="H1575" s="109"/>
      <c r="I1575" s="97"/>
      <c r="J1575" s="97"/>
      <c r="K1575" s="83"/>
      <c r="L1575" s="111"/>
      <c r="M1575" s="111"/>
      <c r="N1575" s="111"/>
      <c r="O1575" s="111"/>
      <c r="P1575" s="111"/>
      <c r="Q1575" s="111"/>
      <c r="R1575" s="111"/>
    </row>
    <row r="1576" spans="2:18" s="108" customFormat="1">
      <c r="B1576" s="97"/>
      <c r="C1576" s="110"/>
      <c r="D1576" s="109"/>
      <c r="E1576" s="97"/>
      <c r="F1576" s="97"/>
      <c r="G1576" s="109"/>
      <c r="H1576" s="109"/>
      <c r="I1576" s="97"/>
      <c r="J1576" s="97"/>
      <c r="K1576" s="83"/>
      <c r="L1576" s="111"/>
      <c r="M1576" s="111"/>
      <c r="N1576" s="111"/>
      <c r="O1576" s="111"/>
      <c r="P1576" s="111"/>
      <c r="Q1576" s="111"/>
      <c r="R1576" s="111"/>
    </row>
    <row r="1577" spans="2:18" s="108" customFormat="1">
      <c r="B1577" s="97"/>
      <c r="C1577" s="110"/>
      <c r="D1577" s="109"/>
      <c r="E1577" s="97"/>
      <c r="F1577" s="97"/>
      <c r="G1577" s="109"/>
      <c r="H1577" s="109"/>
      <c r="I1577" s="97"/>
      <c r="J1577" s="97"/>
      <c r="K1577" s="83"/>
      <c r="L1577" s="111"/>
      <c r="M1577" s="111"/>
      <c r="N1577" s="111"/>
      <c r="O1577" s="111"/>
      <c r="P1577" s="111"/>
      <c r="Q1577" s="111"/>
      <c r="R1577" s="111"/>
    </row>
    <row r="1578" spans="2:18" s="108" customFormat="1">
      <c r="B1578" s="97"/>
      <c r="C1578" s="110"/>
      <c r="D1578" s="109"/>
      <c r="E1578" s="97"/>
      <c r="F1578" s="97"/>
      <c r="G1578" s="109"/>
      <c r="H1578" s="109"/>
      <c r="I1578" s="97"/>
      <c r="J1578" s="97"/>
      <c r="K1578" s="83"/>
      <c r="L1578" s="111"/>
      <c r="M1578" s="111"/>
      <c r="N1578" s="111"/>
      <c r="O1578" s="111"/>
      <c r="P1578" s="111"/>
      <c r="Q1578" s="111"/>
      <c r="R1578" s="111"/>
    </row>
    <row r="1579" spans="2:18" s="108" customFormat="1">
      <c r="B1579" s="97"/>
      <c r="C1579" s="110"/>
      <c r="D1579" s="109"/>
      <c r="E1579" s="97"/>
      <c r="F1579" s="97"/>
      <c r="G1579" s="109"/>
      <c r="H1579" s="109"/>
      <c r="I1579" s="97"/>
      <c r="J1579" s="97"/>
      <c r="K1579" s="83"/>
      <c r="L1579" s="111"/>
      <c r="M1579" s="111"/>
      <c r="N1579" s="111"/>
      <c r="O1579" s="111"/>
      <c r="P1579" s="111"/>
      <c r="Q1579" s="111"/>
      <c r="R1579" s="111"/>
    </row>
    <row r="1580" spans="2:18" s="108" customFormat="1">
      <c r="B1580" s="97"/>
      <c r="C1580" s="110"/>
      <c r="D1580" s="109"/>
      <c r="E1580" s="97"/>
      <c r="F1580" s="97"/>
      <c r="G1580" s="109"/>
      <c r="H1580" s="109"/>
      <c r="I1580" s="97"/>
      <c r="J1580" s="97"/>
      <c r="K1580" s="83"/>
      <c r="L1580" s="111"/>
      <c r="M1580" s="111"/>
      <c r="N1580" s="111"/>
      <c r="O1580" s="111"/>
      <c r="P1580" s="111"/>
      <c r="Q1580" s="111"/>
      <c r="R1580" s="111"/>
    </row>
    <row r="1581" spans="2:18" s="108" customFormat="1">
      <c r="B1581" s="97"/>
      <c r="C1581" s="110"/>
      <c r="D1581" s="109"/>
      <c r="E1581" s="97"/>
      <c r="F1581" s="97"/>
      <c r="G1581" s="109"/>
      <c r="H1581" s="109"/>
      <c r="I1581" s="97"/>
      <c r="J1581" s="97"/>
      <c r="K1581" s="83"/>
      <c r="L1581" s="111"/>
      <c r="M1581" s="111"/>
      <c r="N1581" s="111"/>
      <c r="O1581" s="111"/>
      <c r="P1581" s="111"/>
      <c r="Q1581" s="111"/>
      <c r="R1581" s="111"/>
    </row>
    <row r="1582" spans="2:18" s="108" customFormat="1">
      <c r="B1582" s="97"/>
      <c r="C1582" s="110"/>
      <c r="D1582" s="109"/>
      <c r="E1582" s="97"/>
      <c r="F1582" s="97"/>
      <c r="G1582" s="109"/>
      <c r="H1582" s="109"/>
      <c r="I1582" s="97"/>
      <c r="J1582" s="97"/>
      <c r="K1582" s="83"/>
      <c r="L1582" s="111"/>
      <c r="M1582" s="111"/>
      <c r="N1582" s="111"/>
      <c r="O1582" s="111"/>
      <c r="P1582" s="111"/>
      <c r="Q1582" s="111"/>
      <c r="R1582" s="111"/>
    </row>
    <row r="1583" spans="2:18" s="108" customFormat="1">
      <c r="B1583" s="97"/>
      <c r="C1583" s="110"/>
      <c r="D1583" s="109"/>
      <c r="E1583" s="97"/>
      <c r="F1583" s="97"/>
      <c r="G1583" s="109"/>
      <c r="H1583" s="109"/>
      <c r="I1583" s="97"/>
      <c r="J1583" s="97"/>
      <c r="K1583" s="83"/>
      <c r="L1583" s="111"/>
      <c r="M1583" s="111"/>
      <c r="N1583" s="111"/>
      <c r="O1583" s="111"/>
      <c r="P1583" s="111"/>
      <c r="Q1583" s="111"/>
      <c r="R1583" s="111"/>
    </row>
    <row r="1584" spans="2:18" s="108" customFormat="1">
      <c r="B1584" s="97"/>
      <c r="C1584" s="110"/>
      <c r="D1584" s="109"/>
      <c r="E1584" s="97"/>
      <c r="F1584" s="97"/>
      <c r="G1584" s="109"/>
      <c r="H1584" s="109"/>
      <c r="I1584" s="97"/>
      <c r="J1584" s="97"/>
      <c r="K1584" s="83"/>
      <c r="L1584" s="111"/>
      <c r="M1584" s="111"/>
      <c r="N1584" s="111"/>
      <c r="O1584" s="111"/>
      <c r="P1584" s="111"/>
      <c r="Q1584" s="111"/>
      <c r="R1584" s="111"/>
    </row>
    <row r="1585" spans="2:18" s="108" customFormat="1">
      <c r="B1585" s="97"/>
      <c r="C1585" s="110"/>
      <c r="D1585" s="109"/>
      <c r="E1585" s="97"/>
      <c r="F1585" s="97"/>
      <c r="G1585" s="109"/>
      <c r="H1585" s="109"/>
      <c r="I1585" s="97"/>
      <c r="J1585" s="97"/>
      <c r="K1585" s="83"/>
      <c r="L1585" s="111"/>
      <c r="M1585" s="111"/>
      <c r="N1585" s="111"/>
      <c r="O1585" s="111"/>
      <c r="P1585" s="111"/>
      <c r="Q1585" s="111"/>
      <c r="R1585" s="111"/>
    </row>
    <row r="1586" spans="2:18" s="108" customFormat="1">
      <c r="B1586" s="97"/>
      <c r="C1586" s="110"/>
      <c r="D1586" s="109"/>
      <c r="E1586" s="97"/>
      <c r="F1586" s="97"/>
      <c r="G1586" s="109"/>
      <c r="H1586" s="109"/>
      <c r="I1586" s="97"/>
      <c r="J1586" s="97"/>
      <c r="K1586" s="83"/>
      <c r="L1586" s="111"/>
      <c r="M1586" s="111"/>
      <c r="N1586" s="111"/>
      <c r="O1586" s="111"/>
      <c r="P1586" s="111"/>
      <c r="Q1586" s="111"/>
      <c r="R1586" s="111"/>
    </row>
    <row r="1587" spans="2:18" s="108" customFormat="1">
      <c r="B1587" s="97"/>
      <c r="C1587" s="110"/>
      <c r="D1587" s="109"/>
      <c r="E1587" s="97"/>
      <c r="F1587" s="97"/>
      <c r="G1587" s="109"/>
      <c r="H1587" s="109"/>
      <c r="I1587" s="97"/>
      <c r="J1587" s="97"/>
      <c r="K1587" s="83"/>
      <c r="L1587" s="111"/>
      <c r="M1587" s="111"/>
      <c r="N1587" s="111"/>
      <c r="O1587" s="111"/>
      <c r="P1587" s="111"/>
      <c r="Q1587" s="111"/>
      <c r="R1587" s="111"/>
    </row>
    <row r="1588" spans="2:18" s="108" customFormat="1">
      <c r="B1588" s="97"/>
      <c r="C1588" s="110"/>
      <c r="D1588" s="109"/>
      <c r="E1588" s="97"/>
      <c r="F1588" s="97"/>
      <c r="G1588" s="109"/>
      <c r="H1588" s="109"/>
      <c r="I1588" s="97"/>
      <c r="J1588" s="97"/>
      <c r="K1588" s="83"/>
      <c r="L1588" s="111"/>
      <c r="M1588" s="111"/>
      <c r="N1588" s="111"/>
      <c r="O1588" s="111"/>
      <c r="P1588" s="111"/>
      <c r="Q1588" s="111"/>
      <c r="R1588" s="111"/>
    </row>
    <row r="1589" spans="2:18" s="108" customFormat="1">
      <c r="B1589" s="97"/>
      <c r="C1589" s="110"/>
      <c r="D1589" s="109"/>
      <c r="E1589" s="97"/>
      <c r="F1589" s="97"/>
      <c r="G1589" s="109"/>
      <c r="H1589" s="109"/>
      <c r="I1589" s="97"/>
      <c r="J1589" s="97"/>
      <c r="K1589" s="83"/>
      <c r="L1589" s="111"/>
      <c r="M1589" s="111"/>
      <c r="N1589" s="111"/>
      <c r="O1589" s="111"/>
      <c r="P1589" s="111"/>
      <c r="Q1589" s="111"/>
      <c r="R1589" s="111"/>
    </row>
    <row r="1590" spans="2:18" s="108" customFormat="1">
      <c r="B1590" s="97"/>
      <c r="C1590" s="110"/>
      <c r="D1590" s="109"/>
      <c r="E1590" s="97"/>
      <c r="F1590" s="97"/>
      <c r="G1590" s="109"/>
      <c r="H1590" s="109"/>
      <c r="I1590" s="97"/>
      <c r="J1590" s="97"/>
      <c r="K1590" s="83"/>
      <c r="L1590" s="111"/>
      <c r="M1590" s="111"/>
      <c r="N1590" s="111"/>
      <c r="O1590" s="111"/>
      <c r="P1590" s="111"/>
      <c r="Q1590" s="111"/>
      <c r="R1590" s="111"/>
    </row>
    <row r="1591" spans="2:18" s="108" customFormat="1">
      <c r="B1591" s="97"/>
      <c r="C1591" s="110"/>
      <c r="D1591" s="109"/>
      <c r="E1591" s="97"/>
      <c r="F1591" s="97"/>
      <c r="G1591" s="109"/>
      <c r="H1591" s="109"/>
      <c r="I1591" s="97"/>
      <c r="J1591" s="97"/>
      <c r="K1591" s="83"/>
      <c r="L1591" s="111"/>
      <c r="M1591" s="111"/>
      <c r="N1591" s="111"/>
      <c r="O1591" s="111"/>
      <c r="P1591" s="111"/>
      <c r="Q1591" s="111"/>
      <c r="R1591" s="111"/>
    </row>
    <row r="1592" spans="2:18" s="108" customFormat="1">
      <c r="B1592" s="97"/>
      <c r="C1592" s="110"/>
      <c r="D1592" s="109"/>
      <c r="E1592" s="97"/>
      <c r="F1592" s="97"/>
      <c r="G1592" s="109"/>
      <c r="H1592" s="109"/>
      <c r="I1592" s="97"/>
      <c r="J1592" s="97"/>
      <c r="K1592" s="83"/>
      <c r="L1592" s="111"/>
      <c r="M1592" s="111"/>
      <c r="N1592" s="111"/>
      <c r="O1592" s="111"/>
      <c r="P1592" s="111"/>
      <c r="Q1592" s="111"/>
      <c r="R1592" s="111"/>
    </row>
    <row r="1593" spans="2:18" s="108" customFormat="1">
      <c r="B1593" s="97"/>
      <c r="C1593" s="110"/>
      <c r="D1593" s="109"/>
      <c r="E1593" s="97"/>
      <c r="F1593" s="97"/>
      <c r="G1593" s="109"/>
      <c r="H1593" s="109"/>
      <c r="I1593" s="97"/>
      <c r="J1593" s="97"/>
      <c r="K1593" s="83"/>
      <c r="L1593" s="111"/>
      <c r="M1593" s="111"/>
      <c r="N1593" s="111"/>
      <c r="O1593" s="111"/>
      <c r="P1593" s="111"/>
      <c r="Q1593" s="111"/>
      <c r="R1593" s="111"/>
    </row>
    <row r="1594" spans="2:18" s="108" customFormat="1">
      <c r="B1594" s="97"/>
      <c r="C1594" s="110"/>
      <c r="D1594" s="109"/>
      <c r="E1594" s="97"/>
      <c r="F1594" s="97"/>
      <c r="G1594" s="109"/>
      <c r="H1594" s="109"/>
      <c r="I1594" s="97"/>
      <c r="J1594" s="97"/>
      <c r="K1594" s="83"/>
      <c r="L1594" s="111"/>
      <c r="M1594" s="111"/>
      <c r="N1594" s="111"/>
      <c r="O1594" s="111"/>
      <c r="P1594" s="111"/>
      <c r="Q1594" s="111"/>
      <c r="R1594" s="111"/>
    </row>
    <row r="1595" spans="2:18" s="108" customFormat="1">
      <c r="B1595" s="97"/>
      <c r="C1595" s="110"/>
      <c r="D1595" s="109"/>
      <c r="E1595" s="97"/>
      <c r="F1595" s="97"/>
      <c r="G1595" s="109"/>
      <c r="H1595" s="109"/>
      <c r="I1595" s="97"/>
      <c r="J1595" s="97"/>
      <c r="K1595" s="83"/>
      <c r="L1595" s="111"/>
      <c r="M1595" s="111"/>
      <c r="N1595" s="111"/>
      <c r="O1595" s="111"/>
      <c r="P1595" s="111"/>
      <c r="Q1595" s="111"/>
      <c r="R1595" s="111"/>
    </row>
    <row r="1596" spans="2:18" s="108" customFormat="1">
      <c r="B1596" s="97"/>
      <c r="C1596" s="110"/>
      <c r="D1596" s="109"/>
      <c r="E1596" s="97"/>
      <c r="F1596" s="97"/>
      <c r="G1596" s="109"/>
      <c r="H1596" s="109"/>
      <c r="I1596" s="97"/>
      <c r="J1596" s="97"/>
      <c r="K1596" s="83"/>
      <c r="L1596" s="111"/>
      <c r="M1596" s="111"/>
      <c r="N1596" s="111"/>
      <c r="O1596" s="111"/>
      <c r="P1596" s="111"/>
      <c r="Q1596" s="111"/>
      <c r="R1596" s="111"/>
    </row>
    <row r="1597" spans="2:18" s="108" customFormat="1">
      <c r="B1597" s="97"/>
      <c r="C1597" s="110"/>
      <c r="D1597" s="109"/>
      <c r="E1597" s="97"/>
      <c r="F1597" s="97"/>
      <c r="G1597" s="109"/>
      <c r="H1597" s="109"/>
      <c r="I1597" s="97"/>
      <c r="J1597" s="97"/>
      <c r="K1597" s="83"/>
      <c r="L1597" s="111"/>
      <c r="M1597" s="111"/>
      <c r="N1597" s="111"/>
      <c r="O1597" s="111"/>
      <c r="P1597" s="111"/>
      <c r="Q1597" s="111"/>
      <c r="R1597" s="111"/>
    </row>
    <row r="1598" spans="2:18" s="108" customFormat="1">
      <c r="B1598" s="97"/>
      <c r="C1598" s="110"/>
      <c r="D1598" s="109"/>
      <c r="E1598" s="97"/>
      <c r="F1598" s="97"/>
      <c r="G1598" s="109"/>
      <c r="H1598" s="109"/>
      <c r="I1598" s="97"/>
      <c r="J1598" s="97"/>
      <c r="K1598" s="83"/>
      <c r="L1598" s="111"/>
      <c r="M1598" s="111"/>
      <c r="N1598" s="111"/>
      <c r="O1598" s="111"/>
      <c r="P1598" s="111"/>
      <c r="Q1598" s="111"/>
      <c r="R1598" s="111"/>
    </row>
    <row r="1599" spans="2:18" s="108" customFormat="1">
      <c r="B1599" s="97"/>
      <c r="C1599" s="110"/>
      <c r="D1599" s="109"/>
      <c r="E1599" s="97"/>
      <c r="F1599" s="97"/>
      <c r="G1599" s="109"/>
      <c r="H1599" s="109"/>
      <c r="I1599" s="97"/>
      <c r="J1599" s="97"/>
      <c r="K1599" s="83"/>
      <c r="L1599" s="111"/>
      <c r="M1599" s="111"/>
      <c r="N1599" s="111"/>
      <c r="O1599" s="111"/>
      <c r="P1599" s="111"/>
      <c r="Q1599" s="111"/>
      <c r="R1599" s="111"/>
    </row>
    <row r="1600" spans="2:18" s="108" customFormat="1">
      <c r="B1600" s="97"/>
      <c r="C1600" s="110"/>
      <c r="D1600" s="109"/>
      <c r="E1600" s="97"/>
      <c r="F1600" s="97"/>
      <c r="G1600" s="109"/>
      <c r="H1600" s="109"/>
      <c r="I1600" s="97"/>
      <c r="J1600" s="97"/>
      <c r="K1600" s="83"/>
      <c r="L1600" s="111"/>
      <c r="M1600" s="111"/>
      <c r="N1600" s="111"/>
      <c r="O1600" s="111"/>
      <c r="P1600" s="111"/>
      <c r="Q1600" s="111"/>
      <c r="R1600" s="111"/>
    </row>
    <row r="1601" spans="2:18" s="108" customFormat="1">
      <c r="B1601" s="97"/>
      <c r="C1601" s="110"/>
      <c r="D1601" s="109"/>
      <c r="E1601" s="97"/>
      <c r="F1601" s="97"/>
      <c r="G1601" s="109"/>
      <c r="H1601" s="109"/>
      <c r="I1601" s="97"/>
      <c r="J1601" s="97"/>
      <c r="K1601" s="83"/>
      <c r="L1601" s="111"/>
      <c r="M1601" s="111"/>
      <c r="N1601" s="111"/>
      <c r="O1601" s="111"/>
      <c r="P1601" s="111"/>
      <c r="Q1601" s="111"/>
      <c r="R1601" s="111"/>
    </row>
    <row r="1602" spans="2:18" s="108" customFormat="1">
      <c r="B1602" s="97"/>
      <c r="C1602" s="110"/>
      <c r="D1602" s="109"/>
      <c r="E1602" s="97"/>
      <c r="F1602" s="97"/>
      <c r="G1602" s="109"/>
      <c r="H1602" s="109"/>
      <c r="I1602" s="97"/>
      <c r="J1602" s="97"/>
      <c r="K1602" s="83"/>
      <c r="L1602" s="111"/>
      <c r="M1602" s="111"/>
      <c r="N1602" s="111"/>
      <c r="O1602" s="111"/>
      <c r="P1602" s="111"/>
      <c r="Q1602" s="111"/>
      <c r="R1602" s="111"/>
    </row>
    <row r="1603" spans="2:18" s="108" customFormat="1">
      <c r="B1603" s="97"/>
      <c r="C1603" s="110"/>
      <c r="D1603" s="109"/>
      <c r="E1603" s="97"/>
      <c r="F1603" s="97"/>
      <c r="G1603" s="109"/>
      <c r="H1603" s="109"/>
      <c r="I1603" s="97"/>
      <c r="J1603" s="97"/>
      <c r="K1603" s="83"/>
      <c r="L1603" s="111"/>
      <c r="M1603" s="111"/>
      <c r="N1603" s="111"/>
      <c r="O1603" s="111"/>
      <c r="P1603" s="111"/>
      <c r="Q1603" s="111"/>
      <c r="R1603" s="111"/>
    </row>
    <row r="1604" spans="2:18" s="108" customFormat="1">
      <c r="B1604" s="97"/>
      <c r="C1604" s="110"/>
      <c r="D1604" s="109"/>
      <c r="E1604" s="97"/>
      <c r="F1604" s="97"/>
      <c r="G1604" s="109"/>
      <c r="H1604" s="109"/>
      <c r="I1604" s="97"/>
      <c r="J1604" s="97"/>
      <c r="K1604" s="83"/>
      <c r="L1604" s="111"/>
      <c r="M1604" s="111"/>
      <c r="N1604" s="111"/>
      <c r="O1604" s="111"/>
      <c r="P1604" s="111"/>
      <c r="Q1604" s="111"/>
      <c r="R1604" s="111"/>
    </row>
    <row r="1605" spans="2:18" s="108" customFormat="1">
      <c r="B1605" s="97"/>
      <c r="C1605" s="110"/>
      <c r="D1605" s="109"/>
      <c r="E1605" s="97"/>
      <c r="F1605" s="97"/>
      <c r="G1605" s="109"/>
      <c r="H1605" s="109"/>
      <c r="I1605" s="97"/>
      <c r="J1605" s="97"/>
      <c r="K1605" s="83"/>
      <c r="L1605" s="111"/>
      <c r="M1605" s="111"/>
      <c r="N1605" s="111"/>
      <c r="O1605" s="111"/>
      <c r="P1605" s="111"/>
      <c r="Q1605" s="111"/>
      <c r="R1605" s="111"/>
    </row>
    <row r="1606" spans="2:18" s="108" customFormat="1">
      <c r="B1606" s="97"/>
      <c r="C1606" s="110"/>
      <c r="D1606" s="109"/>
      <c r="E1606" s="97"/>
      <c r="F1606" s="97"/>
      <c r="G1606" s="109"/>
      <c r="H1606" s="109"/>
      <c r="I1606" s="97"/>
      <c r="J1606" s="97"/>
      <c r="K1606" s="83"/>
      <c r="L1606" s="111"/>
      <c r="M1606" s="111"/>
      <c r="N1606" s="111"/>
      <c r="O1606" s="111"/>
      <c r="P1606" s="111"/>
      <c r="Q1606" s="111"/>
      <c r="R1606" s="111"/>
    </row>
    <row r="1607" spans="2:18" s="108" customFormat="1">
      <c r="B1607" s="97"/>
      <c r="C1607" s="110"/>
      <c r="D1607" s="109"/>
      <c r="E1607" s="97"/>
      <c r="F1607" s="97"/>
      <c r="G1607" s="109"/>
      <c r="H1607" s="109"/>
      <c r="I1607" s="97"/>
      <c r="J1607" s="97"/>
      <c r="K1607" s="83"/>
      <c r="L1607" s="111"/>
      <c r="M1607" s="111"/>
      <c r="N1607" s="111"/>
      <c r="O1607" s="111"/>
      <c r="P1607" s="111"/>
      <c r="Q1607" s="111"/>
      <c r="R1607" s="111"/>
    </row>
    <row r="1608" spans="2:18" s="108" customFormat="1">
      <c r="B1608" s="97"/>
      <c r="C1608" s="110"/>
      <c r="D1608" s="109"/>
      <c r="E1608" s="97"/>
      <c r="F1608" s="97"/>
      <c r="G1608" s="109"/>
      <c r="H1608" s="109"/>
      <c r="I1608" s="97"/>
      <c r="J1608" s="97"/>
      <c r="K1608" s="83"/>
      <c r="L1608" s="111"/>
      <c r="M1608" s="111"/>
      <c r="N1608" s="111"/>
      <c r="O1608" s="111"/>
      <c r="P1608" s="111"/>
      <c r="Q1608" s="111"/>
      <c r="R1608" s="111"/>
    </row>
    <row r="1609" spans="2:18" s="108" customFormat="1">
      <c r="B1609" s="97"/>
      <c r="C1609" s="110"/>
      <c r="D1609" s="109"/>
      <c r="E1609" s="97"/>
      <c r="F1609" s="97"/>
      <c r="G1609" s="109"/>
      <c r="H1609" s="109"/>
      <c r="I1609" s="97"/>
      <c r="J1609" s="97"/>
      <c r="K1609" s="83"/>
      <c r="L1609" s="111"/>
      <c r="M1609" s="111"/>
      <c r="N1609" s="111"/>
      <c r="O1609" s="111"/>
      <c r="P1609" s="111"/>
      <c r="Q1609" s="111"/>
      <c r="R1609" s="111"/>
    </row>
    <row r="1610" spans="2:18" s="108" customFormat="1">
      <c r="B1610" s="97"/>
      <c r="C1610" s="110"/>
      <c r="D1610" s="109"/>
      <c r="E1610" s="97"/>
      <c r="F1610" s="97"/>
      <c r="G1610" s="109"/>
      <c r="H1610" s="109"/>
      <c r="I1610" s="97"/>
      <c r="J1610" s="97"/>
      <c r="K1610" s="83"/>
      <c r="L1610" s="111"/>
      <c r="M1610" s="111"/>
      <c r="N1610" s="111"/>
      <c r="O1610" s="111"/>
      <c r="P1610" s="111"/>
      <c r="Q1610" s="111"/>
      <c r="R1610" s="111"/>
    </row>
    <row r="1611" spans="2:18" s="108" customFormat="1">
      <c r="B1611" s="97"/>
      <c r="C1611" s="110"/>
      <c r="D1611" s="109"/>
      <c r="E1611" s="97"/>
      <c r="F1611" s="97"/>
      <c r="G1611" s="109"/>
      <c r="H1611" s="109"/>
      <c r="I1611" s="97"/>
      <c r="J1611" s="97"/>
      <c r="K1611" s="83"/>
      <c r="L1611" s="111"/>
      <c r="M1611" s="111"/>
      <c r="N1611" s="111"/>
      <c r="O1611" s="111"/>
      <c r="P1611" s="111"/>
      <c r="Q1611" s="111"/>
      <c r="R1611" s="111"/>
    </row>
    <row r="1612" spans="2:18" s="108" customFormat="1">
      <c r="B1612" s="97"/>
      <c r="C1612" s="110"/>
      <c r="D1612" s="109"/>
      <c r="E1612" s="97"/>
      <c r="F1612" s="97"/>
      <c r="G1612" s="109"/>
      <c r="H1612" s="109"/>
      <c r="I1612" s="97"/>
      <c r="J1612" s="97"/>
      <c r="K1612" s="83"/>
      <c r="L1612" s="111"/>
      <c r="M1612" s="111"/>
      <c r="N1612" s="111"/>
      <c r="O1612" s="111"/>
      <c r="P1612" s="111"/>
      <c r="Q1612" s="111"/>
      <c r="R1612" s="111"/>
    </row>
    <row r="1613" spans="2:18" s="108" customFormat="1">
      <c r="B1613" s="97"/>
      <c r="C1613" s="110"/>
      <c r="D1613" s="109"/>
      <c r="E1613" s="97"/>
      <c r="F1613" s="97"/>
      <c r="G1613" s="109"/>
      <c r="H1613" s="109"/>
      <c r="I1613" s="97"/>
      <c r="J1613" s="97"/>
      <c r="K1613" s="83"/>
      <c r="L1613" s="111"/>
      <c r="M1613" s="111"/>
      <c r="N1613" s="111"/>
      <c r="O1613" s="111"/>
      <c r="P1613" s="111"/>
      <c r="Q1613" s="111"/>
      <c r="R1613" s="111"/>
    </row>
    <row r="1614" spans="2:18" s="108" customFormat="1">
      <c r="B1614" s="97"/>
      <c r="C1614" s="110"/>
      <c r="D1614" s="109"/>
      <c r="E1614" s="97"/>
      <c r="F1614" s="97"/>
      <c r="G1614" s="109"/>
      <c r="H1614" s="109"/>
      <c r="I1614" s="97"/>
      <c r="J1614" s="97"/>
      <c r="K1614" s="83"/>
      <c r="L1614" s="111"/>
      <c r="M1614" s="111"/>
      <c r="N1614" s="111"/>
      <c r="O1614" s="111"/>
      <c r="P1614" s="111"/>
      <c r="Q1614" s="111"/>
      <c r="R1614" s="111"/>
    </row>
    <row r="1615" spans="2:18" s="108" customFormat="1">
      <c r="B1615" s="97"/>
      <c r="C1615" s="110"/>
      <c r="D1615" s="109"/>
      <c r="E1615" s="97"/>
      <c r="F1615" s="97"/>
      <c r="G1615" s="109"/>
      <c r="H1615" s="109"/>
      <c r="I1615" s="97"/>
      <c r="J1615" s="97"/>
      <c r="K1615" s="83"/>
      <c r="L1615" s="111"/>
      <c r="M1615" s="111"/>
      <c r="N1615" s="111"/>
      <c r="O1615" s="111"/>
      <c r="P1615" s="111"/>
      <c r="Q1615" s="111"/>
      <c r="R1615" s="111"/>
    </row>
    <row r="1616" spans="2:18" s="108" customFormat="1">
      <c r="B1616" s="97"/>
      <c r="C1616" s="110"/>
      <c r="D1616" s="109"/>
      <c r="E1616" s="97"/>
      <c r="F1616" s="97"/>
      <c r="G1616" s="109"/>
      <c r="H1616" s="109"/>
      <c r="I1616" s="97"/>
      <c r="J1616" s="97"/>
      <c r="K1616" s="83"/>
      <c r="L1616" s="111"/>
      <c r="M1616" s="111"/>
      <c r="N1616" s="111"/>
      <c r="O1616" s="111"/>
      <c r="P1616" s="111"/>
      <c r="Q1616" s="111"/>
      <c r="R1616" s="111"/>
    </row>
    <row r="1617" spans="2:18" s="108" customFormat="1">
      <c r="B1617" s="97"/>
      <c r="C1617" s="110"/>
      <c r="D1617" s="109"/>
      <c r="E1617" s="97"/>
      <c r="F1617" s="97"/>
      <c r="G1617" s="109"/>
      <c r="H1617" s="109"/>
      <c r="I1617" s="97"/>
      <c r="J1617" s="97"/>
      <c r="K1617" s="83"/>
      <c r="L1617" s="111"/>
      <c r="M1617" s="111"/>
      <c r="N1617" s="111"/>
      <c r="O1617" s="111"/>
      <c r="P1617" s="111"/>
      <c r="Q1617" s="111"/>
      <c r="R1617" s="111"/>
    </row>
    <row r="1618" spans="2:18" s="108" customFormat="1">
      <c r="B1618" s="97"/>
      <c r="C1618" s="110"/>
      <c r="D1618" s="109"/>
      <c r="E1618" s="97"/>
      <c r="F1618" s="97"/>
      <c r="G1618" s="109"/>
      <c r="H1618" s="109"/>
      <c r="I1618" s="97"/>
      <c r="J1618" s="97"/>
      <c r="K1618" s="83"/>
      <c r="L1618" s="111"/>
      <c r="M1618" s="111"/>
      <c r="N1618" s="111"/>
      <c r="O1618" s="111"/>
      <c r="P1618" s="111"/>
      <c r="Q1618" s="111"/>
      <c r="R1618" s="111"/>
    </row>
    <row r="1619" spans="2:18" s="108" customFormat="1">
      <c r="B1619" s="97"/>
      <c r="C1619" s="110"/>
      <c r="D1619" s="109"/>
      <c r="E1619" s="97"/>
      <c r="F1619" s="97"/>
      <c r="G1619" s="109"/>
      <c r="H1619" s="109"/>
      <c r="I1619" s="97"/>
      <c r="J1619" s="97"/>
      <c r="K1619" s="83"/>
      <c r="L1619" s="111"/>
      <c r="M1619" s="111"/>
      <c r="N1619" s="111"/>
      <c r="O1619" s="111"/>
      <c r="P1619" s="111"/>
      <c r="Q1619" s="111"/>
      <c r="R1619" s="111"/>
    </row>
    <row r="1620" spans="2:18" s="108" customFormat="1">
      <c r="B1620" s="97"/>
      <c r="C1620" s="110"/>
      <c r="D1620" s="109"/>
      <c r="E1620" s="97"/>
      <c r="F1620" s="97"/>
      <c r="G1620" s="109"/>
      <c r="H1620" s="109"/>
      <c r="I1620" s="97"/>
      <c r="J1620" s="97"/>
      <c r="K1620" s="83"/>
      <c r="L1620" s="111"/>
      <c r="M1620" s="111"/>
      <c r="N1620" s="111"/>
      <c r="O1620" s="111"/>
      <c r="P1620" s="111"/>
      <c r="Q1620" s="111"/>
      <c r="R1620" s="111"/>
    </row>
    <row r="1621" spans="2:18" s="108" customFormat="1">
      <c r="B1621" s="97"/>
      <c r="C1621" s="110"/>
      <c r="D1621" s="109"/>
      <c r="E1621" s="97"/>
      <c r="F1621" s="97"/>
      <c r="G1621" s="109"/>
      <c r="H1621" s="109"/>
      <c r="I1621" s="97"/>
      <c r="J1621" s="97"/>
      <c r="K1621" s="83"/>
      <c r="L1621" s="111"/>
      <c r="M1621" s="111"/>
      <c r="N1621" s="111"/>
      <c r="O1621" s="111"/>
      <c r="P1621" s="111"/>
      <c r="Q1621" s="111"/>
      <c r="R1621" s="111"/>
    </row>
    <row r="1622" spans="2:18" s="108" customFormat="1">
      <c r="B1622" s="97"/>
      <c r="C1622" s="110"/>
      <c r="D1622" s="109"/>
      <c r="E1622" s="97"/>
      <c r="F1622" s="97"/>
      <c r="G1622" s="109"/>
      <c r="H1622" s="109"/>
      <c r="I1622" s="97"/>
      <c r="J1622" s="97"/>
      <c r="K1622" s="83"/>
      <c r="L1622" s="111"/>
      <c r="M1622" s="111"/>
      <c r="N1622" s="111"/>
      <c r="O1622" s="111"/>
      <c r="P1622" s="111"/>
      <c r="Q1622" s="111"/>
      <c r="R1622" s="111"/>
    </row>
    <row r="1623" spans="2:18" s="108" customFormat="1">
      <c r="B1623" s="97"/>
      <c r="C1623" s="110"/>
      <c r="D1623" s="109"/>
      <c r="E1623" s="97"/>
      <c r="F1623" s="97"/>
      <c r="G1623" s="109"/>
      <c r="H1623" s="109"/>
      <c r="I1623" s="97"/>
      <c r="J1623" s="97"/>
      <c r="K1623" s="83"/>
      <c r="L1623" s="111"/>
      <c r="M1623" s="111"/>
      <c r="N1623" s="111"/>
      <c r="O1623" s="111"/>
      <c r="P1623" s="111"/>
      <c r="Q1623" s="111"/>
      <c r="R1623" s="111"/>
    </row>
    <row r="1624" spans="2:18" s="108" customFormat="1">
      <c r="B1624" s="97"/>
      <c r="C1624" s="110"/>
      <c r="D1624" s="109"/>
      <c r="E1624" s="97"/>
      <c r="F1624" s="97"/>
      <c r="G1624" s="109"/>
      <c r="H1624" s="109"/>
      <c r="I1624" s="97"/>
      <c r="J1624" s="97"/>
      <c r="K1624" s="83"/>
      <c r="L1624" s="111"/>
      <c r="M1624" s="111"/>
      <c r="N1624" s="111"/>
      <c r="O1624" s="111"/>
      <c r="P1624" s="111"/>
      <c r="Q1624" s="111"/>
      <c r="R1624" s="111"/>
    </row>
    <row r="1625" spans="2:18" s="108" customFormat="1">
      <c r="B1625" s="97"/>
      <c r="C1625" s="110"/>
      <c r="D1625" s="109"/>
      <c r="E1625" s="97"/>
      <c r="F1625" s="97"/>
      <c r="G1625" s="109"/>
      <c r="H1625" s="109"/>
      <c r="I1625" s="97"/>
      <c r="J1625" s="97"/>
      <c r="K1625" s="83"/>
      <c r="L1625" s="111"/>
      <c r="M1625" s="111"/>
      <c r="N1625" s="111"/>
      <c r="O1625" s="111"/>
      <c r="P1625" s="111"/>
      <c r="Q1625" s="111"/>
      <c r="R1625" s="111"/>
    </row>
    <row r="1626" spans="2:18" s="108" customFormat="1">
      <c r="B1626" s="97"/>
      <c r="C1626" s="110"/>
      <c r="D1626" s="109"/>
      <c r="E1626" s="97"/>
      <c r="F1626" s="97"/>
      <c r="G1626" s="109"/>
      <c r="H1626" s="109"/>
      <c r="I1626" s="97"/>
      <c r="J1626" s="97"/>
      <c r="K1626" s="83"/>
      <c r="L1626" s="111"/>
      <c r="M1626" s="111"/>
      <c r="N1626" s="111"/>
      <c r="O1626" s="111"/>
      <c r="P1626" s="111"/>
      <c r="Q1626" s="111"/>
      <c r="R1626" s="111"/>
    </row>
    <row r="1627" spans="2:18" s="108" customFormat="1">
      <c r="B1627" s="97"/>
      <c r="C1627" s="110"/>
      <c r="D1627" s="109"/>
      <c r="E1627" s="97"/>
      <c r="F1627" s="97"/>
      <c r="G1627" s="109"/>
      <c r="H1627" s="109"/>
      <c r="I1627" s="97"/>
      <c r="J1627" s="97"/>
      <c r="K1627" s="83"/>
      <c r="L1627" s="111"/>
      <c r="M1627" s="111"/>
      <c r="N1627" s="111"/>
      <c r="O1627" s="111"/>
      <c r="P1627" s="111"/>
      <c r="Q1627" s="111"/>
      <c r="R1627" s="111"/>
    </row>
    <row r="1628" spans="2:18" s="108" customFormat="1">
      <c r="B1628" s="97"/>
      <c r="C1628" s="110"/>
      <c r="D1628" s="109"/>
      <c r="E1628" s="97"/>
      <c r="F1628" s="97"/>
      <c r="G1628" s="109"/>
      <c r="H1628" s="109"/>
      <c r="I1628" s="97"/>
      <c r="J1628" s="97"/>
      <c r="K1628" s="83"/>
      <c r="L1628" s="111"/>
      <c r="M1628" s="111"/>
      <c r="N1628" s="111"/>
      <c r="O1628" s="111"/>
      <c r="P1628" s="111"/>
      <c r="Q1628" s="111"/>
      <c r="R1628" s="111"/>
    </row>
    <row r="1629" spans="2:18" s="108" customFormat="1">
      <c r="B1629" s="97"/>
      <c r="C1629" s="110"/>
      <c r="D1629" s="109"/>
      <c r="E1629" s="97"/>
      <c r="F1629" s="97"/>
      <c r="G1629" s="109"/>
      <c r="H1629" s="109"/>
      <c r="I1629" s="97"/>
      <c r="J1629" s="97"/>
      <c r="K1629" s="83"/>
      <c r="L1629" s="111"/>
      <c r="M1629" s="111"/>
      <c r="N1629" s="111"/>
      <c r="O1629" s="111"/>
      <c r="P1629" s="111"/>
      <c r="Q1629" s="111"/>
      <c r="R1629" s="111"/>
    </row>
    <row r="1630" spans="2:18" s="108" customFormat="1">
      <c r="B1630" s="97"/>
      <c r="C1630" s="110"/>
      <c r="D1630" s="109"/>
      <c r="E1630" s="97"/>
      <c r="F1630" s="97"/>
      <c r="G1630" s="109"/>
      <c r="H1630" s="109"/>
      <c r="I1630" s="97"/>
      <c r="J1630" s="97"/>
      <c r="K1630" s="83"/>
      <c r="L1630" s="111"/>
      <c r="M1630" s="111"/>
      <c r="N1630" s="111"/>
      <c r="O1630" s="111"/>
      <c r="P1630" s="111"/>
      <c r="Q1630" s="111"/>
      <c r="R1630" s="111"/>
    </row>
    <row r="1631" spans="2:18" s="108" customFormat="1">
      <c r="B1631" s="97"/>
      <c r="C1631" s="110"/>
      <c r="D1631" s="109"/>
      <c r="E1631" s="97"/>
      <c r="F1631" s="97"/>
      <c r="G1631" s="109"/>
      <c r="H1631" s="109"/>
      <c r="I1631" s="97"/>
      <c r="J1631" s="97"/>
      <c r="K1631" s="83"/>
      <c r="L1631" s="111"/>
      <c r="M1631" s="111"/>
      <c r="N1631" s="111"/>
      <c r="O1631" s="111"/>
      <c r="P1631" s="111"/>
      <c r="Q1631" s="111"/>
      <c r="R1631" s="111"/>
    </row>
    <row r="1632" spans="2:18" s="108" customFormat="1">
      <c r="B1632" s="97"/>
      <c r="C1632" s="110"/>
      <c r="D1632" s="109"/>
      <c r="E1632" s="97"/>
      <c r="F1632" s="97"/>
      <c r="G1632" s="109"/>
      <c r="H1632" s="109"/>
      <c r="I1632" s="97"/>
      <c r="J1632" s="97"/>
      <c r="K1632" s="83"/>
      <c r="L1632" s="111"/>
      <c r="M1632" s="111"/>
      <c r="N1632" s="111"/>
      <c r="O1632" s="111"/>
      <c r="P1632" s="111"/>
      <c r="Q1632" s="111"/>
      <c r="R1632" s="111"/>
    </row>
    <row r="1633" spans="2:18" s="108" customFormat="1">
      <c r="B1633" s="97"/>
      <c r="C1633" s="110"/>
      <c r="D1633" s="109"/>
      <c r="E1633" s="97"/>
      <c r="F1633" s="97"/>
      <c r="G1633" s="109"/>
      <c r="H1633" s="109"/>
      <c r="I1633" s="97"/>
      <c r="J1633" s="97"/>
      <c r="K1633" s="83"/>
      <c r="L1633" s="111"/>
      <c r="M1633" s="111"/>
      <c r="N1633" s="111"/>
      <c r="O1633" s="111"/>
      <c r="P1633" s="111"/>
      <c r="Q1633" s="111"/>
      <c r="R1633" s="111"/>
    </row>
    <row r="1634" spans="2:18" s="108" customFormat="1">
      <c r="B1634" s="97"/>
      <c r="C1634" s="110"/>
      <c r="D1634" s="109"/>
      <c r="E1634" s="97"/>
      <c r="F1634" s="97"/>
      <c r="G1634" s="109"/>
      <c r="H1634" s="109"/>
      <c r="I1634" s="97"/>
      <c r="J1634" s="97"/>
      <c r="K1634" s="83"/>
      <c r="L1634" s="111"/>
      <c r="M1634" s="111"/>
      <c r="N1634" s="111"/>
      <c r="O1634" s="111"/>
      <c r="P1634" s="111"/>
      <c r="Q1634" s="111"/>
      <c r="R1634" s="111"/>
    </row>
    <row r="1635" spans="2:18" s="108" customFormat="1">
      <c r="B1635" s="97"/>
      <c r="C1635" s="110"/>
      <c r="D1635" s="109"/>
      <c r="E1635" s="97"/>
      <c r="F1635" s="97"/>
      <c r="G1635" s="109"/>
      <c r="H1635" s="109"/>
      <c r="I1635" s="97"/>
      <c r="J1635" s="97"/>
      <c r="K1635" s="83"/>
      <c r="L1635" s="111"/>
      <c r="M1635" s="111"/>
      <c r="N1635" s="111"/>
      <c r="O1635" s="111"/>
      <c r="P1635" s="111"/>
      <c r="Q1635" s="111"/>
      <c r="R1635" s="111"/>
    </row>
    <row r="1636" spans="2:18" s="108" customFormat="1">
      <c r="B1636" s="97"/>
      <c r="C1636" s="110"/>
      <c r="D1636" s="109"/>
      <c r="E1636" s="97"/>
      <c r="F1636" s="97"/>
      <c r="G1636" s="109"/>
      <c r="H1636" s="109"/>
      <c r="I1636" s="97"/>
      <c r="J1636" s="97"/>
      <c r="K1636" s="83"/>
      <c r="L1636" s="111"/>
      <c r="M1636" s="111"/>
      <c r="N1636" s="111"/>
      <c r="O1636" s="111"/>
      <c r="P1636" s="111"/>
      <c r="Q1636" s="111"/>
      <c r="R1636" s="111"/>
    </row>
    <row r="1637" spans="2:18" s="108" customFormat="1">
      <c r="B1637" s="97"/>
      <c r="C1637" s="110"/>
      <c r="D1637" s="109"/>
      <c r="E1637" s="97"/>
      <c r="F1637" s="97"/>
      <c r="G1637" s="109"/>
      <c r="H1637" s="109"/>
      <c r="I1637" s="97"/>
      <c r="J1637" s="97"/>
      <c r="K1637" s="83"/>
      <c r="L1637" s="111"/>
      <c r="M1637" s="111"/>
      <c r="N1637" s="111"/>
      <c r="O1637" s="111"/>
      <c r="P1637" s="111"/>
      <c r="Q1637" s="111"/>
      <c r="R1637" s="111"/>
    </row>
    <row r="1638" spans="2:18" s="108" customFormat="1">
      <c r="B1638" s="97"/>
      <c r="C1638" s="110"/>
      <c r="D1638" s="109"/>
      <c r="E1638" s="97"/>
      <c r="F1638" s="97"/>
      <c r="G1638" s="109"/>
      <c r="H1638" s="109"/>
      <c r="I1638" s="97"/>
      <c r="J1638" s="97"/>
      <c r="K1638" s="83"/>
      <c r="L1638" s="111"/>
      <c r="M1638" s="111"/>
      <c r="N1638" s="111"/>
      <c r="O1638" s="111"/>
      <c r="P1638" s="111"/>
      <c r="Q1638" s="111"/>
      <c r="R1638" s="111"/>
    </row>
    <row r="1639" spans="2:18" s="108" customFormat="1">
      <c r="B1639" s="97"/>
      <c r="C1639" s="110"/>
      <c r="D1639" s="109"/>
      <c r="E1639" s="97"/>
      <c r="F1639" s="97"/>
      <c r="G1639" s="109"/>
      <c r="H1639" s="109"/>
      <c r="I1639" s="97"/>
      <c r="J1639" s="97"/>
      <c r="K1639" s="83"/>
      <c r="L1639" s="111"/>
      <c r="M1639" s="111"/>
      <c r="N1639" s="111"/>
      <c r="O1639" s="111"/>
      <c r="P1639" s="111"/>
      <c r="Q1639" s="111"/>
      <c r="R1639" s="111"/>
    </row>
    <row r="1640" spans="2:18" s="108" customFormat="1">
      <c r="B1640" s="97"/>
      <c r="C1640" s="110"/>
      <c r="D1640" s="109"/>
      <c r="E1640" s="97"/>
      <c r="F1640" s="97"/>
      <c r="G1640" s="109"/>
      <c r="H1640" s="109"/>
      <c r="I1640" s="97"/>
      <c r="J1640" s="97"/>
      <c r="K1640" s="83"/>
      <c r="L1640" s="111"/>
      <c r="M1640" s="111"/>
      <c r="N1640" s="111"/>
      <c r="O1640" s="111"/>
      <c r="P1640" s="111"/>
      <c r="Q1640" s="111"/>
      <c r="R1640" s="111"/>
    </row>
    <row r="1641" spans="2:18" s="108" customFormat="1">
      <c r="B1641" s="97"/>
      <c r="C1641" s="110"/>
      <c r="D1641" s="109"/>
      <c r="E1641" s="97"/>
      <c r="F1641" s="97"/>
      <c r="G1641" s="109"/>
      <c r="H1641" s="109"/>
      <c r="I1641" s="97"/>
      <c r="J1641" s="97"/>
      <c r="K1641" s="83"/>
      <c r="L1641" s="111"/>
      <c r="M1641" s="111"/>
      <c r="N1641" s="111"/>
      <c r="O1641" s="111"/>
      <c r="P1641" s="111"/>
      <c r="Q1641" s="111"/>
      <c r="R1641" s="111"/>
    </row>
    <row r="1642" spans="2:18" s="108" customFormat="1">
      <c r="B1642" s="97"/>
      <c r="C1642" s="110"/>
      <c r="D1642" s="109"/>
      <c r="E1642" s="97"/>
      <c r="F1642" s="97"/>
      <c r="G1642" s="109"/>
      <c r="H1642" s="109"/>
      <c r="I1642" s="97"/>
      <c r="J1642" s="97"/>
      <c r="K1642" s="83"/>
      <c r="L1642" s="111"/>
      <c r="M1642" s="111"/>
      <c r="N1642" s="111"/>
      <c r="O1642" s="111"/>
      <c r="P1642" s="111"/>
      <c r="Q1642" s="111"/>
      <c r="R1642" s="111"/>
    </row>
    <row r="1643" spans="2:18" s="108" customFormat="1">
      <c r="B1643" s="97"/>
      <c r="C1643" s="110"/>
      <c r="D1643" s="109"/>
      <c r="E1643" s="97"/>
      <c r="F1643" s="97"/>
      <c r="G1643" s="109"/>
      <c r="H1643" s="109"/>
      <c r="I1643" s="97"/>
      <c r="J1643" s="97"/>
      <c r="K1643" s="83"/>
      <c r="L1643" s="111"/>
      <c r="M1643" s="111"/>
      <c r="N1643" s="111"/>
      <c r="O1643" s="111"/>
      <c r="P1643" s="111"/>
      <c r="Q1643" s="111"/>
      <c r="R1643" s="111"/>
    </row>
    <row r="1644" spans="2:18" s="108" customFormat="1">
      <c r="B1644" s="97"/>
      <c r="C1644" s="110"/>
      <c r="D1644" s="109"/>
      <c r="E1644" s="97"/>
      <c r="F1644" s="97"/>
      <c r="G1644" s="109"/>
      <c r="H1644" s="109"/>
      <c r="I1644" s="97"/>
      <c r="J1644" s="97"/>
      <c r="K1644" s="83"/>
      <c r="L1644" s="111"/>
      <c r="M1644" s="111"/>
      <c r="N1644" s="111"/>
      <c r="O1644" s="111"/>
      <c r="P1644" s="111"/>
      <c r="Q1644" s="111"/>
      <c r="R1644" s="111"/>
    </row>
    <row r="1645" spans="2:18" s="108" customFormat="1">
      <c r="B1645" s="97"/>
      <c r="C1645" s="110"/>
      <c r="D1645" s="109"/>
      <c r="E1645" s="97"/>
      <c r="F1645" s="97"/>
      <c r="G1645" s="109"/>
      <c r="H1645" s="109"/>
      <c r="I1645" s="97"/>
      <c r="J1645" s="97"/>
      <c r="K1645" s="83"/>
      <c r="L1645" s="111"/>
      <c r="M1645" s="111"/>
      <c r="N1645" s="111"/>
      <c r="O1645" s="111"/>
      <c r="P1645" s="111"/>
      <c r="Q1645" s="111"/>
      <c r="R1645" s="111"/>
    </row>
    <row r="1646" spans="2:18" s="108" customFormat="1">
      <c r="B1646" s="97"/>
      <c r="C1646" s="110"/>
      <c r="D1646" s="109"/>
      <c r="E1646" s="97"/>
      <c r="F1646" s="97"/>
      <c r="G1646" s="109"/>
      <c r="H1646" s="109"/>
      <c r="I1646" s="97"/>
      <c r="J1646" s="97"/>
      <c r="K1646" s="83"/>
      <c r="L1646" s="111"/>
      <c r="M1646" s="111"/>
      <c r="N1646" s="111"/>
      <c r="O1646" s="111"/>
      <c r="P1646" s="111"/>
      <c r="Q1646" s="111"/>
      <c r="R1646" s="111"/>
    </row>
    <row r="1647" spans="2:18" s="108" customFormat="1">
      <c r="B1647" s="97"/>
      <c r="C1647" s="110"/>
      <c r="D1647" s="109"/>
      <c r="E1647" s="97"/>
      <c r="F1647" s="97"/>
      <c r="G1647" s="109"/>
      <c r="H1647" s="109"/>
      <c r="I1647" s="97"/>
      <c r="J1647" s="97"/>
      <c r="K1647" s="83"/>
      <c r="L1647" s="111"/>
      <c r="M1647" s="111"/>
      <c r="N1647" s="111"/>
      <c r="O1647" s="111"/>
      <c r="P1647" s="111"/>
      <c r="Q1647" s="111"/>
      <c r="R1647" s="111"/>
    </row>
    <row r="1648" spans="2:18" s="108" customFormat="1">
      <c r="B1648" s="97"/>
      <c r="C1648" s="110"/>
      <c r="D1648" s="109"/>
      <c r="E1648" s="97"/>
      <c r="F1648" s="97"/>
      <c r="G1648" s="109"/>
      <c r="H1648" s="109"/>
      <c r="I1648" s="97"/>
      <c r="J1648" s="97"/>
      <c r="K1648" s="83"/>
      <c r="L1648" s="111"/>
      <c r="M1648" s="111"/>
      <c r="N1648" s="111"/>
      <c r="O1648" s="111"/>
      <c r="P1648" s="111"/>
      <c r="Q1648" s="111"/>
      <c r="R1648" s="111"/>
    </row>
    <row r="1649" spans="2:18" s="108" customFormat="1">
      <c r="B1649" s="97"/>
      <c r="C1649" s="110"/>
      <c r="D1649" s="109"/>
      <c r="E1649" s="97"/>
      <c r="F1649" s="97"/>
      <c r="G1649" s="109"/>
      <c r="H1649" s="109"/>
      <c r="I1649" s="97"/>
      <c r="J1649" s="97"/>
      <c r="K1649" s="83"/>
      <c r="L1649" s="111"/>
      <c r="M1649" s="111"/>
      <c r="N1649" s="111"/>
      <c r="O1649" s="111"/>
      <c r="P1649" s="111"/>
      <c r="Q1649" s="111"/>
      <c r="R1649" s="111"/>
    </row>
    <row r="1650" spans="2:18" s="108" customFormat="1">
      <c r="B1650" s="97"/>
      <c r="C1650" s="110"/>
      <c r="D1650" s="109"/>
      <c r="E1650" s="97"/>
      <c r="F1650" s="97"/>
      <c r="G1650" s="109"/>
      <c r="H1650" s="109"/>
      <c r="I1650" s="97"/>
      <c r="J1650" s="97"/>
      <c r="K1650" s="83"/>
      <c r="L1650" s="111"/>
      <c r="M1650" s="111"/>
      <c r="N1650" s="111"/>
      <c r="O1650" s="111"/>
      <c r="P1650" s="111"/>
      <c r="Q1650" s="111"/>
      <c r="R1650" s="111"/>
    </row>
    <row r="1651" spans="2:18" s="108" customFormat="1">
      <c r="B1651" s="97"/>
      <c r="C1651" s="110"/>
      <c r="D1651" s="109"/>
      <c r="E1651" s="97"/>
      <c r="F1651" s="97"/>
      <c r="G1651" s="109"/>
      <c r="H1651" s="109"/>
      <c r="I1651" s="97"/>
      <c r="J1651" s="97"/>
      <c r="K1651" s="83"/>
      <c r="L1651" s="111"/>
      <c r="M1651" s="111"/>
      <c r="N1651" s="111"/>
      <c r="O1651" s="111"/>
      <c r="P1651" s="111"/>
      <c r="Q1651" s="111"/>
      <c r="R1651" s="111"/>
    </row>
    <row r="1652" spans="2:18" s="108" customFormat="1">
      <c r="B1652" s="97"/>
      <c r="C1652" s="110"/>
      <c r="D1652" s="109"/>
      <c r="E1652" s="97"/>
      <c r="F1652" s="97"/>
      <c r="G1652" s="109"/>
      <c r="H1652" s="109"/>
      <c r="I1652" s="97"/>
      <c r="J1652" s="97"/>
      <c r="K1652" s="83"/>
      <c r="L1652" s="111"/>
      <c r="M1652" s="111"/>
      <c r="N1652" s="111"/>
      <c r="O1652" s="111"/>
      <c r="P1652" s="111"/>
      <c r="Q1652" s="111"/>
      <c r="R1652" s="111"/>
    </row>
    <row r="1653" spans="2:18" s="108" customFormat="1">
      <c r="B1653" s="97"/>
      <c r="C1653" s="110"/>
      <c r="D1653" s="109"/>
      <c r="E1653" s="97"/>
      <c r="F1653" s="97"/>
      <c r="G1653" s="109"/>
      <c r="H1653" s="109"/>
      <c r="I1653" s="97"/>
      <c r="J1653" s="97"/>
      <c r="K1653" s="83"/>
      <c r="L1653" s="111"/>
      <c r="M1653" s="111"/>
      <c r="N1653" s="111"/>
      <c r="O1653" s="111"/>
      <c r="P1653" s="111"/>
      <c r="Q1653" s="111"/>
      <c r="R1653" s="111"/>
    </row>
    <row r="1654" spans="2:18" s="108" customFormat="1">
      <c r="B1654" s="97"/>
      <c r="C1654" s="110"/>
      <c r="D1654" s="109"/>
      <c r="E1654" s="97"/>
      <c r="F1654" s="97"/>
      <c r="G1654" s="109"/>
      <c r="H1654" s="109"/>
      <c r="I1654" s="97"/>
      <c r="J1654" s="97"/>
      <c r="K1654" s="83"/>
      <c r="L1654" s="111"/>
      <c r="M1654" s="111"/>
      <c r="N1654" s="111"/>
      <c r="O1654" s="111"/>
      <c r="P1654" s="111"/>
      <c r="Q1654" s="111"/>
      <c r="R1654" s="111"/>
    </row>
    <row r="1655" spans="2:18" s="108" customFormat="1">
      <c r="B1655" s="97"/>
      <c r="C1655" s="110"/>
      <c r="D1655" s="109"/>
      <c r="E1655" s="97"/>
      <c r="F1655" s="97"/>
      <c r="G1655" s="109"/>
      <c r="H1655" s="109"/>
      <c r="I1655" s="97"/>
      <c r="J1655" s="97"/>
      <c r="K1655" s="83"/>
      <c r="L1655" s="111"/>
      <c r="M1655" s="111"/>
      <c r="N1655" s="111"/>
      <c r="O1655" s="111"/>
      <c r="P1655" s="111"/>
      <c r="Q1655" s="111"/>
      <c r="R1655" s="111"/>
    </row>
    <row r="1656" spans="2:18" s="108" customFormat="1">
      <c r="B1656" s="97"/>
      <c r="C1656" s="110"/>
      <c r="D1656" s="109"/>
      <c r="E1656" s="97"/>
      <c r="F1656" s="97"/>
      <c r="G1656" s="109"/>
      <c r="H1656" s="109"/>
      <c r="I1656" s="97"/>
      <c r="J1656" s="97"/>
      <c r="K1656" s="83"/>
      <c r="L1656" s="111"/>
      <c r="M1656" s="111"/>
      <c r="N1656" s="111"/>
      <c r="O1656" s="111"/>
      <c r="P1656" s="111"/>
      <c r="Q1656" s="111"/>
      <c r="R1656" s="111"/>
    </row>
    <row r="1657" spans="2:18" s="108" customFormat="1">
      <c r="B1657" s="97"/>
      <c r="C1657" s="110"/>
      <c r="D1657" s="109"/>
      <c r="E1657" s="97"/>
      <c r="F1657" s="97"/>
      <c r="G1657" s="109"/>
      <c r="H1657" s="109"/>
      <c r="I1657" s="97"/>
      <c r="J1657" s="97"/>
      <c r="K1657" s="83"/>
      <c r="L1657" s="111"/>
      <c r="M1657" s="111"/>
      <c r="N1657" s="111"/>
      <c r="O1657" s="111"/>
      <c r="P1657" s="111"/>
      <c r="Q1657" s="111"/>
      <c r="R1657" s="111"/>
    </row>
    <row r="1658" spans="2:18" s="108" customFormat="1">
      <c r="B1658" s="97"/>
      <c r="C1658" s="110"/>
      <c r="D1658" s="109"/>
      <c r="E1658" s="97"/>
      <c r="F1658" s="97"/>
      <c r="G1658" s="109"/>
      <c r="H1658" s="109"/>
      <c r="I1658" s="97"/>
      <c r="J1658" s="97"/>
      <c r="K1658" s="83"/>
      <c r="L1658" s="111"/>
      <c r="M1658" s="111"/>
      <c r="N1658" s="111"/>
      <c r="O1658" s="111"/>
      <c r="P1658" s="111"/>
      <c r="Q1658" s="111"/>
      <c r="R1658" s="111"/>
    </row>
    <row r="1659" spans="2:18" s="108" customFormat="1">
      <c r="B1659" s="97"/>
      <c r="C1659" s="110"/>
      <c r="D1659" s="109"/>
      <c r="E1659" s="97"/>
      <c r="F1659" s="97"/>
      <c r="G1659" s="109"/>
      <c r="H1659" s="109"/>
      <c r="I1659" s="97"/>
      <c r="J1659" s="97"/>
      <c r="K1659" s="83"/>
      <c r="L1659" s="111"/>
      <c r="M1659" s="111"/>
      <c r="N1659" s="111"/>
      <c r="O1659" s="111"/>
      <c r="P1659" s="111"/>
      <c r="Q1659" s="111"/>
      <c r="R1659" s="111"/>
    </row>
    <row r="1660" spans="2:18" s="108" customFormat="1">
      <c r="B1660" s="97"/>
      <c r="C1660" s="110"/>
      <c r="D1660" s="109"/>
      <c r="E1660" s="97"/>
      <c r="F1660" s="97"/>
      <c r="G1660" s="109"/>
      <c r="H1660" s="109"/>
      <c r="I1660" s="97"/>
      <c r="J1660" s="97"/>
      <c r="K1660" s="83"/>
      <c r="L1660" s="111"/>
      <c r="M1660" s="111"/>
      <c r="N1660" s="111"/>
      <c r="O1660" s="111"/>
      <c r="P1660" s="111"/>
      <c r="Q1660" s="111"/>
      <c r="R1660" s="111"/>
    </row>
    <row r="1661" spans="2:18" s="108" customFormat="1">
      <c r="B1661" s="97"/>
      <c r="C1661" s="110"/>
      <c r="D1661" s="109"/>
      <c r="E1661" s="97"/>
      <c r="F1661" s="97"/>
      <c r="G1661" s="109"/>
      <c r="H1661" s="109"/>
      <c r="I1661" s="97"/>
      <c r="J1661" s="97"/>
      <c r="K1661" s="83"/>
      <c r="L1661" s="111"/>
      <c r="M1661" s="111"/>
      <c r="N1661" s="111"/>
      <c r="O1661" s="111"/>
      <c r="P1661" s="111"/>
      <c r="Q1661" s="111"/>
      <c r="R1661" s="111"/>
    </row>
    <row r="1662" spans="2:18" s="108" customFormat="1">
      <c r="B1662" s="97"/>
      <c r="C1662" s="110"/>
      <c r="D1662" s="109"/>
      <c r="E1662" s="97"/>
      <c r="F1662" s="97"/>
      <c r="G1662" s="109"/>
      <c r="H1662" s="109"/>
      <c r="I1662" s="97"/>
      <c r="J1662" s="97"/>
      <c r="K1662" s="83"/>
      <c r="L1662" s="111"/>
      <c r="M1662" s="111"/>
      <c r="N1662" s="111"/>
      <c r="O1662" s="111"/>
      <c r="P1662" s="111"/>
      <c r="Q1662" s="111"/>
      <c r="R1662" s="111"/>
    </row>
    <row r="1663" spans="2:18" s="108" customFormat="1">
      <c r="B1663" s="97"/>
      <c r="C1663" s="110"/>
      <c r="D1663" s="109"/>
      <c r="E1663" s="97"/>
      <c r="F1663" s="97"/>
      <c r="G1663" s="109"/>
      <c r="H1663" s="109"/>
      <c r="I1663" s="97"/>
      <c r="J1663" s="97"/>
      <c r="K1663" s="83"/>
      <c r="L1663" s="111"/>
      <c r="M1663" s="111"/>
      <c r="N1663" s="111"/>
      <c r="O1663" s="111"/>
      <c r="P1663" s="111"/>
      <c r="Q1663" s="111"/>
      <c r="R1663" s="111"/>
    </row>
    <row r="1664" spans="2:18" s="108" customFormat="1">
      <c r="B1664" s="97"/>
      <c r="C1664" s="110"/>
      <c r="D1664" s="109"/>
      <c r="E1664" s="97"/>
      <c r="F1664" s="97"/>
      <c r="G1664" s="109"/>
      <c r="H1664" s="109"/>
      <c r="I1664" s="97"/>
      <c r="J1664" s="97"/>
      <c r="K1664" s="83"/>
      <c r="L1664" s="111"/>
      <c r="M1664" s="111"/>
      <c r="N1664" s="111"/>
      <c r="O1664" s="111"/>
      <c r="P1664" s="111"/>
      <c r="Q1664" s="111"/>
      <c r="R1664" s="111"/>
    </row>
    <row r="1665" spans="2:18" s="108" customFormat="1">
      <c r="B1665" s="97"/>
      <c r="C1665" s="110"/>
      <c r="D1665" s="109"/>
      <c r="E1665" s="97"/>
      <c r="F1665" s="97"/>
      <c r="G1665" s="109"/>
      <c r="H1665" s="109"/>
      <c r="I1665" s="97"/>
      <c r="J1665" s="97"/>
      <c r="K1665" s="83"/>
      <c r="L1665" s="111"/>
      <c r="M1665" s="111"/>
      <c r="N1665" s="111"/>
      <c r="O1665" s="111"/>
      <c r="P1665" s="111"/>
      <c r="Q1665" s="111"/>
      <c r="R1665" s="111"/>
    </row>
    <row r="1666" spans="2:18" s="108" customFormat="1">
      <c r="B1666" s="97"/>
      <c r="C1666" s="110"/>
      <c r="D1666" s="109"/>
      <c r="E1666" s="97"/>
      <c r="F1666" s="97"/>
      <c r="G1666" s="109"/>
      <c r="H1666" s="109"/>
      <c r="I1666" s="97"/>
      <c r="J1666" s="97"/>
      <c r="K1666" s="83"/>
      <c r="L1666" s="111"/>
      <c r="M1666" s="111"/>
      <c r="N1666" s="111"/>
      <c r="O1666" s="111"/>
      <c r="P1666" s="111"/>
      <c r="Q1666" s="111"/>
      <c r="R1666" s="111"/>
    </row>
    <row r="1667" spans="2:18" s="108" customFormat="1">
      <c r="B1667" s="97"/>
      <c r="C1667" s="110"/>
      <c r="D1667" s="109"/>
      <c r="E1667" s="97"/>
      <c r="F1667" s="97"/>
      <c r="G1667" s="109"/>
      <c r="H1667" s="109"/>
      <c r="I1667" s="97"/>
      <c r="J1667" s="97"/>
      <c r="K1667" s="83"/>
      <c r="L1667" s="111"/>
      <c r="M1667" s="111"/>
      <c r="N1667" s="111"/>
      <c r="O1667" s="111"/>
      <c r="P1667" s="111"/>
      <c r="Q1667" s="111"/>
      <c r="R1667" s="111"/>
    </row>
    <row r="1668" spans="2:18" s="108" customFormat="1">
      <c r="B1668" s="97"/>
      <c r="C1668" s="110"/>
      <c r="D1668" s="109"/>
      <c r="E1668" s="97"/>
      <c r="F1668" s="97"/>
      <c r="G1668" s="109"/>
      <c r="H1668" s="109"/>
      <c r="I1668" s="97"/>
      <c r="J1668" s="97"/>
      <c r="K1668" s="83"/>
      <c r="L1668" s="111"/>
      <c r="M1668" s="111"/>
      <c r="N1668" s="111"/>
      <c r="O1668" s="111"/>
      <c r="P1668" s="111"/>
      <c r="Q1668" s="111"/>
      <c r="R1668" s="111"/>
    </row>
    <row r="1669" spans="2:18" s="108" customFormat="1">
      <c r="B1669" s="97"/>
      <c r="C1669" s="110"/>
      <c r="D1669" s="109"/>
      <c r="E1669" s="97"/>
      <c r="F1669" s="97"/>
      <c r="G1669" s="109"/>
      <c r="H1669" s="109"/>
      <c r="I1669" s="97"/>
      <c r="J1669" s="97"/>
      <c r="K1669" s="83"/>
      <c r="L1669" s="111"/>
      <c r="M1669" s="111"/>
      <c r="N1669" s="111"/>
      <c r="O1669" s="111"/>
      <c r="P1669" s="111"/>
      <c r="Q1669" s="111"/>
      <c r="R1669" s="111"/>
    </row>
    <row r="1670" spans="2:18" s="108" customFormat="1">
      <c r="B1670" s="97"/>
      <c r="C1670" s="110"/>
      <c r="D1670" s="109"/>
      <c r="E1670" s="97"/>
      <c r="F1670" s="97"/>
      <c r="G1670" s="109"/>
      <c r="H1670" s="109"/>
      <c r="I1670" s="97"/>
      <c r="J1670" s="97"/>
      <c r="K1670" s="83"/>
      <c r="L1670" s="111"/>
      <c r="M1670" s="111"/>
      <c r="N1670" s="111"/>
      <c r="O1670" s="111"/>
      <c r="P1670" s="111"/>
      <c r="Q1670" s="111"/>
      <c r="R1670" s="111"/>
    </row>
    <row r="1671" spans="2:18" s="108" customFormat="1">
      <c r="B1671" s="97"/>
      <c r="C1671" s="110"/>
      <c r="D1671" s="109"/>
      <c r="E1671" s="97"/>
      <c r="F1671" s="97"/>
      <c r="G1671" s="109"/>
      <c r="H1671" s="109"/>
      <c r="I1671" s="97"/>
      <c r="J1671" s="97"/>
      <c r="K1671" s="83"/>
      <c r="L1671" s="111"/>
      <c r="M1671" s="111"/>
      <c r="N1671" s="111"/>
      <c r="O1671" s="111"/>
      <c r="P1671" s="111"/>
      <c r="Q1671" s="111"/>
      <c r="R1671" s="111"/>
    </row>
    <row r="1672" spans="2:18" s="108" customFormat="1">
      <c r="B1672" s="97"/>
      <c r="C1672" s="110"/>
      <c r="D1672" s="109"/>
      <c r="E1672" s="97"/>
      <c r="F1672" s="97"/>
      <c r="G1672" s="109"/>
      <c r="H1672" s="109"/>
      <c r="I1672" s="97"/>
      <c r="J1672" s="97"/>
      <c r="K1672" s="83"/>
      <c r="L1672" s="111"/>
      <c r="M1672" s="111"/>
      <c r="N1672" s="111"/>
      <c r="O1672" s="111"/>
      <c r="P1672" s="111"/>
      <c r="Q1672" s="111"/>
      <c r="R1672" s="111"/>
    </row>
    <row r="1673" spans="2:18" s="108" customFormat="1">
      <c r="B1673" s="97"/>
      <c r="C1673" s="110"/>
      <c r="D1673" s="109"/>
      <c r="E1673" s="97"/>
      <c r="F1673" s="97"/>
      <c r="G1673" s="109"/>
      <c r="H1673" s="109"/>
      <c r="I1673" s="97"/>
      <c r="J1673" s="97"/>
      <c r="K1673" s="83"/>
      <c r="L1673" s="111"/>
      <c r="M1673" s="111"/>
      <c r="N1673" s="111"/>
      <c r="O1673" s="111"/>
      <c r="P1673" s="111"/>
      <c r="Q1673" s="111"/>
      <c r="R1673" s="111"/>
    </row>
    <row r="1674" spans="2:18" s="108" customFormat="1">
      <c r="B1674" s="97"/>
      <c r="C1674" s="110"/>
      <c r="D1674" s="109"/>
      <c r="E1674" s="97"/>
      <c r="F1674" s="97"/>
      <c r="G1674" s="109"/>
      <c r="H1674" s="109"/>
      <c r="I1674" s="97"/>
      <c r="J1674" s="97"/>
      <c r="K1674" s="83"/>
      <c r="L1674" s="111"/>
      <c r="M1674" s="111"/>
      <c r="N1674" s="111"/>
      <c r="O1674" s="111"/>
      <c r="P1674" s="111"/>
      <c r="Q1674" s="111"/>
      <c r="R1674" s="111"/>
    </row>
    <row r="1675" spans="2:18" s="108" customFormat="1">
      <c r="B1675" s="97"/>
      <c r="C1675" s="110"/>
      <c r="D1675" s="109"/>
      <c r="E1675" s="97"/>
      <c r="F1675" s="97"/>
      <c r="G1675" s="109"/>
      <c r="H1675" s="109"/>
      <c r="I1675" s="97"/>
      <c r="J1675" s="97"/>
      <c r="K1675" s="83"/>
      <c r="L1675" s="111"/>
      <c r="M1675" s="111"/>
      <c r="N1675" s="111"/>
      <c r="O1675" s="111"/>
      <c r="P1675" s="111"/>
      <c r="Q1675" s="111"/>
      <c r="R1675" s="111"/>
    </row>
    <row r="1676" spans="2:18" s="108" customFormat="1">
      <c r="B1676" s="97"/>
      <c r="C1676" s="110"/>
      <c r="D1676" s="109"/>
      <c r="E1676" s="97"/>
      <c r="F1676" s="97"/>
      <c r="G1676" s="109"/>
      <c r="H1676" s="109"/>
      <c r="I1676" s="97"/>
      <c r="J1676" s="97"/>
      <c r="K1676" s="83"/>
      <c r="L1676" s="111"/>
      <c r="M1676" s="111"/>
      <c r="N1676" s="111"/>
      <c r="O1676" s="111"/>
      <c r="P1676" s="111"/>
      <c r="Q1676" s="111"/>
      <c r="R1676" s="111"/>
    </row>
    <row r="1677" spans="2:18" s="108" customFormat="1">
      <c r="B1677" s="97"/>
      <c r="C1677" s="110"/>
      <c r="D1677" s="109"/>
      <c r="E1677" s="97"/>
      <c r="F1677" s="97"/>
      <c r="G1677" s="109"/>
      <c r="H1677" s="109"/>
      <c r="I1677" s="97"/>
      <c r="J1677" s="97"/>
      <c r="K1677" s="83"/>
      <c r="L1677" s="111"/>
      <c r="M1677" s="111"/>
      <c r="N1677" s="111"/>
      <c r="O1677" s="111"/>
      <c r="P1677" s="111"/>
      <c r="Q1677" s="111"/>
      <c r="R1677" s="111"/>
    </row>
    <row r="1678" spans="2:18" s="108" customFormat="1">
      <c r="B1678" s="97"/>
      <c r="C1678" s="110"/>
      <c r="D1678" s="109"/>
      <c r="E1678" s="97"/>
      <c r="F1678" s="97"/>
      <c r="G1678" s="109"/>
      <c r="H1678" s="109"/>
      <c r="I1678" s="97"/>
      <c r="J1678" s="97"/>
      <c r="K1678" s="83"/>
      <c r="L1678" s="111"/>
      <c r="M1678" s="111"/>
      <c r="N1678" s="111"/>
      <c r="O1678" s="111"/>
      <c r="P1678" s="111"/>
      <c r="Q1678" s="111"/>
      <c r="R1678" s="111"/>
    </row>
    <row r="1679" spans="2:18" s="108" customFormat="1">
      <c r="B1679" s="97"/>
      <c r="C1679" s="110"/>
      <c r="D1679" s="109"/>
      <c r="E1679" s="97"/>
      <c r="F1679" s="97"/>
      <c r="G1679" s="109"/>
      <c r="H1679" s="109"/>
      <c r="I1679" s="97"/>
      <c r="J1679" s="97"/>
      <c r="K1679" s="83"/>
      <c r="L1679" s="111"/>
      <c r="M1679" s="111"/>
      <c r="N1679" s="111"/>
      <c r="O1679" s="111"/>
      <c r="P1679" s="111"/>
      <c r="Q1679" s="111"/>
      <c r="R1679" s="111"/>
    </row>
    <row r="1680" spans="2:18" s="108" customFormat="1">
      <c r="B1680" s="97"/>
      <c r="C1680" s="110"/>
      <c r="D1680" s="109"/>
      <c r="E1680" s="97"/>
      <c r="F1680" s="97"/>
      <c r="G1680" s="109"/>
      <c r="H1680" s="109"/>
      <c r="I1680" s="97"/>
      <c r="J1680" s="97"/>
      <c r="K1680" s="83"/>
      <c r="L1680" s="111"/>
      <c r="M1680" s="111"/>
      <c r="N1680" s="111"/>
      <c r="O1680" s="111"/>
      <c r="P1680" s="111"/>
      <c r="Q1680" s="111"/>
      <c r="R1680" s="111"/>
    </row>
    <row r="1681" spans="2:18" s="108" customFormat="1">
      <c r="B1681" s="97"/>
      <c r="C1681" s="110"/>
      <c r="D1681" s="109"/>
      <c r="E1681" s="97"/>
      <c r="F1681" s="97"/>
      <c r="G1681" s="109"/>
      <c r="H1681" s="109"/>
      <c r="I1681" s="97"/>
      <c r="J1681" s="97"/>
      <c r="K1681" s="83"/>
      <c r="L1681" s="111"/>
      <c r="M1681" s="111"/>
      <c r="N1681" s="111"/>
      <c r="O1681" s="111"/>
      <c r="P1681" s="111"/>
      <c r="Q1681" s="111"/>
      <c r="R1681" s="111"/>
    </row>
    <row r="1682" spans="2:18" s="108" customFormat="1">
      <c r="B1682" s="97"/>
      <c r="C1682" s="110"/>
      <c r="D1682" s="109"/>
      <c r="E1682" s="97"/>
      <c r="F1682" s="97"/>
      <c r="G1682" s="109"/>
      <c r="H1682" s="109"/>
      <c r="I1682" s="97"/>
      <c r="J1682" s="97"/>
      <c r="K1682" s="83"/>
      <c r="L1682" s="111"/>
      <c r="M1682" s="111"/>
      <c r="N1682" s="111"/>
      <c r="O1682" s="111"/>
      <c r="P1682" s="111"/>
      <c r="Q1682" s="111"/>
      <c r="R1682" s="111"/>
    </row>
    <row r="1683" spans="2:18" s="108" customFormat="1">
      <c r="B1683" s="97"/>
      <c r="C1683" s="110"/>
      <c r="D1683" s="109"/>
      <c r="E1683" s="97"/>
      <c r="F1683" s="97"/>
      <c r="G1683" s="109"/>
      <c r="H1683" s="109"/>
      <c r="I1683" s="97"/>
      <c r="J1683" s="97"/>
      <c r="K1683" s="83"/>
      <c r="L1683" s="111"/>
      <c r="M1683" s="111"/>
      <c r="N1683" s="111"/>
      <c r="O1683" s="111"/>
      <c r="P1683" s="111"/>
      <c r="Q1683" s="111"/>
      <c r="R1683" s="111"/>
    </row>
    <row r="1684" spans="2:18" s="108" customFormat="1">
      <c r="B1684" s="97"/>
      <c r="C1684" s="110"/>
      <c r="D1684" s="109"/>
      <c r="E1684" s="97"/>
      <c r="F1684" s="97"/>
      <c r="G1684" s="109"/>
      <c r="H1684" s="109"/>
      <c r="I1684" s="97"/>
      <c r="J1684" s="97"/>
      <c r="K1684" s="83"/>
      <c r="L1684" s="111"/>
      <c r="M1684" s="111"/>
      <c r="N1684" s="111"/>
      <c r="O1684" s="111"/>
      <c r="P1684" s="111"/>
      <c r="Q1684" s="111"/>
      <c r="R1684" s="111"/>
    </row>
    <row r="1685" spans="2:18" s="108" customFormat="1">
      <c r="B1685" s="97"/>
      <c r="C1685" s="110"/>
      <c r="D1685" s="109"/>
      <c r="E1685" s="97"/>
      <c r="F1685" s="97"/>
      <c r="G1685" s="109"/>
      <c r="H1685" s="109"/>
      <c r="I1685" s="97"/>
      <c r="J1685" s="97"/>
      <c r="K1685" s="83"/>
      <c r="L1685" s="111"/>
      <c r="M1685" s="111"/>
      <c r="N1685" s="111"/>
      <c r="O1685" s="111"/>
      <c r="P1685" s="111"/>
      <c r="Q1685" s="111"/>
      <c r="R1685" s="111"/>
    </row>
    <row r="1686" spans="2:18" s="108" customFormat="1">
      <c r="B1686" s="97"/>
      <c r="C1686" s="110"/>
      <c r="D1686" s="109"/>
      <c r="E1686" s="97"/>
      <c r="F1686" s="97"/>
      <c r="G1686" s="109"/>
      <c r="H1686" s="109"/>
      <c r="I1686" s="97"/>
      <c r="J1686" s="97"/>
      <c r="K1686" s="83"/>
      <c r="L1686" s="111"/>
      <c r="M1686" s="111"/>
      <c r="N1686" s="111"/>
      <c r="O1686" s="111"/>
      <c r="P1686" s="111"/>
      <c r="Q1686" s="111"/>
      <c r="R1686" s="111"/>
    </row>
    <row r="1687" spans="2:18" s="108" customFormat="1">
      <c r="B1687" s="97"/>
      <c r="C1687" s="110"/>
      <c r="D1687" s="109"/>
      <c r="E1687" s="97"/>
      <c r="F1687" s="97"/>
      <c r="G1687" s="109"/>
      <c r="H1687" s="109"/>
      <c r="I1687" s="97"/>
      <c r="J1687" s="97"/>
      <c r="K1687" s="83"/>
      <c r="L1687" s="111"/>
      <c r="M1687" s="111"/>
      <c r="N1687" s="111"/>
      <c r="O1687" s="111"/>
      <c r="P1687" s="111"/>
      <c r="Q1687" s="111"/>
      <c r="R1687" s="111"/>
    </row>
    <row r="1688" spans="2:18" s="108" customFormat="1">
      <c r="B1688" s="97"/>
      <c r="C1688" s="110"/>
      <c r="D1688" s="109"/>
      <c r="E1688" s="97"/>
      <c r="F1688" s="97"/>
      <c r="G1688" s="109"/>
      <c r="H1688" s="109"/>
      <c r="I1688" s="97"/>
      <c r="J1688" s="97"/>
      <c r="K1688" s="83"/>
      <c r="L1688" s="111"/>
      <c r="M1688" s="111"/>
      <c r="N1688" s="111"/>
      <c r="O1688" s="111"/>
      <c r="P1688" s="111"/>
      <c r="Q1688" s="111"/>
      <c r="R1688" s="111"/>
    </row>
    <row r="1689" spans="2:18" s="108" customFormat="1">
      <c r="B1689" s="97"/>
      <c r="C1689" s="110"/>
      <c r="D1689" s="109"/>
      <c r="E1689" s="97"/>
      <c r="F1689" s="97"/>
      <c r="G1689" s="109"/>
      <c r="H1689" s="109"/>
      <c r="I1689" s="97"/>
      <c r="J1689" s="97"/>
      <c r="K1689" s="83"/>
      <c r="L1689" s="111"/>
      <c r="M1689" s="111"/>
      <c r="N1689" s="111"/>
      <c r="O1689" s="111"/>
      <c r="P1689" s="111"/>
      <c r="Q1689" s="111"/>
      <c r="R1689" s="111"/>
    </row>
    <row r="1690" spans="2:18" s="108" customFormat="1">
      <c r="B1690" s="97"/>
      <c r="C1690" s="110"/>
      <c r="D1690" s="109"/>
      <c r="E1690" s="97"/>
      <c r="F1690" s="97"/>
      <c r="G1690" s="109"/>
      <c r="H1690" s="109"/>
      <c r="I1690" s="97"/>
      <c r="J1690" s="97"/>
      <c r="K1690" s="83"/>
      <c r="L1690" s="111"/>
      <c r="M1690" s="111"/>
      <c r="N1690" s="111"/>
      <c r="O1690" s="111"/>
      <c r="P1690" s="111"/>
      <c r="Q1690" s="111"/>
      <c r="R1690" s="111"/>
    </row>
    <row r="1691" spans="2:18" s="108" customFormat="1">
      <c r="B1691" s="97"/>
      <c r="C1691" s="110"/>
      <c r="D1691" s="109"/>
      <c r="E1691" s="97"/>
      <c r="F1691" s="97"/>
      <c r="G1691" s="109"/>
      <c r="H1691" s="109"/>
      <c r="I1691" s="97"/>
      <c r="J1691" s="97"/>
      <c r="K1691" s="83"/>
      <c r="L1691" s="111"/>
      <c r="M1691" s="111"/>
      <c r="N1691" s="111"/>
      <c r="O1691" s="111"/>
      <c r="P1691" s="111"/>
      <c r="Q1691" s="111"/>
      <c r="R1691" s="111"/>
    </row>
    <row r="1692" spans="2:18" s="108" customFormat="1">
      <c r="B1692" s="97"/>
      <c r="C1692" s="110"/>
      <c r="D1692" s="109"/>
      <c r="E1692" s="97"/>
      <c r="F1692" s="97"/>
      <c r="G1692" s="109"/>
      <c r="H1692" s="109"/>
      <c r="I1692" s="97"/>
      <c r="J1692" s="97"/>
      <c r="K1692" s="83"/>
      <c r="L1692" s="111"/>
      <c r="M1692" s="111"/>
      <c r="N1692" s="111"/>
      <c r="O1692" s="111"/>
      <c r="P1692" s="111"/>
      <c r="Q1692" s="111"/>
      <c r="R1692" s="111"/>
    </row>
    <row r="1693" spans="2:18" s="108" customFormat="1">
      <c r="B1693" s="97"/>
      <c r="C1693" s="110"/>
      <c r="D1693" s="109"/>
      <c r="E1693" s="97"/>
      <c r="F1693" s="97"/>
      <c r="G1693" s="109"/>
      <c r="H1693" s="109"/>
      <c r="I1693" s="97"/>
      <c r="J1693" s="97"/>
      <c r="K1693" s="83"/>
      <c r="L1693" s="111"/>
      <c r="M1693" s="111"/>
      <c r="N1693" s="111"/>
      <c r="O1693" s="111"/>
      <c r="P1693" s="111"/>
      <c r="Q1693" s="111"/>
      <c r="R1693" s="111"/>
    </row>
    <row r="1694" spans="2:18" s="108" customFormat="1">
      <c r="B1694" s="97"/>
      <c r="C1694" s="110"/>
      <c r="D1694" s="109"/>
      <c r="E1694" s="97"/>
      <c r="F1694" s="97"/>
      <c r="G1694" s="109"/>
      <c r="H1694" s="109"/>
      <c r="I1694" s="97"/>
      <c r="J1694" s="97"/>
      <c r="K1694" s="83"/>
      <c r="L1694" s="111"/>
      <c r="M1694" s="111"/>
      <c r="N1694" s="111"/>
      <c r="O1694" s="111"/>
      <c r="P1694" s="111"/>
      <c r="Q1694" s="111"/>
      <c r="R1694" s="111"/>
    </row>
    <row r="1695" spans="2:18" s="108" customFormat="1">
      <c r="B1695" s="97"/>
      <c r="C1695" s="110"/>
      <c r="D1695" s="109"/>
      <c r="E1695" s="97"/>
      <c r="F1695" s="97"/>
      <c r="G1695" s="109"/>
      <c r="H1695" s="109"/>
      <c r="I1695" s="97"/>
      <c r="J1695" s="97"/>
      <c r="K1695" s="83"/>
      <c r="L1695" s="111"/>
      <c r="M1695" s="111"/>
      <c r="N1695" s="111"/>
      <c r="O1695" s="111"/>
      <c r="P1695" s="111"/>
      <c r="Q1695" s="111"/>
      <c r="R1695" s="111"/>
    </row>
    <row r="1696" spans="2:18" s="108" customFormat="1">
      <c r="B1696" s="97"/>
      <c r="C1696" s="110"/>
      <c r="D1696" s="109"/>
      <c r="E1696" s="97"/>
      <c r="F1696" s="97"/>
      <c r="G1696" s="109"/>
      <c r="H1696" s="109"/>
      <c r="I1696" s="97"/>
      <c r="J1696" s="97"/>
      <c r="K1696" s="83"/>
      <c r="L1696" s="111"/>
      <c r="M1696" s="111"/>
      <c r="N1696" s="111"/>
      <c r="O1696" s="111"/>
      <c r="P1696" s="111"/>
      <c r="Q1696" s="111"/>
      <c r="R1696" s="111"/>
    </row>
    <row r="1697" spans="2:18" s="108" customFormat="1">
      <c r="B1697" s="97"/>
      <c r="C1697" s="110"/>
      <c r="D1697" s="109"/>
      <c r="E1697" s="97"/>
      <c r="F1697" s="97"/>
      <c r="G1697" s="109"/>
      <c r="H1697" s="109"/>
      <c r="I1697" s="97"/>
      <c r="J1697" s="97"/>
      <c r="K1697" s="83"/>
      <c r="L1697" s="111"/>
      <c r="M1697" s="111"/>
      <c r="N1697" s="111"/>
      <c r="O1697" s="111"/>
      <c r="P1697" s="111"/>
      <c r="Q1697" s="111"/>
      <c r="R1697" s="111"/>
    </row>
    <row r="1698" spans="2:18" s="108" customFormat="1">
      <c r="B1698" s="97"/>
      <c r="C1698" s="110"/>
      <c r="D1698" s="109"/>
      <c r="E1698" s="97"/>
      <c r="F1698" s="97"/>
      <c r="G1698" s="109"/>
      <c r="H1698" s="109"/>
      <c r="I1698" s="97"/>
      <c r="J1698" s="97"/>
      <c r="K1698" s="83"/>
      <c r="L1698" s="111"/>
      <c r="M1698" s="111"/>
      <c r="N1698" s="111"/>
      <c r="O1698" s="111"/>
      <c r="P1698" s="111"/>
      <c r="Q1698" s="111"/>
      <c r="R1698" s="111"/>
    </row>
    <row r="1699" spans="2:18" s="108" customFormat="1">
      <c r="B1699" s="97"/>
      <c r="C1699" s="110"/>
      <c r="D1699" s="109"/>
      <c r="E1699" s="97"/>
      <c r="F1699" s="97"/>
      <c r="G1699" s="109"/>
      <c r="H1699" s="109"/>
      <c r="I1699" s="97"/>
      <c r="J1699" s="97"/>
      <c r="K1699" s="83"/>
      <c r="L1699" s="111"/>
      <c r="M1699" s="111"/>
      <c r="N1699" s="111"/>
      <c r="O1699" s="111"/>
      <c r="P1699" s="111"/>
      <c r="Q1699" s="111"/>
      <c r="R1699" s="111"/>
    </row>
    <row r="1700" spans="2:18" s="108" customFormat="1">
      <c r="B1700" s="97"/>
      <c r="C1700" s="110"/>
      <c r="D1700" s="109"/>
      <c r="E1700" s="97"/>
      <c r="F1700" s="97"/>
      <c r="G1700" s="109"/>
      <c r="H1700" s="109"/>
      <c r="I1700" s="97"/>
      <c r="J1700" s="97"/>
      <c r="K1700" s="83"/>
      <c r="L1700" s="111"/>
      <c r="M1700" s="111"/>
      <c r="N1700" s="111"/>
      <c r="O1700" s="111"/>
      <c r="P1700" s="111"/>
      <c r="Q1700" s="111"/>
      <c r="R1700" s="111"/>
    </row>
    <row r="1701" spans="2:18" s="108" customFormat="1">
      <c r="B1701" s="97"/>
      <c r="C1701" s="110"/>
      <c r="D1701" s="109"/>
      <c r="E1701" s="97"/>
      <c r="F1701" s="97"/>
      <c r="G1701" s="109"/>
      <c r="H1701" s="109"/>
      <c r="I1701" s="97"/>
      <c r="J1701" s="97"/>
      <c r="K1701" s="83"/>
      <c r="L1701" s="111"/>
      <c r="M1701" s="111"/>
      <c r="N1701" s="111"/>
      <c r="O1701" s="111"/>
      <c r="P1701" s="111"/>
      <c r="Q1701" s="111"/>
      <c r="R1701" s="111"/>
    </row>
    <row r="1702" spans="2:18" s="108" customFormat="1">
      <c r="B1702" s="97"/>
      <c r="C1702" s="110"/>
      <c r="D1702" s="109"/>
      <c r="E1702" s="97"/>
      <c r="F1702" s="97"/>
      <c r="G1702" s="109"/>
      <c r="H1702" s="109"/>
      <c r="I1702" s="97"/>
      <c r="J1702" s="97"/>
      <c r="K1702" s="83"/>
      <c r="L1702" s="111"/>
      <c r="M1702" s="111"/>
      <c r="N1702" s="111"/>
      <c r="O1702" s="111"/>
      <c r="P1702" s="111"/>
      <c r="Q1702" s="111"/>
      <c r="R1702" s="111"/>
    </row>
    <row r="1703" spans="2:18" s="108" customFormat="1">
      <c r="B1703" s="97"/>
      <c r="C1703" s="110"/>
      <c r="D1703" s="109"/>
      <c r="E1703" s="97"/>
      <c r="F1703" s="97"/>
      <c r="G1703" s="109"/>
      <c r="H1703" s="109"/>
      <c r="I1703" s="97"/>
      <c r="J1703" s="97"/>
      <c r="K1703" s="83"/>
      <c r="L1703" s="111"/>
      <c r="M1703" s="111"/>
      <c r="N1703" s="111"/>
      <c r="O1703" s="111"/>
      <c r="P1703" s="111"/>
      <c r="Q1703" s="111"/>
      <c r="R1703" s="111"/>
    </row>
    <row r="1704" spans="2:18" s="108" customFormat="1">
      <c r="B1704" s="97"/>
      <c r="C1704" s="110"/>
      <c r="D1704" s="109"/>
      <c r="E1704" s="97"/>
      <c r="F1704" s="97"/>
      <c r="G1704" s="109"/>
      <c r="H1704" s="109"/>
      <c r="I1704" s="97"/>
      <c r="J1704" s="97"/>
      <c r="K1704" s="83"/>
      <c r="L1704" s="111"/>
      <c r="M1704" s="111"/>
      <c r="N1704" s="111"/>
      <c r="O1704" s="111"/>
      <c r="P1704" s="111"/>
      <c r="Q1704" s="111"/>
      <c r="R1704" s="111"/>
    </row>
    <row r="1705" spans="2:18" s="108" customFormat="1">
      <c r="B1705" s="97"/>
      <c r="C1705" s="110"/>
      <c r="D1705" s="109"/>
      <c r="E1705" s="97"/>
      <c r="F1705" s="97"/>
      <c r="G1705" s="109"/>
      <c r="H1705" s="109"/>
      <c r="I1705" s="97"/>
      <c r="J1705" s="97"/>
      <c r="K1705" s="83"/>
      <c r="L1705" s="111"/>
      <c r="M1705" s="111"/>
      <c r="N1705" s="111"/>
      <c r="O1705" s="111"/>
      <c r="P1705" s="111"/>
      <c r="Q1705" s="111"/>
      <c r="R1705" s="111"/>
    </row>
    <row r="1706" spans="2:18" s="108" customFormat="1">
      <c r="B1706" s="97"/>
      <c r="C1706" s="110"/>
      <c r="D1706" s="109"/>
      <c r="E1706" s="97"/>
      <c r="F1706" s="97"/>
      <c r="G1706" s="109"/>
      <c r="H1706" s="109"/>
      <c r="I1706" s="97"/>
      <c r="J1706" s="97"/>
      <c r="K1706" s="83"/>
      <c r="L1706" s="111"/>
      <c r="M1706" s="111"/>
      <c r="N1706" s="111"/>
      <c r="O1706" s="111"/>
      <c r="P1706" s="111"/>
      <c r="Q1706" s="111"/>
      <c r="R1706" s="111"/>
    </row>
    <row r="1707" spans="2:18" s="108" customFormat="1">
      <c r="B1707" s="97"/>
      <c r="C1707" s="110"/>
      <c r="D1707" s="109"/>
      <c r="E1707" s="97"/>
      <c r="F1707" s="97"/>
      <c r="G1707" s="109"/>
      <c r="H1707" s="109"/>
      <c r="I1707" s="97"/>
      <c r="J1707" s="97"/>
      <c r="K1707" s="83"/>
      <c r="L1707" s="111"/>
      <c r="M1707" s="111"/>
      <c r="N1707" s="111"/>
      <c r="O1707" s="111"/>
      <c r="P1707" s="111"/>
      <c r="Q1707" s="111"/>
      <c r="R1707" s="111"/>
    </row>
    <row r="1708" spans="2:18" s="108" customFormat="1">
      <c r="B1708" s="97"/>
      <c r="C1708" s="110"/>
      <c r="D1708" s="109"/>
      <c r="E1708" s="97"/>
      <c r="F1708" s="97"/>
      <c r="G1708" s="109"/>
      <c r="H1708" s="109"/>
      <c r="I1708" s="97"/>
      <c r="J1708" s="97"/>
      <c r="K1708" s="83"/>
      <c r="L1708" s="111"/>
      <c r="M1708" s="111"/>
      <c r="N1708" s="111"/>
      <c r="O1708" s="111"/>
      <c r="P1708" s="111"/>
      <c r="Q1708" s="111"/>
      <c r="R1708" s="111"/>
    </row>
    <row r="1709" spans="2:18" s="108" customFormat="1">
      <c r="B1709" s="97"/>
      <c r="C1709" s="110"/>
      <c r="D1709" s="109"/>
      <c r="E1709" s="97"/>
      <c r="F1709" s="97"/>
      <c r="G1709" s="109"/>
      <c r="H1709" s="109"/>
      <c r="I1709" s="97"/>
      <c r="J1709" s="97"/>
      <c r="K1709" s="83"/>
      <c r="L1709" s="111"/>
      <c r="M1709" s="111"/>
      <c r="N1709" s="111"/>
      <c r="O1709" s="111"/>
      <c r="P1709" s="111"/>
      <c r="Q1709" s="111"/>
      <c r="R1709" s="111"/>
    </row>
    <row r="1710" spans="2:18" s="108" customFormat="1">
      <c r="B1710" s="97"/>
      <c r="C1710" s="110"/>
      <c r="D1710" s="109"/>
      <c r="E1710" s="97"/>
      <c r="F1710" s="97"/>
      <c r="G1710" s="109"/>
      <c r="H1710" s="109"/>
      <c r="I1710" s="97"/>
      <c r="J1710" s="97"/>
      <c r="K1710" s="83"/>
      <c r="L1710" s="111"/>
      <c r="M1710" s="111"/>
      <c r="N1710" s="111"/>
      <c r="O1710" s="111"/>
      <c r="P1710" s="111"/>
      <c r="Q1710" s="111"/>
      <c r="R1710" s="111"/>
    </row>
    <row r="1711" spans="2:18" s="108" customFormat="1">
      <c r="B1711" s="97"/>
      <c r="C1711" s="110"/>
      <c r="D1711" s="109"/>
      <c r="E1711" s="97"/>
      <c r="F1711" s="97"/>
      <c r="G1711" s="109"/>
      <c r="H1711" s="109"/>
      <c r="I1711" s="97"/>
      <c r="J1711" s="97"/>
      <c r="K1711" s="83"/>
      <c r="L1711" s="111"/>
      <c r="M1711" s="111"/>
      <c r="N1711" s="111"/>
      <c r="O1711" s="111"/>
      <c r="P1711" s="111"/>
      <c r="Q1711" s="111"/>
      <c r="R1711" s="111"/>
    </row>
    <row r="1712" spans="2:18" s="108" customFormat="1">
      <c r="B1712" s="97"/>
      <c r="C1712" s="110"/>
      <c r="D1712" s="109"/>
      <c r="E1712" s="97"/>
      <c r="F1712" s="97"/>
      <c r="G1712" s="109"/>
      <c r="H1712" s="109"/>
      <c r="I1712" s="97"/>
      <c r="J1712" s="97"/>
      <c r="K1712" s="83"/>
      <c r="L1712" s="111"/>
      <c r="M1712" s="111"/>
      <c r="N1712" s="111"/>
      <c r="O1712" s="111"/>
      <c r="P1712" s="111"/>
      <c r="Q1712" s="111"/>
      <c r="R1712" s="111"/>
    </row>
    <row r="1713" spans="2:18" s="108" customFormat="1">
      <c r="B1713" s="97"/>
      <c r="C1713" s="110"/>
      <c r="D1713" s="109"/>
      <c r="E1713" s="97"/>
      <c r="F1713" s="97"/>
      <c r="G1713" s="109"/>
      <c r="H1713" s="109"/>
      <c r="I1713" s="97"/>
      <c r="J1713" s="97"/>
      <c r="K1713" s="83"/>
      <c r="L1713" s="111"/>
      <c r="M1713" s="111"/>
      <c r="N1713" s="111"/>
      <c r="O1713" s="111"/>
      <c r="P1713" s="111"/>
      <c r="Q1713" s="111"/>
      <c r="R1713" s="111"/>
    </row>
    <row r="1714" spans="2:18" s="108" customFormat="1">
      <c r="B1714" s="97"/>
      <c r="C1714" s="110"/>
      <c r="D1714" s="109"/>
      <c r="E1714" s="97"/>
      <c r="F1714" s="97"/>
      <c r="G1714" s="109"/>
      <c r="H1714" s="109"/>
      <c r="I1714" s="97"/>
      <c r="J1714" s="97"/>
      <c r="K1714" s="83"/>
      <c r="L1714" s="111"/>
      <c r="M1714" s="111"/>
      <c r="N1714" s="111"/>
      <c r="O1714" s="111"/>
      <c r="P1714" s="111"/>
      <c r="Q1714" s="111"/>
      <c r="R1714" s="111"/>
    </row>
    <row r="1715" spans="2:18" s="108" customFormat="1">
      <c r="B1715" s="97"/>
      <c r="C1715" s="110"/>
      <c r="D1715" s="109"/>
      <c r="E1715" s="97"/>
      <c r="F1715" s="97"/>
      <c r="G1715" s="109"/>
      <c r="H1715" s="109"/>
      <c r="I1715" s="97"/>
      <c r="J1715" s="97"/>
      <c r="K1715" s="83"/>
      <c r="L1715" s="111"/>
      <c r="M1715" s="111"/>
      <c r="N1715" s="111"/>
      <c r="O1715" s="111"/>
      <c r="P1715" s="111"/>
      <c r="Q1715" s="111"/>
      <c r="R1715" s="111"/>
    </row>
    <row r="1716" spans="2:18" s="108" customFormat="1">
      <c r="B1716" s="97"/>
      <c r="C1716" s="110"/>
      <c r="D1716" s="109"/>
      <c r="E1716" s="97"/>
      <c r="F1716" s="97"/>
      <c r="G1716" s="109"/>
      <c r="H1716" s="109"/>
      <c r="I1716" s="97"/>
      <c r="J1716" s="97"/>
      <c r="K1716" s="83"/>
      <c r="L1716" s="111"/>
      <c r="M1716" s="111"/>
      <c r="N1716" s="111"/>
      <c r="O1716" s="111"/>
      <c r="P1716" s="111"/>
      <c r="Q1716" s="111"/>
      <c r="R1716" s="111"/>
    </row>
    <row r="1717" spans="2:18" s="108" customFormat="1">
      <c r="B1717" s="97"/>
      <c r="C1717" s="110"/>
      <c r="D1717" s="109"/>
      <c r="E1717" s="97"/>
      <c r="F1717" s="97"/>
      <c r="G1717" s="109"/>
      <c r="H1717" s="109"/>
      <c r="I1717" s="97"/>
      <c r="J1717" s="97"/>
      <c r="K1717" s="83"/>
      <c r="L1717" s="111"/>
      <c r="M1717" s="111"/>
      <c r="N1717" s="111"/>
      <c r="O1717" s="111"/>
      <c r="P1717" s="111"/>
      <c r="Q1717" s="111"/>
      <c r="R1717" s="111"/>
    </row>
    <row r="1718" spans="2:18" s="108" customFormat="1">
      <c r="B1718" s="97"/>
      <c r="C1718" s="110"/>
      <c r="D1718" s="109"/>
      <c r="E1718" s="97"/>
      <c r="F1718" s="97"/>
      <c r="G1718" s="109"/>
      <c r="H1718" s="109"/>
      <c r="I1718" s="97"/>
      <c r="J1718" s="97"/>
      <c r="K1718" s="83"/>
      <c r="L1718" s="111"/>
      <c r="M1718" s="111"/>
      <c r="N1718" s="111"/>
      <c r="O1718" s="111"/>
      <c r="P1718" s="111"/>
      <c r="Q1718" s="111"/>
      <c r="R1718" s="111"/>
    </row>
    <row r="1719" spans="2:18" s="108" customFormat="1">
      <c r="B1719" s="97"/>
      <c r="C1719" s="110"/>
      <c r="D1719" s="109"/>
      <c r="E1719" s="97"/>
      <c r="F1719" s="97"/>
      <c r="G1719" s="109"/>
      <c r="H1719" s="109"/>
      <c r="I1719" s="97"/>
      <c r="J1719" s="97"/>
      <c r="K1719" s="83"/>
      <c r="L1719" s="111"/>
      <c r="M1719" s="111"/>
      <c r="N1719" s="111"/>
      <c r="O1719" s="111"/>
      <c r="P1719" s="111"/>
      <c r="Q1719" s="111"/>
      <c r="R1719" s="111"/>
    </row>
    <row r="1720" spans="2:18" s="108" customFormat="1">
      <c r="B1720" s="97"/>
      <c r="C1720" s="110"/>
      <c r="D1720" s="109"/>
      <c r="E1720" s="97"/>
      <c r="F1720" s="97"/>
      <c r="G1720" s="109"/>
      <c r="H1720" s="109"/>
      <c r="I1720" s="97"/>
      <c r="J1720" s="97"/>
      <c r="K1720" s="83"/>
      <c r="L1720" s="111"/>
      <c r="M1720" s="111"/>
      <c r="N1720" s="111"/>
      <c r="O1720" s="111"/>
      <c r="P1720" s="111"/>
      <c r="Q1720" s="111"/>
      <c r="R1720" s="111"/>
    </row>
    <row r="1721" spans="2:18" s="108" customFormat="1">
      <c r="B1721" s="97"/>
      <c r="C1721" s="110"/>
      <c r="D1721" s="109"/>
      <c r="E1721" s="97"/>
      <c r="F1721" s="97"/>
      <c r="G1721" s="109"/>
      <c r="H1721" s="109"/>
      <c r="I1721" s="97"/>
      <c r="J1721" s="97"/>
      <c r="K1721" s="83"/>
      <c r="L1721" s="111"/>
      <c r="M1721" s="111"/>
      <c r="N1721" s="111"/>
      <c r="O1721" s="111"/>
      <c r="P1721" s="111"/>
      <c r="Q1721" s="111"/>
      <c r="R1721" s="111"/>
    </row>
    <row r="1722" spans="2:18" s="108" customFormat="1">
      <c r="B1722" s="97"/>
      <c r="C1722" s="110"/>
      <c r="D1722" s="109"/>
      <c r="E1722" s="97"/>
      <c r="F1722" s="97"/>
      <c r="G1722" s="109"/>
      <c r="H1722" s="109"/>
      <c r="I1722" s="97"/>
      <c r="J1722" s="97"/>
      <c r="K1722" s="83"/>
      <c r="L1722" s="111"/>
      <c r="M1722" s="111"/>
      <c r="N1722" s="111"/>
      <c r="O1722" s="111"/>
      <c r="P1722" s="111"/>
      <c r="Q1722" s="111"/>
      <c r="R1722" s="111"/>
    </row>
    <row r="1723" spans="2:18" s="108" customFormat="1">
      <c r="B1723" s="97"/>
      <c r="C1723" s="110"/>
      <c r="D1723" s="109"/>
      <c r="E1723" s="97"/>
      <c r="F1723" s="97"/>
      <c r="G1723" s="109"/>
      <c r="H1723" s="109"/>
      <c r="I1723" s="97"/>
      <c r="J1723" s="97"/>
      <c r="K1723" s="83"/>
      <c r="L1723" s="111"/>
      <c r="M1723" s="111"/>
      <c r="N1723" s="111"/>
      <c r="O1723" s="111"/>
      <c r="P1723" s="111"/>
      <c r="Q1723" s="111"/>
      <c r="R1723" s="111"/>
    </row>
    <row r="1724" spans="2:18" s="108" customFormat="1">
      <c r="B1724" s="97"/>
      <c r="C1724" s="110"/>
      <c r="D1724" s="109"/>
      <c r="E1724" s="97"/>
      <c r="F1724" s="97"/>
      <c r="G1724" s="109"/>
      <c r="H1724" s="109"/>
      <c r="I1724" s="97"/>
      <c r="J1724" s="97"/>
      <c r="K1724" s="83"/>
      <c r="L1724" s="111"/>
      <c r="M1724" s="111"/>
      <c r="N1724" s="111"/>
      <c r="O1724" s="111"/>
      <c r="P1724" s="111"/>
      <c r="Q1724" s="111"/>
      <c r="R1724" s="111"/>
    </row>
    <row r="1725" spans="2:18" s="108" customFormat="1">
      <c r="B1725" s="97"/>
      <c r="C1725" s="110"/>
      <c r="D1725" s="109"/>
      <c r="E1725" s="97"/>
      <c r="F1725" s="97"/>
      <c r="G1725" s="109"/>
      <c r="H1725" s="109"/>
      <c r="I1725" s="97"/>
      <c r="J1725" s="97"/>
      <c r="K1725" s="83"/>
      <c r="L1725" s="111"/>
      <c r="M1725" s="111"/>
      <c r="N1725" s="111"/>
      <c r="O1725" s="111"/>
      <c r="P1725" s="111"/>
      <c r="Q1725" s="111"/>
      <c r="R1725" s="111"/>
    </row>
    <row r="1726" spans="2:18" s="108" customFormat="1">
      <c r="B1726" s="97"/>
      <c r="C1726" s="110"/>
      <c r="D1726" s="109"/>
      <c r="E1726" s="97"/>
      <c r="F1726" s="97"/>
      <c r="G1726" s="109"/>
      <c r="H1726" s="109"/>
      <c r="I1726" s="97"/>
      <c r="J1726" s="97"/>
      <c r="K1726" s="83"/>
      <c r="L1726" s="111"/>
      <c r="M1726" s="111"/>
      <c r="N1726" s="111"/>
      <c r="O1726" s="111"/>
      <c r="P1726" s="111"/>
      <c r="Q1726" s="111"/>
      <c r="R1726" s="111"/>
    </row>
    <row r="1727" spans="2:18" s="108" customFormat="1">
      <c r="B1727" s="97"/>
      <c r="C1727" s="110"/>
      <c r="D1727" s="109"/>
      <c r="E1727" s="97"/>
      <c r="F1727" s="97"/>
      <c r="G1727" s="109"/>
      <c r="H1727" s="109"/>
      <c r="I1727" s="97"/>
      <c r="J1727" s="97"/>
      <c r="K1727" s="83"/>
      <c r="L1727" s="111"/>
      <c r="M1727" s="111"/>
      <c r="N1727" s="111"/>
      <c r="O1727" s="111"/>
      <c r="P1727" s="111"/>
      <c r="Q1727" s="111"/>
      <c r="R1727" s="111"/>
    </row>
    <row r="1728" spans="2:18" s="108" customFormat="1">
      <c r="B1728" s="97"/>
      <c r="C1728" s="110"/>
      <c r="D1728" s="109"/>
      <c r="E1728" s="97"/>
      <c r="F1728" s="97"/>
      <c r="G1728" s="109"/>
      <c r="H1728" s="109"/>
      <c r="I1728" s="97"/>
      <c r="J1728" s="97"/>
      <c r="K1728" s="83"/>
      <c r="L1728" s="111"/>
      <c r="M1728" s="111"/>
      <c r="N1728" s="111"/>
      <c r="O1728" s="111"/>
      <c r="P1728" s="111"/>
      <c r="Q1728" s="111"/>
      <c r="R1728" s="111"/>
    </row>
    <row r="1729" spans="2:18" s="108" customFormat="1">
      <c r="B1729" s="97"/>
      <c r="C1729" s="110"/>
      <c r="D1729" s="109"/>
      <c r="E1729" s="97"/>
      <c r="F1729" s="97"/>
      <c r="G1729" s="109"/>
      <c r="H1729" s="109"/>
      <c r="I1729" s="97"/>
      <c r="J1729" s="97"/>
      <c r="K1729" s="83"/>
      <c r="L1729" s="111"/>
      <c r="M1729" s="111"/>
      <c r="N1729" s="111"/>
      <c r="O1729" s="111"/>
      <c r="P1729" s="111"/>
      <c r="Q1729" s="111"/>
      <c r="R1729" s="111"/>
    </row>
    <row r="1730" spans="2:18" s="108" customFormat="1">
      <c r="B1730" s="97"/>
      <c r="C1730" s="110"/>
      <c r="D1730" s="109"/>
      <c r="E1730" s="97"/>
      <c r="F1730" s="97"/>
      <c r="G1730" s="109"/>
      <c r="H1730" s="109"/>
      <c r="I1730" s="97"/>
      <c r="J1730" s="97"/>
      <c r="K1730" s="83"/>
      <c r="L1730" s="111"/>
      <c r="M1730" s="111"/>
      <c r="N1730" s="111"/>
      <c r="O1730" s="111"/>
      <c r="P1730" s="111"/>
      <c r="Q1730" s="111"/>
      <c r="R1730" s="111"/>
    </row>
    <row r="1731" spans="2:18" s="108" customFormat="1">
      <c r="B1731" s="97"/>
      <c r="C1731" s="110"/>
      <c r="D1731" s="109"/>
      <c r="E1731" s="97"/>
      <c r="F1731" s="97"/>
      <c r="G1731" s="109"/>
      <c r="H1731" s="109"/>
      <c r="I1731" s="97"/>
      <c r="J1731" s="97"/>
      <c r="K1731" s="83"/>
      <c r="L1731" s="111"/>
      <c r="M1731" s="111"/>
      <c r="N1731" s="111"/>
      <c r="O1731" s="111"/>
      <c r="P1731" s="111"/>
      <c r="Q1731" s="111"/>
      <c r="R1731" s="111"/>
    </row>
    <row r="1732" spans="2:18" s="108" customFormat="1">
      <c r="B1732" s="97"/>
      <c r="C1732" s="110"/>
      <c r="D1732" s="109"/>
      <c r="E1732" s="97"/>
      <c r="F1732" s="97"/>
      <c r="G1732" s="109"/>
      <c r="H1732" s="109"/>
      <c r="I1732" s="97"/>
      <c r="J1732" s="97"/>
      <c r="K1732" s="83"/>
      <c r="L1732" s="111"/>
      <c r="M1732" s="111"/>
      <c r="N1732" s="111"/>
      <c r="O1732" s="111"/>
      <c r="P1732" s="111"/>
      <c r="Q1732" s="111"/>
      <c r="R1732" s="111"/>
    </row>
    <row r="1733" spans="2:18" s="108" customFormat="1">
      <c r="B1733" s="97"/>
      <c r="C1733" s="110"/>
      <c r="D1733" s="109"/>
      <c r="E1733" s="97"/>
      <c r="F1733" s="97"/>
      <c r="G1733" s="109"/>
      <c r="H1733" s="109"/>
      <c r="I1733" s="97"/>
      <c r="J1733" s="97"/>
      <c r="K1733" s="83"/>
      <c r="L1733" s="111"/>
      <c r="M1733" s="111"/>
      <c r="N1733" s="111"/>
      <c r="O1733" s="111"/>
      <c r="P1733" s="111"/>
      <c r="Q1733" s="111"/>
      <c r="R1733" s="111"/>
    </row>
    <row r="1734" spans="2:18" s="108" customFormat="1">
      <c r="B1734" s="97"/>
      <c r="C1734" s="110"/>
      <c r="D1734" s="109"/>
      <c r="E1734" s="97"/>
      <c r="F1734" s="97"/>
      <c r="G1734" s="109"/>
      <c r="H1734" s="109"/>
      <c r="I1734" s="97"/>
      <c r="J1734" s="97"/>
      <c r="K1734" s="83"/>
      <c r="L1734" s="111"/>
      <c r="M1734" s="111"/>
      <c r="N1734" s="111"/>
      <c r="O1734" s="111"/>
      <c r="P1734" s="111"/>
      <c r="Q1734" s="111"/>
      <c r="R1734" s="111"/>
    </row>
    <row r="1735" spans="2:18" s="108" customFormat="1">
      <c r="B1735" s="97"/>
      <c r="C1735" s="110"/>
      <c r="D1735" s="109"/>
      <c r="E1735" s="97"/>
      <c r="F1735" s="97"/>
      <c r="G1735" s="109"/>
      <c r="H1735" s="109"/>
      <c r="I1735" s="97"/>
      <c r="J1735" s="97"/>
      <c r="K1735" s="83"/>
      <c r="L1735" s="111"/>
      <c r="M1735" s="111"/>
      <c r="N1735" s="111"/>
      <c r="O1735" s="111"/>
      <c r="P1735" s="111"/>
      <c r="Q1735" s="111"/>
      <c r="R1735" s="111"/>
    </row>
    <row r="1736" spans="2:18" s="108" customFormat="1">
      <c r="B1736" s="97"/>
      <c r="C1736" s="110"/>
      <c r="D1736" s="109"/>
      <c r="E1736" s="97"/>
      <c r="F1736" s="97"/>
      <c r="G1736" s="109"/>
      <c r="H1736" s="109"/>
      <c r="I1736" s="97"/>
      <c r="J1736" s="97"/>
      <c r="K1736" s="83"/>
      <c r="L1736" s="111"/>
      <c r="M1736" s="111"/>
      <c r="N1736" s="111"/>
      <c r="O1736" s="111"/>
      <c r="P1736" s="111"/>
      <c r="Q1736" s="111"/>
      <c r="R1736" s="111"/>
    </row>
    <row r="1737" spans="2:18" s="108" customFormat="1">
      <c r="B1737" s="97"/>
      <c r="C1737" s="110"/>
      <c r="D1737" s="109"/>
      <c r="E1737" s="97"/>
      <c r="F1737" s="97"/>
      <c r="G1737" s="109"/>
      <c r="H1737" s="109"/>
      <c r="I1737" s="97"/>
      <c r="J1737" s="97"/>
      <c r="K1737" s="83"/>
      <c r="L1737" s="111"/>
      <c r="M1737" s="111"/>
      <c r="N1737" s="111"/>
      <c r="O1737" s="111"/>
      <c r="P1737" s="111"/>
      <c r="Q1737" s="111"/>
      <c r="R1737" s="111"/>
    </row>
    <row r="1738" spans="2:18" s="108" customFormat="1">
      <c r="B1738" s="97"/>
      <c r="C1738" s="110"/>
      <c r="D1738" s="109"/>
      <c r="E1738" s="97"/>
      <c r="F1738" s="97"/>
      <c r="G1738" s="109"/>
      <c r="H1738" s="109"/>
      <c r="I1738" s="97"/>
      <c r="J1738" s="97"/>
      <c r="K1738" s="83"/>
      <c r="L1738" s="111"/>
      <c r="M1738" s="111"/>
      <c r="N1738" s="111"/>
      <c r="O1738" s="111"/>
      <c r="P1738" s="111"/>
      <c r="Q1738" s="111"/>
      <c r="R1738" s="111"/>
    </row>
    <row r="1739" spans="2:18" s="108" customFormat="1">
      <c r="B1739" s="97"/>
      <c r="C1739" s="110"/>
      <c r="D1739" s="109"/>
      <c r="E1739" s="97"/>
      <c r="F1739" s="97"/>
      <c r="G1739" s="109"/>
      <c r="H1739" s="109"/>
      <c r="I1739" s="97"/>
      <c r="J1739" s="97"/>
      <c r="K1739" s="83"/>
      <c r="L1739" s="111"/>
      <c r="M1739" s="111"/>
      <c r="N1739" s="111"/>
      <c r="O1739" s="111"/>
      <c r="P1739" s="111"/>
      <c r="Q1739" s="111"/>
      <c r="R1739" s="111"/>
    </row>
    <row r="1740" spans="2:18" s="108" customFormat="1">
      <c r="B1740" s="97"/>
      <c r="C1740" s="110"/>
      <c r="D1740" s="109"/>
      <c r="E1740" s="97"/>
      <c r="F1740" s="97"/>
      <c r="G1740" s="109"/>
      <c r="H1740" s="109"/>
      <c r="I1740" s="97"/>
      <c r="J1740" s="97"/>
      <c r="K1740" s="83"/>
      <c r="L1740" s="111"/>
      <c r="M1740" s="111"/>
      <c r="N1740" s="111"/>
      <c r="O1740" s="111"/>
      <c r="P1740" s="111"/>
      <c r="Q1740" s="111"/>
      <c r="R1740" s="111"/>
    </row>
    <row r="1741" spans="2:18" s="108" customFormat="1">
      <c r="B1741" s="97"/>
      <c r="C1741" s="110"/>
      <c r="D1741" s="109"/>
      <c r="E1741" s="97"/>
      <c r="F1741" s="97"/>
      <c r="G1741" s="109"/>
      <c r="H1741" s="109"/>
      <c r="I1741" s="97"/>
      <c r="J1741" s="97"/>
      <c r="K1741" s="83"/>
      <c r="L1741" s="111"/>
      <c r="M1741" s="111"/>
      <c r="N1741" s="111"/>
      <c r="O1741" s="111"/>
      <c r="P1741" s="111"/>
      <c r="Q1741" s="111"/>
      <c r="R1741" s="111"/>
    </row>
    <row r="1742" spans="2:18" s="108" customFormat="1">
      <c r="B1742" s="97"/>
      <c r="C1742" s="110"/>
      <c r="D1742" s="109"/>
      <c r="E1742" s="97"/>
      <c r="F1742" s="97"/>
      <c r="G1742" s="109"/>
      <c r="H1742" s="109"/>
      <c r="I1742" s="97"/>
      <c r="J1742" s="97"/>
      <c r="K1742" s="83"/>
      <c r="L1742" s="111"/>
      <c r="M1742" s="111"/>
      <c r="N1742" s="111"/>
      <c r="O1742" s="111"/>
      <c r="P1742" s="111"/>
      <c r="Q1742" s="111"/>
      <c r="R1742" s="111"/>
    </row>
    <row r="1743" spans="2:18" s="108" customFormat="1">
      <c r="B1743" s="97"/>
      <c r="C1743" s="110"/>
      <c r="D1743" s="109"/>
      <c r="E1743" s="97"/>
      <c r="F1743" s="97"/>
      <c r="G1743" s="109"/>
      <c r="H1743" s="109"/>
      <c r="I1743" s="97"/>
      <c r="J1743" s="97"/>
      <c r="K1743" s="83"/>
      <c r="L1743" s="111"/>
      <c r="M1743" s="111"/>
      <c r="N1743" s="111"/>
      <c r="O1743" s="111"/>
      <c r="P1743" s="111"/>
      <c r="Q1743" s="111"/>
      <c r="R1743" s="111"/>
    </row>
    <row r="1744" spans="2:18" s="108" customFormat="1">
      <c r="B1744" s="97"/>
      <c r="C1744" s="110"/>
      <c r="D1744" s="109"/>
      <c r="E1744" s="97"/>
      <c r="F1744" s="97"/>
      <c r="G1744" s="109"/>
      <c r="H1744" s="109"/>
      <c r="I1744" s="97"/>
      <c r="J1744" s="97"/>
      <c r="K1744" s="83"/>
      <c r="L1744" s="111"/>
      <c r="M1744" s="111"/>
      <c r="N1744" s="111"/>
      <c r="O1744" s="111"/>
      <c r="P1744" s="111"/>
      <c r="Q1744" s="111"/>
      <c r="R1744" s="111"/>
    </row>
    <row r="1745" spans="2:18" s="108" customFormat="1">
      <c r="B1745" s="97"/>
      <c r="C1745" s="110"/>
      <c r="D1745" s="109"/>
      <c r="E1745" s="97"/>
      <c r="F1745" s="97"/>
      <c r="G1745" s="109"/>
      <c r="H1745" s="109"/>
      <c r="I1745" s="97"/>
      <c r="J1745" s="97"/>
      <c r="K1745" s="83"/>
      <c r="L1745" s="111"/>
      <c r="M1745" s="111"/>
      <c r="N1745" s="111"/>
      <c r="O1745" s="111"/>
      <c r="P1745" s="111"/>
      <c r="Q1745" s="111"/>
      <c r="R1745" s="111"/>
    </row>
    <row r="1746" spans="2:18" s="108" customFormat="1">
      <c r="B1746" s="97"/>
      <c r="C1746" s="110"/>
      <c r="D1746" s="109"/>
      <c r="E1746" s="97"/>
      <c r="F1746" s="97"/>
      <c r="G1746" s="109"/>
      <c r="H1746" s="109"/>
      <c r="I1746" s="97"/>
      <c r="J1746" s="97"/>
      <c r="K1746" s="83"/>
      <c r="L1746" s="111"/>
      <c r="M1746" s="111"/>
      <c r="N1746" s="111"/>
      <c r="O1746" s="111"/>
      <c r="P1746" s="111"/>
      <c r="Q1746" s="111"/>
      <c r="R1746" s="111"/>
    </row>
    <row r="1747" spans="2:18" s="108" customFormat="1">
      <c r="B1747" s="97"/>
      <c r="C1747" s="110"/>
      <c r="D1747" s="109"/>
      <c r="E1747" s="97"/>
      <c r="F1747" s="97"/>
      <c r="G1747" s="109"/>
      <c r="H1747" s="109"/>
      <c r="I1747" s="97"/>
      <c r="J1747" s="97"/>
      <c r="K1747" s="83"/>
      <c r="L1747" s="111"/>
      <c r="M1747" s="111"/>
      <c r="N1747" s="111"/>
      <c r="O1747" s="111"/>
      <c r="P1747" s="111"/>
      <c r="Q1747" s="111"/>
      <c r="R1747" s="111"/>
    </row>
    <row r="1748" spans="2:18" s="108" customFormat="1">
      <c r="B1748" s="97"/>
      <c r="C1748" s="110"/>
      <c r="D1748" s="109"/>
      <c r="E1748" s="97"/>
      <c r="F1748" s="97"/>
      <c r="G1748" s="109"/>
      <c r="H1748" s="109"/>
      <c r="I1748" s="97"/>
      <c r="J1748" s="97"/>
      <c r="K1748" s="83"/>
      <c r="L1748" s="111"/>
      <c r="M1748" s="111"/>
      <c r="N1748" s="111"/>
      <c r="O1748" s="111"/>
      <c r="P1748" s="111"/>
      <c r="Q1748" s="111"/>
      <c r="R1748" s="111"/>
    </row>
    <row r="1749" spans="2:18" s="108" customFormat="1">
      <c r="B1749" s="97"/>
      <c r="C1749" s="110"/>
      <c r="D1749" s="109"/>
      <c r="E1749" s="97"/>
      <c r="F1749" s="97"/>
      <c r="G1749" s="109"/>
      <c r="H1749" s="109"/>
      <c r="I1749" s="97"/>
      <c r="J1749" s="97"/>
      <c r="K1749" s="83"/>
      <c r="L1749" s="111"/>
      <c r="M1749" s="111"/>
      <c r="N1749" s="111"/>
      <c r="O1749" s="111"/>
      <c r="P1749" s="111"/>
      <c r="Q1749" s="111"/>
      <c r="R1749" s="111"/>
    </row>
    <row r="1750" spans="2:18" s="108" customFormat="1">
      <c r="B1750" s="97"/>
      <c r="C1750" s="110"/>
      <c r="D1750" s="109"/>
      <c r="E1750" s="97"/>
      <c r="F1750" s="97"/>
      <c r="G1750" s="109"/>
      <c r="H1750" s="109"/>
      <c r="I1750" s="97"/>
      <c r="J1750" s="97"/>
      <c r="K1750" s="83"/>
      <c r="L1750" s="111"/>
      <c r="M1750" s="111"/>
      <c r="N1750" s="111"/>
      <c r="O1750" s="111"/>
      <c r="P1750" s="111"/>
      <c r="Q1750" s="111"/>
      <c r="R1750" s="111"/>
    </row>
    <row r="1751" spans="2:18" s="108" customFormat="1">
      <c r="B1751" s="97"/>
      <c r="C1751" s="110"/>
      <c r="D1751" s="109"/>
      <c r="E1751" s="97"/>
      <c r="F1751" s="97"/>
      <c r="G1751" s="109"/>
      <c r="H1751" s="109"/>
      <c r="I1751" s="97"/>
      <c r="J1751" s="97"/>
      <c r="K1751" s="83"/>
      <c r="L1751" s="111"/>
      <c r="M1751" s="111"/>
      <c r="N1751" s="111"/>
      <c r="O1751" s="111"/>
      <c r="P1751" s="111"/>
      <c r="Q1751" s="111"/>
      <c r="R1751" s="111"/>
    </row>
    <row r="1752" spans="2:18" s="108" customFormat="1">
      <c r="B1752" s="97"/>
      <c r="C1752" s="110"/>
      <c r="D1752" s="109"/>
      <c r="E1752" s="97"/>
      <c r="F1752" s="97"/>
      <c r="G1752" s="109"/>
      <c r="H1752" s="109"/>
      <c r="I1752" s="97"/>
      <c r="J1752" s="97"/>
      <c r="K1752" s="83"/>
      <c r="L1752" s="111"/>
      <c r="M1752" s="111"/>
      <c r="N1752" s="111"/>
      <c r="O1752" s="111"/>
      <c r="P1752" s="111"/>
      <c r="Q1752" s="111"/>
      <c r="R1752" s="111"/>
    </row>
    <row r="1753" spans="2:18" s="108" customFormat="1">
      <c r="B1753" s="97"/>
      <c r="C1753" s="110"/>
      <c r="D1753" s="109"/>
      <c r="E1753" s="97"/>
      <c r="F1753" s="97"/>
      <c r="G1753" s="109"/>
      <c r="H1753" s="109"/>
      <c r="I1753" s="97"/>
      <c r="J1753" s="97"/>
      <c r="K1753" s="83"/>
      <c r="L1753" s="111"/>
      <c r="M1753" s="111"/>
      <c r="N1753" s="111"/>
      <c r="O1753" s="111"/>
      <c r="P1753" s="111"/>
      <c r="Q1753" s="111"/>
      <c r="R1753" s="111"/>
    </row>
    <row r="1754" spans="2:18" s="108" customFormat="1">
      <c r="B1754" s="97"/>
      <c r="C1754" s="110"/>
      <c r="D1754" s="109"/>
      <c r="E1754" s="97"/>
      <c r="F1754" s="97"/>
      <c r="G1754" s="109"/>
      <c r="H1754" s="109"/>
      <c r="I1754" s="97"/>
      <c r="J1754" s="97"/>
      <c r="K1754" s="83"/>
      <c r="L1754" s="111"/>
      <c r="M1754" s="111"/>
      <c r="N1754" s="111"/>
      <c r="O1754" s="111"/>
      <c r="P1754" s="111"/>
      <c r="Q1754" s="111"/>
      <c r="R1754" s="111"/>
    </row>
    <row r="1755" spans="2:18" s="108" customFormat="1">
      <c r="B1755" s="97"/>
      <c r="C1755" s="110"/>
      <c r="D1755" s="109"/>
      <c r="E1755" s="97"/>
      <c r="F1755" s="97"/>
      <c r="G1755" s="109"/>
      <c r="H1755" s="109"/>
      <c r="I1755" s="97"/>
      <c r="J1755" s="97"/>
      <c r="K1755" s="83"/>
      <c r="L1755" s="111"/>
      <c r="M1755" s="111"/>
      <c r="N1755" s="111"/>
      <c r="O1755" s="111"/>
      <c r="P1755" s="111"/>
      <c r="Q1755" s="111"/>
      <c r="R1755" s="111"/>
    </row>
    <row r="1756" spans="2:18" s="108" customFormat="1">
      <c r="B1756" s="97"/>
      <c r="C1756" s="110"/>
      <c r="D1756" s="109"/>
      <c r="E1756" s="97"/>
      <c r="F1756" s="97"/>
      <c r="G1756" s="109"/>
      <c r="H1756" s="109"/>
      <c r="I1756" s="97"/>
      <c r="J1756" s="97"/>
      <c r="K1756" s="83"/>
      <c r="L1756" s="111"/>
      <c r="M1756" s="111"/>
      <c r="N1756" s="111"/>
      <c r="O1756" s="111"/>
      <c r="P1756" s="111"/>
      <c r="Q1756" s="111"/>
      <c r="R1756" s="111"/>
    </row>
    <row r="1757" spans="2:18" s="108" customFormat="1">
      <c r="B1757" s="97"/>
      <c r="C1757" s="110"/>
      <c r="D1757" s="109"/>
      <c r="E1757" s="97"/>
      <c r="F1757" s="97"/>
      <c r="G1757" s="109"/>
      <c r="H1757" s="109"/>
      <c r="I1757" s="97"/>
      <c r="J1757" s="97"/>
      <c r="K1757" s="83"/>
      <c r="L1757" s="111"/>
      <c r="M1757" s="111"/>
      <c r="N1757" s="111"/>
      <c r="O1757" s="111"/>
      <c r="P1757" s="111"/>
      <c r="Q1757" s="111"/>
      <c r="R1757" s="111"/>
    </row>
    <row r="1758" spans="2:18" s="108" customFormat="1">
      <c r="B1758" s="97"/>
      <c r="C1758" s="110"/>
      <c r="D1758" s="109"/>
      <c r="E1758" s="97"/>
      <c r="F1758" s="97"/>
      <c r="G1758" s="109"/>
      <c r="H1758" s="109"/>
      <c r="I1758" s="97"/>
      <c r="J1758" s="97"/>
      <c r="K1758" s="83"/>
      <c r="L1758" s="111"/>
      <c r="M1758" s="111"/>
      <c r="N1758" s="111"/>
      <c r="O1758" s="111"/>
      <c r="P1758" s="111"/>
      <c r="Q1758" s="111"/>
      <c r="R1758" s="111"/>
    </row>
    <row r="1759" spans="2:18" s="108" customFormat="1">
      <c r="B1759" s="97"/>
      <c r="C1759" s="110"/>
      <c r="D1759" s="109"/>
      <c r="E1759" s="97"/>
      <c r="F1759" s="97"/>
      <c r="G1759" s="109"/>
      <c r="H1759" s="109"/>
      <c r="I1759" s="97"/>
      <c r="J1759" s="97"/>
      <c r="K1759" s="83"/>
      <c r="L1759" s="111"/>
      <c r="M1759" s="111"/>
      <c r="N1759" s="111"/>
      <c r="O1759" s="111"/>
      <c r="P1759" s="111"/>
      <c r="Q1759" s="111"/>
      <c r="R1759" s="111"/>
    </row>
    <row r="1760" spans="2:18" s="108" customFormat="1">
      <c r="B1760" s="97"/>
      <c r="C1760" s="110"/>
      <c r="D1760" s="109"/>
      <c r="E1760" s="97"/>
      <c r="F1760" s="97"/>
      <c r="G1760" s="109"/>
      <c r="H1760" s="109"/>
      <c r="I1760" s="97"/>
      <c r="J1760" s="97"/>
      <c r="K1760" s="83"/>
      <c r="L1760" s="111"/>
      <c r="M1760" s="111"/>
      <c r="N1760" s="111"/>
      <c r="O1760" s="111"/>
      <c r="P1760" s="111"/>
      <c r="Q1760" s="111"/>
      <c r="R1760" s="111"/>
    </row>
    <row r="1761" spans="2:18" s="108" customFormat="1">
      <c r="B1761" s="97"/>
      <c r="C1761" s="110"/>
      <c r="D1761" s="109"/>
      <c r="E1761" s="97"/>
      <c r="F1761" s="97"/>
      <c r="G1761" s="109"/>
      <c r="H1761" s="109"/>
      <c r="I1761" s="97"/>
      <c r="J1761" s="97"/>
      <c r="K1761" s="83"/>
      <c r="L1761" s="111"/>
      <c r="M1761" s="111"/>
      <c r="N1761" s="111"/>
      <c r="O1761" s="111"/>
      <c r="P1761" s="111"/>
      <c r="Q1761" s="111"/>
      <c r="R1761" s="111"/>
    </row>
    <row r="1762" spans="2:18" s="108" customFormat="1">
      <c r="B1762" s="97"/>
      <c r="C1762" s="110"/>
      <c r="D1762" s="109"/>
      <c r="E1762" s="97"/>
      <c r="F1762" s="97"/>
      <c r="G1762" s="109"/>
      <c r="H1762" s="109"/>
      <c r="I1762" s="97"/>
      <c r="J1762" s="97"/>
      <c r="K1762" s="83"/>
      <c r="L1762" s="111"/>
      <c r="M1762" s="111"/>
      <c r="N1762" s="111"/>
      <c r="O1762" s="111"/>
      <c r="P1762" s="111"/>
      <c r="Q1762" s="111"/>
      <c r="R1762" s="111"/>
    </row>
    <row r="1763" spans="2:18" s="108" customFormat="1">
      <c r="B1763" s="97"/>
      <c r="C1763" s="110"/>
      <c r="D1763" s="109"/>
      <c r="E1763" s="97"/>
      <c r="F1763" s="97"/>
      <c r="G1763" s="109"/>
      <c r="H1763" s="109"/>
      <c r="I1763" s="97"/>
      <c r="J1763" s="97"/>
      <c r="K1763" s="83"/>
      <c r="L1763" s="111"/>
      <c r="M1763" s="111"/>
      <c r="N1763" s="111"/>
      <c r="O1763" s="111"/>
      <c r="P1763" s="111"/>
      <c r="Q1763" s="111"/>
      <c r="R1763" s="111"/>
    </row>
    <row r="1764" spans="2:18" s="108" customFormat="1">
      <c r="B1764" s="97"/>
      <c r="C1764" s="110"/>
      <c r="D1764" s="109"/>
      <c r="E1764" s="97"/>
      <c r="F1764" s="97"/>
      <c r="G1764" s="109"/>
      <c r="H1764" s="109"/>
      <c r="I1764" s="97"/>
      <c r="J1764" s="97"/>
      <c r="K1764" s="83"/>
      <c r="L1764" s="111"/>
      <c r="M1764" s="111"/>
      <c r="N1764" s="111"/>
      <c r="O1764" s="111"/>
      <c r="P1764" s="111"/>
      <c r="Q1764" s="111"/>
      <c r="R1764" s="111"/>
    </row>
    <row r="1765" spans="2:18" s="108" customFormat="1">
      <c r="B1765" s="97"/>
      <c r="C1765" s="110"/>
      <c r="D1765" s="109"/>
      <c r="E1765" s="97"/>
      <c r="F1765" s="97"/>
      <c r="G1765" s="109"/>
      <c r="H1765" s="109"/>
      <c r="I1765" s="97"/>
      <c r="J1765" s="97"/>
      <c r="K1765" s="83"/>
      <c r="L1765" s="111"/>
      <c r="M1765" s="111"/>
      <c r="N1765" s="111"/>
      <c r="O1765" s="111"/>
      <c r="P1765" s="111"/>
      <c r="Q1765" s="111"/>
      <c r="R1765" s="111"/>
    </row>
    <row r="1766" spans="2:18" s="108" customFormat="1">
      <c r="B1766" s="97"/>
      <c r="C1766" s="110"/>
      <c r="D1766" s="109"/>
      <c r="E1766" s="97"/>
      <c r="F1766" s="97"/>
      <c r="G1766" s="109"/>
      <c r="H1766" s="109"/>
      <c r="I1766" s="97"/>
      <c r="J1766" s="97"/>
      <c r="K1766" s="83"/>
      <c r="L1766" s="111"/>
      <c r="M1766" s="111"/>
      <c r="N1766" s="111"/>
      <c r="O1766" s="111"/>
      <c r="P1766" s="111"/>
      <c r="Q1766" s="111"/>
      <c r="R1766" s="111"/>
    </row>
    <row r="1767" spans="2:18" s="108" customFormat="1">
      <c r="B1767" s="97"/>
      <c r="C1767" s="110"/>
      <c r="D1767" s="109"/>
      <c r="E1767" s="97"/>
      <c r="F1767" s="97"/>
      <c r="G1767" s="109"/>
      <c r="H1767" s="109"/>
      <c r="I1767" s="97"/>
      <c r="J1767" s="97"/>
      <c r="K1767" s="83"/>
      <c r="L1767" s="111"/>
      <c r="M1767" s="111"/>
      <c r="N1767" s="111"/>
      <c r="O1767" s="111"/>
      <c r="P1767" s="111"/>
      <c r="Q1767" s="111"/>
      <c r="R1767" s="111"/>
    </row>
    <row r="1768" spans="2:18" s="108" customFormat="1">
      <c r="B1768" s="97"/>
      <c r="C1768" s="110"/>
      <c r="D1768" s="109"/>
      <c r="E1768" s="97"/>
      <c r="F1768" s="97"/>
      <c r="G1768" s="109"/>
      <c r="H1768" s="109"/>
      <c r="I1768" s="97"/>
      <c r="J1768" s="97"/>
      <c r="K1768" s="83"/>
      <c r="L1768" s="111"/>
      <c r="M1768" s="111"/>
      <c r="N1768" s="111"/>
      <c r="O1768" s="111"/>
      <c r="P1768" s="111"/>
      <c r="Q1768" s="111"/>
      <c r="R1768" s="111"/>
    </row>
    <row r="1769" spans="2:18" s="108" customFormat="1">
      <c r="B1769" s="97"/>
      <c r="C1769" s="110"/>
      <c r="D1769" s="109"/>
      <c r="E1769" s="97"/>
      <c r="F1769" s="97"/>
      <c r="G1769" s="109"/>
      <c r="H1769" s="109"/>
      <c r="I1769" s="97"/>
      <c r="J1769" s="97"/>
      <c r="K1769" s="83"/>
      <c r="L1769" s="111"/>
      <c r="M1769" s="111"/>
      <c r="N1769" s="111"/>
      <c r="O1769" s="111"/>
      <c r="P1769" s="111"/>
      <c r="Q1769" s="111"/>
      <c r="R1769" s="111"/>
    </row>
    <row r="1770" spans="2:18" s="108" customFormat="1">
      <c r="B1770" s="97"/>
      <c r="C1770" s="110"/>
      <c r="D1770" s="109"/>
      <c r="E1770" s="97"/>
      <c r="F1770" s="97"/>
      <c r="G1770" s="109"/>
      <c r="H1770" s="109"/>
      <c r="I1770" s="97"/>
      <c r="J1770" s="97"/>
      <c r="K1770" s="83"/>
      <c r="L1770" s="111"/>
      <c r="M1770" s="111"/>
      <c r="N1770" s="111"/>
      <c r="O1770" s="111"/>
      <c r="P1770" s="111"/>
      <c r="Q1770" s="111"/>
      <c r="R1770" s="111"/>
    </row>
    <row r="1771" spans="2:18" s="108" customFormat="1">
      <c r="B1771" s="97"/>
      <c r="C1771" s="110"/>
      <c r="D1771" s="109"/>
      <c r="E1771" s="97"/>
      <c r="F1771" s="97"/>
      <c r="G1771" s="109"/>
      <c r="H1771" s="109"/>
      <c r="I1771" s="97"/>
      <c r="J1771" s="97"/>
      <c r="K1771" s="83"/>
      <c r="L1771" s="111"/>
      <c r="M1771" s="111"/>
      <c r="N1771" s="111"/>
      <c r="O1771" s="111"/>
      <c r="P1771" s="111"/>
      <c r="Q1771" s="111"/>
      <c r="R1771" s="111"/>
    </row>
    <row r="1772" spans="2:18" s="108" customFormat="1">
      <c r="B1772" s="97"/>
      <c r="C1772" s="110"/>
      <c r="D1772" s="109"/>
      <c r="E1772" s="97"/>
      <c r="F1772" s="97"/>
      <c r="G1772" s="109"/>
      <c r="H1772" s="109"/>
      <c r="I1772" s="97"/>
      <c r="J1772" s="97"/>
      <c r="K1772" s="83"/>
      <c r="L1772" s="111"/>
      <c r="M1772" s="111"/>
      <c r="N1772" s="111"/>
      <c r="O1772" s="111"/>
      <c r="P1772" s="111"/>
      <c r="Q1772" s="111"/>
      <c r="R1772" s="111"/>
    </row>
    <row r="1773" spans="2:18" s="108" customFormat="1">
      <c r="B1773" s="97"/>
      <c r="C1773" s="110"/>
      <c r="D1773" s="109"/>
      <c r="E1773" s="97"/>
      <c r="F1773" s="97"/>
      <c r="G1773" s="109"/>
      <c r="H1773" s="109"/>
      <c r="I1773" s="97"/>
      <c r="J1773" s="97"/>
      <c r="K1773" s="83"/>
      <c r="L1773" s="111"/>
      <c r="M1773" s="111"/>
      <c r="N1773" s="111"/>
      <c r="O1773" s="111"/>
      <c r="P1773" s="111"/>
      <c r="Q1773" s="111"/>
      <c r="R1773" s="111"/>
    </row>
    <row r="1774" spans="2:18" s="108" customFormat="1">
      <c r="B1774" s="97"/>
      <c r="C1774" s="110"/>
      <c r="D1774" s="109"/>
      <c r="E1774" s="97"/>
      <c r="F1774" s="97"/>
      <c r="G1774" s="109"/>
      <c r="H1774" s="109"/>
      <c r="I1774" s="97"/>
      <c r="J1774" s="97"/>
      <c r="K1774" s="83"/>
      <c r="L1774" s="111"/>
      <c r="M1774" s="111"/>
      <c r="N1774" s="111"/>
      <c r="O1774" s="111"/>
      <c r="P1774" s="111"/>
      <c r="Q1774" s="111"/>
      <c r="R1774" s="111"/>
    </row>
    <row r="1775" spans="2:18" s="108" customFormat="1">
      <c r="B1775" s="97"/>
      <c r="C1775" s="110"/>
      <c r="D1775" s="109"/>
      <c r="E1775" s="97"/>
      <c r="F1775" s="97"/>
      <c r="G1775" s="109"/>
      <c r="H1775" s="109"/>
      <c r="I1775" s="97"/>
      <c r="J1775" s="97"/>
      <c r="K1775" s="83"/>
      <c r="L1775" s="111"/>
      <c r="M1775" s="111"/>
      <c r="N1775" s="111"/>
      <c r="O1775" s="111"/>
      <c r="P1775" s="111"/>
      <c r="Q1775" s="111"/>
      <c r="R1775" s="111"/>
    </row>
    <row r="1776" spans="2:18" s="108" customFormat="1">
      <c r="B1776" s="97"/>
      <c r="C1776" s="110"/>
      <c r="D1776" s="109"/>
      <c r="E1776" s="97"/>
      <c r="F1776" s="97"/>
      <c r="G1776" s="109"/>
      <c r="H1776" s="109"/>
      <c r="I1776" s="97"/>
      <c r="J1776" s="97"/>
      <c r="K1776" s="83"/>
      <c r="L1776" s="111"/>
      <c r="M1776" s="111"/>
      <c r="N1776" s="111"/>
      <c r="O1776" s="111"/>
      <c r="P1776" s="111"/>
      <c r="Q1776" s="111"/>
      <c r="R1776" s="111"/>
    </row>
    <row r="1777" spans="2:18" s="108" customFormat="1">
      <c r="B1777" s="97"/>
      <c r="C1777" s="110"/>
      <c r="D1777" s="109"/>
      <c r="E1777" s="97"/>
      <c r="F1777" s="97"/>
      <c r="G1777" s="109"/>
      <c r="H1777" s="109"/>
      <c r="I1777" s="97"/>
      <c r="J1777" s="97"/>
      <c r="K1777" s="83"/>
      <c r="L1777" s="111"/>
      <c r="M1777" s="111"/>
      <c r="N1777" s="111"/>
      <c r="O1777" s="111"/>
      <c r="P1777" s="111"/>
      <c r="Q1777" s="111"/>
      <c r="R1777" s="111"/>
    </row>
    <row r="1778" spans="2:18" s="108" customFormat="1">
      <c r="B1778" s="97"/>
      <c r="C1778" s="110"/>
      <c r="D1778" s="109"/>
      <c r="E1778" s="97"/>
      <c r="F1778" s="97"/>
      <c r="G1778" s="109"/>
      <c r="H1778" s="109"/>
      <c r="I1778" s="97"/>
      <c r="J1778" s="97"/>
      <c r="K1778" s="83"/>
      <c r="L1778" s="111"/>
      <c r="M1778" s="111"/>
      <c r="N1778" s="111"/>
      <c r="O1778" s="111"/>
      <c r="P1778" s="111"/>
      <c r="Q1778" s="111"/>
      <c r="R1778" s="111"/>
    </row>
    <row r="1779" spans="2:18" s="108" customFormat="1">
      <c r="B1779" s="97"/>
      <c r="C1779" s="110"/>
      <c r="D1779" s="109"/>
      <c r="E1779" s="97"/>
      <c r="F1779" s="97"/>
      <c r="G1779" s="109"/>
      <c r="H1779" s="109"/>
      <c r="I1779" s="97"/>
      <c r="J1779" s="97"/>
      <c r="K1779" s="83"/>
      <c r="L1779" s="111"/>
      <c r="M1779" s="111"/>
      <c r="N1779" s="111"/>
      <c r="O1779" s="111"/>
      <c r="P1779" s="111"/>
      <c r="Q1779" s="111"/>
      <c r="R1779" s="111"/>
    </row>
    <row r="1780" spans="2:18" s="108" customFormat="1">
      <c r="B1780" s="97"/>
      <c r="C1780" s="110"/>
      <c r="D1780" s="109"/>
      <c r="E1780" s="97"/>
      <c r="F1780" s="97"/>
      <c r="G1780" s="109"/>
      <c r="H1780" s="109"/>
      <c r="I1780" s="97"/>
      <c r="J1780" s="97"/>
      <c r="K1780" s="83"/>
      <c r="L1780" s="111"/>
      <c r="M1780" s="111"/>
      <c r="N1780" s="111"/>
      <c r="O1780" s="111"/>
      <c r="P1780" s="111"/>
      <c r="Q1780" s="111"/>
      <c r="R1780" s="111"/>
    </row>
    <row r="1781" spans="2:18" s="108" customFormat="1">
      <c r="B1781" s="97"/>
      <c r="C1781" s="110"/>
      <c r="D1781" s="109"/>
      <c r="E1781" s="97"/>
      <c r="F1781" s="97"/>
      <c r="G1781" s="109"/>
      <c r="H1781" s="109"/>
      <c r="I1781" s="97"/>
      <c r="J1781" s="97"/>
      <c r="K1781" s="83"/>
      <c r="L1781" s="111"/>
      <c r="M1781" s="111"/>
      <c r="N1781" s="111"/>
      <c r="O1781" s="111"/>
      <c r="P1781" s="111"/>
      <c r="Q1781" s="111"/>
      <c r="R1781" s="111"/>
    </row>
    <row r="1782" spans="2:18" s="108" customFormat="1">
      <c r="B1782" s="97"/>
      <c r="C1782" s="110"/>
      <c r="D1782" s="109"/>
      <c r="E1782" s="97"/>
      <c r="F1782" s="97"/>
      <c r="G1782" s="109"/>
      <c r="H1782" s="109"/>
      <c r="I1782" s="97"/>
      <c r="J1782" s="97"/>
      <c r="K1782" s="83"/>
      <c r="L1782" s="111"/>
      <c r="M1782" s="111"/>
      <c r="N1782" s="111"/>
      <c r="O1782" s="111"/>
      <c r="P1782" s="111"/>
      <c r="Q1782" s="111"/>
      <c r="R1782" s="111"/>
    </row>
    <row r="1783" spans="2:18" s="108" customFormat="1">
      <c r="B1783" s="97"/>
      <c r="C1783" s="110"/>
      <c r="D1783" s="109"/>
      <c r="E1783" s="97"/>
      <c r="F1783" s="97"/>
      <c r="G1783" s="109"/>
      <c r="H1783" s="109"/>
      <c r="I1783" s="97"/>
      <c r="J1783" s="97"/>
      <c r="K1783" s="83"/>
      <c r="L1783" s="111"/>
      <c r="M1783" s="111"/>
      <c r="N1783" s="111"/>
      <c r="O1783" s="111"/>
      <c r="P1783" s="111"/>
      <c r="Q1783" s="111"/>
      <c r="R1783" s="111"/>
    </row>
    <row r="1784" spans="2:18" s="108" customFormat="1">
      <c r="B1784" s="97"/>
      <c r="C1784" s="110"/>
      <c r="D1784" s="109"/>
      <c r="E1784" s="97"/>
      <c r="F1784" s="97"/>
      <c r="G1784" s="109"/>
      <c r="H1784" s="109"/>
      <c r="I1784" s="97"/>
      <c r="J1784" s="97"/>
      <c r="K1784" s="83"/>
      <c r="L1784" s="111"/>
      <c r="M1784" s="111"/>
      <c r="N1784" s="111"/>
      <c r="O1784" s="111"/>
      <c r="P1784" s="111"/>
      <c r="Q1784" s="111"/>
      <c r="R1784" s="111"/>
    </row>
    <row r="1785" spans="2:18" s="108" customFormat="1">
      <c r="B1785" s="97"/>
      <c r="C1785" s="110"/>
      <c r="D1785" s="109"/>
      <c r="E1785" s="97"/>
      <c r="F1785" s="97"/>
      <c r="G1785" s="109"/>
      <c r="H1785" s="109"/>
      <c r="I1785" s="97"/>
      <c r="J1785" s="97"/>
      <c r="K1785" s="83"/>
      <c r="L1785" s="111"/>
      <c r="M1785" s="111"/>
      <c r="N1785" s="111"/>
      <c r="O1785" s="111"/>
      <c r="P1785" s="111"/>
      <c r="Q1785" s="111"/>
      <c r="R1785" s="111"/>
    </row>
    <row r="1786" spans="2:18" s="108" customFormat="1">
      <c r="B1786" s="97"/>
      <c r="C1786" s="110"/>
      <c r="D1786" s="109"/>
      <c r="E1786" s="97"/>
      <c r="F1786" s="97"/>
      <c r="G1786" s="109"/>
      <c r="H1786" s="109"/>
      <c r="I1786" s="97"/>
      <c r="J1786" s="97"/>
      <c r="K1786" s="83"/>
      <c r="L1786" s="111"/>
      <c r="M1786" s="111"/>
      <c r="N1786" s="111"/>
      <c r="O1786" s="111"/>
      <c r="P1786" s="111"/>
      <c r="Q1786" s="111"/>
      <c r="R1786" s="111"/>
    </row>
    <row r="1787" spans="2:18" s="108" customFormat="1">
      <c r="B1787" s="97"/>
      <c r="C1787" s="110"/>
      <c r="D1787" s="109"/>
      <c r="E1787" s="97"/>
      <c r="F1787" s="97"/>
      <c r="G1787" s="109"/>
      <c r="H1787" s="109"/>
      <c r="I1787" s="97"/>
      <c r="J1787" s="97"/>
      <c r="K1787" s="83"/>
      <c r="L1787" s="111"/>
      <c r="M1787" s="111"/>
      <c r="N1787" s="111"/>
      <c r="O1787" s="111"/>
      <c r="P1787" s="111"/>
      <c r="Q1787" s="111"/>
      <c r="R1787" s="111"/>
    </row>
    <row r="1788" spans="2:18" s="108" customFormat="1">
      <c r="B1788" s="97"/>
      <c r="C1788" s="110"/>
      <c r="D1788" s="109"/>
      <c r="E1788" s="97"/>
      <c r="F1788" s="97"/>
      <c r="G1788" s="109"/>
      <c r="H1788" s="109"/>
      <c r="I1788" s="97"/>
      <c r="J1788" s="97"/>
      <c r="K1788" s="83"/>
      <c r="L1788" s="111"/>
      <c r="M1788" s="111"/>
      <c r="N1788" s="111"/>
      <c r="O1788" s="111"/>
      <c r="P1788" s="111"/>
      <c r="Q1788" s="111"/>
      <c r="R1788" s="111"/>
    </row>
    <row r="1789" spans="2:18" s="108" customFormat="1">
      <c r="B1789" s="97"/>
      <c r="C1789" s="110"/>
      <c r="D1789" s="109"/>
      <c r="E1789" s="97"/>
      <c r="F1789" s="97"/>
      <c r="G1789" s="109"/>
      <c r="H1789" s="109"/>
      <c r="I1789" s="97"/>
      <c r="J1789" s="97"/>
      <c r="K1789" s="83"/>
      <c r="L1789" s="111"/>
      <c r="M1789" s="111"/>
      <c r="N1789" s="111"/>
      <c r="O1789" s="111"/>
      <c r="P1789" s="111"/>
      <c r="Q1789" s="111"/>
      <c r="R1789" s="111"/>
    </row>
    <row r="1790" spans="2:18" s="108" customFormat="1">
      <c r="B1790" s="97"/>
      <c r="C1790" s="110"/>
      <c r="D1790" s="109"/>
      <c r="E1790" s="97"/>
      <c r="F1790" s="97"/>
      <c r="G1790" s="109"/>
      <c r="H1790" s="109"/>
      <c r="I1790" s="97"/>
      <c r="J1790" s="97"/>
      <c r="K1790" s="83"/>
      <c r="L1790" s="111"/>
      <c r="M1790" s="111"/>
      <c r="N1790" s="111"/>
      <c r="O1790" s="111"/>
      <c r="P1790" s="111"/>
      <c r="Q1790" s="111"/>
      <c r="R1790" s="111"/>
    </row>
    <row r="1791" spans="2:18" s="108" customFormat="1">
      <c r="B1791" s="97"/>
      <c r="C1791" s="110"/>
      <c r="D1791" s="109"/>
      <c r="E1791" s="97"/>
      <c r="F1791" s="97"/>
      <c r="G1791" s="109"/>
      <c r="H1791" s="109"/>
      <c r="I1791" s="97"/>
      <c r="J1791" s="97"/>
      <c r="K1791" s="83"/>
      <c r="L1791" s="111"/>
      <c r="M1791" s="111"/>
      <c r="N1791" s="111"/>
      <c r="O1791" s="111"/>
      <c r="P1791" s="111"/>
      <c r="Q1791" s="111"/>
      <c r="R1791" s="111"/>
    </row>
    <row r="1792" spans="2:18" s="108" customFormat="1">
      <c r="B1792" s="97"/>
      <c r="C1792" s="110"/>
      <c r="D1792" s="109"/>
      <c r="E1792" s="97"/>
      <c r="F1792" s="97"/>
      <c r="G1792" s="109"/>
      <c r="H1792" s="109"/>
      <c r="I1792" s="97"/>
      <c r="J1792" s="97"/>
      <c r="K1792" s="83"/>
      <c r="L1792" s="111"/>
      <c r="M1792" s="111"/>
      <c r="N1792" s="111"/>
      <c r="O1792" s="111"/>
      <c r="P1792" s="111"/>
      <c r="Q1792" s="111"/>
      <c r="R1792" s="111"/>
    </row>
    <row r="1793" spans="2:18" s="108" customFormat="1">
      <c r="B1793" s="97"/>
      <c r="C1793" s="110"/>
      <c r="D1793" s="109"/>
      <c r="E1793" s="97"/>
      <c r="F1793" s="97"/>
      <c r="G1793" s="109"/>
      <c r="H1793" s="109"/>
      <c r="I1793" s="97"/>
      <c r="J1793" s="97"/>
      <c r="K1793" s="83"/>
      <c r="L1793" s="111"/>
      <c r="M1793" s="111"/>
      <c r="N1793" s="111"/>
      <c r="O1793" s="111"/>
      <c r="P1793" s="111"/>
      <c r="Q1793" s="111"/>
      <c r="R1793" s="111"/>
    </row>
    <row r="1794" spans="2:18" s="108" customFormat="1">
      <c r="B1794" s="97"/>
      <c r="C1794" s="110"/>
      <c r="D1794" s="109"/>
      <c r="E1794" s="97"/>
      <c r="F1794" s="97"/>
      <c r="G1794" s="109"/>
      <c r="H1794" s="109"/>
      <c r="I1794" s="97"/>
      <c r="J1794" s="97"/>
      <c r="K1794" s="83"/>
      <c r="L1794" s="111"/>
      <c r="M1794" s="111"/>
      <c r="N1794" s="111"/>
      <c r="O1794" s="111"/>
      <c r="P1794" s="111"/>
      <c r="Q1794" s="111"/>
      <c r="R1794" s="111"/>
    </row>
    <row r="1795" spans="2:18" s="108" customFormat="1">
      <c r="B1795" s="97"/>
      <c r="C1795" s="110"/>
      <c r="D1795" s="109"/>
      <c r="E1795" s="97"/>
      <c r="F1795" s="97"/>
      <c r="G1795" s="109"/>
      <c r="H1795" s="109"/>
      <c r="I1795" s="97"/>
      <c r="J1795" s="97"/>
      <c r="K1795" s="83"/>
      <c r="L1795" s="111"/>
      <c r="M1795" s="111"/>
      <c r="N1795" s="111"/>
      <c r="O1795" s="111"/>
      <c r="P1795" s="111"/>
      <c r="Q1795" s="111"/>
      <c r="R1795" s="111"/>
    </row>
    <row r="1796" spans="2:18" s="108" customFormat="1">
      <c r="B1796" s="97"/>
      <c r="C1796" s="110"/>
      <c r="D1796" s="109"/>
      <c r="E1796" s="97"/>
      <c r="F1796" s="97"/>
      <c r="G1796" s="109"/>
      <c r="H1796" s="109"/>
      <c r="I1796" s="97"/>
      <c r="J1796" s="97"/>
      <c r="K1796" s="83"/>
      <c r="L1796" s="111"/>
      <c r="M1796" s="111"/>
      <c r="N1796" s="111"/>
      <c r="O1796" s="111"/>
      <c r="P1796" s="111"/>
      <c r="Q1796" s="111"/>
      <c r="R1796" s="111"/>
    </row>
    <row r="1797" spans="2:18" s="108" customFormat="1">
      <c r="B1797" s="97"/>
      <c r="C1797" s="110"/>
      <c r="D1797" s="109"/>
      <c r="E1797" s="97"/>
      <c r="F1797" s="97"/>
      <c r="G1797" s="109"/>
      <c r="H1797" s="109"/>
      <c r="I1797" s="97"/>
      <c r="J1797" s="97"/>
      <c r="K1797" s="83"/>
      <c r="L1797" s="111"/>
      <c r="M1797" s="111"/>
      <c r="N1797" s="111"/>
      <c r="O1797" s="111"/>
      <c r="P1797" s="111"/>
      <c r="Q1797" s="111"/>
      <c r="R1797" s="111"/>
    </row>
    <row r="1798" spans="2:18" s="108" customFormat="1">
      <c r="B1798" s="97"/>
      <c r="C1798" s="110"/>
      <c r="D1798" s="109"/>
      <c r="E1798" s="97"/>
      <c r="F1798" s="97"/>
      <c r="G1798" s="109"/>
      <c r="H1798" s="109"/>
      <c r="I1798" s="97"/>
      <c r="J1798" s="97"/>
      <c r="K1798" s="83"/>
      <c r="L1798" s="111"/>
      <c r="M1798" s="111"/>
      <c r="N1798" s="111"/>
      <c r="O1798" s="111"/>
      <c r="P1798" s="111"/>
      <c r="Q1798" s="111"/>
      <c r="R1798" s="111"/>
    </row>
    <row r="1799" spans="2:18" s="108" customFormat="1">
      <c r="B1799" s="97"/>
      <c r="C1799" s="110"/>
      <c r="D1799" s="109"/>
      <c r="E1799" s="97"/>
      <c r="F1799" s="97"/>
      <c r="G1799" s="109"/>
      <c r="H1799" s="109"/>
      <c r="I1799" s="97"/>
      <c r="J1799" s="97"/>
      <c r="K1799" s="83"/>
      <c r="L1799" s="111"/>
      <c r="M1799" s="111"/>
      <c r="N1799" s="111"/>
      <c r="O1799" s="111"/>
      <c r="P1799" s="111"/>
      <c r="Q1799" s="111"/>
      <c r="R1799" s="111"/>
    </row>
    <row r="1800" spans="2:18" s="108" customFormat="1">
      <c r="B1800" s="97"/>
      <c r="C1800" s="110"/>
      <c r="D1800" s="109"/>
      <c r="E1800" s="97"/>
      <c r="F1800" s="97"/>
      <c r="G1800" s="109"/>
      <c r="H1800" s="109"/>
      <c r="I1800" s="97"/>
      <c r="J1800" s="97"/>
      <c r="K1800" s="83"/>
      <c r="L1800" s="111"/>
      <c r="M1800" s="111"/>
      <c r="N1800" s="111"/>
      <c r="O1800" s="111"/>
      <c r="P1800" s="111"/>
      <c r="Q1800" s="111"/>
      <c r="R1800" s="111"/>
    </row>
    <row r="1801" spans="2:18" s="108" customFormat="1">
      <c r="B1801" s="97"/>
      <c r="C1801" s="110"/>
      <c r="D1801" s="109"/>
      <c r="E1801" s="97"/>
      <c r="F1801" s="97"/>
      <c r="G1801" s="109"/>
      <c r="H1801" s="109"/>
      <c r="I1801" s="97"/>
      <c r="J1801" s="97"/>
      <c r="K1801" s="83"/>
      <c r="L1801" s="111"/>
      <c r="M1801" s="111"/>
      <c r="N1801" s="111"/>
      <c r="O1801" s="111"/>
      <c r="P1801" s="111"/>
      <c r="Q1801" s="111"/>
      <c r="R1801" s="111"/>
    </row>
    <row r="1802" spans="2:18" s="108" customFormat="1">
      <c r="B1802" s="97"/>
      <c r="C1802" s="110"/>
      <c r="D1802" s="109"/>
      <c r="E1802" s="97"/>
      <c r="F1802" s="97"/>
      <c r="G1802" s="109"/>
      <c r="H1802" s="109"/>
      <c r="I1802" s="97"/>
      <c r="J1802" s="97"/>
      <c r="K1802" s="83"/>
      <c r="L1802" s="111"/>
      <c r="M1802" s="111"/>
      <c r="N1802" s="111"/>
      <c r="O1802" s="111"/>
      <c r="P1802" s="111"/>
      <c r="Q1802" s="111"/>
      <c r="R1802" s="111"/>
    </row>
    <row r="1803" spans="2:18" s="108" customFormat="1">
      <c r="B1803" s="97"/>
      <c r="C1803" s="110"/>
      <c r="D1803" s="109"/>
      <c r="E1803" s="97"/>
      <c r="F1803" s="97"/>
      <c r="G1803" s="109"/>
      <c r="H1803" s="109"/>
      <c r="I1803" s="97"/>
      <c r="J1803" s="97"/>
      <c r="K1803" s="83"/>
      <c r="L1803" s="111"/>
      <c r="M1803" s="111"/>
      <c r="N1803" s="111"/>
      <c r="O1803" s="111"/>
      <c r="P1803" s="111"/>
      <c r="Q1803" s="111"/>
      <c r="R1803" s="111"/>
    </row>
    <row r="1804" spans="2:18" s="108" customFormat="1">
      <c r="B1804" s="97"/>
      <c r="C1804" s="110"/>
      <c r="D1804" s="109"/>
      <c r="E1804" s="97"/>
      <c r="F1804" s="97"/>
      <c r="G1804" s="109"/>
      <c r="H1804" s="109"/>
      <c r="I1804" s="97"/>
      <c r="J1804" s="97"/>
      <c r="K1804" s="83"/>
      <c r="L1804" s="111"/>
      <c r="M1804" s="111"/>
      <c r="N1804" s="111"/>
      <c r="O1804" s="111"/>
      <c r="P1804" s="111"/>
      <c r="Q1804" s="111"/>
      <c r="R1804" s="111"/>
    </row>
    <row r="1805" spans="2:18" s="108" customFormat="1">
      <c r="B1805" s="97"/>
      <c r="C1805" s="110"/>
      <c r="D1805" s="109"/>
      <c r="E1805" s="97"/>
      <c r="F1805" s="97"/>
      <c r="G1805" s="109"/>
      <c r="H1805" s="109"/>
      <c r="I1805" s="97"/>
      <c r="J1805" s="97"/>
      <c r="K1805" s="83"/>
      <c r="L1805" s="111"/>
      <c r="M1805" s="111"/>
      <c r="N1805" s="111"/>
      <c r="O1805" s="111"/>
      <c r="P1805" s="111"/>
      <c r="Q1805" s="111"/>
      <c r="R1805" s="111"/>
    </row>
    <row r="1806" spans="2:18" s="108" customFormat="1">
      <c r="B1806" s="97"/>
      <c r="C1806" s="110"/>
      <c r="D1806" s="109"/>
      <c r="E1806" s="97"/>
      <c r="F1806" s="97"/>
      <c r="G1806" s="109"/>
      <c r="H1806" s="109"/>
      <c r="I1806" s="97"/>
      <c r="J1806" s="97"/>
      <c r="K1806" s="83"/>
      <c r="L1806" s="111"/>
      <c r="M1806" s="111"/>
      <c r="N1806" s="111"/>
      <c r="O1806" s="111"/>
      <c r="P1806" s="111"/>
      <c r="Q1806" s="111"/>
      <c r="R1806" s="111"/>
    </row>
    <row r="1807" spans="2:18" s="108" customFormat="1">
      <c r="B1807" s="97"/>
      <c r="C1807" s="110"/>
      <c r="D1807" s="109"/>
      <c r="E1807" s="97"/>
      <c r="F1807" s="97"/>
      <c r="G1807" s="109"/>
      <c r="H1807" s="109"/>
      <c r="I1807" s="97"/>
      <c r="J1807" s="97"/>
      <c r="K1807" s="83"/>
      <c r="L1807" s="111"/>
      <c r="M1807" s="111"/>
      <c r="N1807" s="111"/>
      <c r="O1807" s="111"/>
      <c r="P1807" s="111"/>
      <c r="Q1807" s="111"/>
      <c r="R1807" s="111"/>
    </row>
    <row r="1808" spans="2:18" s="108" customFormat="1">
      <c r="B1808" s="97"/>
      <c r="C1808" s="110"/>
      <c r="D1808" s="109"/>
      <c r="E1808" s="97"/>
      <c r="F1808" s="97"/>
      <c r="G1808" s="109"/>
      <c r="H1808" s="109"/>
      <c r="I1808" s="97"/>
      <c r="J1808" s="97"/>
      <c r="K1808" s="83"/>
      <c r="L1808" s="111"/>
      <c r="M1808" s="111"/>
      <c r="N1808" s="111"/>
      <c r="O1808" s="111"/>
      <c r="P1808" s="111"/>
      <c r="Q1808" s="111"/>
      <c r="R1808" s="111"/>
    </row>
    <row r="1809" spans="2:18" s="108" customFormat="1">
      <c r="B1809" s="97"/>
      <c r="C1809" s="110"/>
      <c r="D1809" s="109"/>
      <c r="E1809" s="97"/>
      <c r="F1809" s="97"/>
      <c r="G1809" s="109"/>
      <c r="H1809" s="109"/>
      <c r="I1809" s="97"/>
      <c r="J1809" s="97"/>
      <c r="K1809" s="83"/>
      <c r="L1809" s="111"/>
      <c r="M1809" s="111"/>
      <c r="N1809" s="111"/>
      <c r="O1809" s="111"/>
      <c r="P1809" s="111"/>
      <c r="Q1809" s="111"/>
      <c r="R1809" s="111"/>
    </row>
    <row r="1810" spans="2:18" s="108" customFormat="1">
      <c r="B1810" s="97"/>
      <c r="C1810" s="110"/>
      <c r="D1810" s="109"/>
      <c r="E1810" s="97"/>
      <c r="F1810" s="97"/>
      <c r="G1810" s="109"/>
      <c r="H1810" s="109"/>
      <c r="I1810" s="97"/>
      <c r="J1810" s="97"/>
      <c r="K1810" s="83"/>
      <c r="L1810" s="111"/>
      <c r="M1810" s="111"/>
      <c r="N1810" s="111"/>
      <c r="O1810" s="111"/>
      <c r="P1810" s="111"/>
      <c r="Q1810" s="111"/>
      <c r="R1810" s="111"/>
    </row>
    <row r="1811" spans="2:18" s="108" customFormat="1">
      <c r="B1811" s="97"/>
      <c r="C1811" s="110"/>
      <c r="D1811" s="109"/>
      <c r="E1811" s="97"/>
      <c r="F1811" s="97"/>
      <c r="G1811" s="109"/>
      <c r="H1811" s="109"/>
      <c r="I1811" s="97"/>
      <c r="J1811" s="97"/>
      <c r="K1811" s="83"/>
      <c r="L1811" s="111"/>
      <c r="M1811" s="111"/>
      <c r="N1811" s="111"/>
      <c r="O1811" s="111"/>
      <c r="P1811" s="111"/>
      <c r="Q1811" s="111"/>
      <c r="R1811" s="111"/>
    </row>
    <row r="1812" spans="2:18" s="108" customFormat="1">
      <c r="B1812" s="97"/>
      <c r="C1812" s="110"/>
      <c r="D1812" s="109"/>
      <c r="E1812" s="97"/>
      <c r="F1812" s="97"/>
      <c r="G1812" s="109"/>
      <c r="H1812" s="109"/>
      <c r="I1812" s="97"/>
      <c r="J1812" s="97"/>
      <c r="K1812" s="83"/>
      <c r="L1812" s="111"/>
      <c r="M1812" s="111"/>
      <c r="N1812" s="111"/>
      <c r="O1812" s="111"/>
      <c r="P1812" s="111"/>
      <c r="Q1812" s="111"/>
      <c r="R1812" s="111"/>
    </row>
    <row r="1813" spans="2:18" s="108" customFormat="1">
      <c r="B1813" s="97"/>
      <c r="C1813" s="110"/>
      <c r="D1813" s="109"/>
      <c r="E1813" s="97"/>
      <c r="F1813" s="97"/>
      <c r="G1813" s="109"/>
      <c r="H1813" s="109"/>
      <c r="I1813" s="97"/>
      <c r="J1813" s="97"/>
      <c r="K1813" s="83"/>
      <c r="L1813" s="111"/>
      <c r="M1813" s="111"/>
      <c r="N1813" s="111"/>
      <c r="O1813" s="111"/>
      <c r="P1813" s="111"/>
      <c r="Q1813" s="111"/>
      <c r="R1813" s="111"/>
    </row>
    <row r="1814" spans="2:18" s="108" customFormat="1">
      <c r="B1814" s="97"/>
      <c r="C1814" s="110"/>
      <c r="D1814" s="109"/>
      <c r="E1814" s="97"/>
      <c r="F1814" s="97"/>
      <c r="G1814" s="109"/>
      <c r="H1814" s="109"/>
      <c r="I1814" s="97"/>
      <c r="J1814" s="97"/>
      <c r="K1814" s="83"/>
      <c r="L1814" s="111"/>
      <c r="M1814" s="111"/>
      <c r="N1814" s="111"/>
      <c r="O1814" s="111"/>
      <c r="P1814" s="111"/>
      <c r="Q1814" s="111"/>
      <c r="R1814" s="111"/>
    </row>
    <row r="1815" spans="2:18" s="108" customFormat="1">
      <c r="B1815" s="97"/>
      <c r="C1815" s="110"/>
      <c r="D1815" s="109"/>
      <c r="E1815" s="97"/>
      <c r="F1815" s="97"/>
      <c r="G1815" s="109"/>
      <c r="H1815" s="109"/>
      <c r="I1815" s="97"/>
      <c r="J1815" s="97"/>
      <c r="K1815" s="83"/>
      <c r="L1815" s="111"/>
      <c r="M1815" s="111"/>
      <c r="N1815" s="111"/>
      <c r="O1815" s="111"/>
      <c r="P1815" s="111"/>
      <c r="Q1815" s="111"/>
      <c r="R1815" s="111"/>
    </row>
    <row r="1816" spans="2:18" s="108" customFormat="1">
      <c r="B1816" s="97"/>
      <c r="C1816" s="110"/>
      <c r="D1816" s="109"/>
      <c r="E1816" s="97"/>
      <c r="F1816" s="97"/>
      <c r="G1816" s="109"/>
      <c r="H1816" s="109"/>
      <c r="I1816" s="97"/>
      <c r="J1816" s="97"/>
      <c r="K1816" s="83"/>
      <c r="L1816" s="111"/>
      <c r="M1816" s="111"/>
      <c r="N1816" s="111"/>
      <c r="O1816" s="111"/>
      <c r="P1816" s="111"/>
      <c r="Q1816" s="111"/>
      <c r="R1816" s="111"/>
    </row>
    <row r="1817" spans="2:18" s="108" customFormat="1">
      <c r="B1817" s="97"/>
      <c r="C1817" s="110"/>
      <c r="D1817" s="109"/>
      <c r="E1817" s="97"/>
      <c r="F1817" s="97"/>
      <c r="G1817" s="109"/>
      <c r="H1817" s="109"/>
      <c r="I1817" s="97"/>
      <c r="J1817" s="97"/>
      <c r="K1817" s="83"/>
      <c r="L1817" s="111"/>
      <c r="M1817" s="111"/>
      <c r="N1817" s="111"/>
      <c r="O1817" s="111"/>
      <c r="P1817" s="111"/>
      <c r="Q1817" s="111"/>
      <c r="R1817" s="111"/>
    </row>
    <row r="1818" spans="2:18" s="108" customFormat="1">
      <c r="B1818" s="97"/>
      <c r="C1818" s="110"/>
      <c r="D1818" s="109"/>
      <c r="E1818" s="97"/>
      <c r="F1818" s="97"/>
      <c r="G1818" s="109"/>
      <c r="H1818" s="109"/>
      <c r="I1818" s="97"/>
      <c r="J1818" s="97"/>
      <c r="K1818" s="83"/>
      <c r="L1818" s="111"/>
      <c r="M1818" s="111"/>
      <c r="N1818" s="111"/>
      <c r="O1818" s="111"/>
      <c r="P1818" s="111"/>
      <c r="Q1818" s="111"/>
      <c r="R1818" s="111"/>
    </row>
    <row r="1819" spans="2:18" s="108" customFormat="1">
      <c r="B1819" s="97"/>
      <c r="C1819" s="110"/>
      <c r="D1819" s="109"/>
      <c r="E1819" s="97"/>
      <c r="F1819" s="97"/>
      <c r="G1819" s="109"/>
      <c r="H1819" s="109"/>
      <c r="I1819" s="97"/>
      <c r="J1819" s="97"/>
      <c r="K1819" s="83"/>
      <c r="L1819" s="111"/>
      <c r="M1819" s="111"/>
      <c r="N1819" s="111"/>
      <c r="O1819" s="111"/>
      <c r="P1819" s="111"/>
      <c r="Q1819" s="111"/>
      <c r="R1819" s="111"/>
    </row>
    <row r="1820" spans="2:18" s="108" customFormat="1">
      <c r="B1820" s="97"/>
      <c r="C1820" s="110"/>
      <c r="D1820" s="109"/>
      <c r="E1820" s="97"/>
      <c r="F1820" s="97"/>
      <c r="G1820" s="109"/>
      <c r="H1820" s="109"/>
      <c r="I1820" s="97"/>
      <c r="J1820" s="97"/>
      <c r="K1820" s="83"/>
      <c r="L1820" s="111"/>
      <c r="M1820" s="111"/>
      <c r="N1820" s="111"/>
      <c r="O1820" s="111"/>
      <c r="P1820" s="111"/>
      <c r="Q1820" s="111"/>
      <c r="R1820" s="111"/>
    </row>
    <row r="1821" spans="2:18" s="108" customFormat="1">
      <c r="B1821" s="97"/>
      <c r="C1821" s="110"/>
      <c r="D1821" s="109"/>
      <c r="E1821" s="97"/>
      <c r="F1821" s="97"/>
      <c r="G1821" s="109"/>
      <c r="H1821" s="109"/>
      <c r="I1821" s="97"/>
      <c r="J1821" s="97"/>
      <c r="K1821" s="83"/>
      <c r="L1821" s="111"/>
      <c r="M1821" s="111"/>
      <c r="N1821" s="111"/>
      <c r="O1821" s="111"/>
      <c r="P1821" s="111"/>
      <c r="Q1821" s="111"/>
      <c r="R1821" s="111"/>
    </row>
    <row r="1822" spans="2:18" s="108" customFormat="1">
      <c r="B1822" s="97"/>
      <c r="C1822" s="110"/>
      <c r="D1822" s="109"/>
      <c r="E1822" s="97"/>
      <c r="F1822" s="97"/>
      <c r="G1822" s="109"/>
      <c r="H1822" s="109"/>
      <c r="I1822" s="97"/>
      <c r="J1822" s="97"/>
      <c r="K1822" s="83"/>
      <c r="L1822" s="111"/>
      <c r="M1822" s="111"/>
      <c r="N1822" s="111"/>
      <c r="O1822" s="111"/>
      <c r="P1822" s="111"/>
      <c r="Q1822" s="111"/>
      <c r="R1822" s="111"/>
    </row>
    <row r="1823" spans="2:18" s="108" customFormat="1">
      <c r="B1823" s="97"/>
      <c r="C1823" s="110"/>
      <c r="D1823" s="109"/>
      <c r="E1823" s="97"/>
      <c r="F1823" s="97"/>
      <c r="G1823" s="109"/>
      <c r="H1823" s="109"/>
      <c r="I1823" s="97"/>
      <c r="J1823" s="97"/>
      <c r="K1823" s="83"/>
      <c r="L1823" s="111"/>
      <c r="M1823" s="111"/>
      <c r="N1823" s="111"/>
      <c r="O1823" s="111"/>
      <c r="P1823" s="111"/>
      <c r="Q1823" s="111"/>
      <c r="R1823" s="111"/>
    </row>
    <row r="1824" spans="2:18" s="108" customFormat="1">
      <c r="B1824" s="97"/>
      <c r="C1824" s="110"/>
      <c r="D1824" s="109"/>
      <c r="E1824" s="97"/>
      <c r="F1824" s="97"/>
      <c r="G1824" s="109"/>
      <c r="H1824" s="109"/>
      <c r="I1824" s="97"/>
      <c r="J1824" s="97"/>
      <c r="K1824" s="83"/>
      <c r="L1824" s="111"/>
      <c r="M1824" s="111"/>
      <c r="N1824" s="111"/>
      <c r="O1824" s="111"/>
      <c r="P1824" s="111"/>
      <c r="Q1824" s="111"/>
      <c r="R1824" s="111"/>
    </row>
    <row r="1825" spans="2:18" s="108" customFormat="1">
      <c r="B1825" s="97"/>
      <c r="C1825" s="110"/>
      <c r="D1825" s="109"/>
      <c r="E1825" s="97"/>
      <c r="F1825" s="97"/>
      <c r="G1825" s="109"/>
      <c r="H1825" s="109"/>
      <c r="I1825" s="97"/>
      <c r="J1825" s="97"/>
      <c r="K1825" s="83"/>
      <c r="L1825" s="111"/>
      <c r="M1825" s="111"/>
      <c r="N1825" s="111"/>
      <c r="O1825" s="111"/>
      <c r="P1825" s="111"/>
      <c r="Q1825" s="111"/>
      <c r="R1825" s="111"/>
    </row>
    <row r="1826" spans="2:18" s="108" customFormat="1">
      <c r="B1826" s="97"/>
      <c r="C1826" s="110"/>
      <c r="D1826" s="109"/>
      <c r="E1826" s="97"/>
      <c r="F1826" s="97"/>
      <c r="G1826" s="109"/>
      <c r="H1826" s="109"/>
      <c r="I1826" s="97"/>
      <c r="J1826" s="97"/>
      <c r="K1826" s="83"/>
      <c r="L1826" s="111"/>
      <c r="M1826" s="111"/>
      <c r="N1826" s="111"/>
      <c r="O1826" s="111"/>
      <c r="P1826" s="111"/>
      <c r="Q1826" s="111"/>
      <c r="R1826" s="111"/>
    </row>
    <row r="1827" spans="2:18" s="108" customFormat="1">
      <c r="B1827" s="97"/>
      <c r="C1827" s="110"/>
      <c r="D1827" s="109"/>
      <c r="E1827" s="97"/>
      <c r="F1827" s="97"/>
      <c r="G1827" s="109"/>
      <c r="H1827" s="109"/>
      <c r="I1827" s="97"/>
      <c r="J1827" s="97"/>
      <c r="K1827" s="83"/>
      <c r="L1827" s="111"/>
      <c r="M1827" s="111"/>
      <c r="N1827" s="111"/>
      <c r="O1827" s="111"/>
      <c r="P1827" s="111"/>
      <c r="Q1827" s="111"/>
      <c r="R1827" s="111"/>
    </row>
    <row r="1828" spans="2:18" s="108" customFormat="1">
      <c r="B1828" s="97"/>
      <c r="C1828" s="110"/>
      <c r="D1828" s="109"/>
      <c r="E1828" s="97"/>
      <c r="F1828" s="97"/>
      <c r="G1828" s="109"/>
      <c r="H1828" s="109"/>
      <c r="I1828" s="97"/>
      <c r="J1828" s="97"/>
      <c r="K1828" s="83"/>
      <c r="L1828" s="111"/>
      <c r="M1828" s="111"/>
      <c r="N1828" s="111"/>
      <c r="O1828" s="111"/>
      <c r="P1828" s="111"/>
      <c r="Q1828" s="111"/>
      <c r="R1828" s="111"/>
    </row>
    <row r="1829" spans="2:18" s="108" customFormat="1">
      <c r="B1829" s="97"/>
      <c r="C1829" s="110"/>
      <c r="D1829" s="109"/>
      <c r="E1829" s="97"/>
      <c r="F1829" s="97"/>
      <c r="G1829" s="109"/>
      <c r="H1829" s="109"/>
      <c r="I1829" s="97"/>
      <c r="J1829" s="97"/>
      <c r="K1829" s="83"/>
      <c r="L1829" s="111"/>
      <c r="M1829" s="111"/>
      <c r="N1829" s="111"/>
      <c r="O1829" s="111"/>
      <c r="P1829" s="111"/>
      <c r="Q1829" s="111"/>
      <c r="R1829" s="111"/>
    </row>
    <row r="1830" spans="2:18" s="108" customFormat="1">
      <c r="B1830" s="97"/>
      <c r="C1830" s="110"/>
      <c r="D1830" s="109"/>
      <c r="E1830" s="97"/>
      <c r="F1830" s="97"/>
      <c r="G1830" s="109"/>
      <c r="H1830" s="109"/>
      <c r="I1830" s="97"/>
      <c r="J1830" s="97"/>
      <c r="K1830" s="83"/>
      <c r="L1830" s="111"/>
      <c r="M1830" s="111"/>
      <c r="N1830" s="111"/>
      <c r="O1830" s="111"/>
      <c r="P1830" s="111"/>
      <c r="Q1830" s="111"/>
      <c r="R1830" s="111"/>
    </row>
    <row r="1831" spans="2:18" s="108" customFormat="1">
      <c r="B1831" s="97"/>
      <c r="C1831" s="110"/>
      <c r="D1831" s="109"/>
      <c r="E1831" s="97"/>
      <c r="F1831" s="97"/>
      <c r="G1831" s="109"/>
      <c r="H1831" s="109"/>
      <c r="I1831" s="97"/>
      <c r="J1831" s="97"/>
      <c r="K1831" s="83"/>
      <c r="L1831" s="111"/>
      <c r="M1831" s="111"/>
      <c r="N1831" s="111"/>
      <c r="O1831" s="111"/>
      <c r="P1831" s="111"/>
      <c r="Q1831" s="111"/>
      <c r="R1831" s="111"/>
    </row>
    <row r="1832" spans="2:18" s="108" customFormat="1">
      <c r="B1832" s="97"/>
      <c r="C1832" s="110"/>
      <c r="D1832" s="109"/>
      <c r="E1832" s="97"/>
      <c r="F1832" s="97"/>
      <c r="G1832" s="109"/>
      <c r="H1832" s="109"/>
      <c r="I1832" s="97"/>
      <c r="J1832" s="97"/>
      <c r="K1832" s="83"/>
      <c r="L1832" s="111"/>
      <c r="M1832" s="111"/>
      <c r="N1832" s="111"/>
      <c r="O1832" s="111"/>
      <c r="P1832" s="111"/>
      <c r="Q1832" s="111"/>
      <c r="R1832" s="111"/>
    </row>
    <row r="1833" spans="2:18" s="108" customFormat="1">
      <c r="B1833" s="97"/>
      <c r="C1833" s="110"/>
      <c r="D1833" s="109"/>
      <c r="E1833" s="97"/>
      <c r="F1833" s="97"/>
      <c r="G1833" s="109"/>
      <c r="H1833" s="109"/>
      <c r="I1833" s="97"/>
      <c r="J1833" s="97"/>
      <c r="K1833" s="83"/>
      <c r="L1833" s="111"/>
      <c r="M1833" s="111"/>
      <c r="N1833" s="111"/>
      <c r="O1833" s="111"/>
      <c r="P1833" s="111"/>
      <c r="Q1833" s="111"/>
      <c r="R1833" s="111"/>
    </row>
    <row r="1834" spans="2:18" s="108" customFormat="1">
      <c r="B1834" s="97"/>
      <c r="C1834" s="110"/>
      <c r="D1834" s="109"/>
      <c r="E1834" s="97"/>
      <c r="F1834" s="97"/>
      <c r="G1834" s="109"/>
      <c r="H1834" s="109"/>
      <c r="I1834" s="97"/>
      <c r="J1834" s="97"/>
      <c r="K1834" s="83"/>
      <c r="L1834" s="111"/>
      <c r="M1834" s="111"/>
      <c r="N1834" s="111"/>
      <c r="O1834" s="111"/>
      <c r="P1834" s="111"/>
      <c r="Q1834" s="111"/>
      <c r="R1834" s="111"/>
    </row>
    <row r="1835" spans="2:18" s="108" customFormat="1">
      <c r="B1835" s="97"/>
      <c r="C1835" s="110"/>
      <c r="D1835" s="109"/>
      <c r="E1835" s="97"/>
      <c r="F1835" s="97"/>
      <c r="G1835" s="109"/>
      <c r="H1835" s="109"/>
      <c r="I1835" s="97"/>
      <c r="J1835" s="97"/>
      <c r="K1835" s="83"/>
      <c r="L1835" s="111"/>
      <c r="M1835" s="111"/>
      <c r="N1835" s="111"/>
      <c r="O1835" s="111"/>
      <c r="P1835" s="111"/>
      <c r="Q1835" s="111"/>
      <c r="R1835" s="111"/>
    </row>
    <row r="1836" spans="2:18" s="108" customFormat="1">
      <c r="B1836" s="97"/>
      <c r="C1836" s="110"/>
      <c r="D1836" s="109"/>
      <c r="E1836" s="97"/>
      <c r="F1836" s="97"/>
      <c r="G1836" s="109"/>
      <c r="H1836" s="109"/>
      <c r="I1836" s="97"/>
      <c r="J1836" s="97"/>
      <c r="K1836" s="83"/>
      <c r="L1836" s="111"/>
      <c r="M1836" s="111"/>
      <c r="N1836" s="111"/>
      <c r="O1836" s="111"/>
      <c r="P1836" s="111"/>
      <c r="Q1836" s="111"/>
      <c r="R1836" s="111"/>
    </row>
    <row r="1837" spans="2:18" s="108" customFormat="1">
      <c r="B1837" s="97"/>
      <c r="C1837" s="110"/>
      <c r="D1837" s="109"/>
      <c r="E1837" s="97"/>
      <c r="F1837" s="97"/>
      <c r="G1837" s="109"/>
      <c r="H1837" s="109"/>
      <c r="I1837" s="97"/>
      <c r="J1837" s="97"/>
      <c r="K1837" s="83"/>
      <c r="L1837" s="111"/>
      <c r="M1837" s="111"/>
      <c r="N1837" s="111"/>
      <c r="O1837" s="111"/>
      <c r="P1837" s="111"/>
      <c r="Q1837" s="111"/>
      <c r="R1837" s="111"/>
    </row>
    <row r="1838" spans="2:18" s="108" customFormat="1">
      <c r="B1838" s="97"/>
      <c r="C1838" s="110"/>
      <c r="D1838" s="109"/>
      <c r="E1838" s="97"/>
      <c r="F1838" s="97"/>
      <c r="G1838" s="109"/>
      <c r="H1838" s="109"/>
      <c r="I1838" s="97"/>
      <c r="J1838" s="97"/>
      <c r="K1838" s="83"/>
      <c r="L1838" s="111"/>
      <c r="M1838" s="111"/>
      <c r="N1838" s="111"/>
      <c r="O1838" s="111"/>
      <c r="P1838" s="111"/>
      <c r="Q1838" s="111"/>
      <c r="R1838" s="111"/>
    </row>
    <row r="1839" spans="2:18" s="108" customFormat="1">
      <c r="B1839" s="97"/>
      <c r="C1839" s="110"/>
      <c r="D1839" s="109"/>
      <c r="E1839" s="97"/>
      <c r="F1839" s="97"/>
      <c r="G1839" s="109"/>
      <c r="H1839" s="109"/>
      <c r="I1839" s="97"/>
      <c r="J1839" s="97"/>
      <c r="K1839" s="83"/>
      <c r="L1839" s="111"/>
      <c r="M1839" s="111"/>
      <c r="N1839" s="111"/>
      <c r="O1839" s="111"/>
      <c r="P1839" s="111"/>
      <c r="Q1839" s="111"/>
      <c r="R1839" s="111"/>
    </row>
    <row r="1840" spans="2:18" s="108" customFormat="1">
      <c r="B1840" s="97"/>
      <c r="C1840" s="110"/>
      <c r="D1840" s="109"/>
      <c r="E1840" s="97"/>
      <c r="F1840" s="97"/>
      <c r="G1840" s="109"/>
      <c r="H1840" s="109"/>
      <c r="I1840" s="97"/>
      <c r="J1840" s="97"/>
      <c r="K1840" s="83"/>
      <c r="L1840" s="111"/>
      <c r="M1840" s="111"/>
      <c r="N1840" s="111"/>
      <c r="O1840" s="111"/>
      <c r="P1840" s="111"/>
      <c r="Q1840" s="111"/>
      <c r="R1840" s="111"/>
    </row>
    <row r="1841" spans="2:18" s="108" customFormat="1">
      <c r="B1841" s="97"/>
      <c r="C1841" s="110"/>
      <c r="D1841" s="109"/>
      <c r="E1841" s="97"/>
      <c r="F1841" s="97"/>
      <c r="G1841" s="109"/>
      <c r="H1841" s="109"/>
      <c r="I1841" s="97"/>
      <c r="J1841" s="97"/>
      <c r="K1841" s="83"/>
      <c r="L1841" s="111"/>
      <c r="M1841" s="111"/>
      <c r="N1841" s="111"/>
      <c r="O1841" s="111"/>
      <c r="P1841" s="111"/>
      <c r="Q1841" s="111"/>
      <c r="R1841" s="111"/>
    </row>
    <row r="1842" spans="2:18" s="108" customFormat="1">
      <c r="B1842" s="97"/>
      <c r="C1842" s="110"/>
      <c r="D1842" s="109"/>
      <c r="E1842" s="97"/>
      <c r="F1842" s="97"/>
      <c r="G1842" s="109"/>
      <c r="H1842" s="109"/>
      <c r="I1842" s="97"/>
      <c r="J1842" s="97"/>
      <c r="K1842" s="83"/>
      <c r="L1842" s="111"/>
      <c r="M1842" s="111"/>
      <c r="N1842" s="111"/>
      <c r="O1842" s="111"/>
      <c r="P1842" s="111"/>
      <c r="Q1842" s="111"/>
      <c r="R1842" s="111"/>
    </row>
    <row r="1843" spans="2:18" s="108" customFormat="1">
      <c r="B1843" s="97"/>
      <c r="C1843" s="110"/>
      <c r="D1843" s="109"/>
      <c r="E1843" s="97"/>
      <c r="F1843" s="97"/>
      <c r="G1843" s="109"/>
      <c r="H1843" s="109"/>
      <c r="I1843" s="97"/>
      <c r="J1843" s="97"/>
      <c r="K1843" s="83"/>
      <c r="L1843" s="111"/>
      <c r="M1843" s="111"/>
      <c r="N1843" s="111"/>
      <c r="O1843" s="111"/>
      <c r="P1843" s="111"/>
      <c r="Q1843" s="111"/>
      <c r="R1843" s="111"/>
    </row>
    <row r="1844" spans="2:18" s="108" customFormat="1">
      <c r="B1844" s="97"/>
      <c r="C1844" s="110"/>
      <c r="D1844" s="109"/>
      <c r="E1844" s="97"/>
      <c r="F1844" s="97"/>
      <c r="G1844" s="109"/>
      <c r="H1844" s="109"/>
      <c r="I1844" s="97"/>
      <c r="J1844" s="97"/>
      <c r="K1844" s="83"/>
      <c r="L1844" s="111"/>
      <c r="M1844" s="111"/>
      <c r="N1844" s="111"/>
      <c r="O1844" s="111"/>
      <c r="P1844" s="111"/>
      <c r="Q1844" s="111"/>
      <c r="R1844" s="111"/>
    </row>
    <row r="1845" spans="2:18" s="108" customFormat="1">
      <c r="B1845" s="97"/>
      <c r="C1845" s="110"/>
      <c r="D1845" s="109"/>
      <c r="E1845" s="97"/>
      <c r="F1845" s="97"/>
      <c r="G1845" s="109"/>
      <c r="H1845" s="109"/>
      <c r="I1845" s="97"/>
      <c r="J1845" s="97"/>
      <c r="K1845" s="83"/>
      <c r="L1845" s="111"/>
      <c r="M1845" s="111"/>
      <c r="N1845" s="111"/>
      <c r="O1845" s="111"/>
      <c r="P1845" s="111"/>
      <c r="Q1845" s="111"/>
      <c r="R1845" s="111"/>
    </row>
    <row r="1846" spans="2:18" s="108" customFormat="1">
      <c r="B1846" s="97"/>
      <c r="C1846" s="110"/>
      <c r="D1846" s="109"/>
      <c r="E1846" s="97"/>
      <c r="F1846" s="97"/>
      <c r="G1846" s="109"/>
      <c r="H1846" s="109"/>
      <c r="I1846" s="97"/>
      <c r="J1846" s="97"/>
      <c r="K1846" s="83"/>
      <c r="L1846" s="111"/>
      <c r="M1846" s="111"/>
      <c r="N1846" s="111"/>
      <c r="O1846" s="111"/>
      <c r="P1846" s="111"/>
      <c r="Q1846" s="111"/>
      <c r="R1846" s="111"/>
    </row>
    <row r="1847" spans="2:18" s="108" customFormat="1">
      <c r="B1847" s="97"/>
      <c r="C1847" s="110"/>
      <c r="D1847" s="109"/>
      <c r="E1847" s="97"/>
      <c r="F1847" s="97"/>
      <c r="G1847" s="109"/>
      <c r="H1847" s="109"/>
      <c r="I1847" s="97"/>
      <c r="J1847" s="97"/>
      <c r="K1847" s="83"/>
      <c r="L1847" s="111"/>
      <c r="M1847" s="111"/>
      <c r="N1847" s="111"/>
      <c r="O1847" s="111"/>
      <c r="P1847" s="111"/>
      <c r="Q1847" s="111"/>
      <c r="R1847" s="111"/>
    </row>
    <row r="1848" spans="2:18" s="108" customFormat="1">
      <c r="B1848" s="97"/>
      <c r="C1848" s="110"/>
      <c r="D1848" s="109"/>
      <c r="E1848" s="97"/>
      <c r="F1848" s="97"/>
      <c r="G1848" s="109"/>
      <c r="H1848" s="109"/>
      <c r="I1848" s="97"/>
      <c r="J1848" s="97"/>
      <c r="K1848" s="83"/>
      <c r="L1848" s="111"/>
      <c r="M1848" s="111"/>
      <c r="N1848" s="111"/>
      <c r="O1848" s="111"/>
      <c r="P1848" s="111"/>
      <c r="Q1848" s="111"/>
      <c r="R1848" s="111"/>
    </row>
    <row r="1849" spans="2:18" s="108" customFormat="1">
      <c r="B1849" s="97"/>
      <c r="C1849" s="110"/>
      <c r="D1849" s="109"/>
      <c r="E1849" s="97"/>
      <c r="F1849" s="97"/>
      <c r="G1849" s="109"/>
      <c r="H1849" s="109"/>
      <c r="I1849" s="97"/>
      <c r="J1849" s="97"/>
      <c r="K1849" s="83"/>
      <c r="L1849" s="111"/>
      <c r="M1849" s="111"/>
      <c r="N1849" s="111"/>
      <c r="O1849" s="111"/>
      <c r="P1849" s="111"/>
      <c r="Q1849" s="111"/>
      <c r="R1849" s="111"/>
    </row>
    <row r="1850" spans="2:18" s="108" customFormat="1">
      <c r="B1850" s="97"/>
      <c r="C1850" s="110"/>
      <c r="D1850" s="109"/>
      <c r="E1850" s="97"/>
      <c r="F1850" s="97"/>
      <c r="G1850" s="109"/>
      <c r="H1850" s="109"/>
      <c r="I1850" s="97"/>
      <c r="J1850" s="97"/>
      <c r="K1850" s="83"/>
      <c r="L1850" s="111"/>
      <c r="M1850" s="111"/>
      <c r="N1850" s="111"/>
      <c r="O1850" s="111"/>
      <c r="P1850" s="111"/>
      <c r="Q1850" s="111"/>
      <c r="R1850" s="111"/>
    </row>
    <row r="1851" spans="2:18" s="108" customFormat="1">
      <c r="B1851" s="97"/>
      <c r="C1851" s="110"/>
      <c r="D1851" s="109"/>
      <c r="E1851" s="97"/>
      <c r="F1851" s="97"/>
      <c r="G1851" s="109"/>
      <c r="H1851" s="109"/>
      <c r="I1851" s="97"/>
      <c r="J1851" s="97"/>
      <c r="K1851" s="83"/>
      <c r="L1851" s="111"/>
      <c r="M1851" s="111"/>
      <c r="N1851" s="111"/>
      <c r="O1851" s="111"/>
      <c r="P1851" s="111"/>
      <c r="Q1851" s="111"/>
      <c r="R1851" s="111"/>
    </row>
    <row r="1852" spans="2:18" s="108" customFormat="1">
      <c r="B1852" s="97"/>
      <c r="C1852" s="110"/>
      <c r="D1852" s="109"/>
      <c r="E1852" s="97"/>
      <c r="F1852" s="97"/>
      <c r="G1852" s="109"/>
      <c r="H1852" s="109"/>
      <c r="I1852" s="97"/>
      <c r="J1852" s="97"/>
      <c r="K1852" s="83"/>
      <c r="L1852" s="111"/>
      <c r="M1852" s="111"/>
      <c r="N1852" s="111"/>
      <c r="O1852" s="111"/>
      <c r="P1852" s="111"/>
      <c r="Q1852" s="111"/>
      <c r="R1852" s="111"/>
    </row>
    <row r="1853" spans="2:18" s="108" customFormat="1">
      <c r="B1853" s="97"/>
      <c r="C1853" s="110"/>
      <c r="D1853" s="109"/>
      <c r="E1853" s="97"/>
      <c r="F1853" s="97"/>
      <c r="G1853" s="109"/>
      <c r="H1853" s="109"/>
      <c r="I1853" s="97"/>
      <c r="J1853" s="97"/>
      <c r="K1853" s="83"/>
      <c r="L1853" s="111"/>
      <c r="M1853" s="111"/>
      <c r="N1853" s="111"/>
      <c r="O1853" s="111"/>
      <c r="P1853" s="111"/>
      <c r="Q1853" s="111"/>
      <c r="R1853" s="111"/>
    </row>
    <row r="1854" spans="2:18" s="108" customFormat="1">
      <c r="B1854" s="97"/>
      <c r="C1854" s="110"/>
      <c r="D1854" s="109"/>
      <c r="E1854" s="97"/>
      <c r="F1854" s="97"/>
      <c r="G1854" s="109"/>
      <c r="H1854" s="109"/>
      <c r="I1854" s="97"/>
      <c r="J1854" s="97"/>
      <c r="K1854" s="83"/>
      <c r="L1854" s="111"/>
      <c r="M1854" s="111"/>
      <c r="N1854" s="111"/>
      <c r="O1854" s="111"/>
      <c r="P1854" s="111"/>
      <c r="Q1854" s="111"/>
      <c r="R1854" s="111"/>
    </row>
    <row r="1855" spans="2:18" s="108" customFormat="1">
      <c r="B1855" s="97"/>
      <c r="C1855" s="110"/>
      <c r="D1855" s="109"/>
      <c r="E1855" s="97"/>
      <c r="F1855" s="97"/>
      <c r="G1855" s="109"/>
      <c r="H1855" s="109"/>
      <c r="I1855" s="97"/>
      <c r="J1855" s="97"/>
      <c r="K1855" s="83"/>
      <c r="L1855" s="111"/>
      <c r="M1855" s="111"/>
      <c r="N1855" s="111"/>
      <c r="O1855" s="111"/>
      <c r="P1855" s="111"/>
      <c r="Q1855" s="111"/>
      <c r="R1855" s="111"/>
    </row>
    <row r="1856" spans="2:18" s="108" customFormat="1">
      <c r="B1856" s="97"/>
      <c r="C1856" s="110"/>
      <c r="D1856" s="109"/>
      <c r="E1856" s="97"/>
      <c r="F1856" s="97"/>
      <c r="G1856" s="109"/>
      <c r="H1856" s="109"/>
      <c r="I1856" s="97"/>
      <c r="J1856" s="97"/>
      <c r="K1856" s="83"/>
      <c r="L1856" s="111"/>
      <c r="M1856" s="111"/>
      <c r="N1856" s="111"/>
      <c r="O1856" s="111"/>
      <c r="P1856" s="111"/>
      <c r="Q1856" s="111"/>
      <c r="R1856" s="111"/>
    </row>
    <row r="1857" spans="2:18" s="108" customFormat="1">
      <c r="B1857" s="97"/>
      <c r="C1857" s="110"/>
      <c r="D1857" s="109"/>
      <c r="E1857" s="97"/>
      <c r="F1857" s="97"/>
      <c r="G1857" s="109"/>
      <c r="H1857" s="109"/>
      <c r="I1857" s="97"/>
      <c r="J1857" s="97"/>
      <c r="K1857" s="83"/>
      <c r="L1857" s="111"/>
      <c r="M1857" s="111"/>
      <c r="N1857" s="111"/>
      <c r="O1857" s="111"/>
      <c r="P1857" s="111"/>
      <c r="Q1857" s="111"/>
      <c r="R1857" s="111"/>
    </row>
    <row r="1858" spans="2:18" s="108" customFormat="1">
      <c r="B1858" s="97"/>
      <c r="C1858" s="110"/>
      <c r="D1858" s="109"/>
      <c r="E1858" s="97"/>
      <c r="F1858" s="97"/>
      <c r="G1858" s="109"/>
      <c r="H1858" s="109"/>
      <c r="I1858" s="97"/>
      <c r="J1858" s="97"/>
      <c r="K1858" s="83"/>
      <c r="L1858" s="111"/>
      <c r="M1858" s="111"/>
      <c r="N1858" s="111"/>
      <c r="O1858" s="111"/>
      <c r="P1858" s="111"/>
      <c r="Q1858" s="111"/>
      <c r="R1858" s="111"/>
    </row>
    <row r="1859" spans="2:18" s="108" customFormat="1">
      <c r="B1859" s="97"/>
      <c r="C1859" s="110"/>
      <c r="D1859" s="109"/>
      <c r="E1859" s="97"/>
      <c r="F1859" s="97"/>
      <c r="G1859" s="109"/>
      <c r="H1859" s="109"/>
      <c r="I1859" s="97"/>
      <c r="J1859" s="97"/>
      <c r="K1859" s="83"/>
      <c r="L1859" s="111"/>
      <c r="M1859" s="111"/>
      <c r="N1859" s="111"/>
      <c r="O1859" s="111"/>
      <c r="P1859" s="111"/>
      <c r="Q1859" s="111"/>
      <c r="R1859" s="111"/>
    </row>
    <row r="1860" spans="2:18" s="108" customFormat="1">
      <c r="B1860" s="97"/>
      <c r="C1860" s="110"/>
      <c r="D1860" s="109"/>
      <c r="E1860" s="97"/>
      <c r="F1860" s="97"/>
      <c r="G1860" s="109"/>
      <c r="H1860" s="109"/>
      <c r="I1860" s="97"/>
      <c r="J1860" s="97"/>
      <c r="K1860" s="83"/>
      <c r="L1860" s="111"/>
      <c r="M1860" s="111"/>
      <c r="N1860" s="111"/>
      <c r="O1860" s="111"/>
      <c r="P1860" s="111"/>
      <c r="Q1860" s="111"/>
      <c r="R1860" s="111"/>
    </row>
    <row r="1861" spans="2:18" s="108" customFormat="1">
      <c r="B1861" s="97"/>
      <c r="C1861" s="110"/>
      <c r="D1861" s="109"/>
      <c r="E1861" s="97"/>
      <c r="F1861" s="97"/>
      <c r="G1861" s="109"/>
      <c r="H1861" s="109"/>
      <c r="I1861" s="97"/>
      <c r="J1861" s="97"/>
      <c r="K1861" s="83"/>
      <c r="L1861" s="111"/>
      <c r="M1861" s="111"/>
      <c r="N1861" s="111"/>
      <c r="O1861" s="111"/>
      <c r="P1861" s="111"/>
      <c r="Q1861" s="111"/>
      <c r="R1861" s="111"/>
    </row>
    <row r="1862" spans="2:18" s="108" customFormat="1">
      <c r="B1862" s="97"/>
      <c r="C1862" s="110"/>
      <c r="D1862" s="109"/>
      <c r="E1862" s="97"/>
      <c r="F1862" s="97"/>
      <c r="G1862" s="109"/>
      <c r="H1862" s="109"/>
      <c r="I1862" s="97"/>
      <c r="J1862" s="97"/>
      <c r="K1862" s="83"/>
      <c r="L1862" s="111"/>
      <c r="M1862" s="111"/>
      <c r="N1862" s="111"/>
      <c r="O1862" s="111"/>
      <c r="P1862" s="111"/>
      <c r="Q1862" s="111"/>
      <c r="R1862" s="111"/>
    </row>
    <row r="1863" spans="2:18" s="108" customFormat="1">
      <c r="B1863" s="97"/>
      <c r="C1863" s="110"/>
      <c r="D1863" s="109"/>
      <c r="E1863" s="97"/>
      <c r="F1863" s="97"/>
      <c r="G1863" s="109"/>
      <c r="H1863" s="109"/>
      <c r="I1863" s="97"/>
      <c r="J1863" s="97"/>
      <c r="K1863" s="83"/>
      <c r="L1863" s="111"/>
      <c r="M1863" s="111"/>
      <c r="N1863" s="111"/>
      <c r="O1863" s="111"/>
      <c r="P1863" s="111"/>
      <c r="Q1863" s="111"/>
      <c r="R1863" s="111"/>
    </row>
    <row r="1864" spans="2:18" s="108" customFormat="1">
      <c r="B1864" s="97"/>
      <c r="C1864" s="110"/>
      <c r="D1864" s="109"/>
      <c r="E1864" s="97"/>
      <c r="F1864" s="97"/>
      <c r="G1864" s="109"/>
      <c r="H1864" s="109"/>
      <c r="I1864" s="97"/>
      <c r="J1864" s="97"/>
      <c r="K1864" s="83"/>
      <c r="L1864" s="111"/>
      <c r="M1864" s="111"/>
      <c r="N1864" s="111"/>
      <c r="O1864" s="111"/>
      <c r="P1864" s="111"/>
      <c r="Q1864" s="111"/>
      <c r="R1864" s="111"/>
    </row>
    <row r="1865" spans="2:18" s="108" customFormat="1">
      <c r="B1865" s="97"/>
      <c r="C1865" s="110"/>
      <c r="D1865" s="109"/>
      <c r="E1865" s="97"/>
      <c r="F1865" s="97"/>
      <c r="G1865" s="109"/>
      <c r="H1865" s="109"/>
      <c r="I1865" s="97"/>
      <c r="J1865" s="97"/>
      <c r="K1865" s="83"/>
      <c r="L1865" s="111"/>
      <c r="M1865" s="111"/>
      <c r="N1865" s="111"/>
      <c r="O1865" s="111"/>
      <c r="P1865" s="111"/>
      <c r="Q1865" s="111"/>
      <c r="R1865" s="111"/>
    </row>
    <row r="1866" spans="2:18" s="108" customFormat="1">
      <c r="B1866" s="97"/>
      <c r="C1866" s="110"/>
      <c r="D1866" s="109"/>
      <c r="E1866" s="97"/>
      <c r="F1866" s="97"/>
      <c r="G1866" s="109"/>
      <c r="H1866" s="109"/>
      <c r="I1866" s="97"/>
      <c r="J1866" s="97"/>
      <c r="K1866" s="83"/>
      <c r="L1866" s="111"/>
      <c r="M1866" s="111"/>
      <c r="N1866" s="111"/>
      <c r="O1866" s="111"/>
      <c r="P1866" s="111"/>
      <c r="Q1866" s="111"/>
      <c r="R1866" s="111"/>
    </row>
    <row r="1867" spans="2:18" s="108" customFormat="1">
      <c r="B1867" s="97"/>
      <c r="C1867" s="110"/>
      <c r="D1867" s="109"/>
      <c r="E1867" s="97"/>
      <c r="F1867" s="97"/>
      <c r="G1867" s="109"/>
      <c r="H1867" s="109"/>
      <c r="I1867" s="97"/>
      <c r="J1867" s="97"/>
      <c r="K1867" s="83"/>
      <c r="L1867" s="111"/>
      <c r="M1867" s="111"/>
      <c r="N1867" s="111"/>
      <c r="O1867" s="111"/>
      <c r="P1867" s="111"/>
      <c r="Q1867" s="111"/>
      <c r="R1867" s="111"/>
    </row>
    <row r="1868" spans="2:18" s="108" customFormat="1">
      <c r="B1868" s="97"/>
      <c r="C1868" s="110"/>
      <c r="D1868" s="109"/>
      <c r="E1868" s="97"/>
      <c r="F1868" s="97"/>
      <c r="G1868" s="109"/>
      <c r="H1868" s="109"/>
      <c r="I1868" s="97"/>
      <c r="J1868" s="97"/>
      <c r="K1868" s="83"/>
      <c r="L1868" s="111"/>
      <c r="M1868" s="111"/>
      <c r="N1868" s="111"/>
      <c r="O1868" s="111"/>
      <c r="P1868" s="111"/>
      <c r="Q1868" s="111"/>
      <c r="R1868" s="111"/>
    </row>
    <row r="1869" spans="2:18" s="108" customFormat="1">
      <c r="B1869" s="97"/>
      <c r="C1869" s="110"/>
      <c r="D1869" s="109"/>
      <c r="E1869" s="97"/>
      <c r="F1869" s="97"/>
      <c r="G1869" s="109"/>
      <c r="H1869" s="109"/>
      <c r="I1869" s="97"/>
      <c r="J1869" s="97"/>
      <c r="K1869" s="83"/>
      <c r="L1869" s="111"/>
      <c r="M1869" s="111"/>
      <c r="N1869" s="111"/>
      <c r="O1869" s="111"/>
      <c r="P1869" s="111"/>
      <c r="Q1869" s="111"/>
      <c r="R1869" s="111"/>
    </row>
    <row r="1870" spans="2:18" s="108" customFormat="1">
      <c r="B1870" s="97"/>
      <c r="C1870" s="110"/>
      <c r="D1870" s="109"/>
      <c r="E1870" s="97"/>
      <c r="F1870" s="97"/>
      <c r="G1870" s="109"/>
      <c r="H1870" s="109"/>
      <c r="I1870" s="97"/>
      <c r="J1870" s="97"/>
      <c r="K1870" s="83"/>
      <c r="L1870" s="111"/>
      <c r="M1870" s="111"/>
      <c r="N1870" s="111"/>
      <c r="O1870" s="111"/>
      <c r="P1870" s="111"/>
      <c r="Q1870" s="111"/>
      <c r="R1870" s="111"/>
    </row>
    <row r="1871" spans="2:18" s="108" customFormat="1">
      <c r="B1871" s="97"/>
      <c r="C1871" s="110"/>
      <c r="D1871" s="109"/>
      <c r="E1871" s="97"/>
      <c r="F1871" s="97"/>
      <c r="G1871" s="109"/>
      <c r="H1871" s="109"/>
      <c r="I1871" s="97"/>
      <c r="J1871" s="97"/>
      <c r="K1871" s="83"/>
      <c r="L1871" s="111"/>
      <c r="M1871" s="111"/>
      <c r="N1871" s="111"/>
      <c r="O1871" s="111"/>
      <c r="P1871" s="111"/>
      <c r="Q1871" s="111"/>
      <c r="R1871" s="111"/>
    </row>
    <row r="1872" spans="2:18" s="108" customFormat="1">
      <c r="B1872" s="97"/>
      <c r="C1872" s="110"/>
      <c r="D1872" s="109"/>
      <c r="E1872" s="97"/>
      <c r="F1872" s="97"/>
      <c r="G1872" s="109"/>
      <c r="H1872" s="109"/>
      <c r="I1872" s="97"/>
      <c r="J1872" s="97"/>
      <c r="K1872" s="83"/>
      <c r="L1872" s="111"/>
      <c r="M1872" s="111"/>
      <c r="N1872" s="111"/>
      <c r="O1872" s="111"/>
      <c r="P1872" s="111"/>
      <c r="Q1872" s="111"/>
      <c r="R1872" s="111"/>
    </row>
    <row r="1873" spans="2:18" s="108" customFormat="1">
      <c r="B1873" s="97"/>
      <c r="C1873" s="110"/>
      <c r="D1873" s="109"/>
      <c r="E1873" s="97"/>
      <c r="F1873" s="97"/>
      <c r="G1873" s="109"/>
      <c r="H1873" s="109"/>
      <c r="I1873" s="97"/>
      <c r="J1873" s="97"/>
      <c r="K1873" s="83"/>
      <c r="L1873" s="111"/>
      <c r="M1873" s="111"/>
      <c r="N1873" s="111"/>
      <c r="O1873" s="111"/>
      <c r="P1873" s="111"/>
      <c r="Q1873" s="111"/>
      <c r="R1873" s="111"/>
    </row>
    <row r="1874" spans="2:18" s="108" customFormat="1">
      <c r="B1874" s="97"/>
      <c r="C1874" s="110"/>
      <c r="D1874" s="109"/>
      <c r="E1874" s="97"/>
      <c r="F1874" s="97"/>
      <c r="G1874" s="109"/>
      <c r="H1874" s="109"/>
      <c r="I1874" s="97"/>
      <c r="J1874" s="97"/>
      <c r="K1874" s="83"/>
      <c r="L1874" s="111"/>
      <c r="M1874" s="111"/>
      <c r="N1874" s="111"/>
      <c r="O1874" s="111"/>
      <c r="P1874" s="111"/>
      <c r="Q1874" s="111"/>
      <c r="R1874" s="111"/>
    </row>
    <row r="1875" spans="2:18" s="108" customFormat="1">
      <c r="B1875" s="97"/>
      <c r="C1875" s="110"/>
      <c r="D1875" s="109"/>
      <c r="E1875" s="97"/>
      <c r="F1875" s="97"/>
      <c r="G1875" s="109"/>
      <c r="H1875" s="109"/>
      <c r="I1875" s="97"/>
      <c r="J1875" s="97"/>
      <c r="K1875" s="83"/>
      <c r="L1875" s="111"/>
      <c r="M1875" s="111"/>
      <c r="N1875" s="111"/>
      <c r="O1875" s="111"/>
      <c r="P1875" s="111"/>
      <c r="Q1875" s="111"/>
      <c r="R1875" s="111"/>
    </row>
    <row r="1876" spans="2:18" s="108" customFormat="1">
      <c r="B1876" s="97"/>
      <c r="C1876" s="110"/>
      <c r="D1876" s="109"/>
      <c r="E1876" s="97"/>
      <c r="F1876" s="97"/>
      <c r="G1876" s="109"/>
      <c r="H1876" s="109"/>
      <c r="I1876" s="97"/>
      <c r="J1876" s="97"/>
      <c r="K1876" s="83"/>
      <c r="L1876" s="111"/>
      <c r="M1876" s="111"/>
      <c r="N1876" s="111"/>
      <c r="O1876" s="111"/>
      <c r="P1876" s="111"/>
      <c r="Q1876" s="111"/>
      <c r="R1876" s="111"/>
    </row>
    <row r="1877" spans="2:18" s="108" customFormat="1">
      <c r="B1877" s="97"/>
      <c r="C1877" s="110"/>
      <c r="D1877" s="109"/>
      <c r="E1877" s="97"/>
      <c r="F1877" s="97"/>
      <c r="G1877" s="109"/>
      <c r="H1877" s="109"/>
      <c r="I1877" s="97"/>
      <c r="J1877" s="97"/>
      <c r="K1877" s="83"/>
      <c r="L1877" s="111"/>
      <c r="M1877" s="111"/>
      <c r="N1877" s="111"/>
      <c r="O1877" s="111"/>
      <c r="P1877" s="111"/>
      <c r="Q1877" s="111"/>
      <c r="R1877" s="111"/>
    </row>
    <row r="1878" spans="2:18" s="108" customFormat="1">
      <c r="B1878" s="97"/>
      <c r="C1878" s="110"/>
      <c r="D1878" s="109"/>
      <c r="E1878" s="97"/>
      <c r="F1878" s="97"/>
      <c r="G1878" s="109"/>
      <c r="H1878" s="109"/>
      <c r="I1878" s="97"/>
      <c r="J1878" s="97"/>
      <c r="K1878" s="83"/>
      <c r="L1878" s="111"/>
      <c r="M1878" s="111"/>
      <c r="N1878" s="111"/>
      <c r="O1878" s="111"/>
      <c r="P1878" s="111"/>
      <c r="Q1878" s="111"/>
      <c r="R1878" s="111"/>
    </row>
    <row r="1879" spans="2:18" s="108" customFormat="1">
      <c r="B1879" s="97"/>
      <c r="C1879" s="110"/>
      <c r="D1879" s="109"/>
      <c r="E1879" s="97"/>
      <c r="F1879" s="97"/>
      <c r="G1879" s="109"/>
      <c r="H1879" s="109"/>
      <c r="I1879" s="97"/>
      <c r="J1879" s="97"/>
      <c r="K1879" s="83"/>
      <c r="L1879" s="111"/>
      <c r="M1879" s="111"/>
      <c r="N1879" s="111"/>
      <c r="O1879" s="111"/>
      <c r="P1879" s="111"/>
      <c r="Q1879" s="111"/>
      <c r="R1879" s="111"/>
    </row>
    <row r="1880" spans="2:18" s="108" customFormat="1">
      <c r="B1880" s="97"/>
      <c r="C1880" s="110"/>
      <c r="D1880" s="109"/>
      <c r="E1880" s="97"/>
      <c r="F1880" s="97"/>
      <c r="G1880" s="109"/>
      <c r="H1880" s="109"/>
      <c r="I1880" s="97"/>
      <c r="J1880" s="97"/>
      <c r="K1880" s="83"/>
      <c r="L1880" s="111"/>
      <c r="M1880" s="111"/>
      <c r="N1880" s="111"/>
      <c r="O1880" s="111"/>
      <c r="P1880" s="111"/>
      <c r="Q1880" s="111"/>
      <c r="R1880" s="111"/>
    </row>
    <row r="1881" spans="2:18" s="108" customFormat="1">
      <c r="B1881" s="97"/>
      <c r="C1881" s="110"/>
      <c r="D1881" s="109"/>
      <c r="E1881" s="97"/>
      <c r="F1881" s="97"/>
      <c r="G1881" s="109"/>
      <c r="H1881" s="109"/>
      <c r="I1881" s="97"/>
      <c r="J1881" s="97"/>
      <c r="K1881" s="83"/>
      <c r="L1881" s="111"/>
      <c r="M1881" s="111"/>
      <c r="N1881" s="111"/>
      <c r="O1881" s="111"/>
      <c r="P1881" s="111"/>
      <c r="Q1881" s="111"/>
      <c r="R1881" s="111"/>
    </row>
    <row r="1882" spans="2:18" s="108" customFormat="1">
      <c r="B1882" s="97"/>
      <c r="C1882" s="110"/>
      <c r="D1882" s="109"/>
      <c r="E1882" s="97"/>
      <c r="F1882" s="97"/>
      <c r="G1882" s="109"/>
      <c r="H1882" s="109"/>
      <c r="I1882" s="97"/>
      <c r="J1882" s="97"/>
      <c r="K1882" s="83"/>
      <c r="L1882" s="111"/>
      <c r="M1882" s="111"/>
      <c r="N1882" s="111"/>
      <c r="O1882" s="111"/>
      <c r="P1882" s="111"/>
      <c r="Q1882" s="111"/>
      <c r="R1882" s="111"/>
    </row>
    <row r="1883" spans="2:18" s="108" customFormat="1">
      <c r="B1883" s="97"/>
      <c r="C1883" s="110"/>
      <c r="D1883" s="109"/>
      <c r="E1883" s="97"/>
      <c r="F1883" s="97"/>
      <c r="G1883" s="109"/>
      <c r="H1883" s="109"/>
      <c r="I1883" s="97"/>
      <c r="J1883" s="97"/>
      <c r="K1883" s="83"/>
      <c r="L1883" s="111"/>
      <c r="M1883" s="111"/>
      <c r="N1883" s="111"/>
      <c r="O1883" s="111"/>
      <c r="P1883" s="111"/>
      <c r="Q1883" s="111"/>
      <c r="R1883" s="111"/>
    </row>
    <row r="1884" spans="2:18" s="108" customFormat="1">
      <c r="B1884" s="97"/>
      <c r="C1884" s="110"/>
      <c r="D1884" s="109"/>
      <c r="E1884" s="97"/>
      <c r="F1884" s="97"/>
      <c r="G1884" s="109"/>
      <c r="H1884" s="109"/>
      <c r="I1884" s="97"/>
      <c r="J1884" s="97"/>
      <c r="K1884" s="83"/>
      <c r="L1884" s="111"/>
      <c r="M1884" s="111"/>
      <c r="N1884" s="111"/>
      <c r="O1884" s="111"/>
      <c r="P1884" s="111"/>
      <c r="Q1884" s="111"/>
      <c r="R1884" s="111"/>
    </row>
    <row r="1885" spans="2:18" s="108" customFormat="1">
      <c r="B1885" s="97"/>
      <c r="C1885" s="110"/>
      <c r="D1885" s="109"/>
      <c r="E1885" s="97"/>
      <c r="F1885" s="97"/>
      <c r="G1885" s="109"/>
      <c r="H1885" s="109"/>
      <c r="I1885" s="97"/>
      <c r="J1885" s="97"/>
      <c r="K1885" s="83"/>
      <c r="L1885" s="111"/>
      <c r="M1885" s="111"/>
      <c r="N1885" s="111"/>
      <c r="O1885" s="111"/>
      <c r="P1885" s="111"/>
      <c r="Q1885" s="111"/>
      <c r="R1885" s="111"/>
    </row>
    <row r="1886" spans="2:18" s="108" customFormat="1">
      <c r="B1886" s="97"/>
      <c r="C1886" s="110"/>
      <c r="D1886" s="109"/>
      <c r="E1886" s="97"/>
      <c r="F1886" s="97"/>
      <c r="G1886" s="109"/>
      <c r="H1886" s="109"/>
      <c r="I1886" s="97"/>
      <c r="J1886" s="97"/>
      <c r="K1886" s="83"/>
      <c r="L1886" s="111"/>
      <c r="M1886" s="111"/>
      <c r="N1886" s="111"/>
      <c r="O1886" s="111"/>
      <c r="P1886" s="111"/>
      <c r="Q1886" s="111"/>
      <c r="R1886" s="111"/>
    </row>
    <row r="1887" spans="2:18" s="108" customFormat="1">
      <c r="B1887" s="97"/>
      <c r="C1887" s="110"/>
      <c r="D1887" s="109"/>
      <c r="E1887" s="97"/>
      <c r="F1887" s="97"/>
      <c r="G1887" s="109"/>
      <c r="H1887" s="109"/>
      <c r="I1887" s="97"/>
      <c r="J1887" s="97"/>
      <c r="K1887" s="83"/>
      <c r="L1887" s="111"/>
      <c r="M1887" s="111"/>
      <c r="N1887" s="111"/>
      <c r="O1887" s="111"/>
      <c r="P1887" s="111"/>
      <c r="Q1887" s="111"/>
      <c r="R1887" s="111"/>
    </row>
    <row r="1888" spans="2:18" s="108" customFormat="1">
      <c r="B1888" s="97"/>
      <c r="C1888" s="110"/>
      <c r="D1888" s="109"/>
      <c r="E1888" s="97"/>
      <c r="F1888" s="97"/>
      <c r="G1888" s="109"/>
      <c r="H1888" s="109"/>
      <c r="I1888" s="97"/>
      <c r="J1888" s="97"/>
      <c r="K1888" s="83"/>
      <c r="L1888" s="111"/>
      <c r="M1888" s="111"/>
      <c r="N1888" s="111"/>
      <c r="O1888" s="111"/>
      <c r="P1888" s="111"/>
      <c r="Q1888" s="111"/>
      <c r="R1888" s="111"/>
    </row>
    <row r="1889" spans="2:18" s="108" customFormat="1">
      <c r="B1889" s="97"/>
      <c r="C1889" s="110"/>
      <c r="D1889" s="109"/>
      <c r="E1889" s="97"/>
      <c r="F1889" s="97"/>
      <c r="G1889" s="109"/>
      <c r="H1889" s="109"/>
      <c r="I1889" s="97"/>
      <c r="J1889" s="97"/>
      <c r="K1889" s="83"/>
      <c r="L1889" s="111"/>
      <c r="M1889" s="111"/>
      <c r="N1889" s="111"/>
      <c r="O1889" s="111"/>
      <c r="P1889" s="111"/>
      <c r="Q1889" s="111"/>
      <c r="R1889" s="111"/>
    </row>
    <row r="1890" spans="2:18" s="108" customFormat="1">
      <c r="B1890" s="97"/>
      <c r="C1890" s="110"/>
      <c r="D1890" s="109"/>
      <c r="E1890" s="97"/>
      <c r="F1890" s="97"/>
      <c r="G1890" s="109"/>
      <c r="H1890" s="109"/>
      <c r="I1890" s="97"/>
      <c r="J1890" s="97"/>
      <c r="K1890" s="83"/>
      <c r="L1890" s="111"/>
      <c r="M1890" s="111"/>
      <c r="N1890" s="111"/>
      <c r="O1890" s="111"/>
      <c r="P1890" s="111"/>
      <c r="Q1890" s="111"/>
      <c r="R1890" s="111"/>
    </row>
    <row r="1891" spans="2:18" s="108" customFormat="1">
      <c r="B1891" s="97"/>
      <c r="C1891" s="110"/>
      <c r="D1891" s="109"/>
      <c r="E1891" s="97"/>
      <c r="F1891" s="97"/>
      <c r="G1891" s="109"/>
      <c r="H1891" s="109"/>
      <c r="I1891" s="97"/>
      <c r="J1891" s="97"/>
      <c r="K1891" s="83"/>
      <c r="L1891" s="111"/>
      <c r="M1891" s="111"/>
      <c r="N1891" s="111"/>
      <c r="O1891" s="111"/>
      <c r="P1891" s="111"/>
      <c r="Q1891" s="111"/>
      <c r="R1891" s="111"/>
    </row>
    <row r="1892" spans="2:18" s="108" customFormat="1">
      <c r="B1892" s="97"/>
      <c r="C1892" s="110"/>
      <c r="D1892" s="109"/>
      <c r="E1892" s="97"/>
      <c r="F1892" s="97"/>
      <c r="G1892" s="109"/>
      <c r="H1892" s="109"/>
      <c r="I1892" s="97"/>
      <c r="J1892" s="97"/>
      <c r="K1892" s="83"/>
      <c r="L1892" s="111"/>
      <c r="M1892" s="111"/>
      <c r="N1892" s="111"/>
      <c r="O1892" s="111"/>
      <c r="P1892" s="111"/>
      <c r="Q1892" s="111"/>
      <c r="R1892" s="111"/>
    </row>
    <row r="1893" spans="2:18" s="108" customFormat="1">
      <c r="B1893" s="97"/>
      <c r="C1893" s="110"/>
      <c r="D1893" s="109"/>
      <c r="E1893" s="97"/>
      <c r="F1893" s="97"/>
      <c r="G1893" s="109"/>
      <c r="H1893" s="109"/>
      <c r="I1893" s="97"/>
      <c r="J1893" s="97"/>
      <c r="K1893" s="83"/>
      <c r="L1893" s="111"/>
      <c r="M1893" s="111"/>
      <c r="N1893" s="111"/>
      <c r="O1893" s="111"/>
      <c r="P1893" s="111"/>
      <c r="Q1893" s="111"/>
      <c r="R1893" s="111"/>
    </row>
    <row r="1894" spans="2:18" s="108" customFormat="1">
      <c r="B1894" s="97"/>
      <c r="C1894" s="110"/>
      <c r="D1894" s="109"/>
      <c r="E1894" s="97"/>
      <c r="F1894" s="97"/>
      <c r="G1894" s="109"/>
      <c r="H1894" s="109"/>
      <c r="I1894" s="97"/>
      <c r="J1894" s="97"/>
      <c r="K1894" s="83"/>
      <c r="L1894" s="111"/>
      <c r="M1894" s="111"/>
      <c r="N1894" s="111"/>
      <c r="O1894" s="111"/>
      <c r="P1894" s="111"/>
      <c r="Q1894" s="111"/>
      <c r="R1894" s="111"/>
    </row>
    <row r="1895" spans="2:18" s="108" customFormat="1">
      <c r="B1895" s="97"/>
      <c r="C1895" s="110"/>
      <c r="D1895" s="109"/>
      <c r="E1895" s="97"/>
      <c r="F1895" s="97"/>
      <c r="G1895" s="109"/>
      <c r="H1895" s="109"/>
      <c r="I1895" s="97"/>
      <c r="J1895" s="97"/>
      <c r="K1895" s="83"/>
      <c r="L1895" s="111"/>
      <c r="M1895" s="111"/>
      <c r="N1895" s="111"/>
      <c r="O1895" s="111"/>
      <c r="P1895" s="111"/>
      <c r="Q1895" s="111"/>
      <c r="R1895" s="111"/>
    </row>
    <row r="1896" spans="2:18" s="108" customFormat="1">
      <c r="B1896" s="97"/>
      <c r="C1896" s="110"/>
      <c r="D1896" s="109"/>
      <c r="E1896" s="97"/>
      <c r="F1896" s="97"/>
      <c r="G1896" s="109"/>
      <c r="H1896" s="109"/>
      <c r="I1896" s="97"/>
      <c r="J1896" s="97"/>
      <c r="K1896" s="83"/>
      <c r="L1896" s="111"/>
      <c r="M1896" s="111"/>
      <c r="N1896" s="111"/>
      <c r="O1896" s="111"/>
      <c r="P1896" s="111"/>
      <c r="Q1896" s="111"/>
      <c r="R1896" s="111"/>
    </row>
    <row r="1897" spans="2:18" s="108" customFormat="1">
      <c r="B1897" s="97"/>
      <c r="C1897" s="110"/>
      <c r="D1897" s="109"/>
      <c r="E1897" s="97"/>
      <c r="F1897" s="97"/>
      <c r="G1897" s="109"/>
      <c r="H1897" s="109"/>
      <c r="I1897" s="97"/>
      <c r="J1897" s="97"/>
      <c r="K1897" s="83"/>
      <c r="L1897" s="111"/>
      <c r="M1897" s="111"/>
      <c r="N1897" s="111"/>
      <c r="O1897" s="111"/>
      <c r="P1897" s="111"/>
      <c r="Q1897" s="111"/>
      <c r="R1897" s="111"/>
    </row>
    <row r="1898" spans="2:18" s="108" customFormat="1">
      <c r="B1898" s="97"/>
      <c r="C1898" s="110"/>
      <c r="D1898" s="109"/>
      <c r="E1898" s="97"/>
      <c r="F1898" s="97"/>
      <c r="G1898" s="109"/>
      <c r="H1898" s="109"/>
      <c r="I1898" s="97"/>
      <c r="J1898" s="97"/>
      <c r="K1898" s="83"/>
      <c r="L1898" s="111"/>
      <c r="M1898" s="111"/>
      <c r="N1898" s="111"/>
      <c r="O1898" s="111"/>
      <c r="P1898" s="111"/>
      <c r="Q1898" s="111"/>
      <c r="R1898" s="111"/>
    </row>
    <row r="1899" spans="2:18" s="108" customFormat="1">
      <c r="B1899" s="97"/>
      <c r="C1899" s="110"/>
      <c r="D1899" s="109"/>
      <c r="E1899" s="97"/>
      <c r="F1899" s="97"/>
      <c r="G1899" s="109"/>
      <c r="H1899" s="109"/>
      <c r="I1899" s="97"/>
      <c r="J1899" s="97"/>
      <c r="K1899" s="83"/>
      <c r="L1899" s="111"/>
      <c r="M1899" s="111"/>
      <c r="N1899" s="111"/>
      <c r="O1899" s="111"/>
      <c r="P1899" s="111"/>
      <c r="Q1899" s="111"/>
      <c r="R1899" s="111"/>
    </row>
    <row r="1900" spans="2:18" s="108" customFormat="1">
      <c r="B1900" s="97"/>
      <c r="C1900" s="110"/>
      <c r="D1900" s="109"/>
      <c r="E1900" s="97"/>
      <c r="F1900" s="97"/>
      <c r="G1900" s="109"/>
      <c r="H1900" s="109"/>
      <c r="I1900" s="97"/>
      <c r="J1900" s="97"/>
      <c r="K1900" s="83"/>
      <c r="L1900" s="111"/>
      <c r="M1900" s="111"/>
      <c r="N1900" s="111"/>
      <c r="O1900" s="111"/>
      <c r="P1900" s="111"/>
      <c r="Q1900" s="111"/>
      <c r="R1900" s="111"/>
    </row>
    <row r="1901" spans="2:18" s="108" customFormat="1">
      <c r="B1901" s="97"/>
      <c r="C1901" s="110"/>
      <c r="D1901" s="109"/>
      <c r="E1901" s="97"/>
      <c r="F1901" s="97"/>
      <c r="G1901" s="109"/>
      <c r="H1901" s="109"/>
      <c r="I1901" s="97"/>
      <c r="J1901" s="97"/>
      <c r="K1901" s="83"/>
      <c r="L1901" s="111"/>
      <c r="M1901" s="111"/>
      <c r="N1901" s="111"/>
      <c r="O1901" s="111"/>
      <c r="P1901" s="111"/>
      <c r="Q1901" s="111"/>
      <c r="R1901" s="111"/>
    </row>
    <row r="1902" spans="2:18" s="108" customFormat="1">
      <c r="B1902" s="97"/>
      <c r="C1902" s="110"/>
      <c r="D1902" s="109"/>
      <c r="E1902" s="97"/>
      <c r="F1902" s="97"/>
      <c r="G1902" s="109"/>
      <c r="H1902" s="109"/>
      <c r="I1902" s="97"/>
      <c r="J1902" s="97"/>
      <c r="K1902" s="83"/>
      <c r="L1902" s="111"/>
      <c r="M1902" s="111"/>
      <c r="N1902" s="111"/>
      <c r="O1902" s="111"/>
      <c r="P1902" s="111"/>
      <c r="Q1902" s="111"/>
      <c r="R1902" s="111"/>
    </row>
    <row r="1903" spans="2:18" s="108" customFormat="1">
      <c r="B1903" s="97"/>
      <c r="C1903" s="110"/>
      <c r="D1903" s="109"/>
      <c r="E1903" s="97"/>
      <c r="F1903" s="97"/>
      <c r="G1903" s="109"/>
      <c r="H1903" s="109"/>
      <c r="I1903" s="97"/>
      <c r="J1903" s="97"/>
      <c r="K1903" s="83"/>
      <c r="L1903" s="111"/>
      <c r="M1903" s="111"/>
      <c r="N1903" s="111"/>
      <c r="O1903" s="111"/>
      <c r="P1903" s="111"/>
      <c r="Q1903" s="111"/>
      <c r="R1903" s="111"/>
    </row>
    <row r="1904" spans="2:18" s="108" customFormat="1">
      <c r="B1904" s="97"/>
      <c r="C1904" s="110"/>
      <c r="D1904" s="109"/>
      <c r="E1904" s="97"/>
      <c r="F1904" s="97"/>
      <c r="G1904" s="109"/>
      <c r="H1904" s="109"/>
      <c r="I1904" s="97"/>
      <c r="J1904" s="97"/>
      <c r="K1904" s="83"/>
      <c r="L1904" s="111"/>
      <c r="M1904" s="111"/>
      <c r="N1904" s="111"/>
      <c r="O1904" s="111"/>
      <c r="P1904" s="111"/>
      <c r="Q1904" s="111"/>
      <c r="R1904" s="111"/>
    </row>
    <row r="1905" spans="2:18" s="108" customFormat="1">
      <c r="B1905" s="97"/>
      <c r="C1905" s="110"/>
      <c r="D1905" s="109"/>
      <c r="E1905" s="97"/>
      <c r="F1905" s="97"/>
      <c r="G1905" s="109"/>
      <c r="H1905" s="109"/>
      <c r="I1905" s="97"/>
      <c r="J1905" s="97"/>
      <c r="K1905" s="83"/>
      <c r="L1905" s="111"/>
      <c r="M1905" s="111"/>
      <c r="N1905" s="111"/>
      <c r="O1905" s="111"/>
      <c r="P1905" s="111"/>
      <c r="Q1905" s="111"/>
      <c r="R1905" s="111"/>
    </row>
    <row r="1906" spans="2:18" s="108" customFormat="1">
      <c r="B1906" s="97"/>
      <c r="C1906" s="110"/>
      <c r="D1906" s="109"/>
      <c r="E1906" s="97"/>
      <c r="F1906" s="97"/>
      <c r="G1906" s="109"/>
      <c r="H1906" s="109"/>
      <c r="I1906" s="97"/>
      <c r="J1906" s="97"/>
      <c r="K1906" s="83"/>
      <c r="L1906" s="111"/>
      <c r="M1906" s="111"/>
      <c r="N1906" s="111"/>
      <c r="O1906" s="111"/>
      <c r="P1906" s="111"/>
      <c r="Q1906" s="111"/>
      <c r="R1906" s="111"/>
    </row>
    <row r="1907" spans="2:18" s="108" customFormat="1">
      <c r="B1907" s="97"/>
      <c r="C1907" s="110"/>
      <c r="D1907" s="109"/>
      <c r="E1907" s="97"/>
      <c r="F1907" s="97"/>
      <c r="G1907" s="109"/>
      <c r="H1907" s="109"/>
      <c r="I1907" s="97"/>
      <c r="J1907" s="97"/>
      <c r="K1907" s="83"/>
      <c r="L1907" s="111"/>
      <c r="M1907" s="111"/>
      <c r="N1907" s="111"/>
      <c r="O1907" s="111"/>
      <c r="P1907" s="111"/>
      <c r="Q1907" s="111"/>
      <c r="R1907" s="111"/>
    </row>
    <row r="1908" spans="2:18" s="108" customFormat="1">
      <c r="B1908" s="97"/>
      <c r="C1908" s="110"/>
      <c r="D1908" s="109"/>
      <c r="E1908" s="97"/>
      <c r="F1908" s="97"/>
      <c r="G1908" s="109"/>
      <c r="H1908" s="109"/>
      <c r="I1908" s="97"/>
      <c r="J1908" s="97"/>
      <c r="K1908" s="83"/>
      <c r="L1908" s="111"/>
      <c r="M1908" s="111"/>
      <c r="N1908" s="111"/>
      <c r="O1908" s="111"/>
      <c r="P1908" s="111"/>
      <c r="Q1908" s="111"/>
      <c r="R1908" s="111"/>
    </row>
    <row r="1909" spans="2:18" s="108" customFormat="1">
      <c r="B1909" s="97"/>
      <c r="C1909" s="110"/>
      <c r="D1909" s="109"/>
      <c r="E1909" s="97"/>
      <c r="F1909" s="97"/>
      <c r="G1909" s="109"/>
      <c r="H1909" s="109"/>
      <c r="I1909" s="97"/>
      <c r="J1909" s="97"/>
      <c r="K1909" s="83"/>
      <c r="L1909" s="111"/>
      <c r="M1909" s="111"/>
      <c r="N1909" s="111"/>
      <c r="O1909" s="111"/>
      <c r="P1909" s="111"/>
      <c r="Q1909" s="111"/>
      <c r="R1909" s="111"/>
    </row>
    <row r="1910" spans="2:18" s="108" customFormat="1">
      <c r="B1910" s="97"/>
      <c r="C1910" s="110"/>
      <c r="D1910" s="109"/>
      <c r="E1910" s="97"/>
      <c r="F1910" s="97"/>
      <c r="G1910" s="109"/>
      <c r="H1910" s="109"/>
      <c r="I1910" s="97"/>
      <c r="J1910" s="97"/>
      <c r="K1910" s="83"/>
      <c r="L1910" s="111"/>
      <c r="M1910" s="111"/>
      <c r="N1910" s="111"/>
      <c r="O1910" s="111"/>
      <c r="P1910" s="111"/>
      <c r="Q1910" s="111"/>
      <c r="R1910" s="111"/>
    </row>
    <row r="1911" spans="2:18" s="108" customFormat="1">
      <c r="B1911" s="97"/>
      <c r="C1911" s="110"/>
      <c r="D1911" s="109"/>
      <c r="E1911" s="97"/>
      <c r="F1911" s="97"/>
      <c r="G1911" s="109"/>
      <c r="H1911" s="109"/>
      <c r="I1911" s="97"/>
      <c r="J1911" s="97"/>
      <c r="K1911" s="83"/>
      <c r="L1911" s="111"/>
      <c r="M1911" s="111"/>
      <c r="N1911" s="111"/>
      <c r="O1911" s="111"/>
      <c r="P1911" s="111"/>
      <c r="Q1911" s="111"/>
      <c r="R1911" s="111"/>
    </row>
    <row r="1912" spans="2:18" s="108" customFormat="1">
      <c r="B1912" s="97"/>
      <c r="C1912" s="110"/>
      <c r="D1912" s="109"/>
      <c r="E1912" s="97"/>
      <c r="F1912" s="97"/>
      <c r="G1912" s="109"/>
      <c r="H1912" s="109"/>
      <c r="I1912" s="97"/>
      <c r="J1912" s="97"/>
      <c r="K1912" s="83"/>
      <c r="L1912" s="111"/>
      <c r="M1912" s="111"/>
      <c r="N1912" s="111"/>
      <c r="O1912" s="111"/>
      <c r="P1912" s="111"/>
      <c r="Q1912" s="111"/>
      <c r="R1912" s="111"/>
    </row>
    <row r="1913" spans="2:18" s="108" customFormat="1">
      <c r="B1913" s="97"/>
      <c r="C1913" s="110"/>
      <c r="D1913" s="109"/>
      <c r="E1913" s="97"/>
      <c r="F1913" s="97"/>
      <c r="G1913" s="109"/>
      <c r="H1913" s="109"/>
      <c r="I1913" s="97"/>
      <c r="J1913" s="97"/>
      <c r="K1913" s="83"/>
      <c r="L1913" s="111"/>
      <c r="M1913" s="111"/>
      <c r="N1913" s="111"/>
      <c r="O1913" s="111"/>
      <c r="P1913" s="111"/>
      <c r="Q1913" s="111"/>
      <c r="R1913" s="111"/>
    </row>
    <row r="1914" spans="2:18" s="108" customFormat="1">
      <c r="B1914" s="97"/>
      <c r="C1914" s="110"/>
      <c r="D1914" s="109"/>
      <c r="E1914" s="97"/>
      <c r="F1914" s="97"/>
      <c r="G1914" s="109"/>
      <c r="H1914" s="109"/>
      <c r="I1914" s="97"/>
      <c r="J1914" s="97"/>
      <c r="K1914" s="83"/>
      <c r="L1914" s="111"/>
      <c r="M1914" s="111"/>
      <c r="N1914" s="111"/>
      <c r="O1914" s="111"/>
      <c r="P1914" s="111"/>
      <c r="Q1914" s="111"/>
      <c r="R1914" s="111"/>
    </row>
    <row r="1915" spans="2:18" s="108" customFormat="1">
      <c r="B1915" s="97"/>
      <c r="C1915" s="110"/>
      <c r="D1915" s="109"/>
      <c r="E1915" s="97"/>
      <c r="F1915" s="97"/>
      <c r="G1915" s="109"/>
      <c r="H1915" s="109"/>
      <c r="I1915" s="97"/>
      <c r="J1915" s="97"/>
      <c r="K1915" s="83"/>
      <c r="L1915" s="111"/>
      <c r="M1915" s="111"/>
      <c r="N1915" s="111"/>
      <c r="O1915" s="111"/>
      <c r="P1915" s="111"/>
      <c r="Q1915" s="111"/>
      <c r="R1915" s="111"/>
    </row>
    <row r="1916" spans="2:18" s="108" customFormat="1">
      <c r="B1916" s="97"/>
      <c r="C1916" s="110"/>
      <c r="D1916" s="109"/>
      <c r="E1916" s="97"/>
      <c r="F1916" s="97"/>
      <c r="G1916" s="109"/>
      <c r="H1916" s="109"/>
      <c r="I1916" s="97"/>
      <c r="J1916" s="97"/>
      <c r="K1916" s="83"/>
      <c r="L1916" s="111"/>
      <c r="M1916" s="111"/>
      <c r="N1916" s="111"/>
      <c r="O1916" s="111"/>
      <c r="P1916" s="111"/>
      <c r="Q1916" s="111"/>
      <c r="R1916" s="111"/>
    </row>
    <row r="1917" spans="2:18" s="108" customFormat="1">
      <c r="B1917" s="97"/>
      <c r="C1917" s="110"/>
      <c r="D1917" s="109"/>
      <c r="E1917" s="97"/>
      <c r="F1917" s="97"/>
      <c r="G1917" s="109"/>
      <c r="H1917" s="109"/>
      <c r="I1917" s="97"/>
      <c r="J1917" s="97"/>
      <c r="K1917" s="83"/>
      <c r="L1917" s="111"/>
      <c r="M1917" s="111"/>
      <c r="N1917" s="111"/>
      <c r="O1917" s="111"/>
      <c r="P1917" s="111"/>
      <c r="Q1917" s="111"/>
      <c r="R1917" s="111"/>
    </row>
    <row r="1918" spans="2:18" s="108" customFormat="1">
      <c r="B1918" s="97"/>
      <c r="C1918" s="110"/>
      <c r="D1918" s="109"/>
      <c r="E1918" s="97"/>
      <c r="F1918" s="97"/>
      <c r="G1918" s="109"/>
      <c r="H1918" s="109"/>
      <c r="I1918" s="97"/>
      <c r="J1918" s="97"/>
      <c r="K1918" s="83"/>
      <c r="L1918" s="111"/>
      <c r="M1918" s="111"/>
      <c r="N1918" s="111"/>
      <c r="O1918" s="111"/>
      <c r="P1918" s="111"/>
      <c r="Q1918" s="111"/>
      <c r="R1918" s="111"/>
    </row>
    <row r="1919" spans="2:18" s="108" customFormat="1">
      <c r="B1919" s="97"/>
      <c r="C1919" s="110"/>
      <c r="D1919" s="109"/>
      <c r="E1919" s="97"/>
      <c r="F1919" s="97"/>
      <c r="G1919" s="109"/>
      <c r="H1919" s="109"/>
      <c r="I1919" s="97"/>
      <c r="J1919" s="97"/>
      <c r="K1919" s="83"/>
      <c r="L1919" s="111"/>
      <c r="M1919" s="111"/>
      <c r="N1919" s="111"/>
      <c r="O1919" s="111"/>
      <c r="P1919" s="111"/>
      <c r="Q1919" s="111"/>
      <c r="R1919" s="111"/>
    </row>
    <row r="1920" spans="2:18" s="108" customFormat="1">
      <c r="B1920" s="97"/>
      <c r="C1920" s="110"/>
      <c r="D1920" s="109"/>
      <c r="E1920" s="97"/>
      <c r="F1920" s="97"/>
      <c r="G1920" s="109"/>
      <c r="H1920" s="109"/>
      <c r="I1920" s="97"/>
      <c r="J1920" s="97"/>
      <c r="K1920" s="83"/>
      <c r="L1920" s="111"/>
      <c r="M1920" s="111"/>
      <c r="N1920" s="111"/>
      <c r="O1920" s="111"/>
      <c r="P1920" s="111"/>
      <c r="Q1920" s="111"/>
      <c r="R1920" s="111"/>
    </row>
    <row r="1921" spans="2:18" s="108" customFormat="1">
      <c r="B1921" s="97"/>
      <c r="C1921" s="110"/>
      <c r="D1921" s="109"/>
      <c r="E1921" s="97"/>
      <c r="F1921" s="97"/>
      <c r="G1921" s="109"/>
      <c r="H1921" s="109"/>
      <c r="I1921" s="97"/>
      <c r="J1921" s="97"/>
      <c r="K1921" s="83"/>
      <c r="L1921" s="111"/>
      <c r="M1921" s="111"/>
      <c r="N1921" s="111"/>
      <c r="O1921" s="111"/>
      <c r="P1921" s="111"/>
      <c r="Q1921" s="111"/>
      <c r="R1921" s="111"/>
    </row>
    <row r="1922" spans="2:18" s="108" customFormat="1">
      <c r="B1922" s="97"/>
      <c r="C1922" s="110"/>
      <c r="D1922" s="109"/>
      <c r="E1922" s="97"/>
      <c r="F1922" s="97"/>
      <c r="G1922" s="109"/>
      <c r="H1922" s="109"/>
      <c r="I1922" s="97"/>
      <c r="J1922" s="97"/>
      <c r="K1922" s="83"/>
      <c r="L1922" s="111"/>
      <c r="M1922" s="111"/>
      <c r="N1922" s="111"/>
      <c r="O1922" s="111"/>
      <c r="P1922" s="111"/>
      <c r="Q1922" s="111"/>
      <c r="R1922" s="111"/>
    </row>
    <row r="1923" spans="2:18" s="108" customFormat="1">
      <c r="B1923" s="97"/>
      <c r="C1923" s="110"/>
      <c r="D1923" s="109"/>
      <c r="E1923" s="97"/>
      <c r="F1923" s="97"/>
      <c r="G1923" s="109"/>
      <c r="H1923" s="109"/>
      <c r="I1923" s="97"/>
      <c r="J1923" s="97"/>
      <c r="K1923" s="83"/>
      <c r="L1923" s="111"/>
      <c r="M1923" s="111"/>
      <c r="N1923" s="111"/>
      <c r="O1923" s="111"/>
      <c r="P1923" s="111"/>
      <c r="Q1923" s="111"/>
      <c r="R1923" s="111"/>
    </row>
    <row r="1924" spans="2:18" s="108" customFormat="1">
      <c r="B1924" s="97"/>
      <c r="C1924" s="110"/>
      <c r="D1924" s="109"/>
      <c r="E1924" s="97"/>
      <c r="F1924" s="97"/>
      <c r="G1924" s="109"/>
      <c r="H1924" s="109"/>
      <c r="I1924" s="97"/>
      <c r="J1924" s="97"/>
      <c r="K1924" s="83"/>
      <c r="L1924" s="111"/>
      <c r="M1924" s="111"/>
      <c r="N1924" s="111"/>
      <c r="O1924" s="111"/>
      <c r="P1924" s="111"/>
      <c r="Q1924" s="111"/>
      <c r="R1924" s="111"/>
    </row>
    <row r="1925" spans="2:18" s="108" customFormat="1">
      <c r="B1925" s="97"/>
      <c r="C1925" s="110"/>
      <c r="D1925" s="109"/>
      <c r="E1925" s="97"/>
      <c r="F1925" s="97"/>
      <c r="G1925" s="109"/>
      <c r="H1925" s="109"/>
      <c r="I1925" s="97"/>
      <c r="J1925" s="97"/>
      <c r="K1925" s="83"/>
      <c r="L1925" s="111"/>
      <c r="M1925" s="111"/>
      <c r="N1925" s="111"/>
      <c r="O1925" s="111"/>
      <c r="P1925" s="111"/>
      <c r="Q1925" s="111"/>
      <c r="R1925" s="111"/>
    </row>
    <row r="1926" spans="2:18" s="108" customFormat="1">
      <c r="B1926" s="97"/>
      <c r="C1926" s="110"/>
      <c r="D1926" s="109"/>
      <c r="E1926" s="97"/>
      <c r="F1926" s="97"/>
      <c r="G1926" s="109"/>
      <c r="H1926" s="109"/>
      <c r="I1926" s="97"/>
      <c r="J1926" s="97"/>
      <c r="K1926" s="83"/>
      <c r="L1926" s="111"/>
      <c r="M1926" s="111"/>
      <c r="N1926" s="111"/>
      <c r="O1926" s="111"/>
      <c r="P1926" s="111"/>
      <c r="Q1926" s="111"/>
      <c r="R1926" s="111"/>
    </row>
    <row r="1927" spans="2:18" s="108" customFormat="1">
      <c r="B1927" s="97"/>
      <c r="C1927" s="110"/>
      <c r="D1927" s="109"/>
      <c r="E1927" s="97"/>
      <c r="F1927" s="97"/>
      <c r="G1927" s="109"/>
      <c r="H1927" s="109"/>
      <c r="I1927" s="97"/>
      <c r="J1927" s="97"/>
      <c r="K1927" s="83"/>
      <c r="L1927" s="111"/>
      <c r="M1927" s="111"/>
      <c r="N1927" s="111"/>
      <c r="O1927" s="111"/>
      <c r="P1927" s="111"/>
      <c r="Q1927" s="111"/>
      <c r="R1927" s="111"/>
    </row>
    <row r="1928" spans="2:18" s="108" customFormat="1">
      <c r="B1928" s="97"/>
      <c r="C1928" s="110"/>
      <c r="D1928" s="109"/>
      <c r="E1928" s="97"/>
      <c r="F1928" s="97"/>
      <c r="G1928" s="109"/>
      <c r="H1928" s="109"/>
      <c r="I1928" s="97"/>
      <c r="J1928" s="97"/>
      <c r="K1928" s="83"/>
      <c r="L1928" s="111"/>
      <c r="M1928" s="111"/>
      <c r="N1928" s="111"/>
      <c r="O1928" s="111"/>
      <c r="P1928" s="111"/>
      <c r="Q1928" s="111"/>
      <c r="R1928" s="111"/>
    </row>
    <row r="1929" spans="2:18" s="108" customFormat="1">
      <c r="B1929" s="97"/>
      <c r="C1929" s="110"/>
      <c r="D1929" s="109"/>
      <c r="E1929" s="97"/>
      <c r="F1929" s="97"/>
      <c r="G1929" s="109"/>
      <c r="H1929" s="109"/>
      <c r="I1929" s="97"/>
      <c r="J1929" s="97"/>
      <c r="K1929" s="83"/>
      <c r="L1929" s="111"/>
      <c r="M1929" s="111"/>
      <c r="N1929" s="111"/>
      <c r="O1929" s="111"/>
      <c r="P1929" s="111"/>
      <c r="Q1929" s="111"/>
      <c r="R1929" s="111"/>
    </row>
    <row r="1930" spans="2:18" s="108" customFormat="1">
      <c r="B1930" s="97"/>
      <c r="C1930" s="110"/>
      <c r="D1930" s="109"/>
      <c r="E1930" s="97"/>
      <c r="F1930" s="97"/>
      <c r="G1930" s="109"/>
      <c r="H1930" s="109"/>
      <c r="I1930" s="97"/>
      <c r="J1930" s="97"/>
      <c r="K1930" s="83"/>
      <c r="L1930" s="111"/>
      <c r="M1930" s="111"/>
      <c r="N1930" s="111"/>
      <c r="O1930" s="111"/>
      <c r="P1930" s="111"/>
      <c r="Q1930" s="111"/>
      <c r="R1930" s="111"/>
    </row>
    <row r="1931" spans="2:18" s="108" customFormat="1">
      <c r="B1931" s="97"/>
      <c r="C1931" s="110"/>
      <c r="D1931" s="109"/>
      <c r="E1931" s="97"/>
      <c r="F1931" s="97"/>
      <c r="G1931" s="109"/>
      <c r="H1931" s="109"/>
      <c r="I1931" s="97"/>
      <c r="J1931" s="97"/>
      <c r="K1931" s="83"/>
      <c r="L1931" s="111"/>
      <c r="M1931" s="111"/>
      <c r="N1931" s="111"/>
      <c r="O1931" s="111"/>
      <c r="P1931" s="111"/>
      <c r="Q1931" s="111"/>
      <c r="R1931" s="111"/>
    </row>
    <row r="1932" spans="2:18" s="108" customFormat="1">
      <c r="B1932" s="97"/>
      <c r="C1932" s="110"/>
      <c r="D1932" s="109"/>
      <c r="E1932" s="97"/>
      <c r="F1932" s="97"/>
      <c r="G1932" s="109"/>
      <c r="H1932" s="109"/>
      <c r="I1932" s="97"/>
      <c r="J1932" s="97"/>
      <c r="K1932" s="83"/>
      <c r="L1932" s="111"/>
      <c r="M1932" s="111"/>
      <c r="N1932" s="111"/>
      <c r="O1932" s="111"/>
      <c r="P1932" s="111"/>
      <c r="Q1932" s="111"/>
      <c r="R1932" s="111"/>
    </row>
    <row r="1933" spans="2:18" s="108" customFormat="1">
      <c r="B1933" s="97"/>
      <c r="C1933" s="110"/>
      <c r="D1933" s="109"/>
      <c r="E1933" s="97"/>
      <c r="F1933" s="97"/>
      <c r="G1933" s="109"/>
      <c r="H1933" s="109"/>
      <c r="I1933" s="97"/>
      <c r="J1933" s="97"/>
      <c r="K1933" s="83"/>
      <c r="L1933" s="111"/>
      <c r="M1933" s="111"/>
      <c r="N1933" s="111"/>
      <c r="O1933" s="111"/>
      <c r="P1933" s="111"/>
      <c r="Q1933" s="111"/>
      <c r="R1933" s="111"/>
    </row>
    <row r="1934" spans="2:18" s="108" customFormat="1">
      <c r="B1934" s="97"/>
      <c r="C1934" s="110"/>
      <c r="D1934" s="109"/>
      <c r="E1934" s="97"/>
      <c r="F1934" s="97"/>
      <c r="G1934" s="109"/>
      <c r="H1934" s="109"/>
      <c r="I1934" s="97"/>
      <c r="J1934" s="97"/>
      <c r="K1934" s="83"/>
      <c r="L1934" s="111"/>
      <c r="M1934" s="111"/>
      <c r="N1934" s="111"/>
      <c r="O1934" s="111"/>
      <c r="P1934" s="111"/>
      <c r="Q1934" s="111"/>
      <c r="R1934" s="111"/>
    </row>
    <row r="1935" spans="2:18" s="108" customFormat="1">
      <c r="B1935" s="97"/>
      <c r="C1935" s="110"/>
      <c r="D1935" s="109"/>
      <c r="E1935" s="97"/>
      <c r="F1935" s="97"/>
      <c r="G1935" s="109"/>
      <c r="H1935" s="109"/>
      <c r="I1935" s="97"/>
      <c r="J1935" s="97"/>
      <c r="K1935" s="83"/>
      <c r="L1935" s="111"/>
      <c r="M1935" s="111"/>
      <c r="N1935" s="111"/>
      <c r="O1935" s="111"/>
      <c r="P1935" s="111"/>
      <c r="Q1935" s="111"/>
      <c r="R1935" s="111"/>
    </row>
    <row r="1936" spans="2:18" s="108" customFormat="1">
      <c r="B1936" s="97"/>
      <c r="C1936" s="110"/>
      <c r="D1936" s="109"/>
      <c r="E1936" s="97"/>
      <c r="F1936" s="97"/>
      <c r="G1936" s="109"/>
      <c r="H1936" s="109"/>
      <c r="I1936" s="97"/>
      <c r="J1936" s="97"/>
      <c r="K1936" s="83"/>
      <c r="L1936" s="111"/>
      <c r="M1936" s="111"/>
      <c r="N1936" s="111"/>
      <c r="O1936" s="111"/>
      <c r="P1936" s="111"/>
      <c r="Q1936" s="111"/>
      <c r="R1936" s="111"/>
    </row>
    <row r="1937" spans="2:18" s="108" customFormat="1">
      <c r="B1937" s="97"/>
      <c r="C1937" s="110"/>
      <c r="D1937" s="109"/>
      <c r="E1937" s="97"/>
      <c r="F1937" s="97"/>
      <c r="G1937" s="109"/>
      <c r="H1937" s="109"/>
      <c r="I1937" s="97"/>
      <c r="J1937" s="97"/>
      <c r="K1937" s="83"/>
      <c r="L1937" s="111"/>
      <c r="M1937" s="111"/>
      <c r="N1937" s="111"/>
      <c r="O1937" s="111"/>
      <c r="P1937" s="111"/>
      <c r="Q1937" s="111"/>
      <c r="R1937" s="111"/>
    </row>
    <row r="1938" spans="2:18" s="108" customFormat="1">
      <c r="B1938" s="97"/>
      <c r="C1938" s="110"/>
      <c r="D1938" s="109"/>
      <c r="E1938" s="97"/>
      <c r="F1938" s="97"/>
      <c r="G1938" s="109"/>
      <c r="H1938" s="109"/>
      <c r="I1938" s="97"/>
      <c r="J1938" s="97"/>
      <c r="K1938" s="83"/>
      <c r="L1938" s="111"/>
      <c r="M1938" s="111"/>
      <c r="N1938" s="111"/>
      <c r="O1938" s="111"/>
      <c r="P1938" s="111"/>
      <c r="Q1938" s="111"/>
      <c r="R1938" s="111"/>
    </row>
    <row r="1939" spans="2:18" s="108" customFormat="1">
      <c r="B1939" s="97"/>
      <c r="C1939" s="110"/>
      <c r="D1939" s="109"/>
      <c r="E1939" s="97"/>
      <c r="F1939" s="97"/>
      <c r="G1939" s="109"/>
      <c r="H1939" s="109"/>
      <c r="I1939" s="97"/>
      <c r="J1939" s="97"/>
      <c r="K1939" s="83"/>
      <c r="L1939" s="111"/>
      <c r="M1939" s="111"/>
      <c r="N1939" s="111"/>
      <c r="O1939" s="111"/>
      <c r="P1939" s="111"/>
      <c r="Q1939" s="111"/>
      <c r="R1939" s="111"/>
    </row>
    <row r="1940" spans="2:18" s="108" customFormat="1">
      <c r="B1940" s="97"/>
      <c r="C1940" s="110"/>
      <c r="D1940" s="109"/>
      <c r="E1940" s="97"/>
      <c r="F1940" s="97"/>
      <c r="G1940" s="109"/>
      <c r="H1940" s="109"/>
      <c r="I1940" s="97"/>
      <c r="J1940" s="97"/>
      <c r="K1940" s="83"/>
      <c r="L1940" s="111"/>
      <c r="M1940" s="111"/>
      <c r="N1940" s="111"/>
      <c r="O1940" s="111"/>
      <c r="P1940" s="111"/>
      <c r="Q1940" s="111"/>
      <c r="R1940" s="111"/>
    </row>
    <row r="1941" spans="2:18" s="108" customFormat="1">
      <c r="B1941" s="97"/>
      <c r="C1941" s="110"/>
      <c r="D1941" s="109"/>
      <c r="E1941" s="97"/>
      <c r="F1941" s="97"/>
      <c r="G1941" s="109"/>
      <c r="H1941" s="109"/>
      <c r="I1941" s="97"/>
      <c r="J1941" s="97"/>
      <c r="K1941" s="83"/>
      <c r="L1941" s="111"/>
      <c r="M1941" s="111"/>
      <c r="N1941" s="111"/>
      <c r="O1941" s="111"/>
      <c r="P1941" s="111"/>
      <c r="Q1941" s="111"/>
      <c r="R1941" s="111"/>
    </row>
    <row r="1942" spans="2:18" s="108" customFormat="1">
      <c r="B1942" s="97"/>
      <c r="C1942" s="110"/>
      <c r="D1942" s="109"/>
      <c r="E1942" s="97"/>
      <c r="F1942" s="97"/>
      <c r="G1942" s="109"/>
      <c r="H1942" s="109"/>
      <c r="I1942" s="97"/>
      <c r="J1942" s="97"/>
      <c r="K1942" s="83"/>
      <c r="L1942" s="111"/>
      <c r="M1942" s="111"/>
      <c r="N1942" s="111"/>
      <c r="O1942" s="111"/>
      <c r="P1942" s="111"/>
      <c r="Q1942" s="111"/>
      <c r="R1942" s="111"/>
    </row>
    <row r="1943" spans="2:18" s="108" customFormat="1">
      <c r="B1943" s="97"/>
      <c r="C1943" s="110"/>
      <c r="D1943" s="109"/>
      <c r="E1943" s="97"/>
      <c r="F1943" s="97"/>
      <c r="G1943" s="109"/>
      <c r="H1943" s="109"/>
      <c r="I1943" s="97"/>
      <c r="J1943" s="97"/>
      <c r="K1943" s="83"/>
      <c r="L1943" s="111"/>
      <c r="M1943" s="111"/>
      <c r="N1943" s="111"/>
      <c r="O1943" s="111"/>
      <c r="P1943" s="111"/>
      <c r="Q1943" s="111"/>
      <c r="R1943" s="111"/>
    </row>
    <row r="1944" spans="2:18" s="108" customFormat="1">
      <c r="B1944" s="97"/>
      <c r="C1944" s="110"/>
      <c r="D1944" s="109"/>
      <c r="E1944" s="97"/>
      <c r="F1944" s="97"/>
      <c r="G1944" s="109"/>
      <c r="H1944" s="109"/>
      <c r="I1944" s="97"/>
      <c r="J1944" s="97"/>
      <c r="K1944" s="83"/>
      <c r="L1944" s="111"/>
      <c r="M1944" s="111"/>
      <c r="N1944" s="111"/>
      <c r="O1944" s="111"/>
      <c r="P1944" s="111"/>
      <c r="Q1944" s="111"/>
      <c r="R1944" s="111"/>
    </row>
    <row r="1945" spans="2:18" s="108" customFormat="1">
      <c r="B1945" s="97"/>
      <c r="C1945" s="110"/>
      <c r="D1945" s="109"/>
      <c r="E1945" s="97"/>
      <c r="F1945" s="97"/>
      <c r="G1945" s="109"/>
      <c r="H1945" s="109"/>
      <c r="I1945" s="97"/>
      <c r="J1945" s="97"/>
      <c r="K1945" s="83"/>
      <c r="L1945" s="111"/>
      <c r="M1945" s="111"/>
      <c r="N1945" s="111"/>
      <c r="O1945" s="111"/>
      <c r="P1945" s="111"/>
      <c r="Q1945" s="111"/>
      <c r="R1945" s="111"/>
    </row>
    <row r="1946" spans="2:18" s="108" customFormat="1">
      <c r="B1946" s="97"/>
      <c r="C1946" s="110"/>
      <c r="D1946" s="109"/>
      <c r="E1946" s="97"/>
      <c r="F1946" s="97"/>
      <c r="G1946" s="109"/>
      <c r="H1946" s="109"/>
      <c r="I1946" s="97"/>
      <c r="J1946" s="97"/>
      <c r="K1946" s="83"/>
      <c r="L1946" s="111"/>
      <c r="M1946" s="111"/>
      <c r="N1946" s="111"/>
      <c r="O1946" s="111"/>
      <c r="P1946" s="111"/>
      <c r="Q1946" s="111"/>
      <c r="R1946" s="111"/>
    </row>
    <row r="1947" spans="2:18" s="108" customFormat="1">
      <c r="B1947" s="97"/>
      <c r="C1947" s="110"/>
      <c r="D1947" s="109"/>
      <c r="E1947" s="97"/>
      <c r="F1947" s="97"/>
      <c r="G1947" s="109"/>
      <c r="H1947" s="109"/>
      <c r="I1947" s="97"/>
      <c r="J1947" s="97"/>
      <c r="K1947" s="83"/>
      <c r="L1947" s="111"/>
      <c r="M1947" s="111"/>
      <c r="N1947" s="111"/>
      <c r="O1947" s="111"/>
      <c r="P1947" s="111"/>
      <c r="Q1947" s="111"/>
      <c r="R1947" s="111"/>
    </row>
    <row r="1948" spans="2:18" s="108" customFormat="1">
      <c r="B1948" s="97"/>
      <c r="C1948" s="110"/>
      <c r="D1948" s="109"/>
      <c r="E1948" s="97"/>
      <c r="F1948" s="97"/>
      <c r="G1948" s="109"/>
      <c r="H1948" s="109"/>
      <c r="I1948" s="97"/>
      <c r="J1948" s="97"/>
      <c r="K1948" s="83"/>
      <c r="L1948" s="111"/>
      <c r="M1948" s="111"/>
      <c r="N1948" s="111"/>
      <c r="O1948" s="111"/>
      <c r="P1948" s="111"/>
      <c r="Q1948" s="111"/>
      <c r="R1948" s="111"/>
    </row>
    <row r="1949" spans="2:18" s="108" customFormat="1">
      <c r="B1949" s="97"/>
      <c r="C1949" s="110"/>
      <c r="D1949" s="109"/>
      <c r="E1949" s="97"/>
      <c r="F1949" s="97"/>
      <c r="G1949" s="109"/>
      <c r="H1949" s="109"/>
      <c r="I1949" s="97"/>
      <c r="J1949" s="97"/>
      <c r="K1949" s="83"/>
      <c r="L1949" s="111"/>
      <c r="M1949" s="111"/>
      <c r="N1949" s="111"/>
      <c r="O1949" s="111"/>
      <c r="P1949" s="111"/>
      <c r="Q1949" s="111"/>
      <c r="R1949" s="111"/>
    </row>
    <row r="1950" spans="2:18" s="108" customFormat="1">
      <c r="B1950" s="97"/>
      <c r="C1950" s="110"/>
      <c r="D1950" s="109"/>
      <c r="E1950" s="97"/>
      <c r="F1950" s="97"/>
      <c r="G1950" s="109"/>
      <c r="H1950" s="109"/>
      <c r="I1950" s="97"/>
      <c r="J1950" s="97"/>
      <c r="K1950" s="83"/>
      <c r="L1950" s="111"/>
      <c r="M1950" s="111"/>
      <c r="N1950" s="111"/>
      <c r="O1950" s="111"/>
      <c r="P1950" s="111"/>
      <c r="Q1950" s="111"/>
      <c r="R1950" s="111"/>
    </row>
    <row r="1951" spans="2:18" s="108" customFormat="1">
      <c r="B1951" s="97"/>
      <c r="C1951" s="110"/>
      <c r="D1951" s="109"/>
      <c r="E1951" s="97"/>
      <c r="F1951" s="97"/>
      <c r="G1951" s="109"/>
      <c r="H1951" s="109"/>
      <c r="I1951" s="97"/>
      <c r="J1951" s="97"/>
      <c r="K1951" s="83"/>
      <c r="L1951" s="111"/>
      <c r="M1951" s="111"/>
      <c r="N1951" s="111"/>
      <c r="O1951" s="111"/>
      <c r="P1951" s="111"/>
      <c r="Q1951" s="111"/>
      <c r="R1951" s="111"/>
    </row>
    <row r="1952" spans="2:18" s="108" customFormat="1">
      <c r="B1952" s="97"/>
      <c r="C1952" s="110"/>
      <c r="D1952" s="109"/>
      <c r="E1952" s="97"/>
      <c r="F1952" s="97"/>
      <c r="G1952" s="109"/>
      <c r="H1952" s="109"/>
      <c r="I1952" s="97"/>
      <c r="J1952" s="97"/>
      <c r="K1952" s="83"/>
      <c r="L1952" s="111"/>
      <c r="M1952" s="111"/>
      <c r="N1952" s="111"/>
      <c r="O1952" s="111"/>
      <c r="P1952" s="111"/>
      <c r="Q1952" s="111"/>
      <c r="R1952" s="111"/>
    </row>
    <row r="1953" spans="2:18" s="108" customFormat="1">
      <c r="B1953" s="97"/>
      <c r="C1953" s="110"/>
      <c r="D1953" s="109"/>
      <c r="E1953" s="97"/>
      <c r="F1953" s="97"/>
      <c r="G1953" s="109"/>
      <c r="H1953" s="109"/>
      <c r="I1953" s="97"/>
      <c r="J1953" s="97"/>
      <c r="K1953" s="83"/>
      <c r="L1953" s="111"/>
      <c r="M1953" s="111"/>
      <c r="N1953" s="111"/>
      <c r="O1953" s="111"/>
      <c r="P1953" s="111"/>
      <c r="Q1953" s="111"/>
      <c r="R1953" s="111"/>
    </row>
    <row r="1954" spans="2:18" s="108" customFormat="1">
      <c r="B1954" s="97"/>
      <c r="C1954" s="110"/>
      <c r="D1954" s="109"/>
      <c r="E1954" s="97"/>
      <c r="F1954" s="97"/>
      <c r="G1954" s="109"/>
      <c r="H1954" s="109"/>
      <c r="I1954" s="97"/>
      <c r="J1954" s="97"/>
      <c r="K1954" s="83"/>
      <c r="L1954" s="111"/>
      <c r="M1954" s="111"/>
      <c r="N1954" s="111"/>
      <c r="O1954" s="111"/>
      <c r="P1954" s="111"/>
      <c r="Q1954" s="111"/>
      <c r="R1954" s="111"/>
    </row>
    <row r="1955" spans="2:18" s="108" customFormat="1">
      <c r="B1955" s="97"/>
      <c r="C1955" s="110"/>
      <c r="D1955" s="109"/>
      <c r="E1955" s="97"/>
      <c r="F1955" s="97"/>
      <c r="G1955" s="109"/>
      <c r="H1955" s="109"/>
      <c r="I1955" s="97"/>
      <c r="J1955" s="97"/>
      <c r="K1955" s="83"/>
      <c r="L1955" s="111"/>
      <c r="M1955" s="111"/>
      <c r="N1955" s="111"/>
      <c r="O1955" s="111"/>
      <c r="P1955" s="111"/>
      <c r="Q1955" s="111"/>
      <c r="R1955" s="111"/>
    </row>
    <row r="1956" spans="2:18" s="108" customFormat="1">
      <c r="B1956" s="97"/>
      <c r="C1956" s="110"/>
      <c r="D1956" s="109"/>
      <c r="E1956" s="97"/>
      <c r="F1956" s="97"/>
      <c r="G1956" s="109"/>
      <c r="H1956" s="109"/>
      <c r="I1956" s="97"/>
      <c r="J1956" s="97"/>
      <c r="K1956" s="83"/>
      <c r="L1956" s="111"/>
      <c r="M1956" s="111"/>
      <c r="N1956" s="111"/>
      <c r="O1956" s="111"/>
      <c r="P1956" s="111"/>
      <c r="Q1956" s="111"/>
      <c r="R1956" s="111"/>
    </row>
    <row r="1957" spans="2:18" s="108" customFormat="1">
      <c r="B1957" s="97"/>
      <c r="C1957" s="110"/>
      <c r="D1957" s="109"/>
      <c r="E1957" s="97"/>
      <c r="F1957" s="97"/>
      <c r="G1957" s="109"/>
      <c r="H1957" s="109"/>
      <c r="I1957" s="97"/>
      <c r="J1957" s="97"/>
      <c r="K1957" s="83"/>
      <c r="L1957" s="111"/>
      <c r="M1957" s="111"/>
      <c r="N1957" s="111"/>
      <c r="O1957" s="111"/>
      <c r="P1957" s="111"/>
      <c r="Q1957" s="111"/>
      <c r="R1957" s="111"/>
    </row>
    <row r="1958" spans="2:18" s="108" customFormat="1">
      <c r="B1958" s="97"/>
      <c r="C1958" s="110"/>
      <c r="D1958" s="109"/>
      <c r="E1958" s="97"/>
      <c r="F1958" s="97"/>
      <c r="G1958" s="109"/>
      <c r="H1958" s="109"/>
      <c r="I1958" s="97"/>
      <c r="J1958" s="97"/>
      <c r="K1958" s="83"/>
      <c r="L1958" s="111"/>
      <c r="M1958" s="111"/>
      <c r="N1958" s="111"/>
      <c r="O1958" s="111"/>
      <c r="P1958" s="111"/>
      <c r="Q1958" s="111"/>
      <c r="R1958" s="111"/>
    </row>
    <row r="1959" spans="2:18" s="108" customFormat="1">
      <c r="B1959" s="97"/>
      <c r="C1959" s="110"/>
      <c r="D1959" s="109"/>
      <c r="E1959" s="97"/>
      <c r="F1959" s="97"/>
      <c r="G1959" s="109"/>
      <c r="H1959" s="109"/>
      <c r="I1959" s="97"/>
      <c r="J1959" s="97"/>
      <c r="K1959" s="83"/>
      <c r="L1959" s="111"/>
      <c r="M1959" s="111"/>
      <c r="N1959" s="111"/>
      <c r="O1959" s="111"/>
      <c r="P1959" s="111"/>
      <c r="Q1959" s="111"/>
      <c r="R1959" s="111"/>
    </row>
    <row r="1960" spans="2:18" s="108" customFormat="1">
      <c r="B1960" s="97"/>
      <c r="C1960" s="110"/>
      <c r="D1960" s="109"/>
      <c r="E1960" s="97"/>
      <c r="F1960" s="97"/>
      <c r="G1960" s="109"/>
      <c r="H1960" s="109"/>
      <c r="I1960" s="97"/>
      <c r="J1960" s="97"/>
      <c r="K1960" s="83"/>
      <c r="L1960" s="111"/>
      <c r="M1960" s="111"/>
      <c r="N1960" s="111"/>
      <c r="O1960" s="111"/>
      <c r="P1960" s="111"/>
      <c r="Q1960" s="111"/>
      <c r="R1960" s="111"/>
    </row>
    <row r="1961" spans="2:18" s="108" customFormat="1">
      <c r="B1961" s="97"/>
      <c r="C1961" s="110"/>
      <c r="D1961" s="109"/>
      <c r="E1961" s="97"/>
      <c r="F1961" s="97"/>
      <c r="G1961" s="109"/>
      <c r="H1961" s="109"/>
      <c r="I1961" s="97"/>
      <c r="J1961" s="97"/>
      <c r="K1961" s="83"/>
      <c r="L1961" s="111"/>
      <c r="M1961" s="111"/>
      <c r="N1961" s="111"/>
      <c r="O1961" s="111"/>
      <c r="P1961" s="111"/>
      <c r="Q1961" s="111"/>
      <c r="R1961" s="111"/>
    </row>
    <row r="1962" spans="2:18" s="108" customFormat="1">
      <c r="B1962" s="97"/>
      <c r="C1962" s="110"/>
      <c r="D1962" s="109"/>
      <c r="E1962" s="97"/>
      <c r="F1962" s="97"/>
      <c r="G1962" s="109"/>
      <c r="H1962" s="109"/>
      <c r="I1962" s="97"/>
      <c r="J1962" s="97"/>
      <c r="K1962" s="83"/>
      <c r="L1962" s="111"/>
      <c r="M1962" s="111"/>
      <c r="N1962" s="111"/>
      <c r="O1962" s="111"/>
      <c r="P1962" s="111"/>
      <c r="Q1962" s="111"/>
      <c r="R1962" s="111"/>
    </row>
    <row r="1963" spans="2:18" s="108" customFormat="1">
      <c r="B1963" s="97"/>
      <c r="C1963" s="110"/>
      <c r="D1963" s="109"/>
      <c r="E1963" s="97"/>
      <c r="F1963" s="97"/>
      <c r="G1963" s="109"/>
      <c r="H1963" s="109"/>
      <c r="I1963" s="97"/>
      <c r="J1963" s="97"/>
      <c r="K1963" s="83"/>
      <c r="L1963" s="111"/>
      <c r="M1963" s="111"/>
      <c r="N1963" s="111"/>
      <c r="O1963" s="111"/>
      <c r="P1963" s="111"/>
      <c r="Q1963" s="111"/>
      <c r="R1963" s="111"/>
    </row>
    <row r="1964" spans="2:18" s="108" customFormat="1">
      <c r="B1964" s="97"/>
      <c r="C1964" s="110"/>
      <c r="D1964" s="109"/>
      <c r="E1964" s="97"/>
      <c r="F1964" s="97"/>
      <c r="G1964" s="109"/>
      <c r="H1964" s="109"/>
      <c r="I1964" s="97"/>
      <c r="J1964" s="97"/>
      <c r="K1964" s="83"/>
      <c r="L1964" s="111"/>
      <c r="M1964" s="111"/>
      <c r="N1964" s="111"/>
      <c r="O1964" s="111"/>
      <c r="P1964" s="111"/>
      <c r="Q1964" s="111"/>
      <c r="R1964" s="111"/>
    </row>
    <row r="1965" spans="2:18" s="108" customFormat="1">
      <c r="B1965" s="97"/>
      <c r="C1965" s="110"/>
      <c r="D1965" s="109"/>
      <c r="E1965" s="97"/>
      <c r="F1965" s="97"/>
      <c r="G1965" s="109"/>
      <c r="H1965" s="109"/>
      <c r="I1965" s="97"/>
      <c r="J1965" s="97"/>
      <c r="K1965" s="83"/>
      <c r="L1965" s="111"/>
      <c r="M1965" s="111"/>
      <c r="N1965" s="111"/>
      <c r="O1965" s="111"/>
      <c r="P1965" s="111"/>
      <c r="Q1965" s="111"/>
      <c r="R1965" s="111"/>
    </row>
    <row r="1966" spans="2:18" s="108" customFormat="1">
      <c r="B1966" s="97"/>
      <c r="C1966" s="110"/>
      <c r="D1966" s="109"/>
      <c r="E1966" s="97"/>
      <c r="F1966" s="97"/>
      <c r="G1966" s="109"/>
      <c r="H1966" s="109"/>
      <c r="I1966" s="97"/>
      <c r="J1966" s="97"/>
      <c r="K1966" s="83"/>
      <c r="L1966" s="111"/>
      <c r="M1966" s="111"/>
      <c r="N1966" s="111"/>
      <c r="O1966" s="111"/>
      <c r="P1966" s="111"/>
      <c r="Q1966" s="111"/>
      <c r="R1966" s="111"/>
    </row>
    <row r="1967" spans="2:18" s="108" customFormat="1">
      <c r="B1967" s="97"/>
      <c r="C1967" s="110"/>
      <c r="D1967" s="109"/>
      <c r="E1967" s="97"/>
      <c r="F1967" s="97"/>
      <c r="G1967" s="109"/>
      <c r="H1967" s="109"/>
      <c r="I1967" s="97"/>
      <c r="J1967" s="97"/>
      <c r="K1967" s="83"/>
      <c r="L1967" s="111"/>
      <c r="M1967" s="111"/>
      <c r="N1967" s="111"/>
      <c r="O1967" s="111"/>
      <c r="P1967" s="111"/>
      <c r="Q1967" s="111"/>
      <c r="R1967" s="111"/>
    </row>
    <row r="1968" spans="2:18" s="108" customFormat="1">
      <c r="B1968" s="97"/>
      <c r="C1968" s="110"/>
      <c r="D1968" s="109"/>
      <c r="E1968" s="97"/>
      <c r="F1968" s="97"/>
      <c r="G1968" s="109"/>
      <c r="H1968" s="109"/>
      <c r="I1968" s="97"/>
      <c r="J1968" s="97"/>
      <c r="K1968" s="83"/>
      <c r="L1968" s="111"/>
      <c r="M1968" s="111"/>
      <c r="N1968" s="111"/>
      <c r="O1968" s="111"/>
      <c r="P1968" s="111"/>
      <c r="Q1968" s="111"/>
      <c r="R1968" s="111"/>
    </row>
    <row r="1969" spans="2:18" s="108" customFormat="1">
      <c r="B1969" s="97"/>
      <c r="C1969" s="110"/>
      <c r="D1969" s="109"/>
      <c r="E1969" s="97"/>
      <c r="F1969" s="97"/>
      <c r="G1969" s="109"/>
      <c r="H1969" s="109"/>
      <c r="I1969" s="97"/>
      <c r="J1969" s="97"/>
      <c r="K1969" s="83"/>
      <c r="L1969" s="111"/>
      <c r="M1969" s="111"/>
      <c r="N1969" s="111"/>
      <c r="O1969" s="111"/>
      <c r="P1969" s="111"/>
      <c r="Q1969" s="111"/>
      <c r="R1969" s="111"/>
    </row>
    <row r="1970" spans="2:18" s="108" customFormat="1">
      <c r="B1970" s="97"/>
      <c r="C1970" s="110"/>
      <c r="D1970" s="109"/>
      <c r="E1970" s="97"/>
      <c r="F1970" s="97"/>
      <c r="G1970" s="109"/>
      <c r="H1970" s="109"/>
      <c r="I1970" s="97"/>
      <c r="J1970" s="97"/>
      <c r="K1970" s="83"/>
      <c r="L1970" s="111"/>
      <c r="M1970" s="111"/>
      <c r="N1970" s="111"/>
      <c r="O1970" s="111"/>
      <c r="P1970" s="111"/>
      <c r="Q1970" s="111"/>
      <c r="R1970" s="111"/>
    </row>
    <row r="1971" spans="2:18" s="108" customFormat="1">
      <c r="B1971" s="97"/>
      <c r="C1971" s="110"/>
      <c r="D1971" s="109"/>
      <c r="E1971" s="97"/>
      <c r="F1971" s="97"/>
      <c r="G1971" s="109"/>
      <c r="H1971" s="109"/>
      <c r="I1971" s="97"/>
      <c r="J1971" s="97"/>
      <c r="K1971" s="83"/>
      <c r="L1971" s="111"/>
      <c r="M1971" s="111"/>
      <c r="N1971" s="111"/>
      <c r="O1971" s="111"/>
      <c r="P1971" s="111"/>
      <c r="Q1971" s="111"/>
      <c r="R1971" s="111"/>
    </row>
    <row r="1972" spans="2:18" s="108" customFormat="1">
      <c r="B1972" s="97"/>
      <c r="C1972" s="110"/>
      <c r="D1972" s="109"/>
      <c r="E1972" s="97"/>
      <c r="F1972" s="97"/>
      <c r="G1972" s="109"/>
      <c r="H1972" s="109"/>
      <c r="I1972" s="97"/>
      <c r="J1972" s="97"/>
      <c r="K1972" s="83"/>
      <c r="L1972" s="111"/>
      <c r="M1972" s="111"/>
      <c r="N1972" s="111"/>
      <c r="O1972" s="111"/>
      <c r="P1972" s="111"/>
      <c r="Q1972" s="111"/>
      <c r="R1972" s="111"/>
    </row>
    <row r="1973" spans="2:18" s="108" customFormat="1">
      <c r="B1973" s="97"/>
      <c r="C1973" s="110"/>
      <c r="D1973" s="109"/>
      <c r="E1973" s="97"/>
      <c r="F1973" s="97"/>
      <c r="G1973" s="109"/>
      <c r="H1973" s="109"/>
      <c r="I1973" s="97"/>
      <c r="J1973" s="97"/>
      <c r="K1973" s="83"/>
      <c r="L1973" s="111"/>
      <c r="M1973" s="111"/>
      <c r="N1973" s="111"/>
      <c r="O1973" s="111"/>
      <c r="P1973" s="111"/>
      <c r="Q1973" s="111"/>
      <c r="R1973" s="111"/>
    </row>
    <row r="1974" spans="2:18" s="108" customFormat="1">
      <c r="B1974" s="97"/>
      <c r="C1974" s="110"/>
      <c r="D1974" s="109"/>
      <c r="E1974" s="97"/>
      <c r="F1974" s="97"/>
      <c r="G1974" s="109"/>
      <c r="H1974" s="109"/>
      <c r="I1974" s="97"/>
      <c r="J1974" s="97"/>
      <c r="K1974" s="83"/>
      <c r="L1974" s="111"/>
      <c r="M1974" s="111"/>
      <c r="N1974" s="111"/>
      <c r="O1974" s="111"/>
      <c r="P1974" s="111"/>
      <c r="Q1974" s="111"/>
      <c r="R1974" s="111"/>
    </row>
    <row r="1975" spans="2:18" s="108" customFormat="1">
      <c r="B1975" s="97"/>
      <c r="C1975" s="110"/>
      <c r="D1975" s="109"/>
      <c r="E1975" s="97"/>
      <c r="F1975" s="97"/>
      <c r="G1975" s="109"/>
      <c r="H1975" s="109"/>
      <c r="I1975" s="97"/>
      <c r="J1975" s="97"/>
      <c r="K1975" s="83"/>
      <c r="L1975" s="111"/>
      <c r="M1975" s="111"/>
      <c r="N1975" s="111"/>
      <c r="O1975" s="111"/>
      <c r="P1975" s="111"/>
      <c r="Q1975" s="111"/>
      <c r="R1975" s="111"/>
    </row>
    <row r="1976" spans="2:18" s="108" customFormat="1">
      <c r="B1976" s="97"/>
      <c r="C1976" s="110"/>
      <c r="D1976" s="109"/>
      <c r="E1976" s="97"/>
      <c r="F1976" s="97"/>
      <c r="G1976" s="109"/>
      <c r="H1976" s="109"/>
      <c r="I1976" s="97"/>
      <c r="J1976" s="97"/>
      <c r="K1976" s="83"/>
      <c r="L1976" s="111"/>
      <c r="M1976" s="111"/>
      <c r="N1976" s="111"/>
      <c r="O1976" s="111"/>
      <c r="P1976" s="111"/>
      <c r="Q1976" s="111"/>
      <c r="R1976" s="111"/>
    </row>
    <row r="1977" spans="2:18" s="108" customFormat="1">
      <c r="B1977" s="97"/>
      <c r="C1977" s="110"/>
      <c r="D1977" s="109"/>
      <c r="E1977" s="97"/>
      <c r="F1977" s="97"/>
      <c r="G1977" s="109"/>
      <c r="H1977" s="109"/>
      <c r="I1977" s="97"/>
      <c r="J1977" s="97"/>
      <c r="K1977" s="83"/>
      <c r="L1977" s="111"/>
      <c r="M1977" s="111"/>
      <c r="N1977" s="111"/>
      <c r="O1977" s="111"/>
      <c r="P1977" s="111"/>
      <c r="Q1977" s="111"/>
      <c r="R1977" s="111"/>
    </row>
    <row r="1978" spans="2:18" s="108" customFormat="1">
      <c r="B1978" s="97"/>
      <c r="C1978" s="110"/>
      <c r="D1978" s="109"/>
      <c r="E1978" s="97"/>
      <c r="F1978" s="97"/>
      <c r="G1978" s="109"/>
      <c r="H1978" s="109"/>
      <c r="I1978" s="97"/>
      <c r="J1978" s="97"/>
      <c r="K1978" s="83"/>
      <c r="L1978" s="111"/>
      <c r="M1978" s="111"/>
      <c r="N1978" s="111"/>
      <c r="O1978" s="111"/>
      <c r="P1978" s="111"/>
      <c r="Q1978" s="111"/>
      <c r="R1978" s="111"/>
    </row>
    <row r="1979" spans="2:18" s="108" customFormat="1">
      <c r="B1979" s="97"/>
      <c r="C1979" s="110"/>
      <c r="D1979" s="109"/>
      <c r="E1979" s="97"/>
      <c r="F1979" s="97"/>
      <c r="G1979" s="109"/>
      <c r="H1979" s="109"/>
      <c r="I1979" s="97"/>
      <c r="J1979" s="97"/>
      <c r="K1979" s="83"/>
      <c r="L1979" s="111"/>
      <c r="M1979" s="111"/>
      <c r="N1979" s="111"/>
      <c r="O1979" s="111"/>
      <c r="P1979" s="111"/>
      <c r="Q1979" s="111"/>
      <c r="R1979" s="111"/>
    </row>
    <row r="1980" spans="2:18" s="108" customFormat="1">
      <c r="B1980" s="97"/>
      <c r="C1980" s="110"/>
      <c r="D1980" s="109"/>
      <c r="E1980" s="97"/>
      <c r="F1980" s="97"/>
      <c r="G1980" s="109"/>
      <c r="H1980" s="109"/>
      <c r="I1980" s="97"/>
      <c r="J1980" s="97"/>
      <c r="K1980" s="83"/>
      <c r="L1980" s="111"/>
      <c r="M1980" s="111"/>
      <c r="N1980" s="111"/>
      <c r="O1980" s="111"/>
      <c r="P1980" s="111"/>
      <c r="Q1980" s="111"/>
      <c r="R1980" s="111"/>
    </row>
    <row r="1981" spans="2:18" s="108" customFormat="1">
      <c r="B1981" s="97"/>
      <c r="C1981" s="110"/>
      <c r="D1981" s="109"/>
      <c r="E1981" s="97"/>
      <c r="F1981" s="97"/>
      <c r="G1981" s="109"/>
      <c r="H1981" s="109"/>
      <c r="I1981" s="97"/>
      <c r="J1981" s="97"/>
      <c r="K1981" s="83"/>
      <c r="L1981" s="111"/>
      <c r="M1981" s="111"/>
      <c r="N1981" s="111"/>
      <c r="O1981" s="111"/>
      <c r="P1981" s="111"/>
      <c r="Q1981" s="111"/>
      <c r="R1981" s="111"/>
    </row>
    <row r="1982" spans="2:18" s="108" customFormat="1">
      <c r="B1982" s="97"/>
      <c r="C1982" s="110"/>
      <c r="D1982" s="109"/>
      <c r="E1982" s="97"/>
      <c r="F1982" s="97"/>
      <c r="G1982" s="109"/>
      <c r="H1982" s="109"/>
      <c r="I1982" s="97"/>
      <c r="J1982" s="97"/>
      <c r="K1982" s="83"/>
      <c r="L1982" s="111"/>
      <c r="M1982" s="111"/>
      <c r="N1982" s="111"/>
      <c r="O1982" s="111"/>
      <c r="P1982" s="111"/>
      <c r="Q1982" s="111"/>
      <c r="R1982" s="111"/>
    </row>
    <row r="1983" spans="2:18" s="108" customFormat="1">
      <c r="B1983" s="97"/>
      <c r="C1983" s="110"/>
      <c r="D1983" s="109"/>
      <c r="E1983" s="97"/>
      <c r="F1983" s="97"/>
      <c r="G1983" s="109"/>
      <c r="H1983" s="109"/>
      <c r="I1983" s="97"/>
      <c r="J1983" s="97"/>
      <c r="K1983" s="83"/>
      <c r="L1983" s="111"/>
      <c r="M1983" s="111"/>
      <c r="N1983" s="111"/>
      <c r="O1983" s="111"/>
      <c r="P1983" s="111"/>
      <c r="Q1983" s="111"/>
      <c r="R1983" s="111"/>
    </row>
    <row r="1984" spans="2:18" s="108" customFormat="1">
      <c r="B1984" s="97"/>
      <c r="C1984" s="110"/>
      <c r="D1984" s="109"/>
      <c r="E1984" s="97"/>
      <c r="F1984" s="97"/>
      <c r="G1984" s="109"/>
      <c r="H1984" s="109"/>
      <c r="I1984" s="97"/>
      <c r="J1984" s="97"/>
      <c r="K1984" s="83"/>
      <c r="L1984" s="111"/>
      <c r="M1984" s="111"/>
      <c r="N1984" s="111"/>
      <c r="O1984" s="111"/>
      <c r="P1984" s="111"/>
      <c r="Q1984" s="111"/>
      <c r="R1984" s="111"/>
    </row>
    <row r="1985" spans="2:18" s="108" customFormat="1">
      <c r="B1985" s="97"/>
      <c r="C1985" s="110"/>
      <c r="D1985" s="109"/>
      <c r="E1985" s="97"/>
      <c r="F1985" s="97"/>
      <c r="G1985" s="109"/>
      <c r="H1985" s="109"/>
      <c r="I1985" s="97"/>
      <c r="J1985" s="97"/>
      <c r="K1985" s="83"/>
      <c r="L1985" s="111"/>
      <c r="M1985" s="111"/>
      <c r="N1985" s="111"/>
      <c r="O1985" s="111"/>
      <c r="P1985" s="111"/>
      <c r="Q1985" s="111"/>
      <c r="R1985" s="111"/>
    </row>
    <row r="1986" spans="2:18" s="108" customFormat="1">
      <c r="B1986" s="97"/>
      <c r="C1986" s="110"/>
      <c r="D1986" s="109"/>
      <c r="E1986" s="97"/>
      <c r="F1986" s="97"/>
      <c r="G1986" s="109"/>
      <c r="H1986" s="109"/>
      <c r="I1986" s="97"/>
      <c r="J1986" s="97"/>
      <c r="K1986" s="83"/>
      <c r="L1986" s="111"/>
      <c r="M1986" s="111"/>
      <c r="N1986" s="111"/>
      <c r="O1986" s="111"/>
      <c r="P1986" s="111"/>
      <c r="Q1986" s="111"/>
      <c r="R1986" s="111"/>
    </row>
    <row r="1987" spans="2:18" s="108" customFormat="1">
      <c r="B1987" s="97"/>
      <c r="C1987" s="110"/>
      <c r="D1987" s="109"/>
      <c r="E1987" s="97"/>
      <c r="F1987" s="97"/>
      <c r="G1987" s="109"/>
      <c r="H1987" s="109"/>
      <c r="I1987" s="97"/>
      <c r="J1987" s="97"/>
      <c r="K1987" s="83"/>
      <c r="L1987" s="111"/>
      <c r="M1987" s="111"/>
      <c r="N1987" s="111"/>
      <c r="O1987" s="111"/>
      <c r="P1987" s="111"/>
      <c r="Q1987" s="111"/>
      <c r="R1987" s="111"/>
    </row>
    <row r="1988" spans="2:18" s="108" customFormat="1">
      <c r="B1988" s="97"/>
      <c r="C1988" s="110"/>
      <c r="D1988" s="109"/>
      <c r="E1988" s="97"/>
      <c r="F1988" s="97"/>
      <c r="G1988" s="109"/>
      <c r="H1988" s="109"/>
      <c r="I1988" s="97"/>
      <c r="J1988" s="97"/>
      <c r="K1988" s="83"/>
      <c r="L1988" s="111"/>
      <c r="M1988" s="111"/>
      <c r="N1988" s="111"/>
      <c r="O1988" s="111"/>
      <c r="P1988" s="111"/>
      <c r="Q1988" s="111"/>
      <c r="R1988" s="111"/>
    </row>
    <row r="1989" spans="2:18" s="108" customFormat="1">
      <c r="B1989" s="97"/>
      <c r="C1989" s="110"/>
      <c r="D1989" s="109"/>
      <c r="E1989" s="97"/>
      <c r="F1989" s="97"/>
      <c r="G1989" s="109"/>
      <c r="H1989" s="109"/>
      <c r="I1989" s="97"/>
      <c r="J1989" s="97"/>
      <c r="K1989" s="83"/>
      <c r="L1989" s="111"/>
      <c r="M1989" s="111"/>
      <c r="N1989" s="111"/>
      <c r="O1989" s="111"/>
      <c r="P1989" s="111"/>
      <c r="Q1989" s="111"/>
      <c r="R1989" s="111"/>
    </row>
    <row r="1990" spans="2:18" s="108" customFormat="1">
      <c r="B1990" s="97"/>
      <c r="C1990" s="110"/>
      <c r="D1990" s="109"/>
      <c r="E1990" s="97"/>
      <c r="F1990" s="97"/>
      <c r="G1990" s="109"/>
      <c r="H1990" s="109"/>
      <c r="I1990" s="97"/>
      <c r="J1990" s="97"/>
      <c r="K1990" s="83"/>
      <c r="L1990" s="111"/>
      <c r="M1990" s="111"/>
      <c r="N1990" s="111"/>
      <c r="O1990" s="111"/>
      <c r="P1990" s="111"/>
      <c r="Q1990" s="111"/>
      <c r="R1990" s="111"/>
    </row>
    <row r="1991" spans="2:18" s="108" customFormat="1">
      <c r="B1991" s="97"/>
      <c r="C1991" s="110"/>
      <c r="D1991" s="109"/>
      <c r="E1991" s="97"/>
      <c r="F1991" s="97"/>
      <c r="G1991" s="109"/>
      <c r="H1991" s="109"/>
      <c r="I1991" s="97"/>
      <c r="J1991" s="97"/>
      <c r="K1991" s="83"/>
      <c r="L1991" s="111"/>
      <c r="M1991" s="111"/>
      <c r="N1991" s="111"/>
      <c r="O1991" s="111"/>
      <c r="P1991" s="111"/>
      <c r="Q1991" s="111"/>
      <c r="R1991" s="111"/>
    </row>
    <row r="1992" spans="2:18" s="108" customFormat="1">
      <c r="B1992" s="97"/>
      <c r="C1992" s="110"/>
      <c r="D1992" s="109"/>
      <c r="E1992" s="97"/>
      <c r="F1992" s="97"/>
      <c r="G1992" s="109"/>
      <c r="H1992" s="109"/>
      <c r="I1992" s="97"/>
      <c r="J1992" s="97"/>
      <c r="K1992" s="83"/>
      <c r="L1992" s="111"/>
      <c r="M1992" s="111"/>
      <c r="N1992" s="111"/>
      <c r="O1992" s="111"/>
      <c r="P1992" s="111"/>
      <c r="Q1992" s="111"/>
      <c r="R1992" s="111"/>
    </row>
    <row r="1993" spans="2:18" s="108" customFormat="1">
      <c r="B1993" s="97"/>
      <c r="C1993" s="110"/>
      <c r="D1993" s="109"/>
      <c r="E1993" s="97"/>
      <c r="F1993" s="97"/>
      <c r="G1993" s="109"/>
      <c r="H1993" s="109"/>
      <c r="I1993" s="97"/>
      <c r="J1993" s="97"/>
      <c r="K1993" s="83"/>
      <c r="L1993" s="111"/>
      <c r="M1993" s="111"/>
      <c r="N1993" s="111"/>
      <c r="O1993" s="111"/>
      <c r="P1993" s="111"/>
      <c r="Q1993" s="111"/>
      <c r="R1993" s="111"/>
    </row>
    <row r="1994" spans="2:18" s="108" customFormat="1">
      <c r="B1994" s="97"/>
      <c r="C1994" s="110"/>
      <c r="D1994" s="109"/>
      <c r="E1994" s="97"/>
      <c r="F1994" s="97"/>
      <c r="G1994" s="109"/>
      <c r="H1994" s="109"/>
      <c r="I1994" s="97"/>
      <c r="J1994" s="97"/>
      <c r="K1994" s="83"/>
      <c r="L1994" s="111"/>
      <c r="M1994" s="111"/>
      <c r="N1994" s="111"/>
      <c r="O1994" s="111"/>
      <c r="P1994" s="111"/>
      <c r="Q1994" s="111"/>
      <c r="R1994" s="111"/>
    </row>
    <row r="1995" spans="2:18" s="108" customFormat="1">
      <c r="B1995" s="97"/>
      <c r="C1995" s="110"/>
      <c r="D1995" s="109"/>
      <c r="E1995" s="97"/>
      <c r="F1995" s="97"/>
      <c r="G1995" s="109"/>
      <c r="H1995" s="109"/>
      <c r="I1995" s="97"/>
      <c r="J1995" s="97"/>
      <c r="K1995" s="83"/>
      <c r="L1995" s="111"/>
      <c r="M1995" s="111"/>
      <c r="N1995" s="111"/>
      <c r="O1995" s="111"/>
      <c r="P1995" s="111"/>
      <c r="Q1995" s="111"/>
      <c r="R1995" s="111"/>
    </row>
    <row r="1996" spans="2:18" s="108" customFormat="1">
      <c r="B1996" s="97"/>
      <c r="C1996" s="110"/>
      <c r="D1996" s="109"/>
      <c r="E1996" s="97"/>
      <c r="F1996" s="97"/>
      <c r="G1996" s="109"/>
      <c r="H1996" s="109"/>
      <c r="I1996" s="97"/>
      <c r="J1996" s="97"/>
      <c r="K1996" s="83"/>
      <c r="L1996" s="111"/>
      <c r="M1996" s="111"/>
      <c r="N1996" s="111"/>
      <c r="O1996" s="111"/>
      <c r="P1996" s="111"/>
      <c r="Q1996" s="111"/>
      <c r="R1996" s="111"/>
    </row>
    <row r="1997" spans="2:18" s="108" customFormat="1">
      <c r="B1997" s="97"/>
      <c r="C1997" s="110"/>
      <c r="D1997" s="109"/>
      <c r="E1997" s="97"/>
      <c r="F1997" s="97"/>
      <c r="G1997" s="109"/>
      <c r="H1997" s="109"/>
      <c r="I1997" s="97"/>
      <c r="J1997" s="97"/>
      <c r="K1997" s="83"/>
      <c r="L1997" s="111"/>
      <c r="M1997" s="111"/>
      <c r="N1997" s="111"/>
      <c r="O1997" s="111"/>
      <c r="P1997" s="111"/>
      <c r="Q1997" s="111"/>
      <c r="R1997" s="111"/>
    </row>
    <row r="1998" spans="2:18" s="108" customFormat="1">
      <c r="B1998" s="97"/>
      <c r="C1998" s="110"/>
      <c r="D1998" s="109"/>
      <c r="E1998" s="97"/>
      <c r="F1998" s="97"/>
      <c r="G1998" s="109"/>
      <c r="H1998" s="109"/>
      <c r="I1998" s="97"/>
      <c r="J1998" s="97"/>
      <c r="K1998" s="83"/>
      <c r="L1998" s="111"/>
      <c r="M1998" s="111"/>
      <c r="N1998" s="111"/>
      <c r="O1998" s="111"/>
      <c r="P1998" s="111"/>
      <c r="Q1998" s="111"/>
      <c r="R1998" s="111"/>
    </row>
    <row r="1999" spans="2:18" s="108" customFormat="1">
      <c r="B1999" s="97"/>
      <c r="C1999" s="110"/>
      <c r="D1999" s="109"/>
      <c r="E1999" s="97"/>
      <c r="F1999" s="97"/>
      <c r="G1999" s="109"/>
      <c r="H1999" s="109"/>
      <c r="I1999" s="97"/>
      <c r="J1999" s="97"/>
      <c r="K1999" s="83"/>
      <c r="L1999" s="111"/>
      <c r="M1999" s="111"/>
      <c r="N1999" s="111"/>
      <c r="O1999" s="111"/>
      <c r="P1999" s="111"/>
      <c r="Q1999" s="111"/>
      <c r="R1999" s="111"/>
    </row>
    <row r="2000" spans="2:18" s="108" customFormat="1">
      <c r="B2000" s="97"/>
      <c r="C2000" s="110"/>
      <c r="D2000" s="109"/>
      <c r="E2000" s="97"/>
      <c r="F2000" s="97"/>
      <c r="G2000" s="109"/>
      <c r="H2000" s="109"/>
      <c r="I2000" s="97"/>
      <c r="J2000" s="97"/>
      <c r="K2000" s="83"/>
      <c r="L2000" s="111"/>
      <c r="M2000" s="111"/>
      <c r="N2000" s="111"/>
      <c r="O2000" s="111"/>
      <c r="P2000" s="111"/>
      <c r="Q2000" s="111"/>
      <c r="R2000" s="111"/>
    </row>
    <row r="2001" spans="2:18" s="108" customFormat="1">
      <c r="B2001" s="97"/>
      <c r="C2001" s="110"/>
      <c r="D2001" s="109"/>
      <c r="E2001" s="97"/>
      <c r="F2001" s="97"/>
      <c r="G2001" s="109"/>
      <c r="H2001" s="109"/>
      <c r="I2001" s="97"/>
      <c r="J2001" s="97"/>
      <c r="K2001" s="83"/>
      <c r="L2001" s="111"/>
      <c r="M2001" s="111"/>
      <c r="N2001" s="111"/>
      <c r="O2001" s="111"/>
      <c r="P2001" s="111"/>
      <c r="Q2001" s="111"/>
      <c r="R2001" s="111"/>
    </row>
    <row r="2002" spans="2:18" s="108" customFormat="1">
      <c r="B2002" s="97"/>
      <c r="C2002" s="110"/>
      <c r="D2002" s="109"/>
      <c r="E2002" s="97"/>
      <c r="F2002" s="97"/>
      <c r="G2002" s="109"/>
      <c r="H2002" s="109"/>
      <c r="I2002" s="97"/>
      <c r="J2002" s="97"/>
      <c r="K2002" s="83"/>
      <c r="L2002" s="111"/>
      <c r="M2002" s="111"/>
      <c r="N2002" s="111"/>
      <c r="O2002" s="111"/>
      <c r="P2002" s="111"/>
      <c r="Q2002" s="111"/>
      <c r="R2002" s="111"/>
    </row>
    <row r="2003" spans="2:18" s="108" customFormat="1">
      <c r="B2003" s="97"/>
      <c r="C2003" s="110"/>
      <c r="D2003" s="109"/>
      <c r="E2003" s="97"/>
      <c r="F2003" s="97"/>
      <c r="G2003" s="109"/>
      <c r="H2003" s="109"/>
      <c r="I2003" s="97"/>
      <c r="J2003" s="97"/>
      <c r="K2003" s="83"/>
      <c r="L2003" s="111"/>
      <c r="M2003" s="111"/>
      <c r="N2003" s="111"/>
      <c r="O2003" s="111"/>
      <c r="P2003" s="111"/>
      <c r="Q2003" s="111"/>
      <c r="R2003" s="111"/>
    </row>
    <row r="2004" spans="2:18" s="108" customFormat="1">
      <c r="B2004" s="97"/>
      <c r="C2004" s="110"/>
      <c r="D2004" s="109"/>
      <c r="E2004" s="97"/>
      <c r="F2004" s="97"/>
      <c r="G2004" s="109"/>
      <c r="H2004" s="109"/>
      <c r="I2004" s="97"/>
      <c r="J2004" s="97"/>
      <c r="K2004" s="83"/>
      <c r="L2004" s="111"/>
      <c r="M2004" s="111"/>
      <c r="N2004" s="111"/>
      <c r="O2004" s="111"/>
      <c r="P2004" s="111"/>
      <c r="Q2004" s="111"/>
      <c r="R2004" s="111"/>
    </row>
    <row r="2005" spans="2:18" s="108" customFormat="1">
      <c r="B2005" s="97"/>
      <c r="C2005" s="110"/>
      <c r="D2005" s="109"/>
      <c r="E2005" s="97"/>
      <c r="F2005" s="97"/>
      <c r="G2005" s="109"/>
      <c r="H2005" s="109"/>
      <c r="I2005" s="97"/>
      <c r="J2005" s="97"/>
      <c r="K2005" s="83"/>
      <c r="L2005" s="111"/>
      <c r="M2005" s="111"/>
      <c r="N2005" s="111"/>
      <c r="O2005" s="111"/>
      <c r="P2005" s="111"/>
      <c r="Q2005" s="111"/>
      <c r="R2005" s="111"/>
    </row>
    <row r="2006" spans="2:18" s="108" customFormat="1">
      <c r="B2006" s="97"/>
      <c r="C2006" s="110"/>
      <c r="D2006" s="109"/>
      <c r="E2006" s="97"/>
      <c r="F2006" s="97"/>
      <c r="G2006" s="109"/>
      <c r="H2006" s="109"/>
      <c r="I2006" s="97"/>
      <c r="J2006" s="97"/>
      <c r="K2006" s="83"/>
      <c r="L2006" s="111"/>
      <c r="M2006" s="111"/>
      <c r="N2006" s="111"/>
      <c r="O2006" s="111"/>
      <c r="P2006" s="111"/>
      <c r="Q2006" s="111"/>
      <c r="R2006" s="111"/>
    </row>
    <row r="2007" spans="2:18" s="108" customFormat="1">
      <c r="B2007" s="97"/>
      <c r="C2007" s="110"/>
      <c r="D2007" s="109"/>
      <c r="E2007" s="97"/>
      <c r="F2007" s="97"/>
      <c r="G2007" s="109"/>
      <c r="H2007" s="109"/>
      <c r="I2007" s="97"/>
      <c r="J2007" s="97"/>
      <c r="K2007" s="83"/>
      <c r="L2007" s="111"/>
      <c r="M2007" s="111"/>
      <c r="N2007" s="111"/>
      <c r="O2007" s="111"/>
      <c r="P2007" s="111"/>
      <c r="Q2007" s="111"/>
      <c r="R2007" s="111"/>
    </row>
    <row r="2008" spans="2:18" s="108" customFormat="1">
      <c r="B2008" s="97"/>
      <c r="C2008" s="110"/>
      <c r="D2008" s="109"/>
      <c r="E2008" s="97"/>
      <c r="F2008" s="97"/>
      <c r="G2008" s="109"/>
      <c r="H2008" s="109"/>
      <c r="I2008" s="97"/>
      <c r="J2008" s="97"/>
      <c r="K2008" s="83"/>
      <c r="L2008" s="111"/>
      <c r="M2008" s="111"/>
      <c r="N2008" s="111"/>
      <c r="O2008" s="111"/>
      <c r="P2008" s="111"/>
      <c r="Q2008" s="111"/>
      <c r="R2008" s="111"/>
    </row>
    <row r="2009" spans="2:18" s="108" customFormat="1">
      <c r="B2009" s="97"/>
      <c r="C2009" s="110"/>
      <c r="D2009" s="109"/>
      <c r="E2009" s="97"/>
      <c r="F2009" s="97"/>
      <c r="G2009" s="109"/>
      <c r="H2009" s="109"/>
      <c r="I2009" s="97"/>
      <c r="J2009" s="97"/>
      <c r="K2009" s="83"/>
      <c r="L2009" s="111"/>
      <c r="M2009" s="111"/>
      <c r="N2009" s="111"/>
      <c r="O2009" s="111"/>
      <c r="P2009" s="111"/>
      <c r="Q2009" s="111"/>
      <c r="R2009" s="111"/>
    </row>
    <row r="2010" spans="2:18" s="108" customFormat="1">
      <c r="B2010" s="97"/>
      <c r="C2010" s="110"/>
      <c r="D2010" s="109"/>
      <c r="E2010" s="97"/>
      <c r="F2010" s="97"/>
      <c r="G2010" s="109"/>
      <c r="H2010" s="109"/>
      <c r="I2010" s="97"/>
      <c r="J2010" s="97"/>
      <c r="K2010" s="83"/>
      <c r="L2010" s="111"/>
      <c r="M2010" s="111"/>
      <c r="N2010" s="111"/>
      <c r="O2010" s="111"/>
      <c r="P2010" s="111"/>
      <c r="Q2010" s="111"/>
      <c r="R2010" s="111"/>
    </row>
    <row r="2011" spans="2:18" s="108" customFormat="1">
      <c r="B2011" s="97"/>
      <c r="C2011" s="110"/>
      <c r="D2011" s="109"/>
      <c r="E2011" s="97"/>
      <c r="F2011" s="97"/>
      <c r="G2011" s="109"/>
      <c r="H2011" s="109"/>
      <c r="I2011" s="97"/>
      <c r="J2011" s="97"/>
      <c r="K2011" s="83"/>
      <c r="L2011" s="111"/>
      <c r="M2011" s="111"/>
      <c r="N2011" s="111"/>
      <c r="O2011" s="111"/>
      <c r="P2011" s="111"/>
      <c r="Q2011" s="111"/>
      <c r="R2011" s="111"/>
    </row>
    <row r="2012" spans="2:18" s="108" customFormat="1">
      <c r="B2012" s="97"/>
      <c r="C2012" s="110"/>
      <c r="D2012" s="109"/>
      <c r="E2012" s="97"/>
      <c r="F2012" s="97"/>
      <c r="G2012" s="109"/>
      <c r="H2012" s="109"/>
      <c r="I2012" s="97"/>
      <c r="J2012" s="97"/>
      <c r="K2012" s="83"/>
      <c r="L2012" s="111"/>
      <c r="M2012" s="111"/>
      <c r="N2012" s="111"/>
      <c r="O2012" s="111"/>
      <c r="P2012" s="111"/>
      <c r="Q2012" s="111"/>
      <c r="R2012" s="111"/>
    </row>
    <row r="2013" spans="2:18" s="108" customFormat="1">
      <c r="B2013" s="97"/>
      <c r="C2013" s="110"/>
      <c r="D2013" s="109"/>
      <c r="E2013" s="97"/>
      <c r="F2013" s="97"/>
      <c r="G2013" s="109"/>
      <c r="H2013" s="109"/>
      <c r="I2013" s="97"/>
      <c r="J2013" s="97"/>
      <c r="K2013" s="83"/>
      <c r="L2013" s="111"/>
      <c r="M2013" s="111"/>
      <c r="N2013" s="111"/>
      <c r="O2013" s="111"/>
      <c r="P2013" s="111"/>
      <c r="Q2013" s="111"/>
      <c r="R2013" s="111"/>
    </row>
    <row r="2014" spans="2:18" s="108" customFormat="1">
      <c r="B2014" s="97"/>
      <c r="C2014" s="110"/>
      <c r="D2014" s="109"/>
      <c r="E2014" s="97"/>
      <c r="F2014" s="97"/>
      <c r="G2014" s="109"/>
      <c r="H2014" s="109"/>
      <c r="I2014" s="97"/>
      <c r="J2014" s="97"/>
      <c r="K2014" s="83"/>
      <c r="L2014" s="111"/>
      <c r="M2014" s="111"/>
      <c r="N2014" s="111"/>
      <c r="O2014" s="111"/>
      <c r="P2014" s="111"/>
      <c r="Q2014" s="111"/>
      <c r="R2014" s="111"/>
    </row>
    <row r="2015" spans="2:18" s="108" customFormat="1">
      <c r="B2015" s="97"/>
      <c r="C2015" s="110"/>
      <c r="D2015" s="109"/>
      <c r="E2015" s="97"/>
      <c r="F2015" s="97"/>
      <c r="G2015" s="109"/>
      <c r="H2015" s="109"/>
      <c r="I2015" s="97"/>
      <c r="J2015" s="97"/>
      <c r="K2015" s="83"/>
      <c r="L2015" s="111"/>
      <c r="M2015" s="111"/>
      <c r="N2015" s="111"/>
      <c r="O2015" s="111"/>
      <c r="P2015" s="111"/>
      <c r="Q2015" s="111"/>
      <c r="R2015" s="111"/>
    </row>
    <row r="2016" spans="2:18" s="108" customFormat="1">
      <c r="B2016" s="97"/>
      <c r="C2016" s="110"/>
      <c r="D2016" s="109"/>
      <c r="E2016" s="97"/>
      <c r="F2016" s="97"/>
      <c r="G2016" s="109"/>
      <c r="H2016" s="109"/>
      <c r="I2016" s="97"/>
      <c r="J2016" s="97"/>
      <c r="K2016" s="83"/>
      <c r="L2016" s="111"/>
      <c r="M2016" s="111"/>
      <c r="N2016" s="111"/>
      <c r="O2016" s="111"/>
      <c r="P2016" s="111"/>
      <c r="Q2016" s="111"/>
      <c r="R2016" s="111"/>
    </row>
    <row r="2017" spans="2:18" s="108" customFormat="1">
      <c r="B2017" s="97"/>
      <c r="C2017" s="110"/>
      <c r="D2017" s="109"/>
      <c r="E2017" s="97"/>
      <c r="F2017" s="97"/>
      <c r="G2017" s="109"/>
      <c r="H2017" s="109"/>
      <c r="I2017" s="97"/>
      <c r="J2017" s="97"/>
      <c r="K2017" s="83"/>
      <c r="L2017" s="111"/>
      <c r="M2017" s="111"/>
      <c r="N2017" s="111"/>
      <c r="O2017" s="111"/>
      <c r="P2017" s="111"/>
      <c r="Q2017" s="111"/>
      <c r="R2017" s="111"/>
    </row>
    <row r="2018" spans="2:18" s="108" customFormat="1">
      <c r="B2018" s="97"/>
      <c r="C2018" s="110"/>
      <c r="D2018" s="109"/>
      <c r="E2018" s="97"/>
      <c r="F2018" s="97"/>
      <c r="G2018" s="109"/>
      <c r="H2018" s="109"/>
      <c r="I2018" s="97"/>
      <c r="J2018" s="97"/>
      <c r="K2018" s="83"/>
      <c r="L2018" s="111"/>
      <c r="M2018" s="111"/>
      <c r="N2018" s="111"/>
      <c r="O2018" s="111"/>
      <c r="P2018" s="111"/>
      <c r="Q2018" s="111"/>
      <c r="R2018" s="111"/>
    </row>
    <row r="2019" spans="2:18" s="108" customFormat="1">
      <c r="B2019" s="97"/>
      <c r="C2019" s="110"/>
      <c r="D2019" s="109"/>
      <c r="E2019" s="97"/>
      <c r="F2019" s="97"/>
      <c r="G2019" s="109"/>
      <c r="H2019" s="109"/>
      <c r="I2019" s="97"/>
      <c r="J2019" s="97"/>
      <c r="K2019" s="83"/>
      <c r="L2019" s="111"/>
      <c r="M2019" s="111"/>
      <c r="N2019" s="111"/>
      <c r="O2019" s="111"/>
      <c r="P2019" s="111"/>
      <c r="Q2019" s="111"/>
      <c r="R2019" s="111"/>
    </row>
    <row r="2020" spans="2:18" s="108" customFormat="1">
      <c r="B2020" s="97"/>
      <c r="C2020" s="110"/>
      <c r="D2020" s="109"/>
      <c r="E2020" s="97"/>
      <c r="F2020" s="97"/>
      <c r="G2020" s="109"/>
      <c r="H2020" s="109"/>
      <c r="I2020" s="97"/>
      <c r="J2020" s="97"/>
      <c r="K2020" s="83"/>
      <c r="L2020" s="111"/>
      <c r="M2020" s="111"/>
      <c r="N2020" s="111"/>
      <c r="O2020" s="111"/>
      <c r="P2020" s="111"/>
      <c r="Q2020" s="111"/>
      <c r="R2020" s="111"/>
    </row>
    <row r="2021" spans="2:18" s="108" customFormat="1">
      <c r="B2021" s="97"/>
      <c r="C2021" s="110"/>
      <c r="D2021" s="109"/>
      <c r="E2021" s="97"/>
      <c r="F2021" s="97"/>
      <c r="G2021" s="109"/>
      <c r="H2021" s="109"/>
      <c r="I2021" s="97"/>
      <c r="J2021" s="97"/>
      <c r="K2021" s="83"/>
      <c r="L2021" s="111"/>
      <c r="M2021" s="111"/>
      <c r="N2021" s="111"/>
      <c r="O2021" s="111"/>
      <c r="P2021" s="111"/>
      <c r="Q2021" s="111"/>
      <c r="R2021" s="111"/>
    </row>
    <row r="2022" spans="2:18" s="108" customFormat="1">
      <c r="B2022" s="97"/>
      <c r="C2022" s="110"/>
      <c r="D2022" s="109"/>
      <c r="E2022" s="97"/>
      <c r="F2022" s="97"/>
      <c r="G2022" s="109"/>
      <c r="H2022" s="109"/>
      <c r="I2022" s="97"/>
      <c r="J2022" s="97"/>
      <c r="K2022" s="83"/>
      <c r="L2022" s="111"/>
      <c r="M2022" s="111"/>
      <c r="N2022" s="111"/>
      <c r="O2022" s="111"/>
      <c r="P2022" s="111"/>
      <c r="Q2022" s="111"/>
      <c r="R2022" s="111"/>
    </row>
    <row r="2023" spans="2:18" s="108" customFormat="1">
      <c r="B2023" s="97"/>
      <c r="C2023" s="110"/>
      <c r="D2023" s="109"/>
      <c r="E2023" s="97"/>
      <c r="F2023" s="97"/>
      <c r="G2023" s="109"/>
      <c r="H2023" s="109"/>
      <c r="I2023" s="97"/>
      <c r="J2023" s="97"/>
      <c r="K2023" s="83"/>
      <c r="L2023" s="111"/>
      <c r="M2023" s="111"/>
      <c r="N2023" s="111"/>
      <c r="O2023" s="111"/>
      <c r="P2023" s="111"/>
      <c r="Q2023" s="111"/>
      <c r="R2023" s="111"/>
    </row>
    <row r="2024" spans="2:18" s="108" customFormat="1">
      <c r="B2024" s="97"/>
      <c r="C2024" s="110"/>
      <c r="D2024" s="109"/>
      <c r="E2024" s="97"/>
      <c r="F2024" s="97"/>
      <c r="G2024" s="109"/>
      <c r="H2024" s="109"/>
      <c r="I2024" s="97"/>
      <c r="J2024" s="97"/>
      <c r="K2024" s="83"/>
      <c r="L2024" s="111"/>
      <c r="M2024" s="111"/>
      <c r="N2024" s="111"/>
      <c r="O2024" s="111"/>
      <c r="P2024" s="111"/>
      <c r="Q2024" s="111"/>
      <c r="R2024" s="111"/>
    </row>
    <row r="2025" spans="2:18" s="108" customFormat="1">
      <c r="B2025" s="97"/>
      <c r="C2025" s="110"/>
      <c r="D2025" s="109"/>
      <c r="E2025" s="97"/>
      <c r="F2025" s="97"/>
      <c r="G2025" s="109"/>
      <c r="H2025" s="109"/>
      <c r="I2025" s="97"/>
      <c r="J2025" s="97"/>
      <c r="K2025" s="83"/>
      <c r="L2025" s="111"/>
      <c r="M2025" s="111"/>
      <c r="N2025" s="111"/>
      <c r="O2025" s="111"/>
      <c r="P2025" s="111"/>
      <c r="Q2025" s="111"/>
      <c r="R2025" s="111"/>
    </row>
    <row r="2026" spans="2:18" s="108" customFormat="1">
      <c r="B2026" s="97"/>
      <c r="C2026" s="110"/>
      <c r="D2026" s="109"/>
      <c r="E2026" s="97"/>
      <c r="F2026" s="97"/>
      <c r="G2026" s="109"/>
      <c r="H2026" s="109"/>
      <c r="I2026" s="97"/>
      <c r="J2026" s="97"/>
      <c r="K2026" s="83"/>
      <c r="L2026" s="111"/>
      <c r="M2026" s="111"/>
      <c r="N2026" s="111"/>
      <c r="O2026" s="111"/>
      <c r="P2026" s="111"/>
      <c r="Q2026" s="111"/>
      <c r="R2026" s="111"/>
    </row>
    <row r="2027" spans="2:18" s="108" customFormat="1">
      <c r="B2027" s="97"/>
      <c r="C2027" s="110"/>
      <c r="D2027" s="109"/>
      <c r="E2027" s="97"/>
      <c r="F2027" s="97"/>
      <c r="G2027" s="109"/>
      <c r="H2027" s="109"/>
      <c r="I2027" s="97"/>
      <c r="J2027" s="97"/>
      <c r="K2027" s="83"/>
      <c r="L2027" s="111"/>
      <c r="M2027" s="111"/>
      <c r="N2027" s="111"/>
      <c r="O2027" s="111"/>
      <c r="P2027" s="111"/>
      <c r="Q2027" s="111"/>
      <c r="R2027" s="111"/>
    </row>
    <row r="2028" spans="2:18" s="108" customFormat="1">
      <c r="B2028" s="97"/>
      <c r="C2028" s="110"/>
      <c r="D2028" s="109"/>
      <c r="E2028" s="97"/>
      <c r="F2028" s="97"/>
      <c r="G2028" s="109"/>
      <c r="H2028" s="109"/>
      <c r="I2028" s="97"/>
      <c r="J2028" s="97"/>
      <c r="K2028" s="83"/>
      <c r="L2028" s="111"/>
      <c r="M2028" s="111"/>
      <c r="N2028" s="111"/>
      <c r="O2028" s="111"/>
      <c r="P2028" s="111"/>
      <c r="Q2028" s="111"/>
      <c r="R2028" s="111"/>
    </row>
    <row r="2029" spans="2:18" s="108" customFormat="1">
      <c r="B2029" s="97"/>
      <c r="C2029" s="110"/>
      <c r="D2029" s="109"/>
      <c r="E2029" s="97"/>
      <c r="F2029" s="97"/>
      <c r="G2029" s="109"/>
      <c r="H2029" s="109"/>
      <c r="I2029" s="97"/>
      <c r="J2029" s="97"/>
      <c r="K2029" s="83"/>
      <c r="L2029" s="111"/>
      <c r="M2029" s="111"/>
      <c r="N2029" s="111"/>
      <c r="O2029" s="111"/>
      <c r="P2029" s="111"/>
      <c r="Q2029" s="111"/>
      <c r="R2029" s="111"/>
    </row>
    <row r="2030" spans="2:18" s="108" customFormat="1">
      <c r="B2030" s="97"/>
      <c r="C2030" s="110"/>
      <c r="D2030" s="109"/>
      <c r="E2030" s="97"/>
      <c r="F2030" s="97"/>
      <c r="G2030" s="109"/>
      <c r="H2030" s="109"/>
      <c r="I2030" s="97"/>
      <c r="J2030" s="97"/>
      <c r="K2030" s="83"/>
      <c r="L2030" s="111"/>
      <c r="M2030" s="111"/>
      <c r="N2030" s="111"/>
      <c r="O2030" s="111"/>
      <c r="P2030" s="111"/>
      <c r="Q2030" s="111"/>
      <c r="R2030" s="111"/>
    </row>
    <row r="2031" spans="2:18" s="108" customFormat="1">
      <c r="B2031" s="97"/>
      <c r="C2031" s="110"/>
      <c r="D2031" s="109"/>
      <c r="E2031" s="97"/>
      <c r="F2031" s="97"/>
      <c r="G2031" s="109"/>
      <c r="H2031" s="109"/>
      <c r="I2031" s="97"/>
      <c r="J2031" s="97"/>
      <c r="K2031" s="83"/>
      <c r="L2031" s="111"/>
      <c r="M2031" s="111"/>
      <c r="N2031" s="111"/>
      <c r="O2031" s="111"/>
      <c r="P2031" s="111"/>
      <c r="Q2031" s="111"/>
      <c r="R2031" s="111"/>
    </row>
    <row r="2032" spans="2:18" s="108" customFormat="1">
      <c r="B2032" s="97"/>
      <c r="C2032" s="110"/>
      <c r="D2032" s="109"/>
      <c r="E2032" s="97"/>
      <c r="F2032" s="97"/>
      <c r="G2032" s="109"/>
      <c r="H2032" s="109"/>
      <c r="I2032" s="97"/>
      <c r="J2032" s="97"/>
      <c r="K2032" s="83"/>
      <c r="L2032" s="111"/>
      <c r="M2032" s="111"/>
      <c r="N2032" s="111"/>
      <c r="O2032" s="111"/>
      <c r="P2032" s="111"/>
      <c r="Q2032" s="111"/>
      <c r="R2032" s="111"/>
    </row>
    <row r="2033" spans="2:18" s="108" customFormat="1">
      <c r="B2033" s="97"/>
      <c r="C2033" s="110"/>
      <c r="D2033" s="109"/>
      <c r="E2033" s="97"/>
      <c r="F2033" s="97"/>
      <c r="G2033" s="109"/>
      <c r="H2033" s="109"/>
      <c r="I2033" s="97"/>
      <c r="J2033" s="97"/>
      <c r="K2033" s="83"/>
      <c r="L2033" s="111"/>
      <c r="M2033" s="111"/>
      <c r="N2033" s="111"/>
      <c r="O2033" s="111"/>
      <c r="P2033" s="111"/>
      <c r="Q2033" s="111"/>
      <c r="R2033" s="111"/>
    </row>
    <row r="2034" spans="2:18" s="108" customFormat="1">
      <c r="B2034" s="97"/>
      <c r="C2034" s="110"/>
      <c r="D2034" s="109"/>
      <c r="E2034" s="97"/>
      <c r="F2034" s="97"/>
      <c r="G2034" s="109"/>
      <c r="H2034" s="109"/>
      <c r="I2034" s="97"/>
      <c r="J2034" s="97"/>
      <c r="K2034" s="83"/>
      <c r="L2034" s="111"/>
      <c r="M2034" s="111"/>
      <c r="N2034" s="111"/>
      <c r="O2034" s="111"/>
      <c r="P2034" s="111"/>
      <c r="Q2034" s="111"/>
      <c r="R2034" s="111"/>
    </row>
    <row r="2035" spans="2:18" s="108" customFormat="1">
      <c r="B2035" s="97"/>
      <c r="C2035" s="110"/>
      <c r="D2035" s="109"/>
      <c r="E2035" s="97"/>
      <c r="F2035" s="97"/>
      <c r="G2035" s="109"/>
      <c r="H2035" s="109"/>
      <c r="I2035" s="97"/>
      <c r="J2035" s="97"/>
      <c r="K2035" s="83"/>
      <c r="L2035" s="111"/>
      <c r="M2035" s="111"/>
      <c r="N2035" s="111"/>
      <c r="O2035" s="111"/>
      <c r="P2035" s="111"/>
      <c r="Q2035" s="111"/>
      <c r="R2035" s="111"/>
    </row>
    <row r="2036" spans="2:18" s="108" customFormat="1">
      <c r="B2036" s="97"/>
      <c r="C2036" s="110"/>
      <c r="D2036" s="109"/>
      <c r="E2036" s="97"/>
      <c r="F2036" s="97"/>
      <c r="G2036" s="109"/>
      <c r="H2036" s="109"/>
      <c r="I2036" s="97"/>
      <c r="J2036" s="97"/>
      <c r="K2036" s="83"/>
      <c r="L2036" s="111"/>
      <c r="M2036" s="111"/>
      <c r="N2036" s="111"/>
      <c r="O2036" s="111"/>
      <c r="P2036" s="111"/>
      <c r="Q2036" s="111"/>
      <c r="R2036" s="111"/>
    </row>
    <row r="2037" spans="2:18" s="108" customFormat="1">
      <c r="B2037" s="97"/>
      <c r="C2037" s="110"/>
      <c r="D2037" s="109"/>
      <c r="E2037" s="97"/>
      <c r="F2037" s="97"/>
      <c r="G2037" s="109"/>
      <c r="H2037" s="109"/>
      <c r="I2037" s="97"/>
      <c r="J2037" s="97"/>
      <c r="K2037" s="83"/>
      <c r="L2037" s="111"/>
      <c r="M2037" s="111"/>
      <c r="N2037" s="111"/>
      <c r="O2037" s="111"/>
      <c r="P2037" s="111"/>
      <c r="Q2037" s="111"/>
      <c r="R2037" s="111"/>
    </row>
    <row r="2038" spans="2:18" s="108" customFormat="1">
      <c r="B2038" s="97"/>
      <c r="C2038" s="110"/>
      <c r="D2038" s="109"/>
      <c r="E2038" s="97"/>
      <c r="F2038" s="97"/>
      <c r="G2038" s="109"/>
      <c r="H2038" s="109"/>
      <c r="I2038" s="97"/>
      <c r="J2038" s="97"/>
      <c r="K2038" s="83"/>
      <c r="L2038" s="111"/>
      <c r="M2038" s="111"/>
      <c r="N2038" s="111"/>
      <c r="O2038" s="111"/>
      <c r="P2038" s="111"/>
      <c r="Q2038" s="111"/>
      <c r="R2038" s="111"/>
    </row>
    <row r="2039" spans="2:18" s="108" customFormat="1">
      <c r="B2039" s="97"/>
      <c r="C2039" s="110"/>
      <c r="D2039" s="109"/>
      <c r="E2039" s="97"/>
      <c r="F2039" s="97"/>
      <c r="G2039" s="109"/>
      <c r="H2039" s="109"/>
      <c r="I2039" s="97"/>
      <c r="J2039" s="97"/>
      <c r="K2039" s="83"/>
      <c r="L2039" s="111"/>
      <c r="M2039" s="111"/>
      <c r="N2039" s="111"/>
      <c r="O2039" s="111"/>
      <c r="P2039" s="111"/>
      <c r="Q2039" s="111"/>
      <c r="R2039" s="111"/>
    </row>
    <row r="2040" spans="2:18" s="108" customFormat="1">
      <c r="B2040" s="97"/>
      <c r="C2040" s="110"/>
      <c r="D2040" s="109"/>
      <c r="E2040" s="97"/>
      <c r="F2040" s="97"/>
      <c r="G2040" s="109"/>
      <c r="H2040" s="109"/>
      <c r="I2040" s="97"/>
      <c r="J2040" s="97"/>
      <c r="K2040" s="83"/>
      <c r="L2040" s="111"/>
      <c r="M2040" s="111"/>
      <c r="N2040" s="111"/>
      <c r="O2040" s="111"/>
      <c r="P2040" s="111"/>
      <c r="Q2040" s="111"/>
      <c r="R2040" s="111"/>
    </row>
    <row r="2041" spans="2:18" s="108" customFormat="1">
      <c r="B2041" s="97"/>
      <c r="C2041" s="110"/>
      <c r="D2041" s="109"/>
      <c r="E2041" s="97"/>
      <c r="F2041" s="97"/>
      <c r="G2041" s="109"/>
      <c r="H2041" s="109"/>
      <c r="I2041" s="97"/>
      <c r="J2041" s="97"/>
      <c r="K2041" s="83"/>
      <c r="L2041" s="111"/>
      <c r="M2041" s="111"/>
      <c r="N2041" s="111"/>
      <c r="O2041" s="111"/>
      <c r="P2041" s="111"/>
      <c r="Q2041" s="111"/>
      <c r="R2041" s="111"/>
    </row>
    <row r="2042" spans="2:18" s="108" customFormat="1">
      <c r="B2042" s="97"/>
      <c r="C2042" s="110"/>
      <c r="D2042" s="109"/>
      <c r="E2042" s="97"/>
      <c r="F2042" s="97"/>
      <c r="G2042" s="109"/>
      <c r="H2042" s="109"/>
      <c r="I2042" s="97"/>
      <c r="J2042" s="97"/>
      <c r="K2042" s="83"/>
      <c r="L2042" s="111"/>
      <c r="M2042" s="111"/>
      <c r="N2042" s="111"/>
      <c r="O2042" s="111"/>
      <c r="P2042" s="111"/>
      <c r="Q2042" s="111"/>
      <c r="R2042" s="111"/>
    </row>
    <row r="2043" spans="2:18" s="108" customFormat="1">
      <c r="B2043" s="97"/>
      <c r="C2043" s="110"/>
      <c r="D2043" s="109"/>
      <c r="E2043" s="97"/>
      <c r="F2043" s="97"/>
      <c r="G2043" s="109"/>
      <c r="H2043" s="109"/>
      <c r="I2043" s="97"/>
      <c r="J2043" s="97"/>
      <c r="K2043" s="83"/>
      <c r="L2043" s="111"/>
      <c r="M2043" s="111"/>
      <c r="N2043" s="111"/>
      <c r="O2043" s="111"/>
      <c r="P2043" s="111"/>
      <c r="Q2043" s="111"/>
      <c r="R2043" s="111"/>
    </row>
    <row r="2044" spans="2:18" s="108" customFormat="1">
      <c r="B2044" s="97"/>
      <c r="C2044" s="110"/>
      <c r="D2044" s="109"/>
      <c r="E2044" s="97"/>
      <c r="F2044" s="97"/>
      <c r="G2044" s="109"/>
      <c r="H2044" s="109"/>
      <c r="I2044" s="97"/>
      <c r="J2044" s="97"/>
      <c r="K2044" s="83"/>
      <c r="L2044" s="111"/>
      <c r="M2044" s="111"/>
      <c r="N2044" s="111"/>
      <c r="O2044" s="111"/>
      <c r="P2044" s="111"/>
      <c r="Q2044" s="111"/>
      <c r="R2044" s="111"/>
    </row>
    <row r="2045" spans="2:18" s="108" customFormat="1">
      <c r="B2045" s="97"/>
      <c r="C2045" s="110"/>
      <c r="D2045" s="109"/>
      <c r="E2045" s="97"/>
      <c r="F2045" s="97"/>
      <c r="G2045" s="109"/>
      <c r="H2045" s="109"/>
      <c r="I2045" s="97"/>
      <c r="J2045" s="97"/>
      <c r="K2045" s="83"/>
      <c r="L2045" s="111"/>
      <c r="M2045" s="111"/>
      <c r="N2045" s="111"/>
      <c r="O2045" s="111"/>
      <c r="P2045" s="111"/>
      <c r="Q2045" s="111"/>
      <c r="R2045" s="111"/>
    </row>
    <row r="2046" spans="2:18" s="108" customFormat="1">
      <c r="B2046" s="97"/>
      <c r="C2046" s="110"/>
      <c r="D2046" s="109"/>
      <c r="E2046" s="97"/>
      <c r="F2046" s="97"/>
      <c r="G2046" s="109"/>
      <c r="H2046" s="109"/>
      <c r="I2046" s="97"/>
      <c r="J2046" s="97"/>
      <c r="K2046" s="83"/>
      <c r="L2046" s="111"/>
      <c r="M2046" s="111"/>
      <c r="N2046" s="111"/>
      <c r="O2046" s="111"/>
      <c r="P2046" s="111"/>
      <c r="Q2046" s="111"/>
      <c r="R2046" s="111"/>
    </row>
    <row r="2047" spans="2:18" s="108" customFormat="1">
      <c r="B2047" s="97"/>
      <c r="C2047" s="110"/>
      <c r="D2047" s="109"/>
      <c r="E2047" s="97"/>
      <c r="F2047" s="97"/>
      <c r="G2047" s="109"/>
      <c r="H2047" s="109"/>
      <c r="I2047" s="97"/>
      <c r="J2047" s="97"/>
      <c r="K2047" s="83"/>
      <c r="L2047" s="111"/>
      <c r="M2047" s="111"/>
      <c r="N2047" s="111"/>
      <c r="O2047" s="111"/>
      <c r="P2047" s="111"/>
      <c r="Q2047" s="111"/>
      <c r="R2047" s="111"/>
    </row>
    <row r="2048" spans="2:18" s="108" customFormat="1">
      <c r="B2048" s="97"/>
      <c r="C2048" s="110"/>
      <c r="D2048" s="109"/>
      <c r="E2048" s="97"/>
      <c r="F2048" s="97"/>
      <c r="G2048" s="109"/>
      <c r="H2048" s="109"/>
      <c r="I2048" s="97"/>
      <c r="J2048" s="97"/>
      <c r="K2048" s="83"/>
      <c r="L2048" s="111"/>
      <c r="M2048" s="111"/>
      <c r="N2048" s="111"/>
      <c r="O2048" s="111"/>
      <c r="P2048" s="111"/>
      <c r="Q2048" s="111"/>
      <c r="R2048" s="111"/>
    </row>
    <row r="2049" spans="2:18" s="108" customFormat="1">
      <c r="B2049" s="97"/>
      <c r="C2049" s="110"/>
      <c r="D2049" s="109"/>
      <c r="E2049" s="97"/>
      <c r="F2049" s="97"/>
      <c r="G2049" s="109"/>
      <c r="H2049" s="109"/>
      <c r="I2049" s="97"/>
      <c r="J2049" s="97"/>
      <c r="K2049" s="83"/>
      <c r="L2049" s="111"/>
      <c r="M2049" s="111"/>
      <c r="N2049" s="111"/>
      <c r="O2049" s="111"/>
      <c r="P2049" s="111"/>
      <c r="Q2049" s="111"/>
      <c r="R2049" s="111"/>
    </row>
    <row r="2050" spans="2:18" s="108" customFormat="1">
      <c r="B2050" s="97"/>
      <c r="C2050" s="110"/>
      <c r="D2050" s="109"/>
      <c r="E2050" s="97"/>
      <c r="F2050" s="97"/>
      <c r="G2050" s="109"/>
      <c r="H2050" s="109"/>
      <c r="I2050" s="97"/>
      <c r="J2050" s="97"/>
      <c r="K2050" s="83"/>
      <c r="L2050" s="111"/>
      <c r="M2050" s="111"/>
      <c r="N2050" s="111"/>
      <c r="O2050" s="111"/>
      <c r="P2050" s="111"/>
      <c r="Q2050" s="111"/>
      <c r="R2050" s="111"/>
    </row>
    <row r="2051" spans="2:18" s="108" customFormat="1">
      <c r="B2051" s="97"/>
      <c r="C2051" s="110"/>
      <c r="D2051" s="109"/>
      <c r="E2051" s="97"/>
      <c r="F2051" s="97"/>
      <c r="G2051" s="109"/>
      <c r="H2051" s="109"/>
      <c r="I2051" s="97"/>
      <c r="J2051" s="97"/>
      <c r="K2051" s="83"/>
      <c r="L2051" s="111"/>
      <c r="M2051" s="111"/>
      <c r="N2051" s="111"/>
      <c r="O2051" s="111"/>
      <c r="P2051" s="111"/>
      <c r="Q2051" s="111"/>
      <c r="R2051" s="111"/>
    </row>
    <row r="2052" spans="2:18" s="108" customFormat="1">
      <c r="B2052" s="97"/>
      <c r="C2052" s="110"/>
      <c r="D2052" s="109"/>
      <c r="E2052" s="97"/>
      <c r="F2052" s="97"/>
      <c r="G2052" s="109"/>
      <c r="H2052" s="109"/>
      <c r="I2052" s="97"/>
      <c r="J2052" s="97"/>
      <c r="K2052" s="83"/>
      <c r="L2052" s="111"/>
      <c r="M2052" s="111"/>
      <c r="N2052" s="111"/>
      <c r="O2052" s="111"/>
      <c r="P2052" s="111"/>
      <c r="Q2052" s="111"/>
      <c r="R2052" s="111"/>
    </row>
    <row r="2053" spans="2:18" s="108" customFormat="1">
      <c r="B2053" s="97"/>
      <c r="C2053" s="110"/>
      <c r="D2053" s="109"/>
      <c r="E2053" s="97"/>
      <c r="F2053" s="97"/>
      <c r="G2053" s="109"/>
      <c r="H2053" s="109"/>
      <c r="I2053" s="97"/>
      <c r="J2053" s="97"/>
      <c r="K2053" s="83"/>
      <c r="L2053" s="111"/>
      <c r="M2053" s="111"/>
      <c r="N2053" s="111"/>
      <c r="O2053" s="111"/>
      <c r="P2053" s="111"/>
      <c r="Q2053" s="111"/>
      <c r="R2053" s="111"/>
    </row>
    <row r="2054" spans="2:18" s="108" customFormat="1">
      <c r="B2054" s="97"/>
      <c r="C2054" s="110"/>
      <c r="D2054" s="109"/>
      <c r="E2054" s="97"/>
      <c r="F2054" s="97"/>
      <c r="G2054" s="109"/>
      <c r="H2054" s="109"/>
      <c r="I2054" s="97"/>
      <c r="J2054" s="97"/>
      <c r="K2054" s="83"/>
      <c r="L2054" s="111"/>
      <c r="M2054" s="111"/>
      <c r="N2054" s="111"/>
      <c r="O2054" s="111"/>
      <c r="P2054" s="111"/>
      <c r="Q2054" s="111"/>
      <c r="R2054" s="111"/>
    </row>
    <row r="2055" spans="2:18" s="108" customFormat="1">
      <c r="B2055" s="97"/>
      <c r="C2055" s="110"/>
      <c r="D2055" s="109"/>
      <c r="E2055" s="97"/>
      <c r="F2055" s="97"/>
      <c r="G2055" s="109"/>
      <c r="H2055" s="109"/>
      <c r="I2055" s="97"/>
      <c r="J2055" s="97"/>
      <c r="K2055" s="83"/>
      <c r="L2055" s="111"/>
      <c r="M2055" s="111"/>
      <c r="N2055" s="111"/>
      <c r="O2055" s="111"/>
      <c r="P2055" s="111"/>
      <c r="Q2055" s="111"/>
      <c r="R2055" s="111"/>
    </row>
    <row r="2056" spans="2:18" s="108" customFormat="1">
      <c r="B2056" s="97"/>
      <c r="C2056" s="110"/>
      <c r="D2056" s="109"/>
      <c r="E2056" s="97"/>
      <c r="F2056" s="97"/>
      <c r="G2056" s="109"/>
      <c r="H2056" s="109"/>
      <c r="I2056" s="97"/>
      <c r="J2056" s="97"/>
      <c r="K2056" s="83"/>
      <c r="L2056" s="111"/>
      <c r="M2056" s="111"/>
      <c r="N2056" s="111"/>
      <c r="O2056" s="111"/>
      <c r="P2056" s="111"/>
      <c r="Q2056" s="111"/>
      <c r="R2056" s="111"/>
    </row>
    <row r="2057" spans="2:18" s="108" customFormat="1">
      <c r="B2057" s="97"/>
      <c r="C2057" s="110"/>
      <c r="D2057" s="109"/>
      <c r="E2057" s="97"/>
      <c r="F2057" s="97"/>
      <c r="G2057" s="109"/>
      <c r="H2057" s="109"/>
      <c r="I2057" s="97"/>
      <c r="J2057" s="97"/>
      <c r="K2057" s="83"/>
      <c r="L2057" s="111"/>
      <c r="M2057" s="111"/>
      <c r="N2057" s="111"/>
      <c r="O2057" s="111"/>
      <c r="P2057" s="111"/>
      <c r="Q2057" s="111"/>
      <c r="R2057" s="111"/>
    </row>
    <row r="2058" spans="2:18" s="108" customFormat="1">
      <c r="B2058" s="97"/>
      <c r="C2058" s="110"/>
      <c r="D2058" s="109"/>
      <c r="E2058" s="97"/>
      <c r="F2058" s="97"/>
      <c r="G2058" s="109"/>
      <c r="H2058" s="109"/>
      <c r="I2058" s="97"/>
      <c r="J2058" s="97"/>
      <c r="K2058" s="83"/>
      <c r="L2058" s="111"/>
      <c r="M2058" s="111"/>
      <c r="N2058" s="111"/>
      <c r="O2058" s="111"/>
      <c r="P2058" s="111"/>
      <c r="Q2058" s="111"/>
      <c r="R2058" s="111"/>
    </row>
    <row r="2059" spans="2:18" s="108" customFormat="1">
      <c r="B2059" s="97"/>
      <c r="C2059" s="110"/>
      <c r="D2059" s="109"/>
      <c r="E2059" s="97"/>
      <c r="F2059" s="97"/>
      <c r="G2059" s="109"/>
      <c r="H2059" s="109"/>
      <c r="I2059" s="97"/>
      <c r="J2059" s="97"/>
      <c r="K2059" s="83"/>
      <c r="L2059" s="111"/>
      <c r="M2059" s="111"/>
      <c r="N2059" s="111"/>
      <c r="O2059" s="111"/>
      <c r="P2059" s="111"/>
      <c r="Q2059" s="111"/>
      <c r="R2059" s="111"/>
    </row>
    <row r="2060" spans="2:18" s="108" customFormat="1">
      <c r="B2060" s="97"/>
      <c r="C2060" s="110"/>
      <c r="D2060" s="109"/>
      <c r="E2060" s="97"/>
      <c r="F2060" s="97"/>
      <c r="G2060" s="109"/>
      <c r="H2060" s="109"/>
      <c r="I2060" s="97"/>
      <c r="J2060" s="97"/>
      <c r="K2060" s="83"/>
      <c r="L2060" s="111"/>
      <c r="M2060" s="111"/>
      <c r="N2060" s="111"/>
      <c r="O2060" s="111"/>
      <c r="P2060" s="111"/>
      <c r="Q2060" s="111"/>
      <c r="R2060" s="111"/>
    </row>
    <row r="2061" spans="2:18" s="108" customFormat="1">
      <c r="B2061" s="97"/>
      <c r="C2061" s="110"/>
      <c r="D2061" s="109"/>
      <c r="E2061" s="97"/>
      <c r="F2061" s="97"/>
      <c r="G2061" s="109"/>
      <c r="H2061" s="109"/>
      <c r="I2061" s="97"/>
      <c r="J2061" s="97"/>
      <c r="K2061" s="83"/>
      <c r="L2061" s="111"/>
      <c r="M2061" s="111"/>
      <c r="N2061" s="111"/>
      <c r="O2061" s="111"/>
      <c r="P2061" s="111"/>
      <c r="Q2061" s="111"/>
      <c r="R2061" s="111"/>
    </row>
    <row r="2062" spans="2:18" s="108" customFormat="1">
      <c r="B2062" s="97"/>
      <c r="C2062" s="110"/>
      <c r="D2062" s="109"/>
      <c r="E2062" s="97"/>
      <c r="F2062" s="97"/>
      <c r="G2062" s="109"/>
      <c r="H2062" s="109"/>
      <c r="I2062" s="97"/>
      <c r="J2062" s="97"/>
      <c r="K2062" s="83"/>
      <c r="L2062" s="111"/>
      <c r="M2062" s="111"/>
      <c r="N2062" s="111"/>
      <c r="O2062" s="111"/>
      <c r="P2062" s="111"/>
      <c r="Q2062" s="111"/>
      <c r="R2062" s="111"/>
    </row>
    <row r="2063" spans="2:18" s="108" customFormat="1">
      <c r="B2063" s="97"/>
      <c r="C2063" s="110"/>
      <c r="D2063" s="109"/>
      <c r="E2063" s="97"/>
      <c r="F2063" s="97"/>
      <c r="G2063" s="109"/>
      <c r="H2063" s="109"/>
      <c r="I2063" s="97"/>
      <c r="J2063" s="97"/>
      <c r="K2063" s="83"/>
      <c r="L2063" s="111"/>
      <c r="M2063" s="111"/>
      <c r="N2063" s="111"/>
      <c r="O2063" s="111"/>
      <c r="P2063" s="111"/>
      <c r="Q2063" s="111"/>
      <c r="R2063" s="111"/>
    </row>
    <row r="2064" spans="2:18" s="108" customFormat="1">
      <c r="B2064" s="97"/>
      <c r="C2064" s="110"/>
      <c r="D2064" s="109"/>
      <c r="E2064" s="97"/>
      <c r="F2064" s="97"/>
      <c r="G2064" s="109"/>
      <c r="H2064" s="109"/>
      <c r="I2064" s="97"/>
      <c r="J2064" s="97"/>
      <c r="K2064" s="83"/>
      <c r="L2064" s="111"/>
      <c r="M2064" s="111"/>
      <c r="N2064" s="111"/>
      <c r="O2064" s="111"/>
      <c r="P2064" s="111"/>
      <c r="Q2064" s="111"/>
      <c r="R2064" s="111"/>
    </row>
    <row r="2065" spans="2:18" s="108" customFormat="1">
      <c r="B2065" s="97"/>
      <c r="C2065" s="110"/>
      <c r="D2065" s="109"/>
      <c r="E2065" s="97"/>
      <c r="F2065" s="97"/>
      <c r="G2065" s="109"/>
      <c r="H2065" s="109"/>
      <c r="I2065" s="97"/>
      <c r="J2065" s="97"/>
      <c r="K2065" s="83"/>
      <c r="L2065" s="111"/>
      <c r="M2065" s="111"/>
      <c r="N2065" s="111"/>
      <c r="O2065" s="111"/>
      <c r="P2065" s="111"/>
      <c r="Q2065" s="111"/>
      <c r="R2065" s="111"/>
    </row>
    <row r="2066" spans="2:18" s="108" customFormat="1">
      <c r="B2066" s="97"/>
      <c r="C2066" s="110"/>
      <c r="D2066" s="109"/>
      <c r="E2066" s="97"/>
      <c r="F2066" s="97"/>
      <c r="G2066" s="109"/>
      <c r="H2066" s="109"/>
      <c r="I2066" s="97"/>
      <c r="J2066" s="97"/>
      <c r="K2066" s="83"/>
      <c r="L2066" s="111"/>
      <c r="M2066" s="111"/>
      <c r="N2066" s="111"/>
      <c r="O2066" s="111"/>
      <c r="P2066" s="111"/>
      <c r="Q2066" s="111"/>
      <c r="R2066" s="111"/>
    </row>
    <row r="2067" spans="2:18" s="108" customFormat="1">
      <c r="B2067" s="97"/>
      <c r="C2067" s="110"/>
      <c r="D2067" s="109"/>
      <c r="E2067" s="97"/>
      <c r="F2067" s="97"/>
      <c r="G2067" s="109"/>
      <c r="H2067" s="109"/>
      <c r="I2067" s="97"/>
      <c r="J2067" s="97"/>
      <c r="K2067" s="83"/>
      <c r="L2067" s="111"/>
      <c r="M2067" s="111"/>
      <c r="N2067" s="111"/>
      <c r="O2067" s="111"/>
      <c r="P2067" s="111"/>
      <c r="Q2067" s="111"/>
      <c r="R2067" s="111"/>
    </row>
    <row r="2068" spans="2:18" s="108" customFormat="1">
      <c r="B2068" s="97"/>
      <c r="C2068" s="110"/>
      <c r="D2068" s="109"/>
      <c r="E2068" s="97"/>
      <c r="F2068" s="97"/>
      <c r="G2068" s="109"/>
      <c r="H2068" s="109"/>
      <c r="I2068" s="97"/>
      <c r="J2068" s="97"/>
      <c r="K2068" s="83"/>
      <c r="L2068" s="111"/>
      <c r="M2068" s="111"/>
      <c r="N2068" s="111"/>
      <c r="O2068" s="111"/>
      <c r="P2068" s="111"/>
      <c r="Q2068" s="111"/>
      <c r="R2068" s="111"/>
    </row>
    <row r="2069" spans="2:18" s="108" customFormat="1">
      <c r="B2069" s="97"/>
      <c r="C2069" s="110"/>
      <c r="D2069" s="109"/>
      <c r="E2069" s="97"/>
      <c r="F2069" s="97"/>
      <c r="G2069" s="109"/>
      <c r="H2069" s="109"/>
      <c r="I2069" s="97"/>
      <c r="J2069" s="97"/>
      <c r="K2069" s="83"/>
      <c r="L2069" s="111"/>
      <c r="M2069" s="111"/>
      <c r="N2069" s="111"/>
      <c r="O2069" s="111"/>
      <c r="P2069" s="111"/>
      <c r="Q2069" s="111"/>
      <c r="R2069" s="111"/>
    </row>
    <row r="2070" spans="2:18" s="108" customFormat="1">
      <c r="B2070" s="97"/>
      <c r="C2070" s="110"/>
      <c r="D2070" s="109"/>
      <c r="E2070" s="97"/>
      <c r="F2070" s="97"/>
      <c r="G2070" s="109"/>
      <c r="H2070" s="109"/>
      <c r="I2070" s="97"/>
      <c r="J2070" s="97"/>
      <c r="K2070" s="83"/>
      <c r="L2070" s="111"/>
      <c r="M2070" s="111"/>
      <c r="N2070" s="111"/>
      <c r="O2070" s="111"/>
      <c r="P2070" s="111"/>
      <c r="Q2070" s="111"/>
      <c r="R2070" s="111"/>
    </row>
    <row r="2071" spans="2:18" s="108" customFormat="1">
      <c r="B2071" s="97"/>
      <c r="C2071" s="110"/>
      <c r="D2071" s="109"/>
      <c r="E2071" s="97"/>
      <c r="F2071" s="97"/>
      <c r="G2071" s="109"/>
      <c r="H2071" s="109"/>
      <c r="I2071" s="97"/>
      <c r="J2071" s="97"/>
      <c r="K2071" s="83"/>
      <c r="L2071" s="111"/>
      <c r="M2071" s="111"/>
      <c r="N2071" s="111"/>
      <c r="O2071" s="111"/>
      <c r="P2071" s="111"/>
      <c r="Q2071" s="111"/>
      <c r="R2071" s="111"/>
    </row>
    <row r="2072" spans="2:18" s="108" customFormat="1">
      <c r="B2072" s="97"/>
      <c r="C2072" s="110"/>
      <c r="D2072" s="109"/>
      <c r="E2072" s="97"/>
      <c r="F2072" s="97"/>
      <c r="G2072" s="109"/>
      <c r="H2072" s="109"/>
      <c r="I2072" s="97"/>
      <c r="J2072" s="97"/>
      <c r="K2072" s="83"/>
      <c r="L2072" s="111"/>
      <c r="M2072" s="111"/>
      <c r="N2072" s="111"/>
      <c r="O2072" s="111"/>
      <c r="P2072" s="111"/>
      <c r="Q2072" s="111"/>
      <c r="R2072" s="111"/>
    </row>
    <row r="2073" spans="2:18" s="108" customFormat="1">
      <c r="B2073" s="97"/>
      <c r="C2073" s="110"/>
      <c r="D2073" s="109"/>
      <c r="E2073" s="97"/>
      <c r="F2073" s="97"/>
      <c r="G2073" s="109"/>
      <c r="H2073" s="109"/>
      <c r="I2073" s="97"/>
      <c r="J2073" s="97"/>
      <c r="K2073" s="83"/>
      <c r="L2073" s="111"/>
      <c r="M2073" s="111"/>
      <c r="N2073" s="111"/>
      <c r="O2073" s="111"/>
      <c r="P2073" s="111"/>
      <c r="Q2073" s="111"/>
      <c r="R2073" s="111"/>
    </row>
    <row r="2074" spans="2:18" s="108" customFormat="1">
      <c r="B2074" s="97"/>
      <c r="C2074" s="110"/>
      <c r="D2074" s="109"/>
      <c r="E2074" s="97"/>
      <c r="F2074" s="97"/>
      <c r="G2074" s="109"/>
      <c r="H2074" s="109"/>
      <c r="I2074" s="97"/>
      <c r="J2074" s="97"/>
      <c r="K2074" s="83"/>
      <c r="L2074" s="111"/>
      <c r="M2074" s="111"/>
      <c r="N2074" s="111"/>
      <c r="O2074" s="111"/>
      <c r="P2074" s="111"/>
      <c r="Q2074" s="111"/>
      <c r="R2074" s="111"/>
    </row>
    <row r="2075" spans="2:18" s="108" customFormat="1">
      <c r="B2075" s="97"/>
      <c r="C2075" s="110"/>
      <c r="D2075" s="109"/>
      <c r="E2075" s="97"/>
      <c r="F2075" s="97"/>
      <c r="G2075" s="109"/>
      <c r="H2075" s="109"/>
      <c r="I2075" s="97"/>
      <c r="J2075" s="97"/>
      <c r="K2075" s="83"/>
      <c r="L2075" s="111"/>
      <c r="M2075" s="111"/>
      <c r="N2075" s="111"/>
      <c r="O2075" s="111"/>
      <c r="P2075" s="111"/>
      <c r="Q2075" s="111"/>
      <c r="R2075" s="111"/>
    </row>
    <row r="2076" spans="2:18" s="108" customFormat="1">
      <c r="B2076" s="97"/>
      <c r="C2076" s="110"/>
      <c r="D2076" s="109"/>
      <c r="E2076" s="97"/>
      <c r="F2076" s="97"/>
      <c r="G2076" s="109"/>
      <c r="H2076" s="109"/>
      <c r="I2076" s="97"/>
      <c r="J2076" s="97"/>
      <c r="K2076" s="83"/>
      <c r="L2076" s="111"/>
      <c r="M2076" s="111"/>
      <c r="N2076" s="111"/>
      <c r="O2076" s="111"/>
      <c r="P2076" s="111"/>
      <c r="Q2076" s="111"/>
      <c r="R2076" s="111"/>
    </row>
    <row r="2077" spans="2:18" s="108" customFormat="1">
      <c r="B2077" s="97"/>
      <c r="C2077" s="110"/>
      <c r="D2077" s="109"/>
      <c r="E2077" s="97"/>
      <c r="F2077" s="97"/>
      <c r="G2077" s="109"/>
      <c r="H2077" s="109"/>
      <c r="I2077" s="97"/>
      <c r="J2077" s="97"/>
      <c r="K2077" s="83"/>
      <c r="L2077" s="111"/>
      <c r="M2077" s="111"/>
      <c r="N2077" s="111"/>
      <c r="O2077" s="111"/>
      <c r="P2077" s="111"/>
      <c r="Q2077" s="111"/>
      <c r="R2077" s="111"/>
    </row>
    <row r="2078" spans="2:18" s="108" customFormat="1">
      <c r="B2078" s="97"/>
      <c r="C2078" s="110"/>
      <c r="D2078" s="109"/>
      <c r="E2078" s="97"/>
      <c r="F2078" s="97"/>
      <c r="G2078" s="109"/>
      <c r="H2078" s="109"/>
      <c r="I2078" s="97"/>
      <c r="J2078" s="97"/>
      <c r="K2078" s="83"/>
      <c r="L2078" s="111"/>
      <c r="M2078" s="111"/>
      <c r="N2078" s="111"/>
      <c r="O2078" s="111"/>
      <c r="P2078" s="111"/>
      <c r="Q2078" s="111"/>
      <c r="R2078" s="111"/>
    </row>
    <row r="2079" spans="2:18" s="108" customFormat="1">
      <c r="B2079" s="97"/>
      <c r="C2079" s="110"/>
      <c r="D2079" s="109"/>
      <c r="E2079" s="97"/>
      <c r="F2079" s="97"/>
      <c r="G2079" s="109"/>
      <c r="H2079" s="109"/>
      <c r="I2079" s="97"/>
      <c r="J2079" s="97"/>
      <c r="K2079" s="83"/>
      <c r="L2079" s="111"/>
      <c r="M2079" s="111"/>
      <c r="N2079" s="111"/>
      <c r="O2079" s="111"/>
      <c r="P2079" s="111"/>
      <c r="Q2079" s="111"/>
      <c r="R2079" s="111"/>
    </row>
    <row r="2080" spans="2:18" s="108" customFormat="1">
      <c r="B2080" s="97"/>
      <c r="C2080" s="110"/>
      <c r="D2080" s="109"/>
      <c r="E2080" s="97"/>
      <c r="F2080" s="97"/>
      <c r="G2080" s="109"/>
      <c r="H2080" s="109"/>
      <c r="I2080" s="97"/>
      <c r="J2080" s="97"/>
      <c r="K2080" s="83"/>
      <c r="L2080" s="111"/>
      <c r="M2080" s="111"/>
      <c r="N2080" s="111"/>
      <c r="O2080" s="111"/>
      <c r="P2080" s="111"/>
      <c r="Q2080" s="111"/>
      <c r="R2080" s="111"/>
    </row>
    <row r="2081" spans="2:18" s="108" customFormat="1">
      <c r="B2081" s="97"/>
      <c r="C2081" s="110"/>
      <c r="D2081" s="109"/>
      <c r="E2081" s="97"/>
      <c r="F2081" s="97"/>
      <c r="G2081" s="109"/>
      <c r="H2081" s="109"/>
      <c r="I2081" s="97"/>
      <c r="J2081" s="97"/>
      <c r="K2081" s="83"/>
      <c r="L2081" s="111"/>
      <c r="M2081" s="111"/>
      <c r="N2081" s="111"/>
      <c r="O2081" s="111"/>
      <c r="P2081" s="111"/>
      <c r="Q2081" s="111"/>
      <c r="R2081" s="111"/>
    </row>
    <row r="2082" spans="2:18" s="108" customFormat="1">
      <c r="B2082" s="97"/>
      <c r="C2082" s="110"/>
      <c r="D2082" s="109"/>
      <c r="E2082" s="97"/>
      <c r="F2082" s="97"/>
      <c r="G2082" s="109"/>
      <c r="H2082" s="109"/>
      <c r="I2082" s="97"/>
      <c r="J2082" s="97"/>
      <c r="K2082" s="83"/>
      <c r="L2082" s="111"/>
      <c r="M2082" s="111"/>
      <c r="N2082" s="111"/>
      <c r="O2082" s="111"/>
      <c r="P2082" s="111"/>
      <c r="Q2082" s="111"/>
      <c r="R2082" s="111"/>
    </row>
    <row r="2083" spans="2:18" s="108" customFormat="1">
      <c r="B2083" s="97"/>
      <c r="C2083" s="110"/>
      <c r="D2083" s="109"/>
      <c r="E2083" s="97"/>
      <c r="F2083" s="97"/>
      <c r="G2083" s="109"/>
      <c r="H2083" s="109"/>
      <c r="I2083" s="97"/>
      <c r="J2083" s="97"/>
      <c r="K2083" s="83"/>
      <c r="L2083" s="111"/>
      <c r="M2083" s="111"/>
      <c r="N2083" s="111"/>
      <c r="O2083" s="111"/>
      <c r="P2083" s="111"/>
      <c r="Q2083" s="111"/>
      <c r="R2083" s="111"/>
    </row>
    <row r="2084" spans="2:18" s="108" customFormat="1">
      <c r="B2084" s="97"/>
      <c r="C2084" s="110"/>
      <c r="D2084" s="109"/>
      <c r="E2084" s="97"/>
      <c r="F2084" s="97"/>
      <c r="G2084" s="109"/>
      <c r="H2084" s="109"/>
      <c r="I2084" s="97"/>
      <c r="J2084" s="97"/>
      <c r="K2084" s="83"/>
      <c r="L2084" s="111"/>
      <c r="M2084" s="111"/>
      <c r="N2084" s="111"/>
      <c r="O2084" s="111"/>
      <c r="P2084" s="111"/>
      <c r="Q2084" s="111"/>
      <c r="R2084" s="111"/>
    </row>
    <row r="2085" spans="2:18" s="108" customFormat="1">
      <c r="B2085" s="97"/>
      <c r="C2085" s="110"/>
      <c r="D2085" s="109"/>
      <c r="E2085" s="97"/>
      <c r="F2085" s="97"/>
      <c r="G2085" s="109"/>
      <c r="H2085" s="109"/>
      <c r="I2085" s="97"/>
      <c r="J2085" s="97"/>
      <c r="K2085" s="83"/>
      <c r="L2085" s="111"/>
      <c r="M2085" s="111"/>
      <c r="N2085" s="111"/>
      <c r="O2085" s="111"/>
      <c r="P2085" s="111"/>
      <c r="Q2085" s="111"/>
      <c r="R2085" s="111"/>
    </row>
    <row r="2086" spans="2:18" s="108" customFormat="1">
      <c r="B2086" s="97"/>
      <c r="C2086" s="110"/>
      <c r="D2086" s="109"/>
      <c r="E2086" s="97"/>
      <c r="F2086" s="97"/>
      <c r="G2086" s="109"/>
      <c r="H2086" s="109"/>
      <c r="I2086" s="97"/>
      <c r="J2086" s="97"/>
      <c r="K2086" s="83"/>
      <c r="L2086" s="111"/>
      <c r="M2086" s="111"/>
      <c r="N2086" s="111"/>
      <c r="O2086" s="111"/>
      <c r="P2086" s="111"/>
      <c r="Q2086" s="111"/>
      <c r="R2086" s="111"/>
    </row>
    <row r="2087" spans="2:18" s="108" customFormat="1">
      <c r="B2087" s="97"/>
      <c r="C2087" s="110"/>
      <c r="D2087" s="109"/>
      <c r="E2087" s="97"/>
      <c r="F2087" s="97"/>
      <c r="G2087" s="109"/>
      <c r="H2087" s="109"/>
      <c r="I2087" s="97"/>
      <c r="J2087" s="97"/>
      <c r="K2087" s="83"/>
      <c r="L2087" s="111"/>
      <c r="M2087" s="111"/>
      <c r="N2087" s="111"/>
      <c r="O2087" s="111"/>
      <c r="P2087" s="111"/>
      <c r="Q2087" s="111"/>
      <c r="R2087" s="111"/>
    </row>
    <row r="2088" spans="2:18" s="108" customFormat="1">
      <c r="B2088" s="97"/>
      <c r="C2088" s="110"/>
      <c r="D2088" s="109"/>
      <c r="E2088" s="97"/>
      <c r="F2088" s="97"/>
      <c r="G2088" s="109"/>
      <c r="H2088" s="109"/>
      <c r="I2088" s="97"/>
      <c r="J2088" s="97"/>
      <c r="K2088" s="83"/>
      <c r="L2088" s="111"/>
      <c r="M2088" s="111"/>
      <c r="N2088" s="111"/>
      <c r="O2088" s="111"/>
      <c r="P2088" s="111"/>
      <c r="Q2088" s="111"/>
      <c r="R2088" s="111"/>
    </row>
    <row r="2089" spans="2:18" s="108" customFormat="1">
      <c r="B2089" s="97"/>
      <c r="C2089" s="110"/>
      <c r="D2089" s="109"/>
      <c r="E2089" s="97"/>
      <c r="F2089" s="97"/>
      <c r="G2089" s="109"/>
      <c r="H2089" s="109"/>
      <c r="I2089" s="97"/>
      <c r="J2089" s="97"/>
      <c r="K2089" s="83"/>
      <c r="L2089" s="111"/>
      <c r="M2089" s="111"/>
      <c r="N2089" s="111"/>
      <c r="O2089" s="111"/>
      <c r="P2089" s="111"/>
      <c r="Q2089" s="111"/>
      <c r="R2089" s="111"/>
    </row>
    <row r="2090" spans="2:18" s="108" customFormat="1">
      <c r="B2090" s="97"/>
      <c r="C2090" s="110"/>
      <c r="D2090" s="109"/>
      <c r="E2090" s="97"/>
      <c r="F2090" s="97"/>
      <c r="G2090" s="109"/>
      <c r="H2090" s="109"/>
      <c r="I2090" s="97"/>
      <c r="J2090" s="97"/>
      <c r="K2090" s="83"/>
      <c r="L2090" s="111"/>
      <c r="M2090" s="111"/>
      <c r="N2090" s="111"/>
      <c r="O2090" s="111"/>
      <c r="P2090" s="111"/>
      <c r="Q2090" s="111"/>
      <c r="R2090" s="111"/>
    </row>
    <row r="2091" spans="2:18" s="108" customFormat="1">
      <c r="B2091" s="97"/>
      <c r="C2091" s="110"/>
      <c r="D2091" s="109"/>
      <c r="E2091" s="97"/>
      <c r="F2091" s="97"/>
      <c r="G2091" s="109"/>
      <c r="H2091" s="109"/>
      <c r="I2091" s="97"/>
      <c r="J2091" s="97"/>
      <c r="K2091" s="83"/>
      <c r="L2091" s="111"/>
      <c r="M2091" s="111"/>
      <c r="N2091" s="111"/>
      <c r="O2091" s="111"/>
      <c r="P2091" s="111"/>
      <c r="Q2091" s="111"/>
      <c r="R2091" s="111"/>
    </row>
    <row r="2092" spans="2:18" s="108" customFormat="1">
      <c r="B2092" s="97"/>
      <c r="C2092" s="110"/>
      <c r="D2092" s="109"/>
      <c r="E2092" s="97"/>
      <c r="F2092" s="97"/>
      <c r="G2092" s="109"/>
      <c r="H2092" s="109"/>
      <c r="I2092" s="97"/>
      <c r="J2092" s="97"/>
      <c r="K2092" s="83"/>
      <c r="L2092" s="111"/>
      <c r="M2092" s="111"/>
      <c r="N2092" s="111"/>
      <c r="O2092" s="111"/>
      <c r="P2092" s="111"/>
      <c r="Q2092" s="111"/>
      <c r="R2092" s="111"/>
    </row>
    <row r="2093" spans="2:18" s="108" customFormat="1">
      <c r="B2093" s="97"/>
      <c r="C2093" s="110"/>
      <c r="D2093" s="109"/>
      <c r="E2093" s="97"/>
      <c r="F2093" s="97"/>
      <c r="G2093" s="109"/>
      <c r="H2093" s="109"/>
      <c r="I2093" s="97"/>
      <c r="J2093" s="97"/>
      <c r="K2093" s="83"/>
      <c r="L2093" s="111"/>
      <c r="M2093" s="111"/>
      <c r="N2093" s="111"/>
      <c r="O2093" s="111"/>
      <c r="P2093" s="111"/>
      <c r="Q2093" s="111"/>
      <c r="R2093" s="111"/>
    </row>
    <row r="2094" spans="2:18" s="108" customFormat="1">
      <c r="B2094" s="97"/>
      <c r="C2094" s="110"/>
      <c r="D2094" s="109"/>
      <c r="E2094" s="97"/>
      <c r="F2094" s="97"/>
      <c r="G2094" s="109"/>
      <c r="H2094" s="109"/>
      <c r="I2094" s="97"/>
      <c r="J2094" s="97"/>
      <c r="K2094" s="83"/>
      <c r="L2094" s="111"/>
      <c r="M2094" s="111"/>
      <c r="N2094" s="111"/>
      <c r="O2094" s="111"/>
      <c r="P2094" s="111"/>
      <c r="Q2094" s="111"/>
      <c r="R2094" s="111"/>
    </row>
    <row r="2095" spans="2:18" s="108" customFormat="1">
      <c r="B2095" s="97"/>
      <c r="C2095" s="110"/>
      <c r="D2095" s="109"/>
      <c r="E2095" s="97"/>
      <c r="F2095" s="97"/>
      <c r="G2095" s="109"/>
      <c r="H2095" s="109"/>
      <c r="I2095" s="97"/>
      <c r="J2095" s="97"/>
      <c r="K2095" s="83"/>
      <c r="L2095" s="111"/>
      <c r="M2095" s="111"/>
      <c r="N2095" s="111"/>
      <c r="O2095" s="111"/>
      <c r="P2095" s="111"/>
      <c r="Q2095" s="111"/>
      <c r="R2095" s="111"/>
    </row>
    <row r="2096" spans="2:18" s="108" customFormat="1">
      <c r="B2096" s="97"/>
      <c r="C2096" s="110"/>
      <c r="D2096" s="109"/>
      <c r="E2096" s="97"/>
      <c r="F2096" s="97"/>
      <c r="G2096" s="109"/>
      <c r="H2096" s="109"/>
      <c r="I2096" s="97"/>
      <c r="J2096" s="97"/>
      <c r="K2096" s="83"/>
      <c r="L2096" s="111"/>
      <c r="M2096" s="111"/>
      <c r="N2096" s="111"/>
      <c r="O2096" s="111"/>
      <c r="P2096" s="111"/>
      <c r="Q2096" s="111"/>
      <c r="R2096" s="111"/>
    </row>
    <row r="2097" spans="2:18" s="108" customFormat="1">
      <c r="B2097" s="97"/>
      <c r="C2097" s="110"/>
      <c r="D2097" s="109"/>
      <c r="E2097" s="97"/>
      <c r="F2097" s="97"/>
      <c r="G2097" s="109"/>
      <c r="H2097" s="109"/>
      <c r="I2097" s="97"/>
      <c r="J2097" s="97"/>
      <c r="K2097" s="83"/>
      <c r="L2097" s="111"/>
      <c r="M2097" s="111"/>
      <c r="N2097" s="111"/>
      <c r="O2097" s="111"/>
      <c r="P2097" s="111"/>
      <c r="Q2097" s="111"/>
      <c r="R2097" s="111"/>
    </row>
    <row r="2098" spans="2:18" s="108" customFormat="1">
      <c r="B2098" s="97"/>
      <c r="C2098" s="110"/>
      <c r="D2098" s="109"/>
      <c r="E2098" s="97"/>
      <c r="F2098" s="97"/>
      <c r="G2098" s="109"/>
      <c r="H2098" s="109"/>
      <c r="I2098" s="97"/>
      <c r="J2098" s="97"/>
      <c r="K2098" s="83"/>
      <c r="L2098" s="111"/>
      <c r="M2098" s="111"/>
      <c r="N2098" s="111"/>
      <c r="O2098" s="111"/>
      <c r="P2098" s="111"/>
      <c r="Q2098" s="111"/>
      <c r="R2098" s="111"/>
    </row>
    <row r="2099" spans="2:18" s="108" customFormat="1">
      <c r="B2099" s="97"/>
      <c r="C2099" s="110"/>
      <c r="D2099" s="109"/>
      <c r="E2099" s="97"/>
      <c r="F2099" s="97"/>
      <c r="G2099" s="109"/>
      <c r="H2099" s="109"/>
      <c r="I2099" s="97"/>
      <c r="J2099" s="97"/>
      <c r="K2099" s="83"/>
      <c r="L2099" s="111"/>
      <c r="M2099" s="111"/>
      <c r="N2099" s="111"/>
      <c r="O2099" s="111"/>
      <c r="P2099" s="111"/>
      <c r="Q2099" s="111"/>
      <c r="R2099" s="111"/>
    </row>
    <row r="2100" spans="2:18" s="108" customFormat="1">
      <c r="B2100" s="97"/>
      <c r="C2100" s="110"/>
      <c r="D2100" s="109"/>
      <c r="E2100" s="97"/>
      <c r="F2100" s="97"/>
      <c r="G2100" s="109"/>
      <c r="H2100" s="109"/>
      <c r="I2100" s="97"/>
      <c r="J2100" s="97"/>
      <c r="K2100" s="83"/>
      <c r="L2100" s="111"/>
      <c r="M2100" s="111"/>
      <c r="N2100" s="111"/>
      <c r="O2100" s="111"/>
      <c r="P2100" s="111"/>
      <c r="Q2100" s="111"/>
      <c r="R2100" s="111"/>
    </row>
    <row r="2101" spans="2:18" s="108" customFormat="1">
      <c r="B2101" s="97"/>
      <c r="C2101" s="110"/>
      <c r="D2101" s="109"/>
      <c r="E2101" s="97"/>
      <c r="F2101" s="97"/>
      <c r="G2101" s="109"/>
      <c r="H2101" s="109"/>
      <c r="I2101" s="97"/>
      <c r="J2101" s="97"/>
      <c r="K2101" s="83"/>
      <c r="L2101" s="111"/>
      <c r="M2101" s="111"/>
      <c r="N2101" s="111"/>
      <c r="O2101" s="111"/>
      <c r="P2101" s="111"/>
      <c r="Q2101" s="111"/>
      <c r="R2101" s="111"/>
    </row>
    <row r="2102" spans="2:18" s="108" customFormat="1">
      <c r="B2102" s="97"/>
      <c r="C2102" s="110"/>
      <c r="D2102" s="109"/>
      <c r="E2102" s="97"/>
      <c r="F2102" s="97"/>
      <c r="G2102" s="109"/>
      <c r="H2102" s="109"/>
      <c r="I2102" s="97"/>
      <c r="J2102" s="97"/>
      <c r="K2102" s="83"/>
      <c r="L2102" s="111"/>
      <c r="M2102" s="111"/>
      <c r="N2102" s="111"/>
      <c r="O2102" s="111"/>
      <c r="P2102" s="111"/>
      <c r="Q2102" s="111"/>
      <c r="R2102" s="111"/>
    </row>
    <row r="2103" spans="2:18" s="108" customFormat="1">
      <c r="B2103" s="97"/>
      <c r="C2103" s="110"/>
      <c r="D2103" s="109"/>
      <c r="E2103" s="97"/>
      <c r="F2103" s="97"/>
      <c r="G2103" s="109"/>
      <c r="H2103" s="109"/>
      <c r="I2103" s="97"/>
      <c r="J2103" s="97"/>
      <c r="K2103" s="83"/>
      <c r="L2103" s="111"/>
      <c r="M2103" s="111"/>
      <c r="N2103" s="111"/>
      <c r="O2103" s="111"/>
      <c r="P2103" s="111"/>
      <c r="Q2103" s="111"/>
      <c r="R2103" s="111"/>
    </row>
    <row r="2104" spans="2:18" s="108" customFormat="1">
      <c r="B2104" s="97"/>
      <c r="C2104" s="110"/>
      <c r="D2104" s="109"/>
      <c r="E2104" s="97"/>
      <c r="F2104" s="97"/>
      <c r="G2104" s="109"/>
      <c r="H2104" s="109"/>
      <c r="I2104" s="97"/>
      <c r="J2104" s="97"/>
      <c r="K2104" s="83"/>
      <c r="L2104" s="111"/>
      <c r="M2104" s="111"/>
      <c r="N2104" s="111"/>
      <c r="O2104" s="111"/>
      <c r="P2104" s="111"/>
      <c r="Q2104" s="111"/>
      <c r="R2104" s="111"/>
    </row>
    <row r="2105" spans="2:18" s="108" customFormat="1">
      <c r="B2105" s="97"/>
      <c r="C2105" s="110"/>
      <c r="D2105" s="109"/>
      <c r="E2105" s="97"/>
      <c r="F2105" s="97"/>
      <c r="G2105" s="109"/>
      <c r="H2105" s="109"/>
      <c r="I2105" s="97"/>
      <c r="J2105" s="97"/>
      <c r="K2105" s="83"/>
      <c r="L2105" s="111"/>
      <c r="M2105" s="111"/>
      <c r="N2105" s="111"/>
      <c r="O2105" s="111"/>
      <c r="P2105" s="111"/>
      <c r="Q2105" s="111"/>
      <c r="R2105" s="111"/>
    </row>
    <row r="2106" spans="2:18" s="108" customFormat="1">
      <c r="B2106" s="97"/>
      <c r="C2106" s="110"/>
      <c r="D2106" s="109"/>
      <c r="E2106" s="97"/>
      <c r="F2106" s="97"/>
      <c r="G2106" s="109"/>
      <c r="H2106" s="109"/>
      <c r="I2106" s="97"/>
      <c r="J2106" s="97"/>
      <c r="K2106" s="83"/>
      <c r="L2106" s="111"/>
      <c r="M2106" s="111"/>
      <c r="N2106" s="111"/>
      <c r="O2106" s="111"/>
      <c r="P2106" s="111"/>
      <c r="Q2106" s="111"/>
      <c r="R2106" s="111"/>
    </row>
    <row r="2107" spans="2:18" s="108" customFormat="1">
      <c r="B2107" s="97"/>
      <c r="C2107" s="110"/>
      <c r="D2107" s="109"/>
      <c r="E2107" s="97"/>
      <c r="F2107" s="97"/>
      <c r="G2107" s="109"/>
      <c r="H2107" s="109"/>
      <c r="I2107" s="97"/>
      <c r="J2107" s="97"/>
      <c r="K2107" s="83"/>
      <c r="L2107" s="111"/>
      <c r="M2107" s="111"/>
      <c r="N2107" s="111"/>
      <c r="O2107" s="111"/>
      <c r="P2107" s="111"/>
      <c r="Q2107" s="111"/>
      <c r="R2107" s="111"/>
    </row>
    <row r="2108" spans="2:18" s="108" customFormat="1">
      <c r="B2108" s="97"/>
      <c r="C2108" s="110"/>
      <c r="D2108" s="109"/>
      <c r="E2108" s="97"/>
      <c r="F2108" s="97"/>
      <c r="G2108" s="109"/>
      <c r="H2108" s="109"/>
      <c r="I2108" s="97"/>
      <c r="J2108" s="97"/>
      <c r="K2108" s="83"/>
      <c r="L2108" s="111"/>
      <c r="M2108" s="111"/>
      <c r="N2108" s="111"/>
      <c r="O2108" s="111"/>
      <c r="P2108" s="111"/>
      <c r="Q2108" s="111"/>
      <c r="R2108" s="111"/>
    </row>
    <row r="2109" spans="2:18" s="108" customFormat="1">
      <c r="B2109" s="97"/>
      <c r="C2109" s="110"/>
      <c r="D2109" s="109"/>
      <c r="E2109" s="97"/>
      <c r="F2109" s="97"/>
      <c r="G2109" s="109"/>
      <c r="H2109" s="109"/>
      <c r="I2109" s="97"/>
      <c r="J2109" s="97"/>
      <c r="K2109" s="83"/>
      <c r="L2109" s="111"/>
      <c r="M2109" s="111"/>
      <c r="N2109" s="111"/>
      <c r="O2109" s="111"/>
      <c r="P2109" s="111"/>
      <c r="Q2109" s="111"/>
      <c r="R2109" s="111"/>
    </row>
    <row r="2110" spans="2:18" s="108" customFormat="1">
      <c r="B2110" s="97"/>
      <c r="C2110" s="110"/>
      <c r="D2110" s="109"/>
      <c r="E2110" s="97"/>
      <c r="F2110" s="97"/>
      <c r="G2110" s="109"/>
      <c r="H2110" s="109"/>
      <c r="I2110" s="97"/>
      <c r="J2110" s="97"/>
      <c r="K2110" s="83"/>
      <c r="L2110" s="111"/>
      <c r="M2110" s="111"/>
      <c r="N2110" s="111"/>
      <c r="O2110" s="111"/>
      <c r="P2110" s="111"/>
      <c r="Q2110" s="111"/>
      <c r="R2110" s="111"/>
    </row>
    <row r="2111" spans="2:18" s="108" customFormat="1">
      <c r="B2111" s="97"/>
      <c r="C2111" s="110"/>
      <c r="D2111" s="109"/>
      <c r="E2111" s="97"/>
      <c r="F2111" s="97"/>
      <c r="G2111" s="109"/>
      <c r="H2111" s="109"/>
      <c r="I2111" s="97"/>
      <c r="J2111" s="97"/>
      <c r="K2111" s="83"/>
      <c r="L2111" s="111"/>
      <c r="M2111" s="111"/>
      <c r="N2111" s="111"/>
      <c r="O2111" s="111"/>
      <c r="P2111" s="111"/>
      <c r="Q2111" s="111"/>
      <c r="R2111" s="111"/>
    </row>
    <row r="2112" spans="2:18" s="108" customFormat="1">
      <c r="B2112" s="97"/>
      <c r="C2112" s="110"/>
      <c r="D2112" s="109"/>
      <c r="E2112" s="97"/>
      <c r="F2112" s="97"/>
      <c r="G2112" s="109"/>
      <c r="H2112" s="109"/>
      <c r="I2112" s="97"/>
      <c r="J2112" s="97"/>
      <c r="K2112" s="83"/>
      <c r="L2112" s="111"/>
      <c r="M2112" s="111"/>
      <c r="N2112" s="111"/>
      <c r="O2112" s="111"/>
      <c r="P2112" s="111"/>
      <c r="Q2112" s="111"/>
      <c r="R2112" s="111"/>
    </row>
    <row r="2113" spans="2:18" s="108" customFormat="1">
      <c r="B2113" s="97"/>
      <c r="C2113" s="110"/>
      <c r="D2113" s="109"/>
      <c r="E2113" s="97"/>
      <c r="F2113" s="97"/>
      <c r="G2113" s="109"/>
      <c r="H2113" s="109"/>
      <c r="I2113" s="97"/>
      <c r="J2113" s="97"/>
      <c r="K2113" s="83"/>
      <c r="L2113" s="111"/>
      <c r="M2113" s="111"/>
      <c r="N2113" s="111"/>
      <c r="O2113" s="111"/>
      <c r="P2113" s="111"/>
      <c r="Q2113" s="111"/>
      <c r="R2113" s="111"/>
    </row>
    <row r="2114" spans="2:18" s="108" customFormat="1">
      <c r="B2114" s="97"/>
      <c r="C2114" s="110"/>
      <c r="D2114" s="109"/>
      <c r="E2114" s="97"/>
      <c r="F2114" s="97"/>
      <c r="G2114" s="109"/>
      <c r="H2114" s="109"/>
      <c r="I2114" s="97"/>
      <c r="J2114" s="97"/>
      <c r="K2114" s="83"/>
      <c r="L2114" s="111"/>
      <c r="M2114" s="111"/>
      <c r="N2114" s="111"/>
      <c r="O2114" s="111"/>
      <c r="P2114" s="111"/>
      <c r="Q2114" s="111"/>
      <c r="R2114" s="111"/>
    </row>
    <row r="2115" spans="2:18" s="108" customFormat="1">
      <c r="B2115" s="97"/>
      <c r="C2115" s="110"/>
      <c r="D2115" s="109"/>
      <c r="E2115" s="97"/>
      <c r="F2115" s="97"/>
      <c r="G2115" s="109"/>
      <c r="H2115" s="109"/>
      <c r="I2115" s="97"/>
      <c r="J2115" s="97"/>
      <c r="K2115" s="83"/>
      <c r="L2115" s="111"/>
      <c r="M2115" s="111"/>
      <c r="N2115" s="111"/>
      <c r="O2115" s="111"/>
      <c r="P2115" s="111"/>
      <c r="Q2115" s="111"/>
      <c r="R2115" s="111"/>
    </row>
    <row r="2116" spans="2:18" s="108" customFormat="1">
      <c r="B2116" s="97"/>
      <c r="C2116" s="110"/>
      <c r="D2116" s="109"/>
      <c r="E2116" s="97"/>
      <c r="F2116" s="97"/>
      <c r="G2116" s="109"/>
      <c r="H2116" s="109"/>
      <c r="I2116" s="97"/>
      <c r="J2116" s="97"/>
      <c r="K2116" s="83"/>
      <c r="L2116" s="111"/>
      <c r="M2116" s="111"/>
      <c r="N2116" s="111"/>
      <c r="O2116" s="111"/>
      <c r="P2116" s="111"/>
      <c r="Q2116" s="111"/>
      <c r="R2116" s="111"/>
    </row>
    <row r="2117" spans="2:18" s="108" customFormat="1">
      <c r="B2117" s="97"/>
      <c r="C2117" s="110"/>
      <c r="D2117" s="109"/>
      <c r="E2117" s="97"/>
      <c r="F2117" s="97"/>
      <c r="G2117" s="109"/>
      <c r="H2117" s="109"/>
      <c r="I2117" s="97"/>
      <c r="J2117" s="97"/>
      <c r="K2117" s="83"/>
      <c r="L2117" s="111"/>
      <c r="M2117" s="111"/>
      <c r="N2117" s="111"/>
      <c r="O2117" s="111"/>
      <c r="P2117" s="111"/>
      <c r="Q2117" s="111"/>
      <c r="R2117" s="111"/>
    </row>
    <row r="2118" spans="2:18" s="108" customFormat="1">
      <c r="B2118" s="97"/>
      <c r="C2118" s="110"/>
      <c r="D2118" s="109"/>
      <c r="E2118" s="97"/>
      <c r="F2118" s="97"/>
      <c r="G2118" s="109"/>
      <c r="H2118" s="109"/>
      <c r="I2118" s="97"/>
      <c r="J2118" s="97"/>
      <c r="K2118" s="83"/>
      <c r="L2118" s="111"/>
      <c r="M2118" s="111"/>
      <c r="N2118" s="111"/>
      <c r="O2118" s="111"/>
      <c r="P2118" s="111"/>
      <c r="Q2118" s="111"/>
      <c r="R2118" s="111"/>
    </row>
    <row r="2119" spans="2:18" s="108" customFormat="1">
      <c r="B2119" s="97"/>
      <c r="C2119" s="110"/>
      <c r="D2119" s="109"/>
      <c r="E2119" s="97"/>
      <c r="F2119" s="97"/>
      <c r="G2119" s="109"/>
      <c r="H2119" s="109"/>
      <c r="I2119" s="97"/>
      <c r="J2119" s="97"/>
      <c r="K2119" s="83"/>
      <c r="L2119" s="111"/>
      <c r="M2119" s="111"/>
      <c r="N2119" s="111"/>
      <c r="O2119" s="111"/>
      <c r="P2119" s="111"/>
      <c r="Q2119" s="111"/>
      <c r="R2119" s="111"/>
    </row>
    <row r="2120" spans="2:18" s="108" customFormat="1">
      <c r="B2120" s="97"/>
      <c r="C2120" s="110"/>
      <c r="D2120" s="109"/>
      <c r="E2120" s="97"/>
      <c r="F2120" s="97"/>
      <c r="G2120" s="109"/>
      <c r="H2120" s="109"/>
      <c r="I2120" s="97"/>
      <c r="J2120" s="97"/>
      <c r="K2120" s="83"/>
      <c r="L2120" s="111"/>
      <c r="M2120" s="111"/>
      <c r="N2120" s="111"/>
      <c r="O2120" s="111"/>
      <c r="P2120" s="111"/>
      <c r="Q2120" s="111"/>
      <c r="R2120" s="111"/>
    </row>
    <row r="2121" spans="2:18" s="108" customFormat="1">
      <c r="B2121" s="97"/>
      <c r="C2121" s="110"/>
      <c r="D2121" s="109"/>
      <c r="E2121" s="97"/>
      <c r="F2121" s="97"/>
      <c r="G2121" s="109"/>
      <c r="H2121" s="109"/>
      <c r="I2121" s="97"/>
      <c r="J2121" s="97"/>
      <c r="K2121" s="83"/>
      <c r="L2121" s="111"/>
      <c r="M2121" s="111"/>
      <c r="N2121" s="111"/>
      <c r="O2121" s="111"/>
      <c r="P2121" s="111"/>
      <c r="Q2121" s="111"/>
      <c r="R2121" s="111"/>
    </row>
    <row r="2122" spans="2:18" s="108" customFormat="1">
      <c r="B2122" s="97"/>
      <c r="C2122" s="110"/>
      <c r="D2122" s="109"/>
      <c r="E2122" s="97"/>
      <c r="F2122" s="97"/>
      <c r="G2122" s="109"/>
      <c r="H2122" s="109"/>
      <c r="I2122" s="97"/>
      <c r="J2122" s="97"/>
      <c r="K2122" s="83"/>
      <c r="L2122" s="111"/>
      <c r="M2122" s="111"/>
      <c r="N2122" s="111"/>
      <c r="O2122" s="111"/>
      <c r="P2122" s="111"/>
      <c r="Q2122" s="111"/>
      <c r="R2122" s="111"/>
    </row>
    <row r="2123" spans="2:18" s="108" customFormat="1">
      <c r="B2123" s="97"/>
      <c r="C2123" s="110"/>
      <c r="D2123" s="109"/>
      <c r="E2123" s="97"/>
      <c r="F2123" s="97"/>
      <c r="G2123" s="109"/>
      <c r="H2123" s="109"/>
      <c r="I2123" s="97"/>
      <c r="J2123" s="97"/>
      <c r="K2123" s="83"/>
      <c r="L2123" s="111"/>
      <c r="M2123" s="111"/>
      <c r="N2123" s="111"/>
      <c r="O2123" s="111"/>
      <c r="P2123" s="111"/>
      <c r="Q2123" s="111"/>
      <c r="R2123" s="111"/>
    </row>
    <row r="2124" spans="2:18" s="108" customFormat="1">
      <c r="B2124" s="97"/>
      <c r="C2124" s="110"/>
      <c r="D2124" s="109"/>
      <c r="E2124" s="97"/>
      <c r="F2124" s="97"/>
      <c r="G2124" s="109"/>
      <c r="H2124" s="109"/>
      <c r="I2124" s="97"/>
      <c r="J2124" s="97"/>
      <c r="K2124" s="83"/>
      <c r="L2124" s="111"/>
      <c r="M2124" s="111"/>
      <c r="N2124" s="111"/>
      <c r="O2124" s="111"/>
      <c r="P2124" s="111"/>
      <c r="Q2124" s="111"/>
      <c r="R2124" s="111"/>
    </row>
    <row r="2125" spans="2:18" s="108" customFormat="1">
      <c r="B2125" s="97"/>
      <c r="C2125" s="110"/>
      <c r="D2125" s="109"/>
      <c r="E2125" s="97"/>
      <c r="F2125" s="97"/>
      <c r="G2125" s="109"/>
      <c r="H2125" s="109"/>
      <c r="I2125" s="97"/>
      <c r="J2125" s="97"/>
      <c r="K2125" s="83"/>
      <c r="L2125" s="111"/>
      <c r="M2125" s="111"/>
      <c r="N2125" s="111"/>
      <c r="O2125" s="111"/>
      <c r="P2125" s="111"/>
      <c r="Q2125" s="111"/>
      <c r="R2125" s="111"/>
    </row>
    <row r="2126" spans="2:18" s="108" customFormat="1">
      <c r="B2126" s="97"/>
      <c r="C2126" s="110"/>
      <c r="D2126" s="109"/>
      <c r="E2126" s="97"/>
      <c r="F2126" s="97"/>
      <c r="G2126" s="109"/>
      <c r="H2126" s="109"/>
      <c r="I2126" s="97"/>
      <c r="J2126" s="97"/>
      <c r="K2126" s="83"/>
      <c r="L2126" s="111"/>
      <c r="M2126" s="111"/>
      <c r="N2126" s="111"/>
      <c r="O2126" s="111"/>
      <c r="P2126" s="111"/>
      <c r="Q2126" s="111"/>
      <c r="R2126" s="111"/>
    </row>
    <row r="2127" spans="2:18" s="108" customFormat="1">
      <c r="B2127" s="97"/>
      <c r="C2127" s="110"/>
      <c r="D2127" s="109"/>
      <c r="E2127" s="97"/>
      <c r="F2127" s="97"/>
      <c r="G2127" s="109"/>
      <c r="H2127" s="109"/>
      <c r="I2127" s="97"/>
      <c r="J2127" s="97"/>
      <c r="K2127" s="83"/>
      <c r="L2127" s="111"/>
      <c r="M2127" s="111"/>
      <c r="N2127" s="111"/>
      <c r="O2127" s="111"/>
      <c r="P2127" s="111"/>
      <c r="Q2127" s="111"/>
      <c r="R2127" s="111"/>
    </row>
    <row r="2128" spans="2:18" s="108" customFormat="1">
      <c r="B2128" s="97"/>
      <c r="C2128" s="110"/>
      <c r="D2128" s="109"/>
      <c r="E2128" s="97"/>
      <c r="F2128" s="97"/>
      <c r="G2128" s="109"/>
      <c r="H2128" s="109"/>
      <c r="I2128" s="97"/>
      <c r="J2128" s="97"/>
      <c r="K2128" s="83"/>
      <c r="L2128" s="111"/>
      <c r="M2128" s="111"/>
      <c r="N2128" s="111"/>
      <c r="O2128" s="111"/>
      <c r="P2128" s="111"/>
      <c r="Q2128" s="111"/>
      <c r="R2128" s="111"/>
    </row>
    <row r="2129" spans="2:18" s="108" customFormat="1">
      <c r="B2129" s="97"/>
      <c r="C2129" s="110"/>
      <c r="D2129" s="109"/>
      <c r="E2129" s="97"/>
      <c r="F2129" s="97"/>
      <c r="G2129" s="109"/>
      <c r="H2129" s="109"/>
      <c r="I2129" s="97"/>
      <c r="J2129" s="97"/>
      <c r="K2129" s="83"/>
      <c r="L2129" s="111"/>
      <c r="M2129" s="111"/>
      <c r="N2129" s="111"/>
      <c r="O2129" s="111"/>
      <c r="P2129" s="111"/>
      <c r="Q2129" s="111"/>
      <c r="R2129" s="111"/>
    </row>
    <row r="2130" spans="2:18" s="108" customFormat="1">
      <c r="B2130" s="97"/>
      <c r="C2130" s="110"/>
      <c r="D2130" s="109"/>
      <c r="E2130" s="97"/>
      <c r="F2130" s="97"/>
      <c r="G2130" s="109"/>
      <c r="H2130" s="109"/>
      <c r="I2130" s="97"/>
      <c r="J2130" s="97"/>
      <c r="K2130" s="83"/>
      <c r="L2130" s="111"/>
      <c r="M2130" s="111"/>
      <c r="N2130" s="111"/>
      <c r="O2130" s="111"/>
      <c r="P2130" s="111"/>
      <c r="Q2130" s="111"/>
      <c r="R2130" s="111"/>
    </row>
    <row r="2131" spans="2:18" s="108" customFormat="1">
      <c r="B2131" s="97"/>
      <c r="C2131" s="110"/>
      <c r="D2131" s="109"/>
      <c r="E2131" s="97"/>
      <c r="F2131" s="97"/>
      <c r="G2131" s="109"/>
      <c r="H2131" s="109"/>
      <c r="I2131" s="97"/>
      <c r="J2131" s="97"/>
      <c r="K2131" s="83"/>
      <c r="L2131" s="111"/>
      <c r="M2131" s="111"/>
      <c r="N2131" s="111"/>
      <c r="O2131" s="111"/>
      <c r="P2131" s="111"/>
      <c r="Q2131" s="111"/>
      <c r="R2131" s="111"/>
    </row>
    <row r="2132" spans="2:18" s="108" customFormat="1">
      <c r="B2132" s="97"/>
      <c r="C2132" s="110"/>
      <c r="D2132" s="109"/>
      <c r="E2132" s="97"/>
      <c r="F2132" s="97"/>
      <c r="G2132" s="109"/>
      <c r="H2132" s="109"/>
      <c r="I2132" s="97"/>
      <c r="J2132" s="97"/>
      <c r="K2132" s="83"/>
      <c r="L2132" s="111"/>
      <c r="M2132" s="111"/>
      <c r="N2132" s="111"/>
      <c r="O2132" s="111"/>
      <c r="P2132" s="111"/>
      <c r="Q2132" s="111"/>
      <c r="R2132" s="111"/>
    </row>
    <row r="2133" spans="2:18" s="108" customFormat="1">
      <c r="B2133" s="97"/>
      <c r="C2133" s="110"/>
      <c r="D2133" s="109"/>
      <c r="E2133" s="97"/>
      <c r="F2133" s="97"/>
      <c r="G2133" s="109"/>
      <c r="H2133" s="109"/>
      <c r="I2133" s="97"/>
      <c r="J2133" s="97"/>
      <c r="K2133" s="83"/>
      <c r="L2133" s="111"/>
      <c r="M2133" s="111"/>
      <c r="N2133" s="111"/>
      <c r="O2133" s="111"/>
      <c r="P2133" s="111"/>
      <c r="Q2133" s="111"/>
      <c r="R2133" s="111"/>
    </row>
    <row r="2134" spans="2:18" s="108" customFormat="1">
      <c r="B2134" s="97"/>
      <c r="C2134" s="110"/>
      <c r="D2134" s="109"/>
      <c r="E2134" s="97"/>
      <c r="F2134" s="97"/>
      <c r="G2134" s="109"/>
      <c r="H2134" s="109"/>
      <c r="I2134" s="97"/>
      <c r="J2134" s="97"/>
      <c r="K2134" s="83"/>
      <c r="L2134" s="111"/>
      <c r="M2134" s="111"/>
      <c r="N2134" s="111"/>
      <c r="O2134" s="111"/>
      <c r="P2134" s="111"/>
      <c r="Q2134" s="111"/>
      <c r="R2134" s="111"/>
    </row>
    <row r="2135" spans="2:18" s="108" customFormat="1">
      <c r="B2135" s="97"/>
      <c r="C2135" s="110"/>
      <c r="D2135" s="109"/>
      <c r="E2135" s="97"/>
      <c r="F2135" s="97"/>
      <c r="G2135" s="109"/>
      <c r="H2135" s="109"/>
      <c r="I2135" s="97"/>
      <c r="J2135" s="97"/>
      <c r="K2135" s="83"/>
      <c r="L2135" s="111"/>
      <c r="M2135" s="111"/>
      <c r="N2135" s="111"/>
      <c r="O2135" s="111"/>
      <c r="P2135" s="111"/>
      <c r="Q2135" s="111"/>
      <c r="R2135" s="111"/>
    </row>
    <row r="2136" spans="2:18" s="108" customFormat="1">
      <c r="B2136" s="97"/>
      <c r="C2136" s="110"/>
      <c r="D2136" s="109"/>
      <c r="E2136" s="97"/>
      <c r="F2136" s="97"/>
      <c r="G2136" s="109"/>
      <c r="H2136" s="109"/>
      <c r="I2136" s="97"/>
      <c r="J2136" s="97"/>
      <c r="K2136" s="83"/>
      <c r="L2136" s="111"/>
      <c r="M2136" s="111"/>
      <c r="N2136" s="111"/>
      <c r="O2136" s="111"/>
      <c r="P2136" s="111"/>
      <c r="Q2136" s="111"/>
      <c r="R2136" s="111"/>
    </row>
    <row r="2137" spans="2:18" s="108" customFormat="1">
      <c r="B2137" s="97"/>
      <c r="C2137" s="110"/>
      <c r="D2137" s="109"/>
      <c r="E2137" s="97"/>
      <c r="F2137" s="97"/>
      <c r="G2137" s="109"/>
      <c r="H2137" s="109"/>
      <c r="I2137" s="97"/>
      <c r="J2137" s="97"/>
      <c r="K2137" s="83"/>
      <c r="L2137" s="111"/>
      <c r="M2137" s="111"/>
      <c r="N2137" s="111"/>
      <c r="O2137" s="111"/>
      <c r="P2137" s="111"/>
      <c r="Q2137" s="111"/>
      <c r="R2137" s="111"/>
    </row>
    <row r="2138" spans="2:18" s="108" customFormat="1">
      <c r="B2138" s="97"/>
      <c r="C2138" s="110"/>
      <c r="D2138" s="109"/>
      <c r="E2138" s="97"/>
      <c r="F2138" s="97"/>
      <c r="G2138" s="109"/>
      <c r="H2138" s="109"/>
      <c r="I2138" s="97"/>
      <c r="J2138" s="97"/>
      <c r="K2138" s="83"/>
      <c r="L2138" s="111"/>
      <c r="M2138" s="111"/>
      <c r="N2138" s="111"/>
      <c r="O2138" s="111"/>
      <c r="P2138" s="111"/>
      <c r="Q2138" s="111"/>
      <c r="R2138" s="111"/>
    </row>
    <row r="2139" spans="2:18" s="108" customFormat="1">
      <c r="B2139" s="97"/>
      <c r="C2139" s="110"/>
      <c r="D2139" s="109"/>
      <c r="E2139" s="97"/>
      <c r="F2139" s="97"/>
      <c r="G2139" s="109"/>
      <c r="H2139" s="109"/>
      <c r="I2139" s="97"/>
      <c r="J2139" s="97"/>
      <c r="K2139" s="83"/>
      <c r="L2139" s="111"/>
      <c r="M2139" s="111"/>
      <c r="N2139" s="111"/>
      <c r="O2139" s="111"/>
      <c r="P2139" s="111"/>
      <c r="Q2139" s="111"/>
      <c r="R2139" s="111"/>
    </row>
    <row r="2140" spans="2:18" s="108" customFormat="1">
      <c r="B2140" s="97"/>
      <c r="C2140" s="110"/>
      <c r="D2140" s="109"/>
      <c r="E2140" s="97"/>
      <c r="F2140" s="97"/>
      <c r="G2140" s="109"/>
      <c r="H2140" s="109"/>
      <c r="I2140" s="97"/>
      <c r="J2140" s="97"/>
      <c r="K2140" s="83"/>
      <c r="L2140" s="111"/>
      <c r="M2140" s="111"/>
      <c r="N2140" s="111"/>
      <c r="O2140" s="111"/>
      <c r="P2140" s="111"/>
      <c r="Q2140" s="111"/>
      <c r="R2140" s="111"/>
    </row>
    <row r="2141" spans="2:18" s="108" customFormat="1">
      <c r="B2141" s="97"/>
      <c r="C2141" s="110"/>
      <c r="D2141" s="109"/>
      <c r="E2141" s="97"/>
      <c r="F2141" s="97"/>
      <c r="G2141" s="109"/>
      <c r="H2141" s="109"/>
      <c r="I2141" s="97"/>
      <c r="J2141" s="97"/>
      <c r="K2141" s="83"/>
      <c r="L2141" s="111"/>
      <c r="M2141" s="111"/>
      <c r="N2141" s="111"/>
      <c r="O2141" s="111"/>
      <c r="P2141" s="111"/>
      <c r="Q2141" s="111"/>
      <c r="R2141" s="111"/>
    </row>
    <row r="2142" spans="2:18" s="108" customFormat="1">
      <c r="B2142" s="97"/>
      <c r="C2142" s="110"/>
      <c r="D2142" s="109"/>
      <c r="E2142" s="97"/>
      <c r="F2142" s="97"/>
      <c r="G2142" s="109"/>
      <c r="H2142" s="109"/>
      <c r="I2142" s="97"/>
      <c r="J2142" s="97"/>
      <c r="K2142" s="83"/>
      <c r="L2142" s="111"/>
      <c r="M2142" s="111"/>
      <c r="N2142" s="111"/>
      <c r="O2142" s="111"/>
      <c r="P2142" s="111"/>
      <c r="Q2142" s="111"/>
      <c r="R2142" s="111"/>
    </row>
    <row r="2143" spans="2:18" s="108" customFormat="1">
      <c r="B2143" s="97"/>
      <c r="C2143" s="110"/>
      <c r="D2143" s="109"/>
      <c r="E2143" s="97"/>
      <c r="F2143" s="97"/>
      <c r="G2143" s="109"/>
      <c r="H2143" s="109"/>
      <c r="I2143" s="97"/>
      <c r="J2143" s="97"/>
      <c r="K2143" s="83"/>
      <c r="L2143" s="111"/>
      <c r="M2143" s="111"/>
      <c r="N2143" s="111"/>
      <c r="O2143" s="111"/>
      <c r="P2143" s="111"/>
      <c r="Q2143" s="111"/>
      <c r="R2143" s="111"/>
    </row>
    <row r="2144" spans="2:18" s="108" customFormat="1">
      <c r="B2144" s="97"/>
      <c r="C2144" s="110"/>
      <c r="D2144" s="109"/>
      <c r="E2144" s="97"/>
      <c r="F2144" s="97"/>
      <c r="G2144" s="109"/>
      <c r="H2144" s="109"/>
      <c r="I2144" s="97"/>
      <c r="J2144" s="97"/>
      <c r="K2144" s="83"/>
      <c r="L2144" s="111"/>
      <c r="M2144" s="111"/>
      <c r="N2144" s="111"/>
      <c r="O2144" s="111"/>
      <c r="P2144" s="111"/>
      <c r="Q2144" s="111"/>
      <c r="R2144" s="111"/>
    </row>
    <row r="2145" spans="2:18" s="108" customFormat="1">
      <c r="B2145" s="97"/>
      <c r="C2145" s="110"/>
      <c r="D2145" s="109"/>
      <c r="E2145" s="97"/>
      <c r="F2145" s="97"/>
      <c r="G2145" s="109"/>
      <c r="H2145" s="109"/>
      <c r="I2145" s="97"/>
      <c r="J2145" s="97"/>
      <c r="K2145" s="83"/>
      <c r="L2145" s="111"/>
      <c r="M2145" s="111"/>
      <c r="N2145" s="111"/>
      <c r="O2145" s="111"/>
      <c r="P2145" s="111"/>
      <c r="Q2145" s="111"/>
      <c r="R2145" s="111"/>
    </row>
    <row r="2146" spans="2:18" s="108" customFormat="1">
      <c r="B2146" s="97"/>
      <c r="C2146" s="110"/>
      <c r="D2146" s="109"/>
      <c r="E2146" s="97"/>
      <c r="F2146" s="97"/>
      <c r="G2146" s="109"/>
      <c r="H2146" s="109"/>
      <c r="I2146" s="97"/>
      <c r="J2146" s="97"/>
      <c r="K2146" s="83"/>
      <c r="L2146" s="111"/>
      <c r="M2146" s="111"/>
      <c r="N2146" s="111"/>
      <c r="O2146" s="111"/>
      <c r="P2146" s="111"/>
      <c r="Q2146" s="111"/>
      <c r="R2146" s="111"/>
    </row>
    <row r="2147" spans="2:18" s="108" customFormat="1">
      <c r="B2147" s="97"/>
      <c r="C2147" s="110"/>
      <c r="D2147" s="109"/>
      <c r="E2147" s="97"/>
      <c r="F2147" s="97"/>
      <c r="G2147" s="109"/>
      <c r="H2147" s="109"/>
      <c r="I2147" s="97"/>
      <c r="J2147" s="97"/>
      <c r="K2147" s="83"/>
      <c r="L2147" s="111"/>
      <c r="M2147" s="111"/>
      <c r="N2147" s="111"/>
      <c r="O2147" s="111"/>
      <c r="P2147" s="111"/>
      <c r="Q2147" s="111"/>
      <c r="R2147" s="111"/>
    </row>
    <row r="2148" spans="2:18" s="108" customFormat="1">
      <c r="B2148" s="97"/>
      <c r="C2148" s="110"/>
      <c r="D2148" s="109"/>
      <c r="E2148" s="97"/>
      <c r="F2148" s="97"/>
      <c r="G2148" s="109"/>
      <c r="H2148" s="109"/>
      <c r="I2148" s="97"/>
      <c r="J2148" s="97"/>
      <c r="K2148" s="83"/>
      <c r="L2148" s="111"/>
      <c r="M2148" s="111"/>
      <c r="N2148" s="111"/>
      <c r="O2148" s="111"/>
      <c r="P2148" s="111"/>
      <c r="Q2148" s="111"/>
      <c r="R2148" s="111"/>
    </row>
    <row r="2149" spans="2:18" s="108" customFormat="1">
      <c r="B2149" s="97"/>
      <c r="C2149" s="110"/>
      <c r="D2149" s="109"/>
      <c r="E2149" s="97"/>
      <c r="F2149" s="97"/>
      <c r="G2149" s="109"/>
      <c r="H2149" s="109"/>
      <c r="I2149" s="97"/>
      <c r="J2149" s="97"/>
      <c r="K2149" s="83"/>
      <c r="L2149" s="111"/>
      <c r="M2149" s="111"/>
      <c r="N2149" s="111"/>
      <c r="O2149" s="111"/>
      <c r="P2149" s="111"/>
      <c r="Q2149" s="111"/>
      <c r="R2149" s="111"/>
    </row>
    <row r="2150" spans="2:18" s="108" customFormat="1">
      <c r="B2150" s="97"/>
      <c r="C2150" s="110"/>
      <c r="D2150" s="109"/>
      <c r="E2150" s="97"/>
      <c r="F2150" s="97"/>
      <c r="G2150" s="109"/>
      <c r="H2150" s="109"/>
      <c r="I2150" s="97"/>
      <c r="J2150" s="97"/>
      <c r="K2150" s="83"/>
      <c r="L2150" s="111"/>
      <c r="M2150" s="111"/>
      <c r="N2150" s="111"/>
      <c r="O2150" s="111"/>
      <c r="P2150" s="111"/>
      <c r="Q2150" s="111"/>
      <c r="R2150" s="111"/>
    </row>
    <row r="2151" spans="2:18" s="108" customFormat="1">
      <c r="B2151" s="97"/>
      <c r="C2151" s="110"/>
      <c r="D2151" s="109"/>
      <c r="E2151" s="97"/>
      <c r="F2151" s="97"/>
      <c r="G2151" s="109"/>
      <c r="H2151" s="109"/>
      <c r="I2151" s="97"/>
      <c r="J2151" s="97"/>
      <c r="K2151" s="83"/>
      <c r="L2151" s="111"/>
      <c r="M2151" s="111"/>
      <c r="N2151" s="111"/>
      <c r="O2151" s="111"/>
      <c r="P2151" s="111"/>
      <c r="Q2151" s="111"/>
      <c r="R2151" s="111"/>
    </row>
    <row r="2152" spans="2:18" s="108" customFormat="1">
      <c r="B2152" s="97"/>
      <c r="C2152" s="110"/>
      <c r="D2152" s="109"/>
      <c r="E2152" s="97"/>
      <c r="F2152" s="97"/>
      <c r="G2152" s="109"/>
      <c r="H2152" s="109"/>
      <c r="I2152" s="97"/>
      <c r="J2152" s="97"/>
      <c r="K2152" s="83"/>
      <c r="L2152" s="111"/>
      <c r="M2152" s="111"/>
      <c r="N2152" s="111"/>
      <c r="O2152" s="111"/>
      <c r="P2152" s="111"/>
      <c r="Q2152" s="111"/>
      <c r="R2152" s="111"/>
    </row>
    <row r="2153" spans="2:18" s="108" customFormat="1">
      <c r="B2153" s="97"/>
      <c r="C2153" s="110"/>
      <c r="D2153" s="109"/>
      <c r="E2153" s="97"/>
      <c r="F2153" s="97"/>
      <c r="G2153" s="109"/>
      <c r="H2153" s="109"/>
      <c r="I2153" s="97"/>
      <c r="J2153" s="97"/>
      <c r="K2153" s="83"/>
      <c r="L2153" s="111"/>
      <c r="M2153" s="111"/>
      <c r="N2153" s="111"/>
      <c r="O2153" s="111"/>
      <c r="P2153" s="111"/>
      <c r="Q2153" s="111"/>
      <c r="R2153" s="111"/>
    </row>
    <row r="2154" spans="2:18" s="108" customFormat="1">
      <c r="B2154" s="97"/>
      <c r="C2154" s="110"/>
      <c r="D2154" s="109"/>
      <c r="E2154" s="97"/>
      <c r="F2154" s="97"/>
      <c r="G2154" s="109"/>
      <c r="H2154" s="109"/>
      <c r="I2154" s="97"/>
      <c r="J2154" s="97"/>
      <c r="K2154" s="83"/>
      <c r="L2154" s="111"/>
      <c r="M2154" s="111"/>
      <c r="N2154" s="111"/>
      <c r="O2154" s="111"/>
      <c r="P2154" s="111"/>
      <c r="Q2154" s="111"/>
      <c r="R2154" s="111"/>
    </row>
    <row r="2155" spans="2:18" s="108" customFormat="1">
      <c r="B2155" s="97"/>
      <c r="C2155" s="110"/>
      <c r="D2155" s="109"/>
      <c r="E2155" s="97"/>
      <c r="F2155" s="97"/>
      <c r="G2155" s="109"/>
      <c r="H2155" s="109"/>
      <c r="I2155" s="97"/>
      <c r="J2155" s="97"/>
      <c r="K2155" s="83"/>
      <c r="L2155" s="111"/>
      <c r="M2155" s="111"/>
      <c r="N2155" s="111"/>
      <c r="O2155" s="111"/>
      <c r="P2155" s="111"/>
      <c r="Q2155" s="111"/>
      <c r="R2155" s="111"/>
    </row>
    <row r="2156" spans="2:18" s="108" customFormat="1">
      <c r="B2156" s="97"/>
      <c r="C2156" s="110"/>
      <c r="D2156" s="109"/>
      <c r="E2156" s="97"/>
      <c r="F2156" s="97"/>
      <c r="G2156" s="109"/>
      <c r="H2156" s="109"/>
      <c r="I2156" s="97"/>
      <c r="J2156" s="97"/>
      <c r="K2156" s="83"/>
      <c r="L2156" s="111"/>
      <c r="M2156" s="111"/>
      <c r="N2156" s="111"/>
      <c r="O2156" s="111"/>
      <c r="P2156" s="111"/>
      <c r="Q2156" s="111"/>
      <c r="R2156" s="111"/>
    </row>
    <row r="2157" spans="2:18" s="108" customFormat="1">
      <c r="B2157" s="97"/>
      <c r="C2157" s="110"/>
      <c r="D2157" s="109"/>
      <c r="E2157" s="97"/>
      <c r="F2157" s="97"/>
      <c r="G2157" s="109"/>
      <c r="H2157" s="109"/>
      <c r="I2157" s="97"/>
      <c r="J2157" s="97"/>
      <c r="K2157" s="83"/>
      <c r="L2157" s="111"/>
      <c r="M2157" s="111"/>
      <c r="N2157" s="111"/>
      <c r="O2157" s="111"/>
      <c r="P2157" s="111"/>
      <c r="Q2157" s="111"/>
      <c r="R2157" s="111"/>
    </row>
    <row r="2158" spans="2:18" s="108" customFormat="1">
      <c r="B2158" s="97"/>
      <c r="C2158" s="110"/>
      <c r="D2158" s="109"/>
      <c r="E2158" s="97"/>
      <c r="F2158" s="97"/>
      <c r="G2158" s="109"/>
      <c r="H2158" s="109"/>
      <c r="I2158" s="97"/>
      <c r="J2158" s="97"/>
      <c r="K2158" s="83"/>
      <c r="L2158" s="111"/>
      <c r="M2158" s="111"/>
      <c r="N2158" s="111"/>
      <c r="O2158" s="111"/>
      <c r="P2158" s="111"/>
      <c r="Q2158" s="111"/>
      <c r="R2158" s="111"/>
    </row>
    <row r="2159" spans="2:18" s="108" customFormat="1">
      <c r="B2159" s="97"/>
      <c r="C2159" s="110"/>
      <c r="D2159" s="109"/>
      <c r="E2159" s="97"/>
      <c r="F2159" s="97"/>
      <c r="G2159" s="109"/>
      <c r="H2159" s="109"/>
      <c r="I2159" s="97"/>
      <c r="J2159" s="97"/>
      <c r="K2159" s="83"/>
      <c r="L2159" s="111"/>
      <c r="M2159" s="111"/>
      <c r="N2159" s="111"/>
      <c r="O2159" s="111"/>
      <c r="P2159" s="111"/>
      <c r="Q2159" s="111"/>
      <c r="R2159" s="111"/>
    </row>
    <row r="2160" spans="2:18" s="108" customFormat="1">
      <c r="B2160" s="97"/>
      <c r="C2160" s="110"/>
      <c r="D2160" s="109"/>
      <c r="E2160" s="97"/>
      <c r="F2160" s="97"/>
      <c r="G2160" s="109"/>
      <c r="H2160" s="109"/>
      <c r="I2160" s="97"/>
      <c r="J2160" s="97"/>
      <c r="K2160" s="83"/>
      <c r="L2160" s="111"/>
      <c r="M2160" s="111"/>
      <c r="N2160" s="111"/>
      <c r="O2160" s="111"/>
      <c r="P2160" s="111"/>
      <c r="Q2160" s="111"/>
      <c r="R2160" s="111"/>
    </row>
    <row r="2161" spans="2:18" s="108" customFormat="1">
      <c r="B2161" s="97"/>
      <c r="C2161" s="110"/>
      <c r="D2161" s="109"/>
      <c r="E2161" s="97"/>
      <c r="F2161" s="97"/>
      <c r="G2161" s="109"/>
      <c r="H2161" s="109"/>
      <c r="I2161" s="97"/>
      <c r="J2161" s="97"/>
      <c r="K2161" s="83"/>
      <c r="L2161" s="111"/>
      <c r="M2161" s="111"/>
      <c r="N2161" s="111"/>
      <c r="O2161" s="111"/>
      <c r="P2161" s="111"/>
      <c r="Q2161" s="111"/>
      <c r="R2161" s="111"/>
    </row>
    <row r="2162" spans="2:18" s="108" customFormat="1">
      <c r="B2162" s="97"/>
      <c r="C2162" s="110"/>
      <c r="D2162" s="109"/>
      <c r="E2162" s="97"/>
      <c r="F2162" s="97"/>
      <c r="G2162" s="109"/>
      <c r="H2162" s="109"/>
      <c r="I2162" s="97"/>
      <c r="J2162" s="97"/>
      <c r="K2162" s="83"/>
      <c r="L2162" s="111"/>
      <c r="M2162" s="111"/>
      <c r="N2162" s="111"/>
      <c r="O2162" s="111"/>
      <c r="P2162" s="111"/>
      <c r="Q2162" s="111"/>
      <c r="R2162" s="111"/>
    </row>
    <row r="2163" spans="2:18" s="108" customFormat="1">
      <c r="B2163" s="97"/>
      <c r="C2163" s="110"/>
      <c r="D2163" s="109"/>
      <c r="E2163" s="97"/>
      <c r="F2163" s="97"/>
      <c r="G2163" s="109"/>
      <c r="H2163" s="109"/>
      <c r="I2163" s="97"/>
      <c r="J2163" s="97"/>
      <c r="K2163" s="83"/>
      <c r="L2163" s="111"/>
      <c r="M2163" s="111"/>
      <c r="N2163" s="111"/>
      <c r="O2163" s="111"/>
      <c r="P2163" s="111"/>
      <c r="Q2163" s="111"/>
      <c r="R2163" s="111"/>
    </row>
    <row r="2164" spans="2:18" s="108" customFormat="1">
      <c r="B2164" s="97"/>
      <c r="C2164" s="110"/>
      <c r="D2164" s="109"/>
      <c r="E2164" s="97"/>
      <c r="F2164" s="97"/>
      <c r="G2164" s="109"/>
      <c r="H2164" s="109"/>
      <c r="I2164" s="97"/>
      <c r="J2164" s="97"/>
      <c r="K2164" s="83"/>
      <c r="L2164" s="111"/>
      <c r="M2164" s="111"/>
      <c r="N2164" s="111"/>
      <c r="O2164" s="111"/>
      <c r="P2164" s="111"/>
      <c r="Q2164" s="111"/>
      <c r="R2164" s="111"/>
    </row>
    <row r="2165" spans="2:18" s="108" customFormat="1">
      <c r="B2165" s="97"/>
      <c r="C2165" s="110"/>
      <c r="D2165" s="109"/>
      <c r="E2165" s="97"/>
      <c r="F2165" s="97"/>
      <c r="G2165" s="109"/>
      <c r="H2165" s="109"/>
      <c r="I2165" s="97"/>
      <c r="J2165" s="97"/>
      <c r="K2165" s="83"/>
      <c r="L2165" s="111"/>
      <c r="M2165" s="111"/>
      <c r="N2165" s="111"/>
      <c r="O2165" s="111"/>
      <c r="P2165" s="111"/>
      <c r="Q2165" s="111"/>
      <c r="R2165" s="111"/>
    </row>
    <row r="2166" spans="2:18" s="108" customFormat="1">
      <c r="B2166" s="97"/>
      <c r="C2166" s="110"/>
      <c r="D2166" s="109"/>
      <c r="E2166" s="97"/>
      <c r="F2166" s="97"/>
      <c r="G2166" s="109"/>
      <c r="H2166" s="109"/>
      <c r="I2166" s="97"/>
      <c r="J2166" s="97"/>
      <c r="K2166" s="83"/>
      <c r="L2166" s="111"/>
      <c r="M2166" s="111"/>
      <c r="N2166" s="111"/>
      <c r="O2166" s="111"/>
      <c r="P2166" s="111"/>
      <c r="Q2166" s="111"/>
      <c r="R2166" s="111"/>
    </row>
    <row r="2167" spans="2:18" s="108" customFormat="1">
      <c r="B2167" s="97"/>
      <c r="C2167" s="110"/>
      <c r="D2167" s="109"/>
      <c r="E2167" s="97"/>
      <c r="F2167" s="97"/>
      <c r="G2167" s="109"/>
      <c r="H2167" s="109"/>
      <c r="I2167" s="97"/>
      <c r="J2167" s="97"/>
      <c r="K2167" s="83"/>
      <c r="L2167" s="111"/>
      <c r="M2167" s="111"/>
      <c r="N2167" s="111"/>
      <c r="O2167" s="111"/>
      <c r="P2167" s="111"/>
      <c r="Q2167" s="111"/>
      <c r="R2167" s="111"/>
    </row>
    <row r="2168" spans="2:18" s="108" customFormat="1">
      <c r="B2168" s="97"/>
      <c r="C2168" s="110"/>
      <c r="D2168" s="109"/>
      <c r="E2168" s="97"/>
      <c r="F2168" s="97"/>
      <c r="G2168" s="109"/>
      <c r="H2168" s="109"/>
      <c r="I2168" s="97"/>
      <c r="J2168" s="97"/>
      <c r="K2168" s="83"/>
      <c r="L2168" s="111"/>
      <c r="M2168" s="111"/>
      <c r="N2168" s="111"/>
      <c r="O2168" s="111"/>
      <c r="P2168" s="111"/>
      <c r="Q2168" s="111"/>
      <c r="R2168" s="111"/>
    </row>
    <row r="2169" spans="2:18" s="108" customFormat="1">
      <c r="B2169" s="97"/>
      <c r="C2169" s="110"/>
      <c r="D2169" s="109"/>
      <c r="E2169" s="97"/>
      <c r="F2169" s="97"/>
      <c r="G2169" s="109"/>
      <c r="H2169" s="109"/>
      <c r="I2169" s="97"/>
      <c r="J2169" s="97"/>
      <c r="K2169" s="83"/>
      <c r="L2169" s="111"/>
      <c r="M2169" s="111"/>
      <c r="N2169" s="111"/>
      <c r="O2169" s="111"/>
      <c r="P2169" s="111"/>
      <c r="Q2169" s="111"/>
      <c r="R2169" s="111"/>
    </row>
    <row r="2170" spans="2:18" s="108" customFormat="1">
      <c r="B2170" s="97"/>
      <c r="C2170" s="110"/>
      <c r="D2170" s="109"/>
      <c r="E2170" s="97"/>
      <c r="F2170" s="97"/>
      <c r="G2170" s="109"/>
      <c r="H2170" s="109"/>
      <c r="I2170" s="97"/>
      <c r="J2170" s="97"/>
      <c r="K2170" s="83"/>
      <c r="L2170" s="111"/>
      <c r="M2170" s="111"/>
      <c r="N2170" s="111"/>
      <c r="O2170" s="111"/>
      <c r="P2170" s="111"/>
      <c r="Q2170" s="111"/>
      <c r="R2170" s="111"/>
    </row>
    <row r="2171" spans="2:18" s="108" customFormat="1">
      <c r="B2171" s="97"/>
      <c r="C2171" s="110"/>
      <c r="D2171" s="109"/>
      <c r="E2171" s="97"/>
      <c r="F2171" s="97"/>
      <c r="G2171" s="109"/>
      <c r="H2171" s="109"/>
      <c r="I2171" s="97"/>
      <c r="J2171" s="97"/>
      <c r="K2171" s="83"/>
      <c r="L2171" s="111"/>
      <c r="M2171" s="111"/>
      <c r="N2171" s="111"/>
      <c r="O2171" s="111"/>
      <c r="P2171" s="111"/>
      <c r="Q2171" s="111"/>
      <c r="R2171" s="111"/>
    </row>
    <row r="2172" spans="2:18" s="108" customFormat="1">
      <c r="B2172" s="97"/>
      <c r="C2172" s="110"/>
      <c r="D2172" s="109"/>
      <c r="E2172" s="97"/>
      <c r="F2172" s="97"/>
      <c r="G2172" s="109"/>
      <c r="H2172" s="109"/>
      <c r="I2172" s="97"/>
      <c r="J2172" s="97"/>
      <c r="K2172" s="83"/>
      <c r="L2172" s="111"/>
      <c r="M2172" s="111"/>
      <c r="N2172" s="111"/>
      <c r="O2172" s="111"/>
      <c r="P2172" s="111"/>
      <c r="Q2172" s="111"/>
      <c r="R2172" s="111"/>
    </row>
    <row r="2173" spans="2:18" s="108" customFormat="1">
      <c r="B2173" s="97"/>
      <c r="C2173" s="110"/>
      <c r="D2173" s="109"/>
      <c r="E2173" s="97"/>
      <c r="F2173" s="97"/>
      <c r="G2173" s="109"/>
      <c r="H2173" s="109"/>
      <c r="I2173" s="97"/>
      <c r="J2173" s="97"/>
      <c r="K2173" s="83"/>
      <c r="L2173" s="111"/>
      <c r="M2173" s="111"/>
      <c r="N2173" s="111"/>
      <c r="O2173" s="111"/>
      <c r="P2173" s="111"/>
      <c r="Q2173" s="111"/>
      <c r="R2173" s="111"/>
    </row>
    <row r="2174" spans="2:18" s="108" customFormat="1">
      <c r="B2174" s="97"/>
      <c r="C2174" s="110"/>
      <c r="D2174" s="109"/>
      <c r="E2174" s="97"/>
      <c r="F2174" s="97"/>
      <c r="G2174" s="109"/>
      <c r="H2174" s="109"/>
      <c r="I2174" s="97"/>
      <c r="J2174" s="97"/>
      <c r="K2174" s="83"/>
      <c r="L2174" s="111"/>
      <c r="M2174" s="111"/>
      <c r="N2174" s="111"/>
      <c r="O2174" s="111"/>
      <c r="P2174" s="111"/>
      <c r="Q2174" s="111"/>
      <c r="R2174" s="111"/>
    </row>
    <row r="2175" spans="2:18" s="108" customFormat="1">
      <c r="B2175" s="97"/>
      <c r="C2175" s="110"/>
      <c r="D2175" s="109"/>
      <c r="E2175" s="97"/>
      <c r="F2175" s="97"/>
      <c r="G2175" s="109"/>
      <c r="H2175" s="109"/>
      <c r="I2175" s="97"/>
      <c r="J2175" s="97"/>
      <c r="K2175" s="83"/>
      <c r="L2175" s="111"/>
      <c r="M2175" s="111"/>
      <c r="N2175" s="111"/>
      <c r="O2175" s="111"/>
      <c r="P2175" s="111"/>
      <c r="Q2175" s="111"/>
      <c r="R2175" s="111"/>
    </row>
    <row r="2176" spans="2:18" s="108" customFormat="1">
      <c r="B2176" s="97"/>
      <c r="C2176" s="110"/>
      <c r="D2176" s="109"/>
      <c r="E2176" s="97"/>
      <c r="F2176" s="97"/>
      <c r="G2176" s="109"/>
      <c r="H2176" s="109"/>
      <c r="I2176" s="97"/>
      <c r="J2176" s="97"/>
      <c r="K2176" s="83"/>
      <c r="L2176" s="111"/>
      <c r="M2176" s="111"/>
      <c r="N2176" s="111"/>
      <c r="O2176" s="111"/>
      <c r="P2176" s="111"/>
      <c r="Q2176" s="111"/>
      <c r="R2176" s="111"/>
    </row>
    <row r="2177" spans="2:18" s="108" customFormat="1">
      <c r="B2177" s="97"/>
      <c r="C2177" s="110"/>
      <c r="D2177" s="109"/>
      <c r="E2177" s="97"/>
      <c r="F2177" s="97"/>
      <c r="G2177" s="109"/>
      <c r="H2177" s="109"/>
      <c r="I2177" s="97"/>
      <c r="J2177" s="97"/>
      <c r="K2177" s="83"/>
      <c r="L2177" s="111"/>
      <c r="M2177" s="111"/>
      <c r="N2177" s="111"/>
      <c r="O2177" s="111"/>
      <c r="P2177" s="111"/>
      <c r="Q2177" s="111"/>
      <c r="R2177" s="111"/>
    </row>
    <row r="2178" spans="2:18" s="108" customFormat="1">
      <c r="B2178" s="97"/>
      <c r="C2178" s="110"/>
      <c r="D2178" s="109"/>
      <c r="E2178" s="97"/>
      <c r="F2178" s="97"/>
      <c r="G2178" s="109"/>
      <c r="H2178" s="109"/>
      <c r="I2178" s="97"/>
      <c r="J2178" s="97"/>
      <c r="K2178" s="83"/>
      <c r="L2178" s="111"/>
      <c r="M2178" s="111"/>
      <c r="N2178" s="111"/>
      <c r="O2178" s="111"/>
      <c r="P2178" s="111"/>
      <c r="Q2178" s="111"/>
      <c r="R2178" s="111"/>
    </row>
    <row r="2179" spans="2:18" s="108" customFormat="1">
      <c r="B2179" s="97"/>
      <c r="C2179" s="110"/>
      <c r="D2179" s="109"/>
      <c r="E2179" s="97"/>
      <c r="F2179" s="97"/>
      <c r="G2179" s="109"/>
      <c r="H2179" s="109"/>
      <c r="I2179" s="97"/>
      <c r="J2179" s="97"/>
      <c r="K2179" s="83"/>
      <c r="L2179" s="111"/>
      <c r="M2179" s="111"/>
      <c r="N2179" s="111"/>
      <c r="O2179" s="111"/>
      <c r="P2179" s="111"/>
      <c r="Q2179" s="111"/>
      <c r="R2179" s="111"/>
    </row>
    <row r="2180" spans="2:18" s="108" customFormat="1">
      <c r="B2180" s="97"/>
      <c r="C2180" s="110"/>
      <c r="D2180" s="109"/>
      <c r="E2180" s="97"/>
      <c r="F2180" s="97"/>
      <c r="G2180" s="109"/>
      <c r="H2180" s="109"/>
      <c r="I2180" s="97"/>
      <c r="J2180" s="97"/>
      <c r="K2180" s="83"/>
      <c r="L2180" s="111"/>
      <c r="M2180" s="111"/>
      <c r="N2180" s="111"/>
      <c r="O2180" s="111"/>
      <c r="P2180" s="111"/>
      <c r="Q2180" s="111"/>
      <c r="R2180" s="111"/>
    </row>
    <row r="2181" spans="2:18" s="108" customFormat="1">
      <c r="B2181" s="97"/>
      <c r="C2181" s="110"/>
      <c r="D2181" s="109"/>
      <c r="E2181" s="97"/>
      <c r="F2181" s="97"/>
      <c r="G2181" s="109"/>
      <c r="H2181" s="109"/>
      <c r="I2181" s="97"/>
      <c r="J2181" s="97"/>
      <c r="K2181" s="83"/>
      <c r="L2181" s="111"/>
      <c r="M2181" s="111"/>
      <c r="N2181" s="111"/>
      <c r="O2181" s="111"/>
      <c r="P2181" s="111"/>
      <c r="Q2181" s="111"/>
      <c r="R2181" s="111"/>
    </row>
    <row r="2182" spans="2:18" s="108" customFormat="1">
      <c r="B2182" s="97"/>
      <c r="C2182" s="110"/>
      <c r="D2182" s="109"/>
      <c r="E2182" s="97"/>
      <c r="F2182" s="97"/>
      <c r="G2182" s="109"/>
      <c r="H2182" s="109"/>
      <c r="I2182" s="97"/>
      <c r="J2182" s="97"/>
      <c r="K2182" s="83"/>
      <c r="L2182" s="111"/>
      <c r="M2182" s="111"/>
      <c r="N2182" s="111"/>
      <c r="O2182" s="111"/>
      <c r="P2182" s="111"/>
      <c r="Q2182" s="111"/>
      <c r="R2182" s="111"/>
    </row>
    <row r="2183" spans="2:18" s="108" customFormat="1">
      <c r="B2183" s="97"/>
      <c r="C2183" s="110"/>
      <c r="D2183" s="109"/>
      <c r="E2183" s="97"/>
      <c r="F2183" s="97"/>
      <c r="G2183" s="109"/>
      <c r="H2183" s="109"/>
      <c r="I2183" s="97"/>
      <c r="J2183" s="97"/>
      <c r="K2183" s="83"/>
      <c r="L2183" s="111"/>
      <c r="M2183" s="111"/>
      <c r="N2183" s="111"/>
      <c r="O2183" s="111"/>
      <c r="P2183" s="111"/>
      <c r="Q2183" s="111"/>
      <c r="R2183" s="111"/>
    </row>
    <row r="2184" spans="2:18" s="108" customFormat="1">
      <c r="B2184" s="97"/>
      <c r="C2184" s="110"/>
      <c r="D2184" s="109"/>
      <c r="E2184" s="97"/>
      <c r="F2184" s="97"/>
      <c r="G2184" s="109"/>
      <c r="H2184" s="109"/>
      <c r="I2184" s="97"/>
      <c r="J2184" s="97"/>
      <c r="K2184" s="83"/>
      <c r="L2184" s="111"/>
      <c r="M2184" s="111"/>
      <c r="N2184" s="111"/>
      <c r="O2184" s="111"/>
      <c r="P2184" s="111"/>
      <c r="Q2184" s="111"/>
      <c r="R2184" s="111"/>
    </row>
    <row r="2185" spans="2:18" s="108" customFormat="1">
      <c r="B2185" s="97"/>
      <c r="C2185" s="110"/>
      <c r="D2185" s="109"/>
      <c r="E2185" s="97"/>
      <c r="F2185" s="97"/>
      <c r="G2185" s="109"/>
      <c r="H2185" s="109"/>
      <c r="I2185" s="97"/>
      <c r="J2185" s="97"/>
      <c r="K2185" s="83"/>
      <c r="L2185" s="111"/>
      <c r="M2185" s="111"/>
      <c r="N2185" s="111"/>
      <c r="O2185" s="111"/>
      <c r="P2185" s="111"/>
      <c r="Q2185" s="111"/>
      <c r="R2185" s="111"/>
    </row>
    <row r="2186" spans="2:18" s="108" customFormat="1">
      <c r="B2186" s="97"/>
      <c r="C2186" s="110"/>
      <c r="D2186" s="109"/>
      <c r="E2186" s="97"/>
      <c r="F2186" s="97"/>
      <c r="G2186" s="109"/>
      <c r="H2186" s="109"/>
      <c r="I2186" s="97"/>
      <c r="J2186" s="97"/>
      <c r="K2186" s="83"/>
      <c r="L2186" s="111"/>
      <c r="M2186" s="111"/>
      <c r="N2186" s="111"/>
      <c r="O2186" s="111"/>
      <c r="P2186" s="111"/>
      <c r="Q2186" s="111"/>
      <c r="R2186" s="111"/>
    </row>
    <row r="2187" spans="2:18" s="108" customFormat="1">
      <c r="B2187" s="97"/>
      <c r="C2187" s="110"/>
      <c r="D2187" s="109"/>
      <c r="E2187" s="97"/>
      <c r="F2187" s="97"/>
      <c r="G2187" s="109"/>
      <c r="H2187" s="109"/>
      <c r="I2187" s="97"/>
      <c r="J2187" s="97"/>
      <c r="K2187" s="83"/>
      <c r="L2187" s="111"/>
      <c r="M2187" s="111"/>
      <c r="N2187" s="111"/>
      <c r="O2187" s="111"/>
      <c r="P2187" s="111"/>
      <c r="Q2187" s="111"/>
      <c r="R2187" s="111"/>
    </row>
    <row r="2188" spans="2:18" s="108" customFormat="1">
      <c r="B2188" s="97"/>
      <c r="C2188" s="110"/>
      <c r="D2188" s="109"/>
      <c r="E2188" s="97"/>
      <c r="F2188" s="97"/>
      <c r="G2188" s="109"/>
      <c r="H2188" s="109"/>
      <c r="I2188" s="97"/>
      <c r="J2188" s="97"/>
      <c r="K2188" s="83"/>
      <c r="L2188" s="111"/>
      <c r="M2188" s="111"/>
      <c r="N2188" s="111"/>
      <c r="O2188" s="111"/>
      <c r="P2188" s="111"/>
      <c r="Q2188" s="111"/>
      <c r="R2188" s="111"/>
    </row>
    <row r="2189" spans="2:18" s="108" customFormat="1">
      <c r="B2189" s="97"/>
      <c r="C2189" s="110"/>
      <c r="D2189" s="109"/>
      <c r="E2189" s="97"/>
      <c r="F2189" s="97"/>
      <c r="G2189" s="109"/>
      <c r="H2189" s="109"/>
      <c r="I2189" s="97"/>
      <c r="J2189" s="97"/>
      <c r="K2189" s="83"/>
      <c r="L2189" s="111"/>
      <c r="M2189" s="111"/>
      <c r="N2189" s="111"/>
      <c r="O2189" s="111"/>
      <c r="P2189" s="111"/>
      <c r="Q2189" s="111"/>
      <c r="R2189" s="111"/>
    </row>
    <row r="2190" spans="2:18" s="108" customFormat="1">
      <c r="B2190" s="97"/>
      <c r="C2190" s="110"/>
      <c r="D2190" s="109"/>
      <c r="E2190" s="97"/>
      <c r="F2190" s="97"/>
      <c r="G2190" s="109"/>
      <c r="H2190" s="109"/>
      <c r="I2190" s="97"/>
      <c r="J2190" s="97"/>
      <c r="K2190" s="83"/>
      <c r="L2190" s="111"/>
      <c r="M2190" s="111"/>
      <c r="N2190" s="111"/>
      <c r="O2190" s="111"/>
      <c r="P2190" s="111"/>
      <c r="Q2190" s="111"/>
      <c r="R2190" s="111"/>
    </row>
    <row r="2191" spans="2:18" s="108" customFormat="1">
      <c r="B2191" s="97"/>
      <c r="C2191" s="110"/>
      <c r="D2191" s="109"/>
      <c r="E2191" s="97"/>
      <c r="F2191" s="97"/>
      <c r="G2191" s="109"/>
      <c r="H2191" s="109"/>
      <c r="I2191" s="97"/>
      <c r="J2191" s="97"/>
      <c r="K2191" s="83"/>
      <c r="L2191" s="111"/>
      <c r="M2191" s="111"/>
      <c r="N2191" s="111"/>
      <c r="O2191" s="111"/>
      <c r="P2191" s="111"/>
      <c r="Q2191" s="111"/>
      <c r="R2191" s="111"/>
    </row>
    <row r="2192" spans="2:18" s="108" customFormat="1">
      <c r="B2192" s="97"/>
      <c r="C2192" s="110"/>
      <c r="D2192" s="109"/>
      <c r="E2192" s="97"/>
      <c r="F2192" s="97"/>
      <c r="G2192" s="109"/>
      <c r="H2192" s="109"/>
      <c r="I2192" s="97"/>
      <c r="J2192" s="97"/>
      <c r="K2192" s="83"/>
      <c r="L2192" s="111"/>
      <c r="M2192" s="111"/>
      <c r="N2192" s="111"/>
      <c r="O2192" s="111"/>
      <c r="P2192" s="111"/>
      <c r="Q2192" s="111"/>
      <c r="R2192" s="111"/>
    </row>
    <row r="2193" spans="2:18" s="108" customFormat="1">
      <c r="B2193" s="97"/>
      <c r="C2193" s="110"/>
      <c r="D2193" s="109"/>
      <c r="E2193" s="97"/>
      <c r="F2193" s="97"/>
      <c r="G2193" s="109"/>
      <c r="H2193" s="109"/>
      <c r="I2193" s="97"/>
      <c r="J2193" s="97"/>
      <c r="K2193" s="83"/>
      <c r="L2193" s="111"/>
      <c r="M2193" s="111"/>
      <c r="N2193" s="111"/>
      <c r="O2193" s="111"/>
      <c r="P2193" s="111"/>
      <c r="Q2193" s="111"/>
      <c r="R2193" s="111"/>
    </row>
    <row r="2194" spans="2:18" s="108" customFormat="1">
      <c r="B2194" s="97"/>
      <c r="C2194" s="110"/>
      <c r="D2194" s="109"/>
      <c r="E2194" s="97"/>
      <c r="F2194" s="97"/>
      <c r="G2194" s="109"/>
      <c r="H2194" s="109"/>
      <c r="I2194" s="97"/>
      <c r="J2194" s="97"/>
      <c r="K2194" s="83"/>
      <c r="L2194" s="111"/>
      <c r="M2194" s="111"/>
      <c r="N2194" s="111"/>
      <c r="O2194" s="111"/>
      <c r="P2194" s="111"/>
      <c r="Q2194" s="111"/>
      <c r="R2194" s="111"/>
    </row>
    <row r="2195" spans="2:18" s="108" customFormat="1">
      <c r="B2195" s="97"/>
      <c r="C2195" s="110"/>
      <c r="D2195" s="109"/>
      <c r="E2195" s="97"/>
      <c r="F2195" s="97"/>
      <c r="G2195" s="109"/>
      <c r="H2195" s="109"/>
      <c r="I2195" s="97"/>
      <c r="J2195" s="97"/>
      <c r="K2195" s="83"/>
      <c r="L2195" s="111"/>
      <c r="M2195" s="111"/>
      <c r="N2195" s="111"/>
      <c r="O2195" s="111"/>
      <c r="P2195" s="111"/>
      <c r="Q2195" s="111"/>
      <c r="R2195" s="111"/>
    </row>
    <row r="2196" spans="2:18" s="108" customFormat="1">
      <c r="B2196" s="97"/>
      <c r="C2196" s="110"/>
      <c r="D2196" s="109"/>
      <c r="E2196" s="97"/>
      <c r="F2196" s="97"/>
      <c r="G2196" s="109"/>
      <c r="H2196" s="109"/>
      <c r="I2196" s="97"/>
      <c r="J2196" s="97"/>
      <c r="K2196" s="83"/>
      <c r="L2196" s="111"/>
      <c r="M2196" s="111"/>
      <c r="N2196" s="111"/>
      <c r="O2196" s="111"/>
      <c r="P2196" s="111"/>
      <c r="Q2196" s="111"/>
      <c r="R2196" s="111"/>
    </row>
    <row r="2197" spans="2:18" s="108" customFormat="1">
      <c r="B2197" s="97"/>
      <c r="C2197" s="110"/>
      <c r="D2197" s="109"/>
      <c r="E2197" s="97"/>
      <c r="F2197" s="97"/>
      <c r="G2197" s="109"/>
      <c r="H2197" s="109"/>
      <c r="I2197" s="97"/>
      <c r="J2197" s="97"/>
      <c r="K2197" s="83"/>
      <c r="L2197" s="111"/>
      <c r="M2197" s="111"/>
      <c r="N2197" s="111"/>
      <c r="O2197" s="111"/>
      <c r="P2197" s="111"/>
      <c r="Q2197" s="111"/>
      <c r="R2197" s="111"/>
    </row>
    <row r="2198" spans="2:18" s="108" customFormat="1">
      <c r="B2198" s="97"/>
      <c r="C2198" s="110"/>
      <c r="D2198" s="109"/>
      <c r="E2198" s="97"/>
      <c r="F2198" s="97"/>
      <c r="G2198" s="109"/>
      <c r="H2198" s="109"/>
      <c r="I2198" s="97"/>
      <c r="J2198" s="97"/>
      <c r="K2198" s="83"/>
      <c r="L2198" s="111"/>
      <c r="M2198" s="111"/>
      <c r="N2198" s="111"/>
      <c r="O2198" s="111"/>
      <c r="P2198" s="111"/>
      <c r="Q2198" s="111"/>
      <c r="R2198" s="111"/>
    </row>
    <row r="2199" spans="2:18" s="108" customFormat="1">
      <c r="B2199" s="97"/>
      <c r="C2199" s="110"/>
      <c r="D2199" s="109"/>
      <c r="E2199" s="97"/>
      <c r="F2199" s="97"/>
      <c r="G2199" s="109"/>
      <c r="H2199" s="109"/>
      <c r="I2199" s="97"/>
      <c r="J2199" s="97"/>
      <c r="K2199" s="83"/>
      <c r="L2199" s="111"/>
      <c r="M2199" s="111"/>
      <c r="N2199" s="111"/>
      <c r="O2199" s="111"/>
      <c r="P2199" s="111"/>
      <c r="Q2199" s="111"/>
      <c r="R2199" s="111"/>
    </row>
    <row r="2200" spans="2:18" s="108" customFormat="1">
      <c r="B2200" s="97"/>
      <c r="C2200" s="110"/>
      <c r="D2200" s="109"/>
      <c r="E2200" s="97"/>
      <c r="F2200" s="97"/>
      <c r="G2200" s="109"/>
      <c r="H2200" s="109"/>
      <c r="I2200" s="97"/>
      <c r="J2200" s="97"/>
      <c r="K2200" s="83"/>
      <c r="L2200" s="111"/>
      <c r="M2200" s="111"/>
      <c r="N2200" s="111"/>
      <c r="O2200" s="111"/>
      <c r="P2200" s="111"/>
      <c r="Q2200" s="111"/>
      <c r="R2200" s="111"/>
    </row>
    <row r="2201" spans="2:18" s="108" customFormat="1">
      <c r="B2201" s="97"/>
      <c r="C2201" s="110"/>
      <c r="D2201" s="109"/>
      <c r="E2201" s="97"/>
      <c r="F2201" s="97"/>
      <c r="G2201" s="109"/>
      <c r="H2201" s="109"/>
      <c r="I2201" s="97"/>
      <c r="J2201" s="97"/>
      <c r="K2201" s="83"/>
      <c r="L2201" s="111"/>
      <c r="M2201" s="111"/>
      <c r="N2201" s="111"/>
      <c r="O2201" s="111"/>
      <c r="P2201" s="111"/>
      <c r="Q2201" s="111"/>
      <c r="R2201" s="111"/>
    </row>
    <row r="2202" spans="2:18" s="108" customFormat="1">
      <c r="B2202" s="97"/>
      <c r="C2202" s="110"/>
      <c r="D2202" s="109"/>
      <c r="E2202" s="97"/>
      <c r="F2202" s="97"/>
      <c r="G2202" s="109"/>
      <c r="H2202" s="109"/>
      <c r="I2202" s="97"/>
      <c r="J2202" s="97"/>
      <c r="K2202" s="83"/>
      <c r="L2202" s="111"/>
      <c r="M2202" s="111"/>
      <c r="N2202" s="111"/>
      <c r="O2202" s="111"/>
      <c r="P2202" s="111"/>
      <c r="Q2202" s="111"/>
      <c r="R2202" s="111"/>
    </row>
    <row r="2203" spans="2:18" s="108" customFormat="1">
      <c r="B2203" s="97"/>
      <c r="C2203" s="110"/>
      <c r="D2203" s="109"/>
      <c r="E2203" s="97"/>
      <c r="F2203" s="97"/>
      <c r="G2203" s="109"/>
      <c r="H2203" s="109"/>
      <c r="I2203" s="97"/>
      <c r="J2203" s="97"/>
      <c r="K2203" s="83"/>
      <c r="L2203" s="111"/>
      <c r="M2203" s="111"/>
      <c r="N2203" s="111"/>
      <c r="O2203" s="111"/>
      <c r="P2203" s="111"/>
      <c r="Q2203" s="111"/>
      <c r="R2203" s="111"/>
    </row>
    <row r="2204" spans="2:18" s="108" customFormat="1">
      <c r="B2204" s="97"/>
      <c r="C2204" s="110"/>
      <c r="D2204" s="109"/>
      <c r="E2204" s="97"/>
      <c r="F2204" s="97"/>
      <c r="G2204" s="109"/>
      <c r="H2204" s="109"/>
      <c r="I2204" s="97"/>
      <c r="J2204" s="97"/>
      <c r="K2204" s="83"/>
      <c r="L2204" s="111"/>
      <c r="M2204" s="111"/>
      <c r="N2204" s="111"/>
      <c r="O2204" s="111"/>
      <c r="P2204" s="111"/>
      <c r="Q2204" s="111"/>
      <c r="R2204" s="111"/>
    </row>
    <row r="2205" spans="2:18" s="108" customFormat="1">
      <c r="B2205" s="97"/>
      <c r="C2205" s="110"/>
      <c r="D2205" s="109"/>
      <c r="E2205" s="97"/>
      <c r="F2205" s="97"/>
      <c r="G2205" s="109"/>
      <c r="H2205" s="109"/>
      <c r="I2205" s="97"/>
      <c r="J2205" s="97"/>
      <c r="K2205" s="83"/>
      <c r="L2205" s="111"/>
      <c r="M2205" s="111"/>
      <c r="N2205" s="111"/>
      <c r="O2205" s="111"/>
      <c r="P2205" s="111"/>
      <c r="Q2205" s="111"/>
      <c r="R2205" s="111"/>
    </row>
    <row r="2206" spans="2:18" s="108" customFormat="1">
      <c r="B2206" s="97"/>
      <c r="C2206" s="110"/>
      <c r="D2206" s="109"/>
      <c r="E2206" s="97"/>
      <c r="F2206" s="97"/>
      <c r="G2206" s="109"/>
      <c r="H2206" s="109"/>
      <c r="I2206" s="97"/>
      <c r="J2206" s="97"/>
      <c r="K2206" s="83"/>
      <c r="L2206" s="111"/>
      <c r="M2206" s="111"/>
      <c r="N2206" s="111"/>
      <c r="O2206" s="111"/>
      <c r="P2206" s="111"/>
      <c r="Q2206" s="111"/>
      <c r="R2206" s="111"/>
    </row>
    <row r="2207" spans="2:18" s="108" customFormat="1">
      <c r="B2207" s="97"/>
      <c r="C2207" s="110"/>
      <c r="D2207" s="109"/>
      <c r="E2207" s="97"/>
      <c r="F2207" s="97"/>
      <c r="G2207" s="109"/>
      <c r="H2207" s="109"/>
      <c r="I2207" s="97"/>
      <c r="J2207" s="97"/>
      <c r="K2207" s="83"/>
      <c r="L2207" s="111"/>
      <c r="M2207" s="111"/>
      <c r="N2207" s="111"/>
      <c r="O2207" s="111"/>
      <c r="P2207" s="111"/>
      <c r="Q2207" s="111"/>
      <c r="R2207" s="111"/>
    </row>
    <row r="2208" spans="2:18" s="108" customFormat="1">
      <c r="B2208" s="97"/>
      <c r="C2208" s="110"/>
      <c r="D2208" s="109"/>
      <c r="E2208" s="97"/>
      <c r="F2208" s="97"/>
      <c r="G2208" s="109"/>
      <c r="H2208" s="109"/>
      <c r="I2208" s="97"/>
      <c r="J2208" s="97"/>
      <c r="K2208" s="83"/>
      <c r="L2208" s="111"/>
      <c r="M2208" s="111"/>
      <c r="N2208" s="111"/>
      <c r="O2208" s="111"/>
      <c r="P2208" s="111"/>
      <c r="Q2208" s="111"/>
      <c r="R2208" s="111"/>
    </row>
    <row r="2209" spans="2:18" s="108" customFormat="1">
      <c r="B2209" s="97"/>
      <c r="C2209" s="110"/>
      <c r="D2209" s="109"/>
      <c r="E2209" s="97"/>
      <c r="F2209" s="97"/>
      <c r="G2209" s="109"/>
      <c r="H2209" s="109"/>
      <c r="I2209" s="97"/>
      <c r="J2209" s="97"/>
      <c r="K2209" s="83"/>
      <c r="L2209" s="111"/>
      <c r="M2209" s="111"/>
      <c r="N2209" s="111"/>
      <c r="O2209" s="111"/>
      <c r="P2209" s="111"/>
      <c r="Q2209" s="111"/>
      <c r="R2209" s="111"/>
    </row>
    <row r="2210" spans="2:18" s="108" customFormat="1">
      <c r="B2210" s="97"/>
      <c r="C2210" s="110"/>
      <c r="D2210" s="109"/>
      <c r="E2210" s="97"/>
      <c r="F2210" s="97"/>
      <c r="G2210" s="109"/>
      <c r="H2210" s="109"/>
      <c r="I2210" s="97"/>
      <c r="J2210" s="97"/>
      <c r="K2210" s="83"/>
      <c r="L2210" s="111"/>
      <c r="M2210" s="111"/>
      <c r="N2210" s="111"/>
      <c r="O2210" s="111"/>
      <c r="P2210" s="111"/>
      <c r="Q2210" s="111"/>
      <c r="R2210" s="111"/>
    </row>
    <row r="2211" spans="2:18" s="108" customFormat="1">
      <c r="B2211" s="97"/>
      <c r="C2211" s="110"/>
      <c r="D2211" s="109"/>
      <c r="E2211" s="97"/>
      <c r="F2211" s="97"/>
      <c r="G2211" s="109"/>
      <c r="H2211" s="109"/>
      <c r="I2211" s="97"/>
      <c r="J2211" s="97"/>
      <c r="K2211" s="83"/>
      <c r="L2211" s="111"/>
      <c r="M2211" s="111"/>
      <c r="N2211" s="111"/>
      <c r="O2211" s="111"/>
      <c r="P2211" s="111"/>
      <c r="Q2211" s="111"/>
      <c r="R2211" s="111"/>
    </row>
    <row r="2212" spans="2:18" s="108" customFormat="1">
      <c r="B2212" s="97"/>
      <c r="C2212" s="110"/>
      <c r="D2212" s="109"/>
      <c r="E2212" s="97"/>
      <c r="F2212" s="97"/>
      <c r="G2212" s="109"/>
      <c r="H2212" s="109"/>
      <c r="I2212" s="97"/>
      <c r="J2212" s="97"/>
      <c r="K2212" s="83"/>
      <c r="L2212" s="111"/>
      <c r="M2212" s="111"/>
      <c r="N2212" s="111"/>
      <c r="O2212" s="111"/>
      <c r="P2212" s="111"/>
      <c r="Q2212" s="111"/>
      <c r="R2212" s="111"/>
    </row>
    <row r="2213" spans="2:18" s="108" customFormat="1">
      <c r="B2213" s="97"/>
      <c r="C2213" s="110"/>
      <c r="D2213" s="109"/>
      <c r="E2213" s="97"/>
      <c r="F2213" s="97"/>
      <c r="G2213" s="109"/>
      <c r="H2213" s="109"/>
      <c r="I2213" s="97"/>
      <c r="J2213" s="97"/>
      <c r="K2213" s="83"/>
      <c r="L2213" s="111"/>
      <c r="M2213" s="111"/>
      <c r="N2213" s="111"/>
      <c r="O2213" s="111"/>
      <c r="P2213" s="111"/>
      <c r="Q2213" s="111"/>
      <c r="R2213" s="111"/>
    </row>
    <row r="2214" spans="2:18" s="108" customFormat="1">
      <c r="B2214" s="97"/>
      <c r="C2214" s="110"/>
      <c r="D2214" s="109"/>
      <c r="E2214" s="97"/>
      <c r="F2214" s="97"/>
      <c r="G2214" s="109"/>
      <c r="H2214" s="109"/>
      <c r="I2214" s="97"/>
      <c r="J2214" s="97"/>
      <c r="K2214" s="83"/>
      <c r="L2214" s="111"/>
      <c r="M2214" s="111"/>
      <c r="N2214" s="111"/>
      <c r="O2214" s="111"/>
      <c r="P2214" s="111"/>
      <c r="Q2214" s="111"/>
      <c r="R2214" s="111"/>
    </row>
    <row r="2215" spans="2:18" s="108" customFormat="1">
      <c r="B2215" s="97"/>
      <c r="C2215" s="110"/>
      <c r="D2215" s="109"/>
      <c r="E2215" s="97"/>
      <c r="F2215" s="97"/>
      <c r="G2215" s="109"/>
      <c r="H2215" s="109"/>
      <c r="I2215" s="97"/>
      <c r="J2215" s="97"/>
      <c r="K2215" s="83"/>
      <c r="L2215" s="111"/>
      <c r="M2215" s="111"/>
      <c r="N2215" s="111"/>
      <c r="O2215" s="111"/>
      <c r="P2215" s="111"/>
      <c r="Q2215" s="111"/>
      <c r="R2215" s="111"/>
    </row>
    <row r="2216" spans="2:18" s="108" customFormat="1">
      <c r="B2216" s="97"/>
      <c r="C2216" s="110"/>
      <c r="D2216" s="109"/>
      <c r="E2216" s="97"/>
      <c r="F2216" s="97"/>
      <c r="G2216" s="109"/>
      <c r="H2216" s="109"/>
      <c r="I2216" s="97"/>
      <c r="J2216" s="97"/>
      <c r="K2216" s="83"/>
      <c r="L2216" s="111"/>
      <c r="M2216" s="111"/>
      <c r="N2216" s="111"/>
      <c r="O2216" s="111"/>
      <c r="P2216" s="111"/>
      <c r="Q2216" s="111"/>
      <c r="R2216" s="111"/>
    </row>
    <row r="2217" spans="2:18" s="108" customFormat="1">
      <c r="B2217" s="97"/>
      <c r="C2217" s="110"/>
      <c r="D2217" s="109"/>
      <c r="E2217" s="97"/>
      <c r="F2217" s="97"/>
      <c r="G2217" s="109"/>
      <c r="H2217" s="109"/>
      <c r="I2217" s="97"/>
      <c r="J2217" s="97"/>
      <c r="K2217" s="83"/>
      <c r="L2217" s="111"/>
      <c r="M2217" s="111"/>
      <c r="N2217" s="111"/>
      <c r="O2217" s="111"/>
      <c r="P2217" s="111"/>
      <c r="Q2217" s="111"/>
      <c r="R2217" s="111"/>
    </row>
    <row r="2218" spans="2:18" s="108" customFormat="1">
      <c r="B2218" s="97"/>
      <c r="C2218" s="110"/>
      <c r="D2218" s="109"/>
      <c r="E2218" s="97"/>
      <c r="F2218" s="97"/>
      <c r="G2218" s="109"/>
      <c r="H2218" s="109"/>
      <c r="I2218" s="97"/>
      <c r="J2218" s="97"/>
      <c r="K2218" s="83"/>
      <c r="L2218" s="111"/>
      <c r="M2218" s="111"/>
      <c r="N2218" s="111"/>
      <c r="O2218" s="111"/>
      <c r="P2218" s="111"/>
      <c r="Q2218" s="111"/>
      <c r="R2218" s="111"/>
    </row>
    <row r="2219" spans="2:18" s="108" customFormat="1">
      <c r="B2219" s="97"/>
      <c r="C2219" s="110"/>
      <c r="D2219" s="109"/>
      <c r="E2219" s="97"/>
      <c r="F2219" s="97"/>
      <c r="G2219" s="109"/>
      <c r="H2219" s="109"/>
      <c r="I2219" s="97"/>
      <c r="J2219" s="97"/>
      <c r="K2219" s="83"/>
      <c r="L2219" s="111"/>
      <c r="M2219" s="111"/>
      <c r="N2219" s="111"/>
      <c r="O2219" s="111"/>
      <c r="P2219" s="111"/>
      <c r="Q2219" s="111"/>
      <c r="R2219" s="111"/>
    </row>
    <row r="2220" spans="2:18" s="108" customFormat="1">
      <c r="B2220" s="97"/>
      <c r="C2220" s="110"/>
      <c r="D2220" s="109"/>
      <c r="E2220" s="97"/>
      <c r="F2220" s="97"/>
      <c r="G2220" s="109"/>
      <c r="H2220" s="109"/>
      <c r="I2220" s="97"/>
      <c r="J2220" s="97"/>
      <c r="K2220" s="83"/>
      <c r="L2220" s="111"/>
      <c r="M2220" s="111"/>
      <c r="N2220" s="111"/>
      <c r="O2220" s="111"/>
      <c r="P2220" s="111"/>
      <c r="Q2220" s="111"/>
      <c r="R2220" s="111"/>
    </row>
    <row r="2221" spans="2:18" s="108" customFormat="1">
      <c r="B2221" s="97"/>
      <c r="C2221" s="110"/>
      <c r="D2221" s="109"/>
      <c r="E2221" s="97"/>
      <c r="F2221" s="97"/>
      <c r="G2221" s="109"/>
      <c r="H2221" s="109"/>
      <c r="I2221" s="97"/>
      <c r="J2221" s="97"/>
      <c r="K2221" s="83"/>
      <c r="L2221" s="111"/>
      <c r="M2221" s="111"/>
      <c r="N2221" s="111"/>
      <c r="O2221" s="111"/>
      <c r="P2221" s="111"/>
      <c r="Q2221" s="111"/>
      <c r="R2221" s="111"/>
    </row>
    <row r="2222" spans="2:18" s="108" customFormat="1">
      <c r="B2222" s="97"/>
      <c r="C2222" s="110"/>
      <c r="D2222" s="109"/>
      <c r="E2222" s="97"/>
      <c r="F2222" s="97"/>
      <c r="G2222" s="109"/>
      <c r="H2222" s="109"/>
      <c r="I2222" s="97"/>
      <c r="J2222" s="97"/>
      <c r="K2222" s="83"/>
      <c r="L2222" s="111"/>
      <c r="M2222" s="111"/>
      <c r="N2222" s="111"/>
      <c r="O2222" s="111"/>
      <c r="P2222" s="111"/>
      <c r="Q2222" s="111"/>
      <c r="R2222" s="111"/>
    </row>
    <row r="2223" spans="2:18" s="108" customFormat="1">
      <c r="B2223" s="97"/>
      <c r="C2223" s="110"/>
      <c r="D2223" s="109"/>
      <c r="E2223" s="97"/>
      <c r="F2223" s="97"/>
      <c r="G2223" s="109"/>
      <c r="H2223" s="109"/>
      <c r="I2223" s="97"/>
      <c r="J2223" s="97"/>
      <c r="K2223" s="83"/>
      <c r="L2223" s="111"/>
      <c r="M2223" s="111"/>
      <c r="N2223" s="111"/>
      <c r="O2223" s="111"/>
      <c r="P2223" s="111"/>
      <c r="Q2223" s="111"/>
      <c r="R2223" s="111"/>
    </row>
    <row r="2224" spans="2:18" s="108" customFormat="1">
      <c r="B2224" s="97"/>
      <c r="C2224" s="110"/>
      <c r="D2224" s="109"/>
      <c r="E2224" s="97"/>
      <c r="F2224" s="97"/>
      <c r="G2224" s="109"/>
      <c r="H2224" s="109"/>
      <c r="I2224" s="97"/>
      <c r="J2224" s="97"/>
      <c r="K2224" s="83"/>
      <c r="L2224" s="111"/>
      <c r="M2224" s="111"/>
      <c r="N2224" s="111"/>
      <c r="O2224" s="111"/>
      <c r="P2224" s="111"/>
      <c r="Q2224" s="111"/>
      <c r="R2224" s="111"/>
    </row>
    <row r="2225" spans="2:18" s="108" customFormat="1">
      <c r="B2225" s="97"/>
      <c r="C2225" s="110"/>
      <c r="D2225" s="109"/>
      <c r="E2225" s="97"/>
      <c r="F2225" s="97"/>
      <c r="G2225" s="109"/>
      <c r="H2225" s="109"/>
      <c r="I2225" s="97"/>
      <c r="J2225" s="97"/>
      <c r="K2225" s="83"/>
      <c r="L2225" s="111"/>
      <c r="M2225" s="111"/>
      <c r="N2225" s="111"/>
      <c r="O2225" s="111"/>
      <c r="P2225" s="111"/>
      <c r="Q2225" s="111"/>
      <c r="R2225" s="111"/>
    </row>
    <row r="2226" spans="2:18" s="108" customFormat="1">
      <c r="B2226" s="97"/>
      <c r="C2226" s="110"/>
      <c r="D2226" s="109"/>
      <c r="E2226" s="97"/>
      <c r="F2226" s="97"/>
      <c r="G2226" s="109"/>
      <c r="H2226" s="109"/>
      <c r="I2226" s="97"/>
      <c r="J2226" s="97"/>
      <c r="K2226" s="83"/>
      <c r="L2226" s="111"/>
      <c r="M2226" s="111"/>
      <c r="N2226" s="111"/>
      <c r="O2226" s="111"/>
      <c r="P2226" s="111"/>
      <c r="Q2226" s="111"/>
      <c r="R2226" s="111"/>
    </row>
    <row r="2227" spans="2:18" s="108" customFormat="1">
      <c r="B2227" s="97"/>
      <c r="C2227" s="110"/>
      <c r="D2227" s="109"/>
      <c r="E2227" s="97"/>
      <c r="F2227" s="97"/>
      <c r="G2227" s="109"/>
      <c r="H2227" s="109"/>
      <c r="I2227" s="97"/>
      <c r="J2227" s="97"/>
      <c r="K2227" s="83"/>
      <c r="L2227" s="111"/>
      <c r="M2227" s="111"/>
      <c r="N2227" s="111"/>
      <c r="O2227" s="111"/>
      <c r="P2227" s="111"/>
      <c r="Q2227" s="111"/>
      <c r="R2227" s="111"/>
    </row>
    <row r="2228" spans="2:18" s="108" customFormat="1">
      <c r="B2228" s="97"/>
      <c r="C2228" s="110"/>
      <c r="D2228" s="109"/>
      <c r="E2228" s="97"/>
      <c r="F2228" s="97"/>
      <c r="G2228" s="109"/>
      <c r="H2228" s="109"/>
      <c r="I2228" s="97"/>
      <c r="J2228" s="97"/>
      <c r="K2228" s="83"/>
      <c r="L2228" s="111"/>
      <c r="M2228" s="111"/>
      <c r="N2228" s="111"/>
      <c r="O2228" s="111"/>
      <c r="P2228" s="111"/>
      <c r="Q2228" s="111"/>
      <c r="R2228" s="111"/>
    </row>
    <row r="2229" spans="2:18" s="108" customFormat="1">
      <c r="B2229" s="97"/>
      <c r="C2229" s="110"/>
      <c r="D2229" s="109"/>
      <c r="E2229" s="97"/>
      <c r="F2229" s="97"/>
      <c r="G2229" s="109"/>
      <c r="H2229" s="109"/>
      <c r="I2229" s="97"/>
      <c r="J2229" s="97"/>
      <c r="K2229" s="83"/>
      <c r="L2229" s="111"/>
      <c r="M2229" s="111"/>
      <c r="N2229" s="111"/>
      <c r="O2229" s="111"/>
      <c r="P2229" s="111"/>
      <c r="Q2229" s="111"/>
      <c r="R2229" s="111"/>
    </row>
    <row r="2230" spans="2:18" s="108" customFormat="1">
      <c r="B2230" s="97"/>
      <c r="C2230" s="110"/>
      <c r="D2230" s="109"/>
      <c r="E2230" s="97"/>
      <c r="F2230" s="97"/>
      <c r="G2230" s="109"/>
      <c r="H2230" s="109"/>
      <c r="I2230" s="97"/>
      <c r="J2230" s="97"/>
      <c r="K2230" s="83"/>
      <c r="L2230" s="111"/>
      <c r="M2230" s="111"/>
      <c r="N2230" s="111"/>
      <c r="O2230" s="111"/>
      <c r="P2230" s="111"/>
      <c r="Q2230" s="111"/>
      <c r="R2230" s="111"/>
    </row>
    <row r="2231" spans="2:18" s="108" customFormat="1">
      <c r="B2231" s="97"/>
      <c r="C2231" s="110"/>
      <c r="D2231" s="109"/>
      <c r="E2231" s="97"/>
      <c r="F2231" s="97"/>
      <c r="G2231" s="109"/>
      <c r="H2231" s="109"/>
      <c r="I2231" s="97"/>
      <c r="J2231" s="97"/>
      <c r="K2231" s="83"/>
      <c r="L2231" s="111"/>
      <c r="M2231" s="111"/>
      <c r="N2231" s="111"/>
      <c r="O2231" s="111"/>
      <c r="P2231" s="111"/>
      <c r="Q2231" s="111"/>
      <c r="R2231" s="111"/>
    </row>
    <row r="2232" spans="2:18" s="108" customFormat="1">
      <c r="B2232" s="97"/>
      <c r="C2232" s="110"/>
      <c r="D2232" s="109"/>
      <c r="E2232" s="97"/>
      <c r="F2232" s="97"/>
      <c r="G2232" s="109"/>
      <c r="H2232" s="109"/>
      <c r="I2232" s="97"/>
      <c r="J2232" s="97"/>
      <c r="K2232" s="83"/>
      <c r="L2232" s="111"/>
      <c r="M2232" s="111"/>
      <c r="N2232" s="111"/>
      <c r="O2232" s="111"/>
      <c r="P2232" s="111"/>
      <c r="Q2232" s="111"/>
      <c r="R2232" s="111"/>
    </row>
    <row r="2233" spans="2:18" s="108" customFormat="1">
      <c r="B2233" s="97"/>
      <c r="C2233" s="110"/>
      <c r="D2233" s="109"/>
      <c r="E2233" s="97"/>
      <c r="F2233" s="97"/>
      <c r="G2233" s="109"/>
      <c r="H2233" s="109"/>
      <c r="I2233" s="97"/>
      <c r="J2233" s="97"/>
      <c r="K2233" s="83"/>
      <c r="L2233" s="111"/>
      <c r="M2233" s="111"/>
      <c r="N2233" s="111"/>
      <c r="O2233" s="111"/>
      <c r="P2233" s="111"/>
      <c r="Q2233" s="111"/>
      <c r="R2233" s="111"/>
    </row>
    <row r="2234" spans="2:18" s="108" customFormat="1">
      <c r="B2234" s="97"/>
      <c r="C2234" s="110"/>
      <c r="D2234" s="109"/>
      <c r="E2234" s="97"/>
      <c r="F2234" s="97"/>
      <c r="G2234" s="109"/>
      <c r="H2234" s="109"/>
      <c r="I2234" s="97"/>
      <c r="J2234" s="97"/>
      <c r="K2234" s="83"/>
      <c r="L2234" s="111"/>
      <c r="M2234" s="111"/>
      <c r="N2234" s="111"/>
      <c r="O2234" s="111"/>
      <c r="P2234" s="111"/>
      <c r="Q2234" s="111"/>
      <c r="R2234" s="111"/>
    </row>
    <row r="2235" spans="2:18" s="108" customFormat="1">
      <c r="B2235" s="97"/>
      <c r="C2235" s="110"/>
      <c r="D2235" s="109"/>
      <c r="E2235" s="97"/>
      <c r="F2235" s="97"/>
      <c r="G2235" s="109"/>
      <c r="H2235" s="109"/>
      <c r="I2235" s="97"/>
      <c r="J2235" s="97"/>
      <c r="K2235" s="83"/>
      <c r="L2235" s="111"/>
      <c r="M2235" s="111"/>
      <c r="N2235" s="111"/>
      <c r="O2235" s="111"/>
      <c r="P2235" s="111"/>
      <c r="Q2235" s="111"/>
      <c r="R2235" s="111"/>
    </row>
    <row r="2236" spans="2:18" s="108" customFormat="1">
      <c r="B2236" s="97"/>
      <c r="C2236" s="110"/>
      <c r="D2236" s="109"/>
      <c r="E2236" s="97"/>
      <c r="F2236" s="97"/>
      <c r="G2236" s="109"/>
      <c r="H2236" s="109"/>
      <c r="I2236" s="97"/>
      <c r="J2236" s="97"/>
      <c r="K2236" s="83"/>
      <c r="L2236" s="111"/>
      <c r="M2236" s="111"/>
      <c r="N2236" s="111"/>
      <c r="O2236" s="111"/>
      <c r="P2236" s="111"/>
      <c r="Q2236" s="111"/>
      <c r="R2236" s="111"/>
    </row>
    <row r="2237" spans="2:18" s="108" customFormat="1">
      <c r="B2237" s="97"/>
      <c r="C2237" s="110"/>
      <c r="D2237" s="109"/>
      <c r="E2237" s="97"/>
      <c r="F2237" s="97"/>
      <c r="G2237" s="109"/>
      <c r="H2237" s="109"/>
      <c r="I2237" s="97"/>
      <c r="J2237" s="97"/>
      <c r="K2237" s="83"/>
      <c r="L2237" s="111"/>
      <c r="M2237" s="111"/>
      <c r="N2237" s="111"/>
      <c r="O2237" s="111"/>
      <c r="P2237" s="111"/>
      <c r="Q2237" s="111"/>
      <c r="R2237" s="111"/>
    </row>
    <row r="2238" spans="2:18" s="108" customFormat="1">
      <c r="B2238" s="97"/>
      <c r="C2238" s="110"/>
      <c r="D2238" s="109"/>
      <c r="E2238" s="97"/>
      <c r="F2238" s="97"/>
      <c r="G2238" s="109"/>
      <c r="H2238" s="109"/>
      <c r="I2238" s="97"/>
      <c r="J2238" s="97"/>
      <c r="K2238" s="83"/>
      <c r="L2238" s="111"/>
      <c r="M2238" s="111"/>
      <c r="N2238" s="111"/>
      <c r="O2238" s="111"/>
      <c r="P2238" s="111"/>
      <c r="Q2238" s="111"/>
      <c r="R2238" s="111"/>
    </row>
    <row r="2239" spans="2:18" s="108" customFormat="1">
      <c r="B2239" s="97"/>
      <c r="C2239" s="110"/>
      <c r="D2239" s="109"/>
      <c r="E2239" s="97"/>
      <c r="F2239" s="97"/>
      <c r="G2239" s="109"/>
      <c r="H2239" s="109"/>
      <c r="I2239" s="97"/>
      <c r="J2239" s="97"/>
      <c r="K2239" s="83"/>
      <c r="L2239" s="111"/>
      <c r="M2239" s="111"/>
      <c r="N2239" s="111"/>
      <c r="O2239" s="111"/>
      <c r="P2239" s="111"/>
      <c r="Q2239" s="111"/>
      <c r="R2239" s="111"/>
    </row>
    <row r="2240" spans="2:18" s="108" customFormat="1">
      <c r="B2240" s="97"/>
      <c r="C2240" s="110"/>
      <c r="D2240" s="109"/>
      <c r="E2240" s="97"/>
      <c r="F2240" s="97"/>
      <c r="G2240" s="109"/>
      <c r="H2240" s="109"/>
      <c r="I2240" s="97"/>
      <c r="J2240" s="97"/>
      <c r="K2240" s="83"/>
      <c r="L2240" s="111"/>
      <c r="M2240" s="111"/>
      <c r="N2240" s="111"/>
      <c r="O2240" s="111"/>
      <c r="P2240" s="111"/>
      <c r="Q2240" s="111"/>
      <c r="R2240" s="111"/>
    </row>
    <row r="2241" spans="2:18" s="108" customFormat="1">
      <c r="B2241" s="97"/>
      <c r="C2241" s="110"/>
      <c r="D2241" s="109"/>
      <c r="E2241" s="97"/>
      <c r="F2241" s="97"/>
      <c r="G2241" s="109"/>
      <c r="H2241" s="109"/>
      <c r="I2241" s="97"/>
      <c r="J2241" s="97"/>
      <c r="K2241" s="83"/>
      <c r="L2241" s="111"/>
      <c r="M2241" s="111"/>
      <c r="N2241" s="111"/>
      <c r="O2241" s="111"/>
      <c r="P2241" s="111"/>
      <c r="Q2241" s="111"/>
      <c r="R2241" s="111"/>
    </row>
    <row r="2242" spans="2:18" s="108" customFormat="1">
      <c r="B2242" s="97"/>
      <c r="C2242" s="110"/>
      <c r="D2242" s="109"/>
      <c r="E2242" s="97"/>
      <c r="F2242" s="97"/>
      <c r="G2242" s="109"/>
      <c r="H2242" s="109"/>
      <c r="I2242" s="97"/>
      <c r="J2242" s="97"/>
      <c r="K2242" s="83"/>
      <c r="L2242" s="111"/>
      <c r="M2242" s="111"/>
      <c r="N2242" s="111"/>
      <c r="O2242" s="111"/>
      <c r="P2242" s="111"/>
      <c r="Q2242" s="111"/>
      <c r="R2242" s="111"/>
    </row>
    <row r="2243" spans="2:18" s="108" customFormat="1">
      <c r="B2243" s="97"/>
      <c r="C2243" s="110"/>
      <c r="D2243" s="109"/>
      <c r="E2243" s="97"/>
      <c r="F2243" s="97"/>
      <c r="G2243" s="109"/>
      <c r="H2243" s="109"/>
      <c r="I2243" s="97"/>
      <c r="J2243" s="97"/>
      <c r="K2243" s="83"/>
      <c r="L2243" s="111"/>
      <c r="M2243" s="111"/>
      <c r="N2243" s="111"/>
      <c r="O2243" s="111"/>
      <c r="P2243" s="111"/>
      <c r="Q2243" s="111"/>
      <c r="R2243" s="111"/>
    </row>
    <row r="2244" spans="2:18" s="108" customFormat="1">
      <c r="B2244" s="97"/>
      <c r="C2244" s="110"/>
      <c r="D2244" s="109"/>
      <c r="E2244" s="97"/>
      <c r="F2244" s="97"/>
      <c r="G2244" s="109"/>
      <c r="H2244" s="109"/>
      <c r="I2244" s="97"/>
      <c r="J2244" s="97"/>
      <c r="K2244" s="83"/>
      <c r="L2244" s="111"/>
      <c r="M2244" s="111"/>
      <c r="N2244" s="111"/>
      <c r="O2244" s="111"/>
      <c r="P2244" s="111"/>
      <c r="Q2244" s="111"/>
      <c r="R2244" s="111"/>
    </row>
    <row r="2245" spans="2:18" s="108" customFormat="1">
      <c r="B2245" s="97"/>
      <c r="C2245" s="110"/>
      <c r="D2245" s="109"/>
      <c r="E2245" s="97"/>
      <c r="F2245" s="97"/>
      <c r="G2245" s="109"/>
      <c r="H2245" s="109"/>
      <c r="I2245" s="97"/>
      <c r="J2245" s="97"/>
      <c r="K2245" s="83"/>
      <c r="L2245" s="111"/>
      <c r="M2245" s="111"/>
      <c r="N2245" s="111"/>
      <c r="O2245" s="111"/>
      <c r="P2245" s="111"/>
      <c r="Q2245" s="111"/>
      <c r="R2245" s="111"/>
    </row>
    <row r="2246" spans="2:18" s="108" customFormat="1">
      <c r="B2246" s="97"/>
      <c r="C2246" s="110"/>
      <c r="D2246" s="109"/>
      <c r="E2246" s="97"/>
      <c r="F2246" s="97"/>
      <c r="G2246" s="109"/>
      <c r="H2246" s="109"/>
      <c r="I2246" s="97"/>
      <c r="J2246" s="97"/>
      <c r="K2246" s="83"/>
      <c r="L2246" s="111"/>
      <c r="M2246" s="111"/>
      <c r="N2246" s="111"/>
      <c r="O2246" s="111"/>
      <c r="P2246" s="111"/>
      <c r="Q2246" s="111"/>
      <c r="R2246" s="111"/>
    </row>
    <row r="2247" spans="2:18" s="108" customFormat="1">
      <c r="B2247" s="97"/>
      <c r="C2247" s="110"/>
      <c r="D2247" s="109"/>
      <c r="E2247" s="97"/>
      <c r="F2247" s="97"/>
      <c r="G2247" s="109"/>
      <c r="H2247" s="109"/>
      <c r="I2247" s="97"/>
      <c r="J2247" s="97"/>
      <c r="K2247" s="83"/>
      <c r="L2247" s="111"/>
      <c r="M2247" s="111"/>
      <c r="N2247" s="111"/>
      <c r="O2247" s="111"/>
      <c r="P2247" s="111"/>
      <c r="Q2247" s="111"/>
      <c r="R2247" s="111"/>
    </row>
    <row r="2248" spans="2:18" s="108" customFormat="1">
      <c r="B2248" s="97"/>
      <c r="C2248" s="110"/>
      <c r="D2248" s="109"/>
      <c r="E2248" s="97"/>
      <c r="F2248" s="97"/>
      <c r="G2248" s="109"/>
      <c r="H2248" s="109"/>
      <c r="I2248" s="97"/>
      <c r="J2248" s="97"/>
      <c r="K2248" s="83"/>
      <c r="L2248" s="111"/>
      <c r="M2248" s="111"/>
      <c r="N2248" s="111"/>
      <c r="O2248" s="111"/>
      <c r="P2248" s="111"/>
      <c r="Q2248" s="111"/>
      <c r="R2248" s="111"/>
    </row>
    <row r="2249" spans="2:18" s="108" customFormat="1">
      <c r="B2249" s="97"/>
      <c r="C2249" s="110"/>
      <c r="D2249" s="109"/>
      <c r="E2249" s="97"/>
      <c r="F2249" s="97"/>
      <c r="G2249" s="109"/>
      <c r="H2249" s="109"/>
      <c r="I2249" s="97"/>
      <c r="J2249" s="97"/>
      <c r="K2249" s="83"/>
      <c r="L2249" s="111"/>
      <c r="M2249" s="111"/>
      <c r="N2249" s="111"/>
      <c r="O2249" s="111"/>
      <c r="P2249" s="111"/>
      <c r="Q2249" s="111"/>
      <c r="R2249" s="111"/>
    </row>
    <row r="2250" spans="2:18" s="108" customFormat="1">
      <c r="B2250" s="97"/>
      <c r="C2250" s="110"/>
      <c r="D2250" s="109"/>
      <c r="E2250" s="97"/>
      <c r="F2250" s="97"/>
      <c r="G2250" s="109"/>
      <c r="H2250" s="109"/>
      <c r="I2250" s="97"/>
      <c r="J2250" s="97"/>
      <c r="K2250" s="83"/>
      <c r="L2250" s="111"/>
      <c r="M2250" s="111"/>
      <c r="N2250" s="111"/>
      <c r="O2250" s="111"/>
      <c r="P2250" s="111"/>
      <c r="Q2250" s="111"/>
      <c r="R2250" s="111"/>
    </row>
    <row r="2251" spans="2:18" s="108" customFormat="1">
      <c r="B2251" s="97"/>
      <c r="C2251" s="110"/>
      <c r="D2251" s="109"/>
      <c r="E2251" s="97"/>
      <c r="F2251" s="97"/>
      <c r="G2251" s="109"/>
      <c r="H2251" s="109"/>
      <c r="I2251" s="97"/>
      <c r="J2251" s="97"/>
      <c r="K2251" s="83"/>
      <c r="L2251" s="111"/>
      <c r="M2251" s="111"/>
      <c r="N2251" s="111"/>
      <c r="O2251" s="111"/>
      <c r="P2251" s="111"/>
      <c r="Q2251" s="111"/>
      <c r="R2251" s="111"/>
    </row>
    <row r="2252" spans="2:18" s="108" customFormat="1">
      <c r="B2252" s="97"/>
      <c r="C2252" s="110"/>
      <c r="D2252" s="109"/>
      <c r="E2252" s="97"/>
      <c r="F2252" s="97"/>
      <c r="G2252" s="109"/>
      <c r="H2252" s="109"/>
      <c r="I2252" s="97"/>
      <c r="J2252" s="97"/>
      <c r="K2252" s="83"/>
      <c r="L2252" s="111"/>
      <c r="M2252" s="111"/>
      <c r="N2252" s="111"/>
      <c r="O2252" s="111"/>
      <c r="P2252" s="111"/>
      <c r="Q2252" s="111"/>
      <c r="R2252" s="111"/>
    </row>
    <row r="2253" spans="2:18" s="108" customFormat="1">
      <c r="B2253" s="97"/>
      <c r="C2253" s="110"/>
      <c r="D2253" s="109"/>
      <c r="E2253" s="97"/>
      <c r="F2253" s="97"/>
      <c r="G2253" s="109"/>
      <c r="H2253" s="109"/>
      <c r="I2253" s="97"/>
      <c r="J2253" s="97"/>
      <c r="K2253" s="83"/>
      <c r="L2253" s="111"/>
      <c r="M2253" s="111"/>
      <c r="N2253" s="111"/>
      <c r="O2253" s="111"/>
      <c r="P2253" s="111"/>
      <c r="Q2253" s="111"/>
      <c r="R2253" s="111"/>
    </row>
    <row r="2254" spans="2:18" s="108" customFormat="1">
      <c r="B2254" s="97"/>
      <c r="C2254" s="110"/>
      <c r="D2254" s="109"/>
      <c r="E2254" s="97"/>
      <c r="F2254" s="97"/>
      <c r="G2254" s="109"/>
      <c r="H2254" s="109"/>
      <c r="I2254" s="97"/>
      <c r="J2254" s="97"/>
      <c r="K2254" s="83"/>
      <c r="L2254" s="111"/>
      <c r="M2254" s="111"/>
      <c r="N2254" s="111"/>
      <c r="O2254" s="111"/>
      <c r="P2254" s="111"/>
      <c r="Q2254" s="111"/>
      <c r="R2254" s="111"/>
    </row>
    <row r="2255" spans="2:18" s="108" customFormat="1">
      <c r="B2255" s="97"/>
      <c r="C2255" s="110"/>
      <c r="D2255" s="109"/>
      <c r="E2255" s="97"/>
      <c r="F2255" s="97"/>
      <c r="G2255" s="109"/>
      <c r="H2255" s="109"/>
      <c r="I2255" s="97"/>
      <c r="J2255" s="97"/>
      <c r="K2255" s="83"/>
      <c r="L2255" s="111"/>
      <c r="M2255" s="111"/>
      <c r="N2255" s="111"/>
      <c r="O2255" s="111"/>
      <c r="P2255" s="111"/>
      <c r="Q2255" s="111"/>
      <c r="R2255" s="111"/>
    </row>
    <row r="2256" spans="2:18" s="108" customFormat="1">
      <c r="B2256" s="97"/>
      <c r="C2256" s="110"/>
      <c r="D2256" s="109"/>
      <c r="E2256" s="97"/>
      <c r="F2256" s="97"/>
      <c r="G2256" s="109"/>
      <c r="H2256" s="109"/>
      <c r="I2256" s="97"/>
      <c r="J2256" s="97"/>
      <c r="K2256" s="83"/>
      <c r="L2256" s="111"/>
      <c r="M2256" s="111"/>
      <c r="N2256" s="111"/>
      <c r="O2256" s="111"/>
      <c r="P2256" s="111"/>
      <c r="Q2256" s="111"/>
      <c r="R2256" s="111"/>
    </row>
    <row r="2257" spans="2:18" s="108" customFormat="1">
      <c r="B2257" s="97"/>
      <c r="C2257" s="110"/>
      <c r="D2257" s="109"/>
      <c r="E2257" s="97"/>
      <c r="F2257" s="97"/>
      <c r="G2257" s="109"/>
      <c r="H2257" s="109"/>
      <c r="I2257" s="97"/>
      <c r="J2257" s="97"/>
      <c r="K2257" s="83"/>
      <c r="L2257" s="111"/>
      <c r="M2257" s="111"/>
      <c r="N2257" s="111"/>
      <c r="O2257" s="111"/>
      <c r="P2257" s="111"/>
      <c r="Q2257" s="111"/>
      <c r="R2257" s="111"/>
    </row>
    <row r="2258" spans="2:18" s="108" customFormat="1">
      <c r="B2258" s="97"/>
      <c r="C2258" s="110"/>
      <c r="D2258" s="109"/>
      <c r="E2258" s="97"/>
      <c r="F2258" s="97"/>
      <c r="G2258" s="109"/>
      <c r="H2258" s="109"/>
      <c r="I2258" s="97"/>
      <c r="J2258" s="97"/>
      <c r="K2258" s="83"/>
      <c r="L2258" s="111"/>
      <c r="M2258" s="111"/>
      <c r="N2258" s="111"/>
      <c r="O2258" s="111"/>
      <c r="P2258" s="111"/>
      <c r="Q2258" s="111"/>
      <c r="R2258" s="111"/>
    </row>
    <row r="2259" spans="2:18" s="108" customFormat="1">
      <c r="B2259" s="97"/>
      <c r="C2259" s="110"/>
      <c r="D2259" s="109"/>
      <c r="E2259" s="97"/>
      <c r="F2259" s="97"/>
      <c r="G2259" s="109"/>
      <c r="H2259" s="109"/>
      <c r="I2259" s="97"/>
      <c r="J2259" s="97"/>
      <c r="K2259" s="83"/>
      <c r="L2259" s="111"/>
      <c r="M2259" s="111"/>
      <c r="N2259" s="111"/>
      <c r="O2259" s="111"/>
      <c r="P2259" s="111"/>
      <c r="Q2259" s="111"/>
      <c r="R2259" s="111"/>
    </row>
    <row r="2260" spans="2:18" s="108" customFormat="1">
      <c r="B2260" s="97"/>
      <c r="C2260" s="110"/>
      <c r="D2260" s="109"/>
      <c r="E2260" s="97"/>
      <c r="F2260" s="97"/>
      <c r="G2260" s="109"/>
      <c r="H2260" s="109"/>
      <c r="I2260" s="97"/>
      <c r="J2260" s="97"/>
      <c r="K2260" s="83"/>
      <c r="L2260" s="111"/>
      <c r="M2260" s="111"/>
      <c r="N2260" s="111"/>
      <c r="O2260" s="111"/>
      <c r="P2260" s="111"/>
      <c r="Q2260" s="111"/>
      <c r="R2260" s="111"/>
    </row>
    <row r="2261" spans="2:18" s="108" customFormat="1">
      <c r="B2261" s="97"/>
      <c r="C2261" s="110"/>
      <c r="D2261" s="109"/>
      <c r="E2261" s="97"/>
      <c r="F2261" s="97"/>
      <c r="G2261" s="109"/>
      <c r="H2261" s="109"/>
      <c r="I2261" s="97"/>
      <c r="J2261" s="97"/>
      <c r="K2261" s="83"/>
      <c r="L2261" s="111"/>
      <c r="M2261" s="111"/>
      <c r="N2261" s="111"/>
      <c r="O2261" s="111"/>
      <c r="P2261" s="111"/>
      <c r="Q2261" s="111"/>
      <c r="R2261" s="111"/>
    </row>
    <row r="2262" spans="2:18" s="108" customFormat="1">
      <c r="B2262" s="97"/>
      <c r="C2262" s="110"/>
      <c r="D2262" s="109"/>
      <c r="E2262" s="97"/>
      <c r="F2262" s="97"/>
      <c r="G2262" s="109"/>
      <c r="H2262" s="109"/>
      <c r="I2262" s="97"/>
      <c r="J2262" s="97"/>
      <c r="K2262" s="83"/>
      <c r="L2262" s="111"/>
      <c r="M2262" s="111"/>
      <c r="N2262" s="111"/>
      <c r="O2262" s="111"/>
      <c r="P2262" s="111"/>
      <c r="Q2262" s="111"/>
      <c r="R2262" s="111"/>
    </row>
    <row r="2263" spans="2:18" s="108" customFormat="1">
      <c r="B2263" s="97"/>
      <c r="C2263" s="110"/>
      <c r="D2263" s="109"/>
      <c r="E2263" s="97"/>
      <c r="F2263" s="97"/>
      <c r="G2263" s="109"/>
      <c r="H2263" s="109"/>
      <c r="I2263" s="97"/>
      <c r="J2263" s="97"/>
      <c r="K2263" s="83"/>
      <c r="L2263" s="111"/>
      <c r="M2263" s="111"/>
      <c r="N2263" s="111"/>
      <c r="O2263" s="111"/>
      <c r="P2263" s="111"/>
      <c r="Q2263" s="111"/>
      <c r="R2263" s="111"/>
    </row>
    <row r="2264" spans="2:18" s="108" customFormat="1">
      <c r="B2264" s="97"/>
      <c r="C2264" s="110"/>
      <c r="D2264" s="109"/>
      <c r="E2264" s="97"/>
      <c r="F2264" s="97"/>
      <c r="G2264" s="109"/>
      <c r="H2264" s="109"/>
      <c r="I2264" s="97"/>
      <c r="J2264" s="97"/>
      <c r="K2264" s="83"/>
      <c r="L2264" s="111"/>
      <c r="M2264" s="111"/>
      <c r="N2264" s="111"/>
      <c r="O2264" s="111"/>
      <c r="P2264" s="111"/>
      <c r="Q2264" s="111"/>
      <c r="R2264" s="111"/>
    </row>
    <row r="2265" spans="2:18" s="108" customFormat="1">
      <c r="B2265" s="97"/>
      <c r="C2265" s="110"/>
      <c r="D2265" s="109"/>
      <c r="E2265" s="97"/>
      <c r="F2265" s="97"/>
      <c r="G2265" s="109"/>
      <c r="H2265" s="109"/>
      <c r="I2265" s="97"/>
      <c r="J2265" s="97"/>
      <c r="K2265" s="83"/>
      <c r="L2265" s="111"/>
      <c r="M2265" s="111"/>
      <c r="N2265" s="111"/>
      <c r="O2265" s="111"/>
      <c r="P2265" s="111"/>
      <c r="Q2265" s="111"/>
      <c r="R2265" s="111"/>
    </row>
    <row r="2266" spans="2:18" s="108" customFormat="1">
      <c r="B2266" s="97"/>
      <c r="C2266" s="110"/>
      <c r="D2266" s="109"/>
      <c r="E2266" s="97"/>
      <c r="F2266" s="97"/>
      <c r="G2266" s="109"/>
      <c r="H2266" s="109"/>
      <c r="I2266" s="97"/>
      <c r="J2266" s="97"/>
      <c r="K2266" s="83"/>
      <c r="L2266" s="111"/>
      <c r="M2266" s="111"/>
      <c r="N2266" s="111"/>
      <c r="O2266" s="111"/>
      <c r="P2266" s="111"/>
      <c r="Q2266" s="111"/>
      <c r="R2266" s="111"/>
    </row>
    <row r="2267" spans="2:18" s="108" customFormat="1">
      <c r="B2267" s="97"/>
      <c r="C2267" s="110"/>
      <c r="D2267" s="109"/>
      <c r="E2267" s="97"/>
      <c r="F2267" s="97"/>
      <c r="G2267" s="109"/>
      <c r="H2267" s="109"/>
      <c r="I2267" s="97"/>
      <c r="J2267" s="97"/>
      <c r="K2267" s="83"/>
      <c r="L2267" s="111"/>
      <c r="M2267" s="111"/>
      <c r="N2267" s="111"/>
      <c r="O2267" s="111"/>
      <c r="P2267" s="111"/>
      <c r="Q2267" s="111"/>
      <c r="R2267" s="111"/>
    </row>
    <row r="2268" spans="2:18" s="108" customFormat="1">
      <c r="B2268" s="97"/>
      <c r="C2268" s="110"/>
      <c r="D2268" s="109"/>
      <c r="E2268" s="97"/>
      <c r="F2268" s="97"/>
      <c r="G2268" s="109"/>
      <c r="H2268" s="109"/>
      <c r="I2268" s="97"/>
      <c r="J2268" s="97"/>
      <c r="K2268" s="83"/>
      <c r="L2268" s="111"/>
      <c r="M2268" s="111"/>
      <c r="N2268" s="111"/>
      <c r="O2268" s="111"/>
      <c r="P2268" s="111"/>
      <c r="Q2268" s="111"/>
      <c r="R2268" s="111"/>
    </row>
    <row r="2269" spans="2:18" s="108" customFormat="1">
      <c r="B2269" s="97"/>
      <c r="C2269" s="110"/>
      <c r="D2269" s="109"/>
      <c r="E2269" s="97"/>
      <c r="F2269" s="97"/>
      <c r="G2269" s="109"/>
      <c r="H2269" s="109"/>
      <c r="I2269" s="97"/>
      <c r="J2269" s="97"/>
      <c r="K2269" s="83"/>
      <c r="L2269" s="111"/>
      <c r="M2269" s="111"/>
      <c r="N2269" s="111"/>
      <c r="O2269" s="111"/>
      <c r="P2269" s="111"/>
      <c r="Q2269" s="111"/>
      <c r="R2269" s="111"/>
    </row>
    <row r="2270" spans="2:18" s="108" customFormat="1">
      <c r="B2270" s="97"/>
      <c r="C2270" s="110"/>
      <c r="D2270" s="109"/>
      <c r="E2270" s="97"/>
      <c r="F2270" s="97"/>
      <c r="G2270" s="109"/>
      <c r="H2270" s="109"/>
      <c r="I2270" s="97"/>
      <c r="J2270" s="97"/>
      <c r="K2270" s="83"/>
      <c r="L2270" s="111"/>
      <c r="M2270" s="111"/>
      <c r="N2270" s="111"/>
      <c r="O2270" s="111"/>
      <c r="P2270" s="111"/>
      <c r="Q2270" s="111"/>
      <c r="R2270" s="111"/>
    </row>
    <row r="2271" spans="2:18" s="108" customFormat="1">
      <c r="B2271" s="97"/>
      <c r="C2271" s="110"/>
      <c r="D2271" s="109"/>
      <c r="E2271" s="97"/>
      <c r="F2271" s="97"/>
      <c r="G2271" s="109"/>
      <c r="H2271" s="109"/>
      <c r="I2271" s="97"/>
      <c r="J2271" s="97"/>
      <c r="K2271" s="83"/>
      <c r="L2271" s="111"/>
      <c r="M2271" s="111"/>
      <c r="N2271" s="111"/>
      <c r="O2271" s="111"/>
      <c r="P2271" s="111"/>
      <c r="Q2271" s="111"/>
      <c r="R2271" s="111"/>
    </row>
    <row r="2272" spans="2:18" s="108" customFormat="1">
      <c r="B2272" s="97"/>
      <c r="C2272" s="110"/>
      <c r="D2272" s="109"/>
      <c r="E2272" s="97"/>
      <c r="F2272" s="97"/>
      <c r="G2272" s="109"/>
      <c r="H2272" s="109"/>
      <c r="I2272" s="97"/>
      <c r="J2272" s="97"/>
      <c r="K2272" s="83"/>
      <c r="L2272" s="111"/>
      <c r="M2272" s="111"/>
      <c r="N2272" s="111"/>
      <c r="O2272" s="111"/>
      <c r="P2272" s="111"/>
      <c r="Q2272" s="111"/>
      <c r="R2272" s="111"/>
    </row>
    <row r="2273" spans="2:18" s="108" customFormat="1">
      <c r="B2273" s="97"/>
      <c r="C2273" s="110"/>
      <c r="D2273" s="109"/>
      <c r="E2273" s="97"/>
      <c r="F2273" s="97"/>
      <c r="G2273" s="109"/>
      <c r="H2273" s="109"/>
      <c r="I2273" s="97"/>
      <c r="J2273" s="97"/>
      <c r="K2273" s="83"/>
      <c r="L2273" s="111"/>
      <c r="M2273" s="111"/>
      <c r="N2273" s="111"/>
      <c r="O2273" s="111"/>
      <c r="P2273" s="111"/>
      <c r="Q2273" s="111"/>
      <c r="R2273" s="111"/>
    </row>
    <row r="2274" spans="2:18" s="108" customFormat="1">
      <c r="B2274" s="97"/>
      <c r="C2274" s="110"/>
      <c r="D2274" s="109"/>
      <c r="E2274" s="97"/>
      <c r="F2274" s="97"/>
      <c r="G2274" s="109"/>
      <c r="H2274" s="109"/>
      <c r="I2274" s="97"/>
      <c r="J2274" s="97"/>
      <c r="K2274" s="83"/>
      <c r="L2274" s="111"/>
      <c r="M2274" s="111"/>
      <c r="N2274" s="111"/>
      <c r="O2274" s="111"/>
      <c r="P2274" s="111"/>
      <c r="Q2274" s="111"/>
      <c r="R2274" s="111"/>
    </row>
    <row r="2275" spans="2:18" s="108" customFormat="1">
      <c r="B2275" s="97"/>
      <c r="C2275" s="110"/>
      <c r="D2275" s="109"/>
      <c r="E2275" s="97"/>
      <c r="F2275" s="97"/>
      <c r="G2275" s="109"/>
      <c r="H2275" s="109"/>
      <c r="I2275" s="97"/>
      <c r="J2275" s="97"/>
      <c r="K2275" s="83"/>
      <c r="L2275" s="111"/>
      <c r="M2275" s="111"/>
      <c r="N2275" s="111"/>
      <c r="O2275" s="111"/>
      <c r="P2275" s="111"/>
      <c r="Q2275" s="111"/>
      <c r="R2275" s="111"/>
    </row>
    <row r="2276" spans="2:18" s="108" customFormat="1">
      <c r="B2276" s="97"/>
      <c r="C2276" s="110"/>
      <c r="D2276" s="109"/>
      <c r="E2276" s="97"/>
      <c r="F2276" s="97"/>
      <c r="G2276" s="109"/>
      <c r="H2276" s="109"/>
      <c r="I2276" s="97"/>
      <c r="J2276" s="97"/>
      <c r="K2276" s="83"/>
      <c r="L2276" s="111"/>
      <c r="M2276" s="111"/>
      <c r="N2276" s="111"/>
      <c r="O2276" s="111"/>
      <c r="P2276" s="111"/>
      <c r="Q2276" s="111"/>
      <c r="R2276" s="111"/>
    </row>
    <row r="2277" spans="2:18" s="108" customFormat="1">
      <c r="B2277" s="97"/>
      <c r="C2277" s="110"/>
      <c r="D2277" s="109"/>
      <c r="E2277" s="97"/>
      <c r="F2277" s="97"/>
      <c r="G2277" s="109"/>
      <c r="H2277" s="109"/>
      <c r="I2277" s="97"/>
      <c r="J2277" s="97"/>
      <c r="K2277" s="83"/>
      <c r="L2277" s="111"/>
      <c r="M2277" s="111"/>
      <c r="N2277" s="111"/>
      <c r="O2277" s="111"/>
      <c r="P2277" s="111"/>
      <c r="Q2277" s="111"/>
      <c r="R2277" s="111"/>
    </row>
    <row r="2278" spans="2:18" s="108" customFormat="1">
      <c r="B2278" s="97"/>
      <c r="C2278" s="110"/>
      <c r="D2278" s="109"/>
      <c r="E2278" s="97"/>
      <c r="F2278" s="97"/>
      <c r="G2278" s="109"/>
      <c r="H2278" s="109"/>
      <c r="I2278" s="97"/>
      <c r="J2278" s="97"/>
      <c r="K2278" s="83"/>
      <c r="L2278" s="111"/>
      <c r="M2278" s="111"/>
      <c r="N2278" s="111"/>
      <c r="O2278" s="111"/>
      <c r="P2278" s="111"/>
      <c r="Q2278" s="111"/>
      <c r="R2278" s="111"/>
    </row>
    <row r="2279" spans="2:18" s="108" customFormat="1">
      <c r="B2279" s="97"/>
      <c r="C2279" s="110"/>
      <c r="D2279" s="109"/>
      <c r="E2279" s="97"/>
      <c r="F2279" s="97"/>
      <c r="G2279" s="109"/>
      <c r="H2279" s="109"/>
      <c r="I2279" s="97"/>
      <c r="J2279" s="97"/>
      <c r="K2279" s="83"/>
      <c r="L2279" s="111"/>
      <c r="M2279" s="111"/>
      <c r="N2279" s="111"/>
      <c r="O2279" s="111"/>
      <c r="P2279" s="111"/>
      <c r="Q2279" s="111"/>
      <c r="R2279" s="111"/>
    </row>
    <row r="2280" spans="2:18" s="108" customFormat="1">
      <c r="B2280" s="97"/>
      <c r="C2280" s="110"/>
      <c r="D2280" s="109"/>
      <c r="E2280" s="97"/>
      <c r="F2280" s="97"/>
      <c r="G2280" s="109"/>
      <c r="H2280" s="109"/>
      <c r="I2280" s="97"/>
      <c r="J2280" s="97"/>
      <c r="K2280" s="83"/>
      <c r="L2280" s="111"/>
      <c r="M2280" s="111"/>
      <c r="N2280" s="111"/>
      <c r="O2280" s="111"/>
      <c r="P2280" s="111"/>
      <c r="Q2280" s="111"/>
      <c r="R2280" s="111"/>
    </row>
    <row r="2281" spans="2:18" s="108" customFormat="1">
      <c r="B2281" s="97"/>
      <c r="C2281" s="110"/>
      <c r="D2281" s="109"/>
      <c r="E2281" s="97"/>
      <c r="F2281" s="97"/>
      <c r="G2281" s="109"/>
      <c r="H2281" s="109"/>
      <c r="I2281" s="97"/>
      <c r="J2281" s="97"/>
      <c r="K2281" s="83"/>
      <c r="L2281" s="111"/>
      <c r="M2281" s="111"/>
      <c r="N2281" s="111"/>
      <c r="O2281" s="111"/>
      <c r="P2281" s="111"/>
      <c r="Q2281" s="111"/>
      <c r="R2281" s="111"/>
    </row>
    <row r="2282" spans="2:18" s="108" customFormat="1">
      <c r="B2282" s="97"/>
      <c r="C2282" s="110"/>
      <c r="D2282" s="109"/>
      <c r="E2282" s="97"/>
      <c r="F2282" s="97"/>
      <c r="G2282" s="109"/>
      <c r="H2282" s="109"/>
      <c r="I2282" s="97"/>
      <c r="J2282" s="97"/>
      <c r="K2282" s="83"/>
      <c r="L2282" s="111"/>
      <c r="M2282" s="111"/>
      <c r="N2282" s="111"/>
      <c r="O2282" s="111"/>
      <c r="P2282" s="111"/>
      <c r="Q2282" s="111"/>
      <c r="R2282" s="111"/>
    </row>
    <row r="2283" spans="2:18" s="108" customFormat="1">
      <c r="B2283" s="97"/>
      <c r="C2283" s="110"/>
      <c r="D2283" s="109"/>
      <c r="E2283" s="97"/>
      <c r="F2283" s="97"/>
      <c r="G2283" s="109"/>
      <c r="H2283" s="109"/>
      <c r="I2283" s="97"/>
      <c r="J2283" s="97"/>
      <c r="K2283" s="83"/>
      <c r="L2283" s="111"/>
      <c r="M2283" s="111"/>
      <c r="N2283" s="111"/>
      <c r="O2283" s="111"/>
      <c r="P2283" s="111"/>
      <c r="Q2283" s="111"/>
      <c r="R2283" s="111"/>
    </row>
    <row r="2284" spans="2:18" s="108" customFormat="1">
      <c r="B2284" s="97"/>
      <c r="C2284" s="110"/>
      <c r="D2284" s="109"/>
      <c r="E2284" s="97"/>
      <c r="F2284" s="97"/>
      <c r="G2284" s="109"/>
      <c r="H2284" s="109"/>
      <c r="I2284" s="97"/>
      <c r="J2284" s="97"/>
      <c r="K2284" s="83"/>
      <c r="L2284" s="111"/>
      <c r="M2284" s="111"/>
      <c r="N2284" s="111"/>
      <c r="O2284" s="111"/>
      <c r="P2284" s="111"/>
      <c r="Q2284" s="111"/>
      <c r="R2284" s="111"/>
    </row>
    <row r="2285" spans="2:18" s="108" customFormat="1">
      <c r="B2285" s="97"/>
      <c r="C2285" s="110"/>
      <c r="D2285" s="109"/>
      <c r="E2285" s="97"/>
      <c r="F2285" s="97"/>
      <c r="G2285" s="109"/>
      <c r="H2285" s="109"/>
      <c r="I2285" s="97"/>
      <c r="J2285" s="97"/>
      <c r="K2285" s="83"/>
      <c r="L2285" s="111"/>
      <c r="M2285" s="111"/>
      <c r="N2285" s="111"/>
      <c r="O2285" s="111"/>
      <c r="P2285" s="111"/>
      <c r="Q2285" s="111"/>
      <c r="R2285" s="111"/>
    </row>
    <row r="2286" spans="2:18" s="108" customFormat="1">
      <c r="B2286" s="97"/>
      <c r="C2286" s="110"/>
      <c r="D2286" s="109"/>
      <c r="E2286" s="97"/>
      <c r="F2286" s="97"/>
      <c r="G2286" s="109"/>
      <c r="H2286" s="109"/>
      <c r="I2286" s="97"/>
      <c r="J2286" s="97"/>
      <c r="K2286" s="83"/>
      <c r="L2286" s="111"/>
      <c r="M2286" s="111"/>
      <c r="N2286" s="111"/>
      <c r="O2286" s="111"/>
      <c r="P2286" s="111"/>
      <c r="Q2286" s="111"/>
      <c r="R2286" s="111"/>
    </row>
    <row r="2287" spans="2:18" s="108" customFormat="1">
      <c r="B2287" s="97"/>
      <c r="C2287" s="110"/>
      <c r="D2287" s="109"/>
      <c r="E2287" s="97"/>
      <c r="F2287" s="97"/>
      <c r="G2287" s="109"/>
      <c r="H2287" s="109"/>
      <c r="I2287" s="97"/>
      <c r="J2287" s="97"/>
      <c r="K2287" s="83"/>
      <c r="L2287" s="111"/>
      <c r="M2287" s="111"/>
      <c r="N2287" s="111"/>
      <c r="O2287" s="111"/>
      <c r="P2287" s="111"/>
      <c r="Q2287" s="111"/>
      <c r="R2287" s="111"/>
    </row>
    <row r="2288" spans="2:18" s="108" customFormat="1">
      <c r="B2288" s="97"/>
      <c r="C2288" s="110"/>
      <c r="D2288" s="109"/>
      <c r="E2288" s="97"/>
      <c r="F2288" s="97"/>
      <c r="G2288" s="109"/>
      <c r="H2288" s="109"/>
      <c r="I2288" s="97"/>
      <c r="J2288" s="97"/>
      <c r="K2288" s="83"/>
      <c r="L2288" s="111"/>
      <c r="M2288" s="111"/>
      <c r="N2288" s="111"/>
      <c r="O2288" s="111"/>
      <c r="P2288" s="111"/>
      <c r="Q2288" s="111"/>
      <c r="R2288" s="111"/>
    </row>
    <row r="2289" spans="2:18" s="108" customFormat="1">
      <c r="B2289" s="97"/>
      <c r="C2289" s="110"/>
      <c r="D2289" s="109"/>
      <c r="E2289" s="97"/>
      <c r="F2289" s="97"/>
      <c r="G2289" s="109"/>
      <c r="H2289" s="109"/>
      <c r="I2289" s="97"/>
      <c r="J2289" s="97"/>
      <c r="K2289" s="83"/>
      <c r="L2289" s="111"/>
      <c r="M2289" s="111"/>
      <c r="N2289" s="111"/>
      <c r="O2289" s="111"/>
      <c r="P2289" s="111"/>
      <c r="Q2289" s="111"/>
      <c r="R2289" s="111"/>
    </row>
    <row r="2290" spans="2:18" s="108" customFormat="1">
      <c r="B2290" s="97"/>
      <c r="C2290" s="110"/>
      <c r="D2290" s="109"/>
      <c r="E2290" s="97"/>
      <c r="F2290" s="97"/>
      <c r="G2290" s="109"/>
      <c r="H2290" s="109"/>
      <c r="I2290" s="97"/>
      <c r="J2290" s="97"/>
      <c r="K2290" s="83"/>
      <c r="L2290" s="111"/>
      <c r="M2290" s="111"/>
      <c r="N2290" s="111"/>
      <c r="O2290" s="111"/>
      <c r="P2290" s="111"/>
      <c r="Q2290" s="111"/>
      <c r="R2290" s="111"/>
    </row>
    <row r="2291" spans="2:18" s="108" customFormat="1">
      <c r="B2291" s="97"/>
      <c r="C2291" s="110"/>
      <c r="D2291" s="109"/>
      <c r="E2291" s="97"/>
      <c r="F2291" s="97"/>
      <c r="G2291" s="109"/>
      <c r="H2291" s="109"/>
      <c r="I2291" s="97"/>
      <c r="J2291" s="97"/>
      <c r="K2291" s="83"/>
      <c r="L2291" s="111"/>
      <c r="M2291" s="111"/>
      <c r="N2291" s="111"/>
      <c r="O2291" s="111"/>
      <c r="P2291" s="111"/>
      <c r="Q2291" s="111"/>
      <c r="R2291" s="111"/>
    </row>
    <row r="2292" spans="2:18" s="108" customFormat="1">
      <c r="B2292" s="97"/>
      <c r="C2292" s="110"/>
      <c r="D2292" s="109"/>
      <c r="E2292" s="97"/>
      <c r="F2292" s="97"/>
      <c r="G2292" s="109"/>
      <c r="H2292" s="109"/>
      <c r="I2292" s="97"/>
      <c r="J2292" s="97"/>
      <c r="K2292" s="83"/>
      <c r="L2292" s="111"/>
      <c r="M2292" s="111"/>
      <c r="N2292" s="111"/>
      <c r="O2292" s="111"/>
      <c r="P2292" s="111"/>
      <c r="Q2292" s="111"/>
      <c r="R2292" s="111"/>
    </row>
    <row r="2293" spans="2:18" s="108" customFormat="1">
      <c r="B2293" s="97"/>
      <c r="C2293" s="110"/>
      <c r="D2293" s="109"/>
      <c r="E2293" s="97"/>
      <c r="F2293" s="97"/>
      <c r="G2293" s="109"/>
      <c r="H2293" s="109"/>
      <c r="I2293" s="97"/>
      <c r="J2293" s="97"/>
      <c r="K2293" s="83"/>
      <c r="L2293" s="111"/>
      <c r="M2293" s="111"/>
      <c r="N2293" s="111"/>
      <c r="O2293" s="111"/>
      <c r="P2293" s="111"/>
      <c r="Q2293" s="111"/>
      <c r="R2293" s="111"/>
    </row>
    <row r="2294" spans="2:18" s="108" customFormat="1">
      <c r="B2294" s="97"/>
      <c r="C2294" s="110"/>
      <c r="D2294" s="109"/>
      <c r="E2294" s="97"/>
      <c r="F2294" s="97"/>
      <c r="G2294" s="109"/>
      <c r="H2294" s="109"/>
      <c r="I2294" s="97"/>
      <c r="J2294" s="97"/>
      <c r="K2294" s="83"/>
      <c r="L2294" s="111"/>
      <c r="M2294" s="111"/>
      <c r="N2294" s="111"/>
      <c r="O2294" s="111"/>
      <c r="P2294" s="111"/>
      <c r="Q2294" s="111"/>
      <c r="R2294" s="111"/>
    </row>
    <row r="2295" spans="2:18" s="108" customFormat="1">
      <c r="B2295" s="97"/>
      <c r="C2295" s="110"/>
      <c r="D2295" s="109"/>
      <c r="E2295" s="97"/>
      <c r="F2295" s="97"/>
      <c r="G2295" s="109"/>
      <c r="H2295" s="109"/>
      <c r="I2295" s="97"/>
      <c r="J2295" s="97"/>
      <c r="K2295" s="83"/>
      <c r="L2295" s="111"/>
      <c r="M2295" s="111"/>
      <c r="N2295" s="111"/>
      <c r="O2295" s="111"/>
      <c r="P2295" s="111"/>
      <c r="Q2295" s="111"/>
      <c r="R2295" s="111"/>
    </row>
    <row r="2296" spans="2:18" s="108" customFormat="1">
      <c r="B2296" s="97"/>
      <c r="C2296" s="110"/>
      <c r="D2296" s="109"/>
      <c r="E2296" s="97"/>
      <c r="F2296" s="97"/>
      <c r="G2296" s="109"/>
      <c r="H2296" s="109"/>
      <c r="I2296" s="97"/>
      <c r="J2296" s="97"/>
      <c r="K2296" s="83"/>
      <c r="L2296" s="111"/>
      <c r="M2296" s="111"/>
      <c r="N2296" s="111"/>
      <c r="O2296" s="111"/>
      <c r="P2296" s="111"/>
      <c r="Q2296" s="111"/>
      <c r="R2296" s="111"/>
    </row>
    <row r="2297" spans="2:18" s="108" customFormat="1">
      <c r="B2297" s="97"/>
      <c r="C2297" s="110"/>
      <c r="D2297" s="109"/>
      <c r="E2297" s="97"/>
      <c r="F2297" s="97"/>
      <c r="G2297" s="109"/>
      <c r="H2297" s="109"/>
      <c r="I2297" s="97"/>
      <c r="J2297" s="97"/>
      <c r="K2297" s="83"/>
      <c r="L2297" s="111"/>
      <c r="M2297" s="111"/>
      <c r="N2297" s="111"/>
      <c r="O2297" s="111"/>
      <c r="P2297" s="111"/>
      <c r="Q2297" s="111"/>
      <c r="R2297" s="111"/>
    </row>
    <row r="2298" spans="2:18" s="108" customFormat="1">
      <c r="B2298" s="97"/>
      <c r="C2298" s="110"/>
      <c r="D2298" s="109"/>
      <c r="E2298" s="97"/>
      <c r="F2298" s="97"/>
      <c r="G2298" s="109"/>
      <c r="H2298" s="109"/>
      <c r="I2298" s="97"/>
      <c r="J2298" s="97"/>
      <c r="K2298" s="83"/>
      <c r="L2298" s="111"/>
      <c r="M2298" s="111"/>
      <c r="N2298" s="111"/>
      <c r="O2298" s="111"/>
      <c r="P2298" s="111"/>
      <c r="Q2298" s="111"/>
      <c r="R2298" s="111"/>
    </row>
    <row r="2299" spans="2:18" s="108" customFormat="1">
      <c r="B2299" s="97"/>
      <c r="C2299" s="110"/>
      <c r="D2299" s="109"/>
      <c r="E2299" s="97"/>
      <c r="F2299" s="97"/>
      <c r="G2299" s="109"/>
      <c r="H2299" s="109"/>
      <c r="I2299" s="97"/>
      <c r="J2299" s="97"/>
      <c r="K2299" s="83"/>
      <c r="L2299" s="111"/>
      <c r="M2299" s="111"/>
      <c r="N2299" s="111"/>
      <c r="O2299" s="111"/>
      <c r="P2299" s="111"/>
      <c r="Q2299" s="111"/>
      <c r="R2299" s="111"/>
    </row>
    <row r="2300" spans="2:18" s="108" customFormat="1">
      <c r="B2300" s="97"/>
      <c r="C2300" s="110"/>
      <c r="D2300" s="109"/>
      <c r="E2300" s="97"/>
      <c r="F2300" s="97"/>
      <c r="G2300" s="109"/>
      <c r="H2300" s="109"/>
      <c r="I2300" s="97"/>
      <c r="J2300" s="97"/>
      <c r="K2300" s="83"/>
      <c r="L2300" s="111"/>
      <c r="M2300" s="111"/>
      <c r="N2300" s="111"/>
      <c r="O2300" s="111"/>
      <c r="P2300" s="111"/>
      <c r="Q2300" s="111"/>
      <c r="R2300" s="111"/>
    </row>
    <row r="2301" spans="2:18" s="108" customFormat="1">
      <c r="B2301" s="97"/>
      <c r="C2301" s="110"/>
      <c r="D2301" s="109"/>
      <c r="E2301" s="97"/>
      <c r="F2301" s="97"/>
      <c r="G2301" s="109"/>
      <c r="H2301" s="109"/>
      <c r="I2301" s="97"/>
      <c r="J2301" s="97"/>
      <c r="K2301" s="83"/>
      <c r="L2301" s="111"/>
      <c r="M2301" s="111"/>
      <c r="N2301" s="111"/>
      <c r="O2301" s="111"/>
      <c r="P2301" s="111"/>
      <c r="Q2301" s="111"/>
      <c r="R2301" s="111"/>
    </row>
    <row r="2302" spans="2:18" s="108" customFormat="1">
      <c r="B2302" s="97"/>
      <c r="C2302" s="110"/>
      <c r="D2302" s="109"/>
      <c r="E2302" s="97"/>
      <c r="F2302" s="97"/>
      <c r="G2302" s="109"/>
      <c r="H2302" s="109"/>
      <c r="I2302" s="97"/>
      <c r="J2302" s="97"/>
      <c r="K2302" s="83"/>
      <c r="L2302" s="111"/>
      <c r="M2302" s="111"/>
      <c r="N2302" s="111"/>
      <c r="O2302" s="111"/>
      <c r="P2302" s="111"/>
      <c r="Q2302" s="111"/>
      <c r="R2302" s="111"/>
    </row>
    <row r="2303" spans="2:18" s="108" customFormat="1">
      <c r="B2303" s="97"/>
      <c r="C2303" s="110"/>
      <c r="D2303" s="109"/>
      <c r="E2303" s="97"/>
      <c r="F2303" s="97"/>
      <c r="G2303" s="109"/>
      <c r="H2303" s="109"/>
      <c r="I2303" s="97"/>
      <c r="J2303" s="97"/>
      <c r="K2303" s="83"/>
      <c r="L2303" s="111"/>
      <c r="M2303" s="111"/>
      <c r="N2303" s="111"/>
      <c r="O2303" s="111"/>
      <c r="P2303" s="111"/>
      <c r="Q2303" s="111"/>
      <c r="R2303" s="111"/>
    </row>
    <row r="2304" spans="2:18" s="108" customFormat="1">
      <c r="B2304" s="97"/>
      <c r="C2304" s="110"/>
      <c r="D2304" s="109"/>
      <c r="E2304" s="97"/>
      <c r="F2304" s="97"/>
      <c r="G2304" s="109"/>
      <c r="H2304" s="109"/>
      <c r="I2304" s="97"/>
      <c r="J2304" s="97"/>
      <c r="K2304" s="83"/>
      <c r="L2304" s="111"/>
      <c r="M2304" s="111"/>
      <c r="N2304" s="111"/>
      <c r="O2304" s="111"/>
      <c r="P2304" s="111"/>
      <c r="Q2304" s="111"/>
      <c r="R2304" s="111"/>
    </row>
    <row r="2305" spans="2:18" s="108" customFormat="1">
      <c r="B2305" s="97"/>
      <c r="C2305" s="110"/>
      <c r="D2305" s="109"/>
      <c r="E2305" s="97"/>
      <c r="F2305" s="97"/>
      <c r="G2305" s="109"/>
      <c r="H2305" s="109"/>
      <c r="I2305" s="97"/>
      <c r="J2305" s="97"/>
      <c r="K2305" s="83"/>
      <c r="L2305" s="111"/>
      <c r="M2305" s="111"/>
      <c r="N2305" s="111"/>
      <c r="O2305" s="111"/>
      <c r="P2305" s="111"/>
      <c r="Q2305" s="111"/>
      <c r="R2305" s="111"/>
    </row>
    <row r="2306" spans="2:18" s="108" customFormat="1">
      <c r="B2306" s="97"/>
      <c r="C2306" s="110"/>
      <c r="D2306" s="109"/>
      <c r="E2306" s="97"/>
      <c r="F2306" s="97"/>
      <c r="G2306" s="109"/>
      <c r="H2306" s="109"/>
      <c r="I2306" s="97"/>
      <c r="J2306" s="97"/>
      <c r="K2306" s="83"/>
      <c r="L2306" s="111"/>
      <c r="M2306" s="111"/>
      <c r="N2306" s="111"/>
      <c r="O2306" s="111"/>
      <c r="P2306" s="111"/>
      <c r="Q2306" s="111"/>
      <c r="R2306" s="111"/>
    </row>
    <row r="2307" spans="2:18" s="108" customFormat="1">
      <c r="B2307" s="97"/>
      <c r="C2307" s="110"/>
      <c r="D2307" s="109"/>
      <c r="E2307" s="97"/>
      <c r="F2307" s="97"/>
      <c r="G2307" s="109"/>
      <c r="H2307" s="109"/>
      <c r="I2307" s="97"/>
      <c r="J2307" s="97"/>
      <c r="K2307" s="83"/>
      <c r="L2307" s="111"/>
      <c r="M2307" s="111"/>
      <c r="N2307" s="111"/>
      <c r="O2307" s="111"/>
      <c r="P2307" s="111"/>
      <c r="Q2307" s="111"/>
      <c r="R2307" s="111"/>
    </row>
    <row r="2308" spans="2:18" s="108" customFormat="1">
      <c r="B2308" s="97"/>
      <c r="C2308" s="110"/>
      <c r="D2308" s="109"/>
      <c r="E2308" s="97"/>
      <c r="F2308" s="97"/>
      <c r="G2308" s="109"/>
      <c r="H2308" s="109"/>
      <c r="I2308" s="97"/>
      <c r="J2308" s="97"/>
      <c r="K2308" s="83"/>
      <c r="L2308" s="111"/>
      <c r="M2308" s="111"/>
      <c r="N2308" s="111"/>
      <c r="O2308" s="111"/>
      <c r="P2308" s="111"/>
      <c r="Q2308" s="111"/>
      <c r="R2308" s="111"/>
    </row>
    <row r="2309" spans="2:18" s="108" customFormat="1">
      <c r="B2309" s="97"/>
      <c r="C2309" s="110"/>
      <c r="D2309" s="109"/>
      <c r="E2309" s="97"/>
      <c r="F2309" s="97"/>
      <c r="G2309" s="109"/>
      <c r="H2309" s="109"/>
      <c r="I2309" s="97"/>
      <c r="J2309" s="97"/>
      <c r="K2309" s="83"/>
      <c r="L2309" s="111"/>
      <c r="M2309" s="111"/>
      <c r="N2309" s="111"/>
      <c r="O2309" s="111"/>
      <c r="P2309" s="111"/>
      <c r="Q2309" s="111"/>
      <c r="R2309" s="111"/>
    </row>
    <row r="2310" spans="2:18" s="108" customFormat="1">
      <c r="B2310" s="97"/>
      <c r="C2310" s="110"/>
      <c r="D2310" s="109"/>
      <c r="E2310" s="97"/>
      <c r="F2310" s="97"/>
      <c r="G2310" s="109"/>
      <c r="H2310" s="109"/>
      <c r="I2310" s="97"/>
      <c r="J2310" s="97"/>
      <c r="K2310" s="83"/>
      <c r="L2310" s="111"/>
      <c r="M2310" s="111"/>
      <c r="N2310" s="111"/>
      <c r="O2310" s="111"/>
      <c r="P2310" s="111"/>
      <c r="Q2310" s="111"/>
      <c r="R2310" s="111"/>
    </row>
    <row r="2311" spans="2:18" s="108" customFormat="1">
      <c r="B2311" s="97"/>
      <c r="C2311" s="110"/>
      <c r="D2311" s="109"/>
      <c r="E2311" s="97"/>
      <c r="F2311" s="97"/>
      <c r="G2311" s="109"/>
      <c r="H2311" s="109"/>
      <c r="I2311" s="97"/>
      <c r="J2311" s="97"/>
      <c r="K2311" s="83"/>
      <c r="L2311" s="111"/>
      <c r="M2311" s="111"/>
      <c r="N2311" s="111"/>
      <c r="O2311" s="111"/>
      <c r="P2311" s="111"/>
      <c r="Q2311" s="111"/>
      <c r="R2311" s="111"/>
    </row>
    <row r="2312" spans="2:18" s="108" customFormat="1">
      <c r="B2312" s="97"/>
      <c r="C2312" s="110"/>
      <c r="D2312" s="109"/>
      <c r="E2312" s="97"/>
      <c r="F2312" s="97"/>
      <c r="G2312" s="109"/>
      <c r="H2312" s="109"/>
      <c r="I2312" s="97"/>
      <c r="J2312" s="97"/>
      <c r="K2312" s="83"/>
      <c r="L2312" s="111"/>
      <c r="M2312" s="111"/>
      <c r="N2312" s="111"/>
      <c r="O2312" s="111"/>
      <c r="P2312" s="111"/>
      <c r="Q2312" s="111"/>
      <c r="R2312" s="111"/>
    </row>
    <row r="2313" spans="2:18" s="108" customFormat="1">
      <c r="B2313" s="97"/>
      <c r="C2313" s="110"/>
      <c r="D2313" s="109"/>
      <c r="E2313" s="97"/>
      <c r="F2313" s="97"/>
      <c r="G2313" s="109"/>
      <c r="H2313" s="109"/>
      <c r="I2313" s="97"/>
      <c r="J2313" s="97"/>
      <c r="K2313" s="83"/>
      <c r="L2313" s="111"/>
      <c r="M2313" s="111"/>
      <c r="N2313" s="111"/>
      <c r="O2313" s="111"/>
      <c r="P2313" s="111"/>
      <c r="Q2313" s="111"/>
      <c r="R2313" s="111"/>
    </row>
    <row r="2314" spans="2:18" s="108" customFormat="1">
      <c r="B2314" s="97"/>
      <c r="C2314" s="110"/>
      <c r="D2314" s="109"/>
      <c r="E2314" s="97"/>
      <c r="F2314" s="97"/>
      <c r="G2314" s="109"/>
      <c r="H2314" s="109"/>
      <c r="I2314" s="97"/>
      <c r="J2314" s="97"/>
      <c r="K2314" s="83"/>
      <c r="L2314" s="111"/>
      <c r="M2314" s="111"/>
      <c r="N2314" s="111"/>
      <c r="O2314" s="111"/>
      <c r="P2314" s="111"/>
      <c r="Q2314" s="111"/>
      <c r="R2314" s="111"/>
    </row>
    <row r="2315" spans="2:18" s="108" customFormat="1">
      <c r="B2315" s="97"/>
      <c r="C2315" s="110"/>
      <c r="D2315" s="109"/>
      <c r="E2315" s="97"/>
      <c r="F2315" s="97"/>
      <c r="G2315" s="109"/>
      <c r="H2315" s="109"/>
      <c r="I2315" s="97"/>
      <c r="J2315" s="97"/>
      <c r="K2315" s="83"/>
      <c r="L2315" s="111"/>
      <c r="M2315" s="111"/>
      <c r="N2315" s="111"/>
      <c r="O2315" s="111"/>
      <c r="P2315" s="111"/>
      <c r="Q2315" s="111"/>
      <c r="R2315" s="111"/>
    </row>
    <row r="2316" spans="2:18" s="108" customFormat="1">
      <c r="B2316" s="97"/>
      <c r="C2316" s="110"/>
      <c r="D2316" s="109"/>
      <c r="E2316" s="97"/>
      <c r="F2316" s="97"/>
      <c r="G2316" s="109"/>
      <c r="H2316" s="109"/>
      <c r="I2316" s="97"/>
      <c r="J2316" s="97"/>
      <c r="K2316" s="83"/>
      <c r="L2316" s="111"/>
      <c r="M2316" s="111"/>
      <c r="N2316" s="111"/>
      <c r="O2316" s="111"/>
      <c r="P2316" s="111"/>
      <c r="Q2316" s="111"/>
      <c r="R2316" s="111"/>
    </row>
    <row r="2317" spans="2:18" s="108" customFormat="1">
      <c r="B2317" s="97"/>
      <c r="C2317" s="110"/>
      <c r="D2317" s="109"/>
      <c r="E2317" s="97"/>
      <c r="F2317" s="97"/>
      <c r="G2317" s="109"/>
      <c r="H2317" s="109"/>
      <c r="I2317" s="97"/>
      <c r="J2317" s="97"/>
      <c r="K2317" s="83"/>
      <c r="L2317" s="111"/>
      <c r="M2317" s="111"/>
      <c r="N2317" s="111"/>
      <c r="O2317" s="111"/>
      <c r="P2317" s="111"/>
      <c r="Q2317" s="111"/>
      <c r="R2317" s="111"/>
    </row>
    <row r="2318" spans="2:18" s="108" customFormat="1">
      <c r="B2318" s="97"/>
      <c r="C2318" s="110"/>
      <c r="D2318" s="109"/>
      <c r="E2318" s="97"/>
      <c r="F2318" s="97"/>
      <c r="G2318" s="109"/>
      <c r="H2318" s="109"/>
      <c r="I2318" s="97"/>
      <c r="J2318" s="97"/>
      <c r="K2318" s="83"/>
      <c r="L2318" s="111"/>
      <c r="M2318" s="111"/>
      <c r="N2318" s="111"/>
      <c r="O2318" s="111"/>
      <c r="P2318" s="111"/>
      <c r="Q2318" s="111"/>
      <c r="R2318" s="111"/>
    </row>
    <row r="2319" spans="2:18" s="108" customFormat="1">
      <c r="B2319" s="97"/>
      <c r="C2319" s="110"/>
      <c r="D2319" s="109"/>
      <c r="E2319" s="97"/>
      <c r="F2319" s="97"/>
      <c r="G2319" s="109"/>
      <c r="H2319" s="109"/>
      <c r="I2319" s="97"/>
      <c r="J2319" s="97"/>
      <c r="K2319" s="83"/>
      <c r="L2319" s="111"/>
      <c r="M2319" s="111"/>
      <c r="N2319" s="111"/>
      <c r="O2319" s="111"/>
      <c r="P2319" s="111"/>
      <c r="Q2319" s="111"/>
      <c r="R2319" s="111"/>
    </row>
    <row r="2320" spans="2:18" s="108" customFormat="1">
      <c r="B2320" s="97"/>
      <c r="C2320" s="110"/>
      <c r="D2320" s="109"/>
      <c r="E2320" s="97"/>
      <c r="F2320" s="97"/>
      <c r="G2320" s="109"/>
      <c r="H2320" s="109"/>
      <c r="I2320" s="97"/>
      <c r="J2320" s="97"/>
      <c r="K2320" s="83"/>
      <c r="L2320" s="111"/>
      <c r="M2320" s="111"/>
      <c r="N2320" s="111"/>
      <c r="O2320" s="111"/>
      <c r="P2320" s="111"/>
      <c r="Q2320" s="111"/>
      <c r="R2320" s="111"/>
    </row>
    <row r="2321" spans="2:18" s="108" customFormat="1">
      <c r="B2321" s="97"/>
      <c r="C2321" s="110"/>
      <c r="D2321" s="109"/>
      <c r="E2321" s="97"/>
      <c r="F2321" s="97"/>
      <c r="G2321" s="109"/>
      <c r="H2321" s="109"/>
      <c r="I2321" s="97"/>
      <c r="J2321" s="97"/>
      <c r="K2321" s="83"/>
      <c r="L2321" s="111"/>
      <c r="M2321" s="111"/>
      <c r="N2321" s="111"/>
      <c r="O2321" s="111"/>
      <c r="P2321" s="111"/>
      <c r="Q2321" s="111"/>
      <c r="R2321" s="111"/>
    </row>
    <row r="2322" spans="2:18" s="108" customFormat="1">
      <c r="B2322" s="97"/>
      <c r="C2322" s="110"/>
      <c r="D2322" s="109"/>
      <c r="E2322" s="97"/>
      <c r="F2322" s="97"/>
      <c r="G2322" s="109"/>
      <c r="H2322" s="109"/>
      <c r="I2322" s="97"/>
      <c r="J2322" s="97"/>
      <c r="K2322" s="83"/>
      <c r="L2322" s="111"/>
      <c r="M2322" s="111"/>
      <c r="N2322" s="111"/>
      <c r="O2322" s="111"/>
      <c r="P2322" s="111"/>
      <c r="Q2322" s="111"/>
      <c r="R2322" s="111"/>
    </row>
    <row r="2323" spans="2:18" s="108" customFormat="1">
      <c r="B2323" s="97"/>
      <c r="C2323" s="110"/>
      <c r="D2323" s="109"/>
      <c r="E2323" s="97"/>
      <c r="F2323" s="97"/>
      <c r="G2323" s="109"/>
      <c r="H2323" s="109"/>
      <c r="I2323" s="97"/>
      <c r="J2323" s="97"/>
      <c r="K2323" s="83"/>
      <c r="L2323" s="111"/>
      <c r="M2323" s="111"/>
      <c r="N2323" s="111"/>
      <c r="O2323" s="111"/>
      <c r="P2323" s="111"/>
      <c r="Q2323" s="111"/>
      <c r="R2323" s="111"/>
    </row>
    <row r="2324" spans="2:18" s="108" customFormat="1">
      <c r="B2324" s="97"/>
      <c r="C2324" s="110"/>
      <c r="D2324" s="109"/>
      <c r="E2324" s="97"/>
      <c r="F2324" s="97"/>
      <c r="G2324" s="109"/>
      <c r="H2324" s="109"/>
      <c r="I2324" s="97"/>
      <c r="J2324" s="97"/>
      <c r="K2324" s="83"/>
      <c r="L2324" s="111"/>
      <c r="M2324" s="111"/>
      <c r="N2324" s="111"/>
      <c r="O2324" s="111"/>
      <c r="P2324" s="111"/>
      <c r="Q2324" s="111"/>
      <c r="R2324" s="111"/>
    </row>
    <row r="2325" spans="2:18" s="108" customFormat="1">
      <c r="B2325" s="97"/>
      <c r="C2325" s="110"/>
      <c r="D2325" s="109"/>
      <c r="E2325" s="97"/>
      <c r="F2325" s="97"/>
      <c r="G2325" s="109"/>
      <c r="H2325" s="109"/>
      <c r="I2325" s="97"/>
      <c r="J2325" s="97"/>
      <c r="K2325" s="83"/>
      <c r="L2325" s="111"/>
      <c r="M2325" s="111"/>
      <c r="N2325" s="111"/>
      <c r="O2325" s="111"/>
      <c r="P2325" s="111"/>
      <c r="Q2325" s="111"/>
      <c r="R2325" s="111"/>
    </row>
    <row r="2326" spans="2:18" s="108" customFormat="1">
      <c r="B2326" s="97"/>
      <c r="C2326" s="110"/>
      <c r="D2326" s="109"/>
      <c r="E2326" s="97"/>
      <c r="F2326" s="97"/>
      <c r="G2326" s="109"/>
      <c r="H2326" s="109"/>
      <c r="I2326" s="97"/>
      <c r="J2326" s="97"/>
      <c r="K2326" s="83"/>
      <c r="L2326" s="111"/>
      <c r="M2326" s="111"/>
      <c r="N2326" s="111"/>
      <c r="O2326" s="111"/>
      <c r="P2326" s="111"/>
      <c r="Q2326" s="111"/>
      <c r="R2326" s="111"/>
    </row>
    <row r="2327" spans="2:18" s="108" customFormat="1">
      <c r="B2327" s="97"/>
      <c r="C2327" s="110"/>
      <c r="D2327" s="109"/>
      <c r="E2327" s="97"/>
      <c r="F2327" s="97"/>
      <c r="G2327" s="109"/>
      <c r="H2327" s="109"/>
      <c r="I2327" s="97"/>
      <c r="J2327" s="97"/>
      <c r="K2327" s="83"/>
      <c r="L2327" s="111"/>
      <c r="M2327" s="111"/>
      <c r="N2327" s="111"/>
      <c r="O2327" s="111"/>
      <c r="P2327" s="111"/>
      <c r="Q2327" s="111"/>
      <c r="R2327" s="111"/>
    </row>
    <row r="2328" spans="2:18" s="108" customFormat="1">
      <c r="B2328" s="97"/>
      <c r="C2328" s="110"/>
      <c r="D2328" s="109"/>
      <c r="E2328" s="97"/>
      <c r="F2328" s="97"/>
      <c r="G2328" s="109"/>
      <c r="H2328" s="109"/>
      <c r="I2328" s="97"/>
      <c r="J2328" s="97"/>
      <c r="K2328" s="83"/>
      <c r="L2328" s="111"/>
      <c r="M2328" s="111"/>
      <c r="N2328" s="111"/>
      <c r="O2328" s="111"/>
      <c r="P2328" s="111"/>
      <c r="Q2328" s="111"/>
      <c r="R2328" s="111"/>
    </row>
    <row r="2329" spans="2:18" s="108" customFormat="1">
      <c r="B2329" s="97"/>
      <c r="C2329" s="110"/>
      <c r="D2329" s="109"/>
      <c r="E2329" s="97"/>
      <c r="F2329" s="97"/>
      <c r="G2329" s="109"/>
      <c r="H2329" s="109"/>
      <c r="I2329" s="97"/>
      <c r="J2329" s="97"/>
      <c r="K2329" s="83"/>
      <c r="L2329" s="111"/>
      <c r="M2329" s="111"/>
      <c r="N2329" s="111"/>
      <c r="O2329" s="111"/>
      <c r="P2329" s="111"/>
      <c r="Q2329" s="111"/>
      <c r="R2329" s="111"/>
    </row>
    <row r="2330" spans="2:18" s="108" customFormat="1">
      <c r="B2330" s="97"/>
      <c r="C2330" s="110"/>
      <c r="D2330" s="109"/>
      <c r="E2330" s="97"/>
      <c r="F2330" s="97"/>
      <c r="G2330" s="109"/>
      <c r="H2330" s="109"/>
      <c r="I2330" s="97"/>
      <c r="J2330" s="97"/>
      <c r="K2330" s="83"/>
      <c r="L2330" s="111"/>
      <c r="M2330" s="111"/>
      <c r="N2330" s="111"/>
      <c r="O2330" s="111"/>
      <c r="P2330" s="111"/>
      <c r="Q2330" s="111"/>
      <c r="R2330" s="111"/>
    </row>
    <row r="2331" spans="2:18" s="108" customFormat="1">
      <c r="B2331" s="97"/>
      <c r="C2331" s="110"/>
      <c r="D2331" s="109"/>
      <c r="E2331" s="97"/>
      <c r="F2331" s="97"/>
      <c r="G2331" s="109"/>
      <c r="H2331" s="109"/>
      <c r="I2331" s="97"/>
      <c r="J2331" s="97"/>
      <c r="K2331" s="83"/>
      <c r="L2331" s="111"/>
      <c r="M2331" s="111"/>
      <c r="N2331" s="111"/>
      <c r="O2331" s="111"/>
      <c r="P2331" s="111"/>
      <c r="Q2331" s="111"/>
      <c r="R2331" s="111"/>
    </row>
    <row r="2332" spans="2:18" s="108" customFormat="1">
      <c r="B2332" s="97"/>
      <c r="C2332" s="110"/>
      <c r="D2332" s="109"/>
      <c r="E2332" s="97"/>
      <c r="F2332" s="97"/>
      <c r="G2332" s="109"/>
      <c r="H2332" s="109"/>
      <c r="I2332" s="97"/>
      <c r="J2332" s="97"/>
      <c r="K2332" s="83"/>
      <c r="L2332" s="111"/>
      <c r="M2332" s="111"/>
      <c r="N2332" s="111"/>
      <c r="O2332" s="111"/>
      <c r="P2332" s="111"/>
      <c r="Q2332" s="111"/>
      <c r="R2332" s="111"/>
    </row>
    <row r="2333" spans="2:18" s="108" customFormat="1">
      <c r="B2333" s="97"/>
      <c r="C2333" s="110"/>
      <c r="D2333" s="109"/>
      <c r="E2333" s="97"/>
      <c r="F2333" s="97"/>
      <c r="G2333" s="109"/>
      <c r="H2333" s="109"/>
      <c r="I2333" s="97"/>
      <c r="J2333" s="97"/>
      <c r="K2333" s="83"/>
      <c r="L2333" s="111"/>
      <c r="M2333" s="111"/>
      <c r="N2333" s="111"/>
      <c r="O2333" s="111"/>
      <c r="P2333" s="111"/>
      <c r="Q2333" s="111"/>
      <c r="R2333" s="111"/>
    </row>
    <row r="2334" spans="2:18" s="108" customFormat="1">
      <c r="B2334" s="97"/>
      <c r="C2334" s="110"/>
      <c r="D2334" s="109"/>
      <c r="E2334" s="97"/>
      <c r="F2334" s="97"/>
      <c r="G2334" s="109"/>
      <c r="H2334" s="109"/>
      <c r="I2334" s="97"/>
      <c r="J2334" s="97"/>
      <c r="K2334" s="83"/>
      <c r="L2334" s="111"/>
      <c r="M2334" s="111"/>
      <c r="N2334" s="111"/>
      <c r="O2334" s="111"/>
      <c r="P2334" s="111"/>
      <c r="Q2334" s="111"/>
      <c r="R2334" s="111"/>
    </row>
    <row r="2335" spans="2:18" s="108" customFormat="1">
      <c r="B2335" s="97"/>
      <c r="C2335" s="110"/>
      <c r="D2335" s="109"/>
      <c r="E2335" s="97"/>
      <c r="F2335" s="97"/>
      <c r="G2335" s="109"/>
      <c r="H2335" s="109"/>
      <c r="I2335" s="97"/>
      <c r="J2335" s="97"/>
      <c r="K2335" s="83"/>
      <c r="L2335" s="111"/>
      <c r="M2335" s="111"/>
      <c r="N2335" s="111"/>
      <c r="O2335" s="111"/>
      <c r="P2335" s="111"/>
      <c r="Q2335" s="111"/>
      <c r="R2335" s="111"/>
    </row>
    <row r="2336" spans="2:18" s="108" customFormat="1">
      <c r="B2336" s="97"/>
      <c r="C2336" s="110"/>
      <c r="D2336" s="109"/>
      <c r="E2336" s="97"/>
      <c r="F2336" s="97"/>
      <c r="G2336" s="109"/>
      <c r="H2336" s="109"/>
      <c r="I2336" s="97"/>
      <c r="J2336" s="97"/>
      <c r="K2336" s="83"/>
      <c r="L2336" s="111"/>
      <c r="M2336" s="111"/>
      <c r="N2336" s="111"/>
      <c r="O2336" s="111"/>
      <c r="P2336" s="111"/>
      <c r="Q2336" s="111"/>
      <c r="R2336" s="111"/>
    </row>
    <row r="2337" spans="2:18" s="108" customFormat="1">
      <c r="B2337" s="97"/>
      <c r="C2337" s="110"/>
      <c r="D2337" s="109"/>
      <c r="E2337" s="97"/>
      <c r="F2337" s="97"/>
      <c r="G2337" s="109"/>
      <c r="H2337" s="109"/>
      <c r="I2337" s="97"/>
      <c r="J2337" s="97"/>
      <c r="K2337" s="83"/>
      <c r="L2337" s="111"/>
      <c r="M2337" s="111"/>
      <c r="N2337" s="111"/>
      <c r="O2337" s="111"/>
      <c r="P2337" s="111"/>
      <c r="Q2337" s="111"/>
      <c r="R2337" s="111"/>
    </row>
    <row r="2338" spans="2:18" s="108" customFormat="1">
      <c r="B2338" s="97"/>
      <c r="C2338" s="110"/>
      <c r="D2338" s="109"/>
      <c r="E2338" s="97"/>
      <c r="F2338" s="97"/>
      <c r="G2338" s="109"/>
      <c r="H2338" s="109"/>
      <c r="I2338" s="97"/>
      <c r="J2338" s="97"/>
      <c r="K2338" s="83"/>
      <c r="L2338" s="111"/>
      <c r="M2338" s="111"/>
      <c r="N2338" s="111"/>
      <c r="O2338" s="111"/>
      <c r="P2338" s="111"/>
      <c r="Q2338" s="111"/>
      <c r="R2338" s="111"/>
    </row>
    <row r="2339" spans="2:18" s="108" customFormat="1">
      <c r="B2339" s="97"/>
      <c r="C2339" s="110"/>
      <c r="D2339" s="109"/>
      <c r="E2339" s="97"/>
      <c r="F2339" s="97"/>
      <c r="G2339" s="109"/>
      <c r="H2339" s="109"/>
      <c r="I2339" s="97"/>
      <c r="J2339" s="97"/>
      <c r="K2339" s="83"/>
      <c r="L2339" s="111"/>
      <c r="M2339" s="111"/>
      <c r="N2339" s="111"/>
      <c r="O2339" s="111"/>
      <c r="P2339" s="111"/>
      <c r="Q2339" s="111"/>
      <c r="R2339" s="111"/>
    </row>
    <row r="2340" spans="2:18" s="108" customFormat="1">
      <c r="B2340" s="97"/>
      <c r="C2340" s="110"/>
      <c r="D2340" s="109"/>
      <c r="E2340" s="97"/>
      <c r="F2340" s="97"/>
      <c r="G2340" s="109"/>
      <c r="H2340" s="109"/>
      <c r="I2340" s="97"/>
      <c r="J2340" s="97"/>
      <c r="K2340" s="83"/>
      <c r="L2340" s="111"/>
      <c r="M2340" s="111"/>
      <c r="N2340" s="111"/>
      <c r="O2340" s="111"/>
      <c r="P2340" s="111"/>
      <c r="Q2340" s="111"/>
      <c r="R2340" s="111"/>
    </row>
    <row r="2341" spans="2:18" s="108" customFormat="1">
      <c r="B2341" s="97"/>
      <c r="C2341" s="110"/>
      <c r="D2341" s="109"/>
      <c r="E2341" s="97"/>
      <c r="F2341" s="97"/>
      <c r="G2341" s="109"/>
      <c r="H2341" s="109"/>
      <c r="I2341" s="97"/>
      <c r="J2341" s="97"/>
      <c r="K2341" s="83"/>
      <c r="L2341" s="111"/>
      <c r="M2341" s="111"/>
      <c r="N2341" s="111"/>
      <c r="O2341" s="111"/>
      <c r="P2341" s="111"/>
      <c r="Q2341" s="111"/>
      <c r="R2341" s="111"/>
    </row>
    <row r="2342" spans="2:18" s="108" customFormat="1">
      <c r="B2342" s="97"/>
      <c r="C2342" s="110"/>
      <c r="D2342" s="109"/>
      <c r="E2342" s="97"/>
      <c r="F2342" s="97"/>
      <c r="G2342" s="109"/>
      <c r="H2342" s="109"/>
      <c r="I2342" s="97"/>
      <c r="J2342" s="97"/>
      <c r="K2342" s="83"/>
      <c r="L2342" s="111"/>
      <c r="M2342" s="111"/>
      <c r="N2342" s="111"/>
      <c r="O2342" s="111"/>
      <c r="P2342" s="111"/>
      <c r="Q2342" s="111"/>
      <c r="R2342" s="111"/>
    </row>
    <row r="2343" spans="2:18" s="108" customFormat="1">
      <c r="B2343" s="97"/>
      <c r="C2343" s="110"/>
      <c r="D2343" s="109"/>
      <c r="E2343" s="97"/>
      <c r="F2343" s="97"/>
      <c r="G2343" s="109"/>
      <c r="H2343" s="109"/>
      <c r="I2343" s="97"/>
      <c r="J2343" s="97"/>
      <c r="K2343" s="83"/>
      <c r="L2343" s="111"/>
      <c r="M2343" s="111"/>
      <c r="N2343" s="111"/>
      <c r="O2343" s="111"/>
      <c r="P2343" s="111"/>
      <c r="Q2343" s="111"/>
      <c r="R2343" s="111"/>
    </row>
    <row r="2344" spans="2:18" s="108" customFormat="1">
      <c r="B2344" s="97"/>
      <c r="C2344" s="110"/>
      <c r="D2344" s="109"/>
      <c r="E2344" s="97"/>
      <c r="F2344" s="97"/>
      <c r="G2344" s="109"/>
      <c r="H2344" s="109"/>
      <c r="I2344" s="97"/>
      <c r="J2344" s="97"/>
      <c r="K2344" s="83"/>
      <c r="L2344" s="111"/>
      <c r="M2344" s="111"/>
      <c r="N2344" s="111"/>
      <c r="O2344" s="111"/>
      <c r="P2344" s="111"/>
      <c r="Q2344" s="111"/>
      <c r="R2344" s="111"/>
    </row>
    <row r="2345" spans="2:18" s="108" customFormat="1">
      <c r="B2345" s="97"/>
      <c r="C2345" s="110"/>
      <c r="D2345" s="109"/>
      <c r="E2345" s="97"/>
      <c r="F2345" s="97"/>
      <c r="G2345" s="109"/>
      <c r="H2345" s="109"/>
      <c r="I2345" s="97"/>
      <c r="J2345" s="97"/>
      <c r="K2345" s="83"/>
      <c r="L2345" s="111"/>
      <c r="M2345" s="111"/>
      <c r="N2345" s="111"/>
      <c r="O2345" s="111"/>
      <c r="P2345" s="111"/>
      <c r="Q2345" s="111"/>
      <c r="R2345" s="111"/>
    </row>
    <row r="2346" spans="2:18" s="108" customFormat="1">
      <c r="B2346" s="97"/>
      <c r="C2346" s="110"/>
      <c r="D2346" s="109"/>
      <c r="E2346" s="97"/>
      <c r="F2346" s="97"/>
      <c r="G2346" s="109"/>
      <c r="H2346" s="109"/>
      <c r="I2346" s="97"/>
      <c r="J2346" s="97"/>
      <c r="K2346" s="83"/>
      <c r="L2346" s="111"/>
      <c r="M2346" s="111"/>
      <c r="N2346" s="111"/>
      <c r="O2346" s="111"/>
      <c r="P2346" s="111"/>
      <c r="Q2346" s="111"/>
      <c r="R2346" s="111"/>
    </row>
    <row r="2347" spans="2:18" s="108" customFormat="1">
      <c r="B2347" s="97"/>
      <c r="C2347" s="110"/>
      <c r="D2347" s="109"/>
      <c r="E2347" s="97"/>
      <c r="F2347" s="97"/>
      <c r="G2347" s="109"/>
      <c r="H2347" s="109"/>
      <c r="I2347" s="97"/>
      <c r="J2347" s="97"/>
      <c r="K2347" s="83"/>
      <c r="L2347" s="111"/>
      <c r="M2347" s="111"/>
      <c r="N2347" s="111"/>
      <c r="O2347" s="111"/>
      <c r="P2347" s="111"/>
      <c r="Q2347" s="111"/>
      <c r="R2347" s="111"/>
    </row>
    <row r="2348" spans="2:18" s="108" customFormat="1">
      <c r="B2348" s="97"/>
      <c r="C2348" s="110"/>
      <c r="D2348" s="109"/>
      <c r="E2348" s="97"/>
      <c r="F2348" s="97"/>
      <c r="G2348" s="109"/>
      <c r="H2348" s="109"/>
      <c r="I2348" s="97"/>
      <c r="J2348" s="97"/>
      <c r="K2348" s="83"/>
      <c r="L2348" s="111"/>
      <c r="M2348" s="111"/>
      <c r="N2348" s="111"/>
      <c r="O2348" s="111"/>
      <c r="P2348" s="111"/>
      <c r="Q2348" s="111"/>
      <c r="R2348" s="111"/>
    </row>
    <row r="2349" spans="2:18" s="108" customFormat="1">
      <c r="B2349" s="97"/>
      <c r="C2349" s="110"/>
      <c r="D2349" s="109"/>
      <c r="E2349" s="97"/>
      <c r="F2349" s="97"/>
      <c r="G2349" s="109"/>
      <c r="H2349" s="109"/>
      <c r="I2349" s="97"/>
      <c r="J2349" s="97"/>
      <c r="K2349" s="83"/>
      <c r="L2349" s="111"/>
      <c r="M2349" s="111"/>
      <c r="N2349" s="111"/>
      <c r="O2349" s="111"/>
      <c r="P2349" s="111"/>
      <c r="Q2349" s="111"/>
      <c r="R2349" s="111"/>
    </row>
    <row r="2350" spans="2:18" s="108" customFormat="1">
      <c r="B2350" s="97"/>
      <c r="C2350" s="110"/>
      <c r="D2350" s="109"/>
      <c r="E2350" s="97"/>
      <c r="F2350" s="97"/>
      <c r="G2350" s="109"/>
      <c r="H2350" s="109"/>
      <c r="I2350" s="97"/>
      <c r="J2350" s="97"/>
      <c r="K2350" s="83"/>
      <c r="L2350" s="111"/>
      <c r="M2350" s="111"/>
      <c r="N2350" s="111"/>
      <c r="O2350" s="111"/>
      <c r="P2350" s="111"/>
      <c r="Q2350" s="111"/>
      <c r="R2350" s="111"/>
    </row>
    <row r="2351" spans="2:18" s="108" customFormat="1">
      <c r="B2351" s="97"/>
      <c r="C2351" s="110"/>
      <c r="D2351" s="109"/>
      <c r="E2351" s="97"/>
      <c r="F2351" s="97"/>
      <c r="G2351" s="109"/>
      <c r="H2351" s="109"/>
      <c r="I2351" s="97"/>
      <c r="J2351" s="97"/>
      <c r="K2351" s="83"/>
      <c r="L2351" s="111"/>
      <c r="M2351" s="111"/>
      <c r="N2351" s="111"/>
      <c r="O2351" s="111"/>
      <c r="P2351" s="111"/>
      <c r="Q2351" s="111"/>
      <c r="R2351" s="111"/>
    </row>
    <row r="2352" spans="2:18" s="108" customFormat="1">
      <c r="B2352" s="97"/>
      <c r="C2352" s="110"/>
      <c r="D2352" s="109"/>
      <c r="E2352" s="97"/>
      <c r="F2352" s="97"/>
      <c r="G2352" s="109"/>
      <c r="H2352" s="109"/>
      <c r="I2352" s="97"/>
      <c r="J2352" s="97"/>
      <c r="K2352" s="83"/>
      <c r="L2352" s="111"/>
      <c r="M2352" s="111"/>
      <c r="N2352" s="111"/>
      <c r="O2352" s="111"/>
      <c r="P2352" s="111"/>
      <c r="Q2352" s="111"/>
      <c r="R2352" s="111"/>
    </row>
    <row r="2353" spans="2:18" s="108" customFormat="1">
      <c r="B2353" s="97"/>
      <c r="C2353" s="110"/>
      <c r="D2353" s="109"/>
      <c r="E2353" s="97"/>
      <c r="F2353" s="97"/>
      <c r="G2353" s="109"/>
      <c r="H2353" s="109"/>
      <c r="I2353" s="97"/>
      <c r="J2353" s="97"/>
      <c r="K2353" s="83"/>
      <c r="L2353" s="111"/>
      <c r="M2353" s="111"/>
      <c r="N2353" s="111"/>
      <c r="O2353" s="111"/>
      <c r="P2353" s="111"/>
      <c r="Q2353" s="111"/>
      <c r="R2353" s="111"/>
    </row>
    <row r="2354" spans="2:18" s="108" customFormat="1">
      <c r="B2354" s="97"/>
      <c r="C2354" s="110"/>
      <c r="D2354" s="109"/>
      <c r="E2354" s="97"/>
      <c r="F2354" s="97"/>
      <c r="G2354" s="109"/>
      <c r="H2354" s="109"/>
      <c r="I2354" s="97"/>
      <c r="J2354" s="97"/>
      <c r="K2354" s="83"/>
      <c r="L2354" s="111"/>
      <c r="M2354" s="111"/>
      <c r="N2354" s="111"/>
      <c r="O2354" s="111"/>
      <c r="P2354" s="111"/>
      <c r="Q2354" s="111"/>
      <c r="R2354" s="111"/>
    </row>
    <row r="2355" spans="2:18" s="108" customFormat="1">
      <c r="B2355" s="97"/>
      <c r="C2355" s="110"/>
      <c r="D2355" s="109"/>
      <c r="E2355" s="97"/>
      <c r="F2355" s="97"/>
      <c r="G2355" s="109"/>
      <c r="H2355" s="109"/>
      <c r="I2355" s="97"/>
      <c r="J2355" s="97"/>
      <c r="K2355" s="83"/>
      <c r="L2355" s="111"/>
      <c r="M2355" s="111"/>
      <c r="N2355" s="111"/>
      <c r="O2355" s="111"/>
      <c r="P2355" s="111"/>
      <c r="Q2355" s="111"/>
      <c r="R2355" s="111"/>
    </row>
    <row r="2356" spans="2:18" s="108" customFormat="1">
      <c r="B2356" s="97"/>
      <c r="C2356" s="110"/>
      <c r="D2356" s="109"/>
      <c r="E2356" s="97"/>
      <c r="F2356" s="97"/>
      <c r="G2356" s="109"/>
      <c r="H2356" s="109"/>
      <c r="I2356" s="97"/>
      <c r="J2356" s="97"/>
      <c r="K2356" s="83"/>
      <c r="L2356" s="111"/>
      <c r="M2356" s="111"/>
      <c r="N2356" s="111"/>
      <c r="O2356" s="111"/>
      <c r="P2356" s="111"/>
      <c r="Q2356" s="111"/>
      <c r="R2356" s="111"/>
    </row>
    <row r="2357" spans="2:18" s="108" customFormat="1">
      <c r="B2357" s="97"/>
      <c r="C2357" s="110"/>
      <c r="D2357" s="109"/>
      <c r="E2357" s="97"/>
      <c r="F2357" s="97"/>
      <c r="G2357" s="109"/>
      <c r="H2357" s="109"/>
      <c r="I2357" s="97"/>
      <c r="J2357" s="97"/>
      <c r="K2357" s="83"/>
      <c r="L2357" s="111"/>
      <c r="M2357" s="111"/>
      <c r="N2357" s="111"/>
      <c r="O2357" s="111"/>
      <c r="P2357" s="111"/>
      <c r="Q2357" s="111"/>
      <c r="R2357" s="111"/>
    </row>
    <row r="2358" spans="2:18" s="108" customFormat="1">
      <c r="B2358" s="97"/>
      <c r="C2358" s="110"/>
      <c r="D2358" s="109"/>
      <c r="E2358" s="97"/>
      <c r="F2358" s="97"/>
      <c r="G2358" s="109"/>
      <c r="H2358" s="109"/>
      <c r="I2358" s="97"/>
      <c r="J2358" s="97"/>
      <c r="K2358" s="83"/>
      <c r="L2358" s="111"/>
      <c r="M2358" s="111"/>
      <c r="N2358" s="111"/>
      <c r="O2358" s="111"/>
      <c r="P2358" s="111"/>
      <c r="Q2358" s="111"/>
      <c r="R2358" s="111"/>
    </row>
    <row r="2359" spans="2:18" s="108" customFormat="1">
      <c r="B2359" s="97"/>
      <c r="C2359" s="110"/>
      <c r="D2359" s="109"/>
      <c r="E2359" s="97"/>
      <c r="F2359" s="97"/>
      <c r="G2359" s="109"/>
      <c r="H2359" s="109"/>
      <c r="I2359" s="97"/>
      <c r="J2359" s="97"/>
      <c r="K2359" s="83"/>
      <c r="L2359" s="111"/>
      <c r="M2359" s="111"/>
      <c r="N2359" s="111"/>
      <c r="O2359" s="111"/>
      <c r="P2359" s="111"/>
      <c r="Q2359" s="111"/>
      <c r="R2359" s="111"/>
    </row>
    <row r="2360" spans="2:18" s="108" customFormat="1">
      <c r="B2360" s="97"/>
      <c r="C2360" s="110"/>
      <c r="D2360" s="109"/>
      <c r="E2360" s="97"/>
      <c r="F2360" s="97"/>
      <c r="G2360" s="109"/>
      <c r="H2360" s="109"/>
      <c r="I2360" s="97"/>
      <c r="J2360" s="97"/>
      <c r="K2360" s="83"/>
      <c r="L2360" s="111"/>
      <c r="M2360" s="111"/>
      <c r="N2360" s="111"/>
      <c r="O2360" s="111"/>
      <c r="P2360" s="111"/>
      <c r="Q2360" s="111"/>
      <c r="R2360" s="111"/>
    </row>
    <row r="2361" spans="2:18" s="108" customFormat="1">
      <c r="B2361" s="97"/>
      <c r="C2361" s="110"/>
      <c r="D2361" s="109"/>
      <c r="E2361" s="97"/>
      <c r="F2361" s="97"/>
      <c r="G2361" s="109"/>
      <c r="H2361" s="109"/>
      <c r="I2361" s="97"/>
      <c r="J2361" s="97"/>
      <c r="K2361" s="83"/>
      <c r="L2361" s="111"/>
      <c r="M2361" s="111"/>
      <c r="N2361" s="111"/>
      <c r="O2361" s="111"/>
      <c r="P2361" s="111"/>
      <c r="Q2361" s="111"/>
      <c r="R2361" s="111"/>
    </row>
    <row r="2362" spans="2:18" s="108" customFormat="1">
      <c r="B2362" s="97"/>
      <c r="C2362" s="110"/>
      <c r="D2362" s="109"/>
      <c r="E2362" s="97"/>
      <c r="F2362" s="97"/>
      <c r="G2362" s="109"/>
      <c r="H2362" s="109"/>
      <c r="I2362" s="97"/>
      <c r="J2362" s="97"/>
      <c r="K2362" s="83"/>
      <c r="L2362" s="111"/>
      <c r="M2362" s="111"/>
      <c r="N2362" s="111"/>
      <c r="O2362" s="111"/>
      <c r="P2362" s="111"/>
      <c r="Q2362" s="111"/>
      <c r="R2362" s="111"/>
    </row>
    <row r="2363" spans="2:18" s="108" customFormat="1">
      <c r="B2363" s="97"/>
      <c r="C2363" s="110"/>
      <c r="D2363" s="109"/>
      <c r="E2363" s="97"/>
      <c r="F2363" s="97"/>
      <c r="G2363" s="109"/>
      <c r="H2363" s="109"/>
      <c r="I2363" s="97"/>
      <c r="J2363" s="97"/>
      <c r="K2363" s="83"/>
      <c r="L2363" s="111"/>
      <c r="M2363" s="111"/>
      <c r="N2363" s="111"/>
      <c r="O2363" s="111"/>
      <c r="P2363" s="111"/>
      <c r="Q2363" s="111"/>
      <c r="R2363" s="111"/>
    </row>
    <row r="2364" spans="2:18" s="108" customFormat="1">
      <c r="B2364" s="97"/>
      <c r="C2364" s="110"/>
      <c r="D2364" s="109"/>
      <c r="E2364" s="97"/>
      <c r="F2364" s="97"/>
      <c r="G2364" s="109"/>
      <c r="H2364" s="109"/>
      <c r="I2364" s="97"/>
      <c r="J2364" s="97"/>
      <c r="K2364" s="83"/>
      <c r="L2364" s="111"/>
      <c r="M2364" s="111"/>
      <c r="N2364" s="111"/>
      <c r="O2364" s="111"/>
      <c r="P2364" s="111"/>
      <c r="Q2364" s="111"/>
      <c r="R2364" s="111"/>
    </row>
    <row r="2365" spans="2:18" s="108" customFormat="1">
      <c r="B2365" s="97"/>
      <c r="C2365" s="110"/>
      <c r="D2365" s="109"/>
      <c r="E2365" s="97"/>
      <c r="F2365" s="97"/>
      <c r="G2365" s="109"/>
      <c r="H2365" s="109"/>
      <c r="I2365" s="97"/>
      <c r="J2365" s="97"/>
      <c r="K2365" s="83"/>
      <c r="L2365" s="111"/>
      <c r="M2365" s="111"/>
      <c r="N2365" s="111"/>
      <c r="O2365" s="111"/>
      <c r="P2365" s="111"/>
      <c r="Q2365" s="111"/>
      <c r="R2365" s="111"/>
    </row>
    <row r="2366" spans="2:18" s="108" customFormat="1">
      <c r="B2366" s="97"/>
      <c r="C2366" s="110"/>
      <c r="D2366" s="109"/>
      <c r="E2366" s="97"/>
      <c r="F2366" s="97"/>
      <c r="G2366" s="109"/>
      <c r="H2366" s="109"/>
      <c r="I2366" s="97"/>
      <c r="J2366" s="97"/>
      <c r="K2366" s="83"/>
      <c r="L2366" s="111"/>
      <c r="M2366" s="111"/>
      <c r="N2366" s="111"/>
      <c r="O2366" s="111"/>
      <c r="P2366" s="111"/>
      <c r="Q2366" s="111"/>
      <c r="R2366" s="111"/>
    </row>
    <row r="2367" spans="2:18" s="108" customFormat="1">
      <c r="B2367" s="97"/>
      <c r="C2367" s="110"/>
      <c r="D2367" s="109"/>
      <c r="E2367" s="97"/>
      <c r="F2367" s="97"/>
      <c r="G2367" s="109"/>
      <c r="H2367" s="109"/>
      <c r="I2367" s="97"/>
      <c r="J2367" s="97"/>
      <c r="K2367" s="83"/>
      <c r="L2367" s="111"/>
      <c r="M2367" s="111"/>
      <c r="N2367" s="111"/>
      <c r="O2367" s="111"/>
      <c r="P2367" s="111"/>
      <c r="Q2367" s="111"/>
      <c r="R2367" s="111"/>
    </row>
    <row r="2368" spans="2:18" s="108" customFormat="1">
      <c r="B2368" s="97"/>
      <c r="C2368" s="110"/>
      <c r="D2368" s="109"/>
      <c r="E2368" s="97"/>
      <c r="F2368" s="97"/>
      <c r="G2368" s="109"/>
      <c r="H2368" s="109"/>
      <c r="I2368" s="97"/>
      <c r="J2368" s="97"/>
      <c r="K2368" s="83"/>
      <c r="L2368" s="111"/>
      <c r="M2368" s="111"/>
      <c r="N2368" s="111"/>
      <c r="O2368" s="111"/>
      <c r="P2368" s="111"/>
      <c r="Q2368" s="111"/>
      <c r="R2368" s="111"/>
    </row>
    <row r="2369" spans="2:18" s="108" customFormat="1">
      <c r="B2369" s="97"/>
      <c r="C2369" s="110"/>
      <c r="D2369" s="109"/>
      <c r="E2369" s="97"/>
      <c r="F2369" s="97"/>
      <c r="G2369" s="109"/>
      <c r="H2369" s="109"/>
      <c r="I2369" s="97"/>
      <c r="J2369" s="97"/>
      <c r="K2369" s="83"/>
      <c r="L2369" s="111"/>
      <c r="M2369" s="111"/>
      <c r="N2369" s="111"/>
      <c r="O2369" s="111"/>
      <c r="P2369" s="111"/>
      <c r="Q2369" s="111"/>
      <c r="R2369" s="111"/>
    </row>
    <row r="2370" spans="2:18" s="108" customFormat="1">
      <c r="B2370" s="97"/>
      <c r="C2370" s="110"/>
      <c r="D2370" s="109"/>
      <c r="E2370" s="97"/>
      <c r="F2370" s="97"/>
      <c r="G2370" s="109"/>
      <c r="H2370" s="109"/>
      <c r="I2370" s="97"/>
      <c r="J2370" s="97"/>
      <c r="K2370" s="83"/>
      <c r="L2370" s="111"/>
      <c r="M2370" s="111"/>
      <c r="N2370" s="111"/>
      <c r="O2370" s="111"/>
      <c r="P2370" s="111"/>
      <c r="Q2370" s="111"/>
      <c r="R2370" s="111"/>
    </row>
    <row r="2371" spans="2:18" s="108" customFormat="1">
      <c r="B2371" s="97"/>
      <c r="C2371" s="110"/>
      <c r="D2371" s="109"/>
      <c r="E2371" s="97"/>
      <c r="F2371" s="97"/>
      <c r="G2371" s="109"/>
      <c r="H2371" s="109"/>
      <c r="I2371" s="97"/>
      <c r="J2371" s="97"/>
      <c r="K2371" s="83"/>
      <c r="L2371" s="111"/>
      <c r="M2371" s="111"/>
      <c r="N2371" s="111"/>
      <c r="O2371" s="111"/>
      <c r="P2371" s="111"/>
      <c r="Q2371" s="111"/>
      <c r="R2371" s="111"/>
    </row>
    <row r="2372" spans="2:18" s="108" customFormat="1">
      <c r="B2372" s="97"/>
      <c r="C2372" s="110"/>
      <c r="D2372" s="109"/>
      <c r="E2372" s="97"/>
      <c r="F2372" s="97"/>
      <c r="G2372" s="109"/>
      <c r="H2372" s="109"/>
      <c r="I2372" s="97"/>
      <c r="J2372" s="97"/>
      <c r="K2372" s="83"/>
      <c r="L2372" s="111"/>
      <c r="M2372" s="111"/>
      <c r="N2372" s="111"/>
      <c r="O2372" s="111"/>
      <c r="P2372" s="111"/>
      <c r="Q2372" s="111"/>
      <c r="R2372" s="111"/>
    </row>
    <row r="2373" spans="2:18" s="108" customFormat="1">
      <c r="B2373" s="97"/>
      <c r="C2373" s="110"/>
      <c r="D2373" s="109"/>
      <c r="E2373" s="97"/>
      <c r="F2373" s="97"/>
      <c r="G2373" s="109"/>
      <c r="H2373" s="109"/>
      <c r="I2373" s="97"/>
      <c r="J2373" s="97"/>
      <c r="K2373" s="83"/>
      <c r="L2373" s="111"/>
      <c r="M2373" s="111"/>
      <c r="N2373" s="111"/>
      <c r="O2373" s="111"/>
      <c r="P2373" s="111"/>
      <c r="Q2373" s="111"/>
      <c r="R2373" s="111"/>
    </row>
    <row r="2374" spans="2:18" s="108" customFormat="1">
      <c r="B2374" s="97"/>
      <c r="C2374" s="110"/>
      <c r="D2374" s="109"/>
      <c r="E2374" s="97"/>
      <c r="F2374" s="97"/>
      <c r="G2374" s="109"/>
      <c r="H2374" s="109"/>
      <c r="I2374" s="97"/>
      <c r="J2374" s="97"/>
      <c r="K2374" s="83"/>
      <c r="L2374" s="111"/>
      <c r="M2374" s="111"/>
      <c r="N2374" s="111"/>
      <c r="O2374" s="111"/>
      <c r="P2374" s="111"/>
      <c r="Q2374" s="111"/>
      <c r="R2374" s="111"/>
    </row>
    <row r="2375" spans="2:18" s="108" customFormat="1">
      <c r="B2375" s="97"/>
      <c r="C2375" s="110"/>
      <c r="D2375" s="109"/>
      <c r="E2375" s="97"/>
      <c r="F2375" s="97"/>
      <c r="G2375" s="109"/>
      <c r="H2375" s="109"/>
      <c r="I2375" s="97"/>
      <c r="J2375" s="97"/>
      <c r="K2375" s="83"/>
      <c r="L2375" s="111"/>
      <c r="M2375" s="111"/>
      <c r="N2375" s="111"/>
      <c r="O2375" s="111"/>
      <c r="P2375" s="111"/>
      <c r="Q2375" s="111"/>
      <c r="R2375" s="111"/>
    </row>
    <row r="2376" spans="2:18" s="108" customFormat="1">
      <c r="B2376" s="97"/>
      <c r="C2376" s="110"/>
      <c r="D2376" s="109"/>
      <c r="E2376" s="97"/>
      <c r="F2376" s="97"/>
      <c r="G2376" s="109"/>
      <c r="H2376" s="109"/>
      <c r="I2376" s="97"/>
      <c r="J2376" s="97"/>
      <c r="K2376" s="83"/>
      <c r="L2376" s="111"/>
      <c r="M2376" s="111"/>
      <c r="N2376" s="111"/>
      <c r="O2376" s="111"/>
      <c r="P2376" s="111"/>
      <c r="Q2376" s="111"/>
      <c r="R2376" s="111"/>
    </row>
    <row r="2377" spans="2:18" s="108" customFormat="1">
      <c r="B2377" s="97"/>
      <c r="C2377" s="110"/>
      <c r="D2377" s="109"/>
      <c r="E2377" s="97"/>
      <c r="F2377" s="97"/>
      <c r="G2377" s="109"/>
      <c r="H2377" s="109"/>
      <c r="I2377" s="97"/>
      <c r="J2377" s="97"/>
      <c r="K2377" s="83"/>
      <c r="L2377" s="111"/>
      <c r="M2377" s="111"/>
      <c r="N2377" s="111"/>
      <c r="O2377" s="111"/>
      <c r="P2377" s="111"/>
      <c r="Q2377" s="111"/>
      <c r="R2377" s="111"/>
    </row>
    <row r="2378" spans="2:18" s="108" customFormat="1">
      <c r="B2378" s="97"/>
      <c r="C2378" s="110"/>
      <c r="D2378" s="109"/>
      <c r="E2378" s="97"/>
      <c r="F2378" s="97"/>
      <c r="G2378" s="109"/>
      <c r="H2378" s="109"/>
      <c r="I2378" s="97"/>
      <c r="J2378" s="97"/>
      <c r="K2378" s="83"/>
      <c r="L2378" s="111"/>
      <c r="M2378" s="111"/>
      <c r="N2378" s="111"/>
      <c r="O2378" s="111"/>
      <c r="P2378" s="111"/>
      <c r="Q2378" s="111"/>
      <c r="R2378" s="111"/>
    </row>
    <row r="2379" spans="2:18" s="108" customFormat="1">
      <c r="B2379" s="97"/>
      <c r="C2379" s="110"/>
      <c r="D2379" s="109"/>
      <c r="E2379" s="97"/>
      <c r="F2379" s="97"/>
      <c r="G2379" s="109"/>
      <c r="H2379" s="109"/>
      <c r="I2379" s="97"/>
      <c r="J2379" s="97"/>
      <c r="K2379" s="83"/>
      <c r="L2379" s="111"/>
      <c r="M2379" s="111"/>
      <c r="N2379" s="111"/>
      <c r="O2379" s="111"/>
      <c r="P2379" s="111"/>
      <c r="Q2379" s="111"/>
      <c r="R2379" s="111"/>
    </row>
    <row r="2380" spans="2:18" s="108" customFormat="1">
      <c r="B2380" s="97"/>
      <c r="C2380" s="110"/>
      <c r="D2380" s="109"/>
      <c r="E2380" s="97"/>
      <c r="F2380" s="97"/>
      <c r="G2380" s="109"/>
      <c r="H2380" s="109"/>
      <c r="I2380" s="97"/>
      <c r="J2380" s="97"/>
      <c r="K2380" s="83"/>
      <c r="L2380" s="111"/>
      <c r="M2380" s="111"/>
      <c r="N2380" s="111"/>
      <c r="O2380" s="111"/>
      <c r="P2380" s="111"/>
      <c r="Q2380" s="111"/>
      <c r="R2380" s="111"/>
    </row>
    <row r="2381" spans="2:18" s="108" customFormat="1">
      <c r="B2381" s="97"/>
      <c r="C2381" s="110"/>
      <c r="D2381" s="109"/>
      <c r="E2381" s="97"/>
      <c r="F2381" s="97"/>
      <c r="G2381" s="109"/>
      <c r="H2381" s="109"/>
      <c r="I2381" s="97"/>
      <c r="J2381" s="97"/>
      <c r="K2381" s="83"/>
      <c r="L2381" s="111"/>
      <c r="M2381" s="111"/>
      <c r="N2381" s="111"/>
      <c r="O2381" s="111"/>
      <c r="P2381" s="111"/>
      <c r="Q2381" s="111"/>
      <c r="R2381" s="111"/>
    </row>
    <row r="2382" spans="2:18" s="108" customFormat="1">
      <c r="B2382" s="97"/>
      <c r="C2382" s="110"/>
      <c r="D2382" s="109"/>
      <c r="E2382" s="97"/>
      <c r="F2382" s="97"/>
      <c r="G2382" s="109"/>
      <c r="H2382" s="109"/>
      <c r="I2382" s="97"/>
      <c r="J2382" s="97"/>
      <c r="K2382" s="83"/>
      <c r="L2382" s="111"/>
      <c r="M2382" s="111"/>
      <c r="N2382" s="111"/>
      <c r="O2382" s="111"/>
      <c r="P2382" s="111"/>
      <c r="Q2382" s="111"/>
      <c r="R2382" s="111"/>
    </row>
    <row r="2383" spans="2:18" s="108" customFormat="1">
      <c r="B2383" s="97"/>
      <c r="C2383" s="110"/>
      <c r="D2383" s="109"/>
      <c r="E2383" s="97"/>
      <c r="F2383" s="97"/>
      <c r="G2383" s="109"/>
      <c r="H2383" s="109"/>
      <c r="I2383" s="97"/>
      <c r="J2383" s="97"/>
      <c r="K2383" s="83"/>
      <c r="L2383" s="111"/>
      <c r="M2383" s="111"/>
      <c r="N2383" s="111"/>
      <c r="O2383" s="111"/>
      <c r="P2383" s="111"/>
      <c r="Q2383" s="111"/>
      <c r="R2383" s="111"/>
    </row>
    <row r="2384" spans="2:18" s="108" customFormat="1">
      <c r="B2384" s="97"/>
      <c r="C2384" s="110"/>
      <c r="D2384" s="109"/>
      <c r="E2384" s="97"/>
      <c r="F2384" s="97"/>
      <c r="G2384" s="109"/>
      <c r="H2384" s="109"/>
      <c r="I2384" s="97"/>
      <c r="J2384" s="97"/>
      <c r="K2384" s="83"/>
      <c r="L2384" s="111"/>
      <c r="M2384" s="111"/>
      <c r="N2384" s="111"/>
      <c r="O2384" s="111"/>
      <c r="P2384" s="111"/>
      <c r="Q2384" s="111"/>
      <c r="R2384" s="111"/>
    </row>
    <row r="2385" spans="2:18" s="108" customFormat="1">
      <c r="B2385" s="97"/>
      <c r="C2385" s="110"/>
      <c r="D2385" s="109"/>
      <c r="E2385" s="97"/>
      <c r="F2385" s="97"/>
      <c r="G2385" s="109"/>
      <c r="H2385" s="109"/>
      <c r="I2385" s="97"/>
      <c r="J2385" s="97"/>
      <c r="K2385" s="83"/>
      <c r="L2385" s="111"/>
      <c r="M2385" s="111"/>
      <c r="N2385" s="111"/>
      <c r="O2385" s="111"/>
      <c r="P2385" s="111"/>
      <c r="Q2385" s="111"/>
      <c r="R2385" s="111"/>
    </row>
    <row r="2386" spans="2:18" s="108" customFormat="1">
      <c r="B2386" s="97"/>
      <c r="C2386" s="110"/>
      <c r="D2386" s="109"/>
      <c r="E2386" s="97"/>
      <c r="F2386" s="97"/>
      <c r="G2386" s="109"/>
      <c r="H2386" s="109"/>
      <c r="I2386" s="97"/>
      <c r="J2386" s="97"/>
      <c r="K2386" s="83"/>
      <c r="L2386" s="111"/>
      <c r="M2386" s="111"/>
      <c r="N2386" s="111"/>
      <c r="O2386" s="111"/>
      <c r="P2386" s="111"/>
      <c r="Q2386" s="111"/>
      <c r="R2386" s="111"/>
    </row>
    <row r="2387" spans="2:18" s="108" customFormat="1">
      <c r="B2387" s="97"/>
      <c r="C2387" s="110"/>
      <c r="D2387" s="109"/>
      <c r="E2387" s="97"/>
      <c r="F2387" s="97"/>
      <c r="G2387" s="109"/>
      <c r="H2387" s="109"/>
      <c r="I2387" s="97"/>
      <c r="J2387" s="97"/>
      <c r="K2387" s="83"/>
      <c r="L2387" s="111"/>
      <c r="M2387" s="111"/>
      <c r="N2387" s="111"/>
      <c r="O2387" s="111"/>
      <c r="P2387" s="111"/>
      <c r="Q2387" s="111"/>
      <c r="R2387" s="111"/>
    </row>
    <row r="2388" spans="2:18" s="108" customFormat="1">
      <c r="B2388" s="97"/>
      <c r="C2388" s="110"/>
      <c r="D2388" s="109"/>
      <c r="E2388" s="97"/>
      <c r="F2388" s="97"/>
      <c r="G2388" s="109"/>
      <c r="H2388" s="109"/>
      <c r="I2388" s="97"/>
      <c r="J2388" s="97"/>
      <c r="K2388" s="83"/>
      <c r="L2388" s="111"/>
      <c r="M2388" s="111"/>
      <c r="N2388" s="111"/>
      <c r="O2388" s="111"/>
      <c r="P2388" s="111"/>
      <c r="Q2388" s="111"/>
      <c r="R2388" s="111"/>
    </row>
    <row r="2389" spans="2:18" s="108" customFormat="1">
      <c r="B2389" s="97"/>
      <c r="C2389" s="110"/>
      <c r="D2389" s="109"/>
      <c r="E2389" s="97"/>
      <c r="F2389" s="97"/>
      <c r="G2389" s="109"/>
      <c r="H2389" s="109"/>
      <c r="I2389" s="97"/>
      <c r="J2389" s="97"/>
      <c r="K2389" s="83"/>
      <c r="L2389" s="111"/>
      <c r="M2389" s="111"/>
      <c r="N2389" s="111"/>
      <c r="O2389" s="111"/>
      <c r="P2389" s="111"/>
      <c r="Q2389" s="111"/>
      <c r="R2389" s="111"/>
    </row>
    <row r="2390" spans="2:18" s="108" customFormat="1">
      <c r="B2390" s="97"/>
      <c r="C2390" s="110"/>
      <c r="D2390" s="109"/>
      <c r="E2390" s="97"/>
      <c r="F2390" s="97"/>
      <c r="G2390" s="109"/>
      <c r="H2390" s="109"/>
      <c r="I2390" s="97"/>
      <c r="J2390" s="97"/>
      <c r="K2390" s="83"/>
      <c r="L2390" s="111"/>
      <c r="M2390" s="111"/>
      <c r="N2390" s="111"/>
      <c r="O2390" s="111"/>
      <c r="P2390" s="111"/>
      <c r="Q2390" s="111"/>
      <c r="R2390" s="111"/>
    </row>
    <row r="2391" spans="2:18" s="108" customFormat="1">
      <c r="B2391" s="97"/>
      <c r="C2391" s="110"/>
      <c r="D2391" s="109"/>
      <c r="E2391" s="97"/>
      <c r="F2391" s="97"/>
      <c r="G2391" s="109"/>
      <c r="H2391" s="109"/>
      <c r="I2391" s="97"/>
      <c r="J2391" s="97"/>
      <c r="K2391" s="83"/>
      <c r="L2391" s="111"/>
      <c r="M2391" s="111"/>
      <c r="N2391" s="111"/>
      <c r="O2391" s="111"/>
      <c r="P2391" s="111"/>
      <c r="Q2391" s="111"/>
      <c r="R2391" s="111"/>
    </row>
    <row r="2392" spans="2:18" s="108" customFormat="1">
      <c r="B2392" s="97"/>
      <c r="C2392" s="110"/>
      <c r="D2392" s="109"/>
      <c r="E2392" s="97"/>
      <c r="F2392" s="97"/>
      <c r="G2392" s="109"/>
      <c r="H2392" s="109"/>
      <c r="I2392" s="97"/>
      <c r="J2392" s="97"/>
      <c r="K2392" s="83"/>
      <c r="L2392" s="111"/>
      <c r="M2392" s="111"/>
      <c r="N2392" s="111"/>
      <c r="O2392" s="111"/>
      <c r="P2392" s="111"/>
      <c r="Q2392" s="111"/>
      <c r="R2392" s="111"/>
    </row>
    <row r="2393" spans="2:18" s="108" customFormat="1">
      <c r="B2393" s="97"/>
      <c r="C2393" s="110"/>
      <c r="D2393" s="109"/>
      <c r="E2393" s="97"/>
      <c r="F2393" s="97"/>
      <c r="G2393" s="109"/>
      <c r="H2393" s="109"/>
      <c r="I2393" s="97"/>
      <c r="J2393" s="97"/>
      <c r="K2393" s="83"/>
      <c r="L2393" s="111"/>
      <c r="M2393" s="111"/>
      <c r="N2393" s="111"/>
      <c r="O2393" s="111"/>
      <c r="P2393" s="111"/>
      <c r="Q2393" s="111"/>
      <c r="R2393" s="111"/>
    </row>
    <row r="2394" spans="2:18" s="108" customFormat="1">
      <c r="B2394" s="97"/>
      <c r="C2394" s="110"/>
      <c r="D2394" s="109"/>
      <c r="E2394" s="97"/>
      <c r="F2394" s="97"/>
      <c r="G2394" s="109"/>
      <c r="H2394" s="109"/>
      <c r="I2394" s="97"/>
      <c r="J2394" s="97"/>
      <c r="K2394" s="83"/>
      <c r="L2394" s="111"/>
      <c r="M2394" s="111"/>
      <c r="N2394" s="111"/>
      <c r="O2394" s="111"/>
      <c r="P2394" s="111"/>
      <c r="Q2394" s="111"/>
      <c r="R2394" s="111"/>
    </row>
    <row r="2395" spans="2:18" s="108" customFormat="1">
      <c r="B2395" s="97"/>
      <c r="C2395" s="110"/>
      <c r="D2395" s="109"/>
      <c r="E2395" s="97"/>
      <c r="F2395" s="97"/>
      <c r="G2395" s="109"/>
      <c r="H2395" s="109"/>
      <c r="I2395" s="97"/>
      <c r="J2395" s="97"/>
      <c r="K2395" s="83"/>
      <c r="L2395" s="111"/>
      <c r="M2395" s="111"/>
      <c r="N2395" s="111"/>
      <c r="O2395" s="111"/>
      <c r="P2395" s="111"/>
      <c r="Q2395" s="111"/>
      <c r="R2395" s="111"/>
    </row>
    <row r="2396" spans="2:18" s="108" customFormat="1">
      <c r="B2396" s="97"/>
      <c r="C2396" s="110"/>
      <c r="D2396" s="109"/>
      <c r="E2396" s="97"/>
      <c r="F2396" s="97"/>
      <c r="G2396" s="109"/>
      <c r="H2396" s="109"/>
      <c r="I2396" s="97"/>
      <c r="J2396" s="97"/>
      <c r="K2396" s="83"/>
      <c r="L2396" s="111"/>
      <c r="M2396" s="111"/>
      <c r="N2396" s="111"/>
      <c r="O2396" s="111"/>
      <c r="P2396" s="111"/>
      <c r="Q2396" s="111"/>
      <c r="R2396" s="111"/>
    </row>
    <row r="2397" spans="2:18" s="108" customFormat="1">
      <c r="B2397" s="97"/>
      <c r="C2397" s="110"/>
      <c r="D2397" s="109"/>
      <c r="E2397" s="97"/>
      <c r="F2397" s="97"/>
      <c r="G2397" s="109"/>
      <c r="H2397" s="109"/>
      <c r="I2397" s="97"/>
      <c r="J2397" s="97"/>
      <c r="K2397" s="83"/>
      <c r="L2397" s="111"/>
      <c r="M2397" s="111"/>
      <c r="N2397" s="111"/>
      <c r="O2397" s="111"/>
      <c r="P2397" s="111"/>
      <c r="Q2397" s="111"/>
      <c r="R2397" s="111"/>
    </row>
    <row r="2398" spans="2:18" s="108" customFormat="1">
      <c r="B2398" s="97"/>
      <c r="C2398" s="110"/>
      <c r="D2398" s="109"/>
      <c r="E2398" s="97"/>
      <c r="F2398" s="97"/>
      <c r="G2398" s="109"/>
      <c r="H2398" s="109"/>
      <c r="I2398" s="97"/>
      <c r="J2398" s="97"/>
      <c r="K2398" s="83"/>
      <c r="L2398" s="111"/>
      <c r="M2398" s="111"/>
      <c r="N2398" s="111"/>
      <c r="O2398" s="111"/>
      <c r="P2398" s="111"/>
      <c r="Q2398" s="111"/>
      <c r="R2398" s="111"/>
    </row>
    <row r="2399" spans="2:18" s="108" customFormat="1">
      <c r="B2399" s="97"/>
      <c r="C2399" s="110"/>
      <c r="D2399" s="109"/>
      <c r="E2399" s="97"/>
      <c r="F2399" s="97"/>
      <c r="G2399" s="109"/>
      <c r="H2399" s="109"/>
      <c r="I2399" s="97"/>
      <c r="J2399" s="97"/>
      <c r="K2399" s="83"/>
      <c r="L2399" s="111"/>
      <c r="M2399" s="111"/>
      <c r="N2399" s="111"/>
      <c r="O2399" s="111"/>
      <c r="P2399" s="111"/>
      <c r="Q2399" s="111"/>
      <c r="R2399" s="111"/>
    </row>
    <row r="2400" spans="2:18" s="108" customFormat="1">
      <c r="B2400" s="97"/>
      <c r="C2400" s="110"/>
      <c r="D2400" s="109"/>
      <c r="E2400" s="97"/>
      <c r="F2400" s="97"/>
      <c r="G2400" s="109"/>
      <c r="H2400" s="109"/>
      <c r="I2400" s="97"/>
      <c r="J2400" s="97"/>
      <c r="K2400" s="83"/>
      <c r="L2400" s="111"/>
      <c r="M2400" s="111"/>
      <c r="N2400" s="111"/>
      <c r="O2400" s="111"/>
      <c r="P2400" s="111"/>
      <c r="Q2400" s="111"/>
      <c r="R2400" s="111"/>
    </row>
    <row r="2401" spans="2:18" s="108" customFormat="1">
      <c r="B2401" s="97"/>
      <c r="C2401" s="110"/>
      <c r="D2401" s="109"/>
      <c r="E2401" s="97"/>
      <c r="F2401" s="97"/>
      <c r="G2401" s="109"/>
      <c r="H2401" s="109"/>
      <c r="I2401" s="97"/>
      <c r="J2401" s="97"/>
      <c r="K2401" s="83"/>
      <c r="L2401" s="111"/>
      <c r="M2401" s="111"/>
      <c r="N2401" s="111"/>
      <c r="O2401" s="111"/>
      <c r="P2401" s="111"/>
      <c r="Q2401" s="111"/>
      <c r="R2401" s="111"/>
    </row>
    <row r="2402" spans="2:18" s="108" customFormat="1">
      <c r="B2402" s="97"/>
      <c r="C2402" s="110"/>
      <c r="D2402" s="109"/>
      <c r="E2402" s="97"/>
      <c r="F2402" s="97"/>
      <c r="G2402" s="109"/>
      <c r="H2402" s="109"/>
      <c r="I2402" s="97"/>
      <c r="J2402" s="97"/>
      <c r="K2402" s="83"/>
      <c r="L2402" s="111"/>
      <c r="M2402" s="111"/>
      <c r="N2402" s="111"/>
      <c r="O2402" s="111"/>
      <c r="P2402" s="111"/>
      <c r="Q2402" s="111"/>
      <c r="R2402" s="111"/>
    </row>
    <row r="2403" spans="2:18" s="108" customFormat="1">
      <c r="B2403" s="97"/>
      <c r="C2403" s="110"/>
      <c r="D2403" s="109"/>
      <c r="E2403" s="97"/>
      <c r="F2403" s="97"/>
      <c r="G2403" s="109"/>
      <c r="H2403" s="109"/>
      <c r="I2403" s="97"/>
      <c r="J2403" s="97"/>
      <c r="K2403" s="83"/>
      <c r="L2403" s="111"/>
      <c r="M2403" s="111"/>
      <c r="N2403" s="111"/>
      <c r="O2403" s="111"/>
      <c r="P2403" s="111"/>
      <c r="Q2403" s="111"/>
      <c r="R2403" s="111"/>
    </row>
    <row r="2404" spans="2:18" s="108" customFormat="1">
      <c r="B2404" s="97"/>
      <c r="C2404" s="110"/>
      <c r="D2404" s="109"/>
      <c r="E2404" s="97"/>
      <c r="F2404" s="97"/>
      <c r="G2404" s="109"/>
      <c r="H2404" s="109"/>
      <c r="I2404" s="97"/>
      <c r="J2404" s="97"/>
      <c r="K2404" s="83"/>
      <c r="L2404" s="111"/>
      <c r="M2404" s="111"/>
      <c r="N2404" s="111"/>
      <c r="O2404" s="111"/>
      <c r="P2404" s="111"/>
      <c r="Q2404" s="111"/>
      <c r="R2404" s="111"/>
    </row>
    <row r="2405" spans="2:18" s="108" customFormat="1">
      <c r="B2405" s="97"/>
      <c r="C2405" s="110"/>
      <c r="D2405" s="109"/>
      <c r="E2405" s="97"/>
      <c r="F2405" s="97"/>
      <c r="G2405" s="109"/>
      <c r="H2405" s="109"/>
      <c r="I2405" s="97"/>
      <c r="J2405" s="97"/>
      <c r="K2405" s="83"/>
      <c r="L2405" s="111"/>
      <c r="M2405" s="111"/>
      <c r="N2405" s="111"/>
      <c r="O2405" s="111"/>
      <c r="P2405" s="111"/>
      <c r="Q2405" s="111"/>
      <c r="R2405" s="111"/>
    </row>
    <row r="2406" spans="2:18" s="108" customFormat="1">
      <c r="B2406" s="97"/>
      <c r="C2406" s="110"/>
      <c r="D2406" s="109"/>
      <c r="E2406" s="97"/>
      <c r="F2406" s="97"/>
      <c r="G2406" s="109"/>
      <c r="H2406" s="109"/>
      <c r="I2406" s="97"/>
      <c r="J2406" s="97"/>
      <c r="K2406" s="83"/>
      <c r="L2406" s="111"/>
      <c r="M2406" s="111"/>
      <c r="N2406" s="111"/>
      <c r="O2406" s="111"/>
      <c r="P2406" s="111"/>
      <c r="Q2406" s="111"/>
      <c r="R2406" s="111"/>
    </row>
    <row r="2407" spans="2:18" s="108" customFormat="1">
      <c r="B2407" s="97"/>
      <c r="C2407" s="110"/>
      <c r="D2407" s="109"/>
      <c r="E2407" s="97"/>
      <c r="F2407" s="97"/>
      <c r="G2407" s="109"/>
      <c r="H2407" s="109"/>
      <c r="I2407" s="97"/>
      <c r="J2407" s="97"/>
      <c r="K2407" s="83"/>
      <c r="L2407" s="111"/>
      <c r="M2407" s="111"/>
      <c r="N2407" s="111"/>
      <c r="O2407" s="111"/>
      <c r="P2407" s="111"/>
      <c r="Q2407" s="111"/>
      <c r="R2407" s="111"/>
    </row>
    <row r="2408" spans="2:18" s="108" customFormat="1">
      <c r="B2408" s="97"/>
      <c r="C2408" s="110"/>
      <c r="D2408" s="109"/>
      <c r="E2408" s="97"/>
      <c r="F2408" s="97"/>
      <c r="G2408" s="109"/>
      <c r="H2408" s="109"/>
      <c r="I2408" s="97"/>
      <c r="J2408" s="97"/>
      <c r="K2408" s="83"/>
      <c r="L2408" s="111"/>
      <c r="M2408" s="111"/>
      <c r="N2408" s="111"/>
      <c r="O2408" s="111"/>
      <c r="P2408" s="111"/>
      <c r="Q2408" s="111"/>
      <c r="R2408" s="111"/>
    </row>
    <row r="2409" spans="2:18" s="108" customFormat="1">
      <c r="B2409" s="97"/>
      <c r="C2409" s="110"/>
      <c r="D2409" s="109"/>
      <c r="E2409" s="97"/>
      <c r="F2409" s="97"/>
      <c r="G2409" s="109"/>
      <c r="H2409" s="109"/>
      <c r="I2409" s="97"/>
      <c r="J2409" s="97"/>
      <c r="K2409" s="83"/>
      <c r="L2409" s="111"/>
      <c r="M2409" s="111"/>
      <c r="N2409" s="111"/>
      <c r="O2409" s="111"/>
      <c r="P2409" s="111"/>
      <c r="Q2409" s="111"/>
      <c r="R2409" s="111"/>
    </row>
    <row r="2410" spans="2:18" s="108" customFormat="1">
      <c r="B2410" s="97"/>
      <c r="C2410" s="110"/>
      <c r="D2410" s="109"/>
      <c r="E2410" s="97"/>
      <c r="F2410" s="97"/>
      <c r="G2410" s="109"/>
      <c r="H2410" s="109"/>
      <c r="I2410" s="97"/>
      <c r="J2410" s="97"/>
      <c r="K2410" s="83"/>
      <c r="L2410" s="111"/>
      <c r="M2410" s="111"/>
      <c r="N2410" s="111"/>
      <c r="O2410" s="111"/>
      <c r="P2410" s="111"/>
      <c r="Q2410" s="111"/>
      <c r="R2410" s="111"/>
    </row>
    <row r="2411" spans="2:18" s="108" customFormat="1">
      <c r="B2411" s="97"/>
      <c r="C2411" s="110"/>
      <c r="D2411" s="109"/>
      <c r="E2411" s="97"/>
      <c r="F2411" s="97"/>
      <c r="G2411" s="109"/>
      <c r="H2411" s="109"/>
      <c r="I2411" s="97"/>
      <c r="J2411" s="97"/>
      <c r="K2411" s="83"/>
      <c r="L2411" s="111"/>
      <c r="M2411" s="111"/>
      <c r="N2411" s="111"/>
      <c r="O2411" s="111"/>
      <c r="P2411" s="111"/>
      <c r="Q2411" s="111"/>
      <c r="R2411" s="111"/>
    </row>
    <row r="2412" spans="2:18" s="108" customFormat="1">
      <c r="B2412" s="97"/>
      <c r="C2412" s="110"/>
      <c r="D2412" s="109"/>
      <c r="E2412" s="97"/>
      <c r="F2412" s="97"/>
      <c r="G2412" s="109"/>
      <c r="H2412" s="109"/>
      <c r="I2412" s="97"/>
      <c r="J2412" s="97"/>
      <c r="K2412" s="83"/>
      <c r="L2412" s="111"/>
      <c r="M2412" s="111"/>
      <c r="N2412" s="111"/>
      <c r="O2412" s="111"/>
      <c r="P2412" s="111"/>
      <c r="Q2412" s="111"/>
      <c r="R2412" s="111"/>
    </row>
    <row r="2413" spans="2:18" s="108" customFormat="1">
      <c r="B2413" s="97"/>
      <c r="C2413" s="110"/>
      <c r="D2413" s="109"/>
      <c r="E2413" s="97"/>
      <c r="F2413" s="97"/>
      <c r="G2413" s="109"/>
      <c r="H2413" s="109"/>
      <c r="I2413" s="97"/>
      <c r="J2413" s="97"/>
      <c r="K2413" s="83"/>
      <c r="L2413" s="111"/>
      <c r="M2413" s="111"/>
      <c r="N2413" s="111"/>
      <c r="O2413" s="111"/>
      <c r="P2413" s="111"/>
      <c r="Q2413" s="111"/>
      <c r="R2413" s="111"/>
    </row>
    <row r="2414" spans="2:18" s="108" customFormat="1">
      <c r="B2414" s="97"/>
      <c r="C2414" s="110"/>
      <c r="D2414" s="109"/>
      <c r="E2414" s="97"/>
      <c r="F2414" s="97"/>
      <c r="G2414" s="109"/>
      <c r="H2414" s="109"/>
      <c r="I2414" s="97"/>
      <c r="J2414" s="97"/>
      <c r="K2414" s="83"/>
      <c r="L2414" s="111"/>
      <c r="M2414" s="111"/>
      <c r="N2414" s="111"/>
      <c r="O2414" s="111"/>
      <c r="P2414" s="111"/>
      <c r="Q2414" s="111"/>
      <c r="R2414" s="111"/>
    </row>
    <row r="2415" spans="2:18" s="108" customFormat="1">
      <c r="B2415" s="97"/>
      <c r="C2415" s="110"/>
      <c r="D2415" s="109"/>
      <c r="E2415" s="97"/>
      <c r="F2415" s="97"/>
      <c r="G2415" s="109"/>
      <c r="H2415" s="109"/>
      <c r="I2415" s="97"/>
      <c r="J2415" s="97"/>
      <c r="K2415" s="83"/>
      <c r="L2415" s="111"/>
      <c r="M2415" s="111"/>
      <c r="N2415" s="111"/>
      <c r="O2415" s="111"/>
      <c r="P2415" s="111"/>
      <c r="Q2415" s="111"/>
      <c r="R2415" s="111"/>
    </row>
    <row r="2416" spans="2:18" s="108" customFormat="1">
      <c r="B2416" s="97"/>
      <c r="C2416" s="110"/>
      <c r="D2416" s="109"/>
      <c r="E2416" s="97"/>
      <c r="F2416" s="97"/>
      <c r="G2416" s="109"/>
      <c r="H2416" s="109"/>
      <c r="I2416" s="97"/>
      <c r="J2416" s="97"/>
      <c r="K2416" s="83"/>
      <c r="L2416" s="111"/>
      <c r="M2416" s="111"/>
      <c r="N2416" s="111"/>
      <c r="O2416" s="111"/>
      <c r="P2416" s="111"/>
      <c r="Q2416" s="111"/>
      <c r="R2416" s="111"/>
    </row>
    <row r="2417" spans="2:18" s="108" customFormat="1">
      <c r="B2417" s="97"/>
      <c r="C2417" s="110"/>
      <c r="D2417" s="109"/>
      <c r="E2417" s="97"/>
      <c r="F2417" s="97"/>
      <c r="G2417" s="109"/>
      <c r="H2417" s="109"/>
      <c r="I2417" s="97"/>
      <c r="J2417" s="97"/>
      <c r="K2417" s="83"/>
      <c r="L2417" s="111"/>
      <c r="M2417" s="111"/>
      <c r="N2417" s="111"/>
      <c r="O2417" s="111"/>
      <c r="P2417" s="111"/>
      <c r="Q2417" s="111"/>
      <c r="R2417" s="111"/>
    </row>
    <row r="2418" spans="2:18" s="108" customFormat="1">
      <c r="B2418" s="97"/>
      <c r="C2418" s="110"/>
      <c r="D2418" s="109"/>
      <c r="E2418" s="97"/>
      <c r="F2418" s="97"/>
      <c r="G2418" s="109"/>
      <c r="H2418" s="109"/>
      <c r="I2418" s="97"/>
      <c r="J2418" s="97"/>
      <c r="K2418" s="83"/>
      <c r="L2418" s="111"/>
      <c r="M2418" s="111"/>
      <c r="N2418" s="111"/>
      <c r="O2418" s="111"/>
      <c r="P2418" s="111"/>
      <c r="Q2418" s="111"/>
      <c r="R2418" s="111"/>
    </row>
    <row r="2419" spans="2:18" s="108" customFormat="1">
      <c r="B2419" s="97"/>
      <c r="C2419" s="110"/>
      <c r="D2419" s="109"/>
      <c r="E2419" s="97"/>
      <c r="F2419" s="97"/>
      <c r="G2419" s="109"/>
      <c r="H2419" s="109"/>
      <c r="I2419" s="97"/>
      <c r="J2419" s="97"/>
      <c r="K2419" s="83"/>
      <c r="L2419" s="111"/>
      <c r="M2419" s="111"/>
      <c r="N2419" s="111"/>
      <c r="O2419" s="111"/>
      <c r="P2419" s="111"/>
      <c r="Q2419" s="111"/>
      <c r="R2419" s="111"/>
    </row>
    <row r="2420" spans="2:18" s="108" customFormat="1">
      <c r="B2420" s="97"/>
      <c r="C2420" s="110"/>
      <c r="D2420" s="109"/>
      <c r="E2420" s="97"/>
      <c r="F2420" s="97"/>
      <c r="G2420" s="109"/>
      <c r="H2420" s="109"/>
      <c r="I2420" s="97"/>
      <c r="J2420" s="97"/>
      <c r="K2420" s="83"/>
      <c r="L2420" s="111"/>
      <c r="M2420" s="111"/>
      <c r="N2420" s="111"/>
      <c r="O2420" s="111"/>
      <c r="P2420" s="111"/>
      <c r="Q2420" s="111"/>
      <c r="R2420" s="111"/>
    </row>
    <row r="2421" spans="2:18" s="108" customFormat="1">
      <c r="B2421" s="97"/>
      <c r="C2421" s="110"/>
      <c r="D2421" s="109"/>
      <c r="E2421" s="97"/>
      <c r="F2421" s="97"/>
      <c r="G2421" s="109"/>
      <c r="H2421" s="109"/>
      <c r="I2421" s="97"/>
      <c r="J2421" s="97"/>
      <c r="K2421" s="83"/>
      <c r="L2421" s="111"/>
      <c r="M2421" s="111"/>
      <c r="N2421" s="111"/>
      <c r="O2421" s="111"/>
      <c r="P2421" s="111"/>
      <c r="Q2421" s="111"/>
      <c r="R2421" s="111"/>
    </row>
    <row r="2422" spans="2:18" s="108" customFormat="1">
      <c r="B2422" s="97"/>
      <c r="C2422" s="110"/>
      <c r="D2422" s="109"/>
      <c r="E2422" s="97"/>
      <c r="F2422" s="97"/>
      <c r="G2422" s="109"/>
      <c r="H2422" s="109"/>
      <c r="I2422" s="97"/>
      <c r="J2422" s="97"/>
      <c r="K2422" s="83"/>
      <c r="L2422" s="111"/>
      <c r="M2422" s="111"/>
      <c r="N2422" s="111"/>
      <c r="O2422" s="111"/>
      <c r="P2422" s="111"/>
      <c r="Q2422" s="111"/>
      <c r="R2422" s="111"/>
    </row>
    <row r="2423" spans="2:18" s="108" customFormat="1">
      <c r="B2423" s="97"/>
      <c r="C2423" s="110"/>
      <c r="D2423" s="109"/>
      <c r="E2423" s="97"/>
      <c r="F2423" s="97"/>
      <c r="G2423" s="109"/>
      <c r="H2423" s="109"/>
      <c r="I2423" s="97"/>
      <c r="J2423" s="97"/>
      <c r="K2423" s="83"/>
      <c r="L2423" s="111"/>
      <c r="M2423" s="111"/>
      <c r="N2423" s="111"/>
      <c r="O2423" s="111"/>
      <c r="P2423" s="111"/>
      <c r="Q2423" s="111"/>
      <c r="R2423" s="111"/>
    </row>
    <row r="2424" spans="2:18" s="108" customFormat="1">
      <c r="B2424" s="97"/>
      <c r="C2424" s="110"/>
      <c r="D2424" s="109"/>
      <c r="E2424" s="97"/>
      <c r="F2424" s="97"/>
      <c r="G2424" s="109"/>
      <c r="H2424" s="109"/>
      <c r="I2424" s="97"/>
      <c r="J2424" s="97"/>
      <c r="K2424" s="83"/>
      <c r="L2424" s="111"/>
      <c r="M2424" s="111"/>
      <c r="N2424" s="111"/>
      <c r="O2424" s="111"/>
      <c r="P2424" s="111"/>
      <c r="Q2424" s="111"/>
      <c r="R2424" s="111"/>
    </row>
    <row r="2425" spans="2:18" s="108" customFormat="1">
      <c r="B2425" s="97"/>
      <c r="C2425" s="110"/>
      <c r="D2425" s="109"/>
      <c r="E2425" s="97"/>
      <c r="F2425" s="97"/>
      <c r="G2425" s="109"/>
      <c r="H2425" s="109"/>
      <c r="I2425" s="97"/>
      <c r="J2425" s="97"/>
      <c r="K2425" s="83"/>
      <c r="L2425" s="111"/>
      <c r="M2425" s="111"/>
      <c r="N2425" s="111"/>
      <c r="O2425" s="111"/>
      <c r="P2425" s="111"/>
      <c r="Q2425" s="111"/>
      <c r="R2425" s="111"/>
    </row>
    <row r="2426" spans="2:18" s="108" customFormat="1">
      <c r="B2426" s="97"/>
      <c r="C2426" s="110"/>
      <c r="D2426" s="109"/>
      <c r="E2426" s="97"/>
      <c r="F2426" s="97"/>
      <c r="G2426" s="109"/>
      <c r="H2426" s="109"/>
      <c r="I2426" s="97"/>
      <c r="J2426" s="97"/>
      <c r="K2426" s="83"/>
      <c r="L2426" s="111"/>
      <c r="M2426" s="111"/>
      <c r="N2426" s="111"/>
      <c r="O2426" s="111"/>
      <c r="P2426" s="111"/>
      <c r="Q2426" s="111"/>
      <c r="R2426" s="111"/>
    </row>
    <row r="2427" spans="2:18" s="108" customFormat="1">
      <c r="B2427" s="97"/>
      <c r="C2427" s="110"/>
      <c r="D2427" s="109"/>
      <c r="E2427" s="97"/>
      <c r="F2427" s="97"/>
      <c r="G2427" s="109"/>
      <c r="H2427" s="109"/>
      <c r="I2427" s="97"/>
      <c r="J2427" s="97"/>
      <c r="K2427" s="83"/>
      <c r="L2427" s="111"/>
      <c r="M2427" s="111"/>
      <c r="N2427" s="111"/>
      <c r="O2427" s="111"/>
      <c r="P2427" s="111"/>
      <c r="Q2427" s="111"/>
      <c r="R2427" s="111"/>
    </row>
    <row r="2428" spans="2:18" s="108" customFormat="1">
      <c r="B2428" s="97"/>
      <c r="C2428" s="110"/>
      <c r="D2428" s="109"/>
      <c r="E2428" s="97"/>
      <c r="F2428" s="97"/>
      <c r="G2428" s="109"/>
      <c r="H2428" s="109"/>
      <c r="I2428" s="97"/>
      <c r="J2428" s="97"/>
      <c r="K2428" s="83"/>
      <c r="L2428" s="111"/>
      <c r="M2428" s="111"/>
      <c r="N2428" s="111"/>
      <c r="O2428" s="111"/>
      <c r="P2428" s="111"/>
      <c r="Q2428" s="111"/>
      <c r="R2428" s="111"/>
    </row>
    <row r="2429" spans="2:18" s="108" customFormat="1">
      <c r="B2429" s="97"/>
      <c r="C2429" s="110"/>
      <c r="D2429" s="109"/>
      <c r="E2429" s="97"/>
      <c r="F2429" s="97"/>
      <c r="G2429" s="109"/>
      <c r="H2429" s="109"/>
      <c r="I2429" s="97"/>
      <c r="J2429" s="97"/>
      <c r="K2429" s="83"/>
      <c r="L2429" s="111"/>
      <c r="M2429" s="111"/>
      <c r="N2429" s="111"/>
      <c r="O2429" s="111"/>
      <c r="P2429" s="111"/>
      <c r="Q2429" s="111"/>
      <c r="R2429" s="111"/>
    </row>
    <row r="2430" spans="2:18" s="108" customFormat="1">
      <c r="B2430" s="97"/>
      <c r="C2430" s="110"/>
      <c r="D2430" s="109"/>
      <c r="E2430" s="97"/>
      <c r="F2430" s="97"/>
      <c r="G2430" s="109"/>
      <c r="H2430" s="109"/>
      <c r="I2430" s="97"/>
      <c r="J2430" s="97"/>
      <c r="K2430" s="83"/>
      <c r="L2430" s="111"/>
      <c r="M2430" s="111"/>
      <c r="N2430" s="111"/>
      <c r="O2430" s="111"/>
      <c r="P2430" s="111"/>
      <c r="Q2430" s="111"/>
      <c r="R2430" s="111"/>
    </row>
    <row r="2431" spans="2:18" s="108" customFormat="1">
      <c r="B2431" s="97"/>
      <c r="C2431" s="110"/>
      <c r="D2431" s="109"/>
      <c r="E2431" s="97"/>
      <c r="F2431" s="97"/>
      <c r="G2431" s="109"/>
      <c r="H2431" s="109"/>
      <c r="I2431" s="97"/>
      <c r="J2431" s="97"/>
      <c r="K2431" s="83"/>
      <c r="L2431" s="111"/>
      <c r="M2431" s="111"/>
      <c r="N2431" s="111"/>
      <c r="O2431" s="111"/>
      <c r="P2431" s="111"/>
      <c r="Q2431" s="111"/>
      <c r="R2431" s="111"/>
    </row>
    <row r="2432" spans="2:18" s="108" customFormat="1">
      <c r="B2432" s="97"/>
      <c r="C2432" s="110"/>
      <c r="D2432" s="109"/>
      <c r="E2432" s="97"/>
      <c r="F2432" s="97"/>
      <c r="G2432" s="109"/>
      <c r="H2432" s="109"/>
      <c r="I2432" s="97"/>
      <c r="J2432" s="97"/>
      <c r="K2432" s="83"/>
      <c r="L2432" s="111"/>
      <c r="M2432" s="111"/>
      <c r="N2432" s="111"/>
      <c r="O2432" s="111"/>
      <c r="P2432" s="111"/>
      <c r="Q2432" s="111"/>
      <c r="R2432" s="111"/>
    </row>
    <row r="2433" spans="2:18" s="108" customFormat="1">
      <c r="B2433" s="97"/>
      <c r="C2433" s="110"/>
      <c r="D2433" s="109"/>
      <c r="E2433" s="97"/>
      <c r="F2433" s="97"/>
      <c r="G2433" s="109"/>
      <c r="H2433" s="109"/>
      <c r="I2433" s="97"/>
      <c r="J2433" s="97"/>
      <c r="K2433" s="83"/>
      <c r="L2433" s="111"/>
      <c r="M2433" s="111"/>
      <c r="N2433" s="111"/>
      <c r="O2433" s="111"/>
      <c r="P2433" s="111"/>
      <c r="Q2433" s="111"/>
      <c r="R2433" s="111"/>
    </row>
    <row r="2434" spans="2:18" s="108" customFormat="1">
      <c r="B2434" s="97"/>
      <c r="C2434" s="110"/>
      <c r="D2434" s="109"/>
      <c r="E2434" s="97"/>
      <c r="F2434" s="97"/>
      <c r="G2434" s="109"/>
      <c r="H2434" s="109"/>
      <c r="I2434" s="97"/>
      <c r="J2434" s="97"/>
      <c r="K2434" s="83"/>
      <c r="L2434" s="111"/>
      <c r="M2434" s="111"/>
      <c r="N2434" s="111"/>
      <c r="O2434" s="111"/>
      <c r="P2434" s="111"/>
      <c r="Q2434" s="111"/>
      <c r="R2434" s="111"/>
    </row>
    <row r="2435" spans="2:18" s="108" customFormat="1">
      <c r="B2435" s="97"/>
      <c r="C2435" s="110"/>
      <c r="D2435" s="109"/>
      <c r="E2435" s="97"/>
      <c r="F2435" s="97"/>
      <c r="G2435" s="109"/>
      <c r="H2435" s="109"/>
      <c r="I2435" s="97"/>
      <c r="J2435" s="97"/>
      <c r="K2435" s="83"/>
      <c r="L2435" s="111"/>
      <c r="M2435" s="111"/>
      <c r="N2435" s="111"/>
      <c r="O2435" s="111"/>
      <c r="P2435" s="111"/>
      <c r="Q2435" s="111"/>
      <c r="R2435" s="111"/>
    </row>
    <row r="2436" spans="2:18" s="108" customFormat="1">
      <c r="B2436" s="97"/>
      <c r="C2436" s="110"/>
      <c r="D2436" s="109"/>
      <c r="E2436" s="97"/>
      <c r="F2436" s="97"/>
      <c r="G2436" s="109"/>
      <c r="H2436" s="109"/>
      <c r="I2436" s="97"/>
      <c r="J2436" s="97"/>
      <c r="K2436" s="83"/>
      <c r="L2436" s="111"/>
      <c r="M2436" s="111"/>
      <c r="N2436" s="111"/>
      <c r="O2436" s="111"/>
      <c r="P2436" s="111"/>
      <c r="Q2436" s="111"/>
      <c r="R2436" s="111"/>
    </row>
    <row r="2437" spans="2:18" s="108" customFormat="1">
      <c r="B2437" s="97"/>
      <c r="C2437" s="110"/>
      <c r="D2437" s="109"/>
      <c r="E2437" s="97"/>
      <c r="F2437" s="97"/>
      <c r="G2437" s="109"/>
      <c r="H2437" s="109"/>
      <c r="I2437" s="97"/>
      <c r="J2437" s="97"/>
      <c r="K2437" s="83"/>
      <c r="L2437" s="111"/>
      <c r="M2437" s="111"/>
      <c r="N2437" s="111"/>
      <c r="O2437" s="111"/>
      <c r="P2437" s="111"/>
      <c r="Q2437" s="111"/>
      <c r="R2437" s="111"/>
    </row>
    <row r="2438" spans="2:18" s="108" customFormat="1">
      <c r="B2438" s="97"/>
      <c r="C2438" s="110"/>
      <c r="D2438" s="109"/>
      <c r="E2438" s="97"/>
      <c r="F2438" s="97"/>
      <c r="G2438" s="109"/>
      <c r="H2438" s="109"/>
      <c r="I2438" s="97"/>
      <c r="J2438" s="97"/>
      <c r="K2438" s="83"/>
      <c r="L2438" s="111"/>
      <c r="M2438" s="111"/>
      <c r="N2438" s="111"/>
      <c r="O2438" s="111"/>
      <c r="P2438" s="111"/>
      <c r="Q2438" s="111"/>
      <c r="R2438" s="111"/>
    </row>
    <row r="2439" spans="2:18" s="108" customFormat="1">
      <c r="B2439" s="97"/>
      <c r="C2439" s="110"/>
      <c r="D2439" s="109"/>
      <c r="E2439" s="97"/>
      <c r="F2439" s="97"/>
      <c r="G2439" s="109"/>
      <c r="H2439" s="109"/>
      <c r="I2439" s="97"/>
      <c r="J2439" s="97"/>
      <c r="K2439" s="83"/>
      <c r="L2439" s="111"/>
      <c r="M2439" s="111"/>
      <c r="N2439" s="111"/>
      <c r="O2439" s="111"/>
      <c r="P2439" s="111"/>
      <c r="Q2439" s="111"/>
      <c r="R2439" s="111"/>
    </row>
    <row r="2440" spans="2:18" s="108" customFormat="1">
      <c r="B2440" s="97"/>
      <c r="C2440" s="110"/>
      <c r="D2440" s="109"/>
      <c r="E2440" s="97"/>
      <c r="F2440" s="97"/>
      <c r="G2440" s="109"/>
      <c r="H2440" s="109"/>
      <c r="I2440" s="97"/>
      <c r="J2440" s="97"/>
      <c r="K2440" s="83"/>
      <c r="L2440" s="111"/>
      <c r="M2440" s="111"/>
      <c r="N2440" s="111"/>
      <c r="O2440" s="111"/>
      <c r="P2440" s="111"/>
      <c r="Q2440" s="111"/>
      <c r="R2440" s="111"/>
    </row>
    <row r="2441" spans="2:18" s="108" customFormat="1">
      <c r="B2441" s="97"/>
      <c r="C2441" s="110"/>
      <c r="D2441" s="109"/>
      <c r="E2441" s="97"/>
      <c r="F2441" s="97"/>
      <c r="G2441" s="109"/>
      <c r="H2441" s="109"/>
      <c r="I2441" s="97"/>
      <c r="J2441" s="97"/>
      <c r="K2441" s="83"/>
      <c r="L2441" s="111"/>
      <c r="M2441" s="111"/>
      <c r="N2441" s="111"/>
      <c r="O2441" s="111"/>
      <c r="P2441" s="111"/>
      <c r="Q2441" s="111"/>
      <c r="R2441" s="111"/>
    </row>
    <row r="2442" spans="2:18" s="108" customFormat="1">
      <c r="B2442" s="97"/>
      <c r="C2442" s="110"/>
      <c r="D2442" s="109"/>
      <c r="E2442" s="97"/>
      <c r="F2442" s="97"/>
      <c r="G2442" s="109"/>
      <c r="H2442" s="109"/>
      <c r="I2442" s="97"/>
      <c r="J2442" s="97"/>
      <c r="K2442" s="83"/>
      <c r="L2442" s="111"/>
      <c r="M2442" s="111"/>
      <c r="N2442" s="111"/>
      <c r="O2442" s="111"/>
      <c r="P2442" s="111"/>
      <c r="Q2442" s="111"/>
      <c r="R2442" s="111"/>
    </row>
    <row r="2443" spans="2:18" s="108" customFormat="1">
      <c r="B2443" s="97"/>
      <c r="C2443" s="110"/>
      <c r="D2443" s="109"/>
      <c r="E2443" s="97"/>
      <c r="F2443" s="97"/>
      <c r="G2443" s="109"/>
      <c r="H2443" s="109"/>
      <c r="I2443" s="97"/>
      <c r="J2443" s="97"/>
      <c r="K2443" s="83"/>
      <c r="L2443" s="111"/>
      <c r="M2443" s="111"/>
      <c r="N2443" s="111"/>
      <c r="O2443" s="111"/>
      <c r="P2443" s="111"/>
      <c r="Q2443" s="111"/>
      <c r="R2443" s="111"/>
    </row>
    <row r="2444" spans="2:18" s="108" customFormat="1">
      <c r="B2444" s="97"/>
      <c r="C2444" s="110"/>
      <c r="D2444" s="109"/>
      <c r="E2444" s="97"/>
      <c r="F2444" s="97"/>
      <c r="G2444" s="109"/>
      <c r="H2444" s="109"/>
      <c r="I2444" s="97"/>
      <c r="J2444" s="97"/>
      <c r="K2444" s="83"/>
      <c r="L2444" s="111"/>
      <c r="M2444" s="111"/>
      <c r="N2444" s="111"/>
      <c r="O2444" s="111"/>
      <c r="P2444" s="111"/>
      <c r="Q2444" s="111"/>
      <c r="R2444" s="111"/>
    </row>
    <row r="2445" spans="2:18" s="108" customFormat="1">
      <c r="B2445" s="97"/>
      <c r="C2445" s="110"/>
      <c r="D2445" s="109"/>
      <c r="E2445" s="97"/>
      <c r="F2445" s="97"/>
      <c r="G2445" s="109"/>
      <c r="H2445" s="109"/>
      <c r="I2445" s="97"/>
      <c r="J2445" s="97"/>
      <c r="K2445" s="83"/>
      <c r="L2445" s="111"/>
      <c r="M2445" s="111"/>
      <c r="N2445" s="111"/>
      <c r="O2445" s="111"/>
      <c r="P2445" s="111"/>
      <c r="Q2445" s="111"/>
      <c r="R2445" s="111"/>
    </row>
    <row r="2446" spans="2:18" s="108" customFormat="1">
      <c r="B2446" s="97"/>
      <c r="C2446" s="110"/>
      <c r="D2446" s="109"/>
      <c r="E2446" s="97"/>
      <c r="F2446" s="97"/>
      <c r="G2446" s="109"/>
      <c r="H2446" s="109"/>
      <c r="I2446" s="97"/>
      <c r="J2446" s="97"/>
      <c r="K2446" s="83"/>
      <c r="L2446" s="111"/>
      <c r="M2446" s="111"/>
      <c r="N2446" s="111"/>
      <c r="O2446" s="111"/>
      <c r="P2446" s="111"/>
      <c r="Q2446" s="111"/>
      <c r="R2446" s="111"/>
    </row>
    <row r="2447" spans="2:18" s="108" customFormat="1">
      <c r="B2447" s="97"/>
      <c r="C2447" s="110"/>
      <c r="D2447" s="109"/>
      <c r="E2447" s="97"/>
      <c r="F2447" s="97"/>
      <c r="G2447" s="109"/>
      <c r="H2447" s="109"/>
      <c r="I2447" s="97"/>
      <c r="J2447" s="97"/>
      <c r="K2447" s="83"/>
      <c r="L2447" s="111"/>
      <c r="M2447" s="111"/>
      <c r="N2447" s="111"/>
      <c r="O2447" s="111"/>
      <c r="P2447" s="111"/>
      <c r="Q2447" s="111"/>
      <c r="R2447" s="111"/>
    </row>
    <row r="2448" spans="2:18" s="108" customFormat="1">
      <c r="B2448" s="97"/>
      <c r="C2448" s="110"/>
      <c r="D2448" s="109"/>
      <c r="E2448" s="97"/>
      <c r="F2448" s="97"/>
      <c r="G2448" s="109"/>
      <c r="H2448" s="109"/>
      <c r="I2448" s="97"/>
      <c r="J2448" s="97"/>
      <c r="K2448" s="83"/>
      <c r="L2448" s="111"/>
      <c r="M2448" s="111"/>
      <c r="N2448" s="111"/>
      <c r="O2448" s="111"/>
      <c r="P2448" s="111"/>
      <c r="Q2448" s="111"/>
      <c r="R2448" s="111"/>
    </row>
    <row r="2449" spans="2:18" s="108" customFormat="1">
      <c r="B2449" s="97"/>
      <c r="C2449" s="110"/>
      <c r="D2449" s="109"/>
      <c r="E2449" s="97"/>
      <c r="F2449" s="97"/>
      <c r="G2449" s="109"/>
      <c r="H2449" s="109"/>
      <c r="I2449" s="97"/>
      <c r="J2449" s="97"/>
      <c r="K2449" s="83"/>
      <c r="L2449" s="111"/>
      <c r="M2449" s="111"/>
      <c r="N2449" s="111"/>
      <c r="O2449" s="111"/>
      <c r="P2449" s="111"/>
      <c r="Q2449" s="111"/>
      <c r="R2449" s="111"/>
    </row>
    <row r="2450" spans="2:18" s="108" customFormat="1">
      <c r="B2450" s="97"/>
      <c r="C2450" s="110"/>
      <c r="D2450" s="109"/>
      <c r="E2450" s="97"/>
      <c r="F2450" s="97"/>
      <c r="G2450" s="109"/>
      <c r="H2450" s="109"/>
      <c r="I2450" s="97"/>
      <c r="J2450" s="97"/>
      <c r="K2450" s="83"/>
      <c r="L2450" s="111"/>
      <c r="M2450" s="111"/>
      <c r="N2450" s="111"/>
      <c r="O2450" s="111"/>
      <c r="P2450" s="111"/>
      <c r="Q2450" s="111"/>
      <c r="R2450" s="111"/>
    </row>
    <row r="2451" spans="2:18" s="108" customFormat="1">
      <c r="B2451" s="97"/>
      <c r="C2451" s="110"/>
      <c r="D2451" s="109"/>
      <c r="E2451" s="97"/>
      <c r="F2451" s="97"/>
      <c r="G2451" s="109"/>
      <c r="H2451" s="109"/>
      <c r="I2451" s="97"/>
      <c r="J2451" s="97"/>
      <c r="K2451" s="83"/>
      <c r="L2451" s="111"/>
      <c r="M2451" s="111"/>
      <c r="N2451" s="111"/>
      <c r="O2451" s="111"/>
      <c r="P2451" s="111"/>
      <c r="Q2451" s="111"/>
      <c r="R2451" s="111"/>
    </row>
    <row r="2452" spans="2:18" s="108" customFormat="1">
      <c r="B2452" s="97"/>
      <c r="C2452" s="110"/>
      <c r="D2452" s="109"/>
      <c r="E2452" s="97"/>
      <c r="F2452" s="97"/>
      <c r="G2452" s="109"/>
      <c r="H2452" s="109"/>
      <c r="I2452" s="97"/>
      <c r="J2452" s="97"/>
      <c r="K2452" s="83"/>
      <c r="L2452" s="111"/>
      <c r="M2452" s="111"/>
      <c r="N2452" s="111"/>
      <c r="O2452" s="111"/>
      <c r="P2452" s="111"/>
      <c r="Q2452" s="111"/>
      <c r="R2452" s="111"/>
    </row>
    <row r="2453" spans="2:18" s="108" customFormat="1">
      <c r="B2453" s="97"/>
      <c r="C2453" s="110"/>
      <c r="D2453" s="109"/>
      <c r="E2453" s="97"/>
      <c r="F2453" s="97"/>
      <c r="G2453" s="109"/>
      <c r="H2453" s="109"/>
      <c r="I2453" s="97"/>
      <c r="J2453" s="97"/>
      <c r="K2453" s="83"/>
      <c r="L2453" s="111"/>
      <c r="M2453" s="111"/>
      <c r="N2453" s="111"/>
      <c r="O2453" s="111"/>
      <c r="P2453" s="111"/>
      <c r="Q2453" s="111"/>
      <c r="R2453" s="111"/>
    </row>
    <row r="2454" spans="2:18" s="108" customFormat="1">
      <c r="B2454" s="97"/>
      <c r="C2454" s="110"/>
      <c r="D2454" s="109"/>
      <c r="E2454" s="97"/>
      <c r="F2454" s="97"/>
      <c r="G2454" s="109"/>
      <c r="H2454" s="109"/>
      <c r="I2454" s="97"/>
      <c r="J2454" s="97"/>
      <c r="K2454" s="83"/>
      <c r="L2454" s="111"/>
      <c r="M2454" s="111"/>
      <c r="N2454" s="111"/>
      <c r="O2454" s="111"/>
      <c r="P2454" s="111"/>
      <c r="Q2454" s="111"/>
      <c r="R2454" s="111"/>
    </row>
    <row r="2455" spans="2:18" s="108" customFormat="1">
      <c r="B2455" s="97"/>
      <c r="C2455" s="110"/>
      <c r="D2455" s="109"/>
      <c r="E2455" s="97"/>
      <c r="F2455" s="97"/>
      <c r="G2455" s="109"/>
      <c r="H2455" s="109"/>
      <c r="I2455" s="97"/>
      <c r="J2455" s="97"/>
      <c r="K2455" s="83"/>
      <c r="L2455" s="111"/>
      <c r="M2455" s="111"/>
      <c r="N2455" s="111"/>
      <c r="O2455" s="111"/>
      <c r="P2455" s="111"/>
      <c r="Q2455" s="111"/>
      <c r="R2455" s="111"/>
    </row>
    <row r="2456" spans="2:18" s="108" customFormat="1">
      <c r="B2456" s="97"/>
      <c r="C2456" s="110"/>
      <c r="D2456" s="109"/>
      <c r="E2456" s="97"/>
      <c r="F2456" s="97"/>
      <c r="G2456" s="109"/>
      <c r="H2456" s="109"/>
      <c r="I2456" s="97"/>
      <c r="J2456" s="97"/>
      <c r="K2456" s="83"/>
      <c r="L2456" s="111"/>
      <c r="M2456" s="111"/>
      <c r="N2456" s="111"/>
      <c r="O2456" s="111"/>
      <c r="P2456" s="111"/>
      <c r="Q2456" s="111"/>
      <c r="R2456" s="111"/>
    </row>
    <row r="2457" spans="2:18" s="108" customFormat="1">
      <c r="B2457" s="97"/>
      <c r="C2457" s="110"/>
      <c r="D2457" s="109"/>
      <c r="E2457" s="97"/>
      <c r="F2457" s="97"/>
      <c r="G2457" s="109"/>
      <c r="H2457" s="109"/>
      <c r="I2457" s="97"/>
      <c r="J2457" s="97"/>
      <c r="K2457" s="83"/>
      <c r="L2457" s="111"/>
      <c r="M2457" s="111"/>
      <c r="N2457" s="111"/>
      <c r="O2457" s="111"/>
      <c r="P2457" s="111"/>
      <c r="Q2457" s="111"/>
      <c r="R2457" s="111"/>
    </row>
    <row r="2458" spans="2:18" s="108" customFormat="1">
      <c r="B2458" s="97"/>
      <c r="C2458" s="110"/>
      <c r="D2458" s="109"/>
      <c r="E2458" s="97"/>
      <c r="F2458" s="97"/>
      <c r="G2458" s="109"/>
      <c r="H2458" s="109"/>
      <c r="I2458" s="97"/>
      <c r="J2458" s="97"/>
      <c r="K2458" s="83"/>
      <c r="L2458" s="111"/>
      <c r="M2458" s="111"/>
      <c r="N2458" s="111"/>
      <c r="O2458" s="111"/>
      <c r="P2458" s="111"/>
      <c r="Q2458" s="111"/>
      <c r="R2458" s="111"/>
    </row>
    <row r="2459" spans="2:18" s="108" customFormat="1">
      <c r="B2459" s="97"/>
      <c r="C2459" s="110"/>
      <c r="D2459" s="109"/>
      <c r="E2459" s="97"/>
      <c r="F2459" s="97"/>
      <c r="G2459" s="109"/>
      <c r="H2459" s="109"/>
      <c r="I2459" s="97"/>
      <c r="J2459" s="97"/>
      <c r="K2459" s="83"/>
      <c r="L2459" s="111"/>
      <c r="M2459" s="111"/>
      <c r="N2459" s="111"/>
      <c r="O2459" s="111"/>
      <c r="P2459" s="111"/>
      <c r="Q2459" s="111"/>
      <c r="R2459" s="111"/>
    </row>
    <row r="2460" spans="2:18" s="108" customFormat="1">
      <c r="B2460" s="97"/>
      <c r="C2460" s="110"/>
      <c r="D2460" s="109"/>
      <c r="E2460" s="97"/>
      <c r="F2460" s="97"/>
      <c r="G2460" s="109"/>
      <c r="H2460" s="109"/>
      <c r="I2460" s="97"/>
      <c r="J2460" s="97"/>
      <c r="K2460" s="83"/>
      <c r="L2460" s="111"/>
      <c r="M2460" s="111"/>
      <c r="N2460" s="111"/>
      <c r="O2460" s="111"/>
      <c r="P2460" s="111"/>
      <c r="Q2460" s="111"/>
      <c r="R2460" s="111"/>
    </row>
    <row r="2461" spans="2:18" s="108" customFormat="1">
      <c r="B2461" s="97"/>
      <c r="C2461" s="110"/>
      <c r="D2461" s="109"/>
      <c r="E2461" s="97"/>
      <c r="F2461" s="97"/>
      <c r="G2461" s="109"/>
      <c r="H2461" s="109"/>
      <c r="I2461" s="97"/>
      <c r="J2461" s="97"/>
      <c r="K2461" s="83"/>
      <c r="L2461" s="111"/>
      <c r="M2461" s="111"/>
      <c r="N2461" s="111"/>
      <c r="O2461" s="111"/>
      <c r="P2461" s="111"/>
      <c r="Q2461" s="111"/>
      <c r="R2461" s="111"/>
    </row>
    <row r="2462" spans="2:18" s="108" customFormat="1">
      <c r="B2462" s="97"/>
      <c r="C2462" s="110"/>
      <c r="D2462" s="109"/>
      <c r="E2462" s="97"/>
      <c r="F2462" s="97"/>
      <c r="G2462" s="109"/>
      <c r="H2462" s="109"/>
      <c r="I2462" s="97"/>
      <c r="J2462" s="97"/>
      <c r="K2462" s="83"/>
      <c r="L2462" s="111"/>
      <c r="M2462" s="111"/>
      <c r="N2462" s="111"/>
      <c r="O2462" s="111"/>
      <c r="P2462" s="111"/>
      <c r="Q2462" s="111"/>
      <c r="R2462" s="111"/>
    </row>
    <row r="2463" spans="2:18" s="108" customFormat="1">
      <c r="B2463" s="97"/>
      <c r="C2463" s="110"/>
      <c r="D2463" s="109"/>
      <c r="E2463" s="97"/>
      <c r="F2463" s="97"/>
      <c r="G2463" s="109"/>
      <c r="H2463" s="109"/>
      <c r="I2463" s="97"/>
      <c r="J2463" s="97"/>
      <c r="K2463" s="83"/>
      <c r="L2463" s="111"/>
      <c r="M2463" s="111"/>
      <c r="N2463" s="111"/>
      <c r="O2463" s="111"/>
      <c r="P2463" s="111"/>
      <c r="Q2463" s="111"/>
      <c r="R2463" s="111"/>
    </row>
    <row r="2464" spans="2:18" s="108" customFormat="1">
      <c r="B2464" s="97"/>
      <c r="C2464" s="110"/>
      <c r="D2464" s="109"/>
      <c r="E2464" s="97"/>
      <c r="F2464" s="97"/>
      <c r="G2464" s="109"/>
      <c r="H2464" s="109"/>
      <c r="I2464" s="97"/>
      <c r="J2464" s="97"/>
      <c r="K2464" s="83"/>
      <c r="L2464" s="111"/>
      <c r="M2464" s="111"/>
      <c r="N2464" s="111"/>
      <c r="O2464" s="111"/>
      <c r="P2464" s="111"/>
      <c r="Q2464" s="111"/>
      <c r="R2464" s="111"/>
    </row>
    <row r="2465" spans="2:18" s="108" customFormat="1">
      <c r="B2465" s="97"/>
      <c r="C2465" s="110"/>
      <c r="D2465" s="109"/>
      <c r="E2465" s="97"/>
      <c r="F2465" s="97"/>
      <c r="G2465" s="109"/>
      <c r="H2465" s="109"/>
      <c r="I2465" s="97"/>
      <c r="J2465" s="97"/>
      <c r="K2465" s="83"/>
      <c r="L2465" s="111"/>
      <c r="M2465" s="111"/>
      <c r="N2465" s="111"/>
      <c r="O2465" s="111"/>
      <c r="P2465" s="111"/>
      <c r="Q2465" s="111"/>
      <c r="R2465" s="111"/>
    </row>
    <row r="2466" spans="2:18" s="108" customFormat="1">
      <c r="B2466" s="97"/>
      <c r="C2466" s="110"/>
      <c r="D2466" s="109"/>
      <c r="E2466" s="97"/>
      <c r="F2466" s="97"/>
      <c r="G2466" s="109"/>
      <c r="H2466" s="109"/>
      <c r="I2466" s="97"/>
      <c r="J2466" s="97"/>
      <c r="K2466" s="83"/>
      <c r="L2466" s="111"/>
      <c r="M2466" s="111"/>
      <c r="N2466" s="111"/>
      <c r="O2466" s="111"/>
      <c r="P2466" s="111"/>
      <c r="Q2466" s="111"/>
      <c r="R2466" s="111"/>
    </row>
    <row r="2467" spans="2:18" s="108" customFormat="1">
      <c r="B2467" s="97"/>
      <c r="C2467" s="110"/>
      <c r="D2467" s="109"/>
      <c r="E2467" s="97"/>
      <c r="F2467" s="97"/>
      <c r="G2467" s="109"/>
      <c r="H2467" s="109"/>
      <c r="I2467" s="97"/>
      <c r="J2467" s="97"/>
      <c r="K2467" s="83"/>
      <c r="L2467" s="111"/>
      <c r="M2467" s="111"/>
      <c r="N2467" s="111"/>
      <c r="O2467" s="111"/>
      <c r="P2467" s="111"/>
      <c r="Q2467" s="111"/>
      <c r="R2467" s="111"/>
    </row>
    <row r="2468" spans="2:18" s="108" customFormat="1">
      <c r="B2468" s="97"/>
      <c r="C2468" s="110"/>
      <c r="D2468" s="109"/>
      <c r="E2468" s="97"/>
      <c r="F2468" s="97"/>
      <c r="G2468" s="109"/>
      <c r="H2468" s="109"/>
      <c r="I2468" s="97"/>
      <c r="J2468" s="97"/>
      <c r="K2468" s="83"/>
      <c r="L2468" s="111"/>
      <c r="M2468" s="111"/>
      <c r="N2468" s="111"/>
      <c r="O2468" s="111"/>
      <c r="P2468" s="111"/>
      <c r="Q2468" s="111"/>
      <c r="R2468" s="111"/>
    </row>
    <row r="2469" spans="2:18" s="108" customFormat="1">
      <c r="B2469" s="97"/>
      <c r="C2469" s="110"/>
      <c r="D2469" s="109"/>
      <c r="E2469" s="97"/>
      <c r="F2469" s="97"/>
      <c r="G2469" s="109"/>
      <c r="H2469" s="109"/>
      <c r="I2469" s="97"/>
      <c r="J2469" s="97"/>
      <c r="K2469" s="83"/>
      <c r="L2469" s="111"/>
      <c r="M2469" s="111"/>
      <c r="N2469" s="111"/>
      <c r="O2469" s="111"/>
      <c r="P2469" s="111"/>
      <c r="Q2469" s="111"/>
      <c r="R2469" s="111"/>
    </row>
    <row r="2470" spans="2:18" s="108" customFormat="1">
      <c r="B2470" s="97"/>
      <c r="C2470" s="110"/>
      <c r="D2470" s="109"/>
      <c r="E2470" s="97"/>
      <c r="F2470" s="97"/>
      <c r="G2470" s="109"/>
      <c r="H2470" s="109"/>
      <c r="I2470" s="97"/>
      <c r="J2470" s="97"/>
      <c r="K2470" s="83"/>
      <c r="L2470" s="111"/>
      <c r="M2470" s="111"/>
      <c r="N2470" s="111"/>
      <c r="O2470" s="111"/>
      <c r="P2470" s="111"/>
      <c r="Q2470" s="111"/>
      <c r="R2470" s="111"/>
    </row>
    <row r="2471" spans="2:18" s="108" customFormat="1">
      <c r="B2471" s="97"/>
      <c r="C2471" s="110"/>
      <c r="D2471" s="109"/>
      <c r="E2471" s="97"/>
      <c r="F2471" s="97"/>
      <c r="G2471" s="109"/>
      <c r="H2471" s="109"/>
      <c r="I2471" s="97"/>
      <c r="J2471" s="97"/>
      <c r="K2471" s="83"/>
      <c r="L2471" s="111"/>
      <c r="M2471" s="111"/>
      <c r="N2471" s="111"/>
      <c r="O2471" s="111"/>
      <c r="P2471" s="111"/>
      <c r="Q2471" s="111"/>
      <c r="R2471" s="111"/>
    </row>
    <row r="2472" spans="2:18" s="108" customFormat="1">
      <c r="B2472" s="97"/>
      <c r="C2472" s="110"/>
      <c r="D2472" s="109"/>
      <c r="E2472" s="97"/>
      <c r="F2472" s="97"/>
      <c r="G2472" s="109"/>
      <c r="H2472" s="109"/>
      <c r="I2472" s="97"/>
      <c r="J2472" s="97"/>
      <c r="K2472" s="83"/>
      <c r="L2472" s="111"/>
      <c r="M2472" s="111"/>
      <c r="N2472" s="111"/>
      <c r="O2472" s="111"/>
      <c r="P2472" s="111"/>
      <c r="Q2472" s="111"/>
      <c r="R2472" s="111"/>
    </row>
    <row r="2473" spans="2:18" s="108" customFormat="1">
      <c r="B2473" s="97"/>
      <c r="C2473" s="110"/>
      <c r="D2473" s="109"/>
      <c r="E2473" s="97"/>
      <c r="F2473" s="97"/>
      <c r="G2473" s="109"/>
      <c r="H2473" s="109"/>
      <c r="I2473" s="97"/>
      <c r="J2473" s="97"/>
      <c r="K2473" s="83"/>
      <c r="L2473" s="111"/>
      <c r="M2473" s="111"/>
      <c r="N2473" s="111"/>
      <c r="O2473" s="111"/>
      <c r="P2473" s="111"/>
      <c r="Q2473" s="111"/>
      <c r="R2473" s="111"/>
    </row>
    <row r="2474" spans="2:18" s="108" customFormat="1">
      <c r="B2474" s="97"/>
      <c r="C2474" s="110"/>
      <c r="D2474" s="109"/>
      <c r="E2474" s="97"/>
      <c r="F2474" s="97"/>
      <c r="G2474" s="109"/>
      <c r="H2474" s="109"/>
      <c r="I2474" s="97"/>
      <c r="J2474" s="97"/>
      <c r="K2474" s="83"/>
      <c r="L2474" s="111"/>
      <c r="M2474" s="111"/>
      <c r="N2474" s="111"/>
      <c r="O2474" s="111"/>
      <c r="P2474" s="111"/>
      <c r="Q2474" s="111"/>
      <c r="R2474" s="111"/>
    </row>
    <row r="2475" spans="2:18" s="108" customFormat="1">
      <c r="B2475" s="97"/>
      <c r="C2475" s="110"/>
      <c r="D2475" s="109"/>
      <c r="E2475" s="97"/>
      <c r="F2475" s="97"/>
      <c r="G2475" s="109"/>
      <c r="H2475" s="109"/>
      <c r="I2475" s="97"/>
      <c r="J2475" s="97"/>
      <c r="K2475" s="83"/>
      <c r="L2475" s="111"/>
      <c r="M2475" s="111"/>
      <c r="N2475" s="111"/>
      <c r="O2475" s="111"/>
      <c r="P2475" s="111"/>
      <c r="Q2475" s="111"/>
      <c r="R2475" s="111"/>
    </row>
    <row r="2476" spans="2:18" s="108" customFormat="1">
      <c r="B2476" s="97"/>
      <c r="C2476" s="110"/>
      <c r="D2476" s="109"/>
      <c r="E2476" s="97"/>
      <c r="F2476" s="97"/>
      <c r="G2476" s="109"/>
      <c r="H2476" s="109"/>
      <c r="I2476" s="97"/>
      <c r="J2476" s="97"/>
      <c r="K2476" s="83"/>
      <c r="L2476" s="111"/>
      <c r="M2476" s="111"/>
      <c r="N2476" s="111"/>
      <c r="O2476" s="111"/>
      <c r="P2476" s="111"/>
      <c r="Q2476" s="111"/>
      <c r="R2476" s="111"/>
    </row>
    <row r="2477" spans="2:18" s="108" customFormat="1">
      <c r="B2477" s="97"/>
      <c r="C2477" s="110"/>
      <c r="D2477" s="109"/>
      <c r="E2477" s="97"/>
      <c r="F2477" s="97"/>
      <c r="G2477" s="109"/>
      <c r="H2477" s="109"/>
      <c r="I2477" s="97"/>
      <c r="J2477" s="97"/>
      <c r="K2477" s="83"/>
      <c r="L2477" s="111"/>
      <c r="M2477" s="111"/>
      <c r="N2477" s="111"/>
      <c r="O2477" s="111"/>
      <c r="P2477" s="111"/>
      <c r="Q2477" s="111"/>
      <c r="R2477" s="111"/>
    </row>
    <row r="2478" spans="2:18" s="108" customFormat="1">
      <c r="B2478" s="97"/>
      <c r="C2478" s="110"/>
      <c r="D2478" s="109"/>
      <c r="E2478" s="97"/>
      <c r="F2478" s="97"/>
      <c r="G2478" s="109"/>
      <c r="H2478" s="109"/>
      <c r="I2478" s="97"/>
      <c r="J2478" s="97"/>
      <c r="K2478" s="83"/>
      <c r="L2478" s="111"/>
      <c r="M2478" s="111"/>
      <c r="N2478" s="111"/>
      <c r="O2478" s="111"/>
      <c r="P2478" s="111"/>
      <c r="Q2478" s="111"/>
      <c r="R2478" s="111"/>
    </row>
    <row r="2479" spans="2:18" s="108" customFormat="1">
      <c r="B2479" s="97"/>
      <c r="C2479" s="110"/>
      <c r="D2479" s="109"/>
      <c r="E2479" s="97"/>
      <c r="F2479" s="97"/>
      <c r="G2479" s="109"/>
      <c r="H2479" s="109"/>
      <c r="I2479" s="97"/>
      <c r="J2479" s="97"/>
      <c r="K2479" s="83"/>
      <c r="L2479" s="111"/>
      <c r="M2479" s="111"/>
      <c r="N2479" s="111"/>
      <c r="O2479" s="111"/>
      <c r="P2479" s="111"/>
      <c r="Q2479" s="111"/>
      <c r="R2479" s="111"/>
    </row>
    <row r="2480" spans="2:18" s="108" customFormat="1">
      <c r="B2480" s="97"/>
      <c r="C2480" s="110"/>
      <c r="D2480" s="109"/>
      <c r="E2480" s="97"/>
      <c r="F2480" s="97"/>
      <c r="G2480" s="109"/>
      <c r="H2480" s="109"/>
      <c r="I2480" s="97"/>
      <c r="J2480" s="97"/>
      <c r="K2480" s="83"/>
      <c r="L2480" s="111"/>
      <c r="M2480" s="111"/>
      <c r="N2480" s="111"/>
      <c r="O2480" s="111"/>
      <c r="P2480" s="111"/>
      <c r="Q2480" s="111"/>
      <c r="R2480" s="111"/>
    </row>
    <row r="2481" spans="2:18" s="108" customFormat="1">
      <c r="B2481" s="97"/>
      <c r="C2481" s="110"/>
      <c r="D2481" s="109"/>
      <c r="E2481" s="97"/>
      <c r="F2481" s="97"/>
      <c r="G2481" s="109"/>
      <c r="H2481" s="109"/>
      <c r="I2481" s="97"/>
      <c r="J2481" s="97"/>
      <c r="K2481" s="83"/>
      <c r="L2481" s="111"/>
      <c r="M2481" s="111"/>
      <c r="N2481" s="111"/>
      <c r="O2481" s="111"/>
      <c r="P2481" s="111"/>
      <c r="Q2481" s="111"/>
      <c r="R2481" s="111"/>
    </row>
    <row r="2482" spans="2:18" s="108" customFormat="1">
      <c r="B2482" s="97"/>
      <c r="C2482" s="110"/>
      <c r="D2482" s="109"/>
      <c r="E2482" s="97"/>
      <c r="F2482" s="97"/>
      <c r="G2482" s="109"/>
      <c r="H2482" s="109"/>
      <c r="I2482" s="97"/>
      <c r="J2482" s="97"/>
      <c r="K2482" s="83"/>
      <c r="L2482" s="111"/>
      <c r="M2482" s="111"/>
      <c r="N2482" s="111"/>
      <c r="O2482" s="111"/>
      <c r="P2482" s="111"/>
      <c r="Q2482" s="111"/>
      <c r="R2482" s="111"/>
    </row>
    <row r="2483" spans="2:18" s="108" customFormat="1">
      <c r="B2483" s="97"/>
      <c r="C2483" s="110"/>
      <c r="D2483" s="109"/>
      <c r="E2483" s="97"/>
      <c r="F2483" s="97"/>
      <c r="G2483" s="109"/>
      <c r="H2483" s="109"/>
      <c r="I2483" s="97"/>
      <c r="J2483" s="97"/>
      <c r="K2483" s="83"/>
      <c r="L2483" s="111"/>
      <c r="M2483" s="111"/>
      <c r="N2483" s="111"/>
      <c r="O2483" s="111"/>
      <c r="P2483" s="111"/>
      <c r="Q2483" s="111"/>
      <c r="R2483" s="111"/>
    </row>
    <row r="2484" spans="2:18" s="108" customFormat="1">
      <c r="B2484" s="97"/>
      <c r="C2484" s="110"/>
      <c r="D2484" s="109"/>
      <c r="E2484" s="97"/>
      <c r="F2484" s="97"/>
      <c r="G2484" s="109"/>
      <c r="H2484" s="109"/>
      <c r="I2484" s="97"/>
      <c r="J2484" s="97"/>
      <c r="K2484" s="83"/>
      <c r="L2484" s="111"/>
      <c r="M2484" s="111"/>
      <c r="N2484" s="111"/>
      <c r="O2484" s="111"/>
      <c r="P2484" s="111"/>
      <c r="Q2484" s="111"/>
      <c r="R2484" s="111"/>
    </row>
    <row r="2485" spans="2:18" s="108" customFormat="1">
      <c r="B2485" s="97"/>
      <c r="C2485" s="110"/>
      <c r="D2485" s="109"/>
      <c r="E2485" s="97"/>
      <c r="F2485" s="97"/>
      <c r="G2485" s="109"/>
      <c r="H2485" s="109"/>
      <c r="I2485" s="97"/>
      <c r="J2485" s="97"/>
      <c r="K2485" s="83"/>
      <c r="L2485" s="111"/>
      <c r="M2485" s="111"/>
      <c r="N2485" s="111"/>
      <c r="O2485" s="111"/>
      <c r="P2485" s="111"/>
      <c r="Q2485" s="111"/>
      <c r="R2485" s="111"/>
    </row>
    <row r="2486" spans="2:18" s="108" customFormat="1">
      <c r="B2486" s="97"/>
      <c r="C2486" s="110"/>
      <c r="D2486" s="109"/>
      <c r="E2486" s="97"/>
      <c r="F2486" s="97"/>
      <c r="G2486" s="109"/>
      <c r="H2486" s="109"/>
      <c r="I2486" s="97"/>
      <c r="J2486" s="97"/>
      <c r="K2486" s="83"/>
      <c r="L2486" s="111"/>
      <c r="M2486" s="111"/>
      <c r="N2486" s="111"/>
      <c r="O2486" s="111"/>
      <c r="P2486" s="111"/>
      <c r="Q2486" s="111"/>
      <c r="R2486" s="111"/>
    </row>
    <row r="2487" spans="2:18" s="108" customFormat="1">
      <c r="B2487" s="97"/>
      <c r="C2487" s="110"/>
      <c r="D2487" s="109"/>
      <c r="E2487" s="97"/>
      <c r="F2487" s="97"/>
      <c r="G2487" s="109"/>
      <c r="H2487" s="109"/>
      <c r="I2487" s="97"/>
      <c r="J2487" s="97"/>
      <c r="K2487" s="83"/>
      <c r="L2487" s="111"/>
      <c r="M2487" s="111"/>
      <c r="N2487" s="111"/>
      <c r="O2487" s="111"/>
      <c r="P2487" s="111"/>
      <c r="Q2487" s="111"/>
      <c r="R2487" s="111"/>
    </row>
    <row r="2488" spans="2:18" s="108" customFormat="1">
      <c r="B2488" s="97"/>
      <c r="C2488" s="110"/>
      <c r="D2488" s="109"/>
      <c r="E2488" s="97"/>
      <c r="F2488" s="97"/>
      <c r="G2488" s="109"/>
      <c r="H2488" s="109"/>
      <c r="I2488" s="97"/>
      <c r="J2488" s="97"/>
      <c r="K2488" s="83"/>
      <c r="L2488" s="111"/>
      <c r="M2488" s="111"/>
      <c r="N2488" s="111"/>
      <c r="O2488" s="111"/>
      <c r="P2488" s="111"/>
      <c r="Q2488" s="111"/>
      <c r="R2488" s="111"/>
    </row>
    <row r="2489" spans="2:18" s="108" customFormat="1">
      <c r="B2489" s="97"/>
      <c r="C2489" s="110"/>
      <c r="D2489" s="109"/>
      <c r="E2489" s="97"/>
      <c r="F2489" s="97"/>
      <c r="G2489" s="109"/>
      <c r="H2489" s="109"/>
      <c r="I2489" s="97"/>
      <c r="J2489" s="97"/>
      <c r="K2489" s="83"/>
      <c r="L2489" s="111"/>
      <c r="M2489" s="111"/>
      <c r="N2489" s="111"/>
      <c r="O2489" s="111"/>
      <c r="P2489" s="111"/>
      <c r="Q2489" s="111"/>
      <c r="R2489" s="111"/>
    </row>
    <row r="2490" spans="2:18" s="108" customFormat="1">
      <c r="B2490" s="97"/>
      <c r="C2490" s="110"/>
      <c r="D2490" s="109"/>
      <c r="E2490" s="97"/>
      <c r="F2490" s="97"/>
      <c r="G2490" s="109"/>
      <c r="H2490" s="109"/>
      <c r="I2490" s="97"/>
      <c r="J2490" s="97"/>
      <c r="K2490" s="83"/>
      <c r="L2490" s="111"/>
      <c r="M2490" s="111"/>
      <c r="N2490" s="111"/>
      <c r="O2490" s="111"/>
      <c r="P2490" s="111"/>
      <c r="Q2490" s="111"/>
      <c r="R2490" s="111"/>
    </row>
    <row r="2491" spans="2:18" s="108" customFormat="1">
      <c r="B2491" s="97"/>
      <c r="C2491" s="110"/>
      <c r="D2491" s="109"/>
      <c r="E2491" s="97"/>
      <c r="F2491" s="97"/>
      <c r="G2491" s="109"/>
      <c r="H2491" s="109"/>
      <c r="I2491" s="97"/>
      <c r="J2491" s="97"/>
      <c r="K2491" s="83"/>
      <c r="L2491" s="111"/>
      <c r="M2491" s="111"/>
      <c r="N2491" s="111"/>
      <c r="O2491" s="111"/>
      <c r="P2491" s="111"/>
      <c r="Q2491" s="111"/>
      <c r="R2491" s="111"/>
    </row>
    <row r="2492" spans="2:18" s="108" customFormat="1">
      <c r="B2492" s="97"/>
      <c r="C2492" s="110"/>
      <c r="D2492" s="109"/>
      <c r="E2492" s="97"/>
      <c r="F2492" s="97"/>
      <c r="G2492" s="109"/>
      <c r="H2492" s="109"/>
      <c r="I2492" s="97"/>
      <c r="J2492" s="97"/>
      <c r="K2492" s="83"/>
      <c r="L2492" s="111"/>
      <c r="M2492" s="111"/>
      <c r="N2492" s="111"/>
      <c r="O2492" s="111"/>
      <c r="P2492" s="111"/>
      <c r="Q2492" s="111"/>
      <c r="R2492" s="111"/>
    </row>
    <row r="2493" spans="2:18" s="108" customFormat="1">
      <c r="B2493" s="97"/>
      <c r="C2493" s="110"/>
      <c r="D2493" s="109"/>
      <c r="E2493" s="97"/>
      <c r="F2493" s="97"/>
      <c r="G2493" s="109"/>
      <c r="H2493" s="109"/>
      <c r="I2493" s="97"/>
      <c r="J2493" s="97"/>
      <c r="K2493" s="83"/>
      <c r="L2493" s="111"/>
      <c r="M2493" s="111"/>
      <c r="N2493" s="111"/>
      <c r="O2493" s="111"/>
      <c r="P2493" s="111"/>
      <c r="Q2493" s="111"/>
      <c r="R2493" s="111"/>
    </row>
    <row r="2494" spans="2:18" s="108" customFormat="1">
      <c r="B2494" s="97"/>
      <c r="C2494" s="110"/>
      <c r="D2494" s="109"/>
      <c r="E2494" s="97"/>
      <c r="F2494" s="97"/>
      <c r="G2494" s="109"/>
      <c r="H2494" s="109"/>
      <c r="I2494" s="97"/>
      <c r="J2494" s="97"/>
      <c r="K2494" s="83"/>
      <c r="L2494" s="111"/>
      <c r="M2494" s="111"/>
      <c r="N2494" s="111"/>
      <c r="O2494" s="111"/>
      <c r="P2494" s="111"/>
      <c r="Q2494" s="111"/>
      <c r="R2494" s="111"/>
    </row>
    <row r="2495" spans="2:18" s="108" customFormat="1">
      <c r="B2495" s="97"/>
      <c r="C2495" s="110"/>
      <c r="D2495" s="109"/>
      <c r="E2495" s="97"/>
      <c r="F2495" s="97"/>
      <c r="G2495" s="109"/>
      <c r="H2495" s="109"/>
      <c r="I2495" s="97"/>
      <c r="J2495" s="97"/>
      <c r="K2495" s="83"/>
      <c r="L2495" s="111"/>
      <c r="M2495" s="111"/>
      <c r="N2495" s="111"/>
      <c r="O2495" s="111"/>
      <c r="P2495" s="111"/>
      <c r="Q2495" s="111"/>
      <c r="R2495" s="111"/>
    </row>
    <row r="2496" spans="2:18" s="108" customFormat="1">
      <c r="B2496" s="97"/>
      <c r="C2496" s="110"/>
      <c r="D2496" s="109"/>
      <c r="E2496" s="97"/>
      <c r="F2496" s="97"/>
      <c r="G2496" s="109"/>
      <c r="H2496" s="109"/>
      <c r="I2496" s="97"/>
      <c r="J2496" s="97"/>
      <c r="K2496" s="83"/>
      <c r="L2496" s="111"/>
      <c r="M2496" s="111"/>
      <c r="N2496" s="111"/>
      <c r="O2496" s="111"/>
      <c r="P2496" s="111"/>
      <c r="Q2496" s="111"/>
      <c r="R2496" s="111"/>
    </row>
    <row r="2497" spans="2:18" s="108" customFormat="1">
      <c r="B2497" s="97"/>
      <c r="C2497" s="110"/>
      <c r="D2497" s="109"/>
      <c r="E2497" s="97"/>
      <c r="F2497" s="97"/>
      <c r="G2497" s="109"/>
      <c r="H2497" s="109"/>
      <c r="I2497" s="97"/>
      <c r="J2497" s="97"/>
      <c r="K2497" s="83"/>
      <c r="L2497" s="111"/>
      <c r="M2497" s="111"/>
      <c r="N2497" s="111"/>
      <c r="O2497" s="111"/>
      <c r="P2497" s="111"/>
      <c r="Q2497" s="111"/>
      <c r="R2497" s="111"/>
    </row>
    <row r="2498" spans="2:18" s="108" customFormat="1">
      <c r="B2498" s="97"/>
      <c r="C2498" s="110"/>
      <c r="D2498" s="109"/>
      <c r="E2498" s="97"/>
      <c r="F2498" s="97"/>
      <c r="G2498" s="109"/>
      <c r="H2498" s="109"/>
      <c r="I2498" s="97"/>
      <c r="J2498" s="97"/>
      <c r="K2498" s="83"/>
      <c r="L2498" s="111"/>
      <c r="M2498" s="111"/>
      <c r="N2498" s="111"/>
      <c r="O2498" s="111"/>
      <c r="P2498" s="111"/>
      <c r="Q2498" s="111"/>
      <c r="R2498" s="111"/>
    </row>
    <row r="2499" spans="2:18" s="108" customFormat="1">
      <c r="B2499" s="97"/>
      <c r="C2499" s="110"/>
      <c r="D2499" s="109"/>
      <c r="E2499" s="97"/>
      <c r="F2499" s="97"/>
      <c r="G2499" s="109"/>
      <c r="H2499" s="109"/>
      <c r="I2499" s="97"/>
      <c r="J2499" s="97"/>
      <c r="K2499" s="83"/>
      <c r="L2499" s="111"/>
      <c r="M2499" s="111"/>
      <c r="N2499" s="111"/>
      <c r="O2499" s="111"/>
      <c r="P2499" s="111"/>
      <c r="Q2499" s="111"/>
      <c r="R2499" s="111"/>
    </row>
    <row r="2500" spans="2:18" s="108" customFormat="1">
      <c r="B2500" s="97"/>
      <c r="C2500" s="110"/>
      <c r="D2500" s="109"/>
      <c r="E2500" s="97"/>
      <c r="F2500" s="97"/>
      <c r="G2500" s="109"/>
      <c r="H2500" s="109"/>
      <c r="I2500" s="97"/>
      <c r="J2500" s="97"/>
      <c r="K2500" s="83"/>
      <c r="L2500" s="111"/>
      <c r="M2500" s="111"/>
      <c r="N2500" s="111"/>
      <c r="O2500" s="111"/>
      <c r="P2500" s="111"/>
      <c r="Q2500" s="111"/>
      <c r="R2500" s="111"/>
    </row>
    <row r="2501" spans="2:18" s="108" customFormat="1">
      <c r="B2501" s="97"/>
      <c r="C2501" s="110"/>
      <c r="D2501" s="109"/>
      <c r="E2501" s="97"/>
      <c r="F2501" s="97"/>
      <c r="G2501" s="109"/>
      <c r="H2501" s="109"/>
      <c r="I2501" s="97"/>
      <c r="J2501" s="97"/>
      <c r="K2501" s="83"/>
      <c r="L2501" s="111"/>
      <c r="M2501" s="111"/>
      <c r="N2501" s="111"/>
      <c r="O2501" s="111"/>
      <c r="P2501" s="111"/>
      <c r="Q2501" s="111"/>
      <c r="R2501" s="111"/>
    </row>
    <row r="2502" spans="2:18" s="108" customFormat="1">
      <c r="B2502" s="97"/>
      <c r="C2502" s="110"/>
      <c r="D2502" s="109"/>
      <c r="E2502" s="97"/>
      <c r="F2502" s="97"/>
      <c r="G2502" s="109"/>
      <c r="H2502" s="109"/>
      <c r="I2502" s="97"/>
      <c r="J2502" s="97"/>
      <c r="K2502" s="83"/>
      <c r="L2502" s="111"/>
      <c r="M2502" s="111"/>
      <c r="N2502" s="111"/>
      <c r="O2502" s="111"/>
      <c r="P2502" s="111"/>
      <c r="Q2502" s="111"/>
      <c r="R2502" s="111"/>
    </row>
    <row r="2503" spans="2:18" s="108" customFormat="1">
      <c r="B2503" s="97"/>
      <c r="C2503" s="110"/>
      <c r="D2503" s="109"/>
      <c r="E2503" s="97"/>
      <c r="F2503" s="97"/>
      <c r="G2503" s="109"/>
      <c r="H2503" s="109"/>
      <c r="I2503" s="97"/>
      <c r="J2503" s="97"/>
      <c r="K2503" s="83"/>
      <c r="L2503" s="111"/>
      <c r="M2503" s="111"/>
      <c r="N2503" s="111"/>
      <c r="O2503" s="111"/>
      <c r="P2503" s="111"/>
      <c r="Q2503" s="111"/>
      <c r="R2503" s="111"/>
    </row>
    <row r="2504" spans="2:18" s="108" customFormat="1">
      <c r="B2504" s="97"/>
      <c r="C2504" s="110"/>
      <c r="D2504" s="109"/>
      <c r="E2504" s="97"/>
      <c r="F2504" s="97"/>
      <c r="G2504" s="109"/>
      <c r="H2504" s="109"/>
      <c r="I2504" s="97"/>
      <c r="J2504" s="97"/>
      <c r="K2504" s="83"/>
      <c r="L2504" s="111"/>
      <c r="M2504" s="111"/>
      <c r="N2504" s="111"/>
      <c r="O2504" s="111"/>
      <c r="P2504" s="111"/>
      <c r="Q2504" s="111"/>
      <c r="R2504" s="111"/>
    </row>
    <row r="2505" spans="2:18" s="108" customFormat="1">
      <c r="B2505" s="97"/>
      <c r="C2505" s="110"/>
      <c r="D2505" s="109"/>
      <c r="E2505" s="97"/>
      <c r="F2505" s="97"/>
      <c r="G2505" s="109"/>
      <c r="H2505" s="109"/>
      <c r="I2505" s="97"/>
      <c r="J2505" s="97"/>
      <c r="K2505" s="83"/>
      <c r="L2505" s="111"/>
      <c r="M2505" s="111"/>
      <c r="N2505" s="111"/>
      <c r="O2505" s="111"/>
      <c r="P2505" s="111"/>
      <c r="Q2505" s="111"/>
      <c r="R2505" s="111"/>
    </row>
    <row r="2506" spans="2:18" s="108" customFormat="1">
      <c r="B2506" s="97"/>
      <c r="C2506" s="110"/>
      <c r="D2506" s="109"/>
      <c r="E2506" s="97"/>
      <c r="F2506" s="97"/>
      <c r="G2506" s="109"/>
      <c r="H2506" s="109"/>
      <c r="I2506" s="97"/>
      <c r="J2506" s="97"/>
      <c r="K2506" s="83"/>
      <c r="L2506" s="111"/>
      <c r="M2506" s="111"/>
      <c r="N2506" s="111"/>
      <c r="O2506" s="111"/>
      <c r="P2506" s="111"/>
      <c r="Q2506" s="111"/>
      <c r="R2506" s="111"/>
    </row>
    <row r="2507" spans="2:18" s="108" customFormat="1">
      <c r="B2507" s="97"/>
      <c r="C2507" s="110"/>
      <c r="D2507" s="109"/>
      <c r="E2507" s="97"/>
      <c r="F2507" s="97"/>
      <c r="G2507" s="109"/>
      <c r="H2507" s="109"/>
      <c r="I2507" s="97"/>
      <c r="J2507" s="97"/>
      <c r="K2507" s="83"/>
      <c r="L2507" s="111"/>
      <c r="M2507" s="111"/>
      <c r="N2507" s="111"/>
      <c r="O2507" s="111"/>
      <c r="P2507" s="111"/>
      <c r="Q2507" s="111"/>
      <c r="R2507" s="111"/>
    </row>
    <row r="2508" spans="2:18" s="108" customFormat="1">
      <c r="B2508" s="97"/>
      <c r="C2508" s="110"/>
      <c r="D2508" s="109"/>
      <c r="E2508" s="97"/>
      <c r="F2508" s="97"/>
      <c r="G2508" s="109"/>
      <c r="H2508" s="109"/>
      <c r="I2508" s="97"/>
      <c r="J2508" s="97"/>
      <c r="K2508" s="83"/>
      <c r="L2508" s="111"/>
      <c r="M2508" s="111"/>
      <c r="N2508" s="111"/>
      <c r="O2508" s="111"/>
      <c r="P2508" s="111"/>
      <c r="Q2508" s="111"/>
      <c r="R2508" s="111"/>
    </row>
    <row r="2509" spans="2:18" s="108" customFormat="1">
      <c r="B2509" s="97"/>
      <c r="C2509" s="110"/>
      <c r="D2509" s="109"/>
      <c r="E2509" s="97"/>
      <c r="F2509" s="97"/>
      <c r="G2509" s="109"/>
      <c r="H2509" s="109"/>
      <c r="I2509" s="97"/>
      <c r="J2509" s="97"/>
      <c r="K2509" s="83"/>
      <c r="L2509" s="111"/>
      <c r="M2509" s="111"/>
      <c r="N2509" s="111"/>
      <c r="O2509" s="111"/>
      <c r="P2509" s="111"/>
      <c r="Q2509" s="111"/>
      <c r="R2509" s="111"/>
    </row>
    <row r="2510" spans="2:18" s="108" customFormat="1">
      <c r="B2510" s="97"/>
      <c r="C2510" s="110"/>
      <c r="D2510" s="109"/>
      <c r="E2510" s="97"/>
      <c r="F2510" s="97"/>
      <c r="G2510" s="109"/>
      <c r="H2510" s="109"/>
      <c r="I2510" s="97"/>
      <c r="J2510" s="97"/>
      <c r="K2510" s="83"/>
      <c r="L2510" s="111"/>
      <c r="M2510" s="111"/>
      <c r="N2510" s="111"/>
      <c r="O2510" s="111"/>
      <c r="P2510" s="111"/>
      <c r="Q2510" s="111"/>
      <c r="R2510" s="111"/>
    </row>
    <row r="2511" spans="2:18" s="108" customFormat="1">
      <c r="B2511" s="97"/>
      <c r="C2511" s="110"/>
      <c r="D2511" s="109"/>
      <c r="E2511" s="97"/>
      <c r="F2511" s="97"/>
      <c r="G2511" s="109"/>
      <c r="H2511" s="109"/>
      <c r="I2511" s="97"/>
      <c r="J2511" s="97"/>
      <c r="K2511" s="83"/>
      <c r="L2511" s="111"/>
      <c r="M2511" s="111"/>
      <c r="N2511" s="111"/>
      <c r="O2511" s="111"/>
      <c r="P2511" s="111"/>
      <c r="Q2511" s="111"/>
      <c r="R2511" s="111"/>
    </row>
    <row r="2512" spans="2:18" s="108" customFormat="1">
      <c r="B2512" s="97"/>
      <c r="C2512" s="110"/>
      <c r="D2512" s="109"/>
      <c r="E2512" s="97"/>
      <c r="F2512" s="97"/>
      <c r="G2512" s="109"/>
      <c r="H2512" s="109"/>
      <c r="I2512" s="97"/>
      <c r="J2512" s="97"/>
      <c r="K2512" s="83"/>
      <c r="L2512" s="111"/>
      <c r="M2512" s="111"/>
      <c r="N2512" s="111"/>
      <c r="O2512" s="111"/>
      <c r="P2512" s="111"/>
      <c r="Q2512" s="111"/>
      <c r="R2512" s="111"/>
    </row>
    <row r="2513" spans="2:18" s="108" customFormat="1">
      <c r="B2513" s="97"/>
      <c r="C2513" s="110"/>
      <c r="D2513" s="109"/>
      <c r="E2513" s="97"/>
      <c r="F2513" s="97"/>
      <c r="G2513" s="109"/>
      <c r="H2513" s="109"/>
      <c r="I2513" s="97"/>
      <c r="J2513" s="97"/>
      <c r="K2513" s="83"/>
      <c r="L2513" s="111"/>
      <c r="M2513" s="111"/>
      <c r="N2513" s="111"/>
      <c r="O2513" s="111"/>
      <c r="P2513" s="111"/>
      <c r="Q2513" s="111"/>
      <c r="R2513" s="111"/>
    </row>
    <row r="2514" spans="2:18" s="108" customFormat="1">
      <c r="B2514" s="97"/>
      <c r="C2514" s="110"/>
      <c r="D2514" s="109"/>
      <c r="E2514" s="97"/>
      <c r="F2514" s="97"/>
      <c r="G2514" s="109"/>
      <c r="H2514" s="109"/>
      <c r="I2514" s="97"/>
      <c r="J2514" s="97"/>
      <c r="K2514" s="83"/>
      <c r="L2514" s="111"/>
      <c r="M2514" s="111"/>
      <c r="N2514" s="111"/>
      <c r="O2514" s="111"/>
      <c r="P2514" s="111"/>
      <c r="Q2514" s="111"/>
      <c r="R2514" s="111"/>
    </row>
    <row r="2515" spans="2:18" s="108" customFormat="1">
      <c r="B2515" s="97"/>
      <c r="C2515" s="110"/>
      <c r="D2515" s="109"/>
      <c r="E2515" s="97"/>
      <c r="F2515" s="97"/>
      <c r="G2515" s="109"/>
      <c r="H2515" s="109"/>
      <c r="I2515" s="97"/>
      <c r="J2515" s="97"/>
      <c r="K2515" s="83"/>
      <c r="L2515" s="111"/>
      <c r="M2515" s="111"/>
      <c r="N2515" s="111"/>
      <c r="O2515" s="111"/>
      <c r="P2515" s="111"/>
      <c r="Q2515" s="111"/>
      <c r="R2515" s="111"/>
    </row>
    <row r="2516" spans="2:18" s="108" customFormat="1">
      <c r="B2516" s="97"/>
      <c r="C2516" s="110"/>
      <c r="D2516" s="109"/>
      <c r="E2516" s="97"/>
      <c r="F2516" s="97"/>
      <c r="G2516" s="109"/>
      <c r="H2516" s="109"/>
      <c r="I2516" s="97"/>
      <c r="J2516" s="97"/>
      <c r="K2516" s="83"/>
      <c r="L2516" s="111"/>
      <c r="M2516" s="111"/>
      <c r="N2516" s="111"/>
      <c r="O2516" s="111"/>
      <c r="P2516" s="111"/>
      <c r="Q2516" s="111"/>
      <c r="R2516" s="111"/>
    </row>
    <row r="2517" spans="2:18" s="108" customFormat="1">
      <c r="B2517" s="97"/>
      <c r="C2517" s="110"/>
      <c r="D2517" s="109"/>
      <c r="E2517" s="97"/>
      <c r="F2517" s="97"/>
      <c r="G2517" s="109"/>
      <c r="H2517" s="109"/>
      <c r="I2517" s="97"/>
      <c r="J2517" s="97"/>
      <c r="K2517" s="83"/>
      <c r="L2517" s="111"/>
      <c r="M2517" s="111"/>
      <c r="N2517" s="111"/>
      <c r="O2517" s="111"/>
      <c r="P2517" s="111"/>
      <c r="Q2517" s="111"/>
      <c r="R2517" s="111"/>
    </row>
    <row r="2518" spans="2:18" s="108" customFormat="1">
      <c r="B2518" s="97"/>
      <c r="C2518" s="110"/>
      <c r="D2518" s="109"/>
      <c r="E2518" s="97"/>
      <c r="F2518" s="97"/>
      <c r="G2518" s="109"/>
      <c r="H2518" s="109"/>
      <c r="I2518" s="97"/>
      <c r="J2518" s="97"/>
      <c r="K2518" s="83"/>
      <c r="L2518" s="111"/>
      <c r="M2518" s="111"/>
      <c r="N2518" s="111"/>
      <c r="O2518" s="111"/>
      <c r="P2518" s="111"/>
      <c r="Q2518" s="111"/>
      <c r="R2518" s="111"/>
    </row>
    <row r="2519" spans="2:18" s="108" customFormat="1">
      <c r="B2519" s="97"/>
      <c r="C2519" s="110"/>
      <c r="D2519" s="109"/>
      <c r="E2519" s="97"/>
      <c r="F2519" s="97"/>
      <c r="G2519" s="109"/>
      <c r="H2519" s="109"/>
      <c r="I2519" s="97"/>
      <c r="J2519" s="97"/>
      <c r="K2519" s="83"/>
      <c r="L2519" s="111"/>
      <c r="M2519" s="111"/>
      <c r="N2519" s="111"/>
      <c r="O2519" s="111"/>
      <c r="P2519" s="111"/>
      <c r="Q2519" s="111"/>
      <c r="R2519" s="111"/>
    </row>
    <row r="2520" spans="2:18" s="108" customFormat="1">
      <c r="B2520" s="97"/>
      <c r="C2520" s="110"/>
      <c r="D2520" s="109"/>
      <c r="E2520" s="97"/>
      <c r="F2520" s="97"/>
      <c r="G2520" s="109"/>
      <c r="H2520" s="109"/>
      <c r="I2520" s="97"/>
      <c r="J2520" s="97"/>
      <c r="K2520" s="83"/>
      <c r="L2520" s="111"/>
      <c r="M2520" s="111"/>
      <c r="N2520" s="111"/>
      <c r="O2520" s="111"/>
      <c r="P2520" s="111"/>
      <c r="Q2520" s="111"/>
      <c r="R2520" s="111"/>
    </row>
    <row r="2521" spans="2:18" s="108" customFormat="1">
      <c r="B2521" s="97"/>
      <c r="C2521" s="110"/>
      <c r="D2521" s="109"/>
      <c r="E2521" s="97"/>
      <c r="F2521" s="97"/>
      <c r="G2521" s="109"/>
      <c r="H2521" s="109"/>
      <c r="I2521" s="97"/>
      <c r="J2521" s="97"/>
      <c r="K2521" s="83"/>
      <c r="L2521" s="111"/>
      <c r="M2521" s="111"/>
      <c r="N2521" s="111"/>
      <c r="O2521" s="111"/>
      <c r="P2521" s="111"/>
      <c r="Q2521" s="111"/>
      <c r="R2521" s="111"/>
    </row>
    <row r="2522" spans="2:18" s="108" customFormat="1">
      <c r="B2522" s="97"/>
      <c r="C2522" s="110"/>
      <c r="D2522" s="109"/>
      <c r="E2522" s="97"/>
      <c r="F2522" s="97"/>
      <c r="G2522" s="109"/>
      <c r="H2522" s="109"/>
      <c r="I2522" s="97"/>
      <c r="J2522" s="97"/>
      <c r="K2522" s="83"/>
      <c r="L2522" s="111"/>
      <c r="M2522" s="111"/>
      <c r="N2522" s="111"/>
      <c r="O2522" s="111"/>
      <c r="P2522" s="111"/>
      <c r="Q2522" s="111"/>
      <c r="R2522" s="111"/>
    </row>
    <row r="2523" spans="2:18" s="108" customFormat="1">
      <c r="B2523" s="97"/>
      <c r="C2523" s="110"/>
      <c r="D2523" s="109"/>
      <c r="E2523" s="97"/>
      <c r="F2523" s="97"/>
      <c r="G2523" s="109"/>
      <c r="H2523" s="109"/>
      <c r="I2523" s="97"/>
      <c r="J2523" s="97"/>
      <c r="K2523" s="83"/>
      <c r="L2523" s="111"/>
      <c r="M2523" s="111"/>
      <c r="N2523" s="111"/>
      <c r="O2523" s="111"/>
      <c r="P2523" s="111"/>
      <c r="Q2523" s="111"/>
      <c r="R2523" s="111"/>
    </row>
    <row r="2524" spans="2:18" s="108" customFormat="1">
      <c r="B2524" s="97"/>
      <c r="C2524" s="110"/>
      <c r="D2524" s="109"/>
      <c r="E2524" s="97"/>
      <c r="F2524" s="97"/>
      <c r="G2524" s="109"/>
      <c r="H2524" s="109"/>
      <c r="I2524" s="97"/>
      <c r="J2524" s="97"/>
      <c r="K2524" s="83"/>
      <c r="L2524" s="111"/>
      <c r="M2524" s="111"/>
      <c r="N2524" s="111"/>
      <c r="O2524" s="111"/>
      <c r="P2524" s="111"/>
      <c r="Q2524" s="111"/>
      <c r="R2524" s="111"/>
    </row>
    <row r="2525" spans="2:18" s="108" customFormat="1">
      <c r="B2525" s="97"/>
      <c r="C2525" s="110"/>
      <c r="D2525" s="109"/>
      <c r="E2525" s="97"/>
      <c r="F2525" s="97"/>
      <c r="G2525" s="109"/>
      <c r="H2525" s="109"/>
      <c r="I2525" s="97"/>
      <c r="J2525" s="97"/>
      <c r="K2525" s="83"/>
      <c r="L2525" s="111"/>
      <c r="M2525" s="111"/>
      <c r="N2525" s="111"/>
      <c r="O2525" s="111"/>
      <c r="P2525" s="111"/>
      <c r="Q2525" s="111"/>
      <c r="R2525" s="111"/>
    </row>
    <row r="2526" spans="2:18" s="108" customFormat="1">
      <c r="B2526" s="97"/>
      <c r="C2526" s="110"/>
      <c r="D2526" s="109"/>
      <c r="E2526" s="97"/>
      <c r="F2526" s="97"/>
      <c r="G2526" s="109"/>
      <c r="H2526" s="109"/>
      <c r="I2526" s="97"/>
      <c r="J2526" s="97"/>
      <c r="K2526" s="83"/>
      <c r="L2526" s="111"/>
      <c r="M2526" s="111"/>
      <c r="N2526" s="111"/>
      <c r="O2526" s="111"/>
      <c r="P2526" s="111"/>
      <c r="Q2526" s="111"/>
      <c r="R2526" s="111"/>
    </row>
    <row r="2527" spans="2:18" s="108" customFormat="1">
      <c r="B2527" s="97"/>
      <c r="C2527" s="110"/>
      <c r="D2527" s="109"/>
      <c r="E2527" s="97"/>
      <c r="F2527" s="97"/>
      <c r="G2527" s="109"/>
      <c r="H2527" s="109"/>
      <c r="I2527" s="97"/>
      <c r="J2527" s="97"/>
      <c r="K2527" s="83"/>
      <c r="L2527" s="111"/>
      <c r="M2527" s="111"/>
      <c r="N2527" s="111"/>
      <c r="O2527" s="111"/>
      <c r="P2527" s="111"/>
      <c r="Q2527" s="111"/>
      <c r="R2527" s="111"/>
    </row>
    <row r="2528" spans="2:18" s="108" customFormat="1">
      <c r="B2528" s="97"/>
      <c r="C2528" s="110"/>
      <c r="D2528" s="109"/>
      <c r="E2528" s="97"/>
      <c r="F2528" s="97"/>
      <c r="G2528" s="109"/>
      <c r="H2528" s="109"/>
      <c r="I2528" s="97"/>
      <c r="J2528" s="97"/>
      <c r="K2528" s="83"/>
      <c r="L2528" s="111"/>
      <c r="M2528" s="111"/>
      <c r="N2528" s="111"/>
      <c r="O2528" s="111"/>
      <c r="P2528" s="111"/>
      <c r="Q2528" s="111"/>
      <c r="R2528" s="111"/>
    </row>
    <row r="2529" spans="2:18" s="108" customFormat="1">
      <c r="B2529" s="97"/>
      <c r="C2529" s="110"/>
      <c r="D2529" s="109"/>
      <c r="E2529" s="97"/>
      <c r="F2529" s="97"/>
      <c r="G2529" s="109"/>
      <c r="H2529" s="109"/>
      <c r="I2529" s="97"/>
      <c r="J2529" s="97"/>
      <c r="K2529" s="83"/>
      <c r="L2529" s="111"/>
      <c r="M2529" s="111"/>
      <c r="N2529" s="111"/>
      <c r="O2529" s="111"/>
      <c r="P2529" s="111"/>
      <c r="Q2529" s="111"/>
      <c r="R2529" s="111"/>
    </row>
    <row r="2530" spans="2:18" s="108" customFormat="1">
      <c r="B2530" s="97"/>
      <c r="C2530" s="110"/>
      <c r="D2530" s="109"/>
      <c r="E2530" s="97"/>
      <c r="F2530" s="97"/>
      <c r="G2530" s="109"/>
      <c r="H2530" s="109"/>
      <c r="I2530" s="97"/>
      <c r="J2530" s="97"/>
      <c r="K2530" s="83"/>
      <c r="L2530" s="111"/>
      <c r="M2530" s="111"/>
      <c r="N2530" s="111"/>
      <c r="O2530" s="111"/>
      <c r="P2530" s="111"/>
      <c r="Q2530" s="111"/>
      <c r="R2530" s="111"/>
    </row>
    <row r="2531" spans="2:18" s="108" customFormat="1">
      <c r="B2531" s="97"/>
      <c r="C2531" s="110"/>
      <c r="D2531" s="109"/>
      <c r="E2531" s="97"/>
      <c r="F2531" s="97"/>
      <c r="G2531" s="109"/>
      <c r="H2531" s="109"/>
      <c r="I2531" s="97"/>
      <c r="J2531" s="97"/>
      <c r="K2531" s="83"/>
      <c r="L2531" s="111"/>
      <c r="M2531" s="111"/>
      <c r="N2531" s="111"/>
      <c r="O2531" s="111"/>
      <c r="P2531" s="111"/>
      <c r="Q2531" s="111"/>
      <c r="R2531" s="111"/>
    </row>
    <row r="2532" spans="2:18" s="108" customFormat="1">
      <c r="B2532" s="97"/>
      <c r="C2532" s="110"/>
      <c r="D2532" s="109"/>
      <c r="E2532" s="97"/>
      <c r="F2532" s="97"/>
      <c r="G2532" s="109"/>
      <c r="H2532" s="109"/>
      <c r="I2532" s="97"/>
      <c r="J2532" s="97"/>
      <c r="K2532" s="83"/>
      <c r="L2532" s="111"/>
      <c r="M2532" s="111"/>
      <c r="N2532" s="111"/>
      <c r="O2532" s="111"/>
      <c r="P2532" s="111"/>
      <c r="Q2532" s="111"/>
      <c r="R2532" s="111"/>
    </row>
    <row r="2533" spans="2:18" s="108" customFormat="1">
      <c r="B2533" s="97"/>
      <c r="C2533" s="110"/>
      <c r="D2533" s="109"/>
      <c r="E2533" s="97"/>
      <c r="F2533" s="97"/>
      <c r="G2533" s="109"/>
      <c r="H2533" s="109"/>
      <c r="I2533" s="97"/>
      <c r="J2533" s="97"/>
      <c r="K2533" s="83"/>
      <c r="L2533" s="111"/>
      <c r="M2533" s="111"/>
      <c r="N2533" s="111"/>
      <c r="O2533" s="111"/>
      <c r="P2533" s="111"/>
      <c r="Q2533" s="111"/>
      <c r="R2533" s="111"/>
    </row>
    <row r="2534" spans="2:18" s="108" customFormat="1">
      <c r="B2534" s="97"/>
      <c r="C2534" s="110"/>
      <c r="D2534" s="109"/>
      <c r="E2534" s="97"/>
      <c r="F2534" s="97"/>
      <c r="G2534" s="109"/>
      <c r="H2534" s="109"/>
      <c r="I2534" s="97"/>
      <c r="J2534" s="97"/>
      <c r="K2534" s="83"/>
      <c r="L2534" s="111"/>
      <c r="M2534" s="111"/>
      <c r="N2534" s="111"/>
      <c r="O2534" s="111"/>
      <c r="P2534" s="111"/>
      <c r="Q2534" s="111"/>
      <c r="R2534" s="111"/>
    </row>
    <row r="2535" spans="2:18" s="108" customFormat="1">
      <c r="B2535" s="97"/>
      <c r="C2535" s="110"/>
      <c r="D2535" s="109"/>
      <c r="E2535" s="97"/>
      <c r="F2535" s="97"/>
      <c r="G2535" s="109"/>
      <c r="H2535" s="109"/>
      <c r="I2535" s="97"/>
      <c r="J2535" s="97"/>
      <c r="K2535" s="83"/>
      <c r="L2535" s="111"/>
      <c r="M2535" s="111"/>
      <c r="N2535" s="111"/>
      <c r="O2535" s="111"/>
      <c r="P2535" s="111"/>
      <c r="Q2535" s="111"/>
      <c r="R2535" s="111"/>
    </row>
    <row r="2536" spans="2:18" s="108" customFormat="1">
      <c r="B2536" s="97"/>
      <c r="C2536" s="110"/>
      <c r="D2536" s="109"/>
      <c r="E2536" s="97"/>
      <c r="F2536" s="97"/>
      <c r="G2536" s="109"/>
      <c r="H2536" s="109"/>
      <c r="I2536" s="97"/>
      <c r="J2536" s="97"/>
      <c r="K2536" s="83"/>
      <c r="L2536" s="111"/>
      <c r="M2536" s="111"/>
      <c r="N2536" s="111"/>
      <c r="O2536" s="111"/>
      <c r="P2536" s="111"/>
      <c r="Q2536" s="111"/>
      <c r="R2536" s="111"/>
    </row>
    <row r="2537" spans="2:18" s="108" customFormat="1">
      <c r="B2537" s="97"/>
      <c r="C2537" s="110"/>
      <c r="D2537" s="109"/>
      <c r="E2537" s="97"/>
      <c r="F2537" s="97"/>
      <c r="G2537" s="109"/>
      <c r="H2537" s="109"/>
      <c r="I2537" s="97"/>
      <c r="J2537" s="97"/>
      <c r="K2537" s="83"/>
      <c r="L2537" s="111"/>
      <c r="M2537" s="111"/>
      <c r="N2537" s="111"/>
      <c r="O2537" s="111"/>
      <c r="P2537" s="111"/>
      <c r="Q2537" s="111"/>
      <c r="R2537" s="111"/>
    </row>
    <row r="2538" spans="2:18" s="108" customFormat="1">
      <c r="B2538" s="97"/>
      <c r="C2538" s="110"/>
      <c r="D2538" s="109"/>
      <c r="E2538" s="97"/>
      <c r="F2538" s="97"/>
      <c r="G2538" s="109"/>
      <c r="H2538" s="109"/>
      <c r="I2538" s="97"/>
      <c r="J2538" s="97"/>
      <c r="K2538" s="83"/>
      <c r="L2538" s="111"/>
      <c r="M2538" s="111"/>
      <c r="N2538" s="111"/>
      <c r="O2538" s="111"/>
      <c r="P2538" s="111"/>
      <c r="Q2538" s="111"/>
      <c r="R2538" s="111"/>
    </row>
    <row r="2539" spans="2:18" s="108" customFormat="1">
      <c r="B2539" s="97"/>
      <c r="C2539" s="110"/>
      <c r="D2539" s="109"/>
      <c r="E2539" s="97"/>
      <c r="F2539" s="97"/>
      <c r="G2539" s="109"/>
      <c r="H2539" s="109"/>
      <c r="I2539" s="97"/>
      <c r="J2539" s="97"/>
      <c r="K2539" s="83"/>
      <c r="L2539" s="111"/>
      <c r="M2539" s="111"/>
      <c r="N2539" s="111"/>
      <c r="O2539" s="111"/>
      <c r="P2539" s="111"/>
      <c r="Q2539" s="111"/>
      <c r="R2539" s="111"/>
    </row>
    <row r="2540" spans="2:18" s="108" customFormat="1">
      <c r="B2540" s="97"/>
      <c r="C2540" s="110"/>
      <c r="D2540" s="109"/>
      <c r="E2540" s="97"/>
      <c r="F2540" s="97"/>
      <c r="G2540" s="109"/>
      <c r="H2540" s="109"/>
      <c r="I2540" s="97"/>
      <c r="J2540" s="97"/>
      <c r="K2540" s="83"/>
      <c r="L2540" s="111"/>
      <c r="M2540" s="111"/>
      <c r="N2540" s="111"/>
      <c r="O2540" s="111"/>
      <c r="P2540" s="111"/>
      <c r="Q2540" s="111"/>
      <c r="R2540" s="111"/>
    </row>
    <row r="2541" spans="2:18" s="108" customFormat="1">
      <c r="B2541" s="97"/>
      <c r="C2541" s="110"/>
      <c r="D2541" s="109"/>
      <c r="E2541" s="97"/>
      <c r="F2541" s="97"/>
      <c r="G2541" s="109"/>
      <c r="H2541" s="109"/>
      <c r="I2541" s="97"/>
      <c r="J2541" s="97"/>
      <c r="K2541" s="83"/>
      <c r="L2541" s="111"/>
      <c r="M2541" s="111"/>
      <c r="N2541" s="111"/>
      <c r="O2541" s="111"/>
      <c r="P2541" s="111"/>
      <c r="Q2541" s="111"/>
      <c r="R2541" s="111"/>
    </row>
    <row r="2542" spans="2:18" s="108" customFormat="1">
      <c r="B2542" s="97"/>
      <c r="C2542" s="110"/>
      <c r="D2542" s="109"/>
      <c r="E2542" s="97"/>
      <c r="F2542" s="97"/>
      <c r="G2542" s="109"/>
      <c r="H2542" s="109"/>
      <c r="I2542" s="97"/>
      <c r="J2542" s="97"/>
      <c r="K2542" s="83"/>
      <c r="L2542" s="111"/>
      <c r="M2542" s="111"/>
      <c r="N2542" s="111"/>
      <c r="O2542" s="111"/>
      <c r="P2542" s="111"/>
      <c r="Q2542" s="111"/>
      <c r="R2542" s="111"/>
    </row>
    <row r="2543" spans="2:18" s="108" customFormat="1">
      <c r="B2543" s="97"/>
      <c r="C2543" s="110"/>
      <c r="D2543" s="109"/>
      <c r="E2543" s="97"/>
      <c r="F2543" s="97"/>
      <c r="G2543" s="109"/>
      <c r="H2543" s="109"/>
      <c r="I2543" s="97"/>
      <c r="J2543" s="97"/>
      <c r="K2543" s="83"/>
      <c r="L2543" s="111"/>
      <c r="M2543" s="111"/>
      <c r="N2543" s="111"/>
      <c r="O2543" s="111"/>
      <c r="P2543" s="111"/>
      <c r="Q2543" s="111"/>
      <c r="R2543" s="111"/>
    </row>
    <row r="2544" spans="2:18" s="108" customFormat="1">
      <c r="B2544" s="97"/>
      <c r="C2544" s="110"/>
      <c r="D2544" s="109"/>
      <c r="E2544" s="97"/>
      <c r="F2544" s="97"/>
      <c r="G2544" s="109"/>
      <c r="H2544" s="109"/>
      <c r="I2544" s="97"/>
      <c r="J2544" s="97"/>
      <c r="K2544" s="83"/>
      <c r="L2544" s="111"/>
      <c r="M2544" s="111"/>
      <c r="N2544" s="111"/>
      <c r="O2544" s="111"/>
      <c r="P2544" s="111"/>
      <c r="Q2544" s="111"/>
      <c r="R2544" s="111"/>
    </row>
    <row r="2545" spans="2:18" s="108" customFormat="1">
      <c r="B2545" s="97"/>
      <c r="C2545" s="110"/>
      <c r="D2545" s="109"/>
      <c r="E2545" s="97"/>
      <c r="F2545" s="97"/>
      <c r="G2545" s="109"/>
      <c r="H2545" s="109"/>
      <c r="I2545" s="97"/>
      <c r="J2545" s="97"/>
      <c r="K2545" s="83"/>
      <c r="L2545" s="111"/>
      <c r="M2545" s="111"/>
      <c r="N2545" s="111"/>
      <c r="O2545" s="111"/>
      <c r="P2545" s="111"/>
      <c r="Q2545" s="111"/>
      <c r="R2545" s="111"/>
    </row>
    <row r="2546" spans="2:18" s="108" customFormat="1">
      <c r="B2546" s="97"/>
      <c r="C2546" s="110"/>
      <c r="D2546" s="109"/>
      <c r="E2546" s="97"/>
      <c r="F2546" s="97"/>
      <c r="G2546" s="109"/>
      <c r="H2546" s="109"/>
      <c r="I2546" s="97"/>
      <c r="J2546" s="97"/>
      <c r="K2546" s="83"/>
      <c r="L2546" s="111"/>
      <c r="M2546" s="111"/>
      <c r="N2546" s="111"/>
      <c r="O2546" s="111"/>
      <c r="P2546" s="111"/>
      <c r="Q2546" s="111"/>
      <c r="R2546" s="111"/>
    </row>
    <row r="2547" spans="2:18" s="108" customFormat="1">
      <c r="B2547" s="97"/>
      <c r="C2547" s="110"/>
      <c r="D2547" s="109"/>
      <c r="E2547" s="97"/>
      <c r="F2547" s="97"/>
      <c r="G2547" s="109"/>
      <c r="H2547" s="109"/>
      <c r="I2547" s="97"/>
      <c r="J2547" s="97"/>
      <c r="K2547" s="83"/>
      <c r="L2547" s="111"/>
      <c r="M2547" s="111"/>
      <c r="N2547" s="111"/>
      <c r="O2547" s="111"/>
      <c r="P2547" s="111"/>
      <c r="Q2547" s="111"/>
      <c r="R2547" s="111"/>
    </row>
    <row r="2548" spans="2:18" s="108" customFormat="1">
      <c r="B2548" s="97"/>
      <c r="C2548" s="110"/>
      <c r="D2548" s="109"/>
      <c r="E2548" s="97"/>
      <c r="F2548" s="97"/>
      <c r="G2548" s="109"/>
      <c r="H2548" s="109"/>
      <c r="I2548" s="97"/>
      <c r="J2548" s="97"/>
      <c r="K2548" s="83"/>
      <c r="L2548" s="111"/>
      <c r="M2548" s="111"/>
      <c r="N2548" s="111"/>
      <c r="O2548" s="111"/>
      <c r="P2548" s="111"/>
      <c r="Q2548" s="111"/>
      <c r="R2548" s="111"/>
    </row>
    <row r="2549" spans="2:18" s="108" customFormat="1">
      <c r="B2549" s="97"/>
      <c r="C2549" s="110"/>
      <c r="D2549" s="109"/>
      <c r="E2549" s="97"/>
      <c r="F2549" s="97"/>
      <c r="G2549" s="109"/>
      <c r="H2549" s="109"/>
      <c r="I2549" s="97"/>
      <c r="J2549" s="97"/>
      <c r="K2549" s="83"/>
      <c r="L2549" s="111"/>
      <c r="M2549" s="111"/>
      <c r="N2549" s="111"/>
      <c r="O2549" s="111"/>
      <c r="P2549" s="111"/>
      <c r="Q2549" s="111"/>
      <c r="R2549" s="111"/>
    </row>
    <row r="2550" spans="2:18" s="108" customFormat="1">
      <c r="B2550" s="97"/>
      <c r="C2550" s="110"/>
      <c r="D2550" s="109"/>
      <c r="E2550" s="97"/>
      <c r="F2550" s="97"/>
      <c r="G2550" s="109"/>
      <c r="H2550" s="109"/>
      <c r="I2550" s="97"/>
      <c r="J2550" s="97"/>
      <c r="K2550" s="83"/>
      <c r="L2550" s="111"/>
      <c r="M2550" s="111"/>
      <c r="N2550" s="111"/>
      <c r="O2550" s="111"/>
      <c r="P2550" s="111"/>
      <c r="Q2550" s="111"/>
      <c r="R2550" s="111"/>
    </row>
    <row r="2551" spans="2:18" s="108" customFormat="1">
      <c r="B2551" s="97"/>
      <c r="C2551" s="110"/>
      <c r="D2551" s="109"/>
      <c r="E2551" s="97"/>
      <c r="F2551" s="97"/>
      <c r="G2551" s="109"/>
      <c r="H2551" s="109"/>
      <c r="I2551" s="97"/>
      <c r="J2551" s="97"/>
      <c r="K2551" s="83"/>
      <c r="L2551" s="111"/>
      <c r="M2551" s="111"/>
      <c r="N2551" s="111"/>
      <c r="O2551" s="111"/>
      <c r="P2551" s="111"/>
      <c r="Q2551" s="111"/>
      <c r="R2551" s="111"/>
    </row>
    <row r="2552" spans="2:18" s="108" customFormat="1">
      <c r="B2552" s="97"/>
      <c r="C2552" s="110"/>
      <c r="D2552" s="109"/>
      <c r="E2552" s="97"/>
      <c r="F2552" s="97"/>
      <c r="G2552" s="109"/>
      <c r="H2552" s="109"/>
      <c r="I2552" s="97"/>
      <c r="J2552" s="97"/>
      <c r="K2552" s="83"/>
      <c r="L2552" s="111"/>
      <c r="M2552" s="111"/>
      <c r="N2552" s="111"/>
      <c r="O2552" s="111"/>
      <c r="P2552" s="111"/>
      <c r="Q2552" s="111"/>
      <c r="R2552" s="111"/>
    </row>
    <row r="2553" spans="2:18" s="108" customFormat="1">
      <c r="B2553" s="97"/>
      <c r="C2553" s="110"/>
      <c r="D2553" s="109"/>
      <c r="E2553" s="97"/>
      <c r="F2553" s="97"/>
      <c r="G2553" s="109"/>
      <c r="H2553" s="109"/>
      <c r="I2553" s="97"/>
      <c r="J2553" s="97"/>
      <c r="K2553" s="83"/>
      <c r="L2553" s="111"/>
      <c r="M2553" s="111"/>
      <c r="N2553" s="111"/>
      <c r="O2553" s="111"/>
      <c r="P2553" s="111"/>
      <c r="Q2553" s="111"/>
      <c r="R2553" s="111"/>
    </row>
    <row r="2554" spans="2:18" s="108" customFormat="1">
      <c r="B2554" s="97"/>
      <c r="C2554" s="110"/>
      <c r="D2554" s="109"/>
      <c r="E2554" s="97"/>
      <c r="F2554" s="97"/>
      <c r="G2554" s="109"/>
      <c r="H2554" s="109"/>
      <c r="I2554" s="97"/>
      <c r="J2554" s="97"/>
      <c r="K2554" s="83"/>
      <c r="L2554" s="111"/>
      <c r="M2554" s="111"/>
      <c r="N2554" s="111"/>
      <c r="O2554" s="111"/>
      <c r="P2554" s="111"/>
      <c r="Q2554" s="111"/>
      <c r="R2554" s="111"/>
    </row>
    <row r="2555" spans="2:18" s="108" customFormat="1">
      <c r="B2555" s="97"/>
      <c r="C2555" s="110"/>
      <c r="D2555" s="109"/>
      <c r="E2555" s="97"/>
      <c r="F2555" s="97"/>
      <c r="G2555" s="109"/>
      <c r="H2555" s="109"/>
      <c r="I2555" s="97"/>
      <c r="J2555" s="97"/>
      <c r="K2555" s="83"/>
      <c r="L2555" s="111"/>
      <c r="M2555" s="111"/>
      <c r="N2555" s="111"/>
      <c r="O2555" s="111"/>
      <c r="P2555" s="111"/>
      <c r="Q2555" s="111"/>
      <c r="R2555" s="111"/>
    </row>
    <row r="2556" spans="2:18" s="108" customFormat="1">
      <c r="B2556" s="97"/>
      <c r="C2556" s="110"/>
      <c r="D2556" s="109"/>
      <c r="E2556" s="97"/>
      <c r="F2556" s="97"/>
      <c r="G2556" s="109"/>
      <c r="H2556" s="109"/>
      <c r="I2556" s="97"/>
      <c r="J2556" s="97"/>
      <c r="K2556" s="83"/>
      <c r="L2556" s="111"/>
      <c r="M2556" s="111"/>
      <c r="N2556" s="111"/>
      <c r="O2556" s="111"/>
      <c r="P2556" s="111"/>
      <c r="Q2556" s="111"/>
      <c r="R2556" s="111"/>
    </row>
    <row r="2557" spans="2:18" s="108" customFormat="1">
      <c r="B2557" s="97"/>
      <c r="C2557" s="110"/>
      <c r="D2557" s="109"/>
      <c r="E2557" s="97"/>
      <c r="F2557" s="97"/>
      <c r="G2557" s="109"/>
      <c r="H2557" s="109"/>
      <c r="I2557" s="97"/>
      <c r="J2557" s="97"/>
      <c r="K2557" s="83"/>
      <c r="L2557" s="111"/>
      <c r="M2557" s="111"/>
      <c r="N2557" s="111"/>
      <c r="O2557" s="111"/>
      <c r="P2557" s="111"/>
      <c r="Q2557" s="111"/>
      <c r="R2557" s="111"/>
    </row>
    <row r="2558" spans="2:18" s="108" customFormat="1">
      <c r="B2558" s="97"/>
      <c r="C2558" s="110"/>
      <c r="D2558" s="109"/>
      <c r="E2558" s="97"/>
      <c r="F2558" s="97"/>
      <c r="G2558" s="109"/>
      <c r="H2558" s="109"/>
      <c r="I2558" s="97"/>
      <c r="J2558" s="97"/>
      <c r="K2558" s="83"/>
      <c r="L2558" s="111"/>
      <c r="M2558" s="111"/>
      <c r="N2558" s="111"/>
      <c r="O2558" s="111"/>
      <c r="P2558" s="111"/>
      <c r="Q2558" s="111"/>
      <c r="R2558" s="111"/>
    </row>
    <row r="2559" spans="2:18" s="108" customFormat="1">
      <c r="B2559" s="97"/>
      <c r="C2559" s="110"/>
      <c r="D2559" s="109"/>
      <c r="E2559" s="97"/>
      <c r="F2559" s="97"/>
      <c r="G2559" s="109"/>
      <c r="H2559" s="109"/>
      <c r="I2559" s="97"/>
      <c r="J2559" s="97"/>
      <c r="K2559" s="83"/>
      <c r="L2559" s="111"/>
      <c r="M2559" s="111"/>
      <c r="N2559" s="111"/>
      <c r="O2559" s="111"/>
      <c r="P2559" s="111"/>
      <c r="Q2559" s="111"/>
      <c r="R2559" s="111"/>
    </row>
    <row r="2560" spans="2:18" s="108" customFormat="1">
      <c r="B2560" s="97"/>
      <c r="C2560" s="110"/>
      <c r="D2560" s="109"/>
      <c r="E2560" s="97"/>
      <c r="F2560" s="97"/>
      <c r="G2560" s="109"/>
      <c r="H2560" s="109"/>
      <c r="I2560" s="97"/>
      <c r="J2560" s="97"/>
      <c r="K2560" s="83"/>
      <c r="L2560" s="111"/>
      <c r="M2560" s="111"/>
      <c r="N2560" s="111"/>
      <c r="O2560" s="111"/>
      <c r="P2560" s="111"/>
      <c r="Q2560" s="111"/>
      <c r="R2560" s="111"/>
    </row>
    <row r="2561" spans="2:18" s="108" customFormat="1">
      <c r="B2561" s="97"/>
      <c r="C2561" s="110"/>
      <c r="D2561" s="109"/>
      <c r="E2561" s="97"/>
      <c r="F2561" s="97"/>
      <c r="G2561" s="109"/>
      <c r="H2561" s="109"/>
      <c r="I2561" s="97"/>
      <c r="J2561" s="97"/>
      <c r="K2561" s="83"/>
      <c r="L2561" s="111"/>
      <c r="M2561" s="111"/>
      <c r="N2561" s="111"/>
      <c r="O2561" s="111"/>
      <c r="P2561" s="111"/>
      <c r="Q2561" s="111"/>
      <c r="R2561" s="111"/>
    </row>
    <row r="2562" spans="2:18" s="108" customFormat="1">
      <c r="B2562" s="97"/>
      <c r="C2562" s="110"/>
      <c r="D2562" s="109"/>
      <c r="E2562" s="97"/>
      <c r="F2562" s="97"/>
      <c r="G2562" s="109"/>
      <c r="H2562" s="109"/>
      <c r="I2562" s="97"/>
      <c r="J2562" s="97"/>
      <c r="K2562" s="83"/>
      <c r="L2562" s="111"/>
      <c r="M2562" s="111"/>
      <c r="N2562" s="111"/>
      <c r="O2562" s="111"/>
      <c r="P2562" s="111"/>
      <c r="Q2562" s="111"/>
      <c r="R2562" s="111"/>
    </row>
    <row r="2563" spans="2:18" s="108" customFormat="1">
      <c r="B2563" s="97"/>
      <c r="C2563" s="110"/>
      <c r="D2563" s="109"/>
      <c r="E2563" s="97"/>
      <c r="F2563" s="97"/>
      <c r="G2563" s="109"/>
      <c r="H2563" s="109"/>
      <c r="I2563" s="97"/>
      <c r="J2563" s="97"/>
      <c r="K2563" s="83"/>
      <c r="L2563" s="111"/>
      <c r="M2563" s="111"/>
      <c r="N2563" s="111"/>
      <c r="O2563" s="111"/>
      <c r="P2563" s="111"/>
      <c r="Q2563" s="111"/>
      <c r="R2563" s="111"/>
    </row>
    <row r="2564" spans="2:18" s="108" customFormat="1">
      <c r="B2564" s="97"/>
      <c r="C2564" s="110"/>
      <c r="D2564" s="109"/>
      <c r="E2564" s="97"/>
      <c r="F2564" s="97"/>
      <c r="G2564" s="109"/>
      <c r="H2564" s="109"/>
      <c r="I2564" s="97"/>
      <c r="J2564" s="97"/>
      <c r="K2564" s="83"/>
      <c r="L2564" s="111"/>
      <c r="M2564" s="111"/>
      <c r="N2564" s="111"/>
      <c r="O2564" s="111"/>
      <c r="P2564" s="111"/>
      <c r="Q2564" s="111"/>
      <c r="R2564" s="111"/>
    </row>
    <row r="2565" spans="2:18" s="108" customFormat="1">
      <c r="B2565" s="97"/>
      <c r="C2565" s="110"/>
      <c r="D2565" s="109"/>
      <c r="E2565" s="97"/>
      <c r="F2565" s="97"/>
      <c r="G2565" s="109"/>
      <c r="H2565" s="109"/>
      <c r="I2565" s="97"/>
      <c r="J2565" s="97"/>
      <c r="K2565" s="83"/>
      <c r="L2565" s="111"/>
      <c r="M2565" s="111"/>
      <c r="N2565" s="111"/>
      <c r="O2565" s="111"/>
      <c r="P2565" s="111"/>
      <c r="Q2565" s="111"/>
      <c r="R2565" s="111"/>
    </row>
    <row r="2566" spans="2:18" s="108" customFormat="1">
      <c r="B2566" s="97"/>
      <c r="C2566" s="110"/>
      <c r="D2566" s="109"/>
      <c r="E2566" s="97"/>
      <c r="F2566" s="97"/>
      <c r="G2566" s="109"/>
      <c r="H2566" s="109"/>
      <c r="I2566" s="97"/>
      <c r="J2566" s="97"/>
      <c r="K2566" s="83"/>
      <c r="L2566" s="111"/>
      <c r="M2566" s="111"/>
      <c r="N2566" s="111"/>
      <c r="O2566" s="111"/>
      <c r="P2566" s="111"/>
      <c r="Q2566" s="111"/>
      <c r="R2566" s="111"/>
    </row>
    <row r="2567" spans="2:18" s="108" customFormat="1">
      <c r="B2567" s="97"/>
      <c r="C2567" s="110"/>
      <c r="D2567" s="109"/>
      <c r="E2567" s="97"/>
      <c r="F2567" s="97"/>
      <c r="G2567" s="109"/>
      <c r="H2567" s="109"/>
      <c r="I2567" s="97"/>
      <c r="J2567" s="97"/>
      <c r="K2567" s="83"/>
      <c r="L2567" s="111"/>
      <c r="M2567" s="111"/>
      <c r="N2567" s="111"/>
      <c r="O2567" s="111"/>
      <c r="P2567" s="111"/>
      <c r="Q2567" s="111"/>
      <c r="R2567" s="111"/>
    </row>
    <row r="2568" spans="2:18" s="108" customFormat="1">
      <c r="B2568" s="97"/>
      <c r="C2568" s="110"/>
      <c r="D2568" s="109"/>
      <c r="E2568" s="97"/>
      <c r="F2568" s="97"/>
      <c r="G2568" s="109"/>
      <c r="H2568" s="109"/>
      <c r="I2568" s="97"/>
      <c r="J2568" s="97"/>
      <c r="K2568" s="83"/>
      <c r="L2568" s="111"/>
      <c r="M2568" s="111"/>
      <c r="N2568" s="111"/>
      <c r="O2568" s="111"/>
      <c r="P2568" s="111"/>
      <c r="Q2568" s="111"/>
      <c r="R2568" s="111"/>
    </row>
    <row r="2569" spans="2:18" s="108" customFormat="1">
      <c r="B2569" s="97"/>
      <c r="C2569" s="110"/>
      <c r="D2569" s="109"/>
      <c r="E2569" s="97"/>
      <c r="F2569" s="97"/>
      <c r="G2569" s="109"/>
      <c r="H2569" s="109"/>
      <c r="I2569" s="97"/>
      <c r="J2569" s="97"/>
      <c r="K2569" s="83"/>
      <c r="L2569" s="111"/>
      <c r="M2569" s="111"/>
      <c r="N2569" s="111"/>
      <c r="O2569" s="111"/>
      <c r="P2569" s="111"/>
      <c r="Q2569" s="111"/>
      <c r="R2569" s="111"/>
    </row>
    <row r="2570" spans="2:18" s="108" customFormat="1">
      <c r="B2570" s="97"/>
      <c r="C2570" s="110"/>
      <c r="D2570" s="109"/>
      <c r="E2570" s="97"/>
      <c r="F2570" s="97"/>
      <c r="G2570" s="109"/>
      <c r="H2570" s="109"/>
      <c r="I2570" s="97"/>
      <c r="J2570" s="97"/>
      <c r="K2570" s="83"/>
      <c r="L2570" s="111"/>
      <c r="M2570" s="111"/>
      <c r="N2570" s="111"/>
      <c r="O2570" s="111"/>
      <c r="P2570" s="111"/>
      <c r="Q2570" s="111"/>
      <c r="R2570" s="111"/>
    </row>
    <row r="2571" spans="2:18" s="108" customFormat="1">
      <c r="B2571" s="97"/>
      <c r="C2571" s="110"/>
      <c r="D2571" s="109"/>
      <c r="E2571" s="97"/>
      <c r="F2571" s="97"/>
      <c r="G2571" s="109"/>
      <c r="H2571" s="109"/>
      <c r="I2571" s="97"/>
      <c r="J2571" s="97"/>
      <c r="K2571" s="83"/>
      <c r="L2571" s="111"/>
      <c r="M2571" s="111"/>
      <c r="N2571" s="111"/>
      <c r="O2571" s="111"/>
      <c r="P2571" s="111"/>
      <c r="Q2571" s="111"/>
      <c r="R2571" s="111"/>
    </row>
    <row r="2572" spans="2:18" s="108" customFormat="1">
      <c r="B2572" s="97"/>
      <c r="C2572" s="110"/>
      <c r="D2572" s="109"/>
      <c r="E2572" s="97"/>
      <c r="F2572" s="97"/>
      <c r="G2572" s="109"/>
      <c r="H2572" s="109"/>
      <c r="I2572" s="97"/>
      <c r="J2572" s="97"/>
      <c r="K2572" s="83"/>
      <c r="L2572" s="111"/>
      <c r="M2572" s="111"/>
      <c r="N2572" s="111"/>
      <c r="O2572" s="111"/>
      <c r="P2572" s="111"/>
      <c r="Q2572" s="111"/>
      <c r="R2572" s="111"/>
    </row>
    <row r="2573" spans="2:18" s="108" customFormat="1">
      <c r="B2573" s="97"/>
      <c r="C2573" s="110"/>
      <c r="D2573" s="109"/>
      <c r="E2573" s="97"/>
      <c r="F2573" s="97"/>
      <c r="G2573" s="109"/>
      <c r="H2573" s="109"/>
      <c r="I2573" s="97"/>
      <c r="J2573" s="97"/>
      <c r="K2573" s="83"/>
      <c r="L2573" s="111"/>
      <c r="M2573" s="111"/>
      <c r="N2573" s="111"/>
      <c r="O2573" s="111"/>
      <c r="P2573" s="111"/>
      <c r="Q2573" s="111"/>
      <c r="R2573" s="111"/>
    </row>
    <row r="2574" spans="2:18" s="108" customFormat="1">
      <c r="B2574" s="97"/>
      <c r="C2574" s="110"/>
      <c r="D2574" s="109"/>
      <c r="E2574" s="97"/>
      <c r="F2574" s="97"/>
      <c r="G2574" s="109"/>
      <c r="H2574" s="109"/>
      <c r="I2574" s="97"/>
      <c r="J2574" s="97"/>
      <c r="K2574" s="83"/>
      <c r="L2574" s="111"/>
      <c r="M2574" s="111"/>
      <c r="N2574" s="111"/>
      <c r="O2574" s="111"/>
      <c r="P2574" s="111"/>
      <c r="Q2574" s="111"/>
      <c r="R2574" s="111"/>
    </row>
    <row r="2575" spans="2:18" s="108" customFormat="1">
      <c r="B2575" s="97"/>
      <c r="C2575" s="110"/>
      <c r="D2575" s="109"/>
      <c r="E2575" s="97"/>
      <c r="F2575" s="97"/>
      <c r="G2575" s="109"/>
      <c r="H2575" s="109"/>
      <c r="I2575" s="97"/>
      <c r="J2575" s="97"/>
      <c r="K2575" s="83"/>
      <c r="L2575" s="111"/>
      <c r="M2575" s="111"/>
      <c r="N2575" s="111"/>
      <c r="O2575" s="111"/>
      <c r="P2575" s="111"/>
      <c r="Q2575" s="111"/>
      <c r="R2575" s="111"/>
    </row>
    <row r="2576" spans="2:18" s="108" customFormat="1">
      <c r="B2576" s="97"/>
      <c r="C2576" s="110"/>
      <c r="D2576" s="109"/>
      <c r="E2576" s="97"/>
      <c r="F2576" s="97"/>
      <c r="G2576" s="109"/>
      <c r="H2576" s="109"/>
      <c r="I2576" s="97"/>
      <c r="J2576" s="97"/>
      <c r="K2576" s="83"/>
      <c r="L2576" s="111"/>
      <c r="M2576" s="111"/>
      <c r="N2576" s="111"/>
      <c r="O2576" s="111"/>
      <c r="P2576" s="111"/>
      <c r="Q2576" s="111"/>
      <c r="R2576" s="111"/>
    </row>
    <row r="2577" spans="2:18" s="108" customFormat="1">
      <c r="B2577" s="97"/>
      <c r="C2577" s="110"/>
      <c r="D2577" s="109"/>
      <c r="E2577" s="97"/>
      <c r="F2577" s="97"/>
      <c r="G2577" s="109"/>
      <c r="H2577" s="109"/>
      <c r="I2577" s="97"/>
      <c r="J2577" s="97"/>
      <c r="K2577" s="83"/>
      <c r="L2577" s="111"/>
      <c r="M2577" s="111"/>
      <c r="N2577" s="111"/>
      <c r="O2577" s="111"/>
      <c r="P2577" s="111"/>
      <c r="Q2577" s="111"/>
      <c r="R2577" s="111"/>
    </row>
    <row r="2578" spans="2:18" s="108" customFormat="1">
      <c r="B2578" s="97"/>
      <c r="C2578" s="110"/>
      <c r="D2578" s="109"/>
      <c r="E2578" s="97"/>
      <c r="F2578" s="97"/>
      <c r="G2578" s="109"/>
      <c r="H2578" s="109"/>
      <c r="I2578" s="97"/>
      <c r="J2578" s="97"/>
      <c r="K2578" s="83"/>
      <c r="L2578" s="111"/>
      <c r="M2578" s="111"/>
      <c r="N2578" s="111"/>
      <c r="O2578" s="111"/>
      <c r="P2578" s="111"/>
      <c r="Q2578" s="111"/>
      <c r="R2578" s="111"/>
    </row>
    <row r="2579" spans="2:18" s="108" customFormat="1">
      <c r="B2579" s="97"/>
      <c r="C2579" s="110"/>
      <c r="D2579" s="109"/>
      <c r="E2579" s="97"/>
      <c r="F2579" s="97"/>
      <c r="G2579" s="109"/>
      <c r="H2579" s="109"/>
      <c r="I2579" s="97"/>
      <c r="J2579" s="97"/>
      <c r="K2579" s="83"/>
      <c r="L2579" s="111"/>
      <c r="M2579" s="111"/>
      <c r="N2579" s="111"/>
      <c r="O2579" s="111"/>
      <c r="P2579" s="111"/>
      <c r="Q2579" s="111"/>
      <c r="R2579" s="111"/>
    </row>
    <row r="2580" spans="2:18" s="108" customFormat="1">
      <c r="B2580" s="97"/>
      <c r="C2580" s="110"/>
      <c r="D2580" s="109"/>
      <c r="E2580" s="97"/>
      <c r="F2580" s="97"/>
      <c r="G2580" s="109"/>
      <c r="H2580" s="109"/>
      <c r="I2580" s="97"/>
      <c r="J2580" s="97"/>
      <c r="K2580" s="83"/>
      <c r="L2580" s="111"/>
      <c r="M2580" s="111"/>
      <c r="N2580" s="111"/>
      <c r="O2580" s="111"/>
      <c r="P2580" s="111"/>
      <c r="Q2580" s="111"/>
      <c r="R2580" s="111"/>
    </row>
    <row r="2581" spans="2:18" s="108" customFormat="1">
      <c r="B2581" s="97"/>
      <c r="C2581" s="110"/>
      <c r="D2581" s="109"/>
      <c r="E2581" s="97"/>
      <c r="F2581" s="97"/>
      <c r="G2581" s="109"/>
      <c r="H2581" s="109"/>
      <c r="I2581" s="97"/>
      <c r="J2581" s="97"/>
      <c r="K2581" s="83"/>
      <c r="L2581" s="111"/>
      <c r="M2581" s="111"/>
      <c r="N2581" s="111"/>
      <c r="O2581" s="111"/>
      <c r="P2581" s="111"/>
      <c r="Q2581" s="111"/>
      <c r="R2581" s="111"/>
    </row>
    <row r="2582" spans="2:18" s="108" customFormat="1">
      <c r="B2582" s="97"/>
      <c r="C2582" s="110"/>
      <c r="D2582" s="109"/>
      <c r="E2582" s="97"/>
      <c r="F2582" s="97"/>
      <c r="G2582" s="109"/>
      <c r="H2582" s="109"/>
      <c r="I2582" s="97"/>
      <c r="J2582" s="97"/>
      <c r="K2582" s="83"/>
      <c r="L2582" s="111"/>
      <c r="M2582" s="111"/>
      <c r="N2582" s="111"/>
      <c r="O2582" s="111"/>
      <c r="P2582" s="111"/>
      <c r="Q2582" s="111"/>
      <c r="R2582" s="111"/>
    </row>
    <row r="2583" spans="2:18" s="108" customFormat="1">
      <c r="B2583" s="97"/>
      <c r="C2583" s="110"/>
      <c r="D2583" s="109"/>
      <c r="E2583" s="97"/>
      <c r="F2583" s="97"/>
      <c r="G2583" s="109"/>
      <c r="H2583" s="109"/>
      <c r="I2583" s="97"/>
      <c r="J2583" s="97"/>
      <c r="K2583" s="83"/>
      <c r="L2583" s="111"/>
      <c r="M2583" s="111"/>
      <c r="N2583" s="111"/>
      <c r="O2583" s="111"/>
      <c r="P2583" s="111"/>
      <c r="Q2583" s="111"/>
      <c r="R2583" s="111"/>
    </row>
    <row r="2584" spans="2:18" s="108" customFormat="1">
      <c r="B2584" s="97"/>
      <c r="C2584" s="110"/>
      <c r="D2584" s="109"/>
      <c r="E2584" s="97"/>
      <c r="F2584" s="97"/>
      <c r="G2584" s="109"/>
      <c r="H2584" s="109"/>
      <c r="I2584" s="97"/>
      <c r="J2584" s="97"/>
      <c r="K2584" s="83"/>
      <c r="L2584" s="111"/>
      <c r="M2584" s="111"/>
      <c r="N2584" s="111"/>
      <c r="O2584" s="111"/>
      <c r="P2584" s="111"/>
      <c r="Q2584" s="111"/>
      <c r="R2584" s="111"/>
    </row>
    <row r="2585" spans="2:18" s="108" customFormat="1">
      <c r="B2585" s="97"/>
      <c r="C2585" s="110"/>
      <c r="D2585" s="109"/>
      <c r="E2585" s="97"/>
      <c r="F2585" s="97"/>
      <c r="G2585" s="109"/>
      <c r="H2585" s="109"/>
      <c r="I2585" s="97"/>
      <c r="J2585" s="97"/>
      <c r="K2585" s="83"/>
      <c r="L2585" s="111"/>
      <c r="M2585" s="111"/>
      <c r="N2585" s="111"/>
      <c r="O2585" s="111"/>
      <c r="P2585" s="111"/>
      <c r="Q2585" s="111"/>
      <c r="R2585" s="111"/>
    </row>
    <row r="2586" spans="2:18" s="108" customFormat="1">
      <c r="B2586" s="97"/>
      <c r="C2586" s="110"/>
      <c r="D2586" s="109"/>
      <c r="E2586" s="97"/>
      <c r="F2586" s="97"/>
      <c r="G2586" s="109"/>
      <c r="H2586" s="109"/>
      <c r="I2586" s="97"/>
      <c r="J2586" s="97"/>
      <c r="K2586" s="83"/>
      <c r="L2586" s="111"/>
      <c r="M2586" s="111"/>
      <c r="N2586" s="111"/>
      <c r="O2586" s="111"/>
      <c r="P2586" s="111"/>
      <c r="Q2586" s="111"/>
      <c r="R2586" s="111"/>
    </row>
    <row r="2587" spans="2:18" s="108" customFormat="1">
      <c r="B2587" s="97"/>
      <c r="C2587" s="110"/>
      <c r="D2587" s="109"/>
      <c r="E2587" s="97"/>
      <c r="F2587" s="97"/>
      <c r="G2587" s="109"/>
      <c r="H2587" s="109"/>
      <c r="I2587" s="97"/>
      <c r="J2587" s="97"/>
      <c r="K2587" s="83"/>
      <c r="L2587" s="111"/>
      <c r="M2587" s="111"/>
      <c r="N2587" s="111"/>
      <c r="O2587" s="111"/>
      <c r="P2587" s="111"/>
      <c r="Q2587" s="111"/>
      <c r="R2587" s="111"/>
    </row>
    <row r="2588" spans="2:18" s="108" customFormat="1">
      <c r="B2588" s="97"/>
      <c r="C2588" s="110"/>
      <c r="D2588" s="109"/>
      <c r="E2588" s="97"/>
      <c r="F2588" s="97"/>
      <c r="G2588" s="109"/>
      <c r="H2588" s="109"/>
      <c r="I2588" s="97"/>
      <c r="J2588" s="97"/>
      <c r="K2588" s="83"/>
      <c r="L2588" s="111"/>
      <c r="M2588" s="111"/>
      <c r="N2588" s="111"/>
      <c r="O2588" s="111"/>
      <c r="P2588" s="111"/>
      <c r="Q2588" s="111"/>
      <c r="R2588" s="111"/>
    </row>
    <row r="2589" spans="2:18" s="108" customFormat="1">
      <c r="B2589" s="97"/>
      <c r="C2589" s="110"/>
      <c r="D2589" s="109"/>
      <c r="E2589" s="97"/>
      <c r="F2589" s="97"/>
      <c r="G2589" s="109"/>
      <c r="H2589" s="109"/>
      <c r="I2589" s="97"/>
      <c r="J2589" s="97"/>
      <c r="K2589" s="83"/>
      <c r="L2589" s="111"/>
      <c r="M2589" s="111"/>
      <c r="N2589" s="111"/>
      <c r="O2589" s="111"/>
      <c r="P2589" s="111"/>
      <c r="Q2589" s="111"/>
      <c r="R2589" s="111"/>
    </row>
    <row r="2590" spans="2:18" s="108" customFormat="1">
      <c r="B2590" s="97"/>
      <c r="C2590" s="110"/>
      <c r="D2590" s="109"/>
      <c r="E2590" s="97"/>
      <c r="F2590" s="97"/>
      <c r="G2590" s="109"/>
      <c r="H2590" s="109"/>
      <c r="I2590" s="97"/>
      <c r="J2590" s="97"/>
      <c r="K2590" s="83"/>
      <c r="L2590" s="111"/>
      <c r="M2590" s="111"/>
      <c r="N2590" s="111"/>
      <c r="O2590" s="111"/>
      <c r="P2590" s="111"/>
      <c r="Q2590" s="111"/>
      <c r="R2590" s="111"/>
    </row>
    <row r="2591" spans="2:18" s="108" customFormat="1">
      <c r="B2591" s="97"/>
      <c r="C2591" s="110"/>
      <c r="D2591" s="109"/>
      <c r="E2591" s="97"/>
      <c r="F2591" s="97"/>
      <c r="G2591" s="109"/>
      <c r="H2591" s="109"/>
      <c r="I2591" s="97"/>
      <c r="J2591" s="97"/>
      <c r="K2591" s="83"/>
      <c r="L2591" s="111"/>
      <c r="M2591" s="111"/>
      <c r="N2591" s="111"/>
      <c r="O2591" s="111"/>
      <c r="P2591" s="111"/>
      <c r="Q2591" s="111"/>
      <c r="R2591" s="111"/>
    </row>
    <row r="2592" spans="2:18" s="108" customFormat="1">
      <c r="B2592" s="97"/>
      <c r="C2592" s="110"/>
      <c r="D2592" s="109"/>
      <c r="E2592" s="97"/>
      <c r="F2592" s="97"/>
      <c r="G2592" s="109"/>
      <c r="H2592" s="109"/>
      <c r="I2592" s="97"/>
      <c r="J2592" s="97"/>
      <c r="K2592" s="83"/>
      <c r="L2592" s="111"/>
      <c r="M2592" s="111"/>
      <c r="N2592" s="111"/>
      <c r="O2592" s="111"/>
      <c r="P2592" s="111"/>
      <c r="Q2592" s="111"/>
      <c r="R2592" s="111"/>
    </row>
    <row r="2593" spans="2:18" s="108" customFormat="1">
      <c r="B2593" s="97"/>
      <c r="C2593" s="110"/>
      <c r="D2593" s="109"/>
      <c r="E2593" s="97"/>
      <c r="F2593" s="97"/>
      <c r="G2593" s="109"/>
      <c r="H2593" s="109"/>
      <c r="I2593" s="97"/>
      <c r="J2593" s="97"/>
      <c r="K2593" s="83"/>
      <c r="L2593" s="111"/>
      <c r="M2593" s="111"/>
      <c r="N2593" s="111"/>
      <c r="O2593" s="111"/>
      <c r="P2593" s="111"/>
      <c r="Q2593" s="111"/>
      <c r="R2593" s="111"/>
    </row>
    <row r="2594" spans="2:18" s="108" customFormat="1">
      <c r="B2594" s="97"/>
      <c r="C2594" s="110"/>
      <c r="D2594" s="109"/>
      <c r="E2594" s="97"/>
      <c r="F2594" s="97"/>
      <c r="G2594" s="109"/>
      <c r="H2594" s="109"/>
      <c r="I2594" s="97"/>
      <c r="J2594" s="97"/>
      <c r="K2594" s="83"/>
      <c r="L2594" s="111"/>
      <c r="M2594" s="111"/>
      <c r="N2594" s="111"/>
      <c r="O2594" s="111"/>
      <c r="P2594" s="111"/>
      <c r="Q2594" s="111"/>
      <c r="R2594" s="111"/>
    </row>
    <row r="2595" spans="2:18" s="108" customFormat="1">
      <c r="B2595" s="97"/>
      <c r="C2595" s="110"/>
      <c r="D2595" s="109"/>
      <c r="E2595" s="97"/>
      <c r="F2595" s="97"/>
      <c r="G2595" s="109"/>
      <c r="H2595" s="109"/>
      <c r="I2595" s="97"/>
      <c r="J2595" s="97"/>
      <c r="K2595" s="83"/>
      <c r="L2595" s="111"/>
      <c r="M2595" s="111"/>
      <c r="N2595" s="111"/>
      <c r="O2595" s="111"/>
      <c r="P2595" s="111"/>
      <c r="Q2595" s="111"/>
      <c r="R2595" s="111"/>
    </row>
    <row r="2596" spans="2:18" s="108" customFormat="1">
      <c r="B2596" s="97"/>
      <c r="C2596" s="110"/>
      <c r="D2596" s="109"/>
      <c r="E2596" s="97"/>
      <c r="F2596" s="97"/>
      <c r="G2596" s="109"/>
      <c r="H2596" s="109"/>
      <c r="I2596" s="97"/>
      <c r="J2596" s="97"/>
      <c r="K2596" s="83"/>
      <c r="L2596" s="111"/>
      <c r="M2596" s="111"/>
      <c r="N2596" s="111"/>
      <c r="O2596" s="111"/>
      <c r="P2596" s="111"/>
      <c r="Q2596" s="111"/>
      <c r="R2596" s="111"/>
    </row>
    <row r="2597" spans="2:18" s="108" customFormat="1">
      <c r="B2597" s="97"/>
      <c r="C2597" s="110"/>
      <c r="D2597" s="109"/>
      <c r="E2597" s="97"/>
      <c r="F2597" s="97"/>
      <c r="G2597" s="109"/>
      <c r="H2597" s="109"/>
      <c r="I2597" s="97"/>
      <c r="J2597" s="97"/>
      <c r="K2597" s="83"/>
      <c r="L2597" s="111"/>
      <c r="M2597" s="111"/>
      <c r="N2597" s="111"/>
      <c r="O2597" s="111"/>
      <c r="P2597" s="111"/>
      <c r="Q2597" s="111"/>
      <c r="R2597" s="111"/>
    </row>
    <row r="2598" spans="2:18" s="108" customFormat="1">
      <c r="B2598" s="97"/>
      <c r="C2598" s="110"/>
      <c r="D2598" s="109"/>
      <c r="E2598" s="97"/>
      <c r="F2598" s="97"/>
      <c r="G2598" s="109"/>
      <c r="H2598" s="109"/>
      <c r="I2598" s="97"/>
      <c r="J2598" s="97"/>
      <c r="K2598" s="83"/>
      <c r="L2598" s="111"/>
      <c r="M2598" s="111"/>
      <c r="N2598" s="111"/>
      <c r="O2598" s="111"/>
      <c r="P2598" s="111"/>
      <c r="Q2598" s="111"/>
      <c r="R2598" s="111"/>
    </row>
    <row r="2599" spans="2:18" s="108" customFormat="1">
      <c r="B2599" s="97"/>
      <c r="C2599" s="110"/>
      <c r="D2599" s="109"/>
      <c r="E2599" s="97"/>
      <c r="F2599" s="97"/>
      <c r="G2599" s="109"/>
      <c r="H2599" s="109"/>
      <c r="I2599" s="97"/>
      <c r="J2599" s="97"/>
      <c r="K2599" s="83"/>
      <c r="L2599" s="111"/>
      <c r="M2599" s="111"/>
      <c r="N2599" s="111"/>
      <c r="O2599" s="111"/>
      <c r="P2599" s="111"/>
      <c r="Q2599" s="111"/>
      <c r="R2599" s="111"/>
    </row>
    <row r="2600" spans="2:18" s="108" customFormat="1">
      <c r="B2600" s="97"/>
      <c r="C2600" s="110"/>
      <c r="D2600" s="109"/>
      <c r="E2600" s="97"/>
      <c r="F2600" s="97"/>
      <c r="G2600" s="109"/>
      <c r="H2600" s="109"/>
      <c r="I2600" s="97"/>
      <c r="J2600" s="97"/>
      <c r="K2600" s="83"/>
      <c r="L2600" s="111"/>
      <c r="M2600" s="111"/>
      <c r="N2600" s="111"/>
      <c r="O2600" s="111"/>
      <c r="P2600" s="111"/>
      <c r="Q2600" s="111"/>
      <c r="R2600" s="111"/>
    </row>
    <row r="2601" spans="2:18" s="108" customFormat="1">
      <c r="B2601" s="97"/>
      <c r="C2601" s="110"/>
      <c r="D2601" s="109"/>
      <c r="E2601" s="97"/>
      <c r="F2601" s="97"/>
      <c r="G2601" s="109"/>
      <c r="H2601" s="109"/>
      <c r="I2601" s="97"/>
      <c r="J2601" s="97"/>
      <c r="K2601" s="83"/>
      <c r="L2601" s="111"/>
      <c r="M2601" s="111"/>
      <c r="N2601" s="111"/>
      <c r="O2601" s="111"/>
      <c r="P2601" s="111"/>
      <c r="Q2601" s="111"/>
      <c r="R2601" s="111"/>
    </row>
    <row r="2602" spans="2:18" s="108" customFormat="1">
      <c r="B2602" s="97"/>
      <c r="C2602" s="110"/>
      <c r="D2602" s="109"/>
      <c r="E2602" s="97"/>
      <c r="F2602" s="97"/>
      <c r="G2602" s="109"/>
      <c r="H2602" s="109"/>
      <c r="I2602" s="97"/>
      <c r="J2602" s="97"/>
      <c r="K2602" s="83"/>
      <c r="L2602" s="111"/>
      <c r="M2602" s="111"/>
      <c r="N2602" s="111"/>
      <c r="O2602" s="111"/>
      <c r="P2602" s="111"/>
      <c r="Q2602" s="111"/>
      <c r="R2602" s="111"/>
    </row>
    <row r="2603" spans="2:18" s="108" customFormat="1">
      <c r="B2603" s="97"/>
      <c r="C2603" s="110"/>
      <c r="D2603" s="109"/>
      <c r="E2603" s="97"/>
      <c r="F2603" s="97"/>
      <c r="G2603" s="109"/>
      <c r="H2603" s="109"/>
      <c r="I2603" s="97"/>
      <c r="J2603" s="97"/>
      <c r="K2603" s="83"/>
      <c r="L2603" s="111"/>
      <c r="M2603" s="111"/>
      <c r="N2603" s="111"/>
      <c r="O2603" s="111"/>
      <c r="P2603" s="111"/>
      <c r="Q2603" s="111"/>
      <c r="R2603" s="111"/>
    </row>
    <row r="2604" spans="2:18" s="108" customFormat="1">
      <c r="B2604" s="97"/>
      <c r="C2604" s="110"/>
      <c r="D2604" s="109"/>
      <c r="E2604" s="97"/>
      <c r="F2604" s="97"/>
      <c r="G2604" s="109"/>
      <c r="H2604" s="109"/>
      <c r="I2604" s="97"/>
      <c r="J2604" s="97"/>
      <c r="K2604" s="83"/>
      <c r="L2604" s="111"/>
      <c r="M2604" s="111"/>
      <c r="N2604" s="111"/>
      <c r="O2604" s="111"/>
      <c r="P2604" s="111"/>
      <c r="Q2604" s="111"/>
      <c r="R2604" s="111"/>
    </row>
    <row r="2605" spans="2:18" s="108" customFormat="1">
      <c r="B2605" s="97"/>
      <c r="C2605" s="110"/>
      <c r="D2605" s="109"/>
      <c r="E2605" s="97"/>
      <c r="F2605" s="97"/>
      <c r="G2605" s="109"/>
      <c r="H2605" s="109"/>
      <c r="I2605" s="97"/>
      <c r="J2605" s="97"/>
      <c r="K2605" s="83"/>
      <c r="L2605" s="111"/>
      <c r="M2605" s="111"/>
      <c r="N2605" s="111"/>
      <c r="O2605" s="111"/>
      <c r="P2605" s="111"/>
      <c r="Q2605" s="111"/>
      <c r="R2605" s="111"/>
    </row>
    <row r="2606" spans="2:18" s="108" customFormat="1">
      <c r="B2606" s="97"/>
      <c r="C2606" s="110"/>
      <c r="D2606" s="109"/>
      <c r="E2606" s="97"/>
      <c r="F2606" s="97"/>
      <c r="G2606" s="109"/>
      <c r="H2606" s="109"/>
      <c r="I2606" s="97"/>
      <c r="J2606" s="97"/>
      <c r="K2606" s="83"/>
      <c r="L2606" s="111"/>
      <c r="M2606" s="111"/>
      <c r="N2606" s="111"/>
      <c r="O2606" s="111"/>
      <c r="P2606" s="111"/>
      <c r="Q2606" s="111"/>
      <c r="R2606" s="111"/>
    </row>
    <row r="2607" spans="2:18" s="108" customFormat="1">
      <c r="B2607" s="97"/>
      <c r="C2607" s="110"/>
      <c r="D2607" s="109"/>
      <c r="E2607" s="97"/>
      <c r="F2607" s="97"/>
      <c r="G2607" s="109"/>
      <c r="H2607" s="109"/>
      <c r="I2607" s="97"/>
      <c r="J2607" s="97"/>
      <c r="K2607" s="83"/>
      <c r="L2607" s="111"/>
      <c r="M2607" s="111"/>
      <c r="N2607" s="111"/>
      <c r="O2607" s="111"/>
      <c r="P2607" s="111"/>
      <c r="Q2607" s="111"/>
      <c r="R2607" s="111"/>
    </row>
    <row r="2608" spans="2:18" s="108" customFormat="1">
      <c r="B2608" s="97"/>
      <c r="C2608" s="110"/>
      <c r="D2608" s="109"/>
      <c r="E2608" s="97"/>
      <c r="F2608" s="97"/>
      <c r="G2608" s="109"/>
      <c r="H2608" s="109"/>
      <c r="I2608" s="97"/>
      <c r="J2608" s="97"/>
      <c r="K2608" s="83"/>
      <c r="L2608" s="111"/>
      <c r="M2608" s="111"/>
      <c r="N2608" s="111"/>
      <c r="O2608" s="111"/>
      <c r="P2608" s="111"/>
      <c r="Q2608" s="111"/>
      <c r="R2608" s="111"/>
    </row>
    <row r="2609" spans="2:18" s="108" customFormat="1">
      <c r="B2609" s="97"/>
      <c r="C2609" s="110"/>
      <c r="D2609" s="109"/>
      <c r="E2609" s="97"/>
      <c r="F2609" s="97"/>
      <c r="G2609" s="109"/>
      <c r="H2609" s="109"/>
      <c r="I2609" s="97"/>
      <c r="J2609" s="97"/>
      <c r="K2609" s="83"/>
      <c r="L2609" s="111"/>
      <c r="M2609" s="111"/>
      <c r="N2609" s="111"/>
      <c r="O2609" s="111"/>
      <c r="P2609" s="111"/>
      <c r="Q2609" s="111"/>
      <c r="R2609" s="111"/>
    </row>
    <row r="2610" spans="2:18" s="108" customFormat="1">
      <c r="B2610" s="97"/>
      <c r="C2610" s="110"/>
      <c r="D2610" s="109"/>
      <c r="E2610" s="97"/>
      <c r="F2610" s="97"/>
      <c r="G2610" s="109"/>
      <c r="H2610" s="109"/>
      <c r="I2610" s="97"/>
      <c r="J2610" s="97"/>
      <c r="K2610" s="83"/>
      <c r="L2610" s="111"/>
      <c r="M2610" s="111"/>
      <c r="N2610" s="111"/>
      <c r="O2610" s="111"/>
      <c r="P2610" s="111"/>
      <c r="Q2610" s="111"/>
      <c r="R2610" s="111"/>
    </row>
    <row r="2611" spans="2:18" s="108" customFormat="1">
      <c r="B2611" s="97"/>
      <c r="C2611" s="110"/>
      <c r="D2611" s="109"/>
      <c r="E2611" s="97"/>
      <c r="F2611" s="97"/>
      <c r="G2611" s="109"/>
      <c r="H2611" s="109"/>
      <c r="I2611" s="97"/>
      <c r="J2611" s="97"/>
      <c r="K2611" s="83"/>
      <c r="L2611" s="111"/>
      <c r="M2611" s="111"/>
      <c r="N2611" s="111"/>
      <c r="O2611" s="111"/>
      <c r="P2611" s="111"/>
      <c r="Q2611" s="111"/>
      <c r="R2611" s="111"/>
    </row>
    <row r="2612" spans="2:18" s="108" customFormat="1">
      <c r="B2612" s="97"/>
      <c r="C2612" s="110"/>
      <c r="D2612" s="109"/>
      <c r="E2612" s="97"/>
      <c r="F2612" s="97"/>
      <c r="G2612" s="109"/>
      <c r="H2612" s="109"/>
      <c r="I2612" s="97"/>
      <c r="J2612" s="97"/>
      <c r="K2612" s="83"/>
      <c r="L2612" s="111"/>
      <c r="M2612" s="111"/>
      <c r="N2612" s="111"/>
      <c r="O2612" s="111"/>
      <c r="P2612" s="111"/>
      <c r="Q2612" s="111"/>
      <c r="R2612" s="111"/>
    </row>
    <row r="2613" spans="2:18" s="108" customFormat="1">
      <c r="B2613" s="97"/>
      <c r="C2613" s="110"/>
      <c r="D2613" s="109"/>
      <c r="E2613" s="97"/>
      <c r="F2613" s="97"/>
      <c r="G2613" s="109"/>
      <c r="H2613" s="109"/>
      <c r="I2613" s="97"/>
      <c r="J2613" s="97"/>
      <c r="K2613" s="83"/>
      <c r="L2613" s="111"/>
      <c r="M2613" s="111"/>
      <c r="N2613" s="111"/>
      <c r="O2613" s="111"/>
      <c r="P2613" s="111"/>
      <c r="Q2613" s="111"/>
      <c r="R2613" s="111"/>
    </row>
    <row r="2614" spans="2:18" s="108" customFormat="1">
      <c r="B2614" s="97"/>
      <c r="C2614" s="110"/>
      <c r="D2614" s="109"/>
      <c r="E2614" s="97"/>
      <c r="F2614" s="97"/>
      <c r="G2614" s="109"/>
      <c r="H2614" s="109"/>
      <c r="I2614" s="97"/>
      <c r="J2614" s="97"/>
      <c r="K2614" s="83"/>
      <c r="L2614" s="111"/>
      <c r="M2614" s="111"/>
      <c r="N2614" s="111"/>
      <c r="O2614" s="111"/>
      <c r="P2614" s="111"/>
      <c r="Q2614" s="111"/>
      <c r="R2614" s="111"/>
    </row>
    <row r="2615" spans="2:18" s="108" customFormat="1">
      <c r="B2615" s="97"/>
      <c r="C2615" s="110"/>
      <c r="D2615" s="109"/>
      <c r="E2615" s="97"/>
      <c r="F2615" s="97"/>
      <c r="G2615" s="109"/>
      <c r="H2615" s="109"/>
      <c r="I2615" s="97"/>
      <c r="J2615" s="97"/>
      <c r="K2615" s="83"/>
      <c r="L2615" s="111"/>
      <c r="M2615" s="111"/>
      <c r="N2615" s="111"/>
      <c r="O2615" s="111"/>
      <c r="P2615" s="111"/>
      <c r="Q2615" s="111"/>
      <c r="R2615" s="111"/>
    </row>
    <row r="2616" spans="2:18" s="108" customFormat="1">
      <c r="B2616" s="97"/>
      <c r="C2616" s="110"/>
      <c r="D2616" s="109"/>
      <c r="E2616" s="97"/>
      <c r="F2616" s="97"/>
      <c r="G2616" s="109"/>
      <c r="H2616" s="109"/>
      <c r="I2616" s="97"/>
      <c r="J2616" s="97"/>
      <c r="K2616" s="83"/>
      <c r="L2616" s="111"/>
      <c r="M2616" s="111"/>
      <c r="N2616" s="111"/>
      <c r="O2616" s="111"/>
      <c r="P2616" s="111"/>
      <c r="Q2616" s="111"/>
      <c r="R2616" s="111"/>
    </row>
    <row r="2617" spans="2:18" s="108" customFormat="1">
      <c r="B2617" s="97"/>
      <c r="C2617" s="110"/>
      <c r="D2617" s="109"/>
      <c r="E2617" s="97"/>
      <c r="F2617" s="97"/>
      <c r="G2617" s="109"/>
      <c r="H2617" s="109"/>
      <c r="I2617" s="97"/>
      <c r="J2617" s="97"/>
      <c r="K2617" s="83"/>
      <c r="L2617" s="111"/>
      <c r="M2617" s="111"/>
      <c r="N2617" s="111"/>
      <c r="O2617" s="111"/>
      <c r="P2617" s="111"/>
      <c r="Q2617" s="111"/>
      <c r="R2617" s="111"/>
    </row>
    <row r="2618" spans="2:18" s="108" customFormat="1">
      <c r="B2618" s="97"/>
      <c r="C2618" s="110"/>
      <c r="D2618" s="109"/>
      <c r="E2618" s="97"/>
      <c r="F2618" s="97"/>
      <c r="G2618" s="109"/>
      <c r="H2618" s="109"/>
      <c r="I2618" s="97"/>
      <c r="J2618" s="97"/>
      <c r="K2618" s="83"/>
      <c r="L2618" s="111"/>
      <c r="M2618" s="111"/>
      <c r="N2618" s="111"/>
      <c r="O2618" s="111"/>
      <c r="P2618" s="111"/>
      <c r="Q2618" s="111"/>
      <c r="R2618" s="111"/>
    </row>
    <row r="2619" spans="2:18" s="108" customFormat="1">
      <c r="B2619" s="97"/>
      <c r="C2619" s="110"/>
      <c r="D2619" s="109"/>
      <c r="E2619" s="97"/>
      <c r="F2619" s="97"/>
      <c r="G2619" s="109"/>
      <c r="H2619" s="109"/>
      <c r="I2619" s="97"/>
      <c r="J2619" s="97"/>
      <c r="K2619" s="83"/>
      <c r="L2619" s="111"/>
      <c r="M2619" s="111"/>
      <c r="N2619" s="111"/>
      <c r="O2619" s="111"/>
      <c r="P2619" s="111"/>
      <c r="Q2619" s="111"/>
      <c r="R2619" s="111"/>
    </row>
    <row r="2620" spans="2:18" s="108" customFormat="1">
      <c r="B2620" s="97"/>
      <c r="C2620" s="110"/>
      <c r="D2620" s="109"/>
      <c r="E2620" s="97"/>
      <c r="F2620" s="97"/>
      <c r="G2620" s="109"/>
      <c r="H2620" s="109"/>
      <c r="I2620" s="97"/>
      <c r="J2620" s="97"/>
      <c r="K2620" s="83"/>
      <c r="L2620" s="111"/>
      <c r="M2620" s="111"/>
      <c r="N2620" s="111"/>
      <c r="O2620" s="111"/>
      <c r="P2620" s="111"/>
      <c r="Q2620" s="111"/>
      <c r="R2620" s="111"/>
    </row>
    <row r="2621" spans="2:18" s="108" customFormat="1">
      <c r="B2621" s="97"/>
      <c r="C2621" s="110"/>
      <c r="D2621" s="109"/>
      <c r="E2621" s="97"/>
      <c r="F2621" s="97"/>
      <c r="G2621" s="109"/>
      <c r="H2621" s="109"/>
      <c r="I2621" s="97"/>
      <c r="J2621" s="97"/>
      <c r="K2621" s="83"/>
      <c r="L2621" s="111"/>
      <c r="M2621" s="111"/>
      <c r="N2621" s="111"/>
      <c r="O2621" s="111"/>
      <c r="P2621" s="111"/>
      <c r="Q2621" s="111"/>
      <c r="R2621" s="111"/>
    </row>
    <row r="2622" spans="2:18" s="108" customFormat="1">
      <c r="B2622" s="97"/>
      <c r="C2622" s="110"/>
      <c r="D2622" s="109"/>
      <c r="E2622" s="97"/>
      <c r="F2622" s="97"/>
      <c r="G2622" s="109"/>
      <c r="H2622" s="109"/>
      <c r="I2622" s="97"/>
      <c r="J2622" s="97"/>
      <c r="K2622" s="83"/>
      <c r="L2622" s="111"/>
      <c r="M2622" s="111"/>
      <c r="N2622" s="111"/>
      <c r="O2622" s="111"/>
      <c r="P2622" s="111"/>
      <c r="Q2622" s="111"/>
      <c r="R2622" s="111"/>
    </row>
    <row r="2623" spans="2:18" s="108" customFormat="1">
      <c r="B2623" s="97"/>
      <c r="C2623" s="110"/>
      <c r="D2623" s="109"/>
      <c r="E2623" s="97"/>
      <c r="F2623" s="97"/>
      <c r="G2623" s="109"/>
      <c r="H2623" s="109"/>
      <c r="I2623" s="97"/>
      <c r="J2623" s="97"/>
      <c r="K2623" s="83"/>
      <c r="L2623" s="111"/>
      <c r="M2623" s="111"/>
      <c r="N2623" s="111"/>
      <c r="O2623" s="111"/>
      <c r="P2623" s="111"/>
      <c r="Q2623" s="111"/>
      <c r="R2623" s="111"/>
    </row>
    <row r="2624" spans="2:18" s="108" customFormat="1">
      <c r="B2624" s="97"/>
      <c r="C2624" s="110"/>
      <c r="D2624" s="109"/>
      <c r="E2624" s="97"/>
      <c r="F2624" s="97"/>
      <c r="G2624" s="109"/>
      <c r="H2624" s="109"/>
      <c r="I2624" s="97"/>
      <c r="J2624" s="97"/>
      <c r="K2624" s="83"/>
      <c r="L2624" s="111"/>
      <c r="M2624" s="111"/>
      <c r="N2624" s="111"/>
      <c r="O2624" s="111"/>
      <c r="P2624" s="111"/>
      <c r="Q2624" s="111"/>
      <c r="R2624" s="111"/>
    </row>
    <row r="2625" spans="2:18" s="108" customFormat="1">
      <c r="B2625" s="97"/>
      <c r="C2625" s="110"/>
      <c r="D2625" s="109"/>
      <c r="E2625" s="97"/>
      <c r="F2625" s="97"/>
      <c r="G2625" s="109"/>
      <c r="H2625" s="109"/>
      <c r="I2625" s="97"/>
      <c r="J2625" s="97"/>
      <c r="K2625" s="83"/>
      <c r="L2625" s="111"/>
      <c r="M2625" s="111"/>
      <c r="N2625" s="111"/>
      <c r="O2625" s="111"/>
      <c r="P2625" s="111"/>
      <c r="Q2625" s="111"/>
      <c r="R2625" s="111"/>
    </row>
    <row r="2626" spans="2:18" s="108" customFormat="1">
      <c r="B2626" s="97"/>
      <c r="C2626" s="110"/>
      <c r="D2626" s="109"/>
      <c r="E2626" s="97"/>
      <c r="F2626" s="97"/>
      <c r="G2626" s="109"/>
      <c r="H2626" s="109"/>
      <c r="I2626" s="97"/>
      <c r="J2626" s="97"/>
      <c r="K2626" s="83"/>
      <c r="L2626" s="111"/>
      <c r="M2626" s="111"/>
      <c r="N2626" s="111"/>
      <c r="O2626" s="111"/>
      <c r="P2626" s="111"/>
      <c r="Q2626" s="111"/>
      <c r="R2626" s="111"/>
    </row>
    <row r="2627" spans="2:18" s="108" customFormat="1">
      <c r="B2627" s="97"/>
      <c r="C2627" s="110"/>
      <c r="D2627" s="109"/>
      <c r="E2627" s="97"/>
      <c r="F2627" s="97"/>
      <c r="G2627" s="109"/>
      <c r="H2627" s="109"/>
      <c r="I2627" s="97"/>
      <c r="J2627" s="97"/>
      <c r="K2627" s="83"/>
      <c r="L2627" s="111"/>
      <c r="M2627" s="111"/>
      <c r="N2627" s="111"/>
      <c r="O2627" s="111"/>
      <c r="P2627" s="111"/>
      <c r="Q2627" s="111"/>
      <c r="R2627" s="111"/>
    </row>
    <row r="2628" spans="2:18" s="108" customFormat="1">
      <c r="B2628" s="97"/>
      <c r="C2628" s="110"/>
      <c r="D2628" s="109"/>
      <c r="E2628" s="97"/>
      <c r="F2628" s="97"/>
      <c r="G2628" s="109"/>
      <c r="H2628" s="109"/>
      <c r="I2628" s="97"/>
      <c r="J2628" s="97"/>
      <c r="K2628" s="83"/>
      <c r="L2628" s="111"/>
      <c r="M2628" s="111"/>
      <c r="N2628" s="111"/>
      <c r="O2628" s="111"/>
      <c r="P2628" s="111"/>
      <c r="Q2628" s="111"/>
      <c r="R2628" s="111"/>
    </row>
    <row r="2629" spans="2:18" s="108" customFormat="1">
      <c r="B2629" s="97"/>
      <c r="C2629" s="110"/>
      <c r="D2629" s="109"/>
      <c r="E2629" s="97"/>
      <c r="F2629" s="97"/>
      <c r="G2629" s="109"/>
      <c r="H2629" s="109"/>
      <c r="I2629" s="97"/>
      <c r="J2629" s="97"/>
      <c r="K2629" s="83"/>
      <c r="L2629" s="111"/>
      <c r="M2629" s="111"/>
      <c r="N2629" s="111"/>
      <c r="O2629" s="111"/>
      <c r="P2629" s="111"/>
      <c r="Q2629" s="111"/>
      <c r="R2629" s="111"/>
    </row>
    <row r="2630" spans="2:18" s="108" customFormat="1">
      <c r="B2630" s="97"/>
      <c r="C2630" s="110"/>
      <c r="D2630" s="109"/>
      <c r="E2630" s="97"/>
      <c r="F2630" s="97"/>
      <c r="G2630" s="109"/>
      <c r="H2630" s="109"/>
      <c r="I2630" s="97"/>
      <c r="J2630" s="97"/>
      <c r="K2630" s="83"/>
      <c r="L2630" s="111"/>
      <c r="M2630" s="111"/>
      <c r="N2630" s="111"/>
      <c r="O2630" s="111"/>
      <c r="P2630" s="111"/>
      <c r="Q2630" s="111"/>
      <c r="R2630" s="111"/>
    </row>
    <row r="2631" spans="2:18" s="108" customFormat="1">
      <c r="B2631" s="97"/>
      <c r="C2631" s="110"/>
      <c r="D2631" s="109"/>
      <c r="E2631" s="97"/>
      <c r="F2631" s="97"/>
      <c r="G2631" s="109"/>
      <c r="H2631" s="109"/>
      <c r="I2631" s="97"/>
      <c r="J2631" s="97"/>
      <c r="K2631" s="83"/>
      <c r="L2631" s="111"/>
      <c r="M2631" s="111"/>
      <c r="N2631" s="111"/>
      <c r="O2631" s="111"/>
      <c r="P2631" s="111"/>
      <c r="Q2631" s="111"/>
      <c r="R2631" s="111"/>
    </row>
    <row r="2632" spans="2:18" s="108" customFormat="1">
      <c r="B2632" s="97"/>
      <c r="C2632" s="110"/>
      <c r="D2632" s="109"/>
      <c r="E2632" s="97"/>
      <c r="F2632" s="97"/>
      <c r="G2632" s="109"/>
      <c r="H2632" s="109"/>
      <c r="I2632" s="97"/>
      <c r="J2632" s="97"/>
      <c r="K2632" s="83"/>
      <c r="L2632" s="111"/>
      <c r="M2632" s="111"/>
      <c r="N2632" s="111"/>
      <c r="O2632" s="111"/>
      <c r="P2632" s="111"/>
      <c r="Q2632" s="111"/>
      <c r="R2632" s="111"/>
    </row>
    <row r="2633" spans="2:18" s="108" customFormat="1">
      <c r="B2633" s="97"/>
      <c r="C2633" s="110"/>
      <c r="D2633" s="109"/>
      <c r="E2633" s="97"/>
      <c r="F2633" s="97"/>
      <c r="G2633" s="109"/>
      <c r="H2633" s="109"/>
      <c r="I2633" s="97"/>
      <c r="J2633" s="97"/>
      <c r="K2633" s="83"/>
      <c r="L2633" s="111"/>
      <c r="M2633" s="111"/>
      <c r="N2633" s="111"/>
      <c r="O2633" s="111"/>
      <c r="P2633" s="111"/>
      <c r="Q2633" s="111"/>
      <c r="R2633" s="111"/>
    </row>
    <row r="2634" spans="2:18" s="108" customFormat="1">
      <c r="B2634" s="97"/>
      <c r="C2634" s="110"/>
      <c r="D2634" s="109"/>
      <c r="E2634" s="97"/>
      <c r="F2634" s="97"/>
      <c r="G2634" s="109"/>
      <c r="H2634" s="109"/>
      <c r="I2634" s="97"/>
      <c r="J2634" s="97"/>
      <c r="K2634" s="83"/>
      <c r="L2634" s="111"/>
      <c r="M2634" s="111"/>
      <c r="N2634" s="111"/>
      <c r="O2634" s="111"/>
      <c r="P2634" s="111"/>
      <c r="Q2634" s="111"/>
      <c r="R2634" s="111"/>
    </row>
    <row r="2635" spans="2:18" s="108" customFormat="1">
      <c r="B2635" s="97"/>
      <c r="C2635" s="110"/>
      <c r="D2635" s="109"/>
      <c r="E2635" s="97"/>
      <c r="F2635" s="97"/>
      <c r="G2635" s="109"/>
      <c r="H2635" s="109"/>
      <c r="I2635" s="97"/>
      <c r="J2635" s="97"/>
      <c r="K2635" s="83"/>
      <c r="L2635" s="111"/>
      <c r="M2635" s="111"/>
      <c r="N2635" s="111"/>
      <c r="O2635" s="111"/>
      <c r="P2635" s="111"/>
      <c r="Q2635" s="111"/>
      <c r="R2635" s="111"/>
    </row>
    <row r="2636" spans="2:18" s="108" customFormat="1">
      <c r="B2636" s="97"/>
      <c r="C2636" s="110"/>
      <c r="D2636" s="109"/>
      <c r="E2636" s="97"/>
      <c r="F2636" s="97"/>
      <c r="G2636" s="109"/>
      <c r="H2636" s="109"/>
      <c r="I2636" s="97"/>
      <c r="J2636" s="97"/>
      <c r="K2636" s="83"/>
      <c r="L2636" s="111"/>
      <c r="M2636" s="111"/>
      <c r="N2636" s="111"/>
      <c r="O2636" s="111"/>
      <c r="P2636" s="111"/>
      <c r="Q2636" s="111"/>
      <c r="R2636" s="111"/>
    </row>
    <row r="2637" spans="2:18" s="108" customFormat="1">
      <c r="B2637" s="97"/>
      <c r="C2637" s="110"/>
      <c r="D2637" s="109"/>
      <c r="E2637" s="97"/>
      <c r="F2637" s="97"/>
      <c r="G2637" s="109"/>
      <c r="H2637" s="109"/>
      <c r="I2637" s="97"/>
      <c r="J2637" s="97"/>
      <c r="K2637" s="83"/>
      <c r="L2637" s="111"/>
      <c r="M2637" s="111"/>
      <c r="N2637" s="111"/>
      <c r="O2637" s="111"/>
      <c r="P2637" s="111"/>
      <c r="Q2637" s="111"/>
      <c r="R2637" s="111"/>
    </row>
    <row r="2638" spans="2:18" s="108" customFormat="1">
      <c r="B2638" s="97"/>
      <c r="C2638" s="110"/>
      <c r="D2638" s="109"/>
      <c r="E2638" s="97"/>
      <c r="F2638" s="97"/>
      <c r="G2638" s="109"/>
      <c r="H2638" s="109"/>
      <c r="I2638" s="97"/>
      <c r="J2638" s="97"/>
      <c r="K2638" s="83"/>
      <c r="L2638" s="111"/>
      <c r="M2638" s="111"/>
      <c r="N2638" s="111"/>
      <c r="O2638" s="111"/>
      <c r="P2638" s="111"/>
      <c r="Q2638" s="111"/>
      <c r="R2638" s="111"/>
    </row>
    <row r="2639" spans="2:18" s="108" customFormat="1">
      <c r="B2639" s="97"/>
      <c r="C2639" s="110"/>
      <c r="D2639" s="109"/>
      <c r="E2639" s="97"/>
      <c r="F2639" s="97"/>
      <c r="G2639" s="109"/>
      <c r="H2639" s="109"/>
      <c r="I2639" s="97"/>
      <c r="J2639" s="97"/>
      <c r="K2639" s="83"/>
      <c r="L2639" s="111"/>
      <c r="M2639" s="111"/>
      <c r="N2639" s="111"/>
      <c r="O2639" s="111"/>
      <c r="P2639" s="111"/>
      <c r="Q2639" s="111"/>
      <c r="R2639" s="111"/>
    </row>
    <row r="2640" spans="2:18" s="108" customFormat="1">
      <c r="B2640" s="97"/>
      <c r="C2640" s="110"/>
      <c r="D2640" s="109"/>
      <c r="E2640" s="97"/>
      <c r="F2640" s="97"/>
      <c r="G2640" s="109"/>
      <c r="H2640" s="109"/>
      <c r="I2640" s="97"/>
      <c r="J2640" s="97"/>
      <c r="K2640" s="83"/>
      <c r="L2640" s="111"/>
      <c r="M2640" s="111"/>
      <c r="N2640" s="111"/>
      <c r="O2640" s="111"/>
      <c r="P2640" s="111"/>
      <c r="Q2640" s="111"/>
      <c r="R2640" s="111"/>
    </row>
    <row r="2641" spans="2:18" s="108" customFormat="1">
      <c r="B2641" s="97"/>
      <c r="C2641" s="110"/>
      <c r="D2641" s="109"/>
      <c r="E2641" s="97"/>
      <c r="F2641" s="97"/>
      <c r="G2641" s="109"/>
      <c r="H2641" s="109"/>
      <c r="I2641" s="97"/>
      <c r="J2641" s="97"/>
      <c r="K2641" s="83"/>
      <c r="L2641" s="111"/>
      <c r="M2641" s="111"/>
      <c r="N2641" s="111"/>
      <c r="O2641" s="111"/>
      <c r="P2641" s="111"/>
      <c r="Q2641" s="111"/>
      <c r="R2641" s="111"/>
    </row>
    <row r="2642" spans="2:18" s="108" customFormat="1">
      <c r="B2642" s="97"/>
      <c r="C2642" s="110"/>
      <c r="D2642" s="109"/>
      <c r="E2642" s="97"/>
      <c r="F2642" s="97"/>
      <c r="G2642" s="109"/>
      <c r="H2642" s="109"/>
      <c r="I2642" s="97"/>
      <c r="J2642" s="97"/>
      <c r="K2642" s="83"/>
      <c r="L2642" s="111"/>
      <c r="M2642" s="111"/>
      <c r="N2642" s="111"/>
      <c r="O2642" s="111"/>
      <c r="P2642" s="111"/>
      <c r="Q2642" s="111"/>
      <c r="R2642" s="111"/>
    </row>
    <row r="2643" spans="2:18" s="108" customFormat="1">
      <c r="B2643" s="97"/>
      <c r="C2643" s="110"/>
      <c r="D2643" s="109"/>
      <c r="E2643" s="97"/>
      <c r="F2643" s="97"/>
      <c r="G2643" s="109"/>
      <c r="H2643" s="109"/>
      <c r="I2643" s="97"/>
      <c r="J2643" s="97"/>
      <c r="K2643" s="83"/>
      <c r="L2643" s="111"/>
      <c r="M2643" s="111"/>
      <c r="N2643" s="111"/>
      <c r="O2643" s="111"/>
      <c r="P2643" s="111"/>
      <c r="Q2643" s="111"/>
      <c r="R2643" s="111"/>
    </row>
    <row r="2644" spans="2:18" s="108" customFormat="1">
      <c r="B2644" s="97"/>
      <c r="C2644" s="110"/>
      <c r="D2644" s="109"/>
      <c r="E2644" s="97"/>
      <c r="F2644" s="97"/>
      <c r="G2644" s="109"/>
      <c r="H2644" s="109"/>
      <c r="I2644" s="97"/>
      <c r="J2644" s="97"/>
      <c r="K2644" s="83"/>
      <c r="L2644" s="111"/>
      <c r="M2644" s="111"/>
      <c r="N2644" s="111"/>
      <c r="O2644" s="111"/>
      <c r="P2644" s="111"/>
      <c r="Q2644" s="111"/>
      <c r="R2644" s="111"/>
    </row>
    <row r="2645" spans="2:18" s="108" customFormat="1">
      <c r="B2645" s="97"/>
      <c r="C2645" s="110"/>
      <c r="D2645" s="109"/>
      <c r="E2645" s="97"/>
      <c r="F2645" s="97"/>
      <c r="G2645" s="109"/>
      <c r="H2645" s="109"/>
      <c r="I2645" s="97"/>
      <c r="J2645" s="97"/>
      <c r="K2645" s="83"/>
      <c r="L2645" s="111"/>
      <c r="M2645" s="111"/>
      <c r="N2645" s="111"/>
      <c r="O2645" s="111"/>
      <c r="P2645" s="111"/>
      <c r="Q2645" s="111"/>
      <c r="R2645" s="111"/>
    </row>
    <row r="2646" spans="2:18" s="108" customFormat="1">
      <c r="B2646" s="97"/>
      <c r="C2646" s="110"/>
      <c r="D2646" s="109"/>
      <c r="E2646" s="97"/>
      <c r="F2646" s="97"/>
      <c r="G2646" s="109"/>
      <c r="H2646" s="109"/>
      <c r="I2646" s="97"/>
      <c r="J2646" s="97"/>
      <c r="K2646" s="83"/>
      <c r="L2646" s="111"/>
      <c r="M2646" s="111"/>
      <c r="N2646" s="111"/>
      <c r="O2646" s="111"/>
      <c r="P2646" s="111"/>
      <c r="Q2646" s="111"/>
      <c r="R2646" s="111"/>
    </row>
    <row r="2647" spans="2:18" s="108" customFormat="1">
      <c r="B2647" s="97"/>
      <c r="C2647" s="110"/>
      <c r="D2647" s="109"/>
      <c r="E2647" s="97"/>
      <c r="F2647" s="97"/>
      <c r="G2647" s="109"/>
      <c r="H2647" s="109"/>
      <c r="I2647" s="97"/>
      <c r="J2647" s="97"/>
      <c r="K2647" s="83"/>
      <c r="L2647" s="111"/>
      <c r="M2647" s="111"/>
      <c r="N2647" s="111"/>
      <c r="O2647" s="111"/>
      <c r="P2647" s="111"/>
      <c r="Q2647" s="111"/>
      <c r="R2647" s="111"/>
    </row>
    <row r="2648" spans="2:18" s="108" customFormat="1">
      <c r="B2648" s="97"/>
      <c r="C2648" s="110"/>
      <c r="D2648" s="109"/>
      <c r="E2648" s="97"/>
      <c r="F2648" s="97"/>
      <c r="G2648" s="109"/>
      <c r="H2648" s="109"/>
      <c r="I2648" s="97"/>
      <c r="J2648" s="97"/>
      <c r="K2648" s="83"/>
      <c r="L2648" s="111"/>
      <c r="M2648" s="111"/>
      <c r="N2648" s="111"/>
      <c r="O2648" s="111"/>
      <c r="P2648" s="111"/>
      <c r="Q2648" s="111"/>
      <c r="R2648" s="111"/>
    </row>
    <row r="2649" spans="2:18" s="108" customFormat="1">
      <c r="B2649" s="97"/>
      <c r="C2649" s="110"/>
      <c r="D2649" s="109"/>
      <c r="E2649" s="97"/>
      <c r="F2649" s="97"/>
      <c r="G2649" s="109"/>
      <c r="H2649" s="109"/>
      <c r="I2649" s="97"/>
      <c r="J2649" s="97"/>
      <c r="K2649" s="83"/>
      <c r="L2649" s="111"/>
      <c r="M2649" s="111"/>
      <c r="N2649" s="111"/>
      <c r="O2649" s="111"/>
      <c r="P2649" s="111"/>
      <c r="Q2649" s="111"/>
      <c r="R2649" s="111"/>
    </row>
    <row r="2650" spans="2:18" s="108" customFormat="1">
      <c r="B2650" s="97"/>
      <c r="C2650" s="110"/>
      <c r="D2650" s="109"/>
      <c r="E2650" s="97"/>
      <c r="F2650" s="97"/>
      <c r="G2650" s="109"/>
      <c r="H2650" s="109"/>
      <c r="I2650" s="97"/>
      <c r="J2650" s="97"/>
      <c r="K2650" s="83"/>
      <c r="L2650" s="111"/>
      <c r="M2650" s="111"/>
      <c r="N2650" s="111"/>
      <c r="O2650" s="111"/>
      <c r="P2650" s="111"/>
      <c r="Q2650" s="111"/>
      <c r="R2650" s="111"/>
    </row>
    <row r="2651" spans="2:18" s="108" customFormat="1">
      <c r="B2651" s="97"/>
      <c r="C2651" s="110"/>
      <c r="D2651" s="109"/>
      <c r="E2651" s="97"/>
      <c r="F2651" s="97"/>
      <c r="G2651" s="109"/>
      <c r="H2651" s="109"/>
      <c r="I2651" s="97"/>
      <c r="J2651" s="97"/>
      <c r="K2651" s="83"/>
      <c r="L2651" s="111"/>
      <c r="M2651" s="111"/>
      <c r="N2651" s="111"/>
      <c r="O2651" s="111"/>
      <c r="P2651" s="111"/>
      <c r="Q2651" s="111"/>
      <c r="R2651" s="111"/>
    </row>
    <row r="2652" spans="2:18" s="108" customFormat="1">
      <c r="B2652" s="97"/>
      <c r="C2652" s="110"/>
      <c r="D2652" s="109"/>
      <c r="E2652" s="97"/>
      <c r="F2652" s="97"/>
      <c r="G2652" s="109"/>
      <c r="H2652" s="109"/>
      <c r="I2652" s="97"/>
      <c r="J2652" s="97"/>
      <c r="K2652" s="83"/>
      <c r="L2652" s="111"/>
      <c r="M2652" s="111"/>
      <c r="N2652" s="111"/>
      <c r="O2652" s="111"/>
      <c r="P2652" s="111"/>
      <c r="Q2652" s="111"/>
      <c r="R2652" s="111"/>
    </row>
    <row r="2653" spans="2:18" s="108" customFormat="1">
      <c r="B2653" s="97"/>
      <c r="C2653" s="110"/>
      <c r="D2653" s="109"/>
      <c r="E2653" s="97"/>
      <c r="F2653" s="97"/>
      <c r="G2653" s="109"/>
      <c r="H2653" s="109"/>
      <c r="I2653" s="97"/>
      <c r="J2653" s="97"/>
      <c r="K2653" s="83"/>
      <c r="L2653" s="111"/>
      <c r="M2653" s="111"/>
      <c r="N2653" s="111"/>
      <c r="O2653" s="111"/>
      <c r="P2653" s="111"/>
      <c r="Q2653" s="111"/>
      <c r="R2653" s="111"/>
    </row>
    <row r="2654" spans="2:18" s="108" customFormat="1">
      <c r="B2654" s="97"/>
      <c r="C2654" s="110"/>
      <c r="D2654" s="109"/>
      <c r="E2654" s="97"/>
      <c r="F2654" s="97"/>
      <c r="G2654" s="109"/>
      <c r="H2654" s="109"/>
      <c r="I2654" s="97"/>
      <c r="J2654" s="97"/>
      <c r="K2654" s="83"/>
      <c r="L2654" s="111"/>
      <c r="M2654" s="111"/>
      <c r="N2654" s="111"/>
      <c r="O2654" s="111"/>
      <c r="P2654" s="111"/>
      <c r="Q2654" s="111"/>
      <c r="R2654" s="111"/>
    </row>
    <row r="2655" spans="2:18" s="108" customFormat="1">
      <c r="B2655" s="97"/>
      <c r="C2655" s="110"/>
      <c r="D2655" s="109"/>
      <c r="E2655" s="97"/>
      <c r="F2655" s="97"/>
      <c r="G2655" s="109"/>
      <c r="H2655" s="109"/>
      <c r="I2655" s="97"/>
      <c r="J2655" s="97"/>
      <c r="K2655" s="83"/>
      <c r="L2655" s="111"/>
      <c r="M2655" s="111"/>
      <c r="N2655" s="111"/>
      <c r="O2655" s="111"/>
      <c r="P2655" s="111"/>
      <c r="Q2655" s="111"/>
      <c r="R2655" s="111"/>
    </row>
    <row r="2656" spans="2:18" s="108" customFormat="1">
      <c r="B2656" s="97"/>
      <c r="C2656" s="110"/>
      <c r="D2656" s="109"/>
      <c r="E2656" s="97"/>
      <c r="F2656" s="97"/>
      <c r="G2656" s="109"/>
      <c r="H2656" s="109"/>
      <c r="I2656" s="97"/>
      <c r="J2656" s="97"/>
      <c r="K2656" s="83"/>
      <c r="L2656" s="111"/>
      <c r="M2656" s="111"/>
      <c r="N2656" s="111"/>
      <c r="O2656" s="111"/>
      <c r="P2656" s="111"/>
      <c r="Q2656" s="111"/>
      <c r="R2656" s="111"/>
    </row>
    <row r="2657" spans="2:18" s="108" customFormat="1">
      <c r="B2657" s="97"/>
      <c r="C2657" s="110"/>
      <c r="D2657" s="109"/>
      <c r="E2657" s="97"/>
      <c r="F2657" s="97"/>
      <c r="G2657" s="109"/>
      <c r="H2657" s="109"/>
      <c r="I2657" s="97"/>
      <c r="J2657" s="97"/>
      <c r="K2657" s="83"/>
      <c r="L2657" s="111"/>
      <c r="M2657" s="111"/>
      <c r="N2657" s="111"/>
      <c r="O2657" s="111"/>
      <c r="P2657" s="111"/>
      <c r="Q2657" s="111"/>
      <c r="R2657" s="111"/>
    </row>
    <row r="2658" spans="2:18" s="108" customFormat="1">
      <c r="B2658" s="97"/>
      <c r="C2658" s="110"/>
      <c r="D2658" s="109"/>
      <c r="E2658" s="97"/>
      <c r="F2658" s="97"/>
      <c r="G2658" s="109"/>
      <c r="H2658" s="109"/>
      <c r="I2658" s="97"/>
      <c r="J2658" s="97"/>
      <c r="K2658" s="83"/>
      <c r="L2658" s="111"/>
      <c r="M2658" s="111"/>
      <c r="N2658" s="111"/>
      <c r="O2658" s="111"/>
      <c r="P2658" s="111"/>
      <c r="Q2658" s="111"/>
      <c r="R2658" s="111"/>
    </row>
    <row r="2659" spans="2:18" s="108" customFormat="1">
      <c r="B2659" s="97"/>
      <c r="C2659" s="110"/>
      <c r="D2659" s="109"/>
      <c r="E2659" s="97"/>
      <c r="F2659" s="97"/>
      <c r="G2659" s="109"/>
      <c r="H2659" s="109"/>
      <c r="I2659" s="97"/>
      <c r="J2659" s="97"/>
      <c r="K2659" s="83"/>
      <c r="L2659" s="111"/>
      <c r="M2659" s="111"/>
      <c r="N2659" s="111"/>
      <c r="O2659" s="111"/>
      <c r="P2659" s="111"/>
      <c r="Q2659" s="111"/>
      <c r="R2659" s="111"/>
    </row>
    <row r="2660" spans="2:18" s="108" customFormat="1">
      <c r="B2660" s="97"/>
      <c r="C2660" s="110"/>
      <c r="D2660" s="109"/>
      <c r="E2660" s="97"/>
      <c r="F2660" s="97"/>
      <c r="G2660" s="109"/>
      <c r="H2660" s="109"/>
      <c r="I2660" s="97"/>
      <c r="J2660" s="97"/>
      <c r="K2660" s="83"/>
      <c r="L2660" s="111"/>
      <c r="M2660" s="111"/>
      <c r="N2660" s="111"/>
      <c r="O2660" s="111"/>
      <c r="P2660" s="111"/>
      <c r="Q2660" s="111"/>
      <c r="R2660" s="111"/>
    </row>
    <row r="2661" spans="2:18" s="108" customFormat="1">
      <c r="B2661" s="97"/>
      <c r="C2661" s="110"/>
      <c r="D2661" s="109"/>
      <c r="E2661" s="97"/>
      <c r="F2661" s="97"/>
      <c r="G2661" s="109"/>
      <c r="H2661" s="109"/>
      <c r="I2661" s="97"/>
      <c r="J2661" s="97"/>
      <c r="K2661" s="83"/>
      <c r="L2661" s="111"/>
      <c r="M2661" s="111"/>
      <c r="N2661" s="111"/>
      <c r="O2661" s="111"/>
      <c r="P2661" s="111"/>
      <c r="Q2661" s="111"/>
      <c r="R2661" s="111"/>
    </row>
    <row r="2662" spans="2:18" s="108" customFormat="1">
      <c r="B2662" s="97"/>
      <c r="C2662" s="110"/>
      <c r="D2662" s="109"/>
      <c r="E2662" s="97"/>
      <c r="F2662" s="97"/>
      <c r="G2662" s="109"/>
      <c r="H2662" s="109"/>
      <c r="I2662" s="97"/>
      <c r="J2662" s="97"/>
      <c r="K2662" s="83"/>
      <c r="L2662" s="111"/>
      <c r="M2662" s="111"/>
      <c r="N2662" s="111"/>
      <c r="O2662" s="111"/>
      <c r="P2662" s="111"/>
      <c r="Q2662" s="111"/>
      <c r="R2662" s="111"/>
    </row>
    <row r="2663" spans="2:18" s="108" customFormat="1">
      <c r="B2663" s="97"/>
      <c r="C2663" s="110"/>
      <c r="D2663" s="109"/>
      <c r="E2663" s="97"/>
      <c r="F2663" s="97"/>
      <c r="G2663" s="109"/>
      <c r="H2663" s="109"/>
      <c r="I2663" s="97"/>
      <c r="J2663" s="97"/>
      <c r="K2663" s="83"/>
      <c r="L2663" s="111"/>
      <c r="M2663" s="111"/>
      <c r="N2663" s="111"/>
      <c r="O2663" s="111"/>
      <c r="P2663" s="111"/>
      <c r="Q2663" s="111"/>
      <c r="R2663" s="111"/>
    </row>
    <row r="2664" spans="2:18" s="108" customFormat="1">
      <c r="B2664" s="97"/>
      <c r="C2664" s="110"/>
      <c r="D2664" s="109"/>
      <c r="E2664" s="97"/>
      <c r="F2664" s="97"/>
      <c r="G2664" s="109"/>
      <c r="H2664" s="109"/>
      <c r="I2664" s="97"/>
      <c r="J2664" s="97"/>
      <c r="K2664" s="83"/>
      <c r="L2664" s="111"/>
      <c r="M2664" s="111"/>
      <c r="N2664" s="111"/>
      <c r="O2664" s="111"/>
      <c r="P2664" s="111"/>
      <c r="Q2664" s="111"/>
      <c r="R2664" s="111"/>
    </row>
    <row r="2665" spans="2:18" s="108" customFormat="1">
      <c r="B2665" s="97"/>
      <c r="C2665" s="110"/>
      <c r="D2665" s="109"/>
      <c r="E2665" s="97"/>
      <c r="F2665" s="97"/>
      <c r="G2665" s="109"/>
      <c r="H2665" s="109"/>
      <c r="I2665" s="97"/>
      <c r="J2665" s="97"/>
      <c r="K2665" s="83"/>
      <c r="L2665" s="111"/>
      <c r="M2665" s="111"/>
      <c r="N2665" s="111"/>
      <c r="O2665" s="111"/>
      <c r="P2665" s="111"/>
      <c r="Q2665" s="111"/>
      <c r="R2665" s="111"/>
    </row>
    <row r="2666" spans="2:18" s="108" customFormat="1">
      <c r="B2666" s="97"/>
      <c r="C2666" s="110"/>
      <c r="D2666" s="109"/>
      <c r="E2666" s="97"/>
      <c r="F2666" s="97"/>
      <c r="G2666" s="109"/>
      <c r="H2666" s="109"/>
      <c r="I2666" s="97"/>
      <c r="J2666" s="97"/>
      <c r="K2666" s="83"/>
      <c r="L2666" s="111"/>
      <c r="M2666" s="111"/>
      <c r="N2666" s="111"/>
      <c r="O2666" s="111"/>
      <c r="P2666" s="111"/>
      <c r="Q2666" s="111"/>
      <c r="R2666" s="111"/>
    </row>
    <row r="2667" spans="2:18" s="108" customFormat="1">
      <c r="B2667" s="97"/>
      <c r="C2667" s="110"/>
      <c r="D2667" s="109"/>
      <c r="E2667" s="97"/>
      <c r="F2667" s="97"/>
      <c r="G2667" s="109"/>
      <c r="H2667" s="109"/>
      <c r="I2667" s="97"/>
      <c r="J2667" s="97"/>
      <c r="K2667" s="83"/>
      <c r="L2667" s="111"/>
      <c r="M2667" s="111"/>
      <c r="N2667" s="111"/>
      <c r="O2667" s="111"/>
      <c r="P2667" s="111"/>
      <c r="Q2667" s="111"/>
      <c r="R2667" s="111"/>
    </row>
    <row r="2668" spans="2:18" s="108" customFormat="1">
      <c r="B2668" s="97"/>
      <c r="C2668" s="110"/>
      <c r="D2668" s="109"/>
      <c r="E2668" s="97"/>
      <c r="F2668" s="97"/>
      <c r="G2668" s="109"/>
      <c r="H2668" s="109"/>
      <c r="I2668" s="97"/>
      <c r="J2668" s="97"/>
      <c r="K2668" s="83"/>
      <c r="L2668" s="111"/>
      <c r="M2668" s="111"/>
      <c r="N2668" s="111"/>
      <c r="O2668" s="111"/>
      <c r="P2668" s="111"/>
      <c r="Q2668" s="111"/>
      <c r="R2668" s="111"/>
    </row>
    <row r="2669" spans="2:18" s="108" customFormat="1">
      <c r="B2669" s="97"/>
      <c r="C2669" s="110"/>
      <c r="D2669" s="109"/>
      <c r="E2669" s="97"/>
      <c r="F2669" s="97"/>
      <c r="G2669" s="109"/>
      <c r="H2669" s="109"/>
      <c r="I2669" s="97"/>
      <c r="J2669" s="97"/>
      <c r="K2669" s="83"/>
      <c r="L2669" s="111"/>
      <c r="M2669" s="111"/>
      <c r="N2669" s="111"/>
      <c r="O2669" s="111"/>
      <c r="P2669" s="111"/>
      <c r="Q2669" s="111"/>
      <c r="R2669" s="111"/>
    </row>
    <row r="2670" spans="2:18" s="108" customFormat="1">
      <c r="B2670" s="97"/>
      <c r="C2670" s="110"/>
      <c r="D2670" s="109"/>
      <c r="E2670" s="97"/>
      <c r="F2670" s="97"/>
      <c r="G2670" s="109"/>
      <c r="H2670" s="109"/>
      <c r="I2670" s="97"/>
      <c r="J2670" s="97"/>
      <c r="K2670" s="83"/>
      <c r="L2670" s="111"/>
      <c r="M2670" s="111"/>
      <c r="N2670" s="111"/>
      <c r="O2670" s="111"/>
      <c r="P2670" s="111"/>
      <c r="Q2670" s="111"/>
      <c r="R2670" s="111"/>
    </row>
    <row r="2671" spans="2:18" s="108" customFormat="1">
      <c r="B2671" s="97"/>
      <c r="C2671" s="110"/>
      <c r="D2671" s="109"/>
      <c r="E2671" s="97"/>
      <c r="F2671" s="97"/>
      <c r="G2671" s="109"/>
      <c r="H2671" s="109"/>
      <c r="I2671" s="97"/>
      <c r="J2671" s="97"/>
      <c r="K2671" s="83"/>
      <c r="L2671" s="111"/>
      <c r="M2671" s="111"/>
      <c r="N2671" s="111"/>
      <c r="O2671" s="111"/>
      <c r="P2671" s="111"/>
      <c r="Q2671" s="111"/>
      <c r="R2671" s="111"/>
    </row>
    <row r="2672" spans="2:18" s="108" customFormat="1">
      <c r="B2672" s="97"/>
      <c r="C2672" s="110"/>
      <c r="D2672" s="109"/>
      <c r="E2672" s="97"/>
      <c r="F2672" s="97"/>
      <c r="G2672" s="109"/>
      <c r="H2672" s="109"/>
      <c r="I2672" s="97"/>
      <c r="J2672" s="97"/>
      <c r="K2672" s="83"/>
      <c r="L2672" s="111"/>
      <c r="M2672" s="111"/>
      <c r="N2672" s="111"/>
      <c r="O2672" s="111"/>
      <c r="P2672" s="111"/>
      <c r="Q2672" s="111"/>
      <c r="R2672" s="111"/>
    </row>
    <row r="2673" spans="2:18" s="108" customFormat="1">
      <c r="B2673" s="97"/>
      <c r="C2673" s="110"/>
      <c r="D2673" s="109"/>
      <c r="E2673" s="97"/>
      <c r="F2673" s="97"/>
      <c r="G2673" s="109"/>
      <c r="H2673" s="109"/>
      <c r="I2673" s="97"/>
      <c r="J2673" s="97"/>
      <c r="K2673" s="83"/>
      <c r="L2673" s="111"/>
      <c r="M2673" s="111"/>
      <c r="N2673" s="111"/>
      <c r="O2673" s="111"/>
      <c r="P2673" s="111"/>
      <c r="Q2673" s="111"/>
      <c r="R2673" s="111"/>
    </row>
    <row r="2674" spans="2:18" s="108" customFormat="1">
      <c r="B2674" s="97"/>
      <c r="C2674" s="110"/>
      <c r="D2674" s="109"/>
      <c r="E2674" s="97"/>
      <c r="F2674" s="97"/>
      <c r="G2674" s="109"/>
      <c r="H2674" s="109"/>
      <c r="I2674" s="97"/>
      <c r="J2674" s="97"/>
      <c r="K2674" s="83"/>
      <c r="L2674" s="111"/>
      <c r="M2674" s="111"/>
      <c r="N2674" s="111"/>
      <c r="O2674" s="111"/>
      <c r="P2674" s="111"/>
      <c r="Q2674" s="111"/>
      <c r="R2674" s="111"/>
    </row>
    <row r="2675" spans="2:18" s="108" customFormat="1">
      <c r="B2675" s="97"/>
      <c r="C2675" s="110"/>
      <c r="D2675" s="109"/>
      <c r="E2675" s="97"/>
      <c r="F2675" s="97"/>
      <c r="G2675" s="109"/>
      <c r="H2675" s="109"/>
      <c r="I2675" s="97"/>
      <c r="J2675" s="97"/>
      <c r="K2675" s="83"/>
      <c r="L2675" s="111"/>
      <c r="M2675" s="111"/>
      <c r="N2675" s="111"/>
      <c r="O2675" s="111"/>
      <c r="P2675" s="111"/>
      <c r="Q2675" s="111"/>
      <c r="R2675" s="111"/>
    </row>
    <row r="2676" spans="2:18" s="108" customFormat="1">
      <c r="B2676" s="97"/>
      <c r="C2676" s="110"/>
      <c r="D2676" s="109"/>
      <c r="E2676" s="97"/>
      <c r="F2676" s="97"/>
      <c r="G2676" s="109"/>
      <c r="H2676" s="109"/>
      <c r="I2676" s="97"/>
      <c r="J2676" s="97"/>
      <c r="K2676" s="83"/>
      <c r="L2676" s="111"/>
      <c r="M2676" s="111"/>
      <c r="N2676" s="111"/>
      <c r="O2676" s="111"/>
      <c r="P2676" s="111"/>
      <c r="Q2676" s="111"/>
      <c r="R2676" s="111"/>
    </row>
    <row r="2677" spans="2:18" s="108" customFormat="1">
      <c r="B2677" s="97"/>
      <c r="C2677" s="110"/>
      <c r="D2677" s="109"/>
      <c r="E2677" s="97"/>
      <c r="F2677" s="97"/>
      <c r="G2677" s="109"/>
      <c r="H2677" s="109"/>
      <c r="I2677" s="97"/>
      <c r="J2677" s="97"/>
      <c r="K2677" s="83"/>
      <c r="L2677" s="111"/>
      <c r="M2677" s="111"/>
      <c r="N2677" s="111"/>
      <c r="O2677" s="111"/>
      <c r="P2677" s="111"/>
      <c r="Q2677" s="111"/>
      <c r="R2677" s="111"/>
    </row>
    <row r="2678" spans="2:18" s="108" customFormat="1">
      <c r="B2678" s="97"/>
      <c r="C2678" s="110"/>
      <c r="D2678" s="109"/>
      <c r="E2678" s="97"/>
      <c r="F2678" s="97"/>
      <c r="G2678" s="109"/>
      <c r="H2678" s="109"/>
      <c r="I2678" s="97"/>
      <c r="J2678" s="97"/>
      <c r="K2678" s="83"/>
      <c r="L2678" s="111"/>
      <c r="M2678" s="111"/>
      <c r="N2678" s="111"/>
      <c r="O2678" s="111"/>
      <c r="P2678" s="111"/>
      <c r="Q2678" s="111"/>
      <c r="R2678" s="111"/>
    </row>
    <row r="2679" spans="2:18" s="108" customFormat="1">
      <c r="B2679" s="97"/>
      <c r="C2679" s="110"/>
      <c r="D2679" s="109"/>
      <c r="E2679" s="97"/>
      <c r="F2679" s="97"/>
      <c r="G2679" s="109"/>
      <c r="H2679" s="109"/>
      <c r="I2679" s="97"/>
      <c r="J2679" s="97"/>
      <c r="K2679" s="83"/>
      <c r="L2679" s="111"/>
      <c r="M2679" s="111"/>
      <c r="N2679" s="111"/>
      <c r="O2679" s="111"/>
      <c r="P2679" s="111"/>
      <c r="Q2679" s="111"/>
      <c r="R2679" s="111"/>
    </row>
    <row r="2680" spans="2:18" s="108" customFormat="1">
      <c r="B2680" s="97"/>
      <c r="C2680" s="110"/>
      <c r="D2680" s="109"/>
      <c r="E2680" s="97"/>
      <c r="F2680" s="97"/>
      <c r="G2680" s="109"/>
      <c r="H2680" s="109"/>
      <c r="I2680" s="97"/>
      <c r="J2680" s="97"/>
      <c r="K2680" s="83"/>
      <c r="L2680" s="111"/>
      <c r="M2680" s="111"/>
      <c r="N2680" s="111"/>
      <c r="O2680" s="111"/>
      <c r="P2680" s="111"/>
      <c r="Q2680" s="111"/>
      <c r="R2680" s="111"/>
    </row>
    <row r="2681" spans="2:18" s="108" customFormat="1">
      <c r="B2681" s="97"/>
      <c r="C2681" s="110"/>
      <c r="D2681" s="109"/>
      <c r="E2681" s="97"/>
      <c r="F2681" s="97"/>
      <c r="G2681" s="109"/>
      <c r="H2681" s="109"/>
      <c r="I2681" s="97"/>
      <c r="J2681" s="97"/>
      <c r="K2681" s="83"/>
      <c r="L2681" s="111"/>
      <c r="M2681" s="111"/>
      <c r="N2681" s="111"/>
      <c r="O2681" s="111"/>
      <c r="P2681" s="111"/>
      <c r="Q2681" s="111"/>
      <c r="R2681" s="111"/>
    </row>
    <row r="2682" spans="2:18" s="108" customFormat="1">
      <c r="B2682" s="97"/>
      <c r="C2682" s="110"/>
      <c r="D2682" s="109"/>
      <c r="E2682" s="97"/>
      <c r="F2682" s="97"/>
      <c r="G2682" s="109"/>
      <c r="H2682" s="109"/>
      <c r="I2682" s="97"/>
      <c r="J2682" s="97"/>
      <c r="K2682" s="83"/>
      <c r="L2682" s="111"/>
      <c r="M2682" s="111"/>
      <c r="N2682" s="111"/>
      <c r="O2682" s="111"/>
      <c r="P2682" s="111"/>
      <c r="Q2682" s="111"/>
      <c r="R2682" s="111"/>
    </row>
    <row r="2683" spans="2:18" s="108" customFormat="1">
      <c r="B2683" s="97"/>
      <c r="C2683" s="110"/>
      <c r="D2683" s="109"/>
      <c r="E2683" s="97"/>
      <c r="F2683" s="97"/>
      <c r="G2683" s="109"/>
      <c r="H2683" s="109"/>
      <c r="I2683" s="97"/>
      <c r="J2683" s="97"/>
      <c r="K2683" s="83"/>
      <c r="L2683" s="111"/>
      <c r="M2683" s="111"/>
      <c r="N2683" s="111"/>
      <c r="O2683" s="111"/>
      <c r="P2683" s="111"/>
      <c r="Q2683" s="111"/>
      <c r="R2683" s="111"/>
    </row>
    <row r="2684" spans="2:18" s="108" customFormat="1">
      <c r="B2684" s="97"/>
      <c r="C2684" s="110"/>
      <c r="D2684" s="109"/>
      <c r="E2684" s="97"/>
      <c r="F2684" s="97"/>
      <c r="G2684" s="109"/>
      <c r="H2684" s="109"/>
      <c r="I2684" s="97"/>
      <c r="J2684" s="97"/>
      <c r="K2684" s="83"/>
      <c r="L2684" s="111"/>
      <c r="M2684" s="111"/>
      <c r="N2684" s="111"/>
      <c r="O2684" s="111"/>
      <c r="P2684" s="111"/>
      <c r="Q2684" s="111"/>
      <c r="R2684" s="111"/>
    </row>
    <row r="2685" spans="2:18" s="108" customFormat="1">
      <c r="B2685" s="97"/>
      <c r="C2685" s="110"/>
      <c r="D2685" s="109"/>
      <c r="E2685" s="97"/>
      <c r="F2685" s="97"/>
      <c r="G2685" s="109"/>
      <c r="H2685" s="109"/>
      <c r="I2685" s="97"/>
      <c r="J2685" s="97"/>
      <c r="K2685" s="83"/>
      <c r="L2685" s="111"/>
      <c r="M2685" s="111"/>
      <c r="N2685" s="111"/>
      <c r="O2685" s="111"/>
      <c r="P2685" s="111"/>
      <c r="Q2685" s="111"/>
      <c r="R2685" s="111"/>
    </row>
    <row r="2686" spans="2:18" s="108" customFormat="1">
      <c r="B2686" s="97"/>
      <c r="C2686" s="110"/>
      <c r="D2686" s="109"/>
      <c r="E2686" s="97"/>
      <c r="F2686" s="97"/>
      <c r="G2686" s="109"/>
      <c r="H2686" s="109"/>
      <c r="I2686" s="97"/>
      <c r="J2686" s="97"/>
      <c r="K2686" s="83"/>
      <c r="L2686" s="111"/>
      <c r="M2686" s="111"/>
      <c r="N2686" s="111"/>
      <c r="O2686" s="111"/>
      <c r="P2686" s="111"/>
      <c r="Q2686" s="111"/>
      <c r="R2686" s="111"/>
    </row>
    <row r="2687" spans="2:18" s="108" customFormat="1">
      <c r="B2687" s="97"/>
      <c r="C2687" s="110"/>
      <c r="D2687" s="109"/>
      <c r="E2687" s="97"/>
      <c r="F2687" s="97"/>
      <c r="G2687" s="109"/>
      <c r="H2687" s="109"/>
      <c r="I2687" s="97"/>
      <c r="J2687" s="97"/>
      <c r="K2687" s="83"/>
      <c r="L2687" s="111"/>
      <c r="M2687" s="111"/>
      <c r="N2687" s="111"/>
      <c r="O2687" s="111"/>
      <c r="P2687" s="111"/>
      <c r="Q2687" s="111"/>
      <c r="R2687" s="111"/>
    </row>
    <row r="2688" spans="2:18" s="108" customFormat="1">
      <c r="B2688" s="97"/>
      <c r="C2688" s="110"/>
      <c r="D2688" s="109"/>
      <c r="E2688" s="97"/>
      <c r="F2688" s="97"/>
      <c r="G2688" s="109"/>
      <c r="H2688" s="109"/>
      <c r="I2688" s="97"/>
      <c r="J2688" s="97"/>
      <c r="K2688" s="83"/>
      <c r="L2688" s="111"/>
      <c r="M2688" s="111"/>
      <c r="N2688" s="111"/>
      <c r="O2688" s="111"/>
      <c r="P2688" s="111"/>
      <c r="Q2688" s="111"/>
      <c r="R2688" s="111"/>
    </row>
    <row r="2689" spans="2:18" s="108" customFormat="1">
      <c r="B2689" s="97"/>
      <c r="C2689" s="110"/>
      <c r="D2689" s="109"/>
      <c r="E2689" s="97"/>
      <c r="F2689" s="97"/>
      <c r="G2689" s="109"/>
      <c r="H2689" s="109"/>
      <c r="I2689" s="97"/>
      <c r="J2689" s="97"/>
      <c r="K2689" s="83"/>
      <c r="L2689" s="111"/>
      <c r="M2689" s="111"/>
      <c r="N2689" s="111"/>
      <c r="O2689" s="111"/>
      <c r="P2689" s="111"/>
      <c r="Q2689" s="111"/>
      <c r="R2689" s="111"/>
    </row>
    <row r="2690" spans="2:18" s="108" customFormat="1">
      <c r="B2690" s="97"/>
      <c r="C2690" s="110"/>
      <c r="D2690" s="109"/>
      <c r="E2690" s="97"/>
      <c r="F2690" s="97"/>
      <c r="G2690" s="109"/>
      <c r="H2690" s="109"/>
      <c r="I2690" s="97"/>
      <c r="J2690" s="97"/>
      <c r="K2690" s="83"/>
      <c r="L2690" s="111"/>
      <c r="M2690" s="111"/>
      <c r="N2690" s="111"/>
      <c r="O2690" s="111"/>
      <c r="P2690" s="111"/>
      <c r="Q2690" s="111"/>
      <c r="R2690" s="111"/>
    </row>
    <row r="2691" spans="2:18" s="108" customFormat="1">
      <c r="B2691" s="97"/>
      <c r="C2691" s="110"/>
      <c r="D2691" s="109"/>
      <c r="E2691" s="97"/>
      <c r="F2691" s="97"/>
      <c r="G2691" s="109"/>
      <c r="H2691" s="109"/>
      <c r="I2691" s="97"/>
      <c r="J2691" s="97"/>
      <c r="K2691" s="83"/>
      <c r="L2691" s="111"/>
      <c r="M2691" s="111"/>
      <c r="N2691" s="111"/>
      <c r="O2691" s="111"/>
      <c r="P2691" s="111"/>
      <c r="Q2691" s="111"/>
      <c r="R2691" s="111"/>
    </row>
    <row r="2692" spans="2:18" s="108" customFormat="1">
      <c r="B2692" s="97"/>
      <c r="C2692" s="110"/>
      <c r="D2692" s="109"/>
      <c r="E2692" s="97"/>
      <c r="F2692" s="97"/>
      <c r="G2692" s="109"/>
      <c r="H2692" s="109"/>
      <c r="I2692" s="97"/>
      <c r="J2692" s="97"/>
      <c r="K2692" s="83"/>
      <c r="L2692" s="111"/>
      <c r="M2692" s="111"/>
      <c r="N2692" s="111"/>
      <c r="O2692" s="111"/>
      <c r="P2692" s="111"/>
      <c r="Q2692" s="111"/>
      <c r="R2692" s="111"/>
    </row>
    <row r="2693" spans="2:18" s="108" customFormat="1">
      <c r="B2693" s="97"/>
      <c r="C2693" s="110"/>
      <c r="D2693" s="109"/>
      <c r="E2693" s="97"/>
      <c r="F2693" s="97"/>
      <c r="G2693" s="109"/>
      <c r="H2693" s="109"/>
      <c r="I2693" s="97"/>
      <c r="J2693" s="97"/>
      <c r="K2693" s="83"/>
      <c r="L2693" s="111"/>
      <c r="M2693" s="111"/>
      <c r="N2693" s="111"/>
      <c r="O2693" s="111"/>
      <c r="P2693" s="111"/>
      <c r="Q2693" s="111"/>
      <c r="R2693" s="111"/>
    </row>
    <row r="2694" spans="2:18" s="108" customFormat="1">
      <c r="B2694" s="97"/>
      <c r="C2694" s="110"/>
      <c r="D2694" s="109"/>
      <c r="E2694" s="97"/>
      <c r="F2694" s="97"/>
      <c r="G2694" s="109"/>
      <c r="H2694" s="109"/>
      <c r="I2694" s="97"/>
      <c r="J2694" s="97"/>
      <c r="K2694" s="83"/>
      <c r="L2694" s="111"/>
      <c r="M2694" s="111"/>
      <c r="N2694" s="111"/>
      <c r="O2694" s="111"/>
      <c r="P2694" s="111"/>
      <c r="Q2694" s="111"/>
      <c r="R2694" s="111"/>
    </row>
    <row r="2695" spans="2:18" s="108" customFormat="1">
      <c r="B2695" s="97"/>
      <c r="C2695" s="110"/>
      <c r="D2695" s="109"/>
      <c r="E2695" s="97"/>
      <c r="F2695" s="97"/>
      <c r="G2695" s="109"/>
      <c r="H2695" s="109"/>
      <c r="I2695" s="97"/>
      <c r="J2695" s="97"/>
      <c r="K2695" s="83"/>
      <c r="L2695" s="111"/>
      <c r="M2695" s="111"/>
      <c r="N2695" s="111"/>
      <c r="O2695" s="111"/>
      <c r="P2695" s="111"/>
      <c r="Q2695" s="111"/>
      <c r="R2695" s="111"/>
    </row>
    <row r="2696" spans="2:18" s="108" customFormat="1">
      <c r="B2696" s="97"/>
      <c r="C2696" s="110"/>
      <c r="D2696" s="109"/>
      <c r="E2696" s="97"/>
      <c r="F2696" s="97"/>
      <c r="G2696" s="109"/>
      <c r="H2696" s="109"/>
      <c r="I2696" s="97"/>
      <c r="J2696" s="97"/>
      <c r="K2696" s="83"/>
      <c r="L2696" s="111"/>
      <c r="M2696" s="111"/>
      <c r="N2696" s="111"/>
      <c r="O2696" s="111"/>
      <c r="P2696" s="111"/>
      <c r="Q2696" s="111"/>
      <c r="R2696" s="111"/>
    </row>
    <row r="2697" spans="2:18" s="108" customFormat="1">
      <c r="B2697" s="97"/>
      <c r="C2697" s="110"/>
      <c r="D2697" s="109"/>
      <c r="E2697" s="97"/>
      <c r="F2697" s="97"/>
      <c r="G2697" s="109"/>
      <c r="H2697" s="109"/>
      <c r="I2697" s="97"/>
      <c r="J2697" s="97"/>
      <c r="K2697" s="83"/>
      <c r="L2697" s="111"/>
      <c r="M2697" s="111"/>
      <c r="N2697" s="111"/>
      <c r="O2697" s="111"/>
      <c r="P2697" s="111"/>
      <c r="Q2697" s="111"/>
      <c r="R2697" s="111"/>
    </row>
    <row r="2698" spans="2:18" s="108" customFormat="1">
      <c r="B2698" s="97"/>
      <c r="C2698" s="110"/>
      <c r="D2698" s="109"/>
      <c r="E2698" s="97"/>
      <c r="F2698" s="97"/>
      <c r="G2698" s="109"/>
      <c r="H2698" s="109"/>
      <c r="I2698" s="97"/>
      <c r="J2698" s="97"/>
      <c r="K2698" s="83"/>
      <c r="L2698" s="111"/>
      <c r="M2698" s="111"/>
      <c r="N2698" s="111"/>
      <c r="O2698" s="111"/>
      <c r="P2698" s="111"/>
      <c r="Q2698" s="111"/>
      <c r="R2698" s="111"/>
    </row>
    <row r="2699" spans="2:18" s="108" customFormat="1">
      <c r="B2699" s="97"/>
      <c r="C2699" s="110"/>
      <c r="D2699" s="109"/>
      <c r="E2699" s="97"/>
      <c r="F2699" s="97"/>
      <c r="G2699" s="109"/>
      <c r="H2699" s="109"/>
      <c r="I2699" s="97"/>
      <c r="J2699" s="97"/>
      <c r="K2699" s="83"/>
      <c r="L2699" s="111"/>
      <c r="M2699" s="111"/>
      <c r="N2699" s="111"/>
      <c r="O2699" s="111"/>
      <c r="P2699" s="111"/>
      <c r="Q2699" s="111"/>
      <c r="R2699" s="111"/>
    </row>
    <row r="2700" spans="2:18" s="108" customFormat="1">
      <c r="B2700" s="97"/>
      <c r="C2700" s="110"/>
      <c r="D2700" s="109"/>
      <c r="E2700" s="97"/>
      <c r="F2700" s="97"/>
      <c r="G2700" s="109"/>
      <c r="H2700" s="109"/>
      <c r="I2700" s="97"/>
      <c r="J2700" s="97"/>
      <c r="K2700" s="83"/>
      <c r="L2700" s="111"/>
      <c r="M2700" s="111"/>
      <c r="N2700" s="111"/>
      <c r="O2700" s="111"/>
      <c r="P2700" s="111"/>
      <c r="Q2700" s="111"/>
      <c r="R2700" s="111"/>
    </row>
    <row r="2701" spans="2:18" s="108" customFormat="1">
      <c r="B2701" s="97"/>
      <c r="C2701" s="110"/>
      <c r="D2701" s="109"/>
      <c r="E2701" s="97"/>
      <c r="F2701" s="97"/>
      <c r="G2701" s="109"/>
      <c r="H2701" s="109"/>
      <c r="I2701" s="97"/>
      <c r="J2701" s="97"/>
      <c r="K2701" s="83"/>
      <c r="L2701" s="111"/>
      <c r="M2701" s="111"/>
      <c r="N2701" s="111"/>
      <c r="O2701" s="111"/>
      <c r="P2701" s="111"/>
      <c r="Q2701" s="111"/>
      <c r="R2701" s="111"/>
    </row>
    <row r="2702" spans="2:18" s="108" customFormat="1">
      <c r="B2702" s="97"/>
      <c r="C2702" s="110"/>
      <c r="D2702" s="109"/>
      <c r="E2702" s="97"/>
      <c r="F2702" s="97"/>
      <c r="G2702" s="109"/>
      <c r="H2702" s="109"/>
      <c r="I2702" s="97"/>
      <c r="J2702" s="97"/>
      <c r="K2702" s="83"/>
      <c r="L2702" s="111"/>
      <c r="M2702" s="111"/>
      <c r="N2702" s="111"/>
      <c r="O2702" s="111"/>
      <c r="P2702" s="111"/>
      <c r="Q2702" s="111"/>
      <c r="R2702" s="111"/>
    </row>
    <row r="2703" spans="2:18" s="108" customFormat="1">
      <c r="B2703" s="97"/>
      <c r="C2703" s="110"/>
      <c r="D2703" s="109"/>
      <c r="E2703" s="97"/>
      <c r="F2703" s="97"/>
      <c r="G2703" s="109"/>
      <c r="H2703" s="109"/>
      <c r="I2703" s="97"/>
      <c r="J2703" s="97"/>
      <c r="K2703" s="83"/>
      <c r="L2703" s="111"/>
      <c r="M2703" s="111"/>
      <c r="N2703" s="111"/>
      <c r="O2703" s="111"/>
      <c r="P2703" s="111"/>
      <c r="Q2703" s="111"/>
      <c r="R2703" s="111"/>
    </row>
    <row r="2704" spans="2:18" s="108" customFormat="1">
      <c r="B2704" s="97"/>
      <c r="C2704" s="110"/>
      <c r="D2704" s="109"/>
      <c r="E2704" s="97"/>
      <c r="F2704" s="97"/>
      <c r="G2704" s="109"/>
      <c r="H2704" s="109"/>
      <c r="I2704" s="97"/>
      <c r="J2704" s="97"/>
      <c r="K2704" s="83"/>
      <c r="L2704" s="111"/>
      <c r="M2704" s="111"/>
      <c r="N2704" s="111"/>
      <c r="O2704" s="111"/>
      <c r="P2704" s="111"/>
      <c r="Q2704" s="111"/>
      <c r="R2704" s="111"/>
    </row>
    <row r="2705" spans="2:18" s="108" customFormat="1">
      <c r="B2705" s="97"/>
      <c r="C2705" s="110"/>
      <c r="D2705" s="109"/>
      <c r="E2705" s="97"/>
      <c r="F2705" s="97"/>
      <c r="G2705" s="109"/>
      <c r="H2705" s="109"/>
      <c r="I2705" s="97"/>
      <c r="J2705" s="97"/>
      <c r="K2705" s="83"/>
      <c r="L2705" s="111"/>
      <c r="M2705" s="111"/>
      <c r="N2705" s="111"/>
      <c r="O2705" s="111"/>
      <c r="P2705" s="111"/>
      <c r="Q2705" s="111"/>
      <c r="R2705" s="111"/>
    </row>
    <row r="2706" spans="2:18" s="108" customFormat="1">
      <c r="B2706" s="97"/>
      <c r="C2706" s="110"/>
      <c r="D2706" s="109"/>
      <c r="E2706" s="97"/>
      <c r="F2706" s="97"/>
      <c r="G2706" s="109"/>
      <c r="H2706" s="109"/>
      <c r="I2706" s="97"/>
      <c r="J2706" s="97"/>
      <c r="K2706" s="83"/>
      <c r="L2706" s="111"/>
      <c r="M2706" s="111"/>
      <c r="N2706" s="111"/>
      <c r="O2706" s="111"/>
      <c r="P2706" s="111"/>
      <c r="Q2706" s="111"/>
      <c r="R2706" s="111"/>
    </row>
    <row r="2707" spans="2:18" s="108" customFormat="1">
      <c r="B2707" s="97"/>
      <c r="C2707" s="110"/>
      <c r="D2707" s="109"/>
      <c r="E2707" s="97"/>
      <c r="F2707" s="97"/>
      <c r="G2707" s="109"/>
      <c r="H2707" s="109"/>
      <c r="I2707" s="97"/>
      <c r="J2707" s="97"/>
      <c r="K2707" s="83"/>
      <c r="L2707" s="111"/>
      <c r="M2707" s="111"/>
      <c r="N2707" s="111"/>
      <c r="O2707" s="111"/>
      <c r="P2707" s="111"/>
      <c r="Q2707" s="111"/>
      <c r="R2707" s="111"/>
    </row>
    <row r="2708" spans="2:18" s="108" customFormat="1">
      <c r="B2708" s="97"/>
      <c r="C2708" s="110"/>
      <c r="D2708" s="109"/>
      <c r="E2708" s="97"/>
      <c r="F2708" s="97"/>
      <c r="G2708" s="109"/>
      <c r="H2708" s="109"/>
      <c r="I2708" s="97"/>
      <c r="J2708" s="97"/>
      <c r="K2708" s="83"/>
      <c r="L2708" s="111"/>
      <c r="M2708" s="111"/>
      <c r="N2708" s="111"/>
      <c r="O2708" s="111"/>
      <c r="P2708" s="111"/>
      <c r="Q2708" s="111"/>
      <c r="R2708" s="111"/>
    </row>
    <row r="2709" spans="2:18" s="108" customFormat="1">
      <c r="B2709" s="97"/>
      <c r="C2709" s="110"/>
      <c r="D2709" s="109"/>
      <c r="E2709" s="97"/>
      <c r="F2709" s="97"/>
      <c r="G2709" s="109"/>
      <c r="H2709" s="109"/>
      <c r="I2709" s="97"/>
      <c r="J2709" s="97"/>
      <c r="K2709" s="83"/>
      <c r="L2709" s="111"/>
      <c r="M2709" s="111"/>
      <c r="N2709" s="111"/>
      <c r="O2709" s="111"/>
      <c r="P2709" s="111"/>
      <c r="Q2709" s="111"/>
      <c r="R2709" s="111"/>
    </row>
    <row r="2710" spans="2:18" s="108" customFormat="1">
      <c r="B2710" s="97"/>
      <c r="C2710" s="110"/>
      <c r="D2710" s="109"/>
      <c r="E2710" s="97"/>
      <c r="F2710" s="97"/>
      <c r="G2710" s="109"/>
      <c r="H2710" s="109"/>
      <c r="I2710" s="97"/>
      <c r="J2710" s="97"/>
      <c r="K2710" s="83"/>
      <c r="L2710" s="111"/>
      <c r="M2710" s="111"/>
      <c r="N2710" s="111"/>
      <c r="O2710" s="111"/>
      <c r="P2710" s="111"/>
      <c r="Q2710" s="111"/>
      <c r="R2710" s="111"/>
    </row>
    <row r="2711" spans="2:18" s="108" customFormat="1">
      <c r="B2711" s="97"/>
      <c r="C2711" s="110"/>
      <c r="D2711" s="109"/>
      <c r="E2711" s="97"/>
      <c r="F2711" s="97"/>
      <c r="G2711" s="109"/>
      <c r="H2711" s="109"/>
      <c r="I2711" s="97"/>
      <c r="J2711" s="97"/>
      <c r="K2711" s="83"/>
      <c r="L2711" s="111"/>
      <c r="M2711" s="111"/>
      <c r="N2711" s="111"/>
      <c r="O2711" s="111"/>
      <c r="P2711" s="111"/>
      <c r="Q2711" s="111"/>
      <c r="R2711" s="111"/>
    </row>
    <row r="2712" spans="2:18" s="108" customFormat="1">
      <c r="B2712" s="97"/>
      <c r="C2712" s="110"/>
      <c r="D2712" s="109"/>
      <c r="E2712" s="97"/>
      <c r="F2712" s="97"/>
      <c r="G2712" s="109"/>
      <c r="H2712" s="109"/>
      <c r="I2712" s="97"/>
      <c r="J2712" s="97"/>
      <c r="K2712" s="83"/>
      <c r="L2712" s="111"/>
      <c r="M2712" s="111"/>
      <c r="N2712" s="111"/>
      <c r="O2712" s="111"/>
      <c r="P2712" s="111"/>
      <c r="Q2712" s="111"/>
      <c r="R2712" s="111"/>
    </row>
    <row r="2713" spans="2:18" s="108" customFormat="1">
      <c r="B2713" s="97"/>
      <c r="C2713" s="110"/>
      <c r="D2713" s="109"/>
      <c r="E2713" s="97"/>
      <c r="F2713" s="97"/>
      <c r="G2713" s="109"/>
      <c r="H2713" s="109"/>
      <c r="I2713" s="97"/>
      <c r="J2713" s="97"/>
      <c r="K2713" s="83"/>
      <c r="L2713" s="111"/>
      <c r="M2713" s="111"/>
      <c r="N2713" s="111"/>
      <c r="O2713" s="111"/>
      <c r="P2713" s="111"/>
      <c r="Q2713" s="111"/>
      <c r="R2713" s="111"/>
    </row>
    <row r="2714" spans="2:18" s="108" customFormat="1">
      <c r="B2714" s="97"/>
      <c r="C2714" s="110"/>
      <c r="D2714" s="109"/>
      <c r="E2714" s="97"/>
      <c r="F2714" s="97"/>
      <c r="G2714" s="109"/>
      <c r="H2714" s="109"/>
      <c r="I2714" s="97"/>
      <c r="J2714" s="97"/>
      <c r="K2714" s="83"/>
      <c r="L2714" s="111"/>
      <c r="M2714" s="111"/>
      <c r="N2714" s="111"/>
      <c r="O2714" s="111"/>
      <c r="P2714" s="111"/>
      <c r="Q2714" s="111"/>
      <c r="R2714" s="111"/>
    </row>
    <row r="2715" spans="2:18" s="108" customFormat="1">
      <c r="B2715" s="97"/>
      <c r="C2715" s="110"/>
      <c r="D2715" s="109"/>
      <c r="E2715" s="97"/>
      <c r="F2715" s="97"/>
      <c r="G2715" s="109"/>
      <c r="H2715" s="109"/>
      <c r="I2715" s="97"/>
      <c r="J2715" s="97"/>
      <c r="K2715" s="83"/>
      <c r="L2715" s="111"/>
      <c r="M2715" s="111"/>
      <c r="N2715" s="111"/>
      <c r="O2715" s="111"/>
      <c r="P2715" s="111"/>
      <c r="Q2715" s="111"/>
      <c r="R2715" s="111"/>
    </row>
    <row r="2716" spans="2:18" s="108" customFormat="1">
      <c r="B2716" s="97"/>
      <c r="C2716" s="110"/>
      <c r="D2716" s="109"/>
      <c r="E2716" s="97"/>
      <c r="F2716" s="97"/>
      <c r="G2716" s="109"/>
      <c r="H2716" s="109"/>
      <c r="I2716" s="97"/>
      <c r="J2716" s="97"/>
      <c r="K2716" s="83"/>
      <c r="L2716" s="111"/>
      <c r="M2716" s="111"/>
      <c r="N2716" s="111"/>
      <c r="O2716" s="111"/>
      <c r="P2716" s="111"/>
      <c r="Q2716" s="111"/>
      <c r="R2716" s="111"/>
    </row>
    <row r="2717" spans="2:18" s="108" customFormat="1">
      <c r="B2717" s="97"/>
      <c r="C2717" s="110"/>
      <c r="D2717" s="109"/>
      <c r="E2717" s="97"/>
      <c r="F2717" s="97"/>
      <c r="G2717" s="109"/>
      <c r="H2717" s="109"/>
      <c r="I2717" s="97"/>
      <c r="J2717" s="97"/>
      <c r="K2717" s="83"/>
      <c r="L2717" s="111"/>
      <c r="M2717" s="111"/>
      <c r="N2717" s="111"/>
      <c r="O2717" s="111"/>
      <c r="P2717" s="111"/>
      <c r="Q2717" s="111"/>
      <c r="R2717" s="111"/>
    </row>
    <row r="2718" spans="2:18" s="108" customFormat="1">
      <c r="B2718" s="97"/>
      <c r="C2718" s="110"/>
      <c r="D2718" s="109"/>
      <c r="E2718" s="97"/>
      <c r="F2718" s="97"/>
      <c r="G2718" s="109"/>
      <c r="H2718" s="109"/>
      <c r="I2718" s="97"/>
      <c r="J2718" s="97"/>
      <c r="K2718" s="83"/>
      <c r="L2718" s="111"/>
      <c r="M2718" s="111"/>
      <c r="N2718" s="111"/>
      <c r="O2718" s="111"/>
      <c r="P2718" s="111"/>
      <c r="Q2718" s="111"/>
      <c r="R2718" s="111"/>
    </row>
    <row r="2719" spans="2:18" s="108" customFormat="1">
      <c r="B2719" s="97"/>
      <c r="C2719" s="110"/>
      <c r="D2719" s="109"/>
      <c r="E2719" s="97"/>
      <c r="F2719" s="97"/>
      <c r="G2719" s="109"/>
      <c r="H2719" s="109"/>
      <c r="I2719" s="97"/>
      <c r="J2719" s="97"/>
      <c r="K2719" s="83"/>
      <c r="L2719" s="111"/>
      <c r="M2719" s="111"/>
      <c r="N2719" s="111"/>
      <c r="O2719" s="111"/>
      <c r="P2719" s="111"/>
      <c r="Q2719" s="111"/>
      <c r="R2719" s="111"/>
    </row>
    <row r="2720" spans="2:18" s="108" customFormat="1">
      <c r="B2720" s="97"/>
      <c r="C2720" s="110"/>
      <c r="D2720" s="109"/>
      <c r="E2720" s="97"/>
      <c r="F2720" s="97"/>
      <c r="G2720" s="109"/>
      <c r="H2720" s="109"/>
      <c r="I2720" s="97"/>
      <c r="J2720" s="97"/>
      <c r="K2720" s="83"/>
      <c r="L2720" s="111"/>
      <c r="M2720" s="111"/>
      <c r="N2720" s="111"/>
      <c r="O2720" s="111"/>
      <c r="P2720" s="111"/>
      <c r="Q2720" s="111"/>
      <c r="R2720" s="111"/>
    </row>
    <row r="2721" spans="2:18" s="108" customFormat="1">
      <c r="B2721" s="97"/>
      <c r="C2721" s="110"/>
      <c r="D2721" s="109"/>
      <c r="E2721" s="97"/>
      <c r="F2721" s="97"/>
      <c r="G2721" s="109"/>
      <c r="H2721" s="109"/>
      <c r="I2721" s="97"/>
      <c r="J2721" s="97"/>
      <c r="K2721" s="83"/>
      <c r="L2721" s="111"/>
      <c r="M2721" s="111"/>
      <c r="N2721" s="111"/>
      <c r="O2721" s="111"/>
      <c r="P2721" s="111"/>
      <c r="Q2721" s="111"/>
      <c r="R2721" s="111"/>
    </row>
    <row r="2722" spans="2:18" s="108" customFormat="1">
      <c r="B2722" s="97"/>
      <c r="C2722" s="110"/>
      <c r="D2722" s="109"/>
      <c r="E2722" s="97"/>
      <c r="F2722" s="97"/>
      <c r="G2722" s="109"/>
      <c r="H2722" s="109"/>
      <c r="I2722" s="97"/>
      <c r="J2722" s="97"/>
      <c r="K2722" s="83"/>
      <c r="L2722" s="111"/>
      <c r="M2722" s="111"/>
      <c r="N2722" s="111"/>
      <c r="O2722" s="111"/>
      <c r="P2722" s="111"/>
      <c r="Q2722" s="111"/>
      <c r="R2722" s="111"/>
    </row>
    <row r="2723" spans="2:18" s="108" customFormat="1">
      <c r="B2723" s="97"/>
      <c r="C2723" s="110"/>
      <c r="D2723" s="109"/>
      <c r="E2723" s="97"/>
      <c r="F2723" s="97"/>
      <c r="G2723" s="109"/>
      <c r="H2723" s="109"/>
      <c r="I2723" s="97"/>
      <c r="J2723" s="97"/>
      <c r="K2723" s="83"/>
      <c r="L2723" s="111"/>
      <c r="M2723" s="111"/>
      <c r="N2723" s="111"/>
      <c r="O2723" s="111"/>
      <c r="P2723" s="111"/>
      <c r="Q2723" s="111"/>
      <c r="R2723" s="111"/>
    </row>
    <row r="2724" spans="2:18" s="108" customFormat="1">
      <c r="B2724" s="97"/>
      <c r="C2724" s="110"/>
      <c r="D2724" s="109"/>
      <c r="E2724" s="97"/>
      <c r="F2724" s="97"/>
      <c r="G2724" s="109"/>
      <c r="H2724" s="109"/>
      <c r="I2724" s="97"/>
      <c r="J2724" s="97"/>
      <c r="K2724" s="83"/>
      <c r="L2724" s="111"/>
      <c r="M2724" s="111"/>
      <c r="N2724" s="111"/>
      <c r="O2724" s="111"/>
      <c r="P2724" s="111"/>
      <c r="Q2724" s="111"/>
      <c r="R2724" s="111"/>
    </row>
    <row r="2725" spans="2:18" s="108" customFormat="1">
      <c r="B2725" s="97"/>
      <c r="C2725" s="110"/>
      <c r="D2725" s="109"/>
      <c r="E2725" s="97"/>
      <c r="F2725" s="97"/>
      <c r="G2725" s="109"/>
      <c r="H2725" s="109"/>
      <c r="I2725" s="97"/>
      <c r="J2725" s="97"/>
      <c r="K2725" s="83"/>
      <c r="L2725" s="111"/>
      <c r="M2725" s="111"/>
      <c r="N2725" s="111"/>
      <c r="O2725" s="111"/>
      <c r="P2725" s="111"/>
      <c r="Q2725" s="111"/>
      <c r="R2725" s="111"/>
    </row>
    <row r="2726" spans="2:18" s="108" customFormat="1">
      <c r="B2726" s="97"/>
      <c r="C2726" s="110"/>
      <c r="D2726" s="109"/>
      <c r="E2726" s="97"/>
      <c r="F2726" s="97"/>
      <c r="G2726" s="109"/>
      <c r="H2726" s="109"/>
      <c r="I2726" s="97"/>
      <c r="J2726" s="97"/>
      <c r="K2726" s="83"/>
      <c r="L2726" s="111"/>
      <c r="M2726" s="111"/>
      <c r="N2726" s="111"/>
      <c r="O2726" s="111"/>
      <c r="P2726" s="111"/>
      <c r="Q2726" s="111"/>
      <c r="R2726" s="111"/>
    </row>
    <row r="2727" spans="2:18" s="108" customFormat="1">
      <c r="B2727" s="97"/>
      <c r="C2727" s="110"/>
      <c r="D2727" s="109"/>
      <c r="E2727" s="97"/>
      <c r="F2727" s="97"/>
      <c r="G2727" s="109"/>
      <c r="H2727" s="109"/>
      <c r="I2727" s="97"/>
      <c r="J2727" s="97"/>
      <c r="K2727" s="83"/>
      <c r="L2727" s="111"/>
      <c r="M2727" s="111"/>
      <c r="N2727" s="111"/>
      <c r="O2727" s="111"/>
      <c r="P2727" s="111"/>
      <c r="Q2727" s="111"/>
      <c r="R2727" s="111"/>
    </row>
    <row r="2728" spans="2:18" s="108" customFormat="1">
      <c r="B2728" s="97"/>
      <c r="C2728" s="110"/>
      <c r="D2728" s="109"/>
      <c r="E2728" s="97"/>
      <c r="F2728" s="97"/>
      <c r="G2728" s="109"/>
      <c r="H2728" s="109"/>
      <c r="I2728" s="97"/>
      <c r="J2728" s="97"/>
      <c r="K2728" s="83"/>
      <c r="L2728" s="111"/>
      <c r="M2728" s="111"/>
      <c r="N2728" s="111"/>
      <c r="O2728" s="111"/>
      <c r="P2728" s="111"/>
      <c r="Q2728" s="111"/>
      <c r="R2728" s="111"/>
    </row>
    <row r="2729" spans="2:18" s="108" customFormat="1">
      <c r="B2729" s="97"/>
      <c r="C2729" s="110"/>
      <c r="D2729" s="109"/>
      <c r="E2729" s="97"/>
      <c r="F2729" s="97"/>
      <c r="G2729" s="109"/>
      <c r="H2729" s="109"/>
      <c r="I2729" s="97"/>
      <c r="J2729" s="97"/>
      <c r="K2729" s="83"/>
      <c r="L2729" s="111"/>
      <c r="M2729" s="111"/>
      <c r="N2729" s="111"/>
      <c r="O2729" s="111"/>
      <c r="P2729" s="111"/>
      <c r="Q2729" s="111"/>
      <c r="R2729" s="111"/>
    </row>
    <row r="2730" spans="2:18" s="108" customFormat="1">
      <c r="B2730" s="97"/>
      <c r="C2730" s="110"/>
      <c r="D2730" s="109"/>
      <c r="E2730" s="97"/>
      <c r="F2730" s="97"/>
      <c r="G2730" s="109"/>
      <c r="H2730" s="109"/>
      <c r="I2730" s="97"/>
      <c r="J2730" s="97"/>
      <c r="K2730" s="83"/>
      <c r="L2730" s="111"/>
      <c r="M2730" s="111"/>
      <c r="N2730" s="111"/>
      <c r="O2730" s="111"/>
      <c r="P2730" s="111"/>
      <c r="Q2730" s="111"/>
      <c r="R2730" s="111"/>
    </row>
    <row r="2731" spans="2:18" s="108" customFormat="1">
      <c r="B2731" s="97"/>
      <c r="C2731" s="110"/>
      <c r="D2731" s="109"/>
      <c r="E2731" s="97"/>
      <c r="F2731" s="97"/>
      <c r="G2731" s="109"/>
      <c r="H2731" s="109"/>
      <c r="I2731" s="97"/>
      <c r="J2731" s="97"/>
      <c r="K2731" s="83"/>
      <c r="L2731" s="111"/>
      <c r="M2731" s="111"/>
      <c r="N2731" s="111"/>
      <c r="O2731" s="111"/>
      <c r="P2731" s="111"/>
      <c r="Q2731" s="111"/>
      <c r="R2731" s="111"/>
    </row>
    <row r="2732" spans="2:18" s="108" customFormat="1">
      <c r="B2732" s="97"/>
      <c r="C2732" s="110"/>
      <c r="D2732" s="109"/>
      <c r="E2732" s="97"/>
      <c r="F2732" s="97"/>
      <c r="G2732" s="109"/>
      <c r="H2732" s="109"/>
      <c r="I2732" s="97"/>
      <c r="J2732" s="97"/>
      <c r="K2732" s="83"/>
      <c r="L2732" s="111"/>
      <c r="M2732" s="111"/>
      <c r="N2732" s="111"/>
      <c r="O2732" s="111"/>
      <c r="P2732" s="111"/>
      <c r="Q2732" s="111"/>
      <c r="R2732" s="111"/>
    </row>
    <row r="2733" spans="2:18" s="108" customFormat="1">
      <c r="B2733" s="97"/>
      <c r="C2733" s="110"/>
      <c r="D2733" s="109"/>
      <c r="E2733" s="97"/>
      <c r="F2733" s="97"/>
      <c r="G2733" s="109"/>
      <c r="H2733" s="109"/>
      <c r="I2733" s="97"/>
      <c r="J2733" s="97"/>
      <c r="K2733" s="83"/>
      <c r="L2733" s="111"/>
      <c r="M2733" s="111"/>
      <c r="N2733" s="111"/>
      <c r="O2733" s="111"/>
      <c r="P2733" s="111"/>
      <c r="Q2733" s="111"/>
      <c r="R2733" s="111"/>
    </row>
    <row r="2734" spans="2:18" s="108" customFormat="1">
      <c r="B2734" s="97"/>
      <c r="C2734" s="110"/>
      <c r="D2734" s="109"/>
      <c r="E2734" s="97"/>
      <c r="F2734" s="97"/>
      <c r="G2734" s="109"/>
      <c r="H2734" s="109"/>
      <c r="I2734" s="97"/>
      <c r="J2734" s="97"/>
      <c r="K2734" s="83"/>
      <c r="L2734" s="111"/>
      <c r="M2734" s="111"/>
      <c r="N2734" s="111"/>
      <c r="O2734" s="111"/>
      <c r="P2734" s="111"/>
      <c r="Q2734" s="111"/>
      <c r="R2734" s="111"/>
    </row>
    <row r="2735" spans="2:18" s="108" customFormat="1">
      <c r="B2735" s="97"/>
      <c r="C2735" s="110"/>
      <c r="D2735" s="109"/>
      <c r="E2735" s="97"/>
      <c r="F2735" s="97"/>
      <c r="G2735" s="109"/>
      <c r="H2735" s="109"/>
      <c r="I2735" s="97"/>
      <c r="J2735" s="97"/>
      <c r="K2735" s="83"/>
      <c r="L2735" s="111"/>
      <c r="M2735" s="111"/>
      <c r="N2735" s="111"/>
      <c r="O2735" s="111"/>
      <c r="P2735" s="111"/>
      <c r="Q2735" s="111"/>
      <c r="R2735" s="111"/>
    </row>
    <row r="2736" spans="2:18" s="108" customFormat="1">
      <c r="B2736" s="97"/>
      <c r="C2736" s="110"/>
      <c r="D2736" s="109"/>
      <c r="E2736" s="97"/>
      <c r="F2736" s="97"/>
      <c r="G2736" s="109"/>
      <c r="H2736" s="109"/>
      <c r="I2736" s="97"/>
      <c r="J2736" s="97"/>
      <c r="K2736" s="83"/>
      <c r="L2736" s="111"/>
      <c r="M2736" s="111"/>
      <c r="N2736" s="111"/>
      <c r="O2736" s="111"/>
      <c r="P2736" s="111"/>
      <c r="Q2736" s="111"/>
      <c r="R2736" s="111"/>
    </row>
    <row r="2737" spans="2:18" s="108" customFormat="1">
      <c r="B2737" s="97"/>
      <c r="C2737" s="110"/>
      <c r="D2737" s="109"/>
      <c r="E2737" s="97"/>
      <c r="F2737" s="97"/>
      <c r="G2737" s="109"/>
      <c r="H2737" s="109"/>
      <c r="I2737" s="97"/>
      <c r="J2737" s="97"/>
      <c r="K2737" s="83"/>
      <c r="L2737" s="111"/>
      <c r="M2737" s="111"/>
      <c r="N2737" s="111"/>
      <c r="O2737" s="111"/>
      <c r="P2737" s="111"/>
      <c r="Q2737" s="111"/>
      <c r="R2737" s="111"/>
    </row>
    <row r="2738" spans="2:18" s="108" customFormat="1">
      <c r="B2738" s="97"/>
      <c r="C2738" s="110"/>
      <c r="D2738" s="109"/>
      <c r="E2738" s="97"/>
      <c r="F2738" s="97"/>
      <c r="G2738" s="109"/>
      <c r="H2738" s="109"/>
      <c r="I2738" s="97"/>
      <c r="J2738" s="97"/>
      <c r="K2738" s="83"/>
      <c r="L2738" s="111"/>
      <c r="M2738" s="111"/>
      <c r="N2738" s="111"/>
      <c r="O2738" s="111"/>
      <c r="P2738" s="111"/>
      <c r="Q2738" s="111"/>
      <c r="R2738" s="111"/>
    </row>
    <row r="2739" spans="2:18" s="108" customFormat="1">
      <c r="B2739" s="97"/>
      <c r="C2739" s="110"/>
      <c r="D2739" s="109"/>
      <c r="E2739" s="97"/>
      <c r="F2739" s="97"/>
      <c r="G2739" s="109"/>
      <c r="H2739" s="109"/>
      <c r="I2739" s="97"/>
      <c r="J2739" s="97"/>
      <c r="K2739" s="83"/>
      <c r="L2739" s="111"/>
      <c r="M2739" s="111"/>
      <c r="N2739" s="111"/>
      <c r="O2739" s="111"/>
      <c r="P2739" s="111"/>
      <c r="Q2739" s="111"/>
      <c r="R2739" s="111"/>
    </row>
    <row r="2740" spans="2:18" s="108" customFormat="1">
      <c r="B2740" s="97"/>
      <c r="C2740" s="110"/>
      <c r="D2740" s="109"/>
      <c r="E2740" s="97"/>
      <c r="F2740" s="97"/>
      <c r="G2740" s="109"/>
      <c r="H2740" s="109"/>
      <c r="I2740" s="97"/>
      <c r="J2740" s="97"/>
      <c r="K2740" s="83"/>
      <c r="L2740" s="111"/>
      <c r="M2740" s="111"/>
      <c r="N2740" s="111"/>
      <c r="O2740" s="111"/>
      <c r="P2740" s="111"/>
      <c r="Q2740" s="111"/>
      <c r="R2740" s="111"/>
    </row>
    <row r="2741" spans="2:18" s="108" customFormat="1">
      <c r="B2741" s="97"/>
      <c r="C2741" s="110"/>
      <c r="D2741" s="109"/>
      <c r="E2741" s="97"/>
      <c r="F2741" s="97"/>
      <c r="G2741" s="109"/>
      <c r="H2741" s="109"/>
      <c r="I2741" s="97"/>
      <c r="J2741" s="97"/>
      <c r="K2741" s="83"/>
      <c r="L2741" s="111"/>
      <c r="M2741" s="111"/>
      <c r="N2741" s="111"/>
      <c r="O2741" s="111"/>
      <c r="P2741" s="111"/>
      <c r="Q2741" s="111"/>
      <c r="R2741" s="111"/>
    </row>
    <row r="2742" spans="2:18" s="108" customFormat="1">
      <c r="B2742" s="97"/>
      <c r="C2742" s="110"/>
      <c r="D2742" s="109"/>
      <c r="E2742" s="97"/>
      <c r="F2742" s="97"/>
      <c r="G2742" s="109"/>
      <c r="H2742" s="109"/>
      <c r="I2742" s="97"/>
      <c r="J2742" s="97"/>
      <c r="K2742" s="83"/>
      <c r="L2742" s="111"/>
      <c r="M2742" s="111"/>
      <c r="N2742" s="111"/>
      <c r="O2742" s="111"/>
      <c r="P2742" s="111"/>
      <c r="Q2742" s="111"/>
      <c r="R2742" s="111"/>
    </row>
    <row r="2743" spans="2:18" s="108" customFormat="1">
      <c r="B2743" s="97"/>
      <c r="C2743" s="110"/>
      <c r="D2743" s="109"/>
      <c r="E2743" s="97"/>
      <c r="F2743" s="97"/>
      <c r="G2743" s="109"/>
      <c r="H2743" s="109"/>
      <c r="I2743" s="97"/>
      <c r="J2743" s="97"/>
      <c r="K2743" s="83"/>
      <c r="L2743" s="111"/>
      <c r="M2743" s="111"/>
      <c r="N2743" s="111"/>
      <c r="O2743" s="111"/>
      <c r="P2743" s="111"/>
      <c r="Q2743" s="111"/>
      <c r="R2743" s="111"/>
    </row>
    <row r="2744" spans="2:18" s="108" customFormat="1">
      <c r="B2744" s="97"/>
      <c r="C2744" s="110"/>
      <c r="D2744" s="109"/>
      <c r="E2744" s="97"/>
      <c r="F2744" s="97"/>
      <c r="G2744" s="109"/>
      <c r="H2744" s="109"/>
      <c r="I2744" s="97"/>
      <c r="J2744" s="97"/>
      <c r="K2744" s="83"/>
      <c r="L2744" s="111"/>
      <c r="M2744" s="111"/>
      <c r="N2744" s="111"/>
      <c r="O2744" s="111"/>
      <c r="P2744" s="111"/>
      <c r="Q2744" s="111"/>
      <c r="R2744" s="111"/>
    </row>
    <row r="2745" spans="2:18" s="108" customFormat="1">
      <c r="B2745" s="97"/>
      <c r="C2745" s="110"/>
      <c r="D2745" s="109"/>
      <c r="E2745" s="97"/>
      <c r="F2745" s="97"/>
      <c r="G2745" s="109"/>
      <c r="H2745" s="109"/>
      <c r="I2745" s="97"/>
      <c r="J2745" s="97"/>
      <c r="K2745" s="83"/>
      <c r="L2745" s="111"/>
      <c r="M2745" s="111"/>
      <c r="N2745" s="111"/>
      <c r="O2745" s="111"/>
      <c r="P2745" s="111"/>
      <c r="Q2745" s="111"/>
      <c r="R2745" s="111"/>
    </row>
    <row r="2746" spans="2:18" s="108" customFormat="1">
      <c r="B2746" s="97"/>
      <c r="C2746" s="110"/>
      <c r="D2746" s="109"/>
      <c r="E2746" s="97"/>
      <c r="F2746" s="97"/>
      <c r="G2746" s="109"/>
      <c r="H2746" s="109"/>
      <c r="I2746" s="97"/>
      <c r="J2746" s="97"/>
      <c r="K2746" s="83"/>
      <c r="L2746" s="111"/>
      <c r="M2746" s="111"/>
      <c r="N2746" s="111"/>
      <c r="O2746" s="111"/>
      <c r="P2746" s="111"/>
      <c r="Q2746" s="111"/>
      <c r="R2746" s="111"/>
    </row>
    <row r="2747" spans="2:18" s="108" customFormat="1">
      <c r="B2747" s="97"/>
      <c r="C2747" s="110"/>
      <c r="D2747" s="109"/>
      <c r="E2747" s="97"/>
      <c r="F2747" s="97"/>
      <c r="G2747" s="109"/>
      <c r="H2747" s="109"/>
      <c r="I2747" s="97"/>
      <c r="J2747" s="97"/>
      <c r="K2747" s="83"/>
      <c r="L2747" s="111"/>
      <c r="M2747" s="111"/>
      <c r="N2747" s="111"/>
      <c r="O2747" s="111"/>
      <c r="P2747" s="111"/>
      <c r="Q2747" s="111"/>
      <c r="R2747" s="111"/>
    </row>
    <row r="2748" spans="2:18" s="108" customFormat="1">
      <c r="B2748" s="97"/>
      <c r="C2748" s="110"/>
      <c r="D2748" s="109"/>
      <c r="E2748" s="97"/>
      <c r="F2748" s="97"/>
      <c r="G2748" s="109"/>
      <c r="H2748" s="109"/>
      <c r="I2748" s="97"/>
      <c r="J2748" s="97"/>
      <c r="K2748" s="83"/>
      <c r="L2748" s="111"/>
      <c r="M2748" s="111"/>
      <c r="N2748" s="111"/>
      <c r="O2748" s="111"/>
      <c r="P2748" s="111"/>
      <c r="Q2748" s="111"/>
      <c r="R2748" s="111"/>
    </row>
    <row r="2749" spans="2:18" s="108" customFormat="1">
      <c r="B2749" s="97"/>
      <c r="C2749" s="110"/>
      <c r="D2749" s="109"/>
      <c r="E2749" s="97"/>
      <c r="F2749" s="97"/>
      <c r="G2749" s="109"/>
      <c r="H2749" s="109"/>
      <c r="I2749" s="97"/>
      <c r="J2749" s="97"/>
      <c r="K2749" s="83"/>
      <c r="L2749" s="111"/>
      <c r="M2749" s="111"/>
      <c r="N2749" s="111"/>
      <c r="O2749" s="111"/>
      <c r="P2749" s="111"/>
      <c r="Q2749" s="111"/>
      <c r="R2749" s="111"/>
    </row>
    <row r="2750" spans="2:18" s="108" customFormat="1">
      <c r="B2750" s="97"/>
      <c r="C2750" s="110"/>
      <c r="D2750" s="109"/>
      <c r="E2750" s="97"/>
      <c r="F2750" s="97"/>
      <c r="G2750" s="109"/>
      <c r="H2750" s="109"/>
      <c r="I2750" s="97"/>
      <c r="J2750" s="97"/>
      <c r="K2750" s="83"/>
      <c r="L2750" s="111"/>
      <c r="M2750" s="111"/>
      <c r="N2750" s="111"/>
      <c r="O2750" s="111"/>
      <c r="P2750" s="111"/>
      <c r="Q2750" s="111"/>
      <c r="R2750" s="111"/>
    </row>
    <row r="2751" spans="2:18" s="108" customFormat="1">
      <c r="B2751" s="97"/>
      <c r="C2751" s="110"/>
      <c r="D2751" s="109"/>
      <c r="E2751" s="97"/>
      <c r="F2751" s="97"/>
      <c r="G2751" s="109"/>
      <c r="H2751" s="109"/>
      <c r="I2751" s="97"/>
      <c r="J2751" s="97"/>
      <c r="K2751" s="83"/>
      <c r="L2751" s="111"/>
      <c r="M2751" s="111"/>
      <c r="N2751" s="111"/>
      <c r="O2751" s="111"/>
      <c r="P2751" s="111"/>
      <c r="Q2751" s="111"/>
      <c r="R2751" s="111"/>
    </row>
    <row r="2752" spans="2:18" s="108" customFormat="1">
      <c r="B2752" s="97"/>
      <c r="C2752" s="110"/>
      <c r="D2752" s="109"/>
      <c r="E2752" s="97"/>
      <c r="F2752" s="97"/>
      <c r="G2752" s="109"/>
      <c r="H2752" s="109"/>
      <c r="I2752" s="97"/>
      <c r="J2752" s="97"/>
      <c r="K2752" s="83"/>
      <c r="L2752" s="111"/>
      <c r="M2752" s="111"/>
      <c r="N2752" s="111"/>
      <c r="O2752" s="111"/>
      <c r="P2752" s="111"/>
      <c r="Q2752" s="111"/>
      <c r="R2752" s="111"/>
    </row>
    <row r="2753" spans="2:18" s="108" customFormat="1">
      <c r="B2753" s="97"/>
      <c r="C2753" s="110"/>
      <c r="D2753" s="109"/>
      <c r="E2753" s="97"/>
      <c r="F2753" s="97"/>
      <c r="G2753" s="109"/>
      <c r="H2753" s="109"/>
      <c r="I2753" s="97"/>
      <c r="J2753" s="97"/>
      <c r="K2753" s="83"/>
      <c r="L2753" s="111"/>
      <c r="M2753" s="111"/>
      <c r="N2753" s="111"/>
      <c r="O2753" s="111"/>
      <c r="P2753" s="111"/>
      <c r="Q2753" s="111"/>
      <c r="R2753" s="111"/>
    </row>
    <row r="2754" spans="2:18" s="108" customFormat="1">
      <c r="B2754" s="97"/>
      <c r="C2754" s="110"/>
      <c r="D2754" s="109"/>
      <c r="E2754" s="97"/>
      <c r="F2754" s="97"/>
      <c r="G2754" s="109"/>
      <c r="H2754" s="109"/>
      <c r="I2754" s="97"/>
      <c r="J2754" s="97"/>
      <c r="K2754" s="83"/>
      <c r="L2754" s="111"/>
      <c r="M2754" s="111"/>
      <c r="N2754" s="111"/>
      <c r="O2754" s="111"/>
      <c r="P2754" s="111"/>
      <c r="Q2754" s="111"/>
      <c r="R2754" s="111"/>
    </row>
    <row r="2755" spans="2:18" s="108" customFormat="1">
      <c r="B2755" s="97"/>
      <c r="C2755" s="110"/>
      <c r="D2755" s="109"/>
      <c r="E2755" s="97"/>
      <c r="F2755" s="97"/>
      <c r="G2755" s="109"/>
      <c r="H2755" s="109"/>
      <c r="I2755" s="97"/>
      <c r="J2755" s="97"/>
      <c r="K2755" s="83"/>
      <c r="L2755" s="111"/>
      <c r="M2755" s="111"/>
      <c r="N2755" s="111"/>
      <c r="O2755" s="111"/>
      <c r="P2755" s="111"/>
      <c r="Q2755" s="111"/>
      <c r="R2755" s="111"/>
    </row>
    <row r="2756" spans="2:18" s="108" customFormat="1">
      <c r="B2756" s="97"/>
      <c r="C2756" s="110"/>
      <c r="D2756" s="109"/>
      <c r="E2756" s="97"/>
      <c r="F2756" s="97"/>
      <c r="G2756" s="109"/>
      <c r="H2756" s="109"/>
      <c r="I2756" s="97"/>
      <c r="J2756" s="97"/>
      <c r="K2756" s="83"/>
      <c r="L2756" s="111"/>
      <c r="M2756" s="111"/>
      <c r="N2756" s="111"/>
      <c r="O2756" s="111"/>
      <c r="P2756" s="111"/>
      <c r="Q2756" s="111"/>
      <c r="R2756" s="111"/>
    </row>
    <row r="2757" spans="2:18" s="108" customFormat="1">
      <c r="B2757" s="97"/>
      <c r="C2757" s="110"/>
      <c r="D2757" s="109"/>
      <c r="E2757" s="97"/>
      <c r="F2757" s="97"/>
      <c r="G2757" s="109"/>
      <c r="H2757" s="109"/>
      <c r="I2757" s="97"/>
      <c r="J2757" s="97"/>
      <c r="K2757" s="83"/>
      <c r="L2757" s="111"/>
      <c r="M2757" s="111"/>
      <c r="N2757" s="111"/>
      <c r="O2757" s="111"/>
      <c r="P2757" s="111"/>
      <c r="Q2757" s="111"/>
      <c r="R2757" s="111"/>
    </row>
    <row r="2758" spans="2:18" s="108" customFormat="1">
      <c r="B2758" s="97"/>
      <c r="C2758" s="110"/>
      <c r="D2758" s="109"/>
      <c r="E2758" s="97"/>
      <c r="F2758" s="97"/>
      <c r="G2758" s="109"/>
      <c r="H2758" s="109"/>
      <c r="I2758" s="97"/>
      <c r="J2758" s="97"/>
      <c r="K2758" s="83"/>
      <c r="L2758" s="111"/>
      <c r="M2758" s="111"/>
      <c r="N2758" s="111"/>
      <c r="O2758" s="111"/>
      <c r="P2758" s="111"/>
      <c r="Q2758" s="111"/>
      <c r="R2758" s="111"/>
    </row>
    <row r="2759" spans="2:18" s="108" customFormat="1">
      <c r="B2759" s="97"/>
      <c r="C2759" s="110"/>
      <c r="D2759" s="109"/>
      <c r="E2759" s="97"/>
      <c r="F2759" s="97"/>
      <c r="G2759" s="109"/>
      <c r="H2759" s="109"/>
      <c r="I2759" s="97"/>
      <c r="J2759" s="97"/>
      <c r="K2759" s="83"/>
      <c r="L2759" s="111"/>
      <c r="M2759" s="111"/>
      <c r="N2759" s="111"/>
      <c r="O2759" s="111"/>
      <c r="P2759" s="111"/>
      <c r="Q2759" s="111"/>
      <c r="R2759" s="111"/>
    </row>
    <row r="2760" spans="2:18" s="108" customFormat="1">
      <c r="B2760" s="97"/>
      <c r="C2760" s="110"/>
      <c r="D2760" s="109"/>
      <c r="E2760" s="97"/>
      <c r="F2760" s="97"/>
      <c r="G2760" s="109"/>
      <c r="H2760" s="109"/>
      <c r="I2760" s="97"/>
      <c r="J2760" s="97"/>
      <c r="K2760" s="83"/>
      <c r="L2760" s="111"/>
      <c r="M2760" s="111"/>
      <c r="N2760" s="111"/>
      <c r="O2760" s="111"/>
      <c r="P2760" s="111"/>
      <c r="Q2760" s="111"/>
      <c r="R2760" s="111"/>
    </row>
    <row r="2761" spans="2:18" s="108" customFormat="1">
      <c r="B2761" s="97"/>
      <c r="C2761" s="110"/>
      <c r="D2761" s="109"/>
      <c r="E2761" s="97"/>
      <c r="F2761" s="97"/>
      <c r="G2761" s="109"/>
      <c r="H2761" s="109"/>
      <c r="I2761" s="97"/>
      <c r="J2761" s="97"/>
      <c r="K2761" s="83"/>
      <c r="L2761" s="111"/>
      <c r="M2761" s="111"/>
      <c r="N2761" s="111"/>
      <c r="O2761" s="111"/>
      <c r="P2761" s="111"/>
      <c r="Q2761" s="111"/>
      <c r="R2761" s="111"/>
    </row>
    <row r="2762" spans="2:18" s="108" customFormat="1">
      <c r="B2762" s="97"/>
      <c r="C2762" s="110"/>
      <c r="D2762" s="109"/>
      <c r="E2762" s="97"/>
      <c r="F2762" s="97"/>
      <c r="G2762" s="109"/>
      <c r="H2762" s="109"/>
      <c r="I2762" s="97"/>
      <c r="J2762" s="97"/>
      <c r="K2762" s="83"/>
      <c r="L2762" s="111"/>
      <c r="M2762" s="111"/>
      <c r="N2762" s="111"/>
      <c r="O2762" s="111"/>
      <c r="P2762" s="111"/>
      <c r="Q2762" s="111"/>
      <c r="R2762" s="111"/>
    </row>
    <row r="2763" spans="2:18" s="108" customFormat="1">
      <c r="B2763" s="97"/>
      <c r="C2763" s="110"/>
      <c r="D2763" s="109"/>
      <c r="E2763" s="97"/>
      <c r="F2763" s="97"/>
      <c r="G2763" s="109"/>
      <c r="H2763" s="109"/>
      <c r="I2763" s="97"/>
      <c r="J2763" s="97"/>
      <c r="K2763" s="83"/>
      <c r="L2763" s="111"/>
      <c r="M2763" s="111"/>
      <c r="N2763" s="111"/>
      <c r="O2763" s="111"/>
      <c r="P2763" s="111"/>
      <c r="Q2763" s="111"/>
      <c r="R2763" s="111"/>
    </row>
    <row r="2764" spans="2:18" s="108" customFormat="1">
      <c r="B2764" s="97"/>
      <c r="C2764" s="110"/>
      <c r="D2764" s="109"/>
      <c r="E2764" s="97"/>
      <c r="F2764" s="97"/>
      <c r="G2764" s="109"/>
      <c r="H2764" s="109"/>
      <c r="I2764" s="97"/>
      <c r="J2764" s="97"/>
      <c r="K2764" s="83"/>
      <c r="L2764" s="111"/>
      <c r="M2764" s="111"/>
      <c r="N2764" s="111"/>
      <c r="O2764" s="111"/>
      <c r="P2764" s="111"/>
      <c r="Q2764" s="111"/>
      <c r="R2764" s="111"/>
    </row>
    <row r="2765" spans="2:18" s="108" customFormat="1">
      <c r="B2765" s="97"/>
      <c r="C2765" s="110"/>
      <c r="D2765" s="109"/>
      <c r="E2765" s="97"/>
      <c r="F2765" s="97"/>
      <c r="G2765" s="109"/>
      <c r="H2765" s="109"/>
      <c r="I2765" s="97"/>
      <c r="J2765" s="97"/>
      <c r="K2765" s="83"/>
      <c r="L2765" s="111"/>
      <c r="M2765" s="111"/>
      <c r="N2765" s="111"/>
      <c r="O2765" s="111"/>
      <c r="P2765" s="111"/>
      <c r="Q2765" s="111"/>
      <c r="R2765" s="111"/>
    </row>
    <row r="2766" spans="2:18" s="108" customFormat="1">
      <c r="B2766" s="97"/>
      <c r="C2766" s="110"/>
      <c r="D2766" s="109"/>
      <c r="E2766" s="97"/>
      <c r="F2766" s="97"/>
      <c r="G2766" s="109"/>
      <c r="H2766" s="109"/>
      <c r="I2766" s="97"/>
      <c r="J2766" s="97"/>
      <c r="K2766" s="83"/>
      <c r="L2766" s="111"/>
      <c r="M2766" s="111"/>
      <c r="N2766" s="111"/>
      <c r="O2766" s="111"/>
      <c r="P2766" s="111"/>
      <c r="Q2766" s="111"/>
      <c r="R2766" s="111"/>
    </row>
    <row r="2767" spans="2:18" s="108" customFormat="1">
      <c r="B2767" s="97"/>
      <c r="C2767" s="110"/>
      <c r="D2767" s="109"/>
      <c r="E2767" s="97"/>
      <c r="F2767" s="97"/>
      <c r="G2767" s="109"/>
      <c r="H2767" s="109"/>
      <c r="I2767" s="97"/>
      <c r="J2767" s="97"/>
      <c r="K2767" s="83"/>
      <c r="L2767" s="111"/>
      <c r="M2767" s="111"/>
      <c r="N2767" s="111"/>
      <c r="O2767" s="111"/>
      <c r="P2767" s="111"/>
      <c r="Q2767" s="111"/>
      <c r="R2767" s="111"/>
    </row>
    <row r="2768" spans="2:18" s="108" customFormat="1">
      <c r="B2768" s="97"/>
      <c r="C2768" s="110"/>
      <c r="D2768" s="109"/>
      <c r="E2768" s="97"/>
      <c r="F2768" s="97"/>
      <c r="G2768" s="109"/>
      <c r="H2768" s="109"/>
      <c r="I2768" s="97"/>
      <c r="J2768" s="97"/>
      <c r="K2768" s="83"/>
      <c r="L2768" s="111"/>
      <c r="M2768" s="111"/>
      <c r="N2768" s="111"/>
      <c r="O2768" s="111"/>
      <c r="P2768" s="111"/>
      <c r="Q2768" s="111"/>
      <c r="R2768" s="111"/>
    </row>
    <row r="2769" spans="2:18" s="108" customFormat="1">
      <c r="B2769" s="97"/>
      <c r="C2769" s="110"/>
      <c r="D2769" s="109"/>
      <c r="E2769" s="97"/>
      <c r="F2769" s="97"/>
      <c r="G2769" s="109"/>
      <c r="H2769" s="109"/>
      <c r="I2769" s="97"/>
      <c r="J2769" s="97"/>
      <c r="K2769" s="83"/>
      <c r="L2769" s="111"/>
      <c r="M2769" s="111"/>
      <c r="N2769" s="111"/>
      <c r="O2769" s="111"/>
      <c r="P2769" s="111"/>
      <c r="Q2769" s="111"/>
      <c r="R2769" s="111"/>
    </row>
    <row r="2770" spans="2:18" s="108" customFormat="1">
      <c r="B2770" s="97"/>
      <c r="C2770" s="110"/>
      <c r="D2770" s="109"/>
      <c r="E2770" s="97"/>
      <c r="F2770" s="97"/>
      <c r="G2770" s="109"/>
      <c r="H2770" s="109"/>
      <c r="I2770" s="97"/>
      <c r="J2770" s="97"/>
      <c r="K2770" s="83"/>
      <c r="L2770" s="111"/>
      <c r="M2770" s="111"/>
      <c r="N2770" s="111"/>
      <c r="O2770" s="111"/>
      <c r="P2770" s="111"/>
      <c r="Q2770" s="111"/>
      <c r="R2770" s="111"/>
    </row>
    <row r="2771" spans="2:18" s="108" customFormat="1">
      <c r="B2771" s="97"/>
      <c r="C2771" s="110"/>
      <c r="D2771" s="109"/>
      <c r="E2771" s="97"/>
      <c r="F2771" s="97"/>
      <c r="G2771" s="109"/>
      <c r="H2771" s="109"/>
      <c r="I2771" s="97"/>
      <c r="J2771" s="97"/>
      <c r="K2771" s="83"/>
      <c r="L2771" s="111"/>
      <c r="M2771" s="111"/>
      <c r="N2771" s="111"/>
      <c r="O2771" s="111"/>
      <c r="P2771" s="111"/>
      <c r="Q2771" s="111"/>
      <c r="R2771" s="111"/>
    </row>
    <row r="2772" spans="2:18" s="108" customFormat="1">
      <c r="B2772" s="97"/>
      <c r="C2772" s="110"/>
      <c r="D2772" s="109"/>
      <c r="E2772" s="97"/>
      <c r="F2772" s="97"/>
      <c r="G2772" s="109"/>
      <c r="H2772" s="109"/>
      <c r="I2772" s="97"/>
      <c r="J2772" s="97"/>
      <c r="K2772" s="83"/>
      <c r="L2772" s="111"/>
      <c r="M2772" s="111"/>
      <c r="N2772" s="111"/>
      <c r="O2772" s="111"/>
      <c r="P2772" s="111"/>
      <c r="Q2772" s="111"/>
      <c r="R2772" s="111"/>
    </row>
    <row r="2773" spans="2:18" s="108" customFormat="1">
      <c r="B2773" s="97"/>
      <c r="C2773" s="110"/>
      <c r="D2773" s="109"/>
      <c r="E2773" s="97"/>
      <c r="F2773" s="97"/>
      <c r="G2773" s="109"/>
      <c r="H2773" s="109"/>
      <c r="I2773" s="97"/>
      <c r="J2773" s="97"/>
      <c r="K2773" s="83"/>
      <c r="L2773" s="111"/>
      <c r="M2773" s="111"/>
      <c r="N2773" s="111"/>
      <c r="O2773" s="111"/>
      <c r="P2773" s="111"/>
      <c r="Q2773" s="111"/>
      <c r="R2773" s="111"/>
    </row>
    <row r="2774" spans="2:18" s="108" customFormat="1">
      <c r="B2774" s="97"/>
      <c r="C2774" s="110"/>
      <c r="D2774" s="109"/>
      <c r="E2774" s="97"/>
      <c r="F2774" s="97"/>
      <c r="G2774" s="109"/>
      <c r="H2774" s="109"/>
      <c r="I2774" s="97"/>
      <c r="J2774" s="97"/>
      <c r="K2774" s="83"/>
      <c r="L2774" s="111"/>
      <c r="M2774" s="111"/>
      <c r="N2774" s="111"/>
      <c r="O2774" s="111"/>
      <c r="P2774" s="111"/>
      <c r="Q2774" s="111"/>
      <c r="R2774" s="111"/>
    </row>
    <row r="2775" spans="2:18" s="108" customFormat="1">
      <c r="B2775" s="97"/>
      <c r="C2775" s="110"/>
      <c r="D2775" s="109"/>
      <c r="E2775" s="97"/>
      <c r="F2775" s="97"/>
      <c r="G2775" s="109"/>
      <c r="H2775" s="109"/>
      <c r="I2775" s="97"/>
      <c r="J2775" s="97"/>
      <c r="K2775" s="83"/>
      <c r="L2775" s="111"/>
      <c r="M2775" s="111"/>
      <c r="N2775" s="111"/>
      <c r="O2775" s="111"/>
      <c r="P2775" s="111"/>
      <c r="Q2775" s="111"/>
      <c r="R2775" s="111"/>
    </row>
    <row r="2776" spans="2:18" s="108" customFormat="1">
      <c r="B2776" s="97"/>
      <c r="C2776" s="110"/>
      <c r="D2776" s="109"/>
      <c r="E2776" s="97"/>
      <c r="F2776" s="97"/>
      <c r="G2776" s="109"/>
      <c r="H2776" s="109"/>
      <c r="I2776" s="97"/>
      <c r="J2776" s="97"/>
      <c r="K2776" s="83"/>
      <c r="L2776" s="111"/>
      <c r="M2776" s="111"/>
      <c r="N2776" s="111"/>
      <c r="O2776" s="111"/>
      <c r="P2776" s="111"/>
      <c r="Q2776" s="111"/>
      <c r="R2776" s="111"/>
    </row>
    <row r="2777" spans="2:18" s="108" customFormat="1">
      <c r="B2777" s="97"/>
      <c r="C2777" s="110"/>
      <c r="D2777" s="109"/>
      <c r="E2777" s="97"/>
      <c r="F2777" s="97"/>
      <c r="G2777" s="109"/>
      <c r="H2777" s="109"/>
      <c r="I2777" s="97"/>
      <c r="J2777" s="97"/>
      <c r="K2777" s="83"/>
      <c r="L2777" s="111"/>
      <c r="M2777" s="111"/>
      <c r="N2777" s="111"/>
      <c r="O2777" s="111"/>
      <c r="P2777" s="111"/>
      <c r="Q2777" s="111"/>
      <c r="R2777" s="111"/>
    </row>
    <row r="2778" spans="2:18" s="108" customFormat="1">
      <c r="B2778" s="97"/>
      <c r="C2778" s="110"/>
      <c r="D2778" s="109"/>
      <c r="E2778" s="97"/>
      <c r="F2778" s="97"/>
      <c r="G2778" s="109"/>
      <c r="H2778" s="109"/>
      <c r="I2778" s="97"/>
      <c r="J2778" s="97"/>
      <c r="K2778" s="83"/>
      <c r="L2778" s="111"/>
      <c r="M2778" s="111"/>
      <c r="N2778" s="111"/>
      <c r="O2778" s="111"/>
      <c r="P2778" s="111"/>
      <c r="Q2778" s="111"/>
      <c r="R2778" s="111"/>
    </row>
    <row r="2779" spans="2:18" s="108" customFormat="1">
      <c r="B2779" s="97"/>
      <c r="C2779" s="110"/>
      <c r="D2779" s="109"/>
      <c r="E2779" s="97"/>
      <c r="F2779" s="97"/>
      <c r="G2779" s="109"/>
      <c r="H2779" s="109"/>
      <c r="I2779" s="97"/>
      <c r="J2779" s="97"/>
      <c r="K2779" s="83"/>
      <c r="L2779" s="111"/>
      <c r="M2779" s="111"/>
      <c r="N2779" s="111"/>
      <c r="O2779" s="111"/>
      <c r="P2779" s="111"/>
      <c r="Q2779" s="111"/>
      <c r="R2779" s="111"/>
    </row>
    <row r="2780" spans="2:18" s="108" customFormat="1">
      <c r="B2780" s="97"/>
      <c r="C2780" s="110"/>
      <c r="D2780" s="109"/>
      <c r="E2780" s="97"/>
      <c r="F2780" s="97"/>
      <c r="G2780" s="109"/>
      <c r="H2780" s="109"/>
      <c r="I2780" s="97"/>
      <c r="J2780" s="97"/>
      <c r="K2780" s="83"/>
      <c r="L2780" s="111"/>
      <c r="M2780" s="111"/>
      <c r="N2780" s="111"/>
      <c r="O2780" s="111"/>
      <c r="P2780" s="111"/>
      <c r="Q2780" s="111"/>
      <c r="R2780" s="111"/>
    </row>
    <row r="2781" spans="2:18" s="108" customFormat="1">
      <c r="B2781" s="97"/>
      <c r="C2781" s="110"/>
      <c r="D2781" s="109"/>
      <c r="E2781" s="97"/>
      <c r="F2781" s="97"/>
      <c r="G2781" s="109"/>
      <c r="H2781" s="109"/>
      <c r="I2781" s="97"/>
      <c r="J2781" s="97"/>
      <c r="K2781" s="83"/>
      <c r="L2781" s="111"/>
      <c r="M2781" s="111"/>
      <c r="N2781" s="111"/>
      <c r="O2781" s="111"/>
      <c r="P2781" s="111"/>
      <c r="Q2781" s="111"/>
      <c r="R2781" s="111"/>
    </row>
    <row r="2782" spans="2:18" s="108" customFormat="1">
      <c r="B2782" s="97"/>
      <c r="C2782" s="110"/>
      <c r="D2782" s="109"/>
      <c r="E2782" s="97"/>
      <c r="F2782" s="97"/>
      <c r="G2782" s="109"/>
      <c r="H2782" s="109"/>
      <c r="I2782" s="97"/>
      <c r="J2782" s="97"/>
      <c r="K2782" s="83"/>
      <c r="L2782" s="111"/>
      <c r="M2782" s="111"/>
      <c r="N2782" s="111"/>
      <c r="O2782" s="111"/>
      <c r="P2782" s="111"/>
      <c r="Q2782" s="111"/>
      <c r="R2782" s="111"/>
    </row>
    <row r="2783" spans="2:18" s="108" customFormat="1">
      <c r="B2783" s="97"/>
      <c r="C2783" s="110"/>
      <c r="D2783" s="109"/>
      <c r="E2783" s="97"/>
      <c r="F2783" s="97"/>
      <c r="G2783" s="109"/>
      <c r="H2783" s="109"/>
      <c r="I2783" s="97"/>
      <c r="J2783" s="97"/>
      <c r="K2783" s="83"/>
      <c r="L2783" s="111"/>
      <c r="M2783" s="111"/>
      <c r="N2783" s="111"/>
      <c r="O2783" s="111"/>
      <c r="P2783" s="111"/>
      <c r="Q2783" s="111"/>
      <c r="R2783" s="111"/>
    </row>
    <row r="2784" spans="2:18" s="108" customFormat="1">
      <c r="B2784" s="97"/>
      <c r="C2784" s="110"/>
      <c r="D2784" s="109"/>
      <c r="E2784" s="97"/>
      <c r="F2784" s="97"/>
      <c r="G2784" s="109"/>
      <c r="H2784" s="109"/>
      <c r="I2784" s="97"/>
      <c r="J2784" s="97"/>
      <c r="K2784" s="83"/>
      <c r="L2784" s="111"/>
      <c r="M2784" s="111"/>
      <c r="N2784" s="111"/>
      <c r="O2784" s="111"/>
      <c r="P2784" s="111"/>
      <c r="Q2784" s="111"/>
      <c r="R2784" s="111"/>
    </row>
    <row r="2785" spans="2:18" s="108" customFormat="1">
      <c r="B2785" s="97"/>
      <c r="C2785" s="110"/>
      <c r="D2785" s="109"/>
      <c r="E2785" s="97"/>
      <c r="F2785" s="97"/>
      <c r="G2785" s="109"/>
      <c r="H2785" s="109"/>
      <c r="I2785" s="97"/>
      <c r="J2785" s="97"/>
      <c r="K2785" s="83"/>
      <c r="L2785" s="111"/>
      <c r="M2785" s="111"/>
      <c r="N2785" s="111"/>
      <c r="O2785" s="111"/>
      <c r="P2785" s="111"/>
      <c r="Q2785" s="111"/>
      <c r="R2785" s="111"/>
    </row>
    <row r="2786" spans="2:18" s="108" customFormat="1">
      <c r="B2786" s="97"/>
      <c r="C2786" s="110"/>
      <c r="D2786" s="109"/>
      <c r="E2786" s="97"/>
      <c r="F2786" s="97"/>
      <c r="G2786" s="109"/>
      <c r="H2786" s="109"/>
      <c r="I2786" s="97"/>
      <c r="J2786" s="97"/>
      <c r="K2786" s="83"/>
      <c r="L2786" s="111"/>
      <c r="M2786" s="111"/>
      <c r="N2786" s="111"/>
      <c r="O2786" s="111"/>
      <c r="P2786" s="111"/>
      <c r="Q2786" s="111"/>
      <c r="R2786" s="111"/>
    </row>
    <row r="2787" spans="2:18" s="108" customFormat="1">
      <c r="B2787" s="97"/>
      <c r="C2787" s="110"/>
      <c r="D2787" s="109"/>
      <c r="E2787" s="97"/>
      <c r="F2787" s="97"/>
      <c r="G2787" s="109"/>
      <c r="H2787" s="109"/>
      <c r="I2787" s="97"/>
      <c r="J2787" s="97"/>
      <c r="K2787" s="83"/>
      <c r="L2787" s="111"/>
      <c r="M2787" s="111"/>
      <c r="N2787" s="111"/>
      <c r="O2787" s="111"/>
      <c r="P2787" s="111"/>
      <c r="Q2787" s="111"/>
      <c r="R2787" s="111"/>
    </row>
    <row r="2788" spans="2:18" s="108" customFormat="1">
      <c r="B2788" s="97"/>
      <c r="C2788" s="110"/>
      <c r="D2788" s="109"/>
      <c r="E2788" s="97"/>
      <c r="F2788" s="97"/>
      <c r="G2788" s="109"/>
      <c r="H2788" s="109"/>
      <c r="I2788" s="97"/>
      <c r="J2788" s="97"/>
      <c r="K2788" s="83"/>
      <c r="L2788" s="111"/>
      <c r="M2788" s="111"/>
      <c r="N2788" s="111"/>
      <c r="O2788" s="111"/>
      <c r="P2788" s="111"/>
      <c r="Q2788" s="111"/>
      <c r="R2788" s="111"/>
    </row>
    <row r="2789" spans="2:18" s="108" customFormat="1">
      <c r="B2789" s="97"/>
      <c r="C2789" s="110"/>
      <c r="D2789" s="109"/>
      <c r="E2789" s="97"/>
      <c r="F2789" s="97"/>
      <c r="G2789" s="109"/>
      <c r="H2789" s="109"/>
      <c r="I2789" s="97"/>
      <c r="J2789" s="97"/>
      <c r="K2789" s="83"/>
      <c r="L2789" s="111"/>
      <c r="M2789" s="111"/>
      <c r="N2789" s="111"/>
      <c r="O2789" s="111"/>
      <c r="P2789" s="111"/>
      <c r="Q2789" s="111"/>
      <c r="R2789" s="111"/>
    </row>
    <row r="2790" spans="2:18" s="108" customFormat="1">
      <c r="B2790" s="97"/>
      <c r="C2790" s="110"/>
      <c r="D2790" s="109"/>
      <c r="E2790" s="97"/>
      <c r="F2790" s="97"/>
      <c r="G2790" s="109"/>
      <c r="H2790" s="109"/>
      <c r="I2790" s="97"/>
      <c r="J2790" s="97"/>
      <c r="K2790" s="83"/>
      <c r="L2790" s="111"/>
      <c r="M2790" s="111"/>
      <c r="N2790" s="111"/>
      <c r="O2790" s="111"/>
      <c r="P2790" s="111"/>
      <c r="Q2790" s="111"/>
      <c r="R2790" s="111"/>
    </row>
    <row r="2791" spans="2:18" s="108" customFormat="1">
      <c r="B2791" s="97"/>
      <c r="C2791" s="110"/>
      <c r="D2791" s="109"/>
      <c r="E2791" s="97"/>
      <c r="F2791" s="97"/>
      <c r="G2791" s="109"/>
      <c r="H2791" s="109"/>
      <c r="I2791" s="97"/>
      <c r="J2791" s="97"/>
      <c r="K2791" s="83"/>
      <c r="L2791" s="111"/>
      <c r="M2791" s="111"/>
      <c r="N2791" s="111"/>
      <c r="O2791" s="111"/>
      <c r="P2791" s="111"/>
      <c r="Q2791" s="111"/>
      <c r="R2791" s="111"/>
    </row>
    <row r="2792" spans="2:18" s="108" customFormat="1">
      <c r="B2792" s="97"/>
      <c r="C2792" s="110"/>
      <c r="D2792" s="109"/>
      <c r="E2792" s="97"/>
      <c r="F2792" s="97"/>
      <c r="G2792" s="109"/>
      <c r="H2792" s="109"/>
      <c r="I2792" s="97"/>
      <c r="J2792" s="97"/>
      <c r="K2792" s="83"/>
      <c r="L2792" s="111"/>
      <c r="M2792" s="111"/>
      <c r="N2792" s="111"/>
      <c r="O2792" s="111"/>
      <c r="P2792" s="111"/>
      <c r="Q2792" s="111"/>
      <c r="R2792" s="111"/>
    </row>
    <row r="2793" spans="2:18" s="108" customFormat="1">
      <c r="B2793" s="97"/>
      <c r="C2793" s="110"/>
      <c r="D2793" s="109"/>
      <c r="E2793" s="97"/>
      <c r="F2793" s="97"/>
      <c r="G2793" s="109"/>
      <c r="H2793" s="109"/>
      <c r="I2793" s="97"/>
      <c r="J2793" s="97"/>
      <c r="K2793" s="83"/>
      <c r="L2793" s="111"/>
      <c r="M2793" s="111"/>
      <c r="N2793" s="111"/>
      <c r="O2793" s="111"/>
      <c r="P2793" s="111"/>
      <c r="Q2793" s="111"/>
      <c r="R2793" s="111"/>
    </row>
    <row r="2794" spans="2:18" s="108" customFormat="1">
      <c r="B2794" s="97"/>
      <c r="C2794" s="110"/>
      <c r="D2794" s="109"/>
      <c r="E2794" s="97"/>
      <c r="F2794" s="97"/>
      <c r="G2794" s="109"/>
      <c r="H2794" s="109"/>
      <c r="I2794" s="97"/>
      <c r="J2794" s="97"/>
      <c r="K2794" s="83"/>
      <c r="L2794" s="111"/>
      <c r="M2794" s="111"/>
      <c r="N2794" s="111"/>
      <c r="O2794" s="111"/>
      <c r="P2794" s="111"/>
      <c r="Q2794" s="111"/>
      <c r="R2794" s="111"/>
    </row>
    <row r="2795" spans="2:18" s="108" customFormat="1">
      <c r="B2795" s="97"/>
      <c r="C2795" s="110"/>
      <c r="D2795" s="109"/>
      <c r="E2795" s="97"/>
      <c r="F2795" s="97"/>
      <c r="G2795" s="109"/>
      <c r="H2795" s="109"/>
      <c r="I2795" s="97"/>
      <c r="J2795" s="97"/>
      <c r="K2795" s="83"/>
      <c r="L2795" s="111"/>
      <c r="M2795" s="111"/>
      <c r="N2795" s="111"/>
      <c r="O2795" s="111"/>
      <c r="P2795" s="111"/>
      <c r="Q2795" s="111"/>
      <c r="R2795" s="111"/>
    </row>
    <row r="2796" spans="2:18" s="108" customFormat="1">
      <c r="B2796" s="97"/>
      <c r="C2796" s="110"/>
      <c r="D2796" s="109"/>
      <c r="E2796" s="97"/>
      <c r="F2796" s="97"/>
      <c r="G2796" s="109"/>
      <c r="H2796" s="109"/>
      <c r="I2796" s="97"/>
      <c r="J2796" s="97"/>
      <c r="K2796" s="83"/>
      <c r="L2796" s="111"/>
      <c r="M2796" s="111"/>
      <c r="N2796" s="111"/>
      <c r="O2796" s="111"/>
      <c r="P2796" s="111"/>
      <c r="Q2796" s="111"/>
      <c r="R2796" s="111"/>
    </row>
    <row r="2797" spans="2:18" s="108" customFormat="1">
      <c r="B2797" s="97"/>
      <c r="C2797" s="110"/>
      <c r="D2797" s="109"/>
      <c r="E2797" s="97"/>
      <c r="F2797" s="97"/>
      <c r="G2797" s="109"/>
      <c r="H2797" s="109"/>
      <c r="I2797" s="97"/>
      <c r="J2797" s="97"/>
      <c r="K2797" s="83"/>
      <c r="L2797" s="111"/>
      <c r="M2797" s="111"/>
      <c r="N2797" s="111"/>
      <c r="O2797" s="111"/>
      <c r="P2797" s="111"/>
      <c r="Q2797" s="111"/>
      <c r="R2797" s="111"/>
    </row>
    <row r="2798" spans="2:18" s="108" customFormat="1">
      <c r="B2798" s="97"/>
      <c r="C2798" s="110"/>
      <c r="D2798" s="109"/>
      <c r="E2798" s="97"/>
      <c r="F2798" s="97"/>
      <c r="G2798" s="109"/>
      <c r="H2798" s="109"/>
      <c r="I2798" s="97"/>
      <c r="J2798" s="97"/>
      <c r="K2798" s="83"/>
      <c r="L2798" s="111"/>
      <c r="M2798" s="111"/>
      <c r="N2798" s="111"/>
      <c r="O2798" s="111"/>
      <c r="P2798" s="111"/>
      <c r="Q2798" s="111"/>
      <c r="R2798" s="111"/>
    </row>
    <row r="2799" spans="2:18" s="108" customFormat="1">
      <c r="B2799" s="97"/>
      <c r="C2799" s="110"/>
      <c r="D2799" s="109"/>
      <c r="E2799" s="97"/>
      <c r="F2799" s="97"/>
      <c r="G2799" s="109"/>
      <c r="H2799" s="109"/>
      <c r="I2799" s="97"/>
      <c r="J2799" s="97"/>
      <c r="K2799" s="83"/>
      <c r="L2799" s="111"/>
      <c r="M2799" s="111"/>
      <c r="N2799" s="111"/>
      <c r="O2799" s="111"/>
      <c r="P2799" s="111"/>
      <c r="Q2799" s="111"/>
      <c r="R2799" s="111"/>
    </row>
    <row r="2800" spans="2:18" s="108" customFormat="1">
      <c r="B2800" s="97"/>
      <c r="C2800" s="110"/>
      <c r="D2800" s="109"/>
      <c r="E2800" s="97"/>
      <c r="F2800" s="97"/>
      <c r="G2800" s="109"/>
      <c r="H2800" s="109"/>
      <c r="I2800" s="97"/>
      <c r="J2800" s="97"/>
      <c r="K2800" s="83"/>
      <c r="L2800" s="111"/>
      <c r="M2800" s="111"/>
      <c r="N2800" s="111"/>
      <c r="O2800" s="111"/>
      <c r="P2800" s="111"/>
      <c r="Q2800" s="111"/>
      <c r="R2800" s="111"/>
    </row>
    <row r="2801" spans="2:18" s="108" customFormat="1">
      <c r="B2801" s="97"/>
      <c r="C2801" s="110"/>
      <c r="D2801" s="109"/>
      <c r="E2801" s="97"/>
      <c r="F2801" s="97"/>
      <c r="G2801" s="109"/>
      <c r="H2801" s="109"/>
      <c r="I2801" s="97"/>
      <c r="J2801" s="97"/>
      <c r="K2801" s="83"/>
      <c r="L2801" s="111"/>
      <c r="M2801" s="111"/>
      <c r="N2801" s="111"/>
      <c r="O2801" s="111"/>
      <c r="P2801" s="111"/>
      <c r="Q2801" s="111"/>
      <c r="R2801" s="111"/>
    </row>
    <row r="2802" spans="2:18" s="108" customFormat="1">
      <c r="B2802" s="97"/>
      <c r="C2802" s="110"/>
      <c r="D2802" s="109"/>
      <c r="E2802" s="97"/>
      <c r="F2802" s="97"/>
      <c r="G2802" s="109"/>
      <c r="H2802" s="109"/>
      <c r="I2802" s="97"/>
      <c r="J2802" s="97"/>
      <c r="K2802" s="83"/>
      <c r="L2802" s="111"/>
      <c r="M2802" s="111"/>
      <c r="N2802" s="111"/>
      <c r="O2802" s="111"/>
      <c r="P2802" s="111"/>
      <c r="Q2802" s="111"/>
      <c r="R2802" s="111"/>
    </row>
    <row r="2803" spans="2:18" s="108" customFormat="1">
      <c r="B2803" s="97"/>
      <c r="C2803" s="110"/>
      <c r="D2803" s="109"/>
      <c r="E2803" s="97"/>
      <c r="F2803" s="97"/>
      <c r="G2803" s="109"/>
      <c r="H2803" s="109"/>
      <c r="I2803" s="97"/>
      <c r="J2803" s="97"/>
      <c r="K2803" s="83"/>
      <c r="L2803" s="111"/>
      <c r="M2803" s="111"/>
      <c r="N2803" s="111"/>
      <c r="O2803" s="111"/>
      <c r="P2803" s="111"/>
      <c r="Q2803" s="111"/>
      <c r="R2803" s="111"/>
    </row>
    <row r="2804" spans="2:18" s="108" customFormat="1">
      <c r="B2804" s="97"/>
      <c r="C2804" s="110"/>
      <c r="D2804" s="109"/>
      <c r="E2804" s="97"/>
      <c r="F2804" s="97"/>
      <c r="G2804" s="109"/>
      <c r="H2804" s="109"/>
      <c r="I2804" s="97"/>
      <c r="J2804" s="97"/>
      <c r="K2804" s="83"/>
      <c r="L2804" s="111"/>
      <c r="M2804" s="111"/>
      <c r="N2804" s="111"/>
      <c r="O2804" s="111"/>
      <c r="P2804" s="111"/>
      <c r="Q2804" s="111"/>
      <c r="R2804" s="111"/>
    </row>
    <row r="2805" spans="2:18" s="108" customFormat="1">
      <c r="B2805" s="97"/>
      <c r="C2805" s="110"/>
      <c r="D2805" s="109"/>
      <c r="E2805" s="97"/>
      <c r="F2805" s="97"/>
      <c r="G2805" s="109"/>
      <c r="H2805" s="109"/>
      <c r="I2805" s="97"/>
      <c r="J2805" s="97"/>
      <c r="K2805" s="83"/>
      <c r="L2805" s="111"/>
      <c r="M2805" s="111"/>
      <c r="N2805" s="111"/>
      <c r="O2805" s="111"/>
      <c r="P2805" s="111"/>
      <c r="Q2805" s="111"/>
      <c r="R2805" s="111"/>
    </row>
    <row r="2806" spans="2:18" s="108" customFormat="1">
      <c r="B2806" s="97"/>
      <c r="C2806" s="110"/>
      <c r="D2806" s="109"/>
      <c r="E2806" s="97"/>
      <c r="F2806" s="97"/>
      <c r="G2806" s="109"/>
      <c r="H2806" s="109"/>
      <c r="I2806" s="97"/>
      <c r="J2806" s="97"/>
      <c r="K2806" s="83"/>
      <c r="L2806" s="111"/>
      <c r="M2806" s="111"/>
      <c r="N2806" s="111"/>
      <c r="O2806" s="111"/>
      <c r="P2806" s="111"/>
      <c r="Q2806" s="111"/>
      <c r="R2806" s="111"/>
    </row>
    <row r="2807" spans="2:18" s="108" customFormat="1">
      <c r="B2807" s="97"/>
      <c r="C2807" s="110"/>
      <c r="D2807" s="109"/>
      <c r="E2807" s="97"/>
      <c r="F2807" s="97"/>
      <c r="G2807" s="109"/>
      <c r="H2807" s="109"/>
      <c r="I2807" s="97"/>
      <c r="J2807" s="97"/>
      <c r="K2807" s="83"/>
      <c r="L2807" s="111"/>
      <c r="M2807" s="111"/>
      <c r="N2807" s="111"/>
      <c r="O2807" s="111"/>
      <c r="P2807" s="111"/>
      <c r="Q2807" s="111"/>
      <c r="R2807" s="111"/>
    </row>
    <row r="2808" spans="2:18" s="108" customFormat="1">
      <c r="B2808" s="97"/>
      <c r="C2808" s="110"/>
      <c r="D2808" s="109"/>
      <c r="E2808" s="97"/>
      <c r="F2808" s="97"/>
      <c r="G2808" s="109"/>
      <c r="H2808" s="109"/>
      <c r="I2808" s="97"/>
      <c r="J2808" s="97"/>
      <c r="K2808" s="83"/>
      <c r="L2808" s="111"/>
      <c r="M2808" s="111"/>
      <c r="N2808" s="111"/>
      <c r="O2808" s="111"/>
      <c r="P2808" s="111"/>
      <c r="Q2808" s="111"/>
      <c r="R2808" s="111"/>
    </row>
    <row r="2809" spans="2:18" s="108" customFormat="1">
      <c r="B2809" s="97"/>
      <c r="C2809" s="110"/>
      <c r="D2809" s="109"/>
      <c r="E2809" s="97"/>
      <c r="F2809" s="97"/>
      <c r="G2809" s="109"/>
      <c r="H2809" s="109"/>
      <c r="I2809" s="97"/>
      <c r="J2809" s="97"/>
      <c r="K2809" s="83"/>
      <c r="L2809" s="111"/>
      <c r="M2809" s="111"/>
      <c r="N2809" s="111"/>
      <c r="O2809" s="111"/>
      <c r="P2809" s="111"/>
      <c r="Q2809" s="111"/>
      <c r="R2809" s="111"/>
    </row>
    <row r="2810" spans="2:18" s="108" customFormat="1">
      <c r="B2810" s="97"/>
      <c r="C2810" s="110"/>
      <c r="D2810" s="109"/>
      <c r="E2810" s="97"/>
      <c r="F2810" s="97"/>
      <c r="G2810" s="109"/>
      <c r="H2810" s="109"/>
      <c r="I2810" s="97"/>
      <c r="J2810" s="97"/>
      <c r="K2810" s="83"/>
      <c r="L2810" s="111"/>
      <c r="M2810" s="111"/>
      <c r="N2810" s="111"/>
      <c r="O2810" s="111"/>
      <c r="P2810" s="111"/>
      <c r="Q2810" s="111"/>
      <c r="R2810" s="111"/>
    </row>
    <row r="2811" spans="2:18" s="108" customFormat="1">
      <c r="B2811" s="97"/>
      <c r="C2811" s="110"/>
      <c r="D2811" s="109"/>
      <c r="E2811" s="97"/>
      <c r="F2811" s="97"/>
      <c r="G2811" s="109"/>
      <c r="H2811" s="109"/>
      <c r="I2811" s="97"/>
      <c r="J2811" s="97"/>
      <c r="K2811" s="83"/>
      <c r="L2811" s="111"/>
      <c r="M2811" s="111"/>
      <c r="N2811" s="111"/>
      <c r="O2811" s="111"/>
      <c r="P2811" s="111"/>
      <c r="Q2811" s="111"/>
      <c r="R2811" s="111"/>
    </row>
    <row r="2812" spans="2:18" s="108" customFormat="1">
      <c r="B2812" s="97"/>
      <c r="C2812" s="110"/>
      <c r="D2812" s="109"/>
      <c r="E2812" s="97"/>
      <c r="F2812" s="97"/>
      <c r="G2812" s="109"/>
      <c r="H2812" s="109"/>
      <c r="I2812" s="97"/>
      <c r="J2812" s="97"/>
      <c r="K2812" s="83"/>
      <c r="L2812" s="111"/>
      <c r="M2812" s="111"/>
      <c r="N2812" s="111"/>
      <c r="O2812" s="111"/>
      <c r="P2812" s="111"/>
      <c r="Q2812" s="111"/>
      <c r="R2812" s="111"/>
    </row>
    <row r="2813" spans="2:18" s="108" customFormat="1">
      <c r="B2813" s="97"/>
      <c r="C2813" s="110"/>
      <c r="D2813" s="109"/>
      <c r="E2813" s="97"/>
      <c r="F2813" s="97"/>
      <c r="G2813" s="109"/>
      <c r="H2813" s="109"/>
      <c r="I2813" s="97"/>
      <c r="J2813" s="97"/>
      <c r="K2813" s="83"/>
      <c r="L2813" s="111"/>
      <c r="M2813" s="111"/>
      <c r="N2813" s="111"/>
      <c r="O2813" s="111"/>
      <c r="P2813" s="111"/>
      <c r="Q2813" s="111"/>
      <c r="R2813" s="111"/>
    </row>
    <row r="2814" spans="2:18" s="108" customFormat="1">
      <c r="B2814" s="97"/>
      <c r="C2814" s="110"/>
      <c r="D2814" s="109"/>
      <c r="E2814" s="97"/>
      <c r="F2814" s="97"/>
      <c r="G2814" s="109"/>
      <c r="H2814" s="109"/>
      <c r="I2814" s="97"/>
      <c r="J2814" s="97"/>
      <c r="K2814" s="83"/>
      <c r="L2814" s="111"/>
      <c r="M2814" s="111"/>
      <c r="N2814" s="111"/>
      <c r="O2814" s="111"/>
      <c r="P2814" s="111"/>
      <c r="Q2814" s="111"/>
      <c r="R2814" s="111"/>
    </row>
    <row r="2815" spans="2:18" s="108" customFormat="1">
      <c r="B2815" s="97"/>
      <c r="C2815" s="110"/>
      <c r="D2815" s="109"/>
      <c r="E2815" s="97"/>
      <c r="F2815" s="97"/>
      <c r="G2815" s="109"/>
      <c r="H2815" s="109"/>
      <c r="I2815" s="97"/>
      <c r="J2815" s="97"/>
      <c r="K2815" s="83"/>
      <c r="L2815" s="111"/>
      <c r="M2815" s="111"/>
      <c r="N2815" s="111"/>
      <c r="O2815" s="111"/>
      <c r="P2815" s="111"/>
      <c r="Q2815" s="111"/>
      <c r="R2815" s="111"/>
    </row>
    <row r="2816" spans="2:18" s="108" customFormat="1">
      <c r="B2816" s="97"/>
      <c r="C2816" s="110"/>
      <c r="D2816" s="109"/>
      <c r="E2816" s="97"/>
      <c r="F2816" s="97"/>
      <c r="G2816" s="109"/>
      <c r="H2816" s="109"/>
      <c r="I2816" s="97"/>
      <c r="J2816" s="97"/>
      <c r="K2816" s="83"/>
      <c r="L2816" s="111"/>
      <c r="M2816" s="111"/>
      <c r="N2816" s="111"/>
      <c r="O2816" s="111"/>
      <c r="P2816" s="111"/>
      <c r="Q2816" s="111"/>
      <c r="R2816" s="111"/>
    </row>
    <row r="2817" spans="2:18" s="108" customFormat="1">
      <c r="B2817" s="97"/>
      <c r="C2817" s="110"/>
      <c r="D2817" s="109"/>
      <c r="E2817" s="97"/>
      <c r="F2817" s="97"/>
      <c r="G2817" s="109"/>
      <c r="H2817" s="109"/>
      <c r="I2817" s="97"/>
      <c r="J2817" s="97"/>
      <c r="K2817" s="83"/>
      <c r="L2817" s="111"/>
      <c r="M2817" s="111"/>
      <c r="N2817" s="111"/>
      <c r="O2817" s="111"/>
      <c r="P2817" s="111"/>
      <c r="Q2817" s="111"/>
      <c r="R2817" s="111"/>
    </row>
    <row r="2818" spans="2:18" s="108" customFormat="1">
      <c r="B2818" s="97"/>
      <c r="C2818" s="110"/>
      <c r="D2818" s="109"/>
      <c r="E2818" s="97"/>
      <c r="F2818" s="97"/>
      <c r="G2818" s="109"/>
      <c r="H2818" s="109"/>
      <c r="I2818" s="97"/>
      <c r="J2818" s="97"/>
      <c r="K2818" s="83"/>
      <c r="L2818" s="111"/>
      <c r="M2818" s="111"/>
      <c r="N2818" s="111"/>
      <c r="O2818" s="111"/>
      <c r="P2818" s="111"/>
      <c r="Q2818" s="111"/>
      <c r="R2818" s="111"/>
    </row>
    <row r="2819" spans="2:18" s="108" customFormat="1">
      <c r="B2819" s="97"/>
      <c r="C2819" s="110"/>
      <c r="D2819" s="109"/>
      <c r="E2819" s="97"/>
      <c r="F2819" s="97"/>
      <c r="G2819" s="109"/>
      <c r="H2819" s="109"/>
      <c r="I2819" s="97"/>
      <c r="J2819" s="97"/>
      <c r="K2819" s="83"/>
      <c r="L2819" s="111"/>
      <c r="M2819" s="111"/>
      <c r="N2819" s="111"/>
      <c r="O2819" s="111"/>
      <c r="P2819" s="111"/>
      <c r="Q2819" s="111"/>
      <c r="R2819" s="111"/>
    </row>
    <row r="2820" spans="2:18" s="108" customFormat="1">
      <c r="B2820" s="97"/>
      <c r="C2820" s="110"/>
      <c r="D2820" s="109"/>
      <c r="E2820" s="97"/>
      <c r="F2820" s="97"/>
      <c r="G2820" s="109"/>
      <c r="H2820" s="109"/>
      <c r="I2820" s="97"/>
      <c r="J2820" s="97"/>
      <c r="K2820" s="83"/>
      <c r="L2820" s="111"/>
      <c r="M2820" s="111"/>
      <c r="N2820" s="111"/>
      <c r="O2820" s="111"/>
      <c r="P2820" s="111"/>
      <c r="Q2820" s="111"/>
      <c r="R2820" s="111"/>
    </row>
    <row r="2821" spans="2:18" s="108" customFormat="1">
      <c r="B2821" s="97"/>
      <c r="C2821" s="110"/>
      <c r="D2821" s="109"/>
      <c r="E2821" s="97"/>
      <c r="F2821" s="97"/>
      <c r="G2821" s="109"/>
      <c r="H2821" s="109"/>
      <c r="I2821" s="97"/>
      <c r="J2821" s="97"/>
      <c r="K2821" s="83"/>
      <c r="L2821" s="111"/>
      <c r="M2821" s="111"/>
      <c r="N2821" s="111"/>
      <c r="O2821" s="111"/>
      <c r="P2821" s="111"/>
      <c r="Q2821" s="111"/>
      <c r="R2821" s="111"/>
    </row>
    <row r="2822" spans="2:18" s="108" customFormat="1">
      <c r="B2822" s="97"/>
      <c r="C2822" s="110"/>
      <c r="D2822" s="109"/>
      <c r="E2822" s="97"/>
      <c r="F2822" s="97"/>
      <c r="G2822" s="109"/>
      <c r="H2822" s="109"/>
      <c r="I2822" s="97"/>
      <c r="J2822" s="97"/>
      <c r="K2822" s="83"/>
      <c r="L2822" s="111"/>
      <c r="M2822" s="111"/>
      <c r="N2822" s="111"/>
      <c r="O2822" s="111"/>
      <c r="P2822" s="111"/>
      <c r="Q2822" s="111"/>
      <c r="R2822" s="111"/>
    </row>
    <row r="2823" spans="2:18" s="108" customFormat="1">
      <c r="B2823" s="97"/>
      <c r="C2823" s="110"/>
      <c r="D2823" s="109"/>
      <c r="E2823" s="97"/>
      <c r="F2823" s="97"/>
      <c r="G2823" s="109"/>
      <c r="H2823" s="109"/>
      <c r="I2823" s="97"/>
      <c r="J2823" s="97"/>
      <c r="K2823" s="83"/>
      <c r="L2823" s="111"/>
      <c r="M2823" s="111"/>
      <c r="N2823" s="111"/>
      <c r="O2823" s="111"/>
      <c r="P2823" s="111"/>
      <c r="Q2823" s="111"/>
      <c r="R2823" s="111"/>
    </row>
    <row r="2824" spans="2:18" s="108" customFormat="1">
      <c r="B2824" s="97"/>
      <c r="C2824" s="110"/>
      <c r="D2824" s="109"/>
      <c r="E2824" s="97"/>
      <c r="F2824" s="97"/>
      <c r="G2824" s="109"/>
      <c r="H2824" s="109"/>
      <c r="I2824" s="97"/>
      <c r="J2824" s="97"/>
      <c r="K2824" s="83"/>
      <c r="L2824" s="111"/>
      <c r="M2824" s="111"/>
      <c r="N2824" s="111"/>
      <c r="O2824" s="111"/>
      <c r="P2824" s="111"/>
      <c r="Q2824" s="111"/>
      <c r="R2824" s="111"/>
    </row>
    <row r="2825" spans="2:18" s="108" customFormat="1">
      <c r="B2825" s="97"/>
      <c r="C2825" s="110"/>
      <c r="D2825" s="109"/>
      <c r="E2825" s="97"/>
      <c r="F2825" s="97"/>
      <c r="G2825" s="109"/>
      <c r="H2825" s="109"/>
      <c r="I2825" s="97"/>
      <c r="J2825" s="97"/>
      <c r="K2825" s="83"/>
      <c r="L2825" s="111"/>
      <c r="M2825" s="111"/>
      <c r="N2825" s="111"/>
      <c r="O2825" s="111"/>
      <c r="P2825" s="111"/>
      <c r="Q2825" s="111"/>
      <c r="R2825" s="111"/>
    </row>
    <row r="2826" spans="2:18" s="108" customFormat="1">
      <c r="B2826" s="97"/>
      <c r="C2826" s="110"/>
      <c r="D2826" s="109"/>
      <c r="E2826" s="97"/>
      <c r="F2826" s="97"/>
      <c r="G2826" s="109"/>
      <c r="H2826" s="109"/>
      <c r="I2826" s="97"/>
      <c r="J2826" s="97"/>
      <c r="K2826" s="83"/>
      <c r="L2826" s="111"/>
      <c r="M2826" s="111"/>
      <c r="N2826" s="111"/>
      <c r="O2826" s="111"/>
      <c r="P2826" s="111"/>
      <c r="Q2826" s="111"/>
      <c r="R2826" s="111"/>
    </row>
    <row r="2827" spans="2:18" s="108" customFormat="1">
      <c r="B2827" s="97"/>
      <c r="C2827" s="110"/>
      <c r="D2827" s="109"/>
      <c r="E2827" s="97"/>
      <c r="F2827" s="97"/>
      <c r="G2827" s="109"/>
      <c r="H2827" s="109"/>
      <c r="I2827" s="97"/>
      <c r="J2827" s="97"/>
      <c r="K2827" s="83"/>
      <c r="L2827" s="111"/>
      <c r="M2827" s="111"/>
      <c r="N2827" s="111"/>
      <c r="O2827" s="111"/>
      <c r="P2827" s="111"/>
      <c r="Q2827" s="111"/>
      <c r="R2827" s="111"/>
    </row>
    <row r="2828" spans="2:18" s="108" customFormat="1">
      <c r="B2828" s="97"/>
      <c r="C2828" s="110"/>
      <c r="D2828" s="109"/>
      <c r="E2828" s="97"/>
      <c r="F2828" s="97"/>
      <c r="G2828" s="109"/>
      <c r="H2828" s="109"/>
      <c r="I2828" s="97"/>
      <c r="J2828" s="97"/>
      <c r="K2828" s="83"/>
      <c r="L2828" s="111"/>
      <c r="M2828" s="111"/>
      <c r="N2828" s="111"/>
      <c r="O2828" s="111"/>
      <c r="P2828" s="111"/>
      <c r="Q2828" s="111"/>
      <c r="R2828" s="111"/>
    </row>
    <row r="2829" spans="2:18" s="108" customFormat="1">
      <c r="B2829" s="97"/>
      <c r="C2829" s="110"/>
      <c r="D2829" s="109"/>
      <c r="E2829" s="97"/>
      <c r="F2829" s="97"/>
      <c r="G2829" s="109"/>
      <c r="H2829" s="109"/>
      <c r="I2829" s="97"/>
      <c r="J2829" s="97"/>
      <c r="K2829" s="83"/>
      <c r="L2829" s="111"/>
      <c r="M2829" s="111"/>
      <c r="N2829" s="111"/>
      <c r="O2829" s="111"/>
      <c r="P2829" s="111"/>
      <c r="Q2829" s="111"/>
      <c r="R2829" s="111"/>
    </row>
    <row r="2830" spans="2:18" s="108" customFormat="1">
      <c r="B2830" s="97"/>
      <c r="C2830" s="110"/>
      <c r="D2830" s="109"/>
      <c r="E2830" s="97"/>
      <c r="F2830" s="97"/>
      <c r="G2830" s="109"/>
      <c r="H2830" s="109"/>
      <c r="I2830" s="97"/>
      <c r="J2830" s="97"/>
      <c r="K2830" s="83"/>
      <c r="L2830" s="111"/>
      <c r="M2830" s="111"/>
      <c r="N2830" s="111"/>
      <c r="O2830" s="111"/>
      <c r="P2830" s="111"/>
      <c r="Q2830" s="111"/>
      <c r="R2830" s="111"/>
    </row>
    <row r="2831" spans="2:18" s="108" customFormat="1">
      <c r="B2831" s="97"/>
      <c r="C2831" s="110"/>
      <c r="D2831" s="109"/>
      <c r="E2831" s="97"/>
      <c r="F2831" s="97"/>
      <c r="G2831" s="109"/>
      <c r="H2831" s="109"/>
      <c r="I2831" s="97"/>
      <c r="J2831" s="97"/>
      <c r="K2831" s="83"/>
      <c r="L2831" s="111"/>
      <c r="M2831" s="111"/>
      <c r="N2831" s="111"/>
      <c r="O2831" s="111"/>
      <c r="P2831" s="111"/>
      <c r="Q2831" s="111"/>
      <c r="R2831" s="111"/>
    </row>
    <row r="2832" spans="2:18" s="108" customFormat="1">
      <c r="B2832" s="97"/>
      <c r="C2832" s="110"/>
      <c r="D2832" s="109"/>
      <c r="E2832" s="97"/>
      <c r="F2832" s="97"/>
      <c r="G2832" s="109"/>
      <c r="H2832" s="109"/>
      <c r="I2832" s="97"/>
      <c r="J2832" s="97"/>
      <c r="K2832" s="83"/>
      <c r="L2832" s="111"/>
      <c r="M2832" s="111"/>
      <c r="N2832" s="111"/>
      <c r="O2832" s="111"/>
      <c r="P2832" s="111"/>
      <c r="Q2832" s="111"/>
      <c r="R2832" s="111"/>
    </row>
    <row r="2833" spans="2:18" s="108" customFormat="1">
      <c r="B2833" s="97"/>
      <c r="C2833" s="110"/>
      <c r="D2833" s="109"/>
      <c r="E2833" s="97"/>
      <c r="F2833" s="97"/>
      <c r="G2833" s="109"/>
      <c r="H2833" s="109"/>
      <c r="I2833" s="97"/>
      <c r="J2833" s="97"/>
      <c r="K2833" s="83"/>
      <c r="L2833" s="111"/>
      <c r="M2833" s="111"/>
      <c r="N2833" s="111"/>
      <c r="O2833" s="111"/>
      <c r="P2833" s="111"/>
      <c r="Q2833" s="111"/>
      <c r="R2833" s="111"/>
    </row>
    <row r="2834" spans="2:18" s="108" customFormat="1">
      <c r="B2834" s="97"/>
      <c r="C2834" s="110"/>
      <c r="D2834" s="109"/>
      <c r="E2834" s="97"/>
      <c r="F2834" s="97"/>
      <c r="G2834" s="109"/>
      <c r="H2834" s="109"/>
      <c r="I2834" s="97"/>
      <c r="J2834" s="97"/>
      <c r="K2834" s="83"/>
      <c r="L2834" s="111"/>
      <c r="M2834" s="111"/>
      <c r="N2834" s="111"/>
      <c r="O2834" s="111"/>
      <c r="P2834" s="111"/>
      <c r="Q2834" s="111"/>
      <c r="R2834" s="111"/>
    </row>
    <row r="2835" spans="2:18" s="108" customFormat="1">
      <c r="B2835" s="97"/>
      <c r="C2835" s="110"/>
      <c r="D2835" s="109"/>
      <c r="E2835" s="97"/>
      <c r="F2835" s="97"/>
      <c r="G2835" s="109"/>
      <c r="H2835" s="109"/>
      <c r="I2835" s="97"/>
      <c r="J2835" s="97"/>
      <c r="K2835" s="83"/>
      <c r="L2835" s="111"/>
      <c r="M2835" s="111"/>
      <c r="N2835" s="111"/>
      <c r="O2835" s="111"/>
      <c r="P2835" s="111"/>
      <c r="Q2835" s="111"/>
      <c r="R2835" s="111"/>
    </row>
    <row r="2836" spans="2:18" s="108" customFormat="1">
      <c r="B2836" s="97"/>
      <c r="C2836" s="110"/>
      <c r="D2836" s="109"/>
      <c r="E2836" s="97"/>
      <c r="F2836" s="97"/>
      <c r="G2836" s="109"/>
      <c r="H2836" s="109"/>
      <c r="I2836" s="97"/>
      <c r="J2836" s="97"/>
      <c r="K2836" s="83"/>
      <c r="L2836" s="111"/>
      <c r="M2836" s="111"/>
      <c r="N2836" s="111"/>
      <c r="O2836" s="111"/>
      <c r="P2836" s="111"/>
      <c r="Q2836" s="111"/>
      <c r="R2836" s="111"/>
    </row>
    <row r="2837" spans="2:18" s="108" customFormat="1">
      <c r="B2837" s="97"/>
      <c r="C2837" s="110"/>
      <c r="D2837" s="109"/>
      <c r="E2837" s="97"/>
      <c r="F2837" s="97"/>
      <c r="G2837" s="109"/>
      <c r="H2837" s="109"/>
      <c r="I2837" s="97"/>
      <c r="J2837" s="97"/>
      <c r="K2837" s="83"/>
      <c r="L2837" s="111"/>
      <c r="M2837" s="111"/>
      <c r="N2837" s="111"/>
      <c r="O2837" s="111"/>
      <c r="P2837" s="111"/>
      <c r="Q2837" s="111"/>
      <c r="R2837" s="111"/>
    </row>
    <row r="2838" spans="2:18" s="108" customFormat="1">
      <c r="B2838" s="97"/>
      <c r="C2838" s="110"/>
      <c r="D2838" s="109"/>
      <c r="E2838" s="97"/>
      <c r="F2838" s="97"/>
      <c r="G2838" s="109"/>
      <c r="H2838" s="109"/>
      <c r="I2838" s="97"/>
      <c r="J2838" s="97"/>
      <c r="K2838" s="83"/>
      <c r="L2838" s="111"/>
      <c r="M2838" s="111"/>
      <c r="N2838" s="111"/>
      <c r="O2838" s="111"/>
      <c r="P2838" s="111"/>
      <c r="Q2838" s="111"/>
      <c r="R2838" s="111"/>
    </row>
    <row r="2839" spans="2:18" s="108" customFormat="1">
      <c r="B2839" s="97"/>
      <c r="C2839" s="110"/>
      <c r="D2839" s="109"/>
      <c r="E2839" s="97"/>
      <c r="F2839" s="97"/>
      <c r="G2839" s="109"/>
      <c r="H2839" s="109"/>
      <c r="I2839" s="97"/>
      <c r="J2839" s="97"/>
      <c r="K2839" s="83"/>
      <c r="L2839" s="111"/>
      <c r="M2839" s="111"/>
      <c r="N2839" s="111"/>
      <c r="O2839" s="111"/>
      <c r="P2839" s="111"/>
      <c r="Q2839" s="111"/>
      <c r="R2839" s="111"/>
    </row>
    <row r="2840" spans="2:18" s="108" customFormat="1">
      <c r="B2840" s="97"/>
      <c r="C2840" s="110"/>
      <c r="D2840" s="109"/>
      <c r="E2840" s="97"/>
      <c r="F2840" s="97"/>
      <c r="G2840" s="109"/>
      <c r="H2840" s="109"/>
      <c r="I2840" s="97"/>
      <c r="J2840" s="97"/>
      <c r="K2840" s="83"/>
      <c r="L2840" s="111"/>
      <c r="M2840" s="111"/>
      <c r="N2840" s="111"/>
      <c r="O2840" s="111"/>
      <c r="P2840" s="111"/>
      <c r="Q2840" s="111"/>
      <c r="R2840" s="111"/>
    </row>
    <row r="2841" spans="2:18" s="108" customFormat="1">
      <c r="B2841" s="97"/>
      <c r="C2841" s="110"/>
      <c r="D2841" s="109"/>
      <c r="E2841" s="97"/>
      <c r="F2841" s="97"/>
      <c r="G2841" s="109"/>
      <c r="H2841" s="109"/>
      <c r="I2841" s="97"/>
      <c r="J2841" s="97"/>
      <c r="K2841" s="83"/>
      <c r="L2841" s="111"/>
      <c r="M2841" s="111"/>
      <c r="N2841" s="111"/>
      <c r="O2841" s="111"/>
      <c r="P2841" s="111"/>
      <c r="Q2841" s="111"/>
      <c r="R2841" s="111"/>
    </row>
    <row r="2842" spans="2:18" s="108" customFormat="1">
      <c r="B2842" s="97"/>
      <c r="C2842" s="110"/>
      <c r="D2842" s="109"/>
      <c r="E2842" s="97"/>
      <c r="F2842" s="97"/>
      <c r="G2842" s="109"/>
      <c r="H2842" s="109"/>
      <c r="I2842" s="97"/>
      <c r="J2842" s="97"/>
      <c r="K2842" s="83"/>
      <c r="L2842" s="111"/>
      <c r="M2842" s="111"/>
      <c r="N2842" s="111"/>
      <c r="O2842" s="111"/>
      <c r="P2842" s="111"/>
      <c r="Q2842" s="111"/>
      <c r="R2842" s="111"/>
    </row>
    <row r="2843" spans="2:18" s="108" customFormat="1">
      <c r="B2843" s="97"/>
      <c r="C2843" s="110"/>
      <c r="D2843" s="109"/>
      <c r="E2843" s="97"/>
      <c r="F2843" s="97"/>
      <c r="G2843" s="109"/>
      <c r="H2843" s="109"/>
      <c r="I2843" s="97"/>
      <c r="J2843" s="97"/>
      <c r="K2843" s="83"/>
      <c r="L2843" s="111"/>
      <c r="M2843" s="111"/>
      <c r="N2843" s="111"/>
      <c r="O2843" s="111"/>
      <c r="P2843" s="111"/>
      <c r="Q2843" s="111"/>
      <c r="R2843" s="111"/>
    </row>
    <row r="2844" spans="2:18" s="108" customFormat="1">
      <c r="B2844" s="97"/>
      <c r="C2844" s="110"/>
      <c r="D2844" s="109"/>
      <c r="E2844" s="97"/>
      <c r="F2844" s="97"/>
      <c r="G2844" s="109"/>
      <c r="H2844" s="109"/>
      <c r="I2844" s="97"/>
      <c r="J2844" s="97"/>
      <c r="K2844" s="83"/>
      <c r="L2844" s="111"/>
      <c r="M2844" s="111"/>
      <c r="N2844" s="111"/>
      <c r="O2844" s="111"/>
      <c r="P2844" s="111"/>
      <c r="Q2844" s="111"/>
      <c r="R2844" s="111"/>
    </row>
    <row r="2845" spans="2:18" s="108" customFormat="1">
      <c r="B2845" s="97"/>
      <c r="C2845" s="110"/>
      <c r="D2845" s="109"/>
      <c r="E2845" s="97"/>
      <c r="F2845" s="97"/>
      <c r="G2845" s="109"/>
      <c r="H2845" s="109"/>
      <c r="I2845" s="97"/>
      <c r="J2845" s="97"/>
      <c r="K2845" s="83"/>
      <c r="L2845" s="111"/>
      <c r="M2845" s="111"/>
      <c r="N2845" s="111"/>
      <c r="O2845" s="111"/>
      <c r="P2845" s="111"/>
      <c r="Q2845" s="111"/>
      <c r="R2845" s="111"/>
    </row>
    <row r="2846" spans="2:18" s="108" customFormat="1">
      <c r="B2846" s="97"/>
      <c r="C2846" s="110"/>
      <c r="D2846" s="109"/>
      <c r="E2846" s="97"/>
      <c r="F2846" s="97"/>
      <c r="G2846" s="109"/>
      <c r="H2846" s="109"/>
      <c r="I2846" s="97"/>
      <c r="J2846" s="97"/>
      <c r="K2846" s="83"/>
      <c r="L2846" s="111"/>
      <c r="M2846" s="111"/>
      <c r="N2846" s="111"/>
      <c r="O2846" s="111"/>
      <c r="P2846" s="111"/>
      <c r="Q2846" s="111"/>
      <c r="R2846" s="111"/>
    </row>
    <row r="2847" spans="2:18" s="108" customFormat="1">
      <c r="B2847" s="97"/>
      <c r="C2847" s="110"/>
      <c r="D2847" s="109"/>
      <c r="E2847" s="97"/>
      <c r="F2847" s="97"/>
      <c r="G2847" s="109"/>
      <c r="H2847" s="109"/>
      <c r="I2847" s="97"/>
      <c r="J2847" s="97"/>
      <c r="K2847" s="83"/>
      <c r="L2847" s="111"/>
      <c r="M2847" s="111"/>
      <c r="N2847" s="111"/>
      <c r="O2847" s="111"/>
      <c r="P2847" s="111"/>
      <c r="Q2847" s="111"/>
      <c r="R2847" s="111"/>
    </row>
    <row r="2848" spans="2:18" s="108" customFormat="1">
      <c r="B2848" s="97"/>
      <c r="C2848" s="110"/>
      <c r="D2848" s="109"/>
      <c r="E2848" s="97"/>
      <c r="F2848" s="97"/>
      <c r="G2848" s="109"/>
      <c r="H2848" s="109"/>
      <c r="I2848" s="97"/>
      <c r="J2848" s="97"/>
      <c r="K2848" s="83"/>
      <c r="L2848" s="111"/>
      <c r="M2848" s="111"/>
      <c r="N2848" s="111"/>
      <c r="O2848" s="111"/>
      <c r="P2848" s="111"/>
      <c r="Q2848" s="111"/>
      <c r="R2848" s="111"/>
    </row>
    <row r="2849" spans="2:18" s="108" customFormat="1">
      <c r="B2849" s="97"/>
      <c r="C2849" s="110"/>
      <c r="D2849" s="109"/>
      <c r="E2849" s="97"/>
      <c r="F2849" s="97"/>
      <c r="G2849" s="109"/>
      <c r="H2849" s="109"/>
      <c r="I2849" s="97"/>
      <c r="J2849" s="97"/>
      <c r="K2849" s="83"/>
      <c r="L2849" s="111"/>
      <c r="M2849" s="111"/>
      <c r="N2849" s="111"/>
      <c r="O2849" s="111"/>
      <c r="P2849" s="111"/>
      <c r="Q2849" s="111"/>
      <c r="R2849" s="111"/>
    </row>
    <row r="2850" spans="2:18" s="108" customFormat="1">
      <c r="B2850" s="97"/>
      <c r="C2850" s="110"/>
      <c r="D2850" s="109"/>
      <c r="E2850" s="97"/>
      <c r="F2850" s="97"/>
      <c r="G2850" s="109"/>
      <c r="H2850" s="109"/>
      <c r="I2850" s="97"/>
      <c r="J2850" s="97"/>
      <c r="K2850" s="83"/>
      <c r="L2850" s="111"/>
      <c r="M2850" s="111"/>
      <c r="N2850" s="111"/>
      <c r="O2850" s="111"/>
      <c r="P2850" s="111"/>
      <c r="Q2850" s="111"/>
      <c r="R2850" s="111"/>
    </row>
    <row r="2851" spans="2:18" s="108" customFormat="1">
      <c r="B2851" s="97"/>
      <c r="C2851" s="110"/>
      <c r="D2851" s="109"/>
      <c r="E2851" s="97"/>
      <c r="F2851" s="97"/>
      <c r="G2851" s="109"/>
      <c r="H2851" s="109"/>
      <c r="I2851" s="97"/>
      <c r="J2851" s="97"/>
      <c r="K2851" s="83"/>
      <c r="L2851" s="111"/>
      <c r="M2851" s="111"/>
      <c r="N2851" s="111"/>
      <c r="O2851" s="111"/>
      <c r="P2851" s="111"/>
      <c r="Q2851" s="111"/>
      <c r="R2851" s="111"/>
    </row>
    <row r="2852" spans="2:18" s="108" customFormat="1">
      <c r="B2852" s="97"/>
      <c r="C2852" s="110"/>
      <c r="D2852" s="109"/>
      <c r="E2852" s="97"/>
      <c r="F2852" s="97"/>
      <c r="G2852" s="109"/>
      <c r="H2852" s="109"/>
      <c r="I2852" s="97"/>
      <c r="J2852" s="97"/>
      <c r="K2852" s="83"/>
      <c r="L2852" s="111"/>
      <c r="M2852" s="111"/>
      <c r="N2852" s="111"/>
      <c r="O2852" s="111"/>
      <c r="P2852" s="111"/>
      <c r="Q2852" s="111"/>
      <c r="R2852" s="111"/>
    </row>
    <row r="2853" spans="2:18" s="108" customFormat="1">
      <c r="B2853" s="97"/>
      <c r="C2853" s="110"/>
      <c r="D2853" s="109"/>
      <c r="E2853" s="97"/>
      <c r="F2853" s="97"/>
      <c r="G2853" s="109"/>
      <c r="H2853" s="109"/>
      <c r="I2853" s="97"/>
      <c r="J2853" s="97"/>
      <c r="K2853" s="83"/>
      <c r="L2853" s="111"/>
      <c r="M2853" s="111"/>
      <c r="N2853" s="111"/>
      <c r="O2853" s="111"/>
      <c r="P2853" s="111"/>
      <c r="Q2853" s="111"/>
      <c r="R2853" s="111"/>
    </row>
    <row r="2854" spans="2:18" s="108" customFormat="1">
      <c r="B2854" s="97"/>
      <c r="C2854" s="110"/>
      <c r="D2854" s="109"/>
      <c r="E2854" s="97"/>
      <c r="F2854" s="97"/>
      <c r="G2854" s="109"/>
      <c r="H2854" s="109"/>
      <c r="I2854" s="97"/>
      <c r="J2854" s="97"/>
      <c r="K2854" s="83"/>
      <c r="L2854" s="111"/>
      <c r="M2854" s="111"/>
      <c r="N2854" s="111"/>
      <c r="O2854" s="111"/>
      <c r="P2854" s="111"/>
      <c r="Q2854" s="111"/>
      <c r="R2854" s="111"/>
    </row>
    <row r="2855" spans="2:18" s="108" customFormat="1">
      <c r="B2855" s="97"/>
      <c r="C2855" s="110"/>
      <c r="D2855" s="109"/>
      <c r="E2855" s="97"/>
      <c r="F2855" s="97"/>
      <c r="G2855" s="109"/>
      <c r="H2855" s="109"/>
      <c r="I2855" s="97"/>
      <c r="J2855" s="97"/>
      <c r="K2855" s="83"/>
      <c r="L2855" s="111"/>
      <c r="M2855" s="111"/>
      <c r="N2855" s="111"/>
      <c r="O2855" s="111"/>
      <c r="P2855" s="111"/>
      <c r="Q2855" s="111"/>
      <c r="R2855" s="111"/>
    </row>
    <row r="2856" spans="2:18" s="108" customFormat="1">
      <c r="B2856" s="97"/>
      <c r="C2856" s="110"/>
      <c r="D2856" s="109"/>
      <c r="E2856" s="97"/>
      <c r="F2856" s="97"/>
      <c r="G2856" s="109"/>
      <c r="H2856" s="109"/>
      <c r="I2856" s="97"/>
      <c r="J2856" s="97"/>
      <c r="K2856" s="83"/>
      <c r="L2856" s="111"/>
      <c r="M2856" s="111"/>
      <c r="N2856" s="111"/>
      <c r="O2856" s="111"/>
      <c r="P2856" s="111"/>
      <c r="Q2856" s="111"/>
      <c r="R2856" s="111"/>
    </row>
    <row r="2857" spans="2:18" s="108" customFormat="1">
      <c r="B2857" s="97"/>
      <c r="C2857" s="110"/>
      <c r="D2857" s="109"/>
      <c r="E2857" s="97"/>
      <c r="F2857" s="97"/>
      <c r="G2857" s="109"/>
      <c r="H2857" s="109"/>
      <c r="I2857" s="97"/>
      <c r="J2857" s="97"/>
      <c r="K2857" s="83"/>
      <c r="L2857" s="111"/>
      <c r="M2857" s="111"/>
      <c r="N2857" s="111"/>
      <c r="O2857" s="111"/>
      <c r="P2857" s="111"/>
      <c r="Q2857" s="111"/>
      <c r="R2857" s="111"/>
    </row>
    <row r="2858" spans="2:18" s="108" customFormat="1">
      <c r="B2858" s="97"/>
      <c r="C2858" s="110"/>
      <c r="D2858" s="109"/>
      <c r="E2858" s="97"/>
      <c r="F2858" s="97"/>
      <c r="G2858" s="109"/>
      <c r="H2858" s="109"/>
      <c r="I2858" s="97"/>
      <c r="J2858" s="97"/>
      <c r="K2858" s="83"/>
      <c r="L2858" s="111"/>
      <c r="M2858" s="111"/>
      <c r="N2858" s="111"/>
      <c r="O2858" s="111"/>
      <c r="P2858" s="111"/>
      <c r="Q2858" s="111"/>
      <c r="R2858" s="111"/>
    </row>
    <row r="2859" spans="2:18" s="108" customFormat="1">
      <c r="B2859" s="97"/>
      <c r="C2859" s="110"/>
      <c r="D2859" s="109"/>
      <c r="E2859" s="97"/>
      <c r="F2859" s="97"/>
      <c r="G2859" s="109"/>
      <c r="H2859" s="109"/>
      <c r="I2859" s="97"/>
      <c r="J2859" s="97"/>
      <c r="K2859" s="83"/>
      <c r="L2859" s="111"/>
      <c r="M2859" s="111"/>
      <c r="N2859" s="111"/>
      <c r="O2859" s="111"/>
      <c r="P2859" s="111"/>
      <c r="Q2859" s="111"/>
      <c r="R2859" s="111"/>
    </row>
    <row r="2860" spans="2:18" s="108" customFormat="1">
      <c r="B2860" s="97"/>
      <c r="C2860" s="110"/>
      <c r="D2860" s="109"/>
      <c r="E2860" s="97"/>
      <c r="F2860" s="97"/>
      <c r="G2860" s="109"/>
      <c r="H2860" s="109"/>
      <c r="I2860" s="97"/>
      <c r="J2860" s="97"/>
      <c r="K2860" s="83"/>
      <c r="L2860" s="111"/>
      <c r="M2860" s="111"/>
      <c r="N2860" s="111"/>
      <c r="O2860" s="111"/>
      <c r="P2860" s="111"/>
      <c r="Q2860" s="111"/>
      <c r="R2860" s="111"/>
    </row>
    <row r="2861" spans="2:18" s="108" customFormat="1">
      <c r="B2861" s="97"/>
      <c r="C2861" s="110"/>
      <c r="D2861" s="109"/>
      <c r="E2861" s="97"/>
      <c r="F2861" s="97"/>
      <c r="G2861" s="109"/>
      <c r="H2861" s="109"/>
      <c r="I2861" s="97"/>
      <c r="J2861" s="97"/>
      <c r="K2861" s="83"/>
      <c r="L2861" s="111"/>
      <c r="M2861" s="111"/>
      <c r="N2861" s="111"/>
      <c r="O2861" s="111"/>
      <c r="P2861" s="111"/>
      <c r="Q2861" s="111"/>
      <c r="R2861" s="111"/>
    </row>
    <row r="2862" spans="2:18" s="108" customFormat="1">
      <c r="B2862" s="97"/>
      <c r="C2862" s="110"/>
      <c r="D2862" s="109"/>
      <c r="E2862" s="97"/>
      <c r="F2862" s="97"/>
      <c r="G2862" s="109"/>
      <c r="H2862" s="109"/>
      <c r="I2862" s="97"/>
      <c r="J2862" s="97"/>
      <c r="K2862" s="83"/>
      <c r="L2862" s="111"/>
      <c r="M2862" s="111"/>
      <c r="N2862" s="111"/>
      <c r="O2862" s="111"/>
      <c r="P2862" s="111"/>
      <c r="Q2862" s="111"/>
      <c r="R2862" s="111"/>
    </row>
    <row r="2863" spans="2:18" s="108" customFormat="1">
      <c r="B2863" s="97"/>
      <c r="C2863" s="110"/>
      <c r="D2863" s="109"/>
      <c r="E2863" s="97"/>
      <c r="F2863" s="97"/>
      <c r="G2863" s="109"/>
      <c r="H2863" s="109"/>
      <c r="I2863" s="97"/>
      <c r="J2863" s="97"/>
      <c r="K2863" s="83"/>
      <c r="L2863" s="111"/>
      <c r="M2863" s="111"/>
      <c r="N2863" s="111"/>
      <c r="O2863" s="111"/>
      <c r="P2863" s="111"/>
      <c r="Q2863" s="111"/>
      <c r="R2863" s="111"/>
    </row>
    <row r="2864" spans="2:18" s="108" customFormat="1">
      <c r="B2864" s="97"/>
      <c r="C2864" s="110"/>
      <c r="D2864" s="109"/>
      <c r="E2864" s="97"/>
      <c r="F2864" s="97"/>
      <c r="G2864" s="109"/>
      <c r="H2864" s="109"/>
      <c r="I2864" s="97"/>
      <c r="J2864" s="97"/>
      <c r="K2864" s="83"/>
      <c r="L2864" s="111"/>
      <c r="M2864" s="111"/>
      <c r="N2864" s="111"/>
      <c r="O2864" s="111"/>
      <c r="P2864" s="111"/>
      <c r="Q2864" s="111"/>
      <c r="R2864" s="111"/>
    </row>
    <row r="2865" spans="2:18" s="108" customFormat="1">
      <c r="B2865" s="97"/>
      <c r="C2865" s="110"/>
      <c r="D2865" s="109"/>
      <c r="E2865" s="97"/>
      <c r="F2865" s="97"/>
      <c r="G2865" s="109"/>
      <c r="H2865" s="109"/>
      <c r="I2865" s="97"/>
      <c r="J2865" s="97"/>
      <c r="K2865" s="83"/>
      <c r="L2865" s="111"/>
      <c r="M2865" s="111"/>
      <c r="N2865" s="111"/>
      <c r="O2865" s="111"/>
      <c r="P2865" s="111"/>
      <c r="Q2865" s="111"/>
      <c r="R2865" s="111"/>
    </row>
    <row r="2866" spans="2:18" s="108" customFormat="1">
      <c r="B2866" s="97"/>
      <c r="C2866" s="110"/>
      <c r="D2866" s="109"/>
      <c r="E2866" s="97"/>
      <c r="F2866" s="97"/>
      <c r="G2866" s="109"/>
      <c r="H2866" s="109"/>
      <c r="I2866" s="97"/>
      <c r="J2866" s="97"/>
      <c r="K2866" s="83"/>
      <c r="L2866" s="111"/>
      <c r="M2866" s="111"/>
      <c r="N2866" s="111"/>
      <c r="O2866" s="111"/>
      <c r="P2866" s="111"/>
      <c r="Q2866" s="111"/>
      <c r="R2866" s="111"/>
    </row>
    <row r="2867" spans="2:18" s="108" customFormat="1">
      <c r="B2867" s="97"/>
      <c r="C2867" s="110"/>
      <c r="D2867" s="109"/>
      <c r="E2867" s="97"/>
      <c r="F2867" s="97"/>
      <c r="G2867" s="109"/>
      <c r="H2867" s="109"/>
      <c r="I2867" s="97"/>
      <c r="J2867" s="97"/>
      <c r="K2867" s="83"/>
      <c r="L2867" s="111"/>
      <c r="M2867" s="111"/>
      <c r="N2867" s="111"/>
      <c r="O2867" s="111"/>
      <c r="P2867" s="111"/>
      <c r="Q2867" s="111"/>
      <c r="R2867" s="111"/>
    </row>
    <row r="2868" spans="2:18" s="108" customFormat="1">
      <c r="B2868" s="97"/>
      <c r="C2868" s="110"/>
      <c r="D2868" s="109"/>
      <c r="E2868" s="97"/>
      <c r="F2868" s="97"/>
      <c r="G2868" s="109"/>
      <c r="H2868" s="109"/>
      <c r="I2868" s="97"/>
      <c r="J2868" s="97"/>
      <c r="K2868" s="83"/>
      <c r="L2868" s="111"/>
      <c r="M2868" s="111"/>
      <c r="N2868" s="111"/>
      <c r="O2868" s="111"/>
      <c r="P2868" s="111"/>
      <c r="Q2868" s="111"/>
      <c r="R2868" s="111"/>
    </row>
    <row r="2869" spans="2:18" s="108" customFormat="1">
      <c r="B2869" s="97"/>
      <c r="C2869" s="110"/>
      <c r="D2869" s="109"/>
      <c r="E2869" s="97"/>
      <c r="F2869" s="97"/>
      <c r="G2869" s="109"/>
      <c r="H2869" s="109"/>
      <c r="I2869" s="97"/>
      <c r="J2869" s="97"/>
      <c r="K2869" s="83"/>
      <c r="L2869" s="111"/>
      <c r="M2869" s="111"/>
      <c r="N2869" s="111"/>
      <c r="O2869" s="111"/>
      <c r="P2869" s="111"/>
      <c r="Q2869" s="111"/>
      <c r="R2869" s="111"/>
    </row>
    <row r="2870" spans="2:18" s="108" customFormat="1">
      <c r="B2870" s="97"/>
      <c r="C2870" s="110"/>
      <c r="D2870" s="109"/>
      <c r="E2870" s="97"/>
      <c r="F2870" s="97"/>
      <c r="G2870" s="109"/>
      <c r="H2870" s="109"/>
      <c r="I2870" s="97"/>
      <c r="J2870" s="97"/>
      <c r="K2870" s="83"/>
      <c r="L2870" s="111"/>
      <c r="M2870" s="111"/>
      <c r="N2870" s="111"/>
      <c r="O2870" s="111"/>
      <c r="P2870" s="111"/>
      <c r="Q2870" s="111"/>
      <c r="R2870" s="111"/>
    </row>
    <row r="2871" spans="2:18" s="108" customFormat="1">
      <c r="B2871" s="97"/>
      <c r="C2871" s="110"/>
      <c r="D2871" s="109"/>
      <c r="E2871" s="97"/>
      <c r="F2871" s="97"/>
      <c r="G2871" s="109"/>
      <c r="H2871" s="109"/>
      <c r="I2871" s="97"/>
      <c r="J2871" s="97"/>
      <c r="K2871" s="83"/>
      <c r="L2871" s="111"/>
      <c r="M2871" s="111"/>
      <c r="N2871" s="111"/>
      <c r="O2871" s="111"/>
      <c r="P2871" s="111"/>
      <c r="Q2871" s="111"/>
      <c r="R2871" s="111"/>
    </row>
    <row r="2872" spans="2:18" s="108" customFormat="1">
      <c r="B2872" s="97"/>
      <c r="C2872" s="110"/>
      <c r="D2872" s="109"/>
      <c r="E2872" s="97"/>
      <c r="F2872" s="97"/>
      <c r="G2872" s="109"/>
      <c r="H2872" s="109"/>
      <c r="I2872" s="97"/>
      <c r="J2872" s="97"/>
      <c r="K2872" s="83"/>
      <c r="L2872" s="111"/>
      <c r="M2872" s="111"/>
      <c r="N2872" s="111"/>
      <c r="O2872" s="111"/>
      <c r="P2872" s="111"/>
      <c r="Q2872" s="111"/>
      <c r="R2872" s="111"/>
    </row>
    <row r="2873" spans="2:18" s="108" customFormat="1">
      <c r="B2873" s="97"/>
      <c r="C2873" s="110"/>
      <c r="D2873" s="109"/>
      <c r="E2873" s="97"/>
      <c r="F2873" s="97"/>
      <c r="G2873" s="109"/>
      <c r="H2873" s="109"/>
      <c r="I2873" s="97"/>
      <c r="J2873" s="97"/>
      <c r="K2873" s="83"/>
      <c r="L2873" s="111"/>
      <c r="M2873" s="111"/>
      <c r="N2873" s="111"/>
      <c r="O2873" s="111"/>
      <c r="P2873" s="111"/>
      <c r="Q2873" s="111"/>
      <c r="R2873" s="111"/>
    </row>
    <row r="2874" spans="2:18" s="108" customFormat="1">
      <c r="B2874" s="97"/>
      <c r="C2874" s="110"/>
      <c r="D2874" s="109"/>
      <c r="E2874" s="97"/>
      <c r="F2874" s="97"/>
      <c r="G2874" s="109"/>
      <c r="H2874" s="109"/>
      <c r="I2874" s="97"/>
      <c r="J2874" s="97"/>
      <c r="K2874" s="83"/>
      <c r="L2874" s="111"/>
      <c r="M2874" s="111"/>
      <c r="N2874" s="111"/>
      <c r="O2874" s="111"/>
      <c r="P2874" s="111"/>
      <c r="Q2874" s="111"/>
      <c r="R2874" s="111"/>
    </row>
    <row r="2875" spans="2:18" s="108" customFormat="1">
      <c r="B2875" s="97"/>
      <c r="C2875" s="110"/>
      <c r="D2875" s="109"/>
      <c r="E2875" s="97"/>
      <c r="F2875" s="97"/>
      <c r="G2875" s="109"/>
      <c r="H2875" s="109"/>
      <c r="I2875" s="97"/>
      <c r="J2875" s="97"/>
      <c r="K2875" s="83"/>
      <c r="L2875" s="111"/>
      <c r="M2875" s="111"/>
      <c r="N2875" s="111"/>
      <c r="O2875" s="111"/>
      <c r="P2875" s="111"/>
      <c r="Q2875" s="111"/>
      <c r="R2875" s="111"/>
    </row>
    <row r="2876" spans="2:18" s="108" customFormat="1">
      <c r="B2876" s="97"/>
      <c r="C2876" s="110"/>
      <c r="D2876" s="109"/>
      <c r="E2876" s="97"/>
      <c r="F2876" s="97"/>
      <c r="G2876" s="109"/>
      <c r="H2876" s="109"/>
      <c r="I2876" s="97"/>
      <c r="J2876" s="97"/>
      <c r="K2876" s="83"/>
      <c r="L2876" s="111"/>
      <c r="M2876" s="111"/>
      <c r="N2876" s="111"/>
      <c r="O2876" s="111"/>
      <c r="P2876" s="111"/>
      <c r="Q2876" s="111"/>
      <c r="R2876" s="111"/>
    </row>
    <row r="2877" spans="2:18" s="108" customFormat="1">
      <c r="B2877" s="97"/>
      <c r="C2877" s="110"/>
      <c r="D2877" s="109"/>
      <c r="E2877" s="97"/>
      <c r="F2877" s="97"/>
      <c r="G2877" s="109"/>
      <c r="H2877" s="109"/>
      <c r="I2877" s="97"/>
      <c r="J2877" s="97"/>
      <c r="K2877" s="83"/>
      <c r="L2877" s="111"/>
      <c r="M2877" s="111"/>
      <c r="N2877" s="111"/>
      <c r="O2877" s="111"/>
      <c r="P2877" s="111"/>
      <c r="Q2877" s="111"/>
      <c r="R2877" s="111"/>
    </row>
    <row r="2878" spans="2:18" s="108" customFormat="1">
      <c r="B2878" s="97"/>
      <c r="C2878" s="110"/>
      <c r="D2878" s="109"/>
      <c r="E2878" s="97"/>
      <c r="F2878" s="97"/>
      <c r="G2878" s="109"/>
      <c r="H2878" s="109"/>
      <c r="I2878" s="97"/>
      <c r="J2878" s="97"/>
      <c r="K2878" s="83"/>
      <c r="L2878" s="111"/>
      <c r="M2878" s="111"/>
      <c r="N2878" s="111"/>
      <c r="O2878" s="111"/>
      <c r="P2878" s="111"/>
      <c r="Q2878" s="111"/>
      <c r="R2878" s="111"/>
    </row>
    <row r="2879" spans="2:18" s="108" customFormat="1">
      <c r="B2879" s="97"/>
      <c r="C2879" s="110"/>
      <c r="D2879" s="109"/>
      <c r="E2879" s="97"/>
      <c r="F2879" s="97"/>
      <c r="G2879" s="109"/>
      <c r="H2879" s="109"/>
      <c r="I2879" s="97"/>
      <c r="J2879" s="97"/>
      <c r="K2879" s="83"/>
      <c r="L2879" s="111"/>
      <c r="M2879" s="111"/>
      <c r="N2879" s="111"/>
      <c r="O2879" s="111"/>
      <c r="P2879" s="111"/>
      <c r="Q2879" s="111"/>
      <c r="R2879" s="111"/>
    </row>
    <row r="2880" spans="2:18" s="108" customFormat="1">
      <c r="B2880" s="97"/>
      <c r="C2880" s="110"/>
      <c r="D2880" s="109"/>
      <c r="E2880" s="97"/>
      <c r="F2880" s="97"/>
      <c r="G2880" s="109"/>
      <c r="H2880" s="109"/>
      <c r="I2880" s="97"/>
      <c r="J2880" s="97"/>
      <c r="K2880" s="83"/>
      <c r="L2880" s="111"/>
      <c r="M2880" s="111"/>
      <c r="N2880" s="111"/>
      <c r="O2880" s="111"/>
      <c r="P2880" s="111"/>
      <c r="Q2880" s="111"/>
      <c r="R2880" s="111"/>
    </row>
    <row r="2881" spans="2:18" s="108" customFormat="1">
      <c r="B2881" s="97"/>
      <c r="C2881" s="110"/>
      <c r="D2881" s="109"/>
      <c r="E2881" s="97"/>
      <c r="F2881" s="97"/>
      <c r="G2881" s="109"/>
      <c r="H2881" s="109"/>
      <c r="I2881" s="97"/>
      <c r="J2881" s="97"/>
      <c r="K2881" s="83"/>
      <c r="L2881" s="111"/>
      <c r="M2881" s="111"/>
      <c r="N2881" s="111"/>
      <c r="O2881" s="111"/>
      <c r="P2881" s="111"/>
      <c r="Q2881" s="111"/>
      <c r="R2881" s="111"/>
    </row>
    <row r="2882" spans="2:18" s="108" customFormat="1">
      <c r="B2882" s="97"/>
      <c r="C2882" s="110"/>
      <c r="D2882" s="109"/>
      <c r="E2882" s="97"/>
      <c r="F2882" s="97"/>
      <c r="G2882" s="109"/>
      <c r="H2882" s="109"/>
      <c r="I2882" s="97"/>
      <c r="J2882" s="97"/>
      <c r="K2882" s="83"/>
      <c r="L2882" s="111"/>
      <c r="M2882" s="111"/>
      <c r="N2882" s="111"/>
      <c r="O2882" s="111"/>
      <c r="P2882" s="111"/>
      <c r="Q2882" s="111"/>
      <c r="R2882" s="111"/>
    </row>
    <row r="2883" spans="2:18" s="108" customFormat="1">
      <c r="B2883" s="97"/>
      <c r="C2883" s="110"/>
      <c r="D2883" s="109"/>
      <c r="E2883" s="97"/>
      <c r="F2883" s="97"/>
      <c r="G2883" s="109"/>
      <c r="H2883" s="109"/>
      <c r="I2883" s="97"/>
      <c r="J2883" s="97"/>
      <c r="K2883" s="83"/>
      <c r="L2883" s="111"/>
      <c r="M2883" s="111"/>
      <c r="N2883" s="111"/>
      <c r="O2883" s="111"/>
      <c r="P2883" s="111"/>
      <c r="Q2883" s="111"/>
      <c r="R2883" s="111"/>
    </row>
    <row r="2884" spans="2:18" s="108" customFormat="1">
      <c r="B2884" s="97"/>
      <c r="C2884" s="110"/>
      <c r="D2884" s="109"/>
      <c r="E2884" s="97"/>
      <c r="F2884" s="97"/>
      <c r="G2884" s="109"/>
      <c r="H2884" s="109"/>
      <c r="I2884" s="97"/>
      <c r="J2884" s="97"/>
      <c r="K2884" s="83"/>
      <c r="L2884" s="111"/>
      <c r="M2884" s="111"/>
      <c r="N2884" s="111"/>
      <c r="O2884" s="111"/>
      <c r="P2884" s="111"/>
      <c r="Q2884" s="111"/>
      <c r="R2884" s="111"/>
    </row>
    <row r="2885" spans="2:18" s="108" customFormat="1">
      <c r="B2885" s="97"/>
      <c r="C2885" s="110"/>
      <c r="D2885" s="109"/>
      <c r="E2885" s="97"/>
      <c r="F2885" s="97"/>
      <c r="G2885" s="109"/>
      <c r="H2885" s="109"/>
      <c r="I2885" s="97"/>
      <c r="J2885" s="97"/>
      <c r="K2885" s="83"/>
      <c r="L2885" s="111"/>
      <c r="M2885" s="111"/>
      <c r="N2885" s="111"/>
      <c r="O2885" s="111"/>
      <c r="P2885" s="111"/>
      <c r="Q2885" s="111"/>
      <c r="R2885" s="111"/>
    </row>
    <row r="2886" spans="2:18" s="108" customFormat="1">
      <c r="B2886" s="97"/>
      <c r="C2886" s="110"/>
      <c r="D2886" s="109"/>
      <c r="E2886" s="97"/>
      <c r="F2886" s="97"/>
      <c r="G2886" s="109"/>
      <c r="H2886" s="109"/>
      <c r="I2886" s="97"/>
      <c r="J2886" s="97"/>
      <c r="K2886" s="83"/>
      <c r="L2886" s="111"/>
      <c r="M2886" s="111"/>
      <c r="N2886" s="111"/>
      <c r="O2886" s="111"/>
      <c r="P2886" s="111"/>
      <c r="Q2886" s="111"/>
      <c r="R2886" s="111"/>
    </row>
    <row r="2887" spans="2:18" s="108" customFormat="1">
      <c r="B2887" s="97"/>
      <c r="C2887" s="110"/>
      <c r="D2887" s="109"/>
      <c r="E2887" s="97"/>
      <c r="F2887" s="97"/>
      <c r="G2887" s="109"/>
      <c r="H2887" s="109"/>
      <c r="I2887" s="97"/>
      <c r="J2887" s="97"/>
      <c r="K2887" s="83"/>
      <c r="L2887" s="111"/>
      <c r="M2887" s="111"/>
      <c r="N2887" s="111"/>
      <c r="O2887" s="111"/>
      <c r="P2887" s="111"/>
      <c r="Q2887" s="111"/>
      <c r="R2887" s="111"/>
    </row>
    <row r="2888" spans="2:18" s="108" customFormat="1">
      <c r="B2888" s="97"/>
      <c r="C2888" s="110"/>
      <c r="D2888" s="109"/>
      <c r="E2888" s="97"/>
      <c r="F2888" s="97"/>
      <c r="G2888" s="109"/>
      <c r="H2888" s="109"/>
      <c r="I2888" s="97"/>
      <c r="J2888" s="97"/>
      <c r="K2888" s="83"/>
      <c r="L2888" s="111"/>
      <c r="M2888" s="111"/>
      <c r="N2888" s="111"/>
      <c r="O2888" s="111"/>
      <c r="P2888" s="111"/>
      <c r="Q2888" s="111"/>
      <c r="R2888" s="111"/>
    </row>
    <row r="2889" spans="2:18" s="108" customFormat="1">
      <c r="B2889" s="97"/>
      <c r="C2889" s="110"/>
      <c r="D2889" s="109"/>
      <c r="E2889" s="97"/>
      <c r="F2889" s="97"/>
      <c r="G2889" s="109"/>
      <c r="H2889" s="109"/>
      <c r="I2889" s="97"/>
      <c r="J2889" s="97"/>
      <c r="K2889" s="83"/>
      <c r="L2889" s="111"/>
      <c r="M2889" s="111"/>
      <c r="N2889" s="111"/>
      <c r="O2889" s="111"/>
      <c r="P2889" s="111"/>
      <c r="Q2889" s="111"/>
      <c r="R2889" s="111"/>
    </row>
    <row r="2890" spans="2:18" s="108" customFormat="1">
      <c r="B2890" s="97"/>
      <c r="C2890" s="110"/>
      <c r="D2890" s="109"/>
      <c r="E2890" s="97"/>
      <c r="F2890" s="97"/>
      <c r="G2890" s="109"/>
      <c r="H2890" s="109"/>
      <c r="I2890" s="97"/>
      <c r="J2890" s="97"/>
      <c r="K2890" s="83"/>
      <c r="L2890" s="111"/>
      <c r="M2890" s="111"/>
      <c r="N2890" s="111"/>
      <c r="O2890" s="111"/>
      <c r="P2890" s="111"/>
      <c r="Q2890" s="111"/>
      <c r="R2890" s="111"/>
    </row>
    <row r="2891" spans="2:18" s="108" customFormat="1">
      <c r="B2891" s="97"/>
      <c r="C2891" s="110"/>
      <c r="D2891" s="109"/>
      <c r="E2891" s="97"/>
      <c r="F2891" s="97"/>
      <c r="G2891" s="109"/>
      <c r="H2891" s="109"/>
      <c r="I2891" s="97"/>
      <c r="J2891" s="97"/>
      <c r="K2891" s="83"/>
      <c r="L2891" s="111"/>
      <c r="M2891" s="111"/>
      <c r="N2891" s="111"/>
      <c r="O2891" s="111"/>
      <c r="P2891" s="111"/>
      <c r="Q2891" s="111"/>
      <c r="R2891" s="111"/>
    </row>
    <row r="2892" spans="2:18" s="108" customFormat="1">
      <c r="B2892" s="97"/>
      <c r="C2892" s="110"/>
      <c r="D2892" s="109"/>
      <c r="E2892" s="97"/>
      <c r="F2892" s="97"/>
      <c r="G2892" s="109"/>
      <c r="H2892" s="109"/>
      <c r="I2892" s="97"/>
      <c r="J2892" s="97"/>
      <c r="K2892" s="83"/>
      <c r="L2892" s="111"/>
      <c r="M2892" s="111"/>
      <c r="N2892" s="111"/>
      <c r="O2892" s="111"/>
      <c r="P2892" s="111"/>
      <c r="Q2892" s="111"/>
      <c r="R2892" s="111"/>
    </row>
    <row r="2893" spans="2:18" s="108" customFormat="1">
      <c r="B2893" s="97"/>
      <c r="C2893" s="110"/>
      <c r="D2893" s="109"/>
      <c r="E2893" s="97"/>
      <c r="F2893" s="97"/>
      <c r="G2893" s="109"/>
      <c r="H2893" s="109"/>
      <c r="I2893" s="97"/>
      <c r="J2893" s="97"/>
      <c r="K2893" s="83"/>
      <c r="L2893" s="111"/>
      <c r="M2893" s="111"/>
      <c r="N2893" s="111"/>
      <c r="O2893" s="111"/>
      <c r="P2893" s="111"/>
      <c r="Q2893" s="111"/>
      <c r="R2893" s="111"/>
    </row>
    <row r="2894" spans="2:18" s="108" customFormat="1">
      <c r="B2894" s="97"/>
      <c r="C2894" s="110"/>
      <c r="D2894" s="109"/>
      <c r="E2894" s="97"/>
      <c r="F2894" s="97"/>
      <c r="G2894" s="109"/>
      <c r="H2894" s="109"/>
      <c r="I2894" s="97"/>
      <c r="J2894" s="97"/>
      <c r="K2894" s="83"/>
      <c r="L2894" s="111"/>
      <c r="M2894" s="111"/>
      <c r="N2894" s="111"/>
      <c r="O2894" s="111"/>
      <c r="P2894" s="111"/>
      <c r="Q2894" s="111"/>
      <c r="R2894" s="111"/>
    </row>
    <row r="2895" spans="2:18" s="108" customFormat="1">
      <c r="B2895" s="97"/>
      <c r="C2895" s="110"/>
      <c r="D2895" s="109"/>
      <c r="E2895" s="97"/>
      <c r="F2895" s="97"/>
      <c r="G2895" s="109"/>
      <c r="H2895" s="109"/>
      <c r="I2895" s="97"/>
      <c r="J2895" s="97"/>
      <c r="K2895" s="83"/>
      <c r="L2895" s="111"/>
      <c r="M2895" s="111"/>
      <c r="N2895" s="111"/>
      <c r="O2895" s="111"/>
      <c r="P2895" s="111"/>
      <c r="Q2895" s="111"/>
      <c r="R2895" s="111"/>
    </row>
    <row r="2896" spans="2:18" s="108" customFormat="1">
      <c r="B2896" s="97"/>
      <c r="C2896" s="110"/>
      <c r="D2896" s="109"/>
      <c r="E2896" s="97"/>
      <c r="F2896" s="97"/>
      <c r="G2896" s="109"/>
      <c r="H2896" s="109"/>
      <c r="I2896" s="97"/>
      <c r="J2896" s="97"/>
      <c r="K2896" s="83"/>
      <c r="L2896" s="111"/>
      <c r="M2896" s="111"/>
      <c r="N2896" s="111"/>
      <c r="O2896" s="111"/>
      <c r="P2896" s="111"/>
      <c r="Q2896" s="111"/>
      <c r="R2896" s="111"/>
    </row>
    <row r="2897" spans="2:18" s="108" customFormat="1">
      <c r="B2897" s="97"/>
      <c r="C2897" s="110"/>
      <c r="D2897" s="109"/>
      <c r="E2897" s="97"/>
      <c r="F2897" s="97"/>
      <c r="G2897" s="109"/>
      <c r="H2897" s="109"/>
      <c r="I2897" s="97"/>
      <c r="J2897" s="97"/>
      <c r="K2897" s="83"/>
      <c r="L2897" s="111"/>
      <c r="M2897" s="111"/>
      <c r="N2897" s="111"/>
      <c r="O2897" s="111"/>
      <c r="P2897" s="111"/>
      <c r="Q2897" s="111"/>
      <c r="R2897" s="111"/>
    </row>
    <row r="2898" spans="2:18" s="108" customFormat="1">
      <c r="B2898" s="97"/>
      <c r="C2898" s="110"/>
      <c r="D2898" s="109"/>
      <c r="E2898" s="97"/>
      <c r="F2898" s="97"/>
      <c r="G2898" s="109"/>
      <c r="H2898" s="109"/>
      <c r="I2898" s="97"/>
      <c r="J2898" s="97"/>
      <c r="K2898" s="83"/>
      <c r="L2898" s="111"/>
      <c r="M2898" s="111"/>
      <c r="N2898" s="111"/>
      <c r="O2898" s="111"/>
      <c r="P2898" s="111"/>
      <c r="Q2898" s="111"/>
      <c r="R2898" s="111"/>
    </row>
    <row r="2899" spans="2:18" s="108" customFormat="1">
      <c r="B2899" s="97"/>
      <c r="C2899" s="110"/>
      <c r="D2899" s="109"/>
      <c r="E2899" s="97"/>
      <c r="F2899" s="97"/>
      <c r="G2899" s="109"/>
      <c r="H2899" s="109"/>
      <c r="I2899" s="97"/>
      <c r="J2899" s="97"/>
      <c r="K2899" s="83"/>
      <c r="L2899" s="111"/>
      <c r="M2899" s="111"/>
      <c r="N2899" s="111"/>
      <c r="O2899" s="111"/>
      <c r="P2899" s="111"/>
      <c r="Q2899" s="111"/>
      <c r="R2899" s="111"/>
    </row>
    <row r="2900" spans="2:18" s="108" customFormat="1">
      <c r="B2900" s="97"/>
      <c r="C2900" s="110"/>
      <c r="D2900" s="109"/>
      <c r="E2900" s="97"/>
      <c r="F2900" s="97"/>
      <c r="G2900" s="109"/>
      <c r="H2900" s="109"/>
      <c r="I2900" s="97"/>
      <c r="J2900" s="97"/>
      <c r="K2900" s="83"/>
      <c r="L2900" s="111"/>
      <c r="M2900" s="111"/>
      <c r="N2900" s="111"/>
      <c r="O2900" s="111"/>
      <c r="P2900" s="111"/>
      <c r="Q2900" s="111"/>
      <c r="R2900" s="111"/>
    </row>
    <row r="2901" spans="2:18" s="108" customFormat="1">
      <c r="B2901" s="97"/>
      <c r="C2901" s="110"/>
      <c r="D2901" s="109"/>
      <c r="E2901" s="97"/>
      <c r="F2901" s="97"/>
      <c r="G2901" s="109"/>
      <c r="H2901" s="109"/>
      <c r="I2901" s="97"/>
      <c r="J2901" s="97"/>
      <c r="K2901" s="83"/>
      <c r="L2901" s="111"/>
      <c r="M2901" s="111"/>
      <c r="N2901" s="111"/>
      <c r="O2901" s="111"/>
      <c r="P2901" s="111"/>
      <c r="Q2901" s="111"/>
      <c r="R2901" s="111"/>
    </row>
    <row r="2902" spans="2:18" s="108" customFormat="1">
      <c r="B2902" s="97"/>
      <c r="C2902" s="110"/>
      <c r="D2902" s="109"/>
      <c r="E2902" s="97"/>
      <c r="F2902" s="97"/>
      <c r="G2902" s="109"/>
      <c r="H2902" s="109"/>
      <c r="I2902" s="97"/>
      <c r="J2902" s="97"/>
      <c r="K2902" s="83"/>
      <c r="L2902" s="111"/>
      <c r="M2902" s="111"/>
      <c r="N2902" s="111"/>
      <c r="O2902" s="111"/>
      <c r="P2902" s="111"/>
      <c r="Q2902" s="111"/>
      <c r="R2902" s="111"/>
    </row>
    <row r="2903" spans="2:18" s="108" customFormat="1">
      <c r="B2903" s="97"/>
      <c r="C2903" s="110"/>
      <c r="D2903" s="109"/>
      <c r="E2903" s="97"/>
      <c r="F2903" s="97"/>
      <c r="G2903" s="109"/>
      <c r="H2903" s="109"/>
      <c r="I2903" s="97"/>
      <c r="J2903" s="97"/>
      <c r="K2903" s="83"/>
      <c r="L2903" s="111"/>
      <c r="M2903" s="111"/>
      <c r="N2903" s="111"/>
      <c r="O2903" s="111"/>
      <c r="P2903" s="111"/>
      <c r="Q2903" s="111"/>
      <c r="R2903" s="111"/>
    </row>
    <row r="2904" spans="2:18" s="108" customFormat="1">
      <c r="B2904" s="97"/>
      <c r="C2904" s="110"/>
      <c r="D2904" s="109"/>
      <c r="E2904" s="97"/>
      <c r="F2904" s="97"/>
      <c r="G2904" s="109"/>
      <c r="H2904" s="109"/>
      <c r="I2904" s="97"/>
      <c r="J2904" s="97"/>
      <c r="K2904" s="83"/>
      <c r="L2904" s="111"/>
      <c r="M2904" s="111"/>
      <c r="N2904" s="111"/>
      <c r="O2904" s="111"/>
      <c r="P2904" s="111"/>
      <c r="Q2904" s="111"/>
      <c r="R2904" s="111"/>
    </row>
    <row r="2905" spans="2:18" s="108" customFormat="1">
      <c r="B2905" s="97"/>
      <c r="C2905" s="110"/>
      <c r="D2905" s="109"/>
      <c r="E2905" s="97"/>
      <c r="F2905" s="97"/>
      <c r="G2905" s="109"/>
      <c r="H2905" s="109"/>
      <c r="I2905" s="97"/>
      <c r="J2905" s="97"/>
      <c r="K2905" s="83"/>
      <c r="L2905" s="111"/>
      <c r="M2905" s="111"/>
      <c r="N2905" s="111"/>
      <c r="O2905" s="111"/>
      <c r="P2905" s="111"/>
      <c r="Q2905" s="111"/>
      <c r="R2905" s="111"/>
    </row>
    <row r="2906" spans="2:18" s="108" customFormat="1">
      <c r="B2906" s="97"/>
      <c r="C2906" s="110"/>
      <c r="D2906" s="109"/>
      <c r="E2906" s="97"/>
      <c r="F2906" s="97"/>
      <c r="G2906" s="109"/>
      <c r="H2906" s="109"/>
      <c r="I2906" s="97"/>
      <c r="J2906" s="97"/>
      <c r="K2906" s="83"/>
      <c r="L2906" s="111"/>
      <c r="M2906" s="111"/>
      <c r="N2906" s="111"/>
      <c r="O2906" s="111"/>
      <c r="P2906" s="111"/>
      <c r="Q2906" s="111"/>
      <c r="R2906" s="111"/>
    </row>
    <row r="2907" spans="2:18" s="108" customFormat="1">
      <c r="B2907" s="97"/>
      <c r="C2907" s="110"/>
      <c r="D2907" s="109"/>
      <c r="E2907" s="97"/>
      <c r="F2907" s="97"/>
      <c r="G2907" s="109"/>
      <c r="H2907" s="109"/>
      <c r="I2907" s="97"/>
      <c r="J2907" s="97"/>
      <c r="K2907" s="83"/>
      <c r="L2907" s="111"/>
      <c r="M2907" s="111"/>
      <c r="N2907" s="111"/>
      <c r="O2907" s="111"/>
      <c r="P2907" s="111"/>
      <c r="Q2907" s="111"/>
      <c r="R2907" s="111"/>
    </row>
    <row r="2908" spans="2:18" s="108" customFormat="1">
      <c r="B2908" s="97"/>
      <c r="C2908" s="110"/>
      <c r="D2908" s="109"/>
      <c r="E2908" s="97"/>
      <c r="F2908" s="97"/>
      <c r="G2908" s="109"/>
      <c r="H2908" s="109"/>
      <c r="I2908" s="97"/>
      <c r="J2908" s="97"/>
      <c r="K2908" s="83"/>
      <c r="L2908" s="111"/>
      <c r="M2908" s="111"/>
      <c r="N2908" s="111"/>
      <c r="O2908" s="111"/>
      <c r="P2908" s="111"/>
      <c r="Q2908" s="111"/>
      <c r="R2908" s="111"/>
    </row>
    <row r="2909" spans="2:18" s="108" customFormat="1">
      <c r="B2909" s="97"/>
      <c r="C2909" s="110"/>
      <c r="D2909" s="109"/>
      <c r="E2909" s="97"/>
      <c r="F2909" s="97"/>
      <c r="G2909" s="109"/>
      <c r="H2909" s="109"/>
      <c r="I2909" s="97"/>
      <c r="J2909" s="97"/>
      <c r="K2909" s="83"/>
      <c r="L2909" s="111"/>
      <c r="M2909" s="111"/>
      <c r="N2909" s="111"/>
      <c r="O2909" s="111"/>
      <c r="P2909" s="111"/>
      <c r="Q2909" s="111"/>
      <c r="R2909" s="111"/>
    </row>
    <row r="2910" spans="2:18" s="108" customFormat="1">
      <c r="B2910" s="97"/>
      <c r="C2910" s="110"/>
      <c r="D2910" s="109"/>
      <c r="E2910" s="97"/>
      <c r="F2910" s="97"/>
      <c r="G2910" s="109"/>
      <c r="H2910" s="109"/>
      <c r="I2910" s="97"/>
      <c r="J2910" s="97"/>
      <c r="K2910" s="83"/>
      <c r="L2910" s="111"/>
      <c r="M2910" s="111"/>
      <c r="N2910" s="111"/>
      <c r="O2910" s="111"/>
      <c r="P2910" s="111"/>
      <c r="Q2910" s="111"/>
      <c r="R2910" s="111"/>
    </row>
    <row r="2911" spans="2:18" s="108" customFormat="1">
      <c r="B2911" s="97"/>
      <c r="C2911" s="110"/>
      <c r="D2911" s="109"/>
      <c r="E2911" s="97"/>
      <c r="F2911" s="97"/>
      <c r="G2911" s="109"/>
      <c r="H2911" s="109"/>
      <c r="I2911" s="97"/>
      <c r="J2911" s="97"/>
      <c r="K2911" s="83"/>
      <c r="L2911" s="111"/>
      <c r="M2911" s="111"/>
      <c r="N2911" s="111"/>
      <c r="O2911" s="111"/>
      <c r="P2911" s="111"/>
      <c r="Q2911" s="111"/>
      <c r="R2911" s="111"/>
    </row>
    <row r="2912" spans="2:18" s="108" customFormat="1">
      <c r="B2912" s="97"/>
      <c r="C2912" s="110"/>
      <c r="D2912" s="109"/>
      <c r="E2912" s="97"/>
      <c r="F2912" s="97"/>
      <c r="G2912" s="109"/>
      <c r="H2912" s="109"/>
      <c r="I2912" s="97"/>
      <c r="J2912" s="97"/>
      <c r="K2912" s="83"/>
      <c r="L2912" s="111"/>
      <c r="M2912" s="111"/>
      <c r="N2912" s="111"/>
      <c r="O2912" s="111"/>
      <c r="P2912" s="111"/>
      <c r="Q2912" s="111"/>
      <c r="R2912" s="111"/>
    </row>
    <row r="2913" spans="2:18" s="108" customFormat="1">
      <c r="B2913" s="97"/>
      <c r="C2913" s="110"/>
      <c r="D2913" s="109"/>
      <c r="E2913" s="97"/>
      <c r="F2913" s="97"/>
      <c r="G2913" s="109"/>
      <c r="H2913" s="109"/>
      <c r="I2913" s="97"/>
      <c r="J2913" s="97"/>
      <c r="K2913" s="83"/>
      <c r="L2913" s="111"/>
      <c r="M2913" s="111"/>
      <c r="N2913" s="111"/>
      <c r="O2913" s="111"/>
      <c r="P2913" s="111"/>
      <c r="Q2913" s="111"/>
      <c r="R2913" s="111"/>
    </row>
    <row r="2914" spans="2:18" s="108" customFormat="1">
      <c r="B2914" s="97"/>
      <c r="C2914" s="110"/>
      <c r="D2914" s="109"/>
      <c r="E2914" s="97"/>
      <c r="F2914" s="97"/>
      <c r="G2914" s="109"/>
      <c r="H2914" s="109"/>
      <c r="I2914" s="97"/>
      <c r="J2914" s="97"/>
      <c r="K2914" s="83"/>
      <c r="L2914" s="111"/>
      <c r="M2914" s="111"/>
      <c r="N2914" s="111"/>
      <c r="O2914" s="111"/>
      <c r="P2914" s="111"/>
      <c r="Q2914" s="111"/>
      <c r="R2914" s="111"/>
    </row>
    <row r="2915" spans="2:18" s="108" customFormat="1">
      <c r="B2915" s="97"/>
      <c r="C2915" s="110"/>
      <c r="D2915" s="109"/>
      <c r="E2915" s="97"/>
      <c r="F2915" s="97"/>
      <c r="G2915" s="109"/>
      <c r="H2915" s="109"/>
      <c r="I2915" s="97"/>
      <c r="J2915" s="97"/>
      <c r="K2915" s="83"/>
      <c r="L2915" s="111"/>
      <c r="M2915" s="111"/>
      <c r="N2915" s="111"/>
      <c r="O2915" s="111"/>
      <c r="P2915" s="111"/>
      <c r="Q2915" s="111"/>
      <c r="R2915" s="111"/>
    </row>
    <row r="2916" spans="2:18" s="108" customFormat="1">
      <c r="B2916" s="97"/>
      <c r="C2916" s="110"/>
      <c r="D2916" s="109"/>
      <c r="E2916" s="97"/>
      <c r="F2916" s="97"/>
      <c r="G2916" s="109"/>
      <c r="H2916" s="109"/>
      <c r="I2916" s="97"/>
      <c r="J2916" s="97"/>
      <c r="K2916" s="83"/>
      <c r="L2916" s="111"/>
      <c r="M2916" s="111"/>
      <c r="N2916" s="111"/>
      <c r="O2916" s="111"/>
      <c r="P2916" s="111"/>
      <c r="Q2916" s="111"/>
      <c r="R2916" s="111"/>
    </row>
    <row r="2917" spans="2:18" s="108" customFormat="1">
      <c r="B2917" s="97"/>
      <c r="C2917" s="110"/>
      <c r="D2917" s="109"/>
      <c r="E2917" s="97"/>
      <c r="F2917" s="97"/>
      <c r="G2917" s="109"/>
      <c r="H2917" s="109"/>
      <c r="I2917" s="97"/>
      <c r="J2917" s="97"/>
      <c r="K2917" s="83"/>
      <c r="L2917" s="111"/>
      <c r="M2917" s="111"/>
      <c r="N2917" s="111"/>
      <c r="O2917" s="111"/>
      <c r="P2917" s="111"/>
      <c r="Q2917" s="111"/>
      <c r="R2917" s="111"/>
    </row>
    <row r="2918" spans="2:18" s="108" customFormat="1">
      <c r="B2918" s="97"/>
      <c r="C2918" s="110"/>
      <c r="D2918" s="109"/>
      <c r="E2918" s="97"/>
      <c r="F2918" s="97"/>
      <c r="G2918" s="109"/>
      <c r="H2918" s="109"/>
      <c r="I2918" s="97"/>
      <c r="J2918" s="97"/>
      <c r="K2918" s="83"/>
      <c r="L2918" s="111"/>
      <c r="M2918" s="111"/>
      <c r="N2918" s="111"/>
      <c r="O2918" s="111"/>
      <c r="P2918" s="111"/>
      <c r="Q2918" s="111"/>
      <c r="R2918" s="111"/>
    </row>
    <row r="2919" spans="2:18" s="108" customFormat="1">
      <c r="B2919" s="97"/>
      <c r="C2919" s="110"/>
      <c r="D2919" s="109"/>
      <c r="E2919" s="97"/>
      <c r="F2919" s="97"/>
      <c r="G2919" s="109"/>
      <c r="H2919" s="109"/>
      <c r="I2919" s="97"/>
      <c r="J2919" s="97"/>
      <c r="K2919" s="83"/>
      <c r="L2919" s="111"/>
      <c r="M2919" s="111"/>
      <c r="N2919" s="111"/>
      <c r="O2919" s="111"/>
      <c r="P2919" s="111"/>
      <c r="Q2919" s="111"/>
      <c r="R2919" s="111"/>
    </row>
    <row r="2920" spans="2:18" s="108" customFormat="1">
      <c r="B2920" s="97"/>
      <c r="C2920" s="110"/>
      <c r="D2920" s="109"/>
      <c r="E2920" s="97"/>
      <c r="F2920" s="97"/>
      <c r="G2920" s="109"/>
      <c r="H2920" s="109"/>
      <c r="I2920" s="97"/>
      <c r="J2920" s="97"/>
      <c r="K2920" s="83"/>
      <c r="L2920" s="111"/>
      <c r="M2920" s="111"/>
      <c r="N2920" s="111"/>
      <c r="O2920" s="111"/>
      <c r="P2920" s="111"/>
      <c r="Q2920" s="111"/>
      <c r="R2920" s="111"/>
    </row>
    <row r="2921" spans="2:18" s="108" customFormat="1">
      <c r="B2921" s="97"/>
      <c r="C2921" s="110"/>
      <c r="D2921" s="109"/>
      <c r="E2921" s="97"/>
      <c r="F2921" s="97"/>
      <c r="G2921" s="109"/>
      <c r="H2921" s="109"/>
      <c r="I2921" s="97"/>
      <c r="J2921" s="97"/>
      <c r="K2921" s="83"/>
      <c r="L2921" s="111"/>
      <c r="M2921" s="111"/>
      <c r="N2921" s="111"/>
      <c r="O2921" s="111"/>
      <c r="P2921" s="111"/>
      <c r="Q2921" s="111"/>
      <c r="R2921" s="111"/>
    </row>
    <row r="2922" spans="2:18" s="108" customFormat="1">
      <c r="B2922" s="97"/>
      <c r="C2922" s="110"/>
      <c r="D2922" s="109"/>
      <c r="E2922" s="97"/>
      <c r="F2922" s="97"/>
      <c r="G2922" s="109"/>
      <c r="H2922" s="109"/>
      <c r="I2922" s="97"/>
      <c r="J2922" s="97"/>
      <c r="K2922" s="83"/>
      <c r="L2922" s="111"/>
      <c r="M2922" s="111"/>
      <c r="N2922" s="111"/>
      <c r="O2922" s="111"/>
      <c r="P2922" s="111"/>
      <c r="Q2922" s="111"/>
      <c r="R2922" s="111"/>
    </row>
    <row r="2923" spans="2:18" s="108" customFormat="1">
      <c r="B2923" s="97"/>
      <c r="C2923" s="110"/>
      <c r="D2923" s="109"/>
      <c r="E2923" s="97"/>
      <c r="F2923" s="97"/>
      <c r="G2923" s="109"/>
      <c r="H2923" s="109"/>
      <c r="I2923" s="97"/>
      <c r="J2923" s="97"/>
      <c r="K2923" s="83"/>
      <c r="L2923" s="111"/>
      <c r="M2923" s="111"/>
      <c r="N2923" s="111"/>
      <c r="O2923" s="111"/>
      <c r="P2923" s="111"/>
      <c r="Q2923" s="111"/>
      <c r="R2923" s="111"/>
    </row>
    <row r="2924" spans="2:18" s="108" customFormat="1">
      <c r="B2924" s="97"/>
      <c r="C2924" s="110"/>
      <c r="D2924" s="109"/>
      <c r="E2924" s="97"/>
      <c r="F2924" s="97"/>
      <c r="G2924" s="109"/>
      <c r="H2924" s="109"/>
      <c r="I2924" s="97"/>
      <c r="J2924" s="97"/>
      <c r="K2924" s="83"/>
      <c r="L2924" s="111"/>
      <c r="M2924" s="111"/>
      <c r="N2924" s="111"/>
      <c r="O2924" s="111"/>
      <c r="P2924" s="111"/>
      <c r="Q2924" s="111"/>
      <c r="R2924" s="111"/>
    </row>
    <row r="2925" spans="2:18" s="108" customFormat="1">
      <c r="B2925" s="97"/>
      <c r="C2925" s="110"/>
      <c r="D2925" s="109"/>
      <c r="E2925" s="97"/>
      <c r="F2925" s="97"/>
      <c r="G2925" s="109"/>
      <c r="H2925" s="109"/>
      <c r="I2925" s="97"/>
      <c r="J2925" s="97"/>
      <c r="K2925" s="83"/>
      <c r="L2925" s="111"/>
      <c r="M2925" s="111"/>
      <c r="N2925" s="111"/>
      <c r="O2925" s="111"/>
      <c r="P2925" s="111"/>
      <c r="Q2925" s="111"/>
      <c r="R2925" s="111"/>
    </row>
    <row r="2926" spans="2:18" s="108" customFormat="1">
      <c r="B2926" s="97"/>
      <c r="C2926" s="110"/>
      <c r="D2926" s="109"/>
      <c r="E2926" s="97"/>
      <c r="F2926" s="97"/>
      <c r="G2926" s="109"/>
      <c r="H2926" s="109"/>
      <c r="I2926" s="97"/>
      <c r="J2926" s="97"/>
      <c r="K2926" s="83"/>
      <c r="L2926" s="111"/>
      <c r="M2926" s="111"/>
      <c r="N2926" s="111"/>
      <c r="O2926" s="111"/>
      <c r="P2926" s="111"/>
      <c r="Q2926" s="111"/>
      <c r="R2926" s="111"/>
    </row>
    <row r="2927" spans="2:18" s="108" customFormat="1">
      <c r="B2927" s="97"/>
      <c r="C2927" s="110"/>
      <c r="D2927" s="109"/>
      <c r="E2927" s="97"/>
      <c r="F2927" s="97"/>
      <c r="G2927" s="109"/>
      <c r="H2927" s="109"/>
      <c r="I2927" s="97"/>
      <c r="J2927" s="97"/>
      <c r="K2927" s="83"/>
      <c r="L2927" s="111"/>
      <c r="M2927" s="111"/>
      <c r="N2927" s="111"/>
      <c r="O2927" s="111"/>
      <c r="P2927" s="111"/>
      <c r="Q2927" s="111"/>
      <c r="R2927" s="111"/>
    </row>
    <row r="2928" spans="2:18" s="108" customFormat="1">
      <c r="B2928" s="97"/>
      <c r="C2928" s="110"/>
      <c r="D2928" s="109"/>
      <c r="E2928" s="97"/>
      <c r="F2928" s="97"/>
      <c r="G2928" s="109"/>
      <c r="H2928" s="109"/>
      <c r="I2928" s="97"/>
      <c r="J2928" s="97"/>
      <c r="K2928" s="83"/>
      <c r="L2928" s="111"/>
      <c r="M2928" s="111"/>
      <c r="N2928" s="111"/>
      <c r="O2928" s="111"/>
      <c r="P2928" s="111"/>
      <c r="Q2928" s="111"/>
      <c r="R2928" s="111"/>
    </row>
    <row r="2929" spans="2:18" s="108" customFormat="1">
      <c r="B2929" s="97"/>
      <c r="C2929" s="110"/>
      <c r="D2929" s="109"/>
      <c r="E2929" s="97"/>
      <c r="F2929" s="97"/>
      <c r="G2929" s="109"/>
      <c r="H2929" s="109"/>
      <c r="I2929" s="97"/>
      <c r="J2929" s="97"/>
      <c r="K2929" s="83"/>
      <c r="L2929" s="111"/>
      <c r="M2929" s="111"/>
      <c r="N2929" s="111"/>
      <c r="O2929" s="111"/>
      <c r="P2929" s="111"/>
      <c r="Q2929" s="111"/>
      <c r="R2929" s="111"/>
    </row>
    <row r="2930" spans="2:18" s="108" customFormat="1">
      <c r="B2930" s="97"/>
      <c r="C2930" s="110"/>
      <c r="D2930" s="109"/>
      <c r="E2930" s="97"/>
      <c r="F2930" s="97"/>
      <c r="G2930" s="109"/>
      <c r="H2930" s="109"/>
      <c r="I2930" s="97"/>
      <c r="J2930" s="97"/>
      <c r="K2930" s="83"/>
      <c r="L2930" s="111"/>
      <c r="M2930" s="111"/>
      <c r="N2930" s="111"/>
      <c r="O2930" s="111"/>
      <c r="P2930" s="111"/>
      <c r="Q2930" s="111"/>
      <c r="R2930" s="111"/>
    </row>
    <row r="2931" spans="2:18" s="108" customFormat="1">
      <c r="B2931" s="97"/>
      <c r="C2931" s="110"/>
      <c r="D2931" s="109"/>
      <c r="E2931" s="97"/>
      <c r="F2931" s="97"/>
      <c r="G2931" s="109"/>
      <c r="H2931" s="109"/>
      <c r="I2931" s="97"/>
      <c r="J2931" s="97"/>
      <c r="K2931" s="83"/>
      <c r="L2931" s="111"/>
      <c r="M2931" s="111"/>
      <c r="N2931" s="111"/>
      <c r="O2931" s="111"/>
      <c r="P2931" s="111"/>
      <c r="Q2931" s="111"/>
      <c r="R2931" s="111"/>
    </row>
    <row r="2932" spans="2:18" s="108" customFormat="1">
      <c r="B2932" s="97"/>
      <c r="C2932" s="110"/>
      <c r="D2932" s="109"/>
      <c r="E2932" s="97"/>
      <c r="F2932" s="97"/>
      <c r="G2932" s="109"/>
      <c r="H2932" s="109"/>
      <c r="I2932" s="97"/>
      <c r="J2932" s="97"/>
      <c r="K2932" s="83"/>
      <c r="L2932" s="111"/>
      <c r="M2932" s="111"/>
      <c r="N2932" s="111"/>
      <c r="O2932" s="111"/>
      <c r="P2932" s="111"/>
      <c r="Q2932" s="111"/>
      <c r="R2932" s="111"/>
    </row>
    <row r="2933" spans="2:18" s="108" customFormat="1">
      <c r="B2933" s="97"/>
      <c r="C2933" s="110"/>
      <c r="D2933" s="109"/>
      <c r="E2933" s="97"/>
      <c r="F2933" s="97"/>
      <c r="G2933" s="109"/>
      <c r="H2933" s="109"/>
      <c r="I2933" s="97"/>
      <c r="J2933" s="97"/>
      <c r="K2933" s="83"/>
      <c r="L2933" s="111"/>
      <c r="M2933" s="111"/>
      <c r="N2933" s="111"/>
      <c r="O2933" s="111"/>
      <c r="P2933" s="111"/>
      <c r="Q2933" s="111"/>
      <c r="R2933" s="111"/>
    </row>
    <row r="2934" spans="2:18" s="108" customFormat="1">
      <c r="B2934" s="97"/>
      <c r="C2934" s="110"/>
      <c r="D2934" s="109"/>
      <c r="E2934" s="97"/>
      <c r="F2934" s="97"/>
      <c r="G2934" s="109"/>
      <c r="H2934" s="109"/>
      <c r="I2934" s="97"/>
      <c r="J2934" s="97"/>
      <c r="K2934" s="83"/>
      <c r="L2934" s="111"/>
      <c r="M2934" s="111"/>
      <c r="N2934" s="111"/>
      <c r="O2934" s="111"/>
      <c r="P2934" s="111"/>
      <c r="Q2934" s="111"/>
      <c r="R2934" s="111"/>
    </row>
    <row r="2935" spans="2:18" s="108" customFormat="1">
      <c r="B2935" s="97"/>
      <c r="C2935" s="110"/>
      <c r="D2935" s="109"/>
      <c r="E2935" s="97"/>
      <c r="F2935" s="97"/>
      <c r="G2935" s="109"/>
      <c r="H2935" s="109"/>
      <c r="I2935" s="97"/>
      <c r="J2935" s="97"/>
      <c r="K2935" s="83"/>
      <c r="L2935" s="111"/>
      <c r="M2935" s="111"/>
      <c r="N2935" s="111"/>
      <c r="O2935" s="111"/>
      <c r="P2935" s="111"/>
      <c r="Q2935" s="111"/>
      <c r="R2935" s="111"/>
    </row>
    <row r="2936" spans="2:18" s="108" customFormat="1">
      <c r="B2936" s="97"/>
      <c r="C2936" s="110"/>
      <c r="D2936" s="109"/>
      <c r="E2936" s="97"/>
      <c r="F2936" s="97"/>
      <c r="G2936" s="109"/>
      <c r="H2936" s="109"/>
      <c r="I2936" s="97"/>
      <c r="J2936" s="97"/>
      <c r="K2936" s="83"/>
      <c r="L2936" s="111"/>
      <c r="M2936" s="111"/>
      <c r="N2936" s="111"/>
      <c r="O2936" s="111"/>
      <c r="P2936" s="111"/>
      <c r="Q2936" s="111"/>
      <c r="R2936" s="111"/>
    </row>
    <row r="2937" spans="2:18" s="108" customFormat="1">
      <c r="B2937" s="97"/>
      <c r="C2937" s="110"/>
      <c r="D2937" s="109"/>
      <c r="E2937" s="97"/>
      <c r="F2937" s="97"/>
      <c r="G2937" s="109"/>
      <c r="H2937" s="109"/>
      <c r="I2937" s="97"/>
      <c r="J2937" s="97"/>
      <c r="K2937" s="83"/>
      <c r="L2937" s="111"/>
      <c r="M2937" s="111"/>
      <c r="N2937" s="111"/>
      <c r="O2937" s="111"/>
      <c r="P2937" s="111"/>
      <c r="Q2937" s="111"/>
      <c r="R2937" s="111"/>
    </row>
    <row r="2938" spans="2:18" s="108" customFormat="1">
      <c r="B2938" s="97"/>
      <c r="C2938" s="110"/>
      <c r="D2938" s="109"/>
      <c r="E2938" s="97"/>
      <c r="F2938" s="97"/>
      <c r="G2938" s="109"/>
      <c r="H2938" s="109"/>
      <c r="I2938" s="97"/>
      <c r="J2938" s="97"/>
      <c r="K2938" s="83"/>
      <c r="L2938" s="111"/>
      <c r="M2938" s="111"/>
      <c r="N2938" s="111"/>
      <c r="O2938" s="111"/>
      <c r="P2938" s="111"/>
      <c r="Q2938" s="111"/>
      <c r="R2938" s="111"/>
    </row>
    <row r="2939" spans="2:18" s="108" customFormat="1">
      <c r="B2939" s="97"/>
      <c r="C2939" s="110"/>
      <c r="D2939" s="109"/>
      <c r="E2939" s="97"/>
      <c r="F2939" s="97"/>
      <c r="G2939" s="109"/>
      <c r="H2939" s="109"/>
      <c r="I2939" s="97"/>
      <c r="J2939" s="97"/>
      <c r="K2939" s="83"/>
      <c r="L2939" s="111"/>
      <c r="M2939" s="111"/>
      <c r="N2939" s="111"/>
      <c r="O2939" s="111"/>
      <c r="P2939" s="111"/>
      <c r="Q2939" s="111"/>
      <c r="R2939" s="111"/>
    </row>
    <row r="2940" spans="2:18" s="108" customFormat="1">
      <c r="B2940" s="97"/>
      <c r="C2940" s="110"/>
      <c r="D2940" s="109"/>
      <c r="E2940" s="97"/>
      <c r="F2940" s="97"/>
      <c r="G2940" s="109"/>
      <c r="H2940" s="109"/>
      <c r="I2940" s="97"/>
      <c r="J2940" s="97"/>
      <c r="K2940" s="83"/>
      <c r="L2940" s="111"/>
      <c r="M2940" s="111"/>
      <c r="N2940" s="111"/>
      <c r="O2940" s="111"/>
      <c r="P2940" s="111"/>
      <c r="Q2940" s="111"/>
      <c r="R2940" s="111"/>
    </row>
    <row r="2941" spans="2:18" s="108" customFormat="1">
      <c r="B2941" s="97"/>
      <c r="C2941" s="110"/>
      <c r="D2941" s="109"/>
      <c r="E2941" s="97"/>
      <c r="F2941" s="97"/>
      <c r="G2941" s="109"/>
      <c r="H2941" s="109"/>
      <c r="I2941" s="97"/>
      <c r="J2941" s="97"/>
      <c r="K2941" s="83"/>
      <c r="L2941" s="111"/>
      <c r="M2941" s="111"/>
      <c r="N2941" s="111"/>
      <c r="O2941" s="111"/>
      <c r="P2941" s="111"/>
      <c r="Q2941" s="111"/>
      <c r="R2941" s="111"/>
    </row>
    <row r="2942" spans="2:18" s="108" customFormat="1">
      <c r="B2942" s="97"/>
      <c r="C2942" s="110"/>
      <c r="D2942" s="109"/>
      <c r="E2942" s="97"/>
      <c r="F2942" s="97"/>
      <c r="G2942" s="109"/>
      <c r="H2942" s="109"/>
      <c r="I2942" s="97"/>
      <c r="J2942" s="97"/>
      <c r="K2942" s="83"/>
      <c r="L2942" s="111"/>
      <c r="M2942" s="111"/>
      <c r="N2942" s="111"/>
      <c r="O2942" s="111"/>
      <c r="P2942" s="111"/>
      <c r="Q2942" s="111"/>
      <c r="R2942" s="111"/>
    </row>
    <row r="2943" spans="2:18" s="108" customFormat="1">
      <c r="B2943" s="97"/>
      <c r="C2943" s="110"/>
      <c r="D2943" s="109"/>
      <c r="E2943" s="97"/>
      <c r="F2943" s="97"/>
      <c r="G2943" s="109"/>
      <c r="H2943" s="109"/>
      <c r="I2943" s="97"/>
      <c r="J2943" s="97"/>
      <c r="K2943" s="83"/>
      <c r="L2943" s="111"/>
      <c r="M2943" s="111"/>
      <c r="N2943" s="111"/>
      <c r="O2943" s="111"/>
      <c r="P2943" s="111"/>
      <c r="Q2943" s="111"/>
      <c r="R2943" s="111"/>
    </row>
    <row r="2944" spans="2:18" s="108" customFormat="1">
      <c r="B2944" s="97"/>
      <c r="C2944" s="110"/>
      <c r="D2944" s="109"/>
      <c r="E2944" s="97"/>
      <c r="F2944" s="97"/>
      <c r="G2944" s="109"/>
      <c r="H2944" s="109"/>
      <c r="I2944" s="97"/>
      <c r="J2944" s="97"/>
      <c r="K2944" s="83"/>
      <c r="L2944" s="111"/>
      <c r="M2944" s="111"/>
      <c r="N2944" s="111"/>
      <c r="O2944" s="111"/>
      <c r="P2944" s="111"/>
      <c r="Q2944" s="111"/>
      <c r="R2944" s="111"/>
    </row>
    <row r="2945" spans="2:18" s="108" customFormat="1">
      <c r="B2945" s="97"/>
      <c r="C2945" s="110"/>
      <c r="D2945" s="109"/>
      <c r="E2945" s="97"/>
      <c r="F2945" s="97"/>
      <c r="G2945" s="109"/>
      <c r="H2945" s="109"/>
      <c r="I2945" s="97"/>
      <c r="J2945" s="97"/>
      <c r="K2945" s="83"/>
      <c r="L2945" s="111"/>
      <c r="M2945" s="111"/>
      <c r="N2945" s="111"/>
      <c r="O2945" s="111"/>
      <c r="P2945" s="111"/>
      <c r="Q2945" s="111"/>
      <c r="R2945" s="111"/>
    </row>
    <row r="2946" spans="2:18" s="108" customFormat="1">
      <c r="B2946" s="97"/>
      <c r="C2946" s="110"/>
      <c r="D2946" s="109"/>
      <c r="E2946" s="97"/>
      <c r="F2946" s="97"/>
      <c r="G2946" s="109"/>
      <c r="H2946" s="109"/>
      <c r="I2946" s="97"/>
      <c r="J2946" s="97"/>
      <c r="K2946" s="83"/>
      <c r="L2946" s="111"/>
      <c r="M2946" s="111"/>
      <c r="N2946" s="111"/>
      <c r="O2946" s="111"/>
      <c r="P2946" s="111"/>
      <c r="Q2946" s="111"/>
      <c r="R2946" s="111"/>
    </row>
    <row r="2947" spans="2:18" s="108" customFormat="1">
      <c r="B2947" s="97"/>
      <c r="C2947" s="110"/>
      <c r="D2947" s="109"/>
      <c r="E2947" s="97"/>
      <c r="F2947" s="97"/>
      <c r="G2947" s="109"/>
      <c r="H2947" s="109"/>
      <c r="I2947" s="97"/>
      <c r="J2947" s="97"/>
      <c r="K2947" s="83"/>
      <c r="L2947" s="111"/>
      <c r="M2947" s="111"/>
      <c r="N2947" s="111"/>
      <c r="O2947" s="111"/>
      <c r="P2947" s="111"/>
      <c r="Q2947" s="111"/>
      <c r="R2947" s="111"/>
    </row>
    <row r="2948" spans="2:18" s="108" customFormat="1">
      <c r="B2948" s="97"/>
      <c r="C2948" s="110"/>
      <c r="D2948" s="109"/>
      <c r="E2948" s="97"/>
      <c r="F2948" s="97"/>
      <c r="G2948" s="109"/>
      <c r="H2948" s="109"/>
      <c r="I2948" s="97"/>
      <c r="J2948" s="97"/>
      <c r="K2948" s="83"/>
      <c r="L2948" s="111"/>
      <c r="M2948" s="111"/>
      <c r="N2948" s="111"/>
      <c r="O2948" s="111"/>
      <c r="P2948" s="111"/>
      <c r="Q2948" s="111"/>
      <c r="R2948" s="111"/>
    </row>
    <row r="2949" spans="2:18" s="108" customFormat="1">
      <c r="B2949" s="97"/>
      <c r="C2949" s="110"/>
      <c r="D2949" s="109"/>
      <c r="E2949" s="97"/>
      <c r="F2949" s="97"/>
      <c r="G2949" s="109"/>
      <c r="H2949" s="109"/>
      <c r="I2949" s="97"/>
      <c r="J2949" s="97"/>
      <c r="K2949" s="83"/>
      <c r="L2949" s="111"/>
      <c r="M2949" s="111"/>
      <c r="N2949" s="111"/>
      <c r="O2949" s="111"/>
      <c r="P2949" s="111"/>
      <c r="Q2949" s="111"/>
      <c r="R2949" s="111"/>
    </row>
    <row r="2950" spans="2:18" s="108" customFormat="1">
      <c r="B2950" s="97"/>
      <c r="C2950" s="110"/>
      <c r="D2950" s="109"/>
      <c r="E2950" s="97"/>
      <c r="F2950" s="97"/>
      <c r="G2950" s="109"/>
      <c r="H2950" s="109"/>
      <c r="I2950" s="97"/>
      <c r="J2950" s="97"/>
      <c r="K2950" s="83"/>
      <c r="L2950" s="111"/>
      <c r="M2950" s="111"/>
      <c r="N2950" s="111"/>
      <c r="O2950" s="111"/>
      <c r="P2950" s="111"/>
      <c r="Q2950" s="111"/>
      <c r="R2950" s="111"/>
    </row>
    <row r="2951" spans="2:18" s="108" customFormat="1">
      <c r="B2951" s="97"/>
      <c r="C2951" s="110"/>
      <c r="D2951" s="109"/>
      <c r="E2951" s="97"/>
      <c r="F2951" s="97"/>
      <c r="G2951" s="109"/>
      <c r="H2951" s="109"/>
      <c r="I2951" s="97"/>
      <c r="J2951" s="97"/>
      <c r="K2951" s="83"/>
      <c r="L2951" s="111"/>
      <c r="M2951" s="111"/>
      <c r="N2951" s="111"/>
      <c r="O2951" s="111"/>
      <c r="P2951" s="111"/>
      <c r="Q2951" s="111"/>
      <c r="R2951" s="111"/>
    </row>
    <row r="2952" spans="2:18" s="108" customFormat="1">
      <c r="B2952" s="97"/>
      <c r="C2952" s="110"/>
      <c r="D2952" s="109"/>
      <c r="E2952" s="97"/>
      <c r="F2952" s="97"/>
      <c r="G2952" s="109"/>
      <c r="H2952" s="109"/>
      <c r="I2952" s="97"/>
      <c r="J2952" s="97"/>
      <c r="K2952" s="83"/>
      <c r="L2952" s="111"/>
      <c r="M2952" s="111"/>
      <c r="N2952" s="111"/>
      <c r="O2952" s="111"/>
      <c r="P2952" s="111"/>
      <c r="Q2952" s="111"/>
      <c r="R2952" s="111"/>
    </row>
    <row r="2953" spans="2:18" s="108" customFormat="1">
      <c r="B2953" s="97"/>
      <c r="C2953" s="110"/>
      <c r="D2953" s="109"/>
      <c r="E2953" s="97"/>
      <c r="F2953" s="97"/>
      <c r="G2953" s="109"/>
      <c r="H2953" s="109"/>
      <c r="I2953" s="97"/>
      <c r="J2953" s="97"/>
      <c r="K2953" s="83"/>
      <c r="L2953" s="111"/>
      <c r="M2953" s="111"/>
      <c r="N2953" s="111"/>
      <c r="O2953" s="111"/>
      <c r="P2953" s="111"/>
      <c r="Q2953" s="111"/>
      <c r="R2953" s="111"/>
    </row>
    <row r="2954" spans="2:18" s="108" customFormat="1">
      <c r="B2954" s="97"/>
      <c r="C2954" s="110"/>
      <c r="D2954" s="109"/>
      <c r="E2954" s="97"/>
      <c r="F2954" s="97"/>
      <c r="G2954" s="109"/>
      <c r="H2954" s="109"/>
      <c r="I2954" s="97"/>
      <c r="J2954" s="97"/>
      <c r="K2954" s="83"/>
      <c r="L2954" s="111"/>
      <c r="M2954" s="111"/>
      <c r="N2954" s="111"/>
      <c r="O2954" s="111"/>
      <c r="P2954" s="111"/>
      <c r="Q2954" s="111"/>
      <c r="R2954" s="111"/>
    </row>
    <row r="2955" spans="2:18" s="108" customFormat="1">
      <c r="B2955" s="97"/>
      <c r="C2955" s="110"/>
      <c r="D2955" s="109"/>
      <c r="E2955" s="97"/>
      <c r="F2955" s="97"/>
      <c r="G2955" s="109"/>
      <c r="H2955" s="109"/>
      <c r="I2955" s="97"/>
      <c r="J2955" s="97"/>
      <c r="K2955" s="83"/>
      <c r="L2955" s="111"/>
      <c r="M2955" s="111"/>
      <c r="N2955" s="111"/>
      <c r="O2955" s="111"/>
      <c r="P2955" s="111"/>
      <c r="Q2955" s="111"/>
      <c r="R2955" s="111"/>
    </row>
    <row r="2956" spans="2:18" s="108" customFormat="1">
      <c r="B2956" s="97"/>
      <c r="C2956" s="110"/>
      <c r="D2956" s="109"/>
      <c r="E2956" s="97"/>
      <c r="F2956" s="97"/>
      <c r="G2956" s="109"/>
      <c r="H2956" s="109"/>
      <c r="I2956" s="97"/>
      <c r="J2956" s="97"/>
      <c r="K2956" s="83"/>
      <c r="L2956" s="111"/>
      <c r="M2956" s="111"/>
      <c r="N2956" s="111"/>
      <c r="O2956" s="111"/>
      <c r="P2956" s="111"/>
      <c r="Q2956" s="111"/>
      <c r="R2956" s="111"/>
    </row>
    <row r="2957" spans="2:18" s="108" customFormat="1">
      <c r="B2957" s="97"/>
      <c r="C2957" s="110"/>
      <c r="D2957" s="109"/>
      <c r="E2957" s="97"/>
      <c r="F2957" s="97"/>
      <c r="G2957" s="109"/>
      <c r="H2957" s="109"/>
      <c r="I2957" s="97"/>
      <c r="J2957" s="97"/>
      <c r="K2957" s="83"/>
      <c r="L2957" s="111"/>
      <c r="M2957" s="111"/>
      <c r="N2957" s="111"/>
      <c r="O2957" s="111"/>
      <c r="P2957" s="111"/>
      <c r="Q2957" s="111"/>
      <c r="R2957" s="111"/>
    </row>
    <row r="2958" spans="2:18" s="108" customFormat="1">
      <c r="B2958" s="97"/>
      <c r="C2958" s="110"/>
      <c r="D2958" s="109"/>
      <c r="E2958" s="97"/>
      <c r="F2958" s="97"/>
      <c r="G2958" s="109"/>
      <c r="H2958" s="109"/>
      <c r="I2958" s="97"/>
      <c r="J2958" s="97"/>
      <c r="K2958" s="83"/>
      <c r="L2958" s="111"/>
      <c r="M2958" s="111"/>
      <c r="N2958" s="111"/>
      <c r="O2958" s="111"/>
      <c r="P2958" s="111"/>
      <c r="Q2958" s="111"/>
      <c r="R2958" s="111"/>
    </row>
    <row r="2959" spans="2:18" s="108" customFormat="1">
      <c r="B2959" s="97"/>
      <c r="C2959" s="110"/>
      <c r="D2959" s="109"/>
      <c r="E2959" s="97"/>
      <c r="F2959" s="97"/>
      <c r="G2959" s="109"/>
      <c r="H2959" s="109"/>
      <c r="I2959" s="97"/>
      <c r="J2959" s="97"/>
      <c r="K2959" s="83"/>
      <c r="L2959" s="111"/>
      <c r="M2959" s="111"/>
      <c r="N2959" s="111"/>
      <c r="O2959" s="111"/>
      <c r="P2959" s="111"/>
      <c r="Q2959" s="111"/>
      <c r="R2959" s="111"/>
    </row>
    <row r="2960" spans="2:18" s="108" customFormat="1">
      <c r="B2960" s="97"/>
      <c r="C2960" s="110"/>
      <c r="D2960" s="109"/>
      <c r="E2960" s="97"/>
      <c r="F2960" s="97"/>
      <c r="G2960" s="109"/>
      <c r="H2960" s="109"/>
      <c r="I2960" s="97"/>
      <c r="J2960" s="97"/>
      <c r="K2960" s="83"/>
      <c r="L2960" s="111"/>
      <c r="M2960" s="111"/>
      <c r="N2960" s="111"/>
      <c r="O2960" s="111"/>
      <c r="P2960" s="111"/>
      <c r="Q2960" s="111"/>
      <c r="R2960" s="111"/>
    </row>
    <row r="2961" spans="2:18" s="108" customFormat="1">
      <c r="B2961" s="97"/>
      <c r="C2961" s="110"/>
      <c r="D2961" s="109"/>
      <c r="E2961" s="97"/>
      <c r="F2961" s="97"/>
      <c r="G2961" s="109"/>
      <c r="H2961" s="109"/>
      <c r="I2961" s="97"/>
      <c r="J2961" s="97"/>
      <c r="K2961" s="83"/>
      <c r="L2961" s="111"/>
      <c r="M2961" s="111"/>
      <c r="N2961" s="111"/>
      <c r="O2961" s="111"/>
      <c r="P2961" s="111"/>
      <c r="Q2961" s="111"/>
      <c r="R2961" s="111"/>
    </row>
    <row r="2962" spans="2:18" s="108" customFormat="1">
      <c r="B2962" s="97"/>
      <c r="C2962" s="110"/>
      <c r="D2962" s="109"/>
      <c r="E2962" s="97"/>
      <c r="F2962" s="97"/>
      <c r="G2962" s="109"/>
      <c r="H2962" s="109"/>
      <c r="I2962" s="97"/>
      <c r="J2962" s="97"/>
      <c r="K2962" s="83"/>
      <c r="L2962" s="111"/>
      <c r="M2962" s="111"/>
      <c r="N2962" s="111"/>
      <c r="O2962" s="111"/>
      <c r="P2962" s="111"/>
      <c r="Q2962" s="111"/>
      <c r="R2962" s="111"/>
    </row>
    <row r="2963" spans="2:18" s="108" customFormat="1">
      <c r="B2963" s="97"/>
      <c r="C2963" s="110"/>
      <c r="D2963" s="109"/>
      <c r="E2963" s="97"/>
      <c r="F2963" s="97"/>
      <c r="G2963" s="109"/>
      <c r="H2963" s="109"/>
      <c r="I2963" s="97"/>
      <c r="J2963" s="97"/>
      <c r="K2963" s="83"/>
      <c r="L2963" s="111"/>
      <c r="M2963" s="111"/>
      <c r="N2963" s="111"/>
      <c r="O2963" s="111"/>
      <c r="P2963" s="111"/>
      <c r="Q2963" s="111"/>
      <c r="R2963" s="111"/>
    </row>
    <row r="2964" spans="2:18" s="108" customFormat="1">
      <c r="B2964" s="97"/>
      <c r="C2964" s="110"/>
      <c r="D2964" s="109"/>
      <c r="E2964" s="97"/>
      <c r="F2964" s="97"/>
      <c r="G2964" s="109"/>
      <c r="H2964" s="109"/>
      <c r="I2964" s="97"/>
      <c r="J2964" s="97"/>
      <c r="K2964" s="83"/>
      <c r="L2964" s="111"/>
      <c r="M2964" s="111"/>
      <c r="N2964" s="111"/>
      <c r="O2964" s="111"/>
      <c r="P2964" s="111"/>
      <c r="Q2964" s="111"/>
      <c r="R2964" s="111"/>
    </row>
    <row r="2965" spans="2:18" s="108" customFormat="1">
      <c r="B2965" s="97"/>
      <c r="C2965" s="110"/>
      <c r="D2965" s="109"/>
      <c r="E2965" s="97"/>
      <c r="F2965" s="97"/>
      <c r="G2965" s="109"/>
      <c r="H2965" s="109"/>
      <c r="I2965" s="97"/>
      <c r="J2965" s="97"/>
      <c r="K2965" s="83"/>
      <c r="L2965" s="111"/>
      <c r="M2965" s="111"/>
      <c r="N2965" s="111"/>
      <c r="O2965" s="111"/>
      <c r="P2965" s="111"/>
      <c r="Q2965" s="111"/>
      <c r="R2965" s="111"/>
    </row>
    <row r="2966" spans="2:18" s="108" customFormat="1">
      <c r="B2966" s="97"/>
      <c r="C2966" s="110"/>
      <c r="D2966" s="109"/>
      <c r="E2966" s="97"/>
      <c r="F2966" s="97"/>
      <c r="G2966" s="109"/>
      <c r="H2966" s="109"/>
      <c r="I2966" s="97"/>
      <c r="J2966" s="97"/>
      <c r="K2966" s="83"/>
      <c r="L2966" s="111"/>
      <c r="M2966" s="111"/>
      <c r="N2966" s="111"/>
      <c r="O2966" s="111"/>
      <c r="P2966" s="111"/>
      <c r="Q2966" s="111"/>
      <c r="R2966" s="111"/>
    </row>
    <row r="2967" spans="2:18" s="108" customFormat="1">
      <c r="B2967" s="97"/>
      <c r="C2967" s="110"/>
      <c r="D2967" s="109"/>
      <c r="E2967" s="97"/>
      <c r="F2967" s="97"/>
      <c r="G2967" s="109"/>
      <c r="H2967" s="109"/>
      <c r="I2967" s="97"/>
      <c r="J2967" s="97"/>
      <c r="K2967" s="83"/>
      <c r="L2967" s="111"/>
      <c r="M2967" s="111"/>
      <c r="N2967" s="111"/>
      <c r="O2967" s="111"/>
      <c r="P2967" s="111"/>
      <c r="Q2967" s="111"/>
      <c r="R2967" s="111"/>
    </row>
    <row r="2968" spans="2:18" s="108" customFormat="1">
      <c r="B2968" s="97"/>
      <c r="C2968" s="110"/>
      <c r="D2968" s="109"/>
      <c r="E2968" s="97"/>
      <c r="F2968" s="97"/>
      <c r="G2968" s="109"/>
      <c r="H2968" s="109"/>
      <c r="I2968" s="97"/>
      <c r="J2968" s="97"/>
      <c r="K2968" s="83"/>
      <c r="L2968" s="111"/>
      <c r="M2968" s="111"/>
      <c r="N2968" s="111"/>
      <c r="O2968" s="111"/>
      <c r="P2968" s="111"/>
      <c r="Q2968" s="111"/>
      <c r="R2968" s="111"/>
    </row>
    <row r="2969" spans="2:18" s="108" customFormat="1">
      <c r="B2969" s="97"/>
      <c r="C2969" s="110"/>
      <c r="D2969" s="109"/>
      <c r="E2969" s="97"/>
      <c r="F2969" s="97"/>
      <c r="G2969" s="109"/>
      <c r="H2969" s="109"/>
      <c r="I2969" s="97"/>
      <c r="J2969" s="97"/>
      <c r="K2969" s="83"/>
      <c r="L2969" s="111"/>
      <c r="M2969" s="111"/>
      <c r="N2969" s="111"/>
      <c r="O2969" s="111"/>
      <c r="P2969" s="111"/>
      <c r="Q2969" s="111"/>
      <c r="R2969" s="111"/>
    </row>
    <row r="2970" spans="2:18" s="108" customFormat="1">
      <c r="B2970" s="97"/>
      <c r="C2970" s="110"/>
      <c r="D2970" s="109"/>
      <c r="E2970" s="97"/>
      <c r="F2970" s="97"/>
      <c r="G2970" s="109"/>
      <c r="H2970" s="109"/>
      <c r="I2970" s="97"/>
      <c r="J2970" s="97"/>
      <c r="K2970" s="83"/>
      <c r="L2970" s="111"/>
      <c r="M2970" s="111"/>
      <c r="N2970" s="111"/>
      <c r="O2970" s="111"/>
      <c r="P2970" s="111"/>
      <c r="Q2970" s="111"/>
      <c r="R2970" s="111"/>
    </row>
    <row r="2971" spans="2:18" s="108" customFormat="1">
      <c r="B2971" s="97"/>
      <c r="C2971" s="110"/>
      <c r="D2971" s="109"/>
      <c r="E2971" s="97"/>
      <c r="F2971" s="97"/>
      <c r="G2971" s="109"/>
      <c r="H2971" s="109"/>
      <c r="I2971" s="97"/>
      <c r="J2971" s="97"/>
      <c r="K2971" s="83"/>
      <c r="L2971" s="111"/>
      <c r="M2971" s="111"/>
      <c r="N2971" s="111"/>
      <c r="O2971" s="111"/>
      <c r="P2971" s="111"/>
      <c r="Q2971" s="111"/>
      <c r="R2971" s="111"/>
    </row>
    <row r="2972" spans="2:18" s="108" customFormat="1">
      <c r="B2972" s="97"/>
      <c r="C2972" s="110"/>
      <c r="D2972" s="109"/>
      <c r="E2972" s="97"/>
      <c r="F2972" s="97"/>
      <c r="G2972" s="109"/>
      <c r="H2972" s="109"/>
      <c r="I2972" s="97"/>
      <c r="J2972" s="97"/>
      <c r="K2972" s="83"/>
      <c r="L2972" s="111"/>
      <c r="M2972" s="111"/>
      <c r="N2972" s="111"/>
      <c r="O2972" s="111"/>
      <c r="P2972" s="111"/>
      <c r="Q2972" s="111"/>
      <c r="R2972" s="111"/>
    </row>
    <row r="2973" spans="2:18" s="108" customFormat="1">
      <c r="B2973" s="97"/>
      <c r="C2973" s="110"/>
      <c r="D2973" s="109"/>
      <c r="E2973" s="97"/>
      <c r="F2973" s="97"/>
      <c r="G2973" s="109"/>
      <c r="H2973" s="109"/>
      <c r="I2973" s="97"/>
      <c r="J2973" s="97"/>
      <c r="K2973" s="83"/>
      <c r="L2973" s="111"/>
      <c r="M2973" s="111"/>
      <c r="N2973" s="111"/>
      <c r="O2973" s="111"/>
      <c r="P2973" s="111"/>
      <c r="Q2973" s="111"/>
      <c r="R2973" s="111"/>
    </row>
    <row r="2974" spans="2:18" s="108" customFormat="1">
      <c r="B2974" s="97"/>
      <c r="C2974" s="110"/>
      <c r="D2974" s="109"/>
      <c r="E2974" s="97"/>
      <c r="F2974" s="97"/>
      <c r="G2974" s="109"/>
      <c r="H2974" s="109"/>
      <c r="I2974" s="97"/>
      <c r="J2974" s="97"/>
      <c r="K2974" s="83"/>
      <c r="L2974" s="111"/>
      <c r="M2974" s="111"/>
      <c r="N2974" s="111"/>
      <c r="O2974" s="111"/>
      <c r="P2974" s="111"/>
      <c r="Q2974" s="111"/>
      <c r="R2974" s="111"/>
    </row>
    <row r="2975" spans="2:18" s="108" customFormat="1">
      <c r="B2975" s="97"/>
      <c r="C2975" s="110"/>
      <c r="D2975" s="109"/>
      <c r="E2975" s="97"/>
      <c r="F2975" s="97"/>
      <c r="G2975" s="109"/>
      <c r="H2975" s="109"/>
      <c r="I2975" s="97"/>
      <c r="J2975" s="97"/>
      <c r="K2975" s="83"/>
      <c r="L2975" s="111"/>
      <c r="M2975" s="111"/>
      <c r="N2975" s="111"/>
      <c r="O2975" s="111"/>
      <c r="P2975" s="111"/>
      <c r="Q2975" s="111"/>
      <c r="R2975" s="111"/>
    </row>
    <row r="2976" spans="2:18" s="108" customFormat="1">
      <c r="B2976" s="97"/>
      <c r="C2976" s="110"/>
      <c r="D2976" s="109"/>
      <c r="E2976" s="97"/>
      <c r="F2976" s="97"/>
      <c r="G2976" s="109"/>
      <c r="H2976" s="109"/>
      <c r="I2976" s="97"/>
      <c r="J2976" s="97"/>
      <c r="K2976" s="83"/>
      <c r="L2976" s="111"/>
      <c r="M2976" s="111"/>
      <c r="N2976" s="111"/>
      <c r="O2976" s="111"/>
      <c r="P2976" s="111"/>
      <c r="Q2976" s="111"/>
      <c r="R2976" s="111"/>
    </row>
    <row r="2977" spans="2:18" s="108" customFormat="1">
      <c r="B2977" s="97"/>
      <c r="C2977" s="110"/>
      <c r="D2977" s="109"/>
      <c r="E2977" s="97"/>
      <c r="F2977" s="97"/>
      <c r="G2977" s="109"/>
      <c r="H2977" s="109"/>
      <c r="I2977" s="97"/>
      <c r="J2977" s="97"/>
      <c r="K2977" s="83"/>
      <c r="L2977" s="111"/>
      <c r="M2977" s="111"/>
      <c r="N2977" s="111"/>
      <c r="O2977" s="111"/>
      <c r="P2977" s="111"/>
      <c r="Q2977" s="111"/>
      <c r="R2977" s="111"/>
    </row>
    <row r="2978" spans="2:18" s="108" customFormat="1">
      <c r="B2978" s="97"/>
      <c r="C2978" s="110"/>
      <c r="D2978" s="109"/>
      <c r="E2978" s="97"/>
      <c r="F2978" s="97"/>
      <c r="G2978" s="109"/>
      <c r="H2978" s="109"/>
      <c r="I2978" s="97"/>
      <c r="J2978" s="97"/>
      <c r="K2978" s="83"/>
      <c r="L2978" s="111"/>
      <c r="M2978" s="111"/>
      <c r="N2978" s="111"/>
      <c r="O2978" s="111"/>
      <c r="P2978" s="111"/>
      <c r="Q2978" s="111"/>
      <c r="R2978" s="111"/>
    </row>
    <row r="2979" spans="2:18" s="108" customFormat="1">
      <c r="B2979" s="97"/>
      <c r="C2979" s="110"/>
      <c r="D2979" s="109"/>
      <c r="E2979" s="97"/>
      <c r="F2979" s="97"/>
      <c r="G2979" s="109"/>
      <c r="H2979" s="109"/>
      <c r="I2979" s="97"/>
      <c r="J2979" s="97"/>
      <c r="K2979" s="83"/>
      <c r="L2979" s="111"/>
      <c r="M2979" s="111"/>
      <c r="N2979" s="111"/>
      <c r="O2979" s="111"/>
      <c r="P2979" s="111"/>
      <c r="Q2979" s="111"/>
      <c r="R2979" s="111"/>
    </row>
    <row r="2980" spans="2:18" s="108" customFormat="1">
      <c r="B2980" s="97"/>
      <c r="C2980" s="110"/>
      <c r="D2980" s="109"/>
      <c r="E2980" s="97"/>
      <c r="F2980" s="97"/>
      <c r="G2980" s="109"/>
      <c r="H2980" s="109"/>
      <c r="I2980" s="97"/>
      <c r="J2980" s="97"/>
      <c r="K2980" s="83"/>
      <c r="L2980" s="111"/>
      <c r="M2980" s="111"/>
      <c r="N2980" s="111"/>
      <c r="O2980" s="111"/>
      <c r="P2980" s="111"/>
      <c r="Q2980" s="111"/>
      <c r="R2980" s="111"/>
    </row>
    <row r="2981" spans="2:18" s="108" customFormat="1">
      <c r="B2981" s="97"/>
      <c r="C2981" s="110"/>
      <c r="D2981" s="109"/>
      <c r="E2981" s="97"/>
      <c r="F2981" s="97"/>
      <c r="G2981" s="109"/>
      <c r="H2981" s="109"/>
      <c r="I2981" s="97"/>
      <c r="J2981" s="97"/>
      <c r="K2981" s="83"/>
      <c r="L2981" s="111"/>
      <c r="M2981" s="111"/>
      <c r="N2981" s="111"/>
      <c r="O2981" s="111"/>
      <c r="P2981" s="111"/>
      <c r="Q2981" s="111"/>
      <c r="R2981" s="111"/>
    </row>
    <row r="2982" spans="2:18" s="108" customFormat="1">
      <c r="B2982" s="97"/>
      <c r="C2982" s="110"/>
      <c r="D2982" s="109"/>
      <c r="E2982" s="97"/>
      <c r="F2982" s="97"/>
      <c r="G2982" s="109"/>
      <c r="H2982" s="109"/>
      <c r="I2982" s="97"/>
      <c r="J2982" s="97"/>
      <c r="K2982" s="83"/>
      <c r="L2982" s="111"/>
      <c r="M2982" s="111"/>
      <c r="N2982" s="111"/>
      <c r="O2982" s="111"/>
      <c r="P2982" s="111"/>
      <c r="Q2982" s="111"/>
      <c r="R2982" s="111"/>
    </row>
    <row r="2983" spans="2:18" s="108" customFormat="1">
      <c r="B2983" s="97"/>
      <c r="C2983" s="110"/>
      <c r="D2983" s="109"/>
      <c r="E2983" s="97"/>
      <c r="F2983" s="97"/>
      <c r="G2983" s="109"/>
      <c r="H2983" s="109"/>
      <c r="I2983" s="97"/>
      <c r="J2983" s="97"/>
      <c r="K2983" s="83"/>
      <c r="L2983" s="111"/>
      <c r="M2983" s="111"/>
      <c r="N2983" s="111"/>
      <c r="O2983" s="111"/>
      <c r="P2983" s="111"/>
      <c r="Q2983" s="111"/>
      <c r="R2983" s="111"/>
    </row>
    <row r="2984" spans="2:18" s="108" customFormat="1">
      <c r="B2984" s="97"/>
      <c r="C2984" s="110"/>
      <c r="D2984" s="109"/>
      <c r="E2984" s="97"/>
      <c r="F2984" s="97"/>
      <c r="G2984" s="109"/>
      <c r="H2984" s="109"/>
      <c r="I2984" s="97"/>
      <c r="J2984" s="97"/>
      <c r="K2984" s="83"/>
      <c r="L2984" s="111"/>
      <c r="M2984" s="111"/>
      <c r="N2984" s="111"/>
      <c r="O2984" s="111"/>
      <c r="P2984" s="111"/>
      <c r="Q2984" s="111"/>
      <c r="R2984" s="111"/>
    </row>
    <row r="2985" spans="2:18" s="108" customFormat="1">
      <c r="B2985" s="97"/>
      <c r="C2985" s="110"/>
      <c r="D2985" s="109"/>
      <c r="E2985" s="97"/>
      <c r="F2985" s="97"/>
      <c r="G2985" s="109"/>
      <c r="H2985" s="109"/>
      <c r="I2985" s="97"/>
      <c r="J2985" s="97"/>
      <c r="K2985" s="83"/>
      <c r="L2985" s="111"/>
      <c r="M2985" s="111"/>
      <c r="N2985" s="111"/>
      <c r="O2985" s="111"/>
      <c r="P2985" s="111"/>
      <c r="Q2985" s="111"/>
      <c r="R2985" s="111"/>
    </row>
    <row r="2986" spans="2:18" s="108" customFormat="1">
      <c r="B2986" s="97"/>
      <c r="C2986" s="110"/>
      <c r="D2986" s="109"/>
      <c r="E2986" s="97"/>
      <c r="F2986" s="97"/>
      <c r="G2986" s="109"/>
      <c r="H2986" s="109"/>
      <c r="I2986" s="97"/>
      <c r="J2986" s="97"/>
      <c r="K2986" s="83"/>
      <c r="L2986" s="111"/>
      <c r="M2986" s="111"/>
      <c r="N2986" s="111"/>
      <c r="O2986" s="111"/>
      <c r="P2986" s="111"/>
      <c r="Q2986" s="111"/>
      <c r="R2986" s="111"/>
    </row>
    <row r="2987" spans="2:18" s="108" customFormat="1">
      <c r="B2987" s="97"/>
      <c r="C2987" s="110"/>
      <c r="D2987" s="109"/>
      <c r="E2987" s="97"/>
      <c r="F2987" s="97"/>
      <c r="G2987" s="109"/>
      <c r="H2987" s="109"/>
      <c r="I2987" s="97"/>
      <c r="J2987" s="97"/>
      <c r="K2987" s="83"/>
      <c r="L2987" s="111"/>
      <c r="M2987" s="111"/>
      <c r="N2987" s="111"/>
      <c r="O2987" s="111"/>
      <c r="P2987" s="111"/>
      <c r="Q2987" s="111"/>
      <c r="R2987" s="111"/>
    </row>
    <row r="2988" spans="2:18" s="108" customFormat="1">
      <c r="B2988" s="97"/>
      <c r="C2988" s="110"/>
      <c r="D2988" s="109"/>
      <c r="E2988" s="97"/>
      <c r="F2988" s="97"/>
      <c r="G2988" s="109"/>
      <c r="H2988" s="109"/>
      <c r="I2988" s="97"/>
      <c r="J2988" s="97"/>
      <c r="K2988" s="83"/>
      <c r="L2988" s="111"/>
      <c r="M2988" s="111"/>
      <c r="N2988" s="111"/>
      <c r="O2988" s="111"/>
      <c r="P2988" s="111"/>
      <c r="Q2988" s="111"/>
      <c r="R2988" s="111"/>
    </row>
    <row r="2989" spans="2:18" s="108" customFormat="1">
      <c r="B2989" s="97"/>
      <c r="C2989" s="110"/>
      <c r="D2989" s="109"/>
      <c r="E2989" s="97"/>
      <c r="F2989" s="97"/>
      <c r="G2989" s="109"/>
      <c r="H2989" s="109"/>
      <c r="I2989" s="97"/>
      <c r="J2989" s="97"/>
      <c r="K2989" s="83"/>
      <c r="L2989" s="111"/>
      <c r="M2989" s="111"/>
      <c r="N2989" s="111"/>
      <c r="O2989" s="111"/>
      <c r="P2989" s="111"/>
      <c r="Q2989" s="111"/>
      <c r="R2989" s="111"/>
    </row>
    <row r="2990" spans="2:18" s="108" customFormat="1">
      <c r="B2990" s="97"/>
      <c r="C2990" s="110"/>
      <c r="D2990" s="109"/>
      <c r="E2990" s="97"/>
      <c r="F2990" s="97"/>
      <c r="G2990" s="109"/>
      <c r="H2990" s="109"/>
      <c r="I2990" s="97"/>
      <c r="J2990" s="97"/>
      <c r="K2990" s="83"/>
      <c r="L2990" s="111"/>
      <c r="M2990" s="111"/>
      <c r="N2990" s="111"/>
      <c r="O2990" s="111"/>
      <c r="P2990" s="111"/>
      <c r="Q2990" s="111"/>
      <c r="R2990" s="111"/>
    </row>
    <row r="2991" spans="2:18" s="108" customFormat="1">
      <c r="B2991" s="97"/>
      <c r="C2991" s="110"/>
      <c r="D2991" s="109"/>
      <c r="E2991" s="97"/>
      <c r="F2991" s="97"/>
      <c r="G2991" s="109"/>
      <c r="H2991" s="109"/>
      <c r="I2991" s="97"/>
      <c r="J2991" s="97"/>
      <c r="K2991" s="83"/>
      <c r="L2991" s="111"/>
      <c r="M2991" s="111"/>
      <c r="N2991" s="111"/>
      <c r="O2991" s="111"/>
      <c r="P2991" s="111"/>
      <c r="Q2991" s="111"/>
      <c r="R2991" s="111"/>
    </row>
    <row r="2992" spans="2:18" s="108" customFormat="1">
      <c r="B2992" s="97"/>
      <c r="C2992" s="110"/>
      <c r="D2992" s="109"/>
      <c r="E2992" s="97"/>
      <c r="F2992" s="97"/>
      <c r="G2992" s="109"/>
      <c r="H2992" s="109"/>
      <c r="I2992" s="97"/>
      <c r="J2992" s="97"/>
      <c r="K2992" s="83"/>
      <c r="L2992" s="111"/>
      <c r="M2992" s="111"/>
      <c r="N2992" s="111"/>
      <c r="O2992" s="111"/>
      <c r="P2992" s="111"/>
      <c r="Q2992" s="111"/>
      <c r="R2992" s="111"/>
    </row>
    <row r="2993" spans="2:18" s="108" customFormat="1">
      <c r="B2993" s="97"/>
      <c r="C2993" s="110"/>
      <c r="D2993" s="109"/>
      <c r="E2993" s="97"/>
      <c r="F2993" s="97"/>
      <c r="G2993" s="109"/>
      <c r="H2993" s="109"/>
      <c r="I2993" s="97"/>
      <c r="J2993" s="97"/>
      <c r="K2993" s="83"/>
      <c r="L2993" s="111"/>
      <c r="M2993" s="111"/>
      <c r="N2993" s="111"/>
      <c r="O2993" s="111"/>
      <c r="P2993" s="111"/>
      <c r="Q2993" s="111"/>
      <c r="R2993" s="111"/>
    </row>
    <row r="2994" spans="2:18" s="108" customFormat="1">
      <c r="B2994" s="97"/>
      <c r="C2994" s="110"/>
      <c r="D2994" s="109"/>
      <c r="E2994" s="97"/>
      <c r="F2994" s="97"/>
      <c r="G2994" s="109"/>
      <c r="H2994" s="109"/>
      <c r="I2994" s="97"/>
      <c r="J2994" s="97"/>
      <c r="K2994" s="83"/>
      <c r="L2994" s="111"/>
      <c r="M2994" s="111"/>
      <c r="N2994" s="111"/>
      <c r="O2994" s="111"/>
      <c r="P2994" s="111"/>
      <c r="Q2994" s="111"/>
      <c r="R2994" s="111"/>
    </row>
    <row r="2995" spans="2:18" s="108" customFormat="1">
      <c r="B2995" s="97"/>
      <c r="C2995" s="110"/>
      <c r="D2995" s="109"/>
      <c r="E2995" s="97"/>
      <c r="F2995" s="97"/>
      <c r="G2995" s="109"/>
      <c r="H2995" s="109"/>
      <c r="I2995" s="97"/>
      <c r="J2995" s="97"/>
      <c r="K2995" s="83"/>
      <c r="L2995" s="111"/>
      <c r="M2995" s="111"/>
      <c r="N2995" s="111"/>
      <c r="O2995" s="111"/>
      <c r="P2995" s="111"/>
      <c r="Q2995" s="111"/>
      <c r="R2995" s="111"/>
    </row>
    <row r="2996" spans="2:18" s="108" customFormat="1">
      <c r="B2996" s="97"/>
      <c r="C2996" s="110"/>
      <c r="D2996" s="109"/>
      <c r="E2996" s="97"/>
      <c r="F2996" s="97"/>
      <c r="G2996" s="109"/>
      <c r="H2996" s="109"/>
      <c r="I2996" s="97"/>
      <c r="J2996" s="97"/>
      <c r="K2996" s="83"/>
      <c r="L2996" s="111"/>
      <c r="M2996" s="111"/>
      <c r="N2996" s="111"/>
      <c r="O2996" s="111"/>
      <c r="P2996" s="111"/>
      <c r="Q2996" s="111"/>
      <c r="R2996" s="111"/>
    </row>
    <row r="2997" spans="2:18" s="108" customFormat="1">
      <c r="B2997" s="97"/>
      <c r="C2997" s="110"/>
      <c r="D2997" s="109"/>
      <c r="E2997" s="97"/>
      <c r="F2997" s="97"/>
      <c r="G2997" s="109"/>
      <c r="H2997" s="109"/>
      <c r="I2997" s="97"/>
      <c r="J2997" s="97"/>
      <c r="K2997" s="83"/>
      <c r="L2997" s="111"/>
      <c r="M2997" s="111"/>
      <c r="N2997" s="111"/>
      <c r="O2997" s="111"/>
      <c r="P2997" s="111"/>
      <c r="Q2997" s="111"/>
      <c r="R2997" s="111"/>
    </row>
    <row r="2998" spans="2:18" s="108" customFormat="1">
      <c r="B2998" s="97"/>
      <c r="C2998" s="110"/>
      <c r="D2998" s="109"/>
      <c r="E2998" s="97"/>
      <c r="F2998" s="97"/>
      <c r="G2998" s="109"/>
      <c r="H2998" s="109"/>
      <c r="I2998" s="97"/>
      <c r="J2998" s="97"/>
      <c r="K2998" s="83"/>
      <c r="L2998" s="111"/>
      <c r="M2998" s="111"/>
      <c r="N2998" s="111"/>
      <c r="O2998" s="111"/>
      <c r="P2998" s="111"/>
      <c r="Q2998" s="111"/>
      <c r="R2998" s="111"/>
    </row>
    <row r="2999" spans="2:18" s="108" customFormat="1">
      <c r="B2999" s="97"/>
      <c r="C2999" s="110"/>
      <c r="D2999" s="109"/>
      <c r="E2999" s="97"/>
      <c r="F2999" s="97"/>
      <c r="G2999" s="109"/>
      <c r="H2999" s="109"/>
      <c r="I2999" s="97"/>
      <c r="J2999" s="97"/>
      <c r="K2999" s="83"/>
      <c r="L2999" s="111"/>
      <c r="M2999" s="111"/>
      <c r="N2999" s="111"/>
      <c r="O2999" s="111"/>
      <c r="P2999" s="111"/>
      <c r="Q2999" s="111"/>
      <c r="R2999" s="111"/>
    </row>
    <row r="3000" spans="2:18" s="108" customFormat="1">
      <c r="B3000" s="97"/>
      <c r="C3000" s="110"/>
      <c r="D3000" s="109"/>
      <c r="E3000" s="97"/>
      <c r="F3000" s="97"/>
      <c r="G3000" s="109"/>
      <c r="H3000" s="109"/>
      <c r="I3000" s="97"/>
      <c r="J3000" s="97"/>
      <c r="K3000" s="83"/>
      <c r="L3000" s="111"/>
      <c r="M3000" s="111"/>
      <c r="N3000" s="111"/>
      <c r="O3000" s="111"/>
      <c r="P3000" s="111"/>
      <c r="Q3000" s="111"/>
      <c r="R3000" s="111"/>
    </row>
    <row r="3001" spans="2:18" s="108" customFormat="1">
      <c r="B3001" s="97"/>
      <c r="C3001" s="110"/>
      <c r="D3001" s="109"/>
      <c r="E3001" s="97"/>
      <c r="F3001" s="97"/>
      <c r="G3001" s="109"/>
      <c r="H3001" s="109"/>
      <c r="I3001" s="97"/>
      <c r="J3001" s="97"/>
      <c r="K3001" s="83"/>
      <c r="L3001" s="111"/>
      <c r="M3001" s="111"/>
      <c r="N3001" s="111"/>
      <c r="O3001" s="111"/>
      <c r="P3001" s="111"/>
      <c r="Q3001" s="111"/>
      <c r="R3001" s="111"/>
    </row>
    <row r="3002" spans="2:18" s="108" customFormat="1">
      <c r="B3002" s="97"/>
      <c r="C3002" s="110"/>
      <c r="D3002" s="109"/>
      <c r="E3002" s="97"/>
      <c r="F3002" s="97"/>
      <c r="G3002" s="109"/>
      <c r="H3002" s="109"/>
      <c r="I3002" s="97"/>
      <c r="J3002" s="97"/>
      <c r="K3002" s="83"/>
      <c r="L3002" s="111"/>
      <c r="M3002" s="111"/>
      <c r="N3002" s="111"/>
      <c r="O3002" s="111"/>
      <c r="P3002" s="111"/>
      <c r="Q3002" s="111"/>
      <c r="R3002" s="111"/>
    </row>
    <row r="3003" spans="2:18" s="108" customFormat="1">
      <c r="B3003" s="97"/>
      <c r="C3003" s="110"/>
      <c r="D3003" s="109"/>
      <c r="E3003" s="97"/>
      <c r="F3003" s="97"/>
      <c r="G3003" s="109"/>
      <c r="H3003" s="109"/>
      <c r="I3003" s="97"/>
      <c r="J3003" s="97"/>
      <c r="K3003" s="83"/>
      <c r="L3003" s="111"/>
      <c r="M3003" s="111"/>
      <c r="N3003" s="111"/>
      <c r="O3003" s="111"/>
      <c r="P3003" s="111"/>
      <c r="Q3003" s="111"/>
      <c r="R3003" s="111"/>
    </row>
    <row r="3004" spans="2:18" s="108" customFormat="1">
      <c r="B3004" s="97"/>
      <c r="C3004" s="110"/>
      <c r="D3004" s="109"/>
      <c r="E3004" s="97"/>
      <c r="F3004" s="97"/>
      <c r="G3004" s="109"/>
      <c r="H3004" s="109"/>
      <c r="I3004" s="97"/>
      <c r="J3004" s="97"/>
      <c r="K3004" s="83"/>
      <c r="L3004" s="111"/>
      <c r="M3004" s="111"/>
      <c r="N3004" s="111"/>
      <c r="O3004" s="111"/>
      <c r="P3004" s="111"/>
      <c r="Q3004" s="111"/>
      <c r="R3004" s="111"/>
    </row>
    <row r="3005" spans="2:18" s="108" customFormat="1">
      <c r="B3005" s="97"/>
      <c r="C3005" s="110"/>
      <c r="D3005" s="109"/>
      <c r="E3005" s="97"/>
      <c r="F3005" s="97"/>
      <c r="G3005" s="109"/>
      <c r="H3005" s="109"/>
      <c r="I3005" s="97"/>
      <c r="J3005" s="97"/>
      <c r="K3005" s="83"/>
      <c r="L3005" s="111"/>
      <c r="M3005" s="111"/>
      <c r="N3005" s="111"/>
      <c r="O3005" s="111"/>
      <c r="P3005" s="111"/>
      <c r="Q3005" s="111"/>
      <c r="R3005" s="111"/>
    </row>
    <row r="3006" spans="2:18" s="108" customFormat="1">
      <c r="B3006" s="97"/>
      <c r="C3006" s="110"/>
      <c r="D3006" s="109"/>
      <c r="E3006" s="97"/>
      <c r="F3006" s="97"/>
      <c r="G3006" s="109"/>
      <c r="H3006" s="109"/>
      <c r="I3006" s="97"/>
      <c r="J3006" s="97"/>
      <c r="K3006" s="83"/>
      <c r="L3006" s="111"/>
      <c r="M3006" s="111"/>
      <c r="N3006" s="111"/>
      <c r="O3006" s="111"/>
      <c r="P3006" s="111"/>
      <c r="Q3006" s="111"/>
      <c r="R3006" s="111"/>
    </row>
    <row r="3007" spans="2:18" s="108" customFormat="1">
      <c r="B3007" s="97"/>
      <c r="C3007" s="110"/>
      <c r="D3007" s="109"/>
      <c r="E3007" s="97"/>
      <c r="F3007" s="97"/>
      <c r="G3007" s="109"/>
      <c r="H3007" s="109"/>
      <c r="I3007" s="97"/>
      <c r="J3007" s="97"/>
      <c r="K3007" s="83"/>
      <c r="L3007" s="111"/>
      <c r="M3007" s="111"/>
      <c r="N3007" s="111"/>
      <c r="O3007" s="111"/>
      <c r="P3007" s="111"/>
      <c r="Q3007" s="111"/>
      <c r="R3007" s="111"/>
    </row>
    <row r="3008" spans="2:18" s="108" customFormat="1">
      <c r="B3008" s="97"/>
      <c r="C3008" s="110"/>
      <c r="D3008" s="109"/>
      <c r="E3008" s="97"/>
      <c r="F3008" s="97"/>
      <c r="G3008" s="109"/>
      <c r="H3008" s="109"/>
      <c r="I3008" s="97"/>
      <c r="J3008" s="97"/>
      <c r="K3008" s="83"/>
      <c r="L3008" s="111"/>
      <c r="M3008" s="111"/>
      <c r="N3008" s="111"/>
      <c r="O3008" s="111"/>
      <c r="P3008" s="111"/>
      <c r="Q3008" s="111"/>
      <c r="R3008" s="111"/>
    </row>
    <row r="3009" spans="2:18" s="108" customFormat="1">
      <c r="B3009" s="97"/>
      <c r="C3009" s="110"/>
      <c r="D3009" s="109"/>
      <c r="E3009" s="97"/>
      <c r="F3009" s="97"/>
      <c r="G3009" s="109"/>
      <c r="H3009" s="109"/>
      <c r="I3009" s="97"/>
      <c r="J3009" s="97"/>
      <c r="K3009" s="83"/>
      <c r="L3009" s="111"/>
      <c r="M3009" s="111"/>
      <c r="N3009" s="111"/>
      <c r="O3009" s="111"/>
      <c r="P3009" s="111"/>
      <c r="Q3009" s="111"/>
      <c r="R3009" s="111"/>
    </row>
    <row r="3010" spans="2:18" s="108" customFormat="1">
      <c r="B3010" s="97"/>
      <c r="C3010" s="110"/>
      <c r="D3010" s="109"/>
      <c r="E3010" s="97"/>
      <c r="F3010" s="97"/>
      <c r="G3010" s="109"/>
      <c r="H3010" s="109"/>
      <c r="I3010" s="97"/>
      <c r="J3010" s="97"/>
      <c r="K3010" s="83"/>
      <c r="L3010" s="111"/>
      <c r="M3010" s="111"/>
      <c r="N3010" s="111"/>
      <c r="O3010" s="111"/>
      <c r="P3010" s="111"/>
      <c r="Q3010" s="111"/>
      <c r="R3010" s="111"/>
    </row>
    <row r="3011" spans="2:18" s="108" customFormat="1">
      <c r="B3011" s="97"/>
      <c r="C3011" s="110"/>
      <c r="D3011" s="109"/>
      <c r="E3011" s="97"/>
      <c r="F3011" s="97"/>
      <c r="G3011" s="109"/>
      <c r="H3011" s="109"/>
      <c r="I3011" s="97"/>
      <c r="J3011" s="97"/>
      <c r="K3011" s="83"/>
      <c r="L3011" s="111"/>
      <c r="M3011" s="111"/>
      <c r="N3011" s="111"/>
      <c r="O3011" s="111"/>
      <c r="P3011" s="111"/>
      <c r="Q3011" s="111"/>
      <c r="R3011" s="111"/>
    </row>
    <row r="3012" spans="2:18" s="108" customFormat="1">
      <c r="B3012" s="97"/>
      <c r="C3012" s="110"/>
      <c r="D3012" s="109"/>
      <c r="E3012" s="97"/>
      <c r="F3012" s="97"/>
      <c r="G3012" s="109"/>
      <c r="H3012" s="109"/>
      <c r="I3012" s="97"/>
      <c r="J3012" s="97"/>
      <c r="K3012" s="83"/>
      <c r="L3012" s="111"/>
      <c r="M3012" s="111"/>
      <c r="N3012" s="111"/>
      <c r="O3012" s="111"/>
      <c r="P3012" s="111"/>
      <c r="Q3012" s="111"/>
      <c r="R3012" s="111"/>
    </row>
    <row r="3013" spans="2:18" s="108" customFormat="1">
      <c r="B3013" s="97"/>
      <c r="C3013" s="110"/>
      <c r="D3013" s="109"/>
      <c r="E3013" s="97"/>
      <c r="F3013" s="97"/>
      <c r="G3013" s="109"/>
      <c r="H3013" s="109"/>
      <c r="I3013" s="97"/>
      <c r="J3013" s="97"/>
      <c r="K3013" s="83"/>
      <c r="L3013" s="111"/>
      <c r="M3013" s="111"/>
      <c r="N3013" s="111"/>
      <c r="O3013" s="111"/>
      <c r="P3013" s="111"/>
      <c r="Q3013" s="111"/>
      <c r="R3013" s="111"/>
    </row>
    <row r="3014" spans="2:18" s="108" customFormat="1">
      <c r="B3014" s="97"/>
      <c r="C3014" s="110"/>
      <c r="D3014" s="109"/>
      <c r="E3014" s="97"/>
      <c r="F3014" s="97"/>
      <c r="G3014" s="109"/>
      <c r="H3014" s="109"/>
      <c r="I3014" s="97"/>
      <c r="J3014" s="97"/>
      <c r="K3014" s="83"/>
      <c r="L3014" s="111"/>
      <c r="M3014" s="111"/>
      <c r="N3014" s="111"/>
      <c r="O3014" s="111"/>
      <c r="P3014" s="111"/>
      <c r="Q3014" s="111"/>
      <c r="R3014" s="111"/>
    </row>
    <row r="3015" spans="2:18" s="108" customFormat="1">
      <c r="B3015" s="97"/>
      <c r="C3015" s="110"/>
      <c r="D3015" s="109"/>
      <c r="E3015" s="97"/>
      <c r="F3015" s="97"/>
      <c r="G3015" s="109"/>
      <c r="H3015" s="109"/>
      <c r="I3015" s="97"/>
      <c r="J3015" s="97"/>
      <c r="K3015" s="83"/>
      <c r="L3015" s="111"/>
      <c r="M3015" s="111"/>
      <c r="N3015" s="111"/>
      <c r="O3015" s="111"/>
      <c r="P3015" s="111"/>
      <c r="Q3015" s="111"/>
      <c r="R3015" s="111"/>
    </row>
    <row r="3016" spans="2:18" s="108" customFormat="1">
      <c r="B3016" s="97"/>
      <c r="C3016" s="110"/>
      <c r="D3016" s="109"/>
      <c r="E3016" s="97"/>
      <c r="F3016" s="97"/>
      <c r="G3016" s="109"/>
      <c r="H3016" s="109"/>
      <c r="I3016" s="97"/>
      <c r="J3016" s="97"/>
      <c r="K3016" s="83"/>
      <c r="L3016" s="111"/>
      <c r="M3016" s="111"/>
      <c r="N3016" s="111"/>
      <c r="O3016" s="111"/>
      <c r="P3016" s="111"/>
      <c r="Q3016" s="111"/>
      <c r="R3016" s="111"/>
    </row>
    <row r="3017" spans="2:18" s="108" customFormat="1">
      <c r="B3017" s="97"/>
      <c r="C3017" s="110"/>
      <c r="D3017" s="109"/>
      <c r="E3017" s="97"/>
      <c r="F3017" s="97"/>
      <c r="G3017" s="109"/>
      <c r="H3017" s="109"/>
      <c r="I3017" s="97"/>
      <c r="J3017" s="97"/>
      <c r="K3017" s="83"/>
      <c r="L3017" s="111"/>
      <c r="M3017" s="111"/>
      <c r="N3017" s="111"/>
      <c r="O3017" s="111"/>
      <c r="P3017" s="111"/>
      <c r="Q3017" s="111"/>
      <c r="R3017" s="111"/>
    </row>
    <row r="3018" spans="2:18" s="108" customFormat="1">
      <c r="B3018" s="97"/>
      <c r="C3018" s="110"/>
      <c r="D3018" s="109"/>
      <c r="E3018" s="97"/>
      <c r="F3018" s="97"/>
      <c r="G3018" s="109"/>
      <c r="H3018" s="109"/>
      <c r="I3018" s="97"/>
      <c r="J3018" s="97"/>
      <c r="K3018" s="83"/>
      <c r="L3018" s="111"/>
      <c r="M3018" s="111"/>
      <c r="N3018" s="111"/>
      <c r="O3018" s="111"/>
      <c r="P3018" s="111"/>
      <c r="Q3018" s="111"/>
      <c r="R3018" s="111"/>
    </row>
    <row r="3019" spans="2:18" s="108" customFormat="1">
      <c r="B3019" s="97"/>
      <c r="C3019" s="110"/>
      <c r="D3019" s="109"/>
      <c r="E3019" s="97"/>
      <c r="F3019" s="97"/>
      <c r="G3019" s="109"/>
      <c r="H3019" s="109"/>
      <c r="I3019" s="97"/>
      <c r="J3019" s="97"/>
      <c r="K3019" s="83"/>
      <c r="L3019" s="111"/>
      <c r="M3019" s="111"/>
      <c r="N3019" s="111"/>
      <c r="O3019" s="111"/>
      <c r="P3019" s="111"/>
      <c r="Q3019" s="111"/>
      <c r="R3019" s="111"/>
    </row>
    <row r="3020" spans="2:18" s="108" customFormat="1">
      <c r="B3020" s="97"/>
      <c r="C3020" s="110"/>
      <c r="D3020" s="109"/>
      <c r="E3020" s="97"/>
      <c r="F3020" s="97"/>
      <c r="G3020" s="109"/>
      <c r="H3020" s="109"/>
      <c r="I3020" s="97"/>
      <c r="J3020" s="97"/>
      <c r="K3020" s="83"/>
      <c r="L3020" s="111"/>
      <c r="M3020" s="111"/>
      <c r="N3020" s="111"/>
      <c r="O3020" s="111"/>
      <c r="P3020" s="111"/>
      <c r="Q3020" s="111"/>
      <c r="R3020" s="111"/>
    </row>
    <row r="3021" spans="2:18" s="108" customFormat="1">
      <c r="B3021" s="97"/>
      <c r="C3021" s="110"/>
      <c r="D3021" s="109"/>
      <c r="E3021" s="97"/>
      <c r="F3021" s="97"/>
      <c r="G3021" s="109"/>
      <c r="H3021" s="109"/>
      <c r="I3021" s="97"/>
      <c r="J3021" s="97"/>
      <c r="K3021" s="83"/>
      <c r="L3021" s="111"/>
      <c r="M3021" s="111"/>
      <c r="N3021" s="111"/>
      <c r="O3021" s="111"/>
      <c r="P3021" s="111"/>
      <c r="Q3021" s="111"/>
      <c r="R3021" s="111"/>
    </row>
    <row r="3022" spans="2:18" s="108" customFormat="1">
      <c r="B3022" s="97"/>
      <c r="C3022" s="110"/>
      <c r="D3022" s="109"/>
      <c r="E3022" s="97"/>
      <c r="F3022" s="97"/>
      <c r="G3022" s="109"/>
      <c r="H3022" s="109"/>
      <c r="I3022" s="97"/>
      <c r="J3022" s="97"/>
      <c r="K3022" s="83"/>
      <c r="L3022" s="111"/>
      <c r="M3022" s="111"/>
      <c r="N3022" s="111"/>
      <c r="O3022" s="111"/>
      <c r="P3022" s="111"/>
      <c r="Q3022" s="111"/>
      <c r="R3022" s="111"/>
    </row>
    <row r="3023" spans="2:18" s="108" customFormat="1">
      <c r="B3023" s="97"/>
      <c r="C3023" s="110"/>
      <c r="D3023" s="109"/>
      <c r="E3023" s="97"/>
      <c r="F3023" s="97"/>
      <c r="G3023" s="109"/>
      <c r="H3023" s="109"/>
      <c r="I3023" s="97"/>
      <c r="J3023" s="97"/>
      <c r="K3023" s="83"/>
      <c r="L3023" s="111"/>
      <c r="M3023" s="111"/>
      <c r="N3023" s="111"/>
      <c r="O3023" s="111"/>
      <c r="P3023" s="111"/>
      <c r="Q3023" s="111"/>
      <c r="R3023" s="111"/>
    </row>
    <row r="3024" spans="2:18" s="108" customFormat="1">
      <c r="B3024" s="97"/>
      <c r="C3024" s="110"/>
      <c r="D3024" s="109"/>
      <c r="E3024" s="97"/>
      <c r="F3024" s="97"/>
      <c r="G3024" s="109"/>
      <c r="H3024" s="109"/>
      <c r="I3024" s="97"/>
      <c r="J3024" s="97"/>
      <c r="K3024" s="83"/>
      <c r="L3024" s="111"/>
      <c r="M3024" s="111"/>
      <c r="N3024" s="111"/>
      <c r="O3024" s="111"/>
      <c r="P3024" s="111"/>
      <c r="Q3024" s="111"/>
      <c r="R3024" s="111"/>
    </row>
    <row r="3025" spans="2:18" s="108" customFormat="1">
      <c r="B3025" s="97"/>
      <c r="C3025" s="110"/>
      <c r="D3025" s="109"/>
      <c r="E3025" s="97"/>
      <c r="F3025" s="97"/>
      <c r="G3025" s="109"/>
      <c r="H3025" s="109"/>
      <c r="I3025" s="97"/>
      <c r="J3025" s="97"/>
      <c r="K3025" s="83"/>
      <c r="L3025" s="111"/>
      <c r="M3025" s="111"/>
      <c r="N3025" s="111"/>
      <c r="O3025" s="111"/>
      <c r="P3025" s="111"/>
      <c r="Q3025" s="111"/>
      <c r="R3025" s="111"/>
    </row>
    <row r="3026" spans="2:18" s="108" customFormat="1">
      <c r="B3026" s="97"/>
      <c r="C3026" s="110"/>
      <c r="D3026" s="109"/>
      <c r="E3026" s="97"/>
      <c r="F3026" s="97"/>
      <c r="G3026" s="109"/>
      <c r="H3026" s="109"/>
      <c r="I3026" s="97"/>
      <c r="J3026" s="97"/>
      <c r="K3026" s="83"/>
      <c r="L3026" s="111"/>
      <c r="M3026" s="111"/>
      <c r="N3026" s="111"/>
      <c r="O3026" s="111"/>
      <c r="P3026" s="111"/>
      <c r="Q3026" s="111"/>
      <c r="R3026" s="111"/>
    </row>
    <row r="3027" spans="2:18" s="108" customFormat="1">
      <c r="B3027" s="97"/>
      <c r="C3027" s="110"/>
      <c r="D3027" s="109"/>
      <c r="E3027" s="97"/>
      <c r="F3027" s="97"/>
      <c r="G3027" s="109"/>
      <c r="H3027" s="109"/>
      <c r="I3027" s="97"/>
      <c r="J3027" s="97"/>
      <c r="K3027" s="83"/>
      <c r="L3027" s="111"/>
      <c r="M3027" s="111"/>
      <c r="N3027" s="111"/>
      <c r="O3027" s="111"/>
      <c r="P3027" s="111"/>
      <c r="Q3027" s="111"/>
      <c r="R3027" s="111"/>
    </row>
    <row r="3028" spans="2:18" s="108" customFormat="1">
      <c r="B3028" s="97"/>
      <c r="C3028" s="110"/>
      <c r="D3028" s="109"/>
      <c r="E3028" s="97"/>
      <c r="F3028" s="97"/>
      <c r="G3028" s="109"/>
      <c r="H3028" s="109"/>
      <c r="I3028" s="97"/>
      <c r="J3028" s="97"/>
      <c r="K3028" s="83"/>
      <c r="L3028" s="111"/>
      <c r="M3028" s="111"/>
      <c r="N3028" s="111"/>
      <c r="O3028" s="111"/>
      <c r="P3028" s="111"/>
      <c r="Q3028" s="111"/>
      <c r="R3028" s="111"/>
    </row>
    <row r="3029" spans="2:18" s="108" customFormat="1">
      <c r="B3029" s="97"/>
      <c r="C3029" s="110"/>
      <c r="D3029" s="109"/>
      <c r="E3029" s="97"/>
      <c r="F3029" s="97"/>
      <c r="G3029" s="109"/>
      <c r="H3029" s="109"/>
      <c r="I3029" s="97"/>
      <c r="J3029" s="97"/>
      <c r="K3029" s="83"/>
      <c r="L3029" s="111"/>
      <c r="M3029" s="111"/>
      <c r="N3029" s="111"/>
      <c r="O3029" s="111"/>
      <c r="P3029" s="111"/>
      <c r="Q3029" s="111"/>
      <c r="R3029" s="111"/>
    </row>
    <row r="3030" spans="2:18" s="108" customFormat="1">
      <c r="B3030" s="97"/>
      <c r="C3030" s="110"/>
      <c r="D3030" s="109"/>
      <c r="E3030" s="97"/>
      <c r="F3030" s="97"/>
      <c r="G3030" s="109"/>
      <c r="H3030" s="109"/>
      <c r="I3030" s="97"/>
      <c r="J3030" s="97"/>
      <c r="K3030" s="83"/>
      <c r="L3030" s="111"/>
      <c r="M3030" s="111"/>
      <c r="N3030" s="111"/>
      <c r="O3030" s="111"/>
      <c r="P3030" s="111"/>
      <c r="Q3030" s="111"/>
      <c r="R3030" s="111"/>
    </row>
    <row r="3031" spans="2:18" s="108" customFormat="1">
      <c r="B3031" s="97"/>
      <c r="C3031" s="110"/>
      <c r="D3031" s="109"/>
      <c r="E3031" s="97"/>
      <c r="F3031" s="97"/>
      <c r="G3031" s="109"/>
      <c r="H3031" s="109"/>
      <c r="I3031" s="97"/>
      <c r="J3031" s="97"/>
      <c r="K3031" s="83"/>
      <c r="L3031" s="111"/>
      <c r="M3031" s="111"/>
      <c r="N3031" s="111"/>
      <c r="O3031" s="111"/>
      <c r="P3031" s="111"/>
      <c r="Q3031" s="111"/>
      <c r="R3031" s="111"/>
    </row>
    <row r="3032" spans="2:18" s="108" customFormat="1">
      <c r="B3032" s="97"/>
      <c r="C3032" s="110"/>
      <c r="D3032" s="109"/>
      <c r="E3032" s="97"/>
      <c r="F3032" s="97"/>
      <c r="G3032" s="109"/>
      <c r="H3032" s="109"/>
      <c r="I3032" s="97"/>
      <c r="J3032" s="97"/>
      <c r="K3032" s="83"/>
      <c r="L3032" s="111"/>
      <c r="M3032" s="111"/>
      <c r="N3032" s="111"/>
      <c r="O3032" s="111"/>
      <c r="P3032" s="111"/>
      <c r="Q3032" s="111"/>
      <c r="R3032" s="111"/>
    </row>
    <row r="3033" spans="2:18" s="108" customFormat="1">
      <c r="B3033" s="97"/>
      <c r="C3033" s="110"/>
      <c r="D3033" s="109"/>
      <c r="E3033" s="97"/>
      <c r="F3033" s="97"/>
      <c r="G3033" s="109"/>
      <c r="H3033" s="109"/>
      <c r="I3033" s="97"/>
      <c r="J3033" s="97"/>
      <c r="K3033" s="83"/>
      <c r="L3033" s="111"/>
      <c r="M3033" s="111"/>
      <c r="N3033" s="111"/>
      <c r="O3033" s="111"/>
      <c r="P3033" s="111"/>
      <c r="Q3033" s="111"/>
      <c r="R3033" s="111"/>
    </row>
    <row r="3034" spans="2:18" s="108" customFormat="1">
      <c r="B3034" s="97"/>
      <c r="C3034" s="110"/>
      <c r="D3034" s="109"/>
      <c r="E3034" s="97"/>
      <c r="F3034" s="97"/>
      <c r="G3034" s="109"/>
      <c r="H3034" s="109"/>
      <c r="I3034" s="97"/>
      <c r="J3034" s="97"/>
      <c r="K3034" s="83"/>
      <c r="L3034" s="111"/>
      <c r="M3034" s="111"/>
      <c r="N3034" s="111"/>
      <c r="O3034" s="111"/>
      <c r="P3034" s="111"/>
      <c r="Q3034" s="111"/>
      <c r="R3034" s="111"/>
    </row>
    <row r="3035" spans="2:18" s="108" customFormat="1">
      <c r="B3035" s="97"/>
      <c r="C3035" s="110"/>
      <c r="D3035" s="109"/>
      <c r="E3035" s="97"/>
      <c r="F3035" s="97"/>
      <c r="G3035" s="109"/>
      <c r="H3035" s="109"/>
      <c r="I3035" s="97"/>
      <c r="J3035" s="97"/>
      <c r="K3035" s="83"/>
      <c r="L3035" s="111"/>
      <c r="M3035" s="111"/>
      <c r="N3035" s="111"/>
      <c r="O3035" s="111"/>
      <c r="P3035" s="111"/>
      <c r="Q3035" s="111"/>
      <c r="R3035" s="111"/>
    </row>
    <row r="3036" spans="2:18" s="108" customFormat="1">
      <c r="B3036" s="97"/>
      <c r="C3036" s="110"/>
      <c r="D3036" s="109"/>
      <c r="E3036" s="97"/>
      <c r="F3036" s="97"/>
      <c r="G3036" s="109"/>
      <c r="H3036" s="109"/>
      <c r="I3036" s="97"/>
      <c r="J3036" s="97"/>
      <c r="K3036" s="83"/>
      <c r="L3036" s="111"/>
      <c r="M3036" s="111"/>
      <c r="N3036" s="111"/>
      <c r="O3036" s="111"/>
      <c r="P3036" s="111"/>
      <c r="Q3036" s="111"/>
      <c r="R3036" s="111"/>
    </row>
    <row r="3037" spans="2:18" s="108" customFormat="1">
      <c r="B3037" s="97"/>
      <c r="C3037" s="110"/>
      <c r="D3037" s="109"/>
      <c r="E3037" s="97"/>
      <c r="F3037" s="97"/>
      <c r="G3037" s="109"/>
      <c r="H3037" s="109"/>
      <c r="I3037" s="97"/>
      <c r="J3037" s="97"/>
      <c r="K3037" s="83"/>
      <c r="L3037" s="111"/>
      <c r="M3037" s="111"/>
      <c r="N3037" s="111"/>
      <c r="O3037" s="111"/>
      <c r="P3037" s="111"/>
      <c r="Q3037" s="111"/>
      <c r="R3037" s="111"/>
    </row>
    <row r="3038" spans="2:18" s="108" customFormat="1">
      <c r="B3038" s="97"/>
      <c r="C3038" s="110"/>
      <c r="D3038" s="109"/>
      <c r="E3038" s="97"/>
      <c r="F3038" s="97"/>
      <c r="G3038" s="109"/>
      <c r="H3038" s="109"/>
      <c r="I3038" s="97"/>
      <c r="J3038" s="97"/>
      <c r="K3038" s="83"/>
      <c r="L3038" s="111"/>
      <c r="M3038" s="111"/>
      <c r="N3038" s="111"/>
      <c r="O3038" s="111"/>
      <c r="P3038" s="111"/>
      <c r="Q3038" s="111"/>
      <c r="R3038" s="111"/>
    </row>
    <row r="3039" spans="2:18" s="108" customFormat="1">
      <c r="B3039" s="97"/>
      <c r="C3039" s="110"/>
      <c r="D3039" s="109"/>
      <c r="E3039" s="97"/>
      <c r="F3039" s="97"/>
      <c r="G3039" s="109"/>
      <c r="H3039" s="109"/>
      <c r="I3039" s="97"/>
      <c r="J3039" s="97"/>
      <c r="K3039" s="83"/>
      <c r="L3039" s="111"/>
      <c r="M3039" s="111"/>
      <c r="N3039" s="111"/>
      <c r="O3039" s="111"/>
      <c r="P3039" s="111"/>
      <c r="Q3039" s="111"/>
      <c r="R3039" s="111"/>
    </row>
    <row r="3040" spans="2:18" s="108" customFormat="1">
      <c r="B3040" s="97"/>
      <c r="C3040" s="110"/>
      <c r="D3040" s="109"/>
      <c r="E3040" s="97"/>
      <c r="F3040" s="97"/>
      <c r="G3040" s="109"/>
      <c r="H3040" s="109"/>
      <c r="I3040" s="97"/>
      <c r="J3040" s="97"/>
      <c r="K3040" s="83"/>
      <c r="L3040" s="111"/>
      <c r="M3040" s="111"/>
      <c r="N3040" s="111"/>
      <c r="O3040" s="111"/>
      <c r="P3040" s="111"/>
      <c r="Q3040" s="111"/>
      <c r="R3040" s="111"/>
    </row>
    <row r="3041" spans="2:18" s="108" customFormat="1">
      <c r="B3041" s="97"/>
      <c r="C3041" s="110"/>
      <c r="D3041" s="109"/>
      <c r="E3041" s="97"/>
      <c r="F3041" s="97"/>
      <c r="G3041" s="109"/>
      <c r="H3041" s="109"/>
      <c r="I3041" s="97"/>
      <c r="J3041" s="97"/>
      <c r="K3041" s="83"/>
      <c r="L3041" s="111"/>
      <c r="M3041" s="111"/>
      <c r="N3041" s="111"/>
      <c r="O3041" s="111"/>
      <c r="P3041" s="111"/>
      <c r="Q3041" s="111"/>
      <c r="R3041" s="111"/>
    </row>
    <row r="3042" spans="2:18" s="108" customFormat="1">
      <c r="B3042" s="97"/>
      <c r="C3042" s="110"/>
      <c r="D3042" s="109"/>
      <c r="E3042" s="97"/>
      <c r="F3042" s="97"/>
      <c r="G3042" s="109"/>
      <c r="H3042" s="109"/>
      <c r="I3042" s="97"/>
      <c r="J3042" s="97"/>
      <c r="K3042" s="83"/>
      <c r="L3042" s="111"/>
      <c r="M3042" s="111"/>
      <c r="N3042" s="111"/>
      <c r="O3042" s="111"/>
      <c r="P3042" s="111"/>
      <c r="Q3042" s="111"/>
      <c r="R3042" s="111"/>
    </row>
    <row r="3043" spans="2:18" s="108" customFormat="1">
      <c r="B3043" s="97"/>
      <c r="C3043" s="110"/>
      <c r="D3043" s="109"/>
      <c r="E3043" s="97"/>
      <c r="F3043" s="97"/>
      <c r="G3043" s="109"/>
      <c r="H3043" s="109"/>
      <c r="I3043" s="97"/>
      <c r="J3043" s="97"/>
      <c r="K3043" s="83"/>
      <c r="L3043" s="111"/>
      <c r="M3043" s="111"/>
      <c r="N3043" s="111"/>
      <c r="O3043" s="111"/>
      <c r="P3043" s="111"/>
      <c r="Q3043" s="111"/>
      <c r="R3043" s="111"/>
    </row>
    <row r="3044" spans="2:18" s="108" customFormat="1">
      <c r="B3044" s="97"/>
      <c r="C3044" s="110"/>
      <c r="D3044" s="109"/>
      <c r="E3044" s="97"/>
      <c r="F3044" s="97"/>
      <c r="G3044" s="109"/>
      <c r="H3044" s="109"/>
      <c r="I3044" s="97"/>
      <c r="J3044" s="97"/>
      <c r="K3044" s="83"/>
      <c r="L3044" s="111"/>
      <c r="M3044" s="111"/>
      <c r="N3044" s="111"/>
      <c r="O3044" s="111"/>
      <c r="P3044" s="111"/>
      <c r="Q3044" s="111"/>
      <c r="R3044" s="111"/>
    </row>
    <row r="3045" spans="2:18" s="108" customFormat="1">
      <c r="B3045" s="97"/>
      <c r="C3045" s="110"/>
      <c r="D3045" s="109"/>
      <c r="E3045" s="97"/>
      <c r="F3045" s="97"/>
      <c r="G3045" s="109"/>
      <c r="H3045" s="109"/>
      <c r="I3045" s="97"/>
      <c r="J3045" s="97"/>
      <c r="K3045" s="83"/>
      <c r="L3045" s="111"/>
      <c r="M3045" s="111"/>
      <c r="N3045" s="111"/>
      <c r="O3045" s="111"/>
      <c r="P3045" s="111"/>
      <c r="Q3045" s="111"/>
      <c r="R3045" s="111"/>
    </row>
    <row r="3046" spans="2:18" s="108" customFormat="1">
      <c r="B3046" s="97"/>
      <c r="C3046" s="110"/>
      <c r="D3046" s="109"/>
      <c r="E3046" s="97"/>
      <c r="F3046" s="97"/>
      <c r="G3046" s="109"/>
      <c r="H3046" s="109"/>
      <c r="I3046" s="97"/>
      <c r="J3046" s="97"/>
      <c r="K3046" s="83"/>
      <c r="L3046" s="111"/>
      <c r="M3046" s="111"/>
      <c r="N3046" s="111"/>
      <c r="O3046" s="111"/>
      <c r="P3046" s="111"/>
      <c r="Q3046" s="111"/>
      <c r="R3046" s="111"/>
    </row>
    <row r="3047" spans="2:18" s="108" customFormat="1">
      <c r="B3047" s="97"/>
      <c r="C3047" s="110"/>
      <c r="D3047" s="109"/>
      <c r="E3047" s="97"/>
      <c r="F3047" s="97"/>
      <c r="G3047" s="109"/>
      <c r="H3047" s="109"/>
      <c r="I3047" s="97"/>
      <c r="J3047" s="97"/>
      <c r="K3047" s="83"/>
      <c r="L3047" s="111"/>
      <c r="M3047" s="111"/>
      <c r="N3047" s="111"/>
      <c r="O3047" s="111"/>
      <c r="P3047" s="111"/>
      <c r="Q3047" s="111"/>
      <c r="R3047" s="111"/>
    </row>
    <row r="3048" spans="2:18" s="108" customFormat="1">
      <c r="B3048" s="97"/>
      <c r="C3048" s="110"/>
      <c r="D3048" s="109"/>
      <c r="E3048" s="97"/>
      <c r="F3048" s="97"/>
      <c r="G3048" s="109"/>
      <c r="H3048" s="109"/>
      <c r="I3048" s="97"/>
      <c r="J3048" s="97"/>
      <c r="K3048" s="83"/>
      <c r="L3048" s="111"/>
      <c r="M3048" s="111"/>
      <c r="N3048" s="111"/>
      <c r="O3048" s="111"/>
      <c r="P3048" s="111"/>
      <c r="Q3048" s="111"/>
      <c r="R3048" s="111"/>
    </row>
    <row r="3049" spans="2:18" s="108" customFormat="1">
      <c r="B3049" s="97"/>
      <c r="C3049" s="110"/>
      <c r="D3049" s="109"/>
      <c r="E3049" s="97"/>
      <c r="F3049" s="97"/>
      <c r="G3049" s="109"/>
      <c r="H3049" s="109"/>
      <c r="I3049" s="97"/>
      <c r="J3049" s="97"/>
      <c r="K3049" s="83"/>
      <c r="L3049" s="111"/>
      <c r="M3049" s="111"/>
      <c r="N3049" s="111"/>
      <c r="O3049" s="111"/>
      <c r="P3049" s="111"/>
      <c r="Q3049" s="111"/>
      <c r="R3049" s="111"/>
    </row>
    <row r="3050" spans="2:18" s="108" customFormat="1">
      <c r="B3050" s="97"/>
      <c r="C3050" s="110"/>
      <c r="D3050" s="109"/>
      <c r="E3050" s="97"/>
      <c r="F3050" s="97"/>
      <c r="G3050" s="109"/>
      <c r="H3050" s="109"/>
      <c r="I3050" s="97"/>
      <c r="J3050" s="97"/>
      <c r="K3050" s="83"/>
      <c r="L3050" s="111"/>
      <c r="M3050" s="111"/>
      <c r="N3050" s="111"/>
      <c r="O3050" s="111"/>
      <c r="P3050" s="111"/>
      <c r="Q3050" s="111"/>
      <c r="R3050" s="111"/>
    </row>
    <row r="3051" spans="2:18" s="108" customFormat="1">
      <c r="B3051" s="97"/>
      <c r="C3051" s="110"/>
      <c r="D3051" s="109"/>
      <c r="E3051" s="97"/>
      <c r="F3051" s="97"/>
      <c r="G3051" s="109"/>
      <c r="H3051" s="109"/>
      <c r="I3051" s="97"/>
      <c r="J3051" s="97"/>
      <c r="K3051" s="83"/>
      <c r="L3051" s="111"/>
      <c r="M3051" s="111"/>
      <c r="N3051" s="111"/>
      <c r="O3051" s="111"/>
      <c r="P3051" s="111"/>
      <c r="Q3051" s="111"/>
      <c r="R3051" s="111"/>
    </row>
    <row r="3052" spans="2:18" s="108" customFormat="1">
      <c r="B3052" s="97"/>
      <c r="C3052" s="110"/>
      <c r="D3052" s="109"/>
      <c r="E3052" s="97"/>
      <c r="F3052" s="97"/>
      <c r="G3052" s="109"/>
      <c r="H3052" s="109"/>
      <c r="I3052" s="97"/>
      <c r="J3052" s="97"/>
      <c r="K3052" s="83"/>
      <c r="L3052" s="111"/>
      <c r="M3052" s="111"/>
      <c r="N3052" s="111"/>
      <c r="O3052" s="111"/>
      <c r="P3052" s="111"/>
      <c r="Q3052" s="111"/>
      <c r="R3052" s="111"/>
    </row>
    <row r="3053" spans="2:18" s="108" customFormat="1">
      <c r="B3053" s="97"/>
      <c r="C3053" s="110"/>
      <c r="D3053" s="109"/>
      <c r="E3053" s="97"/>
      <c r="F3053" s="97"/>
      <c r="G3053" s="109"/>
      <c r="H3053" s="109"/>
      <c r="I3053" s="97"/>
      <c r="J3053" s="97"/>
      <c r="K3053" s="83"/>
      <c r="L3053" s="111"/>
      <c r="M3053" s="111"/>
      <c r="N3053" s="111"/>
      <c r="O3053" s="111"/>
      <c r="P3053" s="111"/>
      <c r="Q3053" s="111"/>
      <c r="R3053" s="111"/>
    </row>
    <row r="3054" spans="2:18" s="108" customFormat="1">
      <c r="B3054" s="97"/>
      <c r="C3054" s="110"/>
      <c r="D3054" s="109"/>
      <c r="E3054" s="97"/>
      <c r="F3054" s="97"/>
      <c r="G3054" s="109"/>
      <c r="H3054" s="109"/>
      <c r="I3054" s="97"/>
      <c r="J3054" s="97"/>
      <c r="K3054" s="83"/>
      <c r="L3054" s="111"/>
      <c r="M3054" s="111"/>
      <c r="N3054" s="111"/>
      <c r="O3054" s="111"/>
      <c r="P3054" s="111"/>
      <c r="Q3054" s="111"/>
      <c r="R3054" s="111"/>
    </row>
    <row r="3055" spans="2:18" s="108" customFormat="1">
      <c r="B3055" s="97"/>
      <c r="C3055" s="110"/>
      <c r="D3055" s="109"/>
      <c r="E3055" s="97"/>
      <c r="F3055" s="97"/>
      <c r="G3055" s="109"/>
      <c r="H3055" s="109"/>
      <c r="I3055" s="97"/>
      <c r="J3055" s="97"/>
      <c r="K3055" s="83"/>
      <c r="L3055" s="111"/>
      <c r="M3055" s="111"/>
      <c r="N3055" s="111"/>
      <c r="O3055" s="111"/>
      <c r="P3055" s="111"/>
      <c r="Q3055" s="111"/>
      <c r="R3055" s="111"/>
    </row>
    <row r="3056" spans="2:18" s="108" customFormat="1">
      <c r="B3056" s="97"/>
      <c r="C3056" s="110"/>
      <c r="D3056" s="109"/>
      <c r="E3056" s="97"/>
      <c r="F3056" s="97"/>
      <c r="G3056" s="109"/>
      <c r="H3056" s="109"/>
      <c r="I3056" s="97"/>
      <c r="J3056" s="97"/>
      <c r="K3056" s="83"/>
      <c r="L3056" s="111"/>
      <c r="M3056" s="111"/>
      <c r="N3056" s="111"/>
      <c r="O3056" s="111"/>
      <c r="P3056" s="111"/>
      <c r="Q3056" s="111"/>
      <c r="R3056" s="111"/>
    </row>
    <row r="3057" spans="2:18" s="108" customFormat="1">
      <c r="B3057" s="97"/>
      <c r="C3057" s="110"/>
      <c r="D3057" s="109"/>
      <c r="E3057" s="97"/>
      <c r="F3057" s="97"/>
      <c r="G3057" s="109"/>
      <c r="H3057" s="109"/>
      <c r="I3057" s="97"/>
      <c r="J3057" s="97"/>
      <c r="K3057" s="83"/>
      <c r="L3057" s="111"/>
      <c r="M3057" s="111"/>
      <c r="N3057" s="111"/>
      <c r="O3057" s="111"/>
      <c r="P3057" s="111"/>
      <c r="Q3057" s="111"/>
      <c r="R3057" s="111"/>
    </row>
    <row r="3058" spans="2:18" s="108" customFormat="1">
      <c r="B3058" s="97"/>
      <c r="C3058" s="110"/>
      <c r="D3058" s="109"/>
      <c r="E3058" s="97"/>
      <c r="F3058" s="97"/>
      <c r="G3058" s="109"/>
      <c r="H3058" s="109"/>
      <c r="I3058" s="97"/>
      <c r="J3058" s="97"/>
      <c r="K3058" s="83"/>
      <c r="L3058" s="111"/>
      <c r="M3058" s="111"/>
      <c r="N3058" s="111"/>
      <c r="O3058" s="111"/>
      <c r="P3058" s="111"/>
      <c r="Q3058" s="111"/>
      <c r="R3058" s="111"/>
    </row>
    <row r="3059" spans="2:18" s="108" customFormat="1">
      <c r="B3059" s="97"/>
      <c r="C3059" s="110"/>
      <c r="D3059" s="109"/>
      <c r="E3059" s="97"/>
      <c r="F3059" s="97"/>
      <c r="G3059" s="109"/>
      <c r="H3059" s="109"/>
      <c r="I3059" s="97"/>
      <c r="J3059" s="97"/>
      <c r="K3059" s="83"/>
      <c r="L3059" s="111"/>
      <c r="M3059" s="111"/>
      <c r="N3059" s="111"/>
      <c r="O3059" s="111"/>
      <c r="P3059" s="111"/>
      <c r="Q3059" s="111"/>
      <c r="R3059" s="111"/>
    </row>
    <row r="3060" spans="2:18" s="108" customFormat="1">
      <c r="B3060" s="97"/>
      <c r="C3060" s="110"/>
      <c r="D3060" s="109"/>
      <c r="E3060" s="97"/>
      <c r="F3060" s="97"/>
      <c r="G3060" s="109"/>
      <c r="H3060" s="109"/>
      <c r="I3060" s="97"/>
      <c r="J3060" s="97"/>
      <c r="K3060" s="83"/>
      <c r="L3060" s="111"/>
      <c r="M3060" s="111"/>
      <c r="N3060" s="111"/>
      <c r="O3060" s="111"/>
      <c r="P3060" s="111"/>
      <c r="Q3060" s="111"/>
      <c r="R3060" s="111"/>
    </row>
    <row r="3061" spans="2:18" s="108" customFormat="1">
      <c r="B3061" s="97"/>
      <c r="C3061" s="110"/>
      <c r="D3061" s="109"/>
      <c r="E3061" s="97"/>
      <c r="F3061" s="97"/>
      <c r="G3061" s="109"/>
      <c r="H3061" s="109"/>
      <c r="I3061" s="97"/>
      <c r="J3061" s="97"/>
      <c r="K3061" s="83"/>
      <c r="L3061" s="111"/>
      <c r="M3061" s="111"/>
      <c r="N3061" s="111"/>
      <c r="O3061" s="111"/>
      <c r="P3061" s="111"/>
      <c r="Q3061" s="111"/>
      <c r="R3061" s="111"/>
    </row>
    <row r="3062" spans="2:18" s="108" customFormat="1">
      <c r="B3062" s="97"/>
      <c r="C3062" s="110"/>
      <c r="D3062" s="109"/>
      <c r="E3062" s="97"/>
      <c r="F3062" s="97"/>
      <c r="G3062" s="109"/>
      <c r="H3062" s="109"/>
      <c r="I3062" s="97"/>
      <c r="J3062" s="97"/>
      <c r="K3062" s="83"/>
      <c r="L3062" s="111"/>
      <c r="M3062" s="111"/>
      <c r="N3062" s="111"/>
      <c r="O3062" s="111"/>
      <c r="P3062" s="111"/>
      <c r="Q3062" s="111"/>
      <c r="R3062" s="111"/>
    </row>
    <row r="3063" spans="2:18" s="108" customFormat="1">
      <c r="B3063" s="97"/>
      <c r="C3063" s="110"/>
      <c r="D3063" s="109"/>
      <c r="E3063" s="97"/>
      <c r="F3063" s="97"/>
      <c r="G3063" s="109"/>
      <c r="H3063" s="109"/>
      <c r="I3063" s="97"/>
      <c r="J3063" s="97"/>
      <c r="K3063" s="83"/>
      <c r="L3063" s="111"/>
      <c r="M3063" s="111"/>
      <c r="N3063" s="111"/>
      <c r="O3063" s="111"/>
      <c r="P3063" s="111"/>
      <c r="Q3063" s="111"/>
      <c r="R3063" s="111"/>
    </row>
    <row r="3064" spans="2:18" s="108" customFormat="1">
      <c r="B3064" s="97"/>
      <c r="C3064" s="110"/>
      <c r="D3064" s="109"/>
      <c r="E3064" s="97"/>
      <c r="F3064" s="97"/>
      <c r="G3064" s="109"/>
      <c r="H3064" s="109"/>
      <c r="I3064" s="97"/>
      <c r="J3064" s="97"/>
      <c r="K3064" s="83"/>
      <c r="L3064" s="111"/>
      <c r="M3064" s="111"/>
      <c r="N3064" s="111"/>
      <c r="O3064" s="111"/>
      <c r="P3064" s="111"/>
      <c r="Q3064" s="111"/>
      <c r="R3064" s="111"/>
    </row>
    <row r="3065" spans="2:18" s="108" customFormat="1">
      <c r="B3065" s="97"/>
      <c r="C3065" s="110"/>
      <c r="D3065" s="109"/>
      <c r="E3065" s="97"/>
      <c r="F3065" s="97"/>
      <c r="G3065" s="109"/>
      <c r="H3065" s="109"/>
      <c r="I3065" s="97"/>
      <c r="J3065" s="97"/>
      <c r="K3065" s="83"/>
      <c r="L3065" s="111"/>
      <c r="M3065" s="111"/>
      <c r="N3065" s="111"/>
      <c r="O3065" s="111"/>
      <c r="P3065" s="111"/>
      <c r="Q3065" s="111"/>
      <c r="R3065" s="111"/>
    </row>
    <row r="3066" spans="2:18" s="108" customFormat="1">
      <c r="B3066" s="97"/>
      <c r="C3066" s="110"/>
      <c r="D3066" s="109"/>
      <c r="E3066" s="97"/>
      <c r="F3066" s="97"/>
      <c r="G3066" s="109"/>
      <c r="H3066" s="109"/>
      <c r="I3066" s="97"/>
      <c r="J3066" s="97"/>
      <c r="K3066" s="83"/>
      <c r="L3066" s="111"/>
      <c r="M3066" s="111"/>
      <c r="N3066" s="111"/>
      <c r="O3066" s="111"/>
      <c r="P3066" s="111"/>
      <c r="Q3066" s="111"/>
      <c r="R3066" s="111"/>
    </row>
    <row r="3067" spans="2:18" s="108" customFormat="1">
      <c r="B3067" s="97"/>
      <c r="C3067" s="110"/>
      <c r="D3067" s="109"/>
      <c r="E3067" s="97"/>
      <c r="F3067" s="97"/>
      <c r="G3067" s="109"/>
      <c r="H3067" s="109"/>
      <c r="I3067" s="97"/>
      <c r="J3067" s="97"/>
      <c r="K3067" s="83"/>
      <c r="L3067" s="111"/>
      <c r="M3067" s="111"/>
      <c r="N3067" s="111"/>
      <c r="O3067" s="111"/>
      <c r="P3067" s="111"/>
      <c r="Q3067" s="111"/>
      <c r="R3067" s="111"/>
    </row>
    <row r="3068" spans="2:18" s="108" customFormat="1">
      <c r="B3068" s="97"/>
      <c r="C3068" s="110"/>
      <c r="D3068" s="109"/>
      <c r="E3068" s="97"/>
      <c r="F3068" s="97"/>
      <c r="G3068" s="109"/>
      <c r="H3068" s="109"/>
      <c r="I3068" s="97"/>
      <c r="J3068" s="97"/>
      <c r="K3068" s="83"/>
      <c r="L3068" s="111"/>
      <c r="M3068" s="111"/>
      <c r="N3068" s="111"/>
      <c r="O3068" s="111"/>
      <c r="P3068" s="111"/>
      <c r="Q3068" s="111"/>
      <c r="R3068" s="111"/>
    </row>
    <row r="3069" spans="2:18" s="108" customFormat="1">
      <c r="B3069" s="97"/>
      <c r="C3069" s="110"/>
      <c r="D3069" s="109"/>
      <c r="E3069" s="97"/>
      <c r="F3069" s="97"/>
      <c r="G3069" s="109"/>
      <c r="H3069" s="109"/>
      <c r="I3069" s="97"/>
      <c r="J3069" s="97"/>
      <c r="K3069" s="83"/>
      <c r="L3069" s="111"/>
      <c r="M3069" s="111"/>
      <c r="N3069" s="111"/>
      <c r="O3069" s="111"/>
      <c r="P3069" s="111"/>
      <c r="Q3069" s="111"/>
      <c r="R3069" s="111"/>
    </row>
    <row r="3070" spans="2:18" s="108" customFormat="1">
      <c r="B3070" s="97"/>
      <c r="C3070" s="110"/>
      <c r="D3070" s="109"/>
      <c r="E3070" s="97"/>
      <c r="F3070" s="97"/>
      <c r="G3070" s="109"/>
      <c r="H3070" s="109"/>
      <c r="I3070" s="97"/>
      <c r="J3070" s="97"/>
      <c r="K3070" s="83"/>
      <c r="L3070" s="111"/>
      <c r="M3070" s="111"/>
      <c r="N3070" s="111"/>
      <c r="O3070" s="111"/>
      <c r="P3070" s="111"/>
      <c r="Q3070" s="111"/>
      <c r="R3070" s="111"/>
    </row>
    <row r="3071" spans="2:18" s="108" customFormat="1">
      <c r="B3071" s="97"/>
      <c r="C3071" s="110"/>
      <c r="D3071" s="109"/>
      <c r="E3071" s="97"/>
      <c r="F3071" s="97"/>
      <c r="G3071" s="109"/>
      <c r="H3071" s="109"/>
      <c r="I3071" s="97"/>
      <c r="J3071" s="97"/>
      <c r="K3071" s="83"/>
      <c r="L3071" s="111"/>
      <c r="M3071" s="111"/>
      <c r="N3071" s="111"/>
      <c r="O3071" s="111"/>
      <c r="P3071" s="111"/>
      <c r="Q3071" s="111"/>
      <c r="R3071" s="111"/>
    </row>
    <row r="3072" spans="2:18" s="108" customFormat="1">
      <c r="B3072" s="97"/>
      <c r="C3072" s="110"/>
      <c r="D3072" s="109"/>
      <c r="E3072" s="97"/>
      <c r="F3072" s="97"/>
      <c r="G3072" s="109"/>
      <c r="H3072" s="109"/>
      <c r="I3072" s="97"/>
      <c r="J3072" s="97"/>
      <c r="K3072" s="83"/>
      <c r="L3072" s="111"/>
      <c r="M3072" s="111"/>
      <c r="N3072" s="111"/>
      <c r="O3072" s="111"/>
      <c r="P3072" s="111"/>
      <c r="Q3072" s="111"/>
      <c r="R3072" s="111"/>
    </row>
    <row r="3073" spans="2:18" s="108" customFormat="1">
      <c r="B3073" s="97"/>
      <c r="C3073" s="110"/>
      <c r="D3073" s="109"/>
      <c r="E3073" s="97"/>
      <c r="F3073" s="97"/>
      <c r="G3073" s="109"/>
      <c r="H3073" s="109"/>
      <c r="I3073" s="97"/>
      <c r="J3073" s="97"/>
      <c r="K3073" s="83"/>
      <c r="L3073" s="111"/>
      <c r="M3073" s="111"/>
      <c r="N3073" s="111"/>
      <c r="O3073" s="111"/>
      <c r="P3073" s="111"/>
      <c r="Q3073" s="111"/>
      <c r="R3073" s="111"/>
    </row>
    <row r="3074" spans="2:18" s="108" customFormat="1">
      <c r="B3074" s="97"/>
      <c r="C3074" s="110"/>
      <c r="D3074" s="109"/>
      <c r="E3074" s="97"/>
      <c r="F3074" s="97"/>
      <c r="G3074" s="109"/>
      <c r="H3074" s="109"/>
      <c r="I3074" s="97"/>
      <c r="J3074" s="97"/>
      <c r="K3074" s="83"/>
      <c r="L3074" s="111"/>
      <c r="M3074" s="111"/>
      <c r="N3074" s="111"/>
      <c r="O3074" s="111"/>
      <c r="P3074" s="111"/>
      <c r="Q3074" s="111"/>
      <c r="R3074" s="111"/>
    </row>
    <row r="3075" spans="2:18" s="108" customFormat="1">
      <c r="B3075" s="97"/>
      <c r="C3075" s="110"/>
      <c r="D3075" s="109"/>
      <c r="E3075" s="97"/>
      <c r="F3075" s="97"/>
      <c r="G3075" s="109"/>
      <c r="H3075" s="109"/>
      <c r="I3075" s="97"/>
      <c r="J3075" s="97"/>
      <c r="K3075" s="83"/>
      <c r="L3075" s="111"/>
      <c r="M3075" s="111"/>
      <c r="N3075" s="111"/>
      <c r="O3075" s="111"/>
      <c r="P3075" s="111"/>
      <c r="Q3075" s="111"/>
      <c r="R3075" s="111"/>
    </row>
    <row r="3076" spans="2:18" s="108" customFormat="1">
      <c r="B3076" s="97"/>
      <c r="C3076" s="110"/>
      <c r="D3076" s="109"/>
      <c r="E3076" s="97"/>
      <c r="F3076" s="97"/>
      <c r="G3076" s="109"/>
      <c r="H3076" s="109"/>
      <c r="I3076" s="97"/>
      <c r="J3076" s="97"/>
      <c r="K3076" s="83"/>
      <c r="L3076" s="111"/>
      <c r="M3076" s="111"/>
      <c r="N3076" s="111"/>
      <c r="O3076" s="111"/>
      <c r="P3076" s="111"/>
      <c r="Q3076" s="111"/>
      <c r="R3076" s="111"/>
    </row>
    <row r="3077" spans="2:18" s="108" customFormat="1">
      <c r="B3077" s="97"/>
      <c r="C3077" s="110"/>
      <c r="D3077" s="109"/>
      <c r="E3077" s="97"/>
      <c r="F3077" s="97"/>
      <c r="G3077" s="109"/>
      <c r="H3077" s="109"/>
      <c r="I3077" s="97"/>
      <c r="J3077" s="97"/>
      <c r="K3077" s="83"/>
      <c r="L3077" s="111"/>
      <c r="M3077" s="111"/>
      <c r="N3077" s="111"/>
      <c r="O3077" s="111"/>
      <c r="P3077" s="111"/>
      <c r="Q3077" s="111"/>
      <c r="R3077" s="111"/>
    </row>
    <row r="3078" spans="2:18" s="108" customFormat="1">
      <c r="B3078" s="97"/>
      <c r="C3078" s="110"/>
      <c r="D3078" s="109"/>
      <c r="E3078" s="97"/>
      <c r="F3078" s="97"/>
      <c r="G3078" s="109"/>
      <c r="H3078" s="109"/>
      <c r="I3078" s="97"/>
      <c r="J3078" s="97"/>
      <c r="K3078" s="83"/>
      <c r="L3078" s="111"/>
      <c r="M3078" s="111"/>
      <c r="N3078" s="111"/>
      <c r="O3078" s="111"/>
      <c r="P3078" s="111"/>
      <c r="Q3078" s="111"/>
      <c r="R3078" s="111"/>
    </row>
    <row r="3079" spans="2:18" s="108" customFormat="1">
      <c r="B3079" s="97"/>
      <c r="C3079" s="110"/>
      <c r="D3079" s="109"/>
      <c r="E3079" s="97"/>
      <c r="F3079" s="97"/>
      <c r="G3079" s="109"/>
      <c r="H3079" s="109"/>
      <c r="I3079" s="97"/>
      <c r="J3079" s="97"/>
      <c r="K3079" s="83"/>
      <c r="L3079" s="111"/>
      <c r="M3079" s="111"/>
      <c r="N3079" s="111"/>
      <c r="O3079" s="111"/>
      <c r="P3079" s="111"/>
      <c r="Q3079" s="111"/>
      <c r="R3079" s="111"/>
    </row>
    <row r="3080" spans="2:18" s="108" customFormat="1">
      <c r="B3080" s="97"/>
      <c r="C3080" s="110"/>
      <c r="D3080" s="109"/>
      <c r="E3080" s="97"/>
      <c r="F3080" s="97"/>
      <c r="G3080" s="109"/>
      <c r="H3080" s="109"/>
      <c r="I3080" s="97"/>
      <c r="J3080" s="97"/>
      <c r="K3080" s="83"/>
      <c r="L3080" s="111"/>
      <c r="M3080" s="111"/>
      <c r="N3080" s="111"/>
      <c r="O3080" s="111"/>
      <c r="P3080" s="111"/>
      <c r="Q3080" s="111"/>
      <c r="R3080" s="111"/>
    </row>
    <row r="3081" spans="2:18" s="108" customFormat="1">
      <c r="B3081" s="97"/>
      <c r="C3081" s="110"/>
      <c r="D3081" s="109"/>
      <c r="E3081" s="97"/>
      <c r="F3081" s="97"/>
      <c r="G3081" s="109"/>
      <c r="H3081" s="109"/>
      <c r="I3081" s="97"/>
      <c r="J3081" s="97"/>
      <c r="K3081" s="83"/>
      <c r="L3081" s="111"/>
      <c r="M3081" s="111"/>
      <c r="N3081" s="111"/>
      <c r="O3081" s="111"/>
      <c r="P3081" s="111"/>
      <c r="Q3081" s="111"/>
      <c r="R3081" s="111"/>
    </row>
    <row r="3082" spans="2:18" s="108" customFormat="1">
      <c r="B3082" s="97"/>
      <c r="C3082" s="110"/>
      <c r="D3082" s="109"/>
      <c r="E3082" s="97"/>
      <c r="F3082" s="97"/>
      <c r="G3082" s="109"/>
      <c r="H3082" s="109"/>
      <c r="I3082" s="97"/>
      <c r="J3082" s="97"/>
      <c r="K3082" s="83"/>
      <c r="L3082" s="111"/>
      <c r="M3082" s="111"/>
      <c r="N3082" s="111"/>
      <c r="O3082" s="111"/>
      <c r="P3082" s="111"/>
      <c r="Q3082" s="111"/>
      <c r="R3082" s="111"/>
    </row>
    <row r="3083" spans="2:18" s="108" customFormat="1">
      <c r="B3083" s="97"/>
      <c r="C3083" s="110"/>
      <c r="D3083" s="109"/>
      <c r="E3083" s="97"/>
      <c r="F3083" s="97"/>
      <c r="G3083" s="109"/>
      <c r="H3083" s="109"/>
      <c r="I3083" s="97"/>
      <c r="J3083" s="97"/>
      <c r="K3083" s="83"/>
      <c r="L3083" s="111"/>
      <c r="M3083" s="111"/>
      <c r="N3083" s="111"/>
      <c r="O3083" s="111"/>
      <c r="P3083" s="111"/>
      <c r="Q3083" s="111"/>
      <c r="R3083" s="111"/>
    </row>
    <row r="3084" spans="2:18" s="108" customFormat="1">
      <c r="B3084" s="97"/>
      <c r="C3084" s="110"/>
      <c r="D3084" s="109"/>
      <c r="E3084" s="97"/>
      <c r="F3084" s="97"/>
      <c r="G3084" s="109"/>
      <c r="H3084" s="109"/>
      <c r="I3084" s="97"/>
      <c r="J3084" s="97"/>
      <c r="K3084" s="83"/>
      <c r="L3084" s="111"/>
      <c r="M3084" s="111"/>
      <c r="N3084" s="111"/>
      <c r="O3084" s="111"/>
      <c r="P3084" s="111"/>
      <c r="Q3084" s="111"/>
      <c r="R3084" s="111"/>
    </row>
    <row r="3085" spans="2:18" s="108" customFormat="1">
      <c r="B3085" s="97"/>
      <c r="C3085" s="110"/>
      <c r="D3085" s="109"/>
      <c r="E3085" s="97"/>
      <c r="F3085" s="97"/>
      <c r="G3085" s="109"/>
      <c r="H3085" s="109"/>
      <c r="I3085" s="97"/>
      <c r="J3085" s="97"/>
      <c r="K3085" s="83"/>
      <c r="L3085" s="111"/>
      <c r="M3085" s="111"/>
      <c r="N3085" s="111"/>
      <c r="O3085" s="111"/>
      <c r="P3085" s="111"/>
      <c r="Q3085" s="111"/>
      <c r="R3085" s="111"/>
    </row>
    <row r="3086" spans="2:18" s="108" customFormat="1">
      <c r="B3086" s="97"/>
      <c r="C3086" s="110"/>
      <c r="D3086" s="109"/>
      <c r="E3086" s="97"/>
      <c r="F3086" s="97"/>
      <c r="G3086" s="109"/>
      <c r="H3086" s="109"/>
      <c r="I3086" s="97"/>
      <c r="J3086" s="97"/>
      <c r="K3086" s="83"/>
      <c r="L3086" s="111"/>
      <c r="M3086" s="111"/>
      <c r="N3086" s="111"/>
      <c r="O3086" s="111"/>
      <c r="P3086" s="111"/>
      <c r="Q3086" s="111"/>
      <c r="R3086" s="111"/>
    </row>
    <row r="3087" spans="2:18" s="108" customFormat="1">
      <c r="B3087" s="97"/>
      <c r="C3087" s="110"/>
      <c r="D3087" s="109"/>
      <c r="E3087" s="97"/>
      <c r="F3087" s="97"/>
      <c r="G3087" s="109"/>
      <c r="H3087" s="109"/>
      <c r="I3087" s="97"/>
      <c r="J3087" s="97"/>
      <c r="K3087" s="83"/>
      <c r="L3087" s="111"/>
      <c r="M3087" s="111"/>
      <c r="N3087" s="111"/>
      <c r="O3087" s="111"/>
      <c r="P3087" s="111"/>
      <c r="Q3087" s="111"/>
      <c r="R3087" s="111"/>
    </row>
    <row r="3088" spans="2:18" s="108" customFormat="1">
      <c r="B3088" s="97"/>
      <c r="C3088" s="110"/>
      <c r="D3088" s="109"/>
      <c r="E3088" s="97"/>
      <c r="F3088" s="97"/>
      <c r="G3088" s="109"/>
      <c r="H3088" s="109"/>
      <c r="I3088" s="97"/>
      <c r="J3088" s="97"/>
      <c r="K3088" s="83"/>
      <c r="L3088" s="111"/>
      <c r="M3088" s="111"/>
      <c r="N3088" s="111"/>
      <c r="O3088" s="111"/>
      <c r="P3088" s="111"/>
      <c r="Q3088" s="111"/>
      <c r="R3088" s="111"/>
    </row>
    <row r="3089" spans="2:18" s="108" customFormat="1">
      <c r="B3089" s="97"/>
      <c r="C3089" s="110"/>
      <c r="D3089" s="109"/>
      <c r="E3089" s="97"/>
      <c r="F3089" s="97"/>
      <c r="G3089" s="109"/>
      <c r="H3089" s="109"/>
      <c r="I3089" s="97"/>
      <c r="J3089" s="97"/>
      <c r="K3089" s="83"/>
      <c r="L3089" s="111"/>
      <c r="M3089" s="111"/>
      <c r="N3089" s="111"/>
      <c r="O3089" s="111"/>
      <c r="P3089" s="111"/>
      <c r="Q3089" s="111"/>
      <c r="R3089" s="111"/>
    </row>
    <row r="3090" spans="2:18" s="108" customFormat="1">
      <c r="B3090" s="97"/>
      <c r="C3090" s="110"/>
      <c r="D3090" s="109"/>
      <c r="E3090" s="97"/>
      <c r="F3090" s="97"/>
      <c r="G3090" s="109"/>
      <c r="H3090" s="109"/>
      <c r="I3090" s="97"/>
      <c r="J3090" s="97"/>
      <c r="K3090" s="83"/>
      <c r="L3090" s="111"/>
      <c r="M3090" s="111"/>
      <c r="N3090" s="111"/>
      <c r="O3090" s="111"/>
      <c r="P3090" s="111"/>
      <c r="Q3090" s="111"/>
      <c r="R3090" s="111"/>
    </row>
    <row r="3091" spans="2:18" s="108" customFormat="1">
      <c r="B3091" s="97"/>
      <c r="C3091" s="110"/>
      <c r="D3091" s="109"/>
      <c r="E3091" s="97"/>
      <c r="F3091" s="97"/>
      <c r="G3091" s="109"/>
      <c r="H3091" s="109"/>
      <c r="I3091" s="97"/>
      <c r="J3091" s="97"/>
      <c r="K3091" s="83"/>
      <c r="L3091" s="111"/>
      <c r="M3091" s="111"/>
      <c r="N3091" s="111"/>
      <c r="O3091" s="111"/>
      <c r="P3091" s="111"/>
      <c r="Q3091" s="111"/>
      <c r="R3091" s="111"/>
    </row>
    <row r="3092" spans="2:18" s="108" customFormat="1">
      <c r="B3092" s="97"/>
      <c r="C3092" s="110"/>
      <c r="D3092" s="109"/>
      <c r="E3092" s="97"/>
      <c r="F3092" s="97"/>
      <c r="G3092" s="109"/>
      <c r="H3092" s="109"/>
      <c r="I3092" s="97"/>
      <c r="J3092" s="97"/>
      <c r="K3092" s="83"/>
      <c r="L3092" s="111"/>
      <c r="M3092" s="111"/>
      <c r="N3092" s="111"/>
      <c r="O3092" s="111"/>
      <c r="P3092" s="111"/>
      <c r="Q3092" s="111"/>
      <c r="R3092" s="111"/>
    </row>
    <row r="3093" spans="2:18" s="108" customFormat="1">
      <c r="B3093" s="97"/>
      <c r="C3093" s="110"/>
      <c r="D3093" s="109"/>
      <c r="E3093" s="97"/>
      <c r="F3093" s="97"/>
      <c r="G3093" s="109"/>
      <c r="H3093" s="109"/>
      <c r="I3093" s="97"/>
      <c r="J3093" s="97"/>
      <c r="K3093" s="83"/>
      <c r="L3093" s="111"/>
      <c r="M3093" s="111"/>
      <c r="N3093" s="111"/>
      <c r="O3093" s="111"/>
      <c r="P3093" s="111"/>
      <c r="Q3093" s="111"/>
      <c r="R3093" s="111"/>
    </row>
    <row r="3094" spans="2:18" s="108" customFormat="1">
      <c r="B3094" s="97"/>
      <c r="C3094" s="110"/>
      <c r="D3094" s="109"/>
      <c r="E3094" s="97"/>
      <c r="F3094" s="97"/>
      <c r="G3094" s="109"/>
      <c r="H3094" s="109"/>
      <c r="I3094" s="97"/>
      <c r="J3094" s="97"/>
      <c r="K3094" s="83"/>
      <c r="L3094" s="111"/>
      <c r="M3094" s="111"/>
      <c r="N3094" s="111"/>
      <c r="O3094" s="111"/>
      <c r="P3094" s="111"/>
      <c r="Q3094" s="111"/>
      <c r="R3094" s="111"/>
    </row>
    <row r="3095" spans="2:18" s="108" customFormat="1">
      <c r="B3095" s="97"/>
      <c r="C3095" s="110"/>
      <c r="D3095" s="109"/>
      <c r="E3095" s="97"/>
      <c r="F3095" s="97"/>
      <c r="G3095" s="109"/>
      <c r="H3095" s="109"/>
      <c r="I3095" s="97"/>
      <c r="J3095" s="97"/>
      <c r="K3095" s="83"/>
      <c r="L3095" s="111"/>
      <c r="M3095" s="111"/>
      <c r="N3095" s="111"/>
      <c r="O3095" s="111"/>
      <c r="P3095" s="111"/>
      <c r="Q3095" s="111"/>
      <c r="R3095" s="111"/>
    </row>
    <row r="3096" spans="2:18" s="108" customFormat="1">
      <c r="B3096" s="97"/>
      <c r="C3096" s="110"/>
      <c r="D3096" s="109"/>
      <c r="E3096" s="97"/>
      <c r="F3096" s="97"/>
      <c r="G3096" s="109"/>
      <c r="H3096" s="109"/>
      <c r="I3096" s="97"/>
      <c r="J3096" s="97"/>
      <c r="K3096" s="83"/>
      <c r="L3096" s="111"/>
      <c r="M3096" s="111"/>
      <c r="N3096" s="111"/>
      <c r="O3096" s="111"/>
      <c r="P3096" s="111"/>
      <c r="Q3096" s="111"/>
      <c r="R3096" s="111"/>
    </row>
    <row r="3097" spans="2:18" s="108" customFormat="1">
      <c r="B3097" s="97"/>
      <c r="C3097" s="110"/>
      <c r="D3097" s="109"/>
      <c r="E3097" s="97"/>
      <c r="F3097" s="97"/>
      <c r="G3097" s="109"/>
      <c r="H3097" s="109"/>
      <c r="I3097" s="97"/>
      <c r="J3097" s="97"/>
      <c r="K3097" s="83"/>
      <c r="L3097" s="111"/>
      <c r="M3097" s="111"/>
      <c r="N3097" s="111"/>
      <c r="O3097" s="111"/>
      <c r="P3097" s="111"/>
      <c r="Q3097" s="111"/>
      <c r="R3097" s="111"/>
    </row>
    <row r="3098" spans="2:18" s="108" customFormat="1">
      <c r="B3098" s="97"/>
      <c r="C3098" s="110"/>
      <c r="D3098" s="109"/>
      <c r="E3098" s="97"/>
      <c r="F3098" s="97"/>
      <c r="G3098" s="109"/>
      <c r="H3098" s="109"/>
      <c r="I3098" s="97"/>
      <c r="J3098" s="97"/>
      <c r="K3098" s="83"/>
      <c r="L3098" s="111"/>
      <c r="M3098" s="111"/>
      <c r="N3098" s="111"/>
      <c r="O3098" s="111"/>
      <c r="P3098" s="111"/>
      <c r="Q3098" s="111"/>
      <c r="R3098" s="111"/>
    </row>
    <row r="3099" spans="2:18" s="108" customFormat="1">
      <c r="B3099" s="97"/>
      <c r="C3099" s="110"/>
      <c r="D3099" s="109"/>
      <c r="E3099" s="97"/>
      <c r="F3099" s="97"/>
      <c r="G3099" s="109"/>
      <c r="H3099" s="109"/>
      <c r="I3099" s="97"/>
      <c r="J3099" s="97"/>
      <c r="K3099" s="83"/>
      <c r="L3099" s="111"/>
      <c r="M3099" s="111"/>
      <c r="N3099" s="111"/>
      <c r="O3099" s="111"/>
      <c r="P3099" s="111"/>
      <c r="Q3099" s="111"/>
      <c r="R3099" s="111"/>
    </row>
    <row r="3100" spans="2:18" s="108" customFormat="1">
      <c r="B3100" s="97"/>
      <c r="C3100" s="110"/>
      <c r="D3100" s="109"/>
      <c r="E3100" s="97"/>
      <c r="F3100" s="97"/>
      <c r="G3100" s="109"/>
      <c r="H3100" s="109"/>
      <c r="I3100" s="97"/>
      <c r="J3100" s="97"/>
      <c r="K3100" s="83"/>
      <c r="L3100" s="111"/>
      <c r="M3100" s="111"/>
      <c r="N3100" s="111"/>
      <c r="O3100" s="111"/>
      <c r="P3100" s="111"/>
      <c r="Q3100" s="111"/>
      <c r="R3100" s="111"/>
    </row>
    <row r="3101" spans="2:18" s="108" customFormat="1">
      <c r="B3101" s="97"/>
      <c r="C3101" s="110"/>
      <c r="D3101" s="109"/>
      <c r="E3101" s="97"/>
      <c r="F3101" s="97"/>
      <c r="G3101" s="109"/>
      <c r="H3101" s="109"/>
      <c r="I3101" s="97"/>
      <c r="J3101" s="97"/>
      <c r="K3101" s="83"/>
      <c r="L3101" s="111"/>
      <c r="M3101" s="111"/>
      <c r="N3101" s="111"/>
      <c r="O3101" s="111"/>
      <c r="P3101" s="111"/>
      <c r="Q3101" s="111"/>
      <c r="R3101" s="111"/>
    </row>
    <row r="3102" spans="2:18" s="108" customFormat="1">
      <c r="B3102" s="97"/>
      <c r="C3102" s="110"/>
      <c r="D3102" s="109"/>
      <c r="E3102" s="97"/>
      <c r="F3102" s="97"/>
      <c r="G3102" s="109"/>
      <c r="H3102" s="109"/>
      <c r="I3102" s="97"/>
      <c r="J3102" s="97"/>
      <c r="K3102" s="83"/>
      <c r="L3102" s="111"/>
      <c r="M3102" s="111"/>
      <c r="N3102" s="111"/>
      <c r="O3102" s="111"/>
      <c r="P3102" s="111"/>
      <c r="Q3102" s="111"/>
      <c r="R3102" s="111"/>
    </row>
    <row r="3103" spans="2:18" s="108" customFormat="1">
      <c r="B3103" s="97"/>
      <c r="C3103" s="110"/>
      <c r="D3103" s="109"/>
      <c r="E3103" s="97"/>
      <c r="F3103" s="97"/>
      <c r="G3103" s="109"/>
      <c r="H3103" s="109"/>
      <c r="I3103" s="97"/>
      <c r="J3103" s="97"/>
      <c r="K3103" s="83"/>
      <c r="L3103" s="111"/>
      <c r="M3103" s="111"/>
      <c r="N3103" s="111"/>
      <c r="O3103" s="111"/>
      <c r="P3103" s="111"/>
      <c r="Q3103" s="111"/>
      <c r="R3103" s="111"/>
    </row>
    <row r="3104" spans="2:18" s="108" customFormat="1">
      <c r="B3104" s="97"/>
      <c r="C3104" s="110"/>
      <c r="D3104" s="109"/>
      <c r="E3104" s="97"/>
      <c r="F3104" s="97"/>
      <c r="G3104" s="109"/>
      <c r="H3104" s="109"/>
      <c r="I3104" s="97"/>
      <c r="J3104" s="97"/>
      <c r="K3104" s="83"/>
      <c r="L3104" s="111"/>
      <c r="M3104" s="111"/>
      <c r="N3104" s="111"/>
      <c r="O3104" s="111"/>
      <c r="P3104" s="111"/>
      <c r="Q3104" s="111"/>
      <c r="R3104" s="111"/>
    </row>
    <row r="3105" spans="2:18" s="108" customFormat="1">
      <c r="B3105" s="97"/>
      <c r="C3105" s="110"/>
      <c r="D3105" s="109"/>
      <c r="E3105" s="97"/>
      <c r="F3105" s="97"/>
      <c r="G3105" s="109"/>
      <c r="H3105" s="109"/>
      <c r="I3105" s="97"/>
      <c r="J3105" s="97"/>
      <c r="K3105" s="83"/>
      <c r="L3105" s="111"/>
      <c r="M3105" s="111"/>
      <c r="N3105" s="111"/>
      <c r="O3105" s="111"/>
      <c r="P3105" s="111"/>
      <c r="Q3105" s="111"/>
      <c r="R3105" s="111"/>
    </row>
    <row r="3106" spans="2:18" s="108" customFormat="1">
      <c r="B3106" s="97"/>
      <c r="C3106" s="110"/>
      <c r="D3106" s="109"/>
      <c r="E3106" s="97"/>
      <c r="F3106" s="97"/>
      <c r="G3106" s="109"/>
      <c r="H3106" s="109"/>
      <c r="I3106" s="97"/>
      <c r="J3106" s="97"/>
      <c r="K3106" s="83"/>
      <c r="L3106" s="111"/>
      <c r="M3106" s="111"/>
      <c r="N3106" s="111"/>
      <c r="O3106" s="111"/>
      <c r="P3106" s="111"/>
      <c r="Q3106" s="111"/>
      <c r="R3106" s="111"/>
    </row>
    <row r="3107" spans="2:18" s="108" customFormat="1">
      <c r="B3107" s="97"/>
      <c r="C3107" s="110"/>
      <c r="D3107" s="109"/>
      <c r="E3107" s="97"/>
      <c r="F3107" s="97"/>
      <c r="G3107" s="109"/>
      <c r="H3107" s="109"/>
      <c r="I3107" s="97"/>
      <c r="J3107" s="97"/>
      <c r="K3107" s="83"/>
      <c r="L3107" s="111"/>
      <c r="M3107" s="111"/>
      <c r="N3107" s="111"/>
      <c r="O3107" s="111"/>
      <c r="P3107" s="111"/>
      <c r="Q3107" s="111"/>
      <c r="R3107" s="111"/>
    </row>
    <row r="3108" spans="2:18" s="108" customFormat="1">
      <c r="B3108" s="97"/>
      <c r="C3108" s="110"/>
      <c r="D3108" s="109"/>
      <c r="E3108" s="97"/>
      <c r="F3108" s="97"/>
      <c r="G3108" s="109"/>
      <c r="H3108" s="109"/>
      <c r="I3108" s="97"/>
      <c r="J3108" s="97"/>
      <c r="K3108" s="83"/>
      <c r="L3108" s="111"/>
      <c r="M3108" s="111"/>
      <c r="N3108" s="111"/>
      <c r="O3108" s="111"/>
      <c r="P3108" s="111"/>
      <c r="Q3108" s="111"/>
      <c r="R3108" s="111"/>
    </row>
    <row r="3109" spans="2:18" s="108" customFormat="1">
      <c r="B3109" s="97"/>
      <c r="C3109" s="110"/>
      <c r="D3109" s="109"/>
      <c r="E3109" s="97"/>
      <c r="F3109" s="97"/>
      <c r="G3109" s="109"/>
      <c r="H3109" s="109"/>
      <c r="I3109" s="97"/>
      <c r="J3109" s="97"/>
      <c r="K3109" s="83"/>
      <c r="L3109" s="111"/>
      <c r="M3109" s="111"/>
      <c r="N3109" s="111"/>
      <c r="O3109" s="111"/>
      <c r="P3109" s="111"/>
      <c r="Q3109" s="111"/>
      <c r="R3109" s="111"/>
    </row>
    <row r="3110" spans="2:18" s="108" customFormat="1">
      <c r="B3110" s="97"/>
      <c r="C3110" s="110"/>
      <c r="D3110" s="109"/>
      <c r="E3110" s="97"/>
      <c r="F3110" s="97"/>
      <c r="G3110" s="109"/>
      <c r="H3110" s="109"/>
      <c r="I3110" s="97"/>
      <c r="J3110" s="97"/>
      <c r="K3110" s="83"/>
      <c r="L3110" s="111"/>
      <c r="M3110" s="111"/>
      <c r="N3110" s="111"/>
      <c r="O3110" s="111"/>
      <c r="P3110" s="111"/>
      <c r="Q3110" s="111"/>
      <c r="R3110" s="111"/>
    </row>
    <row r="3111" spans="2:18" s="108" customFormat="1">
      <c r="B3111" s="97"/>
      <c r="C3111" s="110"/>
      <c r="D3111" s="109"/>
      <c r="E3111" s="97"/>
      <c r="F3111" s="97"/>
      <c r="G3111" s="109"/>
      <c r="H3111" s="109"/>
      <c r="I3111" s="97"/>
      <c r="J3111" s="97"/>
      <c r="K3111" s="83"/>
      <c r="L3111" s="111"/>
      <c r="M3111" s="111"/>
      <c r="N3111" s="111"/>
      <c r="O3111" s="111"/>
      <c r="P3111" s="111"/>
      <c r="Q3111" s="111"/>
      <c r="R3111" s="111"/>
    </row>
    <row r="3112" spans="2:18" s="108" customFormat="1">
      <c r="B3112" s="97"/>
      <c r="C3112" s="110"/>
      <c r="D3112" s="109"/>
      <c r="E3112" s="97"/>
      <c r="F3112" s="97"/>
      <c r="G3112" s="109"/>
      <c r="H3112" s="109"/>
      <c r="I3112" s="97"/>
      <c r="J3112" s="97"/>
      <c r="K3112" s="83"/>
      <c r="L3112" s="111"/>
      <c r="M3112" s="111"/>
      <c r="N3112" s="111"/>
      <c r="O3112" s="111"/>
      <c r="P3112" s="111"/>
      <c r="Q3112" s="111"/>
      <c r="R3112" s="111"/>
    </row>
    <row r="3113" spans="2:18" s="108" customFormat="1">
      <c r="B3113" s="97"/>
      <c r="C3113" s="110"/>
      <c r="D3113" s="109"/>
      <c r="E3113" s="97"/>
      <c r="F3113" s="97"/>
      <c r="G3113" s="109"/>
      <c r="H3113" s="109"/>
      <c r="I3113" s="97"/>
      <c r="J3113" s="97"/>
      <c r="K3113" s="83"/>
      <c r="L3113" s="111"/>
      <c r="M3113" s="111"/>
      <c r="N3113" s="111"/>
      <c r="O3113" s="111"/>
      <c r="P3113" s="111"/>
      <c r="Q3113" s="111"/>
      <c r="R3113" s="111"/>
    </row>
    <row r="3114" spans="2:18" s="108" customFormat="1">
      <c r="B3114" s="97"/>
      <c r="C3114" s="110"/>
      <c r="D3114" s="109"/>
      <c r="E3114" s="97"/>
      <c r="F3114" s="97"/>
      <c r="G3114" s="109"/>
      <c r="H3114" s="109"/>
      <c r="I3114" s="97"/>
      <c r="J3114" s="97"/>
      <c r="K3114" s="83"/>
      <c r="L3114" s="111"/>
      <c r="M3114" s="111"/>
      <c r="N3114" s="111"/>
      <c r="O3114" s="111"/>
      <c r="P3114" s="111"/>
      <c r="Q3114" s="111"/>
      <c r="R3114" s="111"/>
    </row>
    <row r="3115" spans="2:18" s="108" customFormat="1">
      <c r="B3115" s="97"/>
      <c r="C3115" s="110"/>
      <c r="D3115" s="109"/>
      <c r="E3115" s="97"/>
      <c r="F3115" s="97"/>
      <c r="G3115" s="109"/>
      <c r="H3115" s="109"/>
      <c r="I3115" s="97"/>
      <c r="J3115" s="97"/>
      <c r="K3115" s="83"/>
      <c r="L3115" s="111"/>
      <c r="M3115" s="111"/>
      <c r="N3115" s="111"/>
      <c r="O3115" s="111"/>
      <c r="P3115" s="111"/>
      <c r="Q3115" s="111"/>
      <c r="R3115" s="111"/>
    </row>
    <row r="3116" spans="2:18" s="108" customFormat="1">
      <c r="B3116" s="97"/>
      <c r="C3116" s="110"/>
      <c r="D3116" s="109"/>
      <c r="E3116" s="97"/>
      <c r="F3116" s="97"/>
      <c r="G3116" s="109"/>
      <c r="H3116" s="109"/>
      <c r="I3116" s="97"/>
      <c r="J3116" s="97"/>
      <c r="K3116" s="83"/>
      <c r="L3116" s="111"/>
      <c r="M3116" s="111"/>
      <c r="N3116" s="111"/>
      <c r="O3116" s="111"/>
      <c r="P3116" s="111"/>
      <c r="Q3116" s="111"/>
      <c r="R3116" s="111"/>
    </row>
    <row r="3117" spans="2:18" s="108" customFormat="1">
      <c r="B3117" s="97"/>
      <c r="C3117" s="110"/>
      <c r="D3117" s="109"/>
      <c r="E3117" s="97"/>
      <c r="F3117" s="97"/>
      <c r="G3117" s="109"/>
      <c r="H3117" s="109"/>
      <c r="I3117" s="97"/>
      <c r="J3117" s="97"/>
      <c r="K3117" s="83"/>
      <c r="L3117" s="111"/>
      <c r="M3117" s="111"/>
      <c r="N3117" s="111"/>
      <c r="O3117" s="111"/>
      <c r="P3117" s="111"/>
      <c r="Q3117" s="111"/>
      <c r="R3117" s="111"/>
    </row>
    <row r="3118" spans="2:18" s="108" customFormat="1">
      <c r="B3118" s="97"/>
      <c r="C3118" s="110"/>
      <c r="D3118" s="109"/>
      <c r="E3118" s="97"/>
      <c r="F3118" s="97"/>
      <c r="G3118" s="109"/>
      <c r="H3118" s="109"/>
      <c r="I3118" s="97"/>
      <c r="J3118" s="97"/>
      <c r="K3118" s="83"/>
      <c r="L3118" s="111"/>
      <c r="M3118" s="111"/>
      <c r="N3118" s="111"/>
      <c r="O3118" s="111"/>
      <c r="P3118" s="111"/>
      <c r="Q3118" s="111"/>
      <c r="R3118" s="111"/>
    </row>
    <row r="3119" spans="2:18" s="108" customFormat="1">
      <c r="B3119" s="97"/>
      <c r="C3119" s="110"/>
      <c r="D3119" s="109"/>
      <c r="E3119" s="97"/>
      <c r="F3119" s="97"/>
      <c r="G3119" s="109"/>
      <c r="H3119" s="109"/>
      <c r="I3119" s="97"/>
      <c r="J3119" s="97"/>
      <c r="K3119" s="83"/>
      <c r="L3119" s="111"/>
      <c r="M3119" s="111"/>
      <c r="N3119" s="111"/>
      <c r="O3119" s="111"/>
      <c r="P3119" s="111"/>
      <c r="Q3119" s="111"/>
      <c r="R3119" s="111"/>
    </row>
    <row r="3120" spans="2:18" s="108" customFormat="1">
      <c r="B3120" s="97"/>
      <c r="C3120" s="110"/>
      <c r="D3120" s="109"/>
      <c r="E3120" s="97"/>
      <c r="F3120" s="97"/>
      <c r="G3120" s="109"/>
      <c r="H3120" s="109"/>
      <c r="I3120" s="97"/>
      <c r="J3120" s="97"/>
      <c r="K3120" s="83"/>
      <c r="L3120" s="111"/>
      <c r="M3120" s="111"/>
      <c r="N3120" s="111"/>
      <c r="O3120" s="111"/>
      <c r="P3120" s="111"/>
      <c r="Q3120" s="111"/>
      <c r="R3120" s="111"/>
    </row>
    <row r="3121" spans="2:18" s="108" customFormat="1">
      <c r="B3121" s="97"/>
      <c r="C3121" s="110"/>
      <c r="D3121" s="109"/>
      <c r="E3121" s="97"/>
      <c r="F3121" s="97"/>
      <c r="G3121" s="109"/>
      <c r="H3121" s="109"/>
      <c r="I3121" s="97"/>
      <c r="J3121" s="97"/>
      <c r="K3121" s="83"/>
      <c r="L3121" s="111"/>
      <c r="M3121" s="111"/>
      <c r="N3121" s="111"/>
      <c r="O3121" s="111"/>
      <c r="P3121" s="111"/>
      <c r="Q3121" s="111"/>
      <c r="R3121" s="111"/>
    </row>
    <row r="3122" spans="2:18" s="108" customFormat="1">
      <c r="B3122" s="97"/>
      <c r="C3122" s="110"/>
      <c r="D3122" s="109"/>
      <c r="E3122" s="97"/>
      <c r="F3122" s="97"/>
      <c r="G3122" s="109"/>
      <c r="H3122" s="109"/>
      <c r="I3122" s="97"/>
      <c r="J3122" s="97"/>
      <c r="K3122" s="83"/>
      <c r="L3122" s="111"/>
      <c r="M3122" s="111"/>
      <c r="N3122" s="111"/>
      <c r="O3122" s="111"/>
      <c r="P3122" s="111"/>
      <c r="Q3122" s="111"/>
      <c r="R3122" s="111"/>
    </row>
    <row r="3123" spans="2:18" s="108" customFormat="1">
      <c r="B3123" s="97"/>
      <c r="C3123" s="110"/>
      <c r="D3123" s="109"/>
      <c r="E3123" s="97"/>
      <c r="F3123" s="97"/>
      <c r="G3123" s="109"/>
      <c r="H3123" s="109"/>
      <c r="I3123" s="97"/>
      <c r="J3123" s="97"/>
      <c r="K3123" s="83"/>
      <c r="L3123" s="111"/>
      <c r="M3123" s="111"/>
      <c r="N3123" s="111"/>
      <c r="O3123" s="111"/>
      <c r="P3123" s="111"/>
      <c r="Q3123" s="111"/>
      <c r="R3123" s="111"/>
    </row>
    <row r="3124" spans="2:18" s="108" customFormat="1">
      <c r="B3124" s="97"/>
      <c r="C3124" s="110"/>
      <c r="D3124" s="109"/>
      <c r="E3124" s="97"/>
      <c r="F3124" s="97"/>
      <c r="G3124" s="109"/>
      <c r="H3124" s="109"/>
      <c r="I3124" s="97"/>
      <c r="J3124" s="97"/>
      <c r="K3124" s="83"/>
      <c r="L3124" s="111"/>
      <c r="M3124" s="111"/>
      <c r="N3124" s="111"/>
      <c r="O3124" s="111"/>
      <c r="P3124" s="111"/>
      <c r="Q3124" s="111"/>
      <c r="R3124" s="111"/>
    </row>
    <row r="3125" spans="2:18" s="108" customFormat="1">
      <c r="B3125" s="97"/>
      <c r="C3125" s="110"/>
      <c r="D3125" s="109"/>
      <c r="E3125" s="97"/>
      <c r="F3125" s="97"/>
      <c r="G3125" s="109"/>
      <c r="H3125" s="109"/>
      <c r="I3125" s="97"/>
      <c r="J3125" s="97"/>
      <c r="K3125" s="83"/>
      <c r="L3125" s="111"/>
      <c r="M3125" s="111"/>
      <c r="N3125" s="111"/>
      <c r="O3125" s="111"/>
      <c r="P3125" s="111"/>
      <c r="Q3125" s="111"/>
      <c r="R3125" s="111"/>
    </row>
    <row r="3126" spans="2:18" s="108" customFormat="1">
      <c r="B3126" s="97"/>
      <c r="C3126" s="110"/>
      <c r="D3126" s="109"/>
      <c r="E3126" s="97"/>
      <c r="F3126" s="97"/>
      <c r="G3126" s="109"/>
      <c r="H3126" s="109"/>
      <c r="I3126" s="97"/>
      <c r="J3126" s="97"/>
      <c r="K3126" s="83"/>
      <c r="L3126" s="111"/>
      <c r="M3126" s="111"/>
      <c r="N3126" s="111"/>
      <c r="O3126" s="111"/>
      <c r="P3126" s="111"/>
      <c r="Q3126" s="111"/>
      <c r="R3126" s="111"/>
    </row>
    <row r="3127" spans="2:18" s="108" customFormat="1">
      <c r="B3127" s="97"/>
      <c r="C3127" s="110"/>
      <c r="D3127" s="109"/>
      <c r="E3127" s="97"/>
      <c r="F3127" s="97"/>
      <c r="G3127" s="109"/>
      <c r="H3127" s="109"/>
      <c r="I3127" s="97"/>
      <c r="J3127" s="97"/>
      <c r="K3127" s="83"/>
      <c r="L3127" s="111"/>
      <c r="M3127" s="111"/>
      <c r="N3127" s="111"/>
      <c r="O3127" s="111"/>
      <c r="P3127" s="111"/>
      <c r="Q3127" s="111"/>
      <c r="R3127" s="111"/>
    </row>
    <row r="3128" spans="2:18" s="108" customFormat="1">
      <c r="B3128" s="97"/>
      <c r="C3128" s="110"/>
      <c r="D3128" s="109"/>
      <c r="E3128" s="97"/>
      <c r="F3128" s="97"/>
      <c r="G3128" s="109"/>
      <c r="H3128" s="109"/>
      <c r="I3128" s="97"/>
      <c r="J3128" s="97"/>
      <c r="K3128" s="83"/>
      <c r="L3128" s="111"/>
      <c r="M3128" s="111"/>
      <c r="N3128" s="111"/>
      <c r="O3128" s="111"/>
      <c r="P3128" s="111"/>
      <c r="Q3128" s="111"/>
      <c r="R3128" s="111"/>
    </row>
    <row r="3129" spans="2:18" s="108" customFormat="1">
      <c r="B3129" s="97"/>
      <c r="C3129" s="110"/>
      <c r="D3129" s="109"/>
      <c r="E3129" s="97"/>
      <c r="F3129" s="97"/>
      <c r="G3129" s="109"/>
      <c r="H3129" s="109"/>
      <c r="I3129" s="97"/>
      <c r="J3129" s="97"/>
      <c r="K3129" s="83"/>
      <c r="L3129" s="111"/>
      <c r="M3129" s="111"/>
      <c r="N3129" s="111"/>
      <c r="O3129" s="111"/>
      <c r="P3129" s="111"/>
      <c r="Q3129" s="111"/>
      <c r="R3129" s="111"/>
    </row>
    <row r="3130" spans="2:18" s="108" customFormat="1">
      <c r="B3130" s="97"/>
      <c r="C3130" s="110"/>
      <c r="D3130" s="109"/>
      <c r="E3130" s="97"/>
      <c r="F3130" s="97"/>
      <c r="G3130" s="109"/>
      <c r="H3130" s="109"/>
      <c r="I3130" s="97"/>
      <c r="J3130" s="97"/>
      <c r="K3130" s="83"/>
      <c r="L3130" s="111"/>
      <c r="M3130" s="111"/>
      <c r="N3130" s="111"/>
      <c r="O3130" s="111"/>
      <c r="P3130" s="111"/>
      <c r="Q3130" s="111"/>
      <c r="R3130" s="111"/>
    </row>
    <row r="3131" spans="2:18" s="108" customFormat="1">
      <c r="B3131" s="97"/>
      <c r="C3131" s="110"/>
      <c r="D3131" s="109"/>
      <c r="E3131" s="97"/>
      <c r="F3131" s="97"/>
      <c r="G3131" s="109"/>
      <c r="H3131" s="109"/>
      <c r="I3131" s="97"/>
      <c r="J3131" s="97"/>
      <c r="K3131" s="83"/>
      <c r="L3131" s="111"/>
      <c r="M3131" s="111"/>
      <c r="N3131" s="111"/>
      <c r="O3131" s="111"/>
      <c r="P3131" s="111"/>
      <c r="Q3131" s="111"/>
      <c r="R3131" s="111"/>
    </row>
    <row r="3132" spans="2:18" s="108" customFormat="1">
      <c r="B3132" s="97"/>
      <c r="C3132" s="110"/>
      <c r="D3132" s="109"/>
      <c r="E3132" s="97"/>
      <c r="F3132" s="97"/>
      <c r="G3132" s="109"/>
      <c r="H3132" s="109"/>
      <c r="I3132" s="97"/>
      <c r="J3132" s="97"/>
      <c r="K3132" s="83"/>
      <c r="L3132" s="111"/>
      <c r="M3132" s="111"/>
      <c r="N3132" s="111"/>
      <c r="O3132" s="111"/>
      <c r="P3132" s="111"/>
      <c r="Q3132" s="111"/>
      <c r="R3132" s="111"/>
    </row>
    <row r="3133" spans="2:18" s="108" customFormat="1">
      <c r="B3133" s="97"/>
      <c r="C3133" s="110"/>
      <c r="D3133" s="109"/>
      <c r="E3133" s="97"/>
      <c r="F3133" s="97"/>
      <c r="G3133" s="109"/>
      <c r="H3133" s="109"/>
      <c r="I3133" s="97"/>
      <c r="J3133" s="97"/>
      <c r="K3133" s="83"/>
      <c r="L3133" s="111"/>
      <c r="M3133" s="111"/>
      <c r="N3133" s="111"/>
      <c r="O3133" s="111"/>
      <c r="P3133" s="111"/>
      <c r="Q3133" s="111"/>
      <c r="R3133" s="111"/>
    </row>
    <row r="3134" spans="2:18" s="108" customFormat="1">
      <c r="B3134" s="97"/>
      <c r="C3134" s="110"/>
      <c r="D3134" s="109"/>
      <c r="E3134" s="97"/>
      <c r="F3134" s="97"/>
      <c r="G3134" s="109"/>
      <c r="H3134" s="109"/>
      <c r="I3134" s="97"/>
      <c r="J3134" s="97"/>
      <c r="K3134" s="83"/>
      <c r="L3134" s="111"/>
      <c r="M3134" s="111"/>
      <c r="N3134" s="111"/>
      <c r="O3134" s="111"/>
      <c r="P3134" s="111"/>
      <c r="Q3134" s="111"/>
      <c r="R3134" s="111"/>
    </row>
    <row r="3135" spans="2:18" s="108" customFormat="1">
      <c r="B3135" s="97"/>
      <c r="C3135" s="110"/>
      <c r="D3135" s="109"/>
      <c r="E3135" s="97"/>
      <c r="F3135" s="97"/>
      <c r="G3135" s="109"/>
      <c r="H3135" s="109"/>
      <c r="I3135" s="97"/>
      <c r="J3135" s="97"/>
      <c r="K3135" s="83"/>
      <c r="L3135" s="111"/>
      <c r="M3135" s="111"/>
      <c r="N3135" s="111"/>
      <c r="O3135" s="111"/>
      <c r="P3135" s="111"/>
      <c r="Q3135" s="111"/>
      <c r="R3135" s="111"/>
    </row>
    <row r="3136" spans="2:18" s="108" customFormat="1">
      <c r="B3136" s="97"/>
      <c r="C3136" s="110"/>
      <c r="D3136" s="109"/>
      <c r="E3136" s="97"/>
      <c r="F3136" s="97"/>
      <c r="G3136" s="109"/>
      <c r="H3136" s="109"/>
      <c r="I3136" s="97"/>
      <c r="J3136" s="97"/>
      <c r="K3136" s="83"/>
      <c r="L3136" s="111"/>
      <c r="M3136" s="111"/>
      <c r="N3136" s="111"/>
      <c r="O3136" s="111"/>
      <c r="P3136" s="111"/>
      <c r="Q3136" s="111"/>
      <c r="R3136" s="111"/>
    </row>
    <row r="3137" spans="2:18" s="108" customFormat="1">
      <c r="B3137" s="97"/>
      <c r="C3137" s="110"/>
      <c r="D3137" s="109"/>
      <c r="E3137" s="97"/>
      <c r="F3137" s="97"/>
      <c r="G3137" s="109"/>
      <c r="H3137" s="109"/>
      <c r="I3137" s="97"/>
      <c r="J3137" s="97"/>
      <c r="K3137" s="83"/>
      <c r="L3137" s="111"/>
      <c r="M3137" s="111"/>
      <c r="N3137" s="111"/>
      <c r="O3137" s="111"/>
      <c r="P3137" s="111"/>
      <c r="Q3137" s="111"/>
      <c r="R3137" s="111"/>
    </row>
    <row r="3138" spans="2:18" s="108" customFormat="1">
      <c r="B3138" s="97"/>
      <c r="C3138" s="110"/>
      <c r="D3138" s="109"/>
      <c r="E3138" s="97"/>
      <c r="F3138" s="97"/>
      <c r="G3138" s="109"/>
      <c r="H3138" s="109"/>
      <c r="I3138" s="97"/>
      <c r="J3138" s="97"/>
      <c r="K3138" s="83"/>
      <c r="L3138" s="111"/>
      <c r="M3138" s="111"/>
      <c r="N3138" s="111"/>
      <c r="O3138" s="111"/>
      <c r="P3138" s="111"/>
      <c r="Q3138" s="111"/>
      <c r="R3138" s="111"/>
    </row>
    <row r="3139" spans="2:18" s="108" customFormat="1">
      <c r="B3139" s="97"/>
      <c r="C3139" s="110"/>
      <c r="D3139" s="109"/>
      <c r="E3139" s="97"/>
      <c r="F3139" s="97"/>
      <c r="G3139" s="109"/>
      <c r="H3139" s="109"/>
      <c r="I3139" s="97"/>
      <c r="J3139" s="97"/>
      <c r="K3139" s="83"/>
      <c r="L3139" s="111"/>
      <c r="M3139" s="111"/>
      <c r="N3139" s="111"/>
      <c r="O3139" s="111"/>
      <c r="P3139" s="111"/>
      <c r="Q3139" s="111"/>
      <c r="R3139" s="111"/>
    </row>
    <row r="3140" spans="2:18" s="108" customFormat="1">
      <c r="B3140" s="97"/>
      <c r="C3140" s="110"/>
      <c r="D3140" s="109"/>
      <c r="E3140" s="97"/>
      <c r="F3140" s="97"/>
      <c r="G3140" s="109"/>
      <c r="H3140" s="109"/>
      <c r="I3140" s="97"/>
      <c r="J3140" s="97"/>
      <c r="K3140" s="83"/>
      <c r="L3140" s="111"/>
      <c r="M3140" s="111"/>
      <c r="N3140" s="111"/>
      <c r="O3140" s="111"/>
      <c r="P3140" s="111"/>
      <c r="Q3140" s="111"/>
      <c r="R3140" s="111"/>
    </row>
    <row r="3141" spans="2:18" s="108" customFormat="1">
      <c r="B3141" s="97"/>
      <c r="C3141" s="110"/>
      <c r="D3141" s="109"/>
      <c r="E3141" s="97"/>
      <c r="F3141" s="97"/>
      <c r="G3141" s="109"/>
      <c r="H3141" s="109"/>
      <c r="I3141" s="97"/>
      <c r="J3141" s="97"/>
      <c r="K3141" s="83"/>
      <c r="L3141" s="111"/>
      <c r="M3141" s="111"/>
      <c r="N3141" s="111"/>
      <c r="O3141" s="111"/>
      <c r="P3141" s="111"/>
      <c r="Q3141" s="111"/>
      <c r="R3141" s="111"/>
    </row>
    <row r="3142" spans="2:18" s="108" customFormat="1">
      <c r="B3142" s="97"/>
      <c r="C3142" s="110"/>
      <c r="D3142" s="109"/>
      <c r="E3142" s="97"/>
      <c r="F3142" s="97"/>
      <c r="G3142" s="109"/>
      <c r="H3142" s="109"/>
      <c r="I3142" s="97"/>
      <c r="J3142" s="97"/>
      <c r="K3142" s="83"/>
      <c r="L3142" s="111"/>
      <c r="M3142" s="111"/>
      <c r="N3142" s="111"/>
      <c r="O3142" s="111"/>
      <c r="P3142" s="111"/>
      <c r="Q3142" s="111"/>
      <c r="R3142" s="111"/>
    </row>
    <row r="3143" spans="2:18" s="108" customFormat="1">
      <c r="B3143" s="97"/>
      <c r="C3143" s="110"/>
      <c r="D3143" s="109"/>
      <c r="E3143" s="97"/>
      <c r="F3143" s="97"/>
      <c r="G3143" s="109"/>
      <c r="H3143" s="109"/>
      <c r="I3143" s="97"/>
      <c r="J3143" s="97"/>
      <c r="K3143" s="83"/>
      <c r="L3143" s="111"/>
      <c r="M3143" s="111"/>
      <c r="N3143" s="111"/>
      <c r="O3143" s="111"/>
      <c r="P3143" s="111"/>
      <c r="Q3143" s="111"/>
      <c r="R3143" s="111"/>
    </row>
    <row r="3144" spans="2:18" s="108" customFormat="1">
      <c r="B3144" s="97"/>
      <c r="C3144" s="110"/>
      <c r="D3144" s="109"/>
      <c r="E3144" s="97"/>
      <c r="F3144" s="97"/>
      <c r="G3144" s="109"/>
      <c r="H3144" s="109"/>
      <c r="I3144" s="97"/>
      <c r="J3144" s="97"/>
      <c r="K3144" s="83"/>
      <c r="L3144" s="111"/>
      <c r="M3144" s="111"/>
      <c r="N3144" s="111"/>
      <c r="O3144" s="111"/>
      <c r="P3144" s="111"/>
      <c r="Q3144" s="111"/>
      <c r="R3144" s="111"/>
    </row>
    <row r="3145" spans="2:18" s="108" customFormat="1">
      <c r="B3145" s="97"/>
      <c r="C3145" s="110"/>
      <c r="D3145" s="109"/>
      <c r="E3145" s="97"/>
      <c r="F3145" s="97"/>
      <c r="G3145" s="109"/>
      <c r="H3145" s="109"/>
      <c r="I3145" s="97"/>
      <c r="J3145" s="97"/>
      <c r="K3145" s="83"/>
      <c r="L3145" s="111"/>
      <c r="M3145" s="111"/>
      <c r="N3145" s="111"/>
      <c r="O3145" s="111"/>
      <c r="P3145" s="111"/>
      <c r="Q3145" s="111"/>
      <c r="R3145" s="111"/>
    </row>
    <row r="3146" spans="2:18" s="108" customFormat="1">
      <c r="B3146" s="97"/>
      <c r="C3146" s="110"/>
      <c r="D3146" s="109"/>
      <c r="E3146" s="97"/>
      <c r="F3146" s="97"/>
      <c r="G3146" s="109"/>
      <c r="H3146" s="109"/>
      <c r="I3146" s="97"/>
      <c r="J3146" s="97"/>
      <c r="K3146" s="83"/>
      <c r="L3146" s="111"/>
      <c r="M3146" s="111"/>
      <c r="N3146" s="111"/>
      <c r="O3146" s="111"/>
      <c r="P3146" s="111"/>
      <c r="Q3146" s="111"/>
      <c r="R3146" s="111"/>
    </row>
    <row r="3147" spans="2:18" s="108" customFormat="1">
      <c r="B3147" s="97"/>
      <c r="C3147" s="110"/>
      <c r="D3147" s="109"/>
      <c r="E3147" s="97"/>
      <c r="F3147" s="97"/>
      <c r="G3147" s="109"/>
      <c r="H3147" s="109"/>
      <c r="I3147" s="97"/>
      <c r="J3147" s="97"/>
      <c r="K3147" s="83"/>
      <c r="L3147" s="111"/>
      <c r="M3147" s="111"/>
      <c r="N3147" s="111"/>
      <c r="O3147" s="111"/>
      <c r="P3147" s="111"/>
      <c r="Q3147" s="111"/>
      <c r="R3147" s="111"/>
    </row>
    <row r="3148" spans="2:18" s="108" customFormat="1">
      <c r="B3148" s="97"/>
      <c r="C3148" s="110"/>
      <c r="D3148" s="109"/>
      <c r="E3148" s="97"/>
      <c r="F3148" s="97"/>
      <c r="G3148" s="109"/>
      <c r="H3148" s="109"/>
      <c r="I3148" s="97"/>
      <c r="J3148" s="97"/>
      <c r="K3148" s="83"/>
      <c r="L3148" s="111"/>
      <c r="M3148" s="111"/>
      <c r="N3148" s="111"/>
      <c r="O3148" s="111"/>
      <c r="P3148" s="111"/>
      <c r="Q3148" s="111"/>
      <c r="R3148" s="111"/>
    </row>
    <row r="3149" spans="2:18" s="108" customFormat="1">
      <c r="B3149" s="97"/>
      <c r="C3149" s="110"/>
      <c r="D3149" s="109"/>
      <c r="E3149" s="97"/>
      <c r="F3149" s="97"/>
      <c r="G3149" s="109"/>
      <c r="H3149" s="109"/>
      <c r="I3149" s="97"/>
      <c r="J3149" s="97"/>
      <c r="K3149" s="83"/>
      <c r="L3149" s="111"/>
      <c r="M3149" s="111"/>
      <c r="N3149" s="111"/>
      <c r="O3149" s="111"/>
      <c r="P3149" s="111"/>
      <c r="Q3149" s="111"/>
      <c r="R3149" s="111"/>
    </row>
    <row r="3150" spans="2:18" s="108" customFormat="1">
      <c r="B3150" s="97"/>
      <c r="C3150" s="110"/>
      <c r="D3150" s="109"/>
      <c r="E3150" s="97"/>
      <c r="F3150" s="97"/>
      <c r="G3150" s="109"/>
      <c r="H3150" s="109"/>
      <c r="I3150" s="97"/>
      <c r="J3150" s="97"/>
      <c r="K3150" s="83"/>
      <c r="L3150" s="111"/>
      <c r="M3150" s="111"/>
      <c r="N3150" s="111"/>
      <c r="O3150" s="111"/>
      <c r="P3150" s="111"/>
      <c r="Q3150" s="111"/>
      <c r="R3150" s="111"/>
    </row>
    <row r="3151" spans="2:18" s="108" customFormat="1">
      <c r="B3151" s="97"/>
      <c r="C3151" s="110"/>
      <c r="D3151" s="109"/>
      <c r="E3151" s="97"/>
      <c r="F3151" s="97"/>
      <c r="G3151" s="109"/>
      <c r="H3151" s="109"/>
      <c r="I3151" s="97"/>
      <c r="J3151" s="97"/>
      <c r="K3151" s="83"/>
      <c r="L3151" s="111"/>
      <c r="M3151" s="111"/>
      <c r="N3151" s="111"/>
      <c r="O3151" s="111"/>
      <c r="P3151" s="111"/>
      <c r="Q3151" s="111"/>
      <c r="R3151" s="111"/>
    </row>
    <row r="3152" spans="2:18" s="108" customFormat="1">
      <c r="B3152" s="97"/>
      <c r="C3152" s="110"/>
      <c r="D3152" s="109"/>
      <c r="E3152" s="97"/>
      <c r="F3152" s="97"/>
      <c r="G3152" s="109"/>
      <c r="H3152" s="109"/>
      <c r="I3152" s="97"/>
      <c r="J3152" s="97"/>
      <c r="K3152" s="83"/>
      <c r="L3152" s="111"/>
      <c r="M3152" s="111"/>
      <c r="N3152" s="111"/>
      <c r="O3152" s="111"/>
      <c r="P3152" s="111"/>
      <c r="Q3152" s="111"/>
      <c r="R3152" s="111"/>
    </row>
    <row r="3153" spans="2:18" s="108" customFormat="1">
      <c r="B3153" s="97"/>
      <c r="C3153" s="110"/>
      <c r="D3153" s="109"/>
      <c r="E3153" s="97"/>
      <c r="F3153" s="97"/>
      <c r="G3153" s="109"/>
      <c r="H3153" s="109"/>
      <c r="I3153" s="97"/>
      <c r="J3153" s="97"/>
      <c r="K3153" s="83"/>
      <c r="L3153" s="111"/>
      <c r="M3153" s="111"/>
      <c r="N3153" s="111"/>
      <c r="O3153" s="111"/>
      <c r="P3153" s="111"/>
      <c r="Q3153" s="111"/>
      <c r="R3153" s="111"/>
    </row>
    <row r="3154" spans="2:18" s="108" customFormat="1">
      <c r="B3154" s="97"/>
      <c r="C3154" s="110"/>
      <c r="D3154" s="109"/>
      <c r="E3154" s="97"/>
      <c r="F3154" s="97"/>
      <c r="G3154" s="109"/>
      <c r="H3154" s="109"/>
      <c r="I3154" s="97"/>
      <c r="J3154" s="97"/>
      <c r="K3154" s="83"/>
      <c r="L3154" s="111"/>
      <c r="M3154" s="111"/>
      <c r="N3154" s="111"/>
      <c r="O3154" s="111"/>
      <c r="P3154" s="111"/>
      <c r="Q3154" s="111"/>
      <c r="R3154" s="111"/>
    </row>
    <row r="3155" spans="2:18" s="108" customFormat="1">
      <c r="B3155" s="97"/>
      <c r="C3155" s="110"/>
      <c r="D3155" s="109"/>
      <c r="E3155" s="97"/>
      <c r="F3155" s="97"/>
      <c r="G3155" s="109"/>
      <c r="H3155" s="109"/>
      <c r="I3155" s="97"/>
      <c r="J3155" s="97"/>
      <c r="K3155" s="83"/>
      <c r="L3155" s="111"/>
      <c r="M3155" s="111"/>
      <c r="N3155" s="111"/>
      <c r="O3155" s="111"/>
      <c r="P3155" s="111"/>
      <c r="Q3155" s="111"/>
      <c r="R3155" s="111"/>
    </row>
    <row r="3156" spans="2:18" s="108" customFormat="1">
      <c r="B3156" s="97"/>
      <c r="C3156" s="110"/>
      <c r="D3156" s="109"/>
      <c r="E3156" s="97"/>
      <c r="F3156" s="97"/>
      <c r="G3156" s="109"/>
      <c r="H3156" s="109"/>
      <c r="I3156" s="97"/>
      <c r="J3156" s="97"/>
      <c r="K3156" s="83"/>
      <c r="L3156" s="111"/>
      <c r="M3156" s="111"/>
      <c r="N3156" s="111"/>
      <c r="O3156" s="111"/>
      <c r="P3156" s="111"/>
      <c r="Q3156" s="111"/>
      <c r="R3156" s="111"/>
    </row>
    <row r="3157" spans="2:18" s="108" customFormat="1">
      <c r="B3157" s="97"/>
      <c r="C3157" s="110"/>
      <c r="D3157" s="109"/>
      <c r="E3157" s="97"/>
      <c r="F3157" s="97"/>
      <c r="G3157" s="109"/>
      <c r="H3157" s="109"/>
      <c r="I3157" s="97"/>
      <c r="J3157" s="97"/>
      <c r="K3157" s="83"/>
      <c r="L3157" s="111"/>
      <c r="M3157" s="111"/>
      <c r="N3157" s="111"/>
      <c r="O3157" s="111"/>
      <c r="P3157" s="111"/>
      <c r="Q3157" s="111"/>
      <c r="R3157" s="111"/>
    </row>
    <row r="3158" spans="2:18" s="108" customFormat="1">
      <c r="B3158" s="97"/>
      <c r="C3158" s="110"/>
      <c r="D3158" s="109"/>
      <c r="E3158" s="97"/>
      <c r="F3158" s="97"/>
      <c r="G3158" s="109"/>
      <c r="H3158" s="109"/>
      <c r="I3158" s="97"/>
      <c r="J3158" s="97"/>
      <c r="K3158" s="83"/>
      <c r="L3158" s="111"/>
      <c r="M3158" s="111"/>
      <c r="N3158" s="111"/>
      <c r="O3158" s="111"/>
      <c r="P3158" s="111"/>
      <c r="Q3158" s="111"/>
      <c r="R3158" s="111"/>
    </row>
    <row r="3159" spans="2:18" s="108" customFormat="1">
      <c r="B3159" s="97"/>
      <c r="C3159" s="110"/>
      <c r="D3159" s="109"/>
      <c r="E3159" s="97"/>
      <c r="F3159" s="97"/>
      <c r="G3159" s="109"/>
      <c r="H3159" s="109"/>
      <c r="I3159" s="97"/>
      <c r="J3159" s="97"/>
      <c r="K3159" s="83"/>
      <c r="L3159" s="111"/>
      <c r="M3159" s="111"/>
      <c r="N3159" s="111"/>
      <c r="O3159" s="111"/>
      <c r="P3159" s="111"/>
      <c r="Q3159" s="111"/>
      <c r="R3159" s="111"/>
    </row>
    <row r="3160" spans="2:18" s="108" customFormat="1">
      <c r="B3160" s="97"/>
      <c r="C3160" s="110"/>
      <c r="D3160" s="109"/>
      <c r="E3160" s="97"/>
      <c r="F3160" s="97"/>
      <c r="G3160" s="109"/>
      <c r="H3160" s="109"/>
      <c r="I3160" s="97"/>
      <c r="J3160" s="97"/>
      <c r="K3160" s="83"/>
      <c r="L3160" s="111"/>
      <c r="M3160" s="111"/>
      <c r="N3160" s="111"/>
      <c r="O3160" s="111"/>
      <c r="P3160" s="111"/>
      <c r="Q3160" s="111"/>
      <c r="R3160" s="111"/>
    </row>
    <row r="3161" spans="2:18" s="108" customFormat="1">
      <c r="B3161" s="97"/>
      <c r="C3161" s="110"/>
      <c r="D3161" s="109"/>
      <c r="E3161" s="97"/>
      <c r="F3161" s="97"/>
      <c r="G3161" s="109"/>
      <c r="H3161" s="109"/>
      <c r="I3161" s="97"/>
      <c r="J3161" s="97"/>
      <c r="K3161" s="83"/>
      <c r="L3161" s="111"/>
      <c r="M3161" s="111"/>
      <c r="N3161" s="111"/>
      <c r="O3161" s="111"/>
      <c r="P3161" s="111"/>
      <c r="Q3161" s="111"/>
      <c r="R3161" s="111"/>
    </row>
    <row r="3162" spans="2:18" s="108" customFormat="1">
      <c r="B3162" s="97"/>
      <c r="C3162" s="110"/>
      <c r="D3162" s="109"/>
      <c r="E3162" s="97"/>
      <c r="F3162" s="97"/>
      <c r="G3162" s="109"/>
      <c r="H3162" s="109"/>
      <c r="I3162" s="97"/>
      <c r="J3162" s="97"/>
      <c r="K3162" s="83"/>
      <c r="L3162" s="111"/>
      <c r="M3162" s="111"/>
      <c r="N3162" s="111"/>
      <c r="O3162" s="111"/>
      <c r="P3162" s="111"/>
      <c r="Q3162" s="111"/>
      <c r="R3162" s="111"/>
    </row>
    <row r="3163" spans="2:18" s="108" customFormat="1">
      <c r="B3163" s="97"/>
      <c r="C3163" s="110"/>
      <c r="D3163" s="109"/>
      <c r="E3163" s="97"/>
      <c r="F3163" s="97"/>
      <c r="G3163" s="109"/>
      <c r="H3163" s="109"/>
      <c r="I3163" s="97"/>
      <c r="J3163" s="97"/>
      <c r="K3163" s="83"/>
      <c r="L3163" s="111"/>
      <c r="M3163" s="111"/>
      <c r="N3163" s="111"/>
      <c r="O3163" s="111"/>
      <c r="P3163" s="111"/>
      <c r="Q3163" s="111"/>
      <c r="R3163" s="111"/>
    </row>
    <row r="3164" spans="2:18" s="108" customFormat="1">
      <c r="B3164" s="97"/>
      <c r="C3164" s="110"/>
      <c r="D3164" s="109"/>
      <c r="E3164" s="97"/>
      <c r="F3164" s="97"/>
      <c r="G3164" s="109"/>
      <c r="H3164" s="109"/>
      <c r="I3164" s="97"/>
      <c r="J3164" s="97"/>
      <c r="K3164" s="83"/>
      <c r="L3164" s="111"/>
      <c r="M3164" s="111"/>
      <c r="N3164" s="111"/>
      <c r="O3164" s="111"/>
      <c r="P3164" s="111"/>
      <c r="Q3164" s="111"/>
      <c r="R3164" s="111"/>
    </row>
    <row r="3165" spans="2:18" s="108" customFormat="1">
      <c r="B3165" s="97"/>
      <c r="C3165" s="110"/>
      <c r="D3165" s="109"/>
      <c r="E3165" s="97"/>
      <c r="F3165" s="97"/>
      <c r="G3165" s="109"/>
      <c r="H3165" s="109"/>
      <c r="I3165" s="97"/>
      <c r="J3165" s="97"/>
      <c r="K3165" s="83"/>
      <c r="L3165" s="111"/>
      <c r="M3165" s="111"/>
      <c r="N3165" s="111"/>
      <c r="O3165" s="111"/>
      <c r="P3165" s="111"/>
      <c r="Q3165" s="111"/>
      <c r="R3165" s="111"/>
    </row>
    <row r="3166" spans="2:18" s="108" customFormat="1">
      <c r="B3166" s="97"/>
      <c r="C3166" s="110"/>
      <c r="D3166" s="109"/>
      <c r="E3166" s="97"/>
      <c r="F3166" s="97"/>
      <c r="G3166" s="109"/>
      <c r="H3166" s="109"/>
      <c r="I3166" s="97"/>
      <c r="J3166" s="97"/>
      <c r="K3166" s="83"/>
      <c r="L3166" s="111"/>
      <c r="M3166" s="111"/>
      <c r="N3166" s="111"/>
      <c r="O3166" s="111"/>
      <c r="P3166" s="111"/>
      <c r="Q3166" s="111"/>
      <c r="R3166" s="111"/>
    </row>
    <row r="3167" spans="2:18" s="108" customFormat="1">
      <c r="B3167" s="97"/>
      <c r="C3167" s="110"/>
      <c r="D3167" s="109"/>
      <c r="E3167" s="97"/>
      <c r="F3167" s="97"/>
      <c r="G3167" s="109"/>
      <c r="H3167" s="109"/>
      <c r="I3167" s="97"/>
      <c r="J3167" s="97"/>
      <c r="K3167" s="83"/>
      <c r="L3167" s="111"/>
      <c r="M3167" s="111"/>
      <c r="N3167" s="111"/>
      <c r="O3167" s="111"/>
      <c r="P3167" s="111"/>
      <c r="Q3167" s="111"/>
      <c r="R3167" s="111"/>
    </row>
    <row r="3168" spans="2:18" s="108" customFormat="1">
      <c r="B3168" s="97"/>
      <c r="C3168" s="110"/>
      <c r="D3168" s="109"/>
      <c r="E3168" s="97"/>
      <c r="F3168" s="97"/>
      <c r="G3168" s="109"/>
      <c r="H3168" s="109"/>
      <c r="I3168" s="97"/>
      <c r="J3168" s="97"/>
      <c r="K3168" s="83"/>
      <c r="L3168" s="111"/>
      <c r="M3168" s="111"/>
      <c r="N3168" s="111"/>
      <c r="O3168" s="111"/>
      <c r="P3168" s="111"/>
      <c r="Q3168" s="111"/>
      <c r="R3168" s="111"/>
    </row>
    <row r="3169" spans="2:18" s="108" customFormat="1">
      <c r="B3169" s="97"/>
      <c r="C3169" s="110"/>
      <c r="D3169" s="109"/>
      <c r="E3169" s="97"/>
      <c r="F3169" s="97"/>
      <c r="G3169" s="109"/>
      <c r="H3169" s="109"/>
      <c r="I3169" s="97"/>
      <c r="J3169" s="97"/>
      <c r="K3169" s="83"/>
      <c r="L3169" s="111"/>
      <c r="M3169" s="111"/>
      <c r="N3169" s="111"/>
      <c r="O3169" s="111"/>
      <c r="P3169" s="111"/>
      <c r="Q3169" s="111"/>
      <c r="R3169" s="111"/>
    </row>
    <row r="3170" spans="2:18" s="108" customFormat="1">
      <c r="B3170" s="97"/>
      <c r="C3170" s="110"/>
      <c r="D3170" s="109"/>
      <c r="E3170" s="97"/>
      <c r="F3170" s="97"/>
      <c r="G3170" s="109"/>
      <c r="H3170" s="109"/>
      <c r="I3170" s="97"/>
      <c r="J3170" s="97"/>
      <c r="K3170" s="83"/>
      <c r="L3170" s="111"/>
      <c r="M3170" s="111"/>
      <c r="N3170" s="111"/>
      <c r="O3170" s="111"/>
      <c r="P3170" s="111"/>
      <c r="Q3170" s="111"/>
      <c r="R3170" s="111"/>
    </row>
    <row r="3171" spans="2:18" s="108" customFormat="1">
      <c r="B3171" s="97"/>
      <c r="C3171" s="110"/>
      <c r="D3171" s="109"/>
      <c r="E3171" s="97"/>
      <c r="F3171" s="97"/>
      <c r="G3171" s="109"/>
      <c r="H3171" s="109"/>
      <c r="I3171" s="97"/>
      <c r="J3171" s="97"/>
      <c r="K3171" s="83"/>
      <c r="L3171" s="111"/>
      <c r="M3171" s="111"/>
      <c r="N3171" s="111"/>
      <c r="O3171" s="111"/>
      <c r="P3171" s="111"/>
      <c r="Q3171" s="111"/>
      <c r="R3171" s="111"/>
    </row>
    <row r="3172" spans="2:18" s="108" customFormat="1">
      <c r="B3172" s="97"/>
      <c r="C3172" s="110"/>
      <c r="D3172" s="109"/>
      <c r="E3172" s="97"/>
      <c r="F3172" s="97"/>
      <c r="G3172" s="109"/>
      <c r="H3172" s="109"/>
      <c r="I3172" s="97"/>
      <c r="J3172" s="97"/>
      <c r="K3172" s="83"/>
      <c r="L3172" s="111"/>
      <c r="M3172" s="111"/>
      <c r="N3172" s="111"/>
      <c r="O3172" s="111"/>
      <c r="P3172" s="111"/>
      <c r="Q3172" s="111"/>
      <c r="R3172" s="111"/>
    </row>
    <row r="3173" spans="2:18" s="108" customFormat="1">
      <c r="B3173" s="97"/>
      <c r="C3173" s="110"/>
      <c r="D3173" s="109"/>
      <c r="E3173" s="97"/>
      <c r="F3173" s="97"/>
      <c r="G3173" s="109"/>
      <c r="H3173" s="109"/>
      <c r="I3173" s="97"/>
      <c r="J3173" s="97"/>
      <c r="K3173" s="83"/>
      <c r="L3173" s="111"/>
      <c r="M3173" s="111"/>
      <c r="N3173" s="111"/>
      <c r="O3173" s="111"/>
      <c r="P3173" s="111"/>
      <c r="Q3173" s="111"/>
      <c r="R3173" s="111"/>
    </row>
    <row r="3174" spans="2:18" s="108" customFormat="1">
      <c r="B3174" s="97"/>
      <c r="C3174" s="110"/>
      <c r="D3174" s="109"/>
      <c r="E3174" s="97"/>
      <c r="F3174" s="97"/>
      <c r="G3174" s="109"/>
      <c r="H3174" s="109"/>
      <c r="I3174" s="97"/>
      <c r="J3174" s="97"/>
      <c r="K3174" s="83"/>
      <c r="L3174" s="111"/>
      <c r="M3174" s="111"/>
      <c r="N3174" s="111"/>
      <c r="O3174" s="111"/>
      <c r="P3174" s="111"/>
      <c r="Q3174" s="111"/>
      <c r="R3174" s="111"/>
    </row>
    <row r="3175" spans="2:18" s="108" customFormat="1">
      <c r="B3175" s="97"/>
      <c r="C3175" s="110"/>
      <c r="D3175" s="109"/>
      <c r="E3175" s="97"/>
      <c r="F3175" s="97"/>
      <c r="G3175" s="109"/>
      <c r="H3175" s="109"/>
      <c r="I3175" s="97"/>
      <c r="J3175" s="97"/>
      <c r="K3175" s="83"/>
      <c r="L3175" s="111"/>
      <c r="M3175" s="111"/>
      <c r="N3175" s="111"/>
      <c r="O3175" s="111"/>
      <c r="P3175" s="111"/>
      <c r="Q3175" s="111"/>
      <c r="R3175" s="111"/>
    </row>
    <row r="3176" spans="2:18" s="108" customFormat="1">
      <c r="B3176" s="97"/>
      <c r="C3176" s="110"/>
      <c r="D3176" s="109"/>
      <c r="E3176" s="97"/>
      <c r="F3176" s="97"/>
      <c r="G3176" s="109"/>
      <c r="H3176" s="109"/>
      <c r="I3176" s="97"/>
      <c r="J3176" s="97"/>
      <c r="K3176" s="83"/>
      <c r="L3176" s="111"/>
      <c r="M3176" s="111"/>
      <c r="N3176" s="111"/>
      <c r="O3176" s="111"/>
      <c r="P3176" s="111"/>
      <c r="Q3176" s="111"/>
      <c r="R3176" s="111"/>
    </row>
    <row r="3177" spans="2:18" s="108" customFormat="1">
      <c r="B3177" s="97"/>
      <c r="C3177" s="110"/>
      <c r="D3177" s="109"/>
      <c r="E3177" s="97"/>
      <c r="F3177" s="97"/>
      <c r="G3177" s="109"/>
      <c r="H3177" s="109"/>
      <c r="I3177" s="97"/>
      <c r="J3177" s="97"/>
      <c r="K3177" s="83"/>
      <c r="L3177" s="111"/>
      <c r="M3177" s="111"/>
      <c r="N3177" s="111"/>
      <c r="O3177" s="111"/>
      <c r="P3177" s="111"/>
      <c r="Q3177" s="111"/>
      <c r="R3177" s="111"/>
    </row>
    <row r="3178" spans="2:18" s="108" customFormat="1">
      <c r="B3178" s="97"/>
      <c r="C3178" s="110"/>
      <c r="D3178" s="109"/>
      <c r="E3178" s="97"/>
      <c r="F3178" s="97"/>
      <c r="G3178" s="109"/>
      <c r="H3178" s="109"/>
      <c r="I3178" s="97"/>
      <c r="J3178" s="97"/>
      <c r="K3178" s="83"/>
      <c r="L3178" s="111"/>
      <c r="M3178" s="111"/>
      <c r="N3178" s="111"/>
      <c r="O3178" s="111"/>
      <c r="P3178" s="111"/>
      <c r="Q3178" s="111"/>
      <c r="R3178" s="111"/>
    </row>
    <row r="3179" spans="2:18" s="108" customFormat="1">
      <c r="B3179" s="97"/>
      <c r="C3179" s="110"/>
      <c r="D3179" s="109"/>
      <c r="E3179" s="97"/>
      <c r="F3179" s="97"/>
      <c r="G3179" s="109"/>
      <c r="H3179" s="109"/>
      <c r="I3179" s="97"/>
      <c r="J3179" s="97"/>
      <c r="K3179" s="83"/>
      <c r="L3179" s="111"/>
      <c r="M3179" s="111"/>
      <c r="N3179" s="111"/>
      <c r="O3179" s="111"/>
      <c r="P3179" s="111"/>
      <c r="Q3179" s="111"/>
      <c r="R3179" s="111"/>
    </row>
    <row r="3180" spans="2:18" s="108" customFormat="1">
      <c r="B3180" s="97"/>
      <c r="C3180" s="110"/>
      <c r="D3180" s="109"/>
      <c r="E3180" s="97"/>
      <c r="F3180" s="97"/>
      <c r="G3180" s="109"/>
      <c r="H3180" s="109"/>
      <c r="I3180" s="97"/>
      <c r="J3180" s="97"/>
      <c r="K3180" s="83"/>
      <c r="L3180" s="111"/>
      <c r="M3180" s="111"/>
      <c r="N3180" s="111"/>
      <c r="O3180" s="111"/>
      <c r="P3180" s="111"/>
      <c r="Q3180" s="111"/>
      <c r="R3180" s="111"/>
    </row>
    <row r="3181" spans="2:18" s="108" customFormat="1">
      <c r="B3181" s="97"/>
      <c r="C3181" s="110"/>
      <c r="D3181" s="109"/>
      <c r="E3181" s="97"/>
      <c r="F3181" s="97"/>
      <c r="G3181" s="109"/>
      <c r="H3181" s="109"/>
      <c r="I3181" s="97"/>
      <c r="J3181" s="97"/>
      <c r="K3181" s="83"/>
      <c r="L3181" s="111"/>
      <c r="M3181" s="111"/>
      <c r="N3181" s="111"/>
      <c r="O3181" s="111"/>
      <c r="P3181" s="111"/>
      <c r="Q3181" s="111"/>
      <c r="R3181" s="111"/>
    </row>
    <row r="3182" spans="2:18" s="108" customFormat="1">
      <c r="B3182" s="97"/>
      <c r="C3182" s="110"/>
      <c r="D3182" s="109"/>
      <c r="E3182" s="97"/>
      <c r="F3182" s="97"/>
      <c r="G3182" s="109"/>
      <c r="H3182" s="109"/>
      <c r="I3182" s="97"/>
      <c r="J3182" s="97"/>
      <c r="K3182" s="83"/>
      <c r="L3182" s="111"/>
      <c r="M3182" s="111"/>
      <c r="N3182" s="111"/>
      <c r="O3182" s="111"/>
      <c r="P3182" s="111"/>
      <c r="Q3182" s="111"/>
      <c r="R3182" s="111"/>
    </row>
    <row r="3183" spans="2:18" s="108" customFormat="1">
      <c r="B3183" s="97"/>
      <c r="C3183" s="110"/>
      <c r="D3183" s="109"/>
      <c r="E3183" s="97"/>
      <c r="F3183" s="97"/>
      <c r="G3183" s="109"/>
      <c r="H3183" s="109"/>
      <c r="I3183" s="97"/>
      <c r="J3183" s="97"/>
      <c r="K3183" s="83"/>
      <c r="L3183" s="111"/>
      <c r="M3183" s="111"/>
      <c r="N3183" s="111"/>
      <c r="O3183" s="111"/>
      <c r="P3183" s="111"/>
      <c r="Q3183" s="111"/>
      <c r="R3183" s="111"/>
    </row>
    <row r="3184" spans="2:18" s="108" customFormat="1">
      <c r="B3184" s="97"/>
      <c r="C3184" s="110"/>
      <c r="D3184" s="109"/>
      <c r="E3184" s="97"/>
      <c r="F3184" s="97"/>
      <c r="G3184" s="109"/>
      <c r="H3184" s="109"/>
      <c r="I3184" s="97"/>
      <c r="J3184" s="97"/>
      <c r="K3184" s="83"/>
      <c r="L3184" s="111"/>
      <c r="M3184" s="111"/>
      <c r="N3184" s="111"/>
      <c r="O3184" s="111"/>
      <c r="P3184" s="111"/>
      <c r="Q3184" s="111"/>
      <c r="R3184" s="111"/>
    </row>
    <row r="3185" spans="2:18" s="108" customFormat="1">
      <c r="B3185" s="97"/>
      <c r="C3185" s="110"/>
      <c r="D3185" s="109"/>
      <c r="E3185" s="97"/>
      <c r="F3185" s="97"/>
      <c r="G3185" s="109"/>
      <c r="H3185" s="109"/>
      <c r="I3185" s="97"/>
      <c r="J3185" s="97"/>
      <c r="K3185" s="83"/>
      <c r="L3185" s="111"/>
      <c r="M3185" s="111"/>
      <c r="N3185" s="111"/>
      <c r="O3185" s="111"/>
      <c r="P3185" s="111"/>
      <c r="Q3185" s="111"/>
      <c r="R3185" s="111"/>
    </row>
    <row r="3186" spans="2:18" s="108" customFormat="1">
      <c r="B3186" s="97"/>
      <c r="C3186" s="110"/>
      <c r="D3186" s="109"/>
      <c r="E3186" s="97"/>
      <c r="F3186" s="97"/>
      <c r="G3186" s="109"/>
      <c r="H3186" s="109"/>
      <c r="I3186" s="97"/>
      <c r="J3186" s="97"/>
      <c r="K3186" s="83"/>
      <c r="L3186" s="111"/>
      <c r="M3186" s="111"/>
      <c r="N3186" s="111"/>
      <c r="O3186" s="111"/>
      <c r="P3186" s="111"/>
      <c r="Q3186" s="111"/>
      <c r="R3186" s="111"/>
    </row>
    <row r="3187" spans="2:18" s="108" customFormat="1">
      <c r="B3187" s="97"/>
      <c r="C3187" s="110"/>
      <c r="D3187" s="109"/>
      <c r="E3187" s="97"/>
      <c r="F3187" s="97"/>
      <c r="G3187" s="109"/>
      <c r="H3187" s="109"/>
      <c r="I3187" s="97"/>
      <c r="J3187" s="97"/>
      <c r="K3187" s="83"/>
      <c r="L3187" s="111"/>
      <c r="M3187" s="111"/>
      <c r="N3187" s="111"/>
      <c r="O3187" s="111"/>
      <c r="P3187" s="111"/>
      <c r="Q3187" s="111"/>
      <c r="R3187" s="111"/>
    </row>
    <row r="3188" spans="2:18" s="108" customFormat="1">
      <c r="B3188" s="97"/>
      <c r="C3188" s="110"/>
      <c r="D3188" s="109"/>
      <c r="E3188" s="97"/>
      <c r="F3188" s="97"/>
      <c r="G3188" s="109"/>
      <c r="H3188" s="109"/>
      <c r="I3188" s="97"/>
      <c r="J3188" s="97"/>
      <c r="K3188" s="83"/>
      <c r="L3188" s="111"/>
      <c r="M3188" s="111"/>
      <c r="N3188" s="111"/>
      <c r="O3188" s="111"/>
      <c r="P3188" s="111"/>
      <c r="Q3188" s="111"/>
      <c r="R3188" s="111"/>
    </row>
    <row r="3189" spans="2:18" s="108" customFormat="1">
      <c r="B3189" s="97"/>
      <c r="C3189" s="110"/>
      <c r="D3189" s="109"/>
      <c r="E3189" s="97"/>
      <c r="F3189" s="97"/>
      <c r="G3189" s="109"/>
      <c r="H3189" s="109"/>
      <c r="I3189" s="97"/>
      <c r="J3189" s="97"/>
      <c r="K3189" s="83"/>
      <c r="L3189" s="111"/>
      <c r="M3189" s="111"/>
      <c r="N3189" s="111"/>
      <c r="O3189" s="111"/>
      <c r="P3189" s="111"/>
      <c r="Q3189" s="111"/>
      <c r="R3189" s="111"/>
    </row>
    <row r="3190" spans="2:18" s="108" customFormat="1">
      <c r="B3190" s="97"/>
      <c r="C3190" s="110"/>
      <c r="D3190" s="109"/>
      <c r="E3190" s="97"/>
      <c r="F3190" s="97"/>
      <c r="G3190" s="109"/>
      <c r="H3190" s="109"/>
      <c r="I3190" s="97"/>
      <c r="J3190" s="97"/>
      <c r="K3190" s="83"/>
      <c r="L3190" s="111"/>
      <c r="M3190" s="111"/>
      <c r="N3190" s="111"/>
      <c r="O3190" s="111"/>
      <c r="P3190" s="111"/>
      <c r="Q3190" s="111"/>
      <c r="R3190" s="111"/>
    </row>
    <row r="3191" spans="2:18" s="108" customFormat="1">
      <c r="B3191" s="97"/>
      <c r="C3191" s="110"/>
      <c r="D3191" s="109"/>
      <c r="E3191" s="97"/>
      <c r="F3191" s="97"/>
      <c r="G3191" s="109"/>
      <c r="H3191" s="109"/>
      <c r="I3191" s="97"/>
      <c r="J3191" s="97"/>
      <c r="K3191" s="83"/>
      <c r="L3191" s="111"/>
      <c r="M3191" s="111"/>
      <c r="N3191" s="111"/>
      <c r="O3191" s="111"/>
      <c r="P3191" s="111"/>
      <c r="Q3191" s="111"/>
      <c r="R3191" s="111"/>
    </row>
    <row r="3192" spans="2:18" s="108" customFormat="1">
      <c r="B3192" s="97"/>
      <c r="C3192" s="110"/>
      <c r="D3192" s="109"/>
      <c r="E3192" s="97"/>
      <c r="F3192" s="97"/>
      <c r="G3192" s="109"/>
      <c r="H3192" s="109"/>
      <c r="I3192" s="97"/>
      <c r="J3192" s="97"/>
      <c r="K3192" s="83"/>
      <c r="L3192" s="111"/>
      <c r="M3192" s="111"/>
      <c r="N3192" s="111"/>
      <c r="O3192" s="111"/>
      <c r="P3192" s="111"/>
      <c r="Q3192" s="111"/>
      <c r="R3192" s="111"/>
    </row>
    <row r="3193" spans="2:18" s="108" customFormat="1">
      <c r="B3193" s="97"/>
      <c r="C3193" s="110"/>
      <c r="D3193" s="109"/>
      <c r="E3193" s="97"/>
      <c r="F3193" s="97"/>
      <c r="G3193" s="109"/>
      <c r="H3193" s="109"/>
      <c r="I3193" s="97"/>
      <c r="J3193" s="97"/>
      <c r="K3193" s="83"/>
      <c r="L3193" s="111"/>
      <c r="M3193" s="111"/>
      <c r="N3193" s="111"/>
      <c r="O3193" s="111"/>
      <c r="P3193" s="111"/>
      <c r="Q3193" s="111"/>
      <c r="R3193" s="111"/>
    </row>
    <row r="3194" spans="2:18" s="108" customFormat="1">
      <c r="B3194" s="97"/>
      <c r="C3194" s="110"/>
      <c r="D3194" s="109"/>
      <c r="E3194" s="97"/>
      <c r="F3194" s="97"/>
      <c r="G3194" s="109"/>
      <c r="H3194" s="109"/>
      <c r="I3194" s="97"/>
      <c r="J3194" s="97"/>
      <c r="K3194" s="83"/>
      <c r="L3194" s="111"/>
      <c r="M3194" s="111"/>
      <c r="N3194" s="111"/>
      <c r="O3194" s="111"/>
      <c r="P3194" s="111"/>
      <c r="Q3194" s="111"/>
      <c r="R3194" s="111"/>
    </row>
    <row r="3195" spans="2:18" s="108" customFormat="1">
      <c r="B3195" s="97"/>
      <c r="C3195" s="110"/>
      <c r="D3195" s="109"/>
      <c r="E3195" s="97"/>
      <c r="F3195" s="97"/>
      <c r="G3195" s="109"/>
      <c r="H3195" s="109"/>
      <c r="I3195" s="97"/>
      <c r="J3195" s="97"/>
      <c r="K3195" s="83"/>
      <c r="L3195" s="111"/>
      <c r="M3195" s="111"/>
      <c r="N3195" s="111"/>
      <c r="O3195" s="111"/>
      <c r="P3195" s="111"/>
      <c r="Q3195" s="111"/>
      <c r="R3195" s="111"/>
    </row>
    <row r="3196" spans="2:18" s="108" customFormat="1">
      <c r="B3196" s="97"/>
      <c r="C3196" s="110"/>
      <c r="D3196" s="109"/>
      <c r="E3196" s="97"/>
      <c r="F3196" s="97"/>
      <c r="G3196" s="109"/>
      <c r="H3196" s="109"/>
      <c r="I3196" s="97"/>
      <c r="J3196" s="97"/>
      <c r="K3196" s="83"/>
      <c r="L3196" s="111"/>
      <c r="M3196" s="111"/>
      <c r="N3196" s="111"/>
      <c r="O3196" s="111"/>
      <c r="P3196" s="111"/>
      <c r="Q3196" s="111"/>
      <c r="R3196" s="111"/>
    </row>
    <row r="3197" spans="2:18" s="108" customFormat="1">
      <c r="B3197" s="97"/>
      <c r="C3197" s="110"/>
      <c r="D3197" s="109"/>
      <c r="E3197" s="97"/>
      <c r="F3197" s="97"/>
      <c r="G3197" s="109"/>
      <c r="H3197" s="109"/>
      <c r="I3197" s="97"/>
      <c r="J3197" s="97"/>
      <c r="K3197" s="83"/>
      <c r="L3197" s="111"/>
      <c r="M3197" s="111"/>
      <c r="N3197" s="111"/>
      <c r="O3197" s="111"/>
      <c r="P3197" s="111"/>
      <c r="Q3197" s="111"/>
      <c r="R3197" s="111"/>
    </row>
    <row r="3198" spans="2:18" s="108" customFormat="1">
      <c r="B3198" s="97"/>
      <c r="C3198" s="110"/>
      <c r="D3198" s="109"/>
      <c r="E3198" s="97"/>
      <c r="F3198" s="97"/>
      <c r="G3198" s="109"/>
      <c r="H3198" s="109"/>
      <c r="I3198" s="97"/>
      <c r="J3198" s="97"/>
      <c r="K3198" s="83"/>
      <c r="L3198" s="111"/>
      <c r="M3198" s="111"/>
      <c r="N3198" s="111"/>
      <c r="O3198" s="111"/>
      <c r="P3198" s="111"/>
      <c r="Q3198" s="111"/>
      <c r="R3198" s="111"/>
    </row>
    <row r="3199" spans="2:18" s="108" customFormat="1">
      <c r="B3199" s="97"/>
      <c r="C3199" s="110"/>
      <c r="D3199" s="109"/>
      <c r="E3199" s="97"/>
      <c r="F3199" s="97"/>
      <c r="G3199" s="109"/>
      <c r="H3199" s="109"/>
      <c r="I3199" s="97"/>
      <c r="J3199" s="97"/>
      <c r="K3199" s="83"/>
      <c r="L3199" s="111"/>
      <c r="M3199" s="111"/>
      <c r="N3199" s="111"/>
      <c r="O3199" s="111"/>
      <c r="P3199" s="111"/>
      <c r="Q3199" s="111"/>
      <c r="R3199" s="111"/>
    </row>
    <row r="3200" spans="2:18" s="108" customFormat="1">
      <c r="B3200" s="97"/>
      <c r="C3200" s="110"/>
      <c r="D3200" s="109"/>
      <c r="E3200" s="97"/>
      <c r="F3200" s="97"/>
      <c r="G3200" s="109"/>
      <c r="H3200" s="109"/>
      <c r="I3200" s="97"/>
      <c r="J3200" s="97"/>
      <c r="K3200" s="83"/>
      <c r="L3200" s="111"/>
      <c r="M3200" s="111"/>
      <c r="N3200" s="111"/>
      <c r="O3200" s="111"/>
      <c r="P3200" s="111"/>
      <c r="Q3200" s="111"/>
      <c r="R3200" s="111"/>
    </row>
    <row r="3201" spans="2:18" s="108" customFormat="1">
      <c r="B3201" s="97"/>
      <c r="C3201" s="110"/>
      <c r="D3201" s="109"/>
      <c r="E3201" s="97"/>
      <c r="F3201" s="97"/>
      <c r="G3201" s="109"/>
      <c r="H3201" s="109"/>
      <c r="I3201" s="97"/>
      <c r="J3201" s="97"/>
      <c r="K3201" s="83"/>
      <c r="L3201" s="111"/>
      <c r="M3201" s="111"/>
      <c r="N3201" s="111"/>
      <c r="O3201" s="111"/>
      <c r="P3201" s="111"/>
      <c r="Q3201" s="111"/>
      <c r="R3201" s="111"/>
    </row>
    <row r="3202" spans="2:18" s="108" customFormat="1">
      <c r="B3202" s="97"/>
      <c r="C3202" s="110"/>
      <c r="D3202" s="109"/>
      <c r="E3202" s="97"/>
      <c r="F3202" s="97"/>
      <c r="G3202" s="109"/>
      <c r="H3202" s="109"/>
      <c r="I3202" s="97"/>
      <c r="J3202" s="97"/>
      <c r="K3202" s="83"/>
      <c r="L3202" s="111"/>
      <c r="M3202" s="111"/>
      <c r="N3202" s="111"/>
      <c r="O3202" s="111"/>
      <c r="P3202" s="111"/>
      <c r="Q3202" s="111"/>
      <c r="R3202" s="111"/>
    </row>
    <row r="3203" spans="2:18" s="108" customFormat="1">
      <c r="B3203" s="97"/>
      <c r="C3203" s="110"/>
      <c r="D3203" s="109"/>
      <c r="E3203" s="97"/>
      <c r="F3203" s="97"/>
      <c r="G3203" s="109"/>
      <c r="H3203" s="109"/>
      <c r="I3203" s="97"/>
      <c r="J3203" s="97"/>
      <c r="K3203" s="83"/>
      <c r="L3203" s="111"/>
      <c r="M3203" s="111"/>
      <c r="N3203" s="111"/>
      <c r="O3203" s="111"/>
      <c r="P3203" s="111"/>
      <c r="Q3203" s="111"/>
      <c r="R3203" s="111"/>
    </row>
    <row r="3204" spans="2:18" s="108" customFormat="1">
      <c r="B3204" s="97"/>
      <c r="C3204" s="110"/>
      <c r="D3204" s="109"/>
      <c r="E3204" s="97"/>
      <c r="F3204" s="97"/>
      <c r="G3204" s="109"/>
      <c r="H3204" s="109"/>
      <c r="I3204" s="97"/>
      <c r="J3204" s="97"/>
      <c r="K3204" s="83"/>
      <c r="L3204" s="111"/>
      <c r="M3204" s="111"/>
      <c r="N3204" s="111"/>
      <c r="O3204" s="111"/>
      <c r="P3204" s="111"/>
      <c r="Q3204" s="111"/>
      <c r="R3204" s="111"/>
    </row>
    <row r="3205" spans="2:18" s="108" customFormat="1">
      <c r="B3205" s="97"/>
      <c r="C3205" s="110"/>
      <c r="D3205" s="109"/>
      <c r="E3205" s="97"/>
      <c r="F3205" s="97"/>
      <c r="G3205" s="109"/>
      <c r="H3205" s="109"/>
      <c r="I3205" s="97"/>
      <c r="J3205" s="97"/>
      <c r="K3205" s="83"/>
      <c r="L3205" s="111"/>
      <c r="M3205" s="111"/>
      <c r="N3205" s="111"/>
      <c r="O3205" s="111"/>
      <c r="P3205" s="111"/>
      <c r="Q3205" s="111"/>
      <c r="R3205" s="111"/>
    </row>
    <row r="3206" spans="2:18" s="108" customFormat="1">
      <c r="B3206" s="97"/>
      <c r="C3206" s="110"/>
      <c r="D3206" s="109"/>
      <c r="E3206" s="97"/>
      <c r="F3206" s="97"/>
      <c r="G3206" s="109"/>
      <c r="H3206" s="109"/>
      <c r="I3206" s="97"/>
      <c r="J3206" s="97"/>
      <c r="K3206" s="83"/>
      <c r="L3206" s="111"/>
      <c r="M3206" s="111"/>
      <c r="N3206" s="111"/>
      <c r="O3206" s="111"/>
      <c r="P3206" s="111"/>
      <c r="Q3206" s="111"/>
      <c r="R3206" s="111"/>
    </row>
    <row r="3207" spans="2:18" s="108" customFormat="1">
      <c r="B3207" s="97"/>
      <c r="C3207" s="110"/>
      <c r="D3207" s="109"/>
      <c r="E3207" s="97"/>
      <c r="F3207" s="97"/>
      <c r="G3207" s="109"/>
      <c r="H3207" s="109"/>
      <c r="I3207" s="97"/>
      <c r="J3207" s="97"/>
      <c r="K3207" s="83"/>
      <c r="L3207" s="111"/>
      <c r="M3207" s="111"/>
      <c r="N3207" s="111"/>
      <c r="O3207" s="111"/>
      <c r="P3207" s="111"/>
      <c r="Q3207" s="111"/>
      <c r="R3207" s="111"/>
    </row>
    <row r="3208" spans="2:18" s="108" customFormat="1">
      <c r="B3208" s="97"/>
      <c r="C3208" s="110"/>
      <c r="D3208" s="109"/>
      <c r="E3208" s="97"/>
      <c r="F3208" s="97"/>
      <c r="G3208" s="109"/>
      <c r="H3208" s="109"/>
      <c r="I3208" s="97"/>
      <c r="J3208" s="97"/>
      <c r="K3208" s="83"/>
      <c r="L3208" s="111"/>
      <c r="M3208" s="111"/>
      <c r="N3208" s="111"/>
      <c r="O3208" s="111"/>
      <c r="P3208" s="111"/>
      <c r="Q3208" s="111"/>
      <c r="R3208" s="111"/>
    </row>
    <row r="3209" spans="2:18" s="108" customFormat="1">
      <c r="B3209" s="97"/>
      <c r="C3209" s="110"/>
      <c r="D3209" s="109"/>
      <c r="E3209" s="97"/>
      <c r="F3209" s="97"/>
      <c r="G3209" s="109"/>
      <c r="H3209" s="109"/>
      <c r="I3209" s="97"/>
      <c r="J3209" s="97"/>
      <c r="K3209" s="83"/>
      <c r="L3209" s="111"/>
      <c r="M3209" s="111"/>
      <c r="N3209" s="111"/>
      <c r="O3209" s="111"/>
      <c r="P3209" s="111"/>
      <c r="Q3209" s="111"/>
      <c r="R3209" s="111"/>
    </row>
    <row r="3210" spans="2:18" s="108" customFormat="1">
      <c r="B3210" s="97"/>
      <c r="C3210" s="110"/>
      <c r="D3210" s="109"/>
      <c r="E3210" s="97"/>
      <c r="F3210" s="97"/>
      <c r="G3210" s="109"/>
      <c r="H3210" s="109"/>
      <c r="I3210" s="97"/>
      <c r="J3210" s="97"/>
      <c r="K3210" s="83"/>
      <c r="L3210" s="111"/>
      <c r="M3210" s="111"/>
      <c r="N3210" s="111"/>
      <c r="O3210" s="111"/>
      <c r="P3210" s="111"/>
      <c r="Q3210" s="111"/>
      <c r="R3210" s="111"/>
    </row>
    <row r="3211" spans="2:18" s="108" customFormat="1">
      <c r="B3211" s="97"/>
      <c r="C3211" s="110"/>
      <c r="D3211" s="109"/>
      <c r="E3211" s="97"/>
      <c r="F3211" s="97"/>
      <c r="G3211" s="109"/>
      <c r="H3211" s="109"/>
      <c r="I3211" s="97"/>
      <c r="J3211" s="97"/>
      <c r="K3211" s="83"/>
      <c r="L3211" s="111"/>
      <c r="M3211" s="111"/>
      <c r="N3211" s="111"/>
      <c r="O3211" s="111"/>
      <c r="P3211" s="111"/>
      <c r="Q3211" s="111"/>
      <c r="R3211" s="111"/>
    </row>
    <row r="3212" spans="2:18" s="108" customFormat="1">
      <c r="B3212" s="97"/>
      <c r="C3212" s="110"/>
      <c r="D3212" s="109"/>
      <c r="E3212" s="97"/>
      <c r="F3212" s="97"/>
      <c r="G3212" s="109"/>
      <c r="H3212" s="109"/>
      <c r="I3212" s="97"/>
      <c r="J3212" s="97"/>
      <c r="K3212" s="83"/>
      <c r="L3212" s="111"/>
      <c r="M3212" s="111"/>
      <c r="N3212" s="111"/>
      <c r="O3212" s="111"/>
      <c r="P3212" s="111"/>
      <c r="Q3212" s="111"/>
      <c r="R3212" s="111"/>
    </row>
    <row r="3213" spans="2:18" s="108" customFormat="1">
      <c r="B3213" s="97"/>
      <c r="C3213" s="110"/>
      <c r="D3213" s="109"/>
      <c r="E3213" s="97"/>
      <c r="F3213" s="97"/>
      <c r="G3213" s="109"/>
      <c r="H3213" s="109"/>
      <c r="I3213" s="97"/>
      <c r="J3213" s="97"/>
      <c r="K3213" s="83"/>
      <c r="L3213" s="111"/>
      <c r="M3213" s="111"/>
      <c r="N3213" s="111"/>
      <c r="O3213" s="111"/>
      <c r="P3213" s="111"/>
      <c r="Q3213" s="111"/>
      <c r="R3213" s="111"/>
    </row>
    <row r="3214" spans="2:18" s="108" customFormat="1">
      <c r="B3214" s="97"/>
      <c r="C3214" s="110"/>
      <c r="D3214" s="109"/>
      <c r="E3214" s="97"/>
      <c r="F3214" s="97"/>
      <c r="G3214" s="109"/>
      <c r="H3214" s="109"/>
      <c r="I3214" s="97"/>
      <c r="J3214" s="97"/>
      <c r="K3214" s="83"/>
      <c r="L3214" s="111"/>
      <c r="M3214" s="111"/>
      <c r="N3214" s="111"/>
      <c r="O3214" s="111"/>
      <c r="P3214" s="111"/>
      <c r="Q3214" s="111"/>
      <c r="R3214" s="111"/>
    </row>
    <row r="3215" spans="2:18" s="108" customFormat="1">
      <c r="B3215" s="97"/>
      <c r="C3215" s="110"/>
      <c r="D3215" s="109"/>
      <c r="E3215" s="97"/>
      <c r="F3215" s="97"/>
      <c r="G3215" s="109"/>
      <c r="H3215" s="109"/>
      <c r="I3215" s="97"/>
      <c r="J3215" s="97"/>
      <c r="K3215" s="83"/>
      <c r="L3215" s="111"/>
      <c r="M3215" s="111"/>
      <c r="N3215" s="111"/>
      <c r="O3215" s="111"/>
      <c r="P3215" s="111"/>
      <c r="Q3215" s="111"/>
      <c r="R3215" s="111"/>
    </row>
    <row r="3216" spans="2:18" s="108" customFormat="1">
      <c r="B3216" s="97"/>
      <c r="C3216" s="110"/>
      <c r="D3216" s="109"/>
      <c r="E3216" s="97"/>
      <c r="F3216" s="97"/>
      <c r="G3216" s="109"/>
      <c r="H3216" s="109"/>
      <c r="I3216" s="97"/>
      <c r="J3216" s="97"/>
      <c r="K3216" s="83"/>
      <c r="L3216" s="111"/>
      <c r="M3216" s="111"/>
      <c r="N3216" s="111"/>
      <c r="O3216" s="111"/>
      <c r="P3216" s="111"/>
      <c r="Q3216" s="111"/>
      <c r="R3216" s="111"/>
    </row>
    <row r="3217" spans="2:18" s="108" customFormat="1">
      <c r="B3217" s="97"/>
      <c r="C3217" s="110"/>
      <c r="D3217" s="109"/>
      <c r="E3217" s="97"/>
      <c r="F3217" s="97"/>
      <c r="G3217" s="109"/>
      <c r="H3217" s="109"/>
      <c r="I3217" s="97"/>
      <c r="J3217" s="97"/>
      <c r="K3217" s="83"/>
      <c r="L3217" s="111"/>
      <c r="M3217" s="111"/>
      <c r="N3217" s="111"/>
      <c r="O3217" s="111"/>
      <c r="P3217" s="111"/>
      <c r="Q3217" s="111"/>
      <c r="R3217" s="111"/>
    </row>
    <row r="3218" spans="2:18" s="108" customFormat="1">
      <c r="B3218" s="97"/>
      <c r="C3218" s="110"/>
      <c r="D3218" s="109"/>
      <c r="E3218" s="97"/>
      <c r="F3218" s="97"/>
      <c r="G3218" s="109"/>
      <c r="H3218" s="109"/>
      <c r="I3218" s="97"/>
      <c r="J3218" s="97"/>
      <c r="K3218" s="83"/>
      <c r="L3218" s="111"/>
      <c r="M3218" s="111"/>
      <c r="N3218" s="111"/>
      <c r="O3218" s="111"/>
      <c r="P3218" s="111"/>
      <c r="Q3218" s="111"/>
      <c r="R3218" s="111"/>
    </row>
    <row r="3219" spans="2:18" s="108" customFormat="1">
      <c r="B3219" s="97"/>
      <c r="C3219" s="110"/>
      <c r="D3219" s="109"/>
      <c r="E3219" s="97"/>
      <c r="F3219" s="97"/>
      <c r="G3219" s="109"/>
      <c r="H3219" s="109"/>
      <c r="I3219" s="97"/>
      <c r="J3219" s="97"/>
      <c r="K3219" s="83"/>
      <c r="L3219" s="111"/>
      <c r="M3219" s="111"/>
      <c r="N3219" s="111"/>
      <c r="O3219" s="111"/>
      <c r="P3219" s="111"/>
      <c r="Q3219" s="111"/>
      <c r="R3219" s="111"/>
    </row>
    <row r="3220" spans="2:18" s="108" customFormat="1">
      <c r="B3220" s="97"/>
      <c r="C3220" s="110"/>
      <c r="D3220" s="109"/>
      <c r="E3220" s="97"/>
      <c r="F3220" s="97"/>
      <c r="G3220" s="109"/>
      <c r="H3220" s="109"/>
      <c r="I3220" s="97"/>
      <c r="J3220" s="97"/>
      <c r="K3220" s="83"/>
      <c r="L3220" s="111"/>
      <c r="M3220" s="111"/>
      <c r="N3220" s="111"/>
      <c r="O3220" s="111"/>
      <c r="P3220" s="111"/>
      <c r="Q3220" s="111"/>
      <c r="R3220" s="111"/>
    </row>
    <row r="3221" spans="2:18" s="108" customFormat="1">
      <c r="B3221" s="97"/>
      <c r="C3221" s="110"/>
      <c r="D3221" s="109"/>
      <c r="E3221" s="97"/>
      <c r="F3221" s="97"/>
      <c r="G3221" s="109"/>
      <c r="H3221" s="109"/>
      <c r="I3221" s="97"/>
      <c r="J3221" s="97"/>
      <c r="K3221" s="83"/>
      <c r="L3221" s="111"/>
      <c r="M3221" s="111"/>
      <c r="N3221" s="111"/>
      <c r="O3221" s="111"/>
      <c r="P3221" s="111"/>
      <c r="Q3221" s="111"/>
      <c r="R3221" s="111"/>
    </row>
    <row r="3222" spans="2:18" s="108" customFormat="1">
      <c r="B3222" s="97"/>
      <c r="C3222" s="110"/>
      <c r="D3222" s="109"/>
      <c r="E3222" s="97"/>
      <c r="F3222" s="97"/>
      <c r="G3222" s="109"/>
      <c r="H3222" s="109"/>
      <c r="I3222" s="97"/>
      <c r="J3222" s="97"/>
      <c r="K3222" s="83"/>
      <c r="L3222" s="111"/>
      <c r="M3222" s="111"/>
      <c r="N3222" s="111"/>
      <c r="O3222" s="111"/>
      <c r="P3222" s="111"/>
      <c r="Q3222" s="111"/>
      <c r="R3222" s="111"/>
    </row>
    <row r="3223" spans="2:18" s="108" customFormat="1">
      <c r="B3223" s="97"/>
      <c r="C3223" s="110"/>
      <c r="D3223" s="109"/>
      <c r="E3223" s="97"/>
      <c r="F3223" s="97"/>
      <c r="G3223" s="109"/>
      <c r="H3223" s="109"/>
      <c r="I3223" s="97"/>
      <c r="J3223" s="97"/>
      <c r="K3223" s="83"/>
      <c r="L3223" s="111"/>
      <c r="M3223" s="111"/>
      <c r="N3223" s="111"/>
      <c r="O3223" s="111"/>
      <c r="P3223" s="111"/>
      <c r="Q3223" s="111"/>
      <c r="R3223" s="111"/>
    </row>
    <row r="3224" spans="2:18" s="108" customFormat="1">
      <c r="B3224" s="97"/>
      <c r="C3224" s="110"/>
      <c r="D3224" s="109"/>
      <c r="E3224" s="97"/>
      <c r="F3224" s="97"/>
      <c r="G3224" s="109"/>
      <c r="H3224" s="109"/>
      <c r="I3224" s="97"/>
      <c r="J3224" s="97"/>
      <c r="K3224" s="83"/>
      <c r="L3224" s="111"/>
      <c r="M3224" s="111"/>
      <c r="N3224" s="111"/>
      <c r="O3224" s="111"/>
      <c r="P3224" s="111"/>
      <c r="Q3224" s="111"/>
      <c r="R3224" s="111"/>
    </row>
    <row r="3225" spans="2:18" s="108" customFormat="1">
      <c r="B3225" s="97"/>
      <c r="C3225" s="110"/>
      <c r="D3225" s="109"/>
      <c r="E3225" s="97"/>
      <c r="F3225" s="97"/>
      <c r="G3225" s="109"/>
      <c r="H3225" s="109"/>
      <c r="I3225" s="97"/>
      <c r="J3225" s="97"/>
      <c r="K3225" s="83"/>
      <c r="L3225" s="111"/>
      <c r="M3225" s="111"/>
      <c r="N3225" s="111"/>
      <c r="O3225" s="111"/>
      <c r="P3225" s="111"/>
      <c r="Q3225" s="111"/>
      <c r="R3225" s="111"/>
    </row>
    <row r="3226" spans="2:18" s="108" customFormat="1">
      <c r="B3226" s="97"/>
      <c r="C3226" s="110"/>
      <c r="D3226" s="109"/>
      <c r="E3226" s="97"/>
      <c r="F3226" s="97"/>
      <c r="G3226" s="109"/>
      <c r="H3226" s="109"/>
      <c r="I3226" s="97"/>
      <c r="J3226" s="97"/>
      <c r="K3226" s="83"/>
      <c r="L3226" s="111"/>
      <c r="M3226" s="111"/>
      <c r="N3226" s="111"/>
      <c r="O3226" s="111"/>
      <c r="P3226" s="111"/>
      <c r="Q3226" s="111"/>
      <c r="R3226" s="111"/>
    </row>
    <row r="3227" spans="2:18" s="108" customFormat="1">
      <c r="B3227" s="97"/>
      <c r="C3227" s="110"/>
      <c r="D3227" s="109"/>
      <c r="E3227" s="97"/>
      <c r="F3227" s="97"/>
      <c r="G3227" s="109"/>
      <c r="H3227" s="109"/>
      <c r="I3227" s="97"/>
      <c r="J3227" s="97"/>
      <c r="K3227" s="83"/>
      <c r="L3227" s="111"/>
      <c r="M3227" s="111"/>
      <c r="N3227" s="111"/>
      <c r="O3227" s="111"/>
      <c r="P3227" s="111"/>
      <c r="Q3227" s="111"/>
      <c r="R3227" s="111"/>
    </row>
    <row r="3228" spans="2:18" s="108" customFormat="1">
      <c r="B3228" s="97"/>
      <c r="C3228" s="110"/>
      <c r="D3228" s="109"/>
      <c r="E3228" s="97"/>
      <c r="F3228" s="97"/>
      <c r="G3228" s="109"/>
      <c r="H3228" s="109"/>
      <c r="I3228" s="97"/>
      <c r="J3228" s="97"/>
      <c r="K3228" s="83"/>
      <c r="L3228" s="111"/>
      <c r="M3228" s="111"/>
      <c r="N3228" s="111"/>
      <c r="O3228" s="111"/>
      <c r="P3228" s="111"/>
      <c r="Q3228" s="111"/>
      <c r="R3228" s="111"/>
    </row>
    <row r="3229" spans="2:18" s="108" customFormat="1">
      <c r="B3229" s="97"/>
      <c r="C3229" s="110"/>
      <c r="D3229" s="109"/>
      <c r="E3229" s="97"/>
      <c r="F3229" s="97"/>
      <c r="G3229" s="109"/>
      <c r="H3229" s="109"/>
      <c r="I3229" s="97"/>
      <c r="J3229" s="97"/>
      <c r="K3229" s="83"/>
      <c r="L3229" s="111"/>
      <c r="M3229" s="111"/>
      <c r="N3229" s="111"/>
      <c r="O3229" s="111"/>
      <c r="P3229" s="111"/>
      <c r="Q3229" s="111"/>
      <c r="R3229" s="111"/>
    </row>
    <row r="3230" spans="2:18" s="108" customFormat="1">
      <c r="B3230" s="97"/>
      <c r="C3230" s="110"/>
      <c r="D3230" s="109"/>
      <c r="E3230" s="97"/>
      <c r="F3230" s="97"/>
      <c r="G3230" s="109"/>
      <c r="H3230" s="109"/>
      <c r="I3230" s="97"/>
      <c r="J3230" s="97"/>
      <c r="K3230" s="83"/>
      <c r="L3230" s="111"/>
      <c r="M3230" s="111"/>
      <c r="N3230" s="111"/>
      <c r="O3230" s="111"/>
      <c r="P3230" s="111"/>
      <c r="Q3230" s="111"/>
      <c r="R3230" s="111"/>
    </row>
    <row r="3231" spans="2:18" s="108" customFormat="1">
      <c r="B3231" s="97"/>
      <c r="C3231" s="110"/>
      <c r="D3231" s="109"/>
      <c r="E3231" s="97"/>
      <c r="F3231" s="97"/>
      <c r="G3231" s="109"/>
      <c r="H3231" s="109"/>
      <c r="I3231" s="97"/>
      <c r="J3231" s="97"/>
      <c r="K3231" s="83"/>
      <c r="L3231" s="111"/>
      <c r="M3231" s="111"/>
      <c r="N3231" s="111"/>
      <c r="O3231" s="111"/>
      <c r="P3231" s="111"/>
      <c r="Q3231" s="111"/>
      <c r="R3231" s="111"/>
    </row>
    <row r="3232" spans="2:18" s="108" customFormat="1">
      <c r="B3232" s="97"/>
      <c r="C3232" s="110"/>
      <c r="D3232" s="109"/>
      <c r="E3232" s="97"/>
      <c r="F3232" s="97"/>
      <c r="G3232" s="109"/>
      <c r="H3232" s="109"/>
      <c r="I3232" s="97"/>
      <c r="J3232" s="97"/>
      <c r="K3232" s="83"/>
      <c r="L3232" s="111"/>
      <c r="M3232" s="111"/>
      <c r="N3232" s="111"/>
      <c r="O3232" s="111"/>
      <c r="P3232" s="111"/>
      <c r="Q3232" s="111"/>
      <c r="R3232" s="111"/>
    </row>
    <row r="3233" spans="2:18" s="108" customFormat="1">
      <c r="B3233" s="97"/>
      <c r="C3233" s="110"/>
      <c r="D3233" s="109"/>
      <c r="E3233" s="97"/>
      <c r="F3233" s="97"/>
      <c r="G3233" s="109"/>
      <c r="H3233" s="109"/>
      <c r="I3233" s="97"/>
      <c r="J3233" s="97"/>
      <c r="K3233" s="83"/>
      <c r="L3233" s="111"/>
      <c r="M3233" s="111"/>
      <c r="N3233" s="111"/>
      <c r="O3233" s="111"/>
      <c r="P3233" s="111"/>
      <c r="Q3233" s="111"/>
      <c r="R3233" s="111"/>
    </row>
    <row r="3234" spans="2:18" s="108" customFormat="1">
      <c r="B3234" s="97"/>
      <c r="C3234" s="110"/>
      <c r="D3234" s="109"/>
      <c r="E3234" s="97"/>
      <c r="F3234" s="97"/>
      <c r="G3234" s="109"/>
      <c r="H3234" s="109"/>
      <c r="I3234" s="97"/>
      <c r="J3234" s="97"/>
      <c r="K3234" s="83"/>
      <c r="L3234" s="111"/>
      <c r="M3234" s="111"/>
      <c r="N3234" s="111"/>
      <c r="O3234" s="111"/>
      <c r="P3234" s="111"/>
      <c r="Q3234" s="111"/>
      <c r="R3234" s="111"/>
    </row>
    <row r="3235" spans="2:18" s="108" customFormat="1">
      <c r="B3235" s="97"/>
      <c r="C3235" s="110"/>
      <c r="D3235" s="109"/>
      <c r="E3235" s="97"/>
      <c r="F3235" s="97"/>
      <c r="G3235" s="109"/>
      <c r="H3235" s="109"/>
      <c r="I3235" s="97"/>
      <c r="J3235" s="97"/>
      <c r="K3235" s="83"/>
      <c r="L3235" s="111"/>
      <c r="M3235" s="111"/>
      <c r="N3235" s="111"/>
      <c r="O3235" s="111"/>
      <c r="P3235" s="111"/>
      <c r="Q3235" s="111"/>
      <c r="R3235" s="111"/>
    </row>
    <row r="3236" spans="2:18" s="108" customFormat="1">
      <c r="B3236" s="97"/>
      <c r="C3236" s="110"/>
      <c r="D3236" s="109"/>
      <c r="E3236" s="97"/>
      <c r="F3236" s="97"/>
      <c r="G3236" s="109"/>
      <c r="H3236" s="109"/>
      <c r="I3236" s="97"/>
      <c r="J3236" s="97"/>
      <c r="K3236" s="83"/>
      <c r="L3236" s="111"/>
      <c r="M3236" s="111"/>
      <c r="N3236" s="111"/>
      <c r="O3236" s="111"/>
      <c r="P3236" s="111"/>
      <c r="Q3236" s="111"/>
      <c r="R3236" s="111"/>
    </row>
    <row r="3237" spans="2:18" s="108" customFormat="1">
      <c r="B3237" s="97"/>
      <c r="C3237" s="110"/>
      <c r="D3237" s="109"/>
      <c r="E3237" s="97"/>
      <c r="F3237" s="97"/>
      <c r="G3237" s="109"/>
      <c r="H3237" s="109"/>
      <c r="I3237" s="97"/>
      <c r="J3237" s="97"/>
      <c r="K3237" s="83"/>
      <c r="L3237" s="111"/>
      <c r="M3237" s="111"/>
      <c r="N3237" s="111"/>
      <c r="O3237" s="111"/>
      <c r="P3237" s="111"/>
      <c r="Q3237" s="111"/>
      <c r="R3237" s="111"/>
    </row>
    <row r="3238" spans="2:18" s="108" customFormat="1">
      <c r="B3238" s="97"/>
      <c r="C3238" s="110"/>
      <c r="D3238" s="109"/>
      <c r="E3238" s="97"/>
      <c r="F3238" s="97"/>
      <c r="G3238" s="109"/>
      <c r="H3238" s="109"/>
      <c r="I3238" s="97"/>
      <c r="J3238" s="97"/>
      <c r="K3238" s="83"/>
      <c r="L3238" s="111"/>
      <c r="M3238" s="111"/>
      <c r="N3238" s="111"/>
      <c r="O3238" s="111"/>
      <c r="P3238" s="111"/>
      <c r="Q3238" s="111"/>
      <c r="R3238" s="111"/>
    </row>
    <row r="3239" spans="2:18" s="108" customFormat="1">
      <c r="B3239" s="97"/>
      <c r="C3239" s="110"/>
      <c r="D3239" s="109"/>
      <c r="E3239" s="97"/>
      <c r="F3239" s="97"/>
      <c r="G3239" s="109"/>
      <c r="H3239" s="109"/>
      <c r="I3239" s="97"/>
      <c r="J3239" s="97"/>
      <c r="K3239" s="83"/>
      <c r="L3239" s="111"/>
      <c r="M3239" s="111"/>
      <c r="N3239" s="111"/>
      <c r="O3239" s="111"/>
      <c r="P3239" s="111"/>
      <c r="Q3239" s="111"/>
      <c r="R3239" s="111"/>
    </row>
    <row r="3240" spans="2:18" s="108" customFormat="1">
      <c r="B3240" s="97"/>
      <c r="C3240" s="110"/>
      <c r="D3240" s="109"/>
      <c r="E3240" s="97"/>
      <c r="F3240" s="97"/>
      <c r="G3240" s="109"/>
      <c r="H3240" s="109"/>
      <c r="I3240" s="97"/>
      <c r="J3240" s="97"/>
      <c r="K3240" s="83"/>
      <c r="L3240" s="111"/>
      <c r="M3240" s="111"/>
      <c r="N3240" s="111"/>
      <c r="O3240" s="111"/>
      <c r="P3240" s="111"/>
      <c r="Q3240" s="111"/>
      <c r="R3240" s="111"/>
    </row>
    <row r="3241" spans="2:18" s="108" customFormat="1">
      <c r="B3241" s="97"/>
      <c r="C3241" s="110"/>
      <c r="D3241" s="109"/>
      <c r="E3241" s="97"/>
      <c r="F3241" s="97"/>
      <c r="G3241" s="109"/>
      <c r="H3241" s="109"/>
      <c r="I3241" s="97"/>
      <c r="J3241" s="97"/>
      <c r="K3241" s="83"/>
      <c r="L3241" s="111"/>
      <c r="M3241" s="111"/>
      <c r="N3241" s="111"/>
      <c r="O3241" s="111"/>
      <c r="P3241" s="111"/>
      <c r="Q3241" s="111"/>
      <c r="R3241" s="111"/>
    </row>
    <row r="3242" spans="2:18" s="108" customFormat="1">
      <c r="B3242" s="97"/>
      <c r="C3242" s="110"/>
      <c r="D3242" s="109"/>
      <c r="E3242" s="97"/>
      <c r="F3242" s="97"/>
      <c r="G3242" s="109"/>
      <c r="H3242" s="109"/>
      <c r="I3242" s="97"/>
      <c r="J3242" s="97"/>
      <c r="K3242" s="83"/>
      <c r="L3242" s="111"/>
      <c r="M3242" s="111"/>
      <c r="N3242" s="111"/>
      <c r="O3242" s="111"/>
      <c r="P3242" s="111"/>
      <c r="Q3242" s="111"/>
      <c r="R3242" s="111"/>
    </row>
    <row r="3243" spans="2:18" s="108" customFormat="1">
      <c r="B3243" s="97"/>
      <c r="C3243" s="110"/>
      <c r="D3243" s="109"/>
      <c r="E3243" s="97"/>
      <c r="F3243" s="97"/>
      <c r="G3243" s="109"/>
      <c r="H3243" s="109"/>
      <c r="I3243" s="97"/>
      <c r="J3243" s="97"/>
      <c r="K3243" s="83"/>
      <c r="L3243" s="111"/>
      <c r="M3243" s="111"/>
      <c r="N3243" s="111"/>
      <c r="O3243" s="111"/>
      <c r="P3243" s="111"/>
      <c r="Q3243" s="111"/>
      <c r="R3243" s="111"/>
    </row>
    <row r="3244" spans="2:18" s="108" customFormat="1">
      <c r="B3244" s="97"/>
      <c r="C3244" s="110"/>
      <c r="D3244" s="109"/>
      <c r="E3244" s="97"/>
      <c r="F3244" s="97"/>
      <c r="G3244" s="109"/>
      <c r="H3244" s="109"/>
      <c r="I3244" s="97"/>
      <c r="J3244" s="97"/>
      <c r="K3244" s="83"/>
      <c r="L3244" s="111"/>
      <c r="M3244" s="111"/>
      <c r="N3244" s="111"/>
      <c r="O3244" s="111"/>
      <c r="P3244" s="111"/>
      <c r="Q3244" s="111"/>
      <c r="R3244" s="111"/>
    </row>
    <row r="3245" spans="2:18" s="108" customFormat="1">
      <c r="B3245" s="97"/>
      <c r="C3245" s="110"/>
      <c r="D3245" s="109"/>
      <c r="E3245" s="97"/>
      <c r="F3245" s="97"/>
      <c r="G3245" s="109"/>
      <c r="H3245" s="109"/>
      <c r="I3245" s="97"/>
      <c r="J3245" s="97"/>
      <c r="K3245" s="83"/>
      <c r="L3245" s="111"/>
      <c r="M3245" s="111"/>
      <c r="N3245" s="111"/>
      <c r="O3245" s="111"/>
      <c r="P3245" s="111"/>
      <c r="Q3245" s="111"/>
      <c r="R3245" s="111"/>
    </row>
    <row r="3246" spans="2:18" s="108" customFormat="1">
      <c r="B3246" s="97"/>
      <c r="C3246" s="110"/>
      <c r="D3246" s="109"/>
      <c r="E3246" s="97"/>
      <c r="F3246" s="97"/>
      <c r="G3246" s="109"/>
      <c r="H3246" s="109"/>
      <c r="I3246" s="97"/>
      <c r="J3246" s="97"/>
      <c r="K3246" s="83"/>
      <c r="L3246" s="111"/>
      <c r="M3246" s="111"/>
      <c r="N3246" s="111"/>
      <c r="O3246" s="111"/>
      <c r="P3246" s="111"/>
      <c r="Q3246" s="111"/>
      <c r="R3246" s="111"/>
    </row>
    <row r="3247" spans="2:18" s="108" customFormat="1">
      <c r="B3247" s="97"/>
      <c r="C3247" s="110"/>
      <c r="D3247" s="109"/>
      <c r="E3247" s="97"/>
      <c r="F3247" s="97"/>
      <c r="G3247" s="109"/>
      <c r="H3247" s="109"/>
      <c r="I3247" s="97"/>
      <c r="J3247" s="97"/>
      <c r="K3247" s="83"/>
      <c r="L3247" s="111"/>
      <c r="M3247" s="111"/>
      <c r="N3247" s="111"/>
      <c r="O3247" s="111"/>
      <c r="P3247" s="111"/>
      <c r="Q3247" s="111"/>
      <c r="R3247" s="111"/>
    </row>
    <row r="3248" spans="2:18" s="108" customFormat="1">
      <c r="B3248" s="97"/>
      <c r="C3248" s="110"/>
      <c r="D3248" s="109"/>
      <c r="E3248" s="97"/>
      <c r="F3248" s="97"/>
      <c r="G3248" s="109"/>
      <c r="H3248" s="109"/>
      <c r="I3248" s="97"/>
      <c r="J3248" s="97"/>
      <c r="K3248" s="83"/>
      <c r="L3248" s="111"/>
      <c r="M3248" s="111"/>
      <c r="N3248" s="111"/>
      <c r="O3248" s="111"/>
      <c r="P3248" s="111"/>
      <c r="Q3248" s="111"/>
      <c r="R3248" s="111"/>
    </row>
    <row r="3249" spans="2:18" s="108" customFormat="1">
      <c r="B3249" s="97"/>
      <c r="C3249" s="110"/>
      <c r="D3249" s="109"/>
      <c r="E3249" s="97"/>
      <c r="F3249" s="97"/>
      <c r="G3249" s="109"/>
      <c r="H3249" s="109"/>
      <c r="I3249" s="97"/>
      <c r="J3249" s="97"/>
      <c r="K3249" s="83"/>
      <c r="L3249" s="111"/>
      <c r="M3249" s="111"/>
      <c r="N3249" s="111"/>
      <c r="O3249" s="111"/>
      <c r="P3249" s="111"/>
      <c r="Q3249" s="111"/>
      <c r="R3249" s="111"/>
    </row>
    <row r="3250" spans="2:18" s="108" customFormat="1">
      <c r="B3250" s="97"/>
      <c r="C3250" s="110"/>
      <c r="D3250" s="109"/>
      <c r="E3250" s="97"/>
      <c r="F3250" s="97"/>
      <c r="G3250" s="109"/>
      <c r="H3250" s="109"/>
      <c r="I3250" s="97"/>
      <c r="J3250" s="97"/>
      <c r="K3250" s="83"/>
      <c r="L3250" s="111"/>
      <c r="M3250" s="111"/>
      <c r="N3250" s="111"/>
      <c r="O3250" s="111"/>
      <c r="P3250" s="111"/>
      <c r="Q3250" s="111"/>
      <c r="R3250" s="111"/>
    </row>
    <row r="3251" spans="2:18" s="108" customFormat="1">
      <c r="B3251" s="97"/>
      <c r="C3251" s="110"/>
      <c r="D3251" s="109"/>
      <c r="E3251" s="97"/>
      <c r="F3251" s="97"/>
      <c r="G3251" s="109"/>
      <c r="H3251" s="109"/>
      <c r="I3251" s="97"/>
      <c r="J3251" s="97"/>
      <c r="K3251" s="83"/>
      <c r="L3251" s="111"/>
      <c r="M3251" s="111"/>
      <c r="N3251" s="111"/>
      <c r="O3251" s="111"/>
      <c r="P3251" s="111"/>
      <c r="Q3251" s="111"/>
      <c r="R3251" s="111"/>
    </row>
    <row r="3252" spans="2:18" s="108" customFormat="1">
      <c r="B3252" s="97"/>
      <c r="C3252" s="110"/>
      <c r="D3252" s="109"/>
      <c r="E3252" s="97"/>
      <c r="F3252" s="97"/>
      <c r="G3252" s="109"/>
      <c r="H3252" s="109"/>
      <c r="I3252" s="97"/>
      <c r="J3252" s="97"/>
      <c r="K3252" s="83"/>
      <c r="L3252" s="111"/>
      <c r="M3252" s="111"/>
      <c r="N3252" s="111"/>
      <c r="O3252" s="111"/>
      <c r="P3252" s="111"/>
      <c r="Q3252" s="111"/>
      <c r="R3252" s="111"/>
    </row>
    <row r="3253" spans="2:18" s="108" customFormat="1">
      <c r="B3253" s="97"/>
      <c r="C3253" s="110"/>
      <c r="D3253" s="109"/>
      <c r="E3253" s="97"/>
      <c r="F3253" s="97"/>
      <c r="G3253" s="109"/>
      <c r="H3253" s="109"/>
      <c r="I3253" s="97"/>
      <c r="J3253" s="97"/>
      <c r="K3253" s="83"/>
      <c r="L3253" s="111"/>
      <c r="M3253" s="111"/>
      <c r="N3253" s="111"/>
      <c r="O3253" s="111"/>
      <c r="P3253" s="111"/>
      <c r="Q3253" s="111"/>
      <c r="R3253" s="111"/>
    </row>
    <row r="3254" spans="2:18" s="108" customFormat="1">
      <c r="B3254" s="97"/>
      <c r="C3254" s="110"/>
      <c r="D3254" s="109"/>
      <c r="E3254" s="97"/>
      <c r="F3254" s="97"/>
      <c r="G3254" s="109"/>
      <c r="H3254" s="109"/>
      <c r="I3254" s="97"/>
      <c r="J3254" s="97"/>
      <c r="K3254" s="83"/>
      <c r="L3254" s="111"/>
      <c r="M3254" s="111"/>
      <c r="N3254" s="111"/>
      <c r="O3254" s="111"/>
      <c r="P3254" s="111"/>
      <c r="Q3254" s="111"/>
      <c r="R3254" s="111"/>
    </row>
    <row r="3255" spans="2:18" s="108" customFormat="1">
      <c r="B3255" s="97"/>
      <c r="C3255" s="110"/>
      <c r="D3255" s="109"/>
      <c r="E3255" s="97"/>
      <c r="F3255" s="97"/>
      <c r="G3255" s="109"/>
      <c r="H3255" s="109"/>
      <c r="I3255" s="97"/>
      <c r="J3255" s="97"/>
      <c r="K3255" s="83"/>
      <c r="L3255" s="111"/>
      <c r="M3255" s="111"/>
      <c r="N3255" s="111"/>
      <c r="O3255" s="111"/>
      <c r="P3255" s="111"/>
      <c r="Q3255" s="111"/>
      <c r="R3255" s="111"/>
    </row>
    <row r="3256" spans="2:18" s="108" customFormat="1">
      <c r="B3256" s="97"/>
      <c r="C3256" s="110"/>
      <c r="D3256" s="109"/>
      <c r="E3256" s="97"/>
      <c r="F3256" s="97"/>
      <c r="G3256" s="109"/>
      <c r="H3256" s="109"/>
      <c r="I3256" s="97"/>
      <c r="J3256" s="97"/>
      <c r="K3256" s="83"/>
      <c r="L3256" s="111"/>
      <c r="M3256" s="111"/>
      <c r="N3256" s="111"/>
      <c r="O3256" s="111"/>
      <c r="P3256" s="111"/>
      <c r="Q3256" s="111"/>
      <c r="R3256" s="111"/>
    </row>
    <row r="3257" spans="2:18" s="108" customFormat="1">
      <c r="B3257" s="97"/>
      <c r="C3257" s="110"/>
      <c r="D3257" s="109"/>
      <c r="E3257" s="97"/>
      <c r="F3257" s="97"/>
      <c r="G3257" s="109"/>
      <c r="H3257" s="109"/>
      <c r="I3257" s="97"/>
      <c r="J3257" s="97"/>
      <c r="K3257" s="83"/>
      <c r="L3257" s="111"/>
      <c r="M3257" s="111"/>
      <c r="N3257" s="111"/>
      <c r="O3257" s="111"/>
      <c r="P3257" s="111"/>
      <c r="Q3257" s="111"/>
      <c r="R3257" s="111"/>
    </row>
    <row r="3258" spans="2:18" s="108" customFormat="1">
      <c r="B3258" s="97"/>
      <c r="C3258" s="110"/>
      <c r="D3258" s="109"/>
      <c r="E3258" s="97"/>
      <c r="F3258" s="97"/>
      <c r="G3258" s="109"/>
      <c r="H3258" s="109"/>
      <c r="I3258" s="97"/>
      <c r="J3258" s="97"/>
      <c r="K3258" s="83"/>
      <c r="L3258" s="111"/>
      <c r="M3258" s="111"/>
      <c r="N3258" s="111"/>
      <c r="O3258" s="111"/>
      <c r="P3258" s="111"/>
      <c r="Q3258" s="111"/>
      <c r="R3258" s="111"/>
    </row>
    <row r="3259" spans="2:18" s="108" customFormat="1">
      <c r="B3259" s="97"/>
      <c r="C3259" s="110"/>
      <c r="D3259" s="109"/>
      <c r="E3259" s="97"/>
      <c r="F3259" s="97"/>
      <c r="G3259" s="109"/>
      <c r="H3259" s="109"/>
      <c r="I3259" s="97"/>
      <c r="J3259" s="97"/>
      <c r="K3259" s="83"/>
      <c r="L3259" s="111"/>
      <c r="M3259" s="111"/>
      <c r="N3259" s="111"/>
      <c r="O3259" s="111"/>
      <c r="P3259" s="111"/>
      <c r="Q3259" s="111"/>
      <c r="R3259" s="111"/>
    </row>
    <row r="3260" spans="2:18" s="108" customFormat="1">
      <c r="B3260" s="97"/>
      <c r="C3260" s="110"/>
      <c r="D3260" s="109"/>
      <c r="E3260" s="97"/>
      <c r="F3260" s="97"/>
      <c r="G3260" s="109"/>
      <c r="H3260" s="109"/>
      <c r="I3260" s="97"/>
      <c r="J3260" s="97"/>
      <c r="K3260" s="83"/>
      <c r="L3260" s="111"/>
      <c r="M3260" s="111"/>
      <c r="N3260" s="111"/>
      <c r="O3260" s="111"/>
      <c r="P3260" s="111"/>
      <c r="Q3260" s="111"/>
      <c r="R3260" s="111"/>
    </row>
    <row r="3261" spans="2:18" s="108" customFormat="1">
      <c r="B3261" s="97"/>
      <c r="C3261" s="110"/>
      <c r="D3261" s="109"/>
      <c r="E3261" s="97"/>
      <c r="F3261" s="97"/>
      <c r="G3261" s="109"/>
      <c r="H3261" s="109"/>
      <c r="I3261" s="97"/>
      <c r="J3261" s="97"/>
      <c r="K3261" s="83"/>
      <c r="L3261" s="111"/>
      <c r="M3261" s="111"/>
      <c r="N3261" s="111"/>
      <c r="O3261" s="111"/>
      <c r="P3261" s="111"/>
      <c r="Q3261" s="111"/>
      <c r="R3261" s="111"/>
    </row>
    <row r="3262" spans="2:18" s="108" customFormat="1">
      <c r="B3262" s="97"/>
      <c r="C3262" s="110"/>
      <c r="D3262" s="109"/>
      <c r="E3262" s="97"/>
      <c r="F3262" s="97"/>
      <c r="G3262" s="109"/>
      <c r="H3262" s="109"/>
      <c r="I3262" s="97"/>
      <c r="J3262" s="97"/>
      <c r="K3262" s="83"/>
      <c r="L3262" s="111"/>
      <c r="M3262" s="111"/>
      <c r="N3262" s="111"/>
      <c r="O3262" s="111"/>
      <c r="P3262" s="111"/>
      <c r="Q3262" s="111"/>
      <c r="R3262" s="111"/>
    </row>
    <row r="3263" spans="2:18" s="108" customFormat="1">
      <c r="B3263" s="97"/>
      <c r="C3263" s="110"/>
      <c r="D3263" s="109"/>
      <c r="E3263" s="97"/>
      <c r="F3263" s="97"/>
      <c r="G3263" s="109"/>
      <c r="H3263" s="109"/>
      <c r="I3263" s="97"/>
      <c r="J3263" s="97"/>
      <c r="K3263" s="83"/>
      <c r="L3263" s="111"/>
      <c r="M3263" s="111"/>
      <c r="N3263" s="111"/>
      <c r="O3263" s="111"/>
      <c r="P3263" s="111"/>
      <c r="Q3263" s="111"/>
      <c r="R3263" s="111"/>
    </row>
    <row r="3264" spans="2:18" s="108" customFormat="1">
      <c r="B3264" s="97"/>
      <c r="C3264" s="110"/>
      <c r="D3264" s="109"/>
      <c r="E3264" s="97"/>
      <c r="F3264" s="97"/>
      <c r="G3264" s="109"/>
      <c r="H3264" s="109"/>
      <c r="I3264" s="97"/>
      <c r="J3264" s="97"/>
      <c r="K3264" s="83"/>
      <c r="L3264" s="111"/>
      <c r="M3264" s="111"/>
      <c r="N3264" s="111"/>
      <c r="O3264" s="111"/>
      <c r="P3264" s="111"/>
      <c r="Q3264" s="111"/>
      <c r="R3264" s="111"/>
    </row>
    <row r="3265" spans="2:18" s="108" customFormat="1">
      <c r="B3265" s="97"/>
      <c r="C3265" s="110"/>
      <c r="D3265" s="109"/>
      <c r="E3265" s="97"/>
      <c r="F3265" s="97"/>
      <c r="G3265" s="109"/>
      <c r="H3265" s="109"/>
      <c r="I3265" s="97"/>
      <c r="J3265" s="97"/>
      <c r="K3265" s="83"/>
      <c r="L3265" s="111"/>
      <c r="M3265" s="111"/>
      <c r="N3265" s="111"/>
      <c r="O3265" s="111"/>
      <c r="P3265" s="111"/>
      <c r="Q3265" s="111"/>
      <c r="R3265" s="111"/>
    </row>
    <row r="3266" spans="2:18" s="108" customFormat="1">
      <c r="B3266" s="97"/>
      <c r="C3266" s="110"/>
      <c r="D3266" s="109"/>
      <c r="E3266" s="97"/>
      <c r="F3266" s="97"/>
      <c r="G3266" s="109"/>
      <c r="H3266" s="109"/>
      <c r="I3266" s="97"/>
      <c r="J3266" s="97"/>
      <c r="K3266" s="83"/>
      <c r="L3266" s="111"/>
      <c r="M3266" s="111"/>
      <c r="N3266" s="111"/>
      <c r="O3266" s="111"/>
      <c r="P3266" s="111"/>
      <c r="Q3266" s="111"/>
      <c r="R3266" s="111"/>
    </row>
    <row r="3267" spans="2:18" s="108" customFormat="1">
      <c r="B3267" s="97"/>
      <c r="C3267" s="110"/>
      <c r="D3267" s="109"/>
      <c r="E3267" s="97"/>
      <c r="F3267" s="97"/>
      <c r="G3267" s="109"/>
      <c r="H3267" s="109"/>
      <c r="I3267" s="97"/>
      <c r="J3267" s="97"/>
      <c r="K3267" s="83"/>
      <c r="L3267" s="111"/>
      <c r="M3267" s="111"/>
      <c r="N3267" s="111"/>
      <c r="O3267" s="111"/>
      <c r="P3267" s="111"/>
      <c r="Q3267" s="111"/>
      <c r="R3267" s="111"/>
    </row>
    <row r="3268" spans="2:18" s="108" customFormat="1">
      <c r="B3268" s="97"/>
      <c r="C3268" s="110"/>
      <c r="D3268" s="109"/>
      <c r="E3268" s="97"/>
      <c r="F3268" s="97"/>
      <c r="G3268" s="109"/>
      <c r="H3268" s="109"/>
      <c r="I3268" s="97"/>
      <c r="J3268" s="97"/>
      <c r="K3268" s="83"/>
      <c r="L3268" s="111"/>
      <c r="M3268" s="111"/>
      <c r="N3268" s="111"/>
      <c r="O3268" s="111"/>
      <c r="P3268" s="111"/>
      <c r="Q3268" s="111"/>
      <c r="R3268" s="111"/>
    </row>
    <row r="3269" spans="2:18" s="108" customFormat="1">
      <c r="B3269" s="97"/>
      <c r="C3269" s="110"/>
      <c r="D3269" s="109"/>
      <c r="E3269" s="97"/>
      <c r="F3269" s="97"/>
      <c r="G3269" s="109"/>
      <c r="H3269" s="109"/>
      <c r="I3269" s="97"/>
      <c r="J3269" s="97"/>
      <c r="K3269" s="83"/>
      <c r="L3269" s="111"/>
      <c r="M3269" s="111"/>
      <c r="N3269" s="111"/>
      <c r="O3269" s="111"/>
      <c r="P3269" s="111"/>
      <c r="Q3269" s="111"/>
      <c r="R3269" s="111"/>
    </row>
    <row r="3270" spans="2:18" s="108" customFormat="1">
      <c r="B3270" s="97"/>
      <c r="C3270" s="110"/>
      <c r="D3270" s="109"/>
      <c r="E3270" s="97"/>
      <c r="F3270" s="97"/>
      <c r="G3270" s="109"/>
      <c r="H3270" s="109"/>
      <c r="I3270" s="97"/>
      <c r="J3270" s="97"/>
      <c r="K3270" s="83"/>
      <c r="L3270" s="111"/>
      <c r="M3270" s="111"/>
      <c r="N3270" s="111"/>
      <c r="O3270" s="111"/>
      <c r="P3270" s="111"/>
      <c r="Q3270" s="111"/>
      <c r="R3270" s="111"/>
    </row>
    <row r="3271" spans="2:18" s="108" customFormat="1">
      <c r="B3271" s="97"/>
      <c r="C3271" s="110"/>
      <c r="D3271" s="109"/>
      <c r="E3271" s="97"/>
      <c r="F3271" s="97"/>
      <c r="G3271" s="109"/>
      <c r="H3271" s="109"/>
      <c r="I3271" s="97"/>
      <c r="J3271" s="97"/>
      <c r="K3271" s="83"/>
      <c r="L3271" s="111"/>
      <c r="M3271" s="111"/>
      <c r="N3271" s="111"/>
      <c r="O3271" s="111"/>
      <c r="P3271" s="111"/>
      <c r="Q3271" s="111"/>
      <c r="R3271" s="111"/>
    </row>
    <row r="3272" spans="2:18" s="108" customFormat="1">
      <c r="B3272" s="97"/>
      <c r="C3272" s="110"/>
      <c r="D3272" s="109"/>
      <c r="E3272" s="97"/>
      <c r="F3272" s="97"/>
      <c r="G3272" s="109"/>
      <c r="H3272" s="109"/>
      <c r="I3272" s="97"/>
      <c r="J3272" s="97"/>
      <c r="K3272" s="83"/>
      <c r="L3272" s="111"/>
      <c r="M3272" s="111"/>
      <c r="N3272" s="111"/>
      <c r="O3272" s="111"/>
      <c r="P3272" s="111"/>
      <c r="Q3272" s="111"/>
      <c r="R3272" s="111"/>
    </row>
    <row r="3273" spans="2:18" s="108" customFormat="1">
      <c r="B3273" s="97"/>
      <c r="C3273" s="110"/>
      <c r="D3273" s="109"/>
      <c r="E3273" s="97"/>
      <c r="F3273" s="97"/>
      <c r="G3273" s="109"/>
      <c r="H3273" s="109"/>
      <c r="I3273" s="97"/>
      <c r="J3273" s="97"/>
      <c r="K3273" s="83"/>
      <c r="L3273" s="111"/>
      <c r="M3273" s="111"/>
      <c r="N3273" s="111"/>
      <c r="O3273" s="111"/>
      <c r="P3273" s="111"/>
      <c r="Q3273" s="111"/>
      <c r="R3273" s="111"/>
    </row>
    <row r="3274" spans="2:18" s="108" customFormat="1">
      <c r="B3274" s="97"/>
      <c r="C3274" s="110"/>
      <c r="D3274" s="109"/>
      <c r="E3274" s="97"/>
      <c r="F3274" s="97"/>
      <c r="G3274" s="109"/>
      <c r="H3274" s="109"/>
      <c r="I3274" s="97"/>
      <c r="J3274" s="97"/>
      <c r="K3274" s="83"/>
      <c r="L3274" s="111"/>
      <c r="M3274" s="111"/>
      <c r="N3274" s="111"/>
      <c r="O3274" s="111"/>
      <c r="P3274" s="111"/>
      <c r="Q3274" s="111"/>
      <c r="R3274" s="111"/>
    </row>
    <row r="3275" spans="2:18" s="108" customFormat="1">
      <c r="B3275" s="97"/>
      <c r="C3275" s="110"/>
      <c r="D3275" s="109"/>
      <c r="E3275" s="97"/>
      <c r="F3275" s="97"/>
      <c r="G3275" s="109"/>
      <c r="H3275" s="109"/>
      <c r="I3275" s="97"/>
      <c r="J3275" s="97"/>
      <c r="K3275" s="83"/>
      <c r="L3275" s="111"/>
      <c r="M3275" s="111"/>
      <c r="N3275" s="111"/>
      <c r="O3275" s="111"/>
      <c r="P3275" s="111"/>
      <c r="Q3275" s="111"/>
      <c r="R3275" s="111"/>
    </row>
    <row r="3276" spans="2:18" s="108" customFormat="1">
      <c r="B3276" s="97"/>
      <c r="C3276" s="110"/>
      <c r="D3276" s="109"/>
      <c r="E3276" s="97"/>
      <c r="F3276" s="97"/>
      <c r="G3276" s="109"/>
      <c r="H3276" s="109"/>
      <c r="I3276" s="97"/>
      <c r="J3276" s="97"/>
      <c r="K3276" s="83"/>
      <c r="L3276" s="111"/>
      <c r="M3276" s="111"/>
      <c r="N3276" s="111"/>
      <c r="O3276" s="111"/>
      <c r="P3276" s="111"/>
      <c r="Q3276" s="111"/>
      <c r="R3276" s="111"/>
    </row>
    <row r="3277" spans="2:18" s="108" customFormat="1">
      <c r="B3277" s="97"/>
      <c r="C3277" s="110"/>
      <c r="D3277" s="109"/>
      <c r="E3277" s="97"/>
      <c r="F3277" s="97"/>
      <c r="G3277" s="109"/>
      <c r="H3277" s="109"/>
      <c r="I3277" s="97"/>
      <c r="J3277" s="97"/>
      <c r="K3277" s="83"/>
      <c r="L3277" s="111"/>
      <c r="M3277" s="111"/>
      <c r="N3277" s="111"/>
      <c r="O3277" s="111"/>
      <c r="P3277" s="111"/>
      <c r="Q3277" s="111"/>
      <c r="R3277" s="111"/>
    </row>
    <row r="3278" spans="2:18" s="108" customFormat="1">
      <c r="B3278" s="97"/>
      <c r="C3278" s="110"/>
      <c r="D3278" s="109"/>
      <c r="E3278" s="97"/>
      <c r="F3278" s="97"/>
      <c r="G3278" s="109"/>
      <c r="H3278" s="109"/>
      <c r="I3278" s="97"/>
      <c r="J3278" s="97"/>
      <c r="K3278" s="83"/>
      <c r="L3278" s="111"/>
      <c r="M3278" s="111"/>
      <c r="N3278" s="111"/>
      <c r="O3278" s="111"/>
      <c r="P3278" s="111"/>
      <c r="Q3278" s="111"/>
      <c r="R3278" s="111"/>
    </row>
    <row r="3279" spans="2:18" s="108" customFormat="1">
      <c r="B3279" s="97"/>
      <c r="C3279" s="110"/>
      <c r="D3279" s="109"/>
      <c r="E3279" s="97"/>
      <c r="F3279" s="97"/>
      <c r="G3279" s="109"/>
      <c r="H3279" s="109"/>
      <c r="I3279" s="97"/>
      <c r="J3279" s="97"/>
      <c r="K3279" s="83"/>
      <c r="L3279" s="111"/>
      <c r="M3279" s="111"/>
      <c r="N3279" s="111"/>
      <c r="O3279" s="111"/>
      <c r="P3279" s="111"/>
      <c r="Q3279" s="111"/>
      <c r="R3279" s="111"/>
    </row>
    <row r="3280" spans="2:18" s="108" customFormat="1">
      <c r="B3280" s="97"/>
      <c r="C3280" s="110"/>
      <c r="D3280" s="109"/>
      <c r="E3280" s="97"/>
      <c r="F3280" s="97"/>
      <c r="G3280" s="109"/>
      <c r="H3280" s="109"/>
      <c r="I3280" s="97"/>
      <c r="J3280" s="97"/>
      <c r="K3280" s="83"/>
      <c r="L3280" s="111"/>
      <c r="M3280" s="111"/>
      <c r="N3280" s="111"/>
      <c r="O3280" s="111"/>
      <c r="P3280" s="111"/>
      <c r="Q3280" s="111"/>
      <c r="R3280" s="111"/>
    </row>
    <row r="3281" spans="2:18" s="108" customFormat="1">
      <c r="B3281" s="97"/>
      <c r="C3281" s="110"/>
      <c r="D3281" s="109"/>
      <c r="E3281" s="97"/>
      <c r="F3281" s="97"/>
      <c r="G3281" s="109"/>
      <c r="H3281" s="109"/>
      <c r="I3281" s="97"/>
      <c r="J3281" s="97"/>
      <c r="K3281" s="83"/>
      <c r="L3281" s="111"/>
      <c r="M3281" s="111"/>
      <c r="N3281" s="111"/>
      <c r="O3281" s="111"/>
      <c r="P3281" s="111"/>
      <c r="Q3281" s="111"/>
      <c r="R3281" s="111"/>
    </row>
    <row r="3282" spans="2:18" s="108" customFormat="1">
      <c r="B3282" s="97"/>
      <c r="C3282" s="110"/>
      <c r="D3282" s="109"/>
      <c r="E3282" s="97"/>
      <c r="F3282" s="97"/>
      <c r="G3282" s="109"/>
      <c r="H3282" s="109"/>
      <c r="I3282" s="97"/>
      <c r="J3282" s="97"/>
      <c r="K3282" s="83"/>
      <c r="L3282" s="111"/>
      <c r="M3282" s="111"/>
      <c r="N3282" s="111"/>
      <c r="O3282" s="111"/>
      <c r="P3282" s="111"/>
      <c r="Q3282" s="111"/>
      <c r="R3282" s="111"/>
    </row>
    <row r="3283" spans="2:18" s="108" customFormat="1">
      <c r="B3283" s="97"/>
      <c r="C3283" s="110"/>
      <c r="D3283" s="109"/>
      <c r="E3283" s="97"/>
      <c r="F3283" s="97"/>
      <c r="G3283" s="109"/>
      <c r="H3283" s="109"/>
      <c r="I3283" s="97"/>
      <c r="J3283" s="97"/>
      <c r="K3283" s="83"/>
      <c r="L3283" s="111"/>
      <c r="M3283" s="111"/>
      <c r="N3283" s="111"/>
      <c r="O3283" s="111"/>
      <c r="P3283" s="111"/>
      <c r="Q3283" s="111"/>
      <c r="R3283" s="111"/>
    </row>
    <row r="3284" spans="2:18" s="108" customFormat="1">
      <c r="B3284" s="97"/>
      <c r="C3284" s="110"/>
      <c r="D3284" s="109"/>
      <c r="E3284" s="97"/>
      <c r="F3284" s="97"/>
      <c r="G3284" s="109"/>
      <c r="H3284" s="109"/>
      <c r="I3284" s="97"/>
      <c r="J3284" s="97"/>
      <c r="K3284" s="83"/>
      <c r="L3284" s="111"/>
      <c r="M3284" s="111"/>
      <c r="N3284" s="111"/>
      <c r="O3284" s="111"/>
      <c r="P3284" s="111"/>
      <c r="Q3284" s="111"/>
      <c r="R3284" s="111"/>
    </row>
    <row r="3285" spans="2:18" s="108" customFormat="1">
      <c r="B3285" s="97"/>
      <c r="C3285" s="110"/>
      <c r="D3285" s="109"/>
      <c r="E3285" s="97"/>
      <c r="F3285" s="97"/>
      <c r="G3285" s="109"/>
      <c r="H3285" s="109"/>
      <c r="I3285" s="97"/>
      <c r="J3285" s="97"/>
      <c r="K3285" s="83"/>
      <c r="L3285" s="111"/>
      <c r="M3285" s="111"/>
      <c r="N3285" s="111"/>
      <c r="O3285" s="111"/>
      <c r="P3285" s="111"/>
      <c r="Q3285" s="111"/>
      <c r="R3285" s="111"/>
    </row>
    <row r="3286" spans="2:18" s="108" customFormat="1">
      <c r="B3286" s="97"/>
      <c r="C3286" s="110"/>
      <c r="D3286" s="109"/>
      <c r="E3286" s="97"/>
      <c r="F3286" s="97"/>
      <c r="G3286" s="109"/>
      <c r="H3286" s="109"/>
      <c r="I3286" s="97"/>
      <c r="J3286" s="97"/>
      <c r="K3286" s="83"/>
      <c r="L3286" s="111"/>
      <c r="M3286" s="111"/>
      <c r="N3286" s="111"/>
      <c r="O3286" s="111"/>
      <c r="P3286" s="111"/>
      <c r="Q3286" s="111"/>
      <c r="R3286" s="111"/>
    </row>
    <row r="3287" spans="2:18" s="108" customFormat="1">
      <c r="B3287" s="97"/>
      <c r="C3287" s="110"/>
      <c r="D3287" s="109"/>
      <c r="E3287" s="97"/>
      <c r="F3287" s="97"/>
      <c r="G3287" s="109"/>
      <c r="H3287" s="109"/>
      <c r="I3287" s="97"/>
      <c r="J3287" s="97"/>
      <c r="K3287" s="83"/>
      <c r="L3287" s="111"/>
      <c r="M3287" s="111"/>
      <c r="N3287" s="111"/>
      <c r="O3287" s="111"/>
      <c r="P3287" s="111"/>
      <c r="Q3287" s="111"/>
      <c r="R3287" s="111"/>
    </row>
    <row r="3288" spans="2:18" s="108" customFormat="1">
      <c r="B3288" s="97"/>
      <c r="C3288" s="110"/>
      <c r="D3288" s="109"/>
      <c r="E3288" s="97"/>
      <c r="F3288" s="97"/>
      <c r="G3288" s="109"/>
      <c r="H3288" s="109"/>
      <c r="I3288" s="97"/>
      <c r="J3288" s="97"/>
      <c r="K3288" s="83"/>
      <c r="L3288" s="111"/>
      <c r="M3288" s="111"/>
      <c r="N3288" s="111"/>
      <c r="O3288" s="111"/>
      <c r="P3288" s="111"/>
      <c r="Q3288" s="111"/>
      <c r="R3288" s="111"/>
    </row>
    <row r="3289" spans="2:18" s="108" customFormat="1">
      <c r="B3289" s="97"/>
      <c r="C3289" s="110"/>
      <c r="D3289" s="109"/>
      <c r="E3289" s="97"/>
      <c r="F3289" s="97"/>
      <c r="G3289" s="109"/>
      <c r="H3289" s="109"/>
      <c r="I3289" s="97"/>
      <c r="J3289" s="97"/>
      <c r="K3289" s="83"/>
      <c r="L3289" s="111"/>
      <c r="M3289" s="111"/>
      <c r="N3289" s="111"/>
      <c r="O3289" s="111"/>
      <c r="P3289" s="111"/>
      <c r="Q3289" s="111"/>
      <c r="R3289" s="111"/>
    </row>
    <row r="3290" spans="2:18" s="108" customFormat="1">
      <c r="B3290" s="97"/>
      <c r="C3290" s="110"/>
      <c r="D3290" s="109"/>
      <c r="E3290" s="97"/>
      <c r="F3290" s="97"/>
      <c r="G3290" s="109"/>
      <c r="H3290" s="109"/>
      <c r="I3290" s="97"/>
      <c r="J3290" s="97"/>
      <c r="K3290" s="83"/>
      <c r="L3290" s="111"/>
      <c r="M3290" s="111"/>
      <c r="N3290" s="111"/>
      <c r="O3290" s="111"/>
      <c r="P3290" s="111"/>
      <c r="Q3290" s="111"/>
      <c r="R3290" s="111"/>
    </row>
    <row r="3291" spans="2:18" s="108" customFormat="1">
      <c r="B3291" s="97"/>
      <c r="C3291" s="110"/>
      <c r="D3291" s="109"/>
      <c r="E3291" s="97"/>
      <c r="F3291" s="97"/>
      <c r="G3291" s="109"/>
      <c r="H3291" s="109"/>
      <c r="I3291" s="97"/>
      <c r="J3291" s="97"/>
      <c r="K3291" s="83"/>
      <c r="L3291" s="111"/>
      <c r="M3291" s="111"/>
      <c r="N3291" s="111"/>
      <c r="O3291" s="111"/>
      <c r="P3291" s="111"/>
      <c r="Q3291" s="111"/>
      <c r="R3291" s="111"/>
    </row>
    <row r="3292" spans="2:18" s="108" customFormat="1">
      <c r="B3292" s="97"/>
      <c r="C3292" s="110"/>
      <c r="D3292" s="109"/>
      <c r="E3292" s="97"/>
      <c r="F3292" s="97"/>
      <c r="G3292" s="109"/>
      <c r="H3292" s="109"/>
      <c r="I3292" s="97"/>
      <c r="J3292" s="97"/>
      <c r="K3292" s="83"/>
      <c r="L3292" s="111"/>
      <c r="M3292" s="111"/>
      <c r="N3292" s="111"/>
      <c r="O3292" s="111"/>
      <c r="P3292" s="111"/>
      <c r="Q3292" s="111"/>
      <c r="R3292" s="111"/>
    </row>
    <row r="3293" spans="2:18" s="108" customFormat="1">
      <c r="B3293" s="97"/>
      <c r="C3293" s="110"/>
      <c r="D3293" s="109"/>
      <c r="E3293" s="97"/>
      <c r="F3293" s="97"/>
      <c r="G3293" s="109"/>
      <c r="H3293" s="109"/>
      <c r="I3293" s="97"/>
      <c r="J3293" s="97"/>
      <c r="K3293" s="83"/>
      <c r="L3293" s="111"/>
      <c r="M3293" s="111"/>
      <c r="N3293" s="111"/>
      <c r="O3293" s="111"/>
      <c r="P3293" s="111"/>
      <c r="Q3293" s="111"/>
      <c r="R3293" s="111"/>
    </row>
    <row r="3294" spans="2:18" s="108" customFormat="1">
      <c r="B3294" s="97"/>
      <c r="C3294" s="110"/>
      <c r="D3294" s="109"/>
      <c r="E3294" s="97"/>
      <c r="F3294" s="97"/>
      <c r="G3294" s="109"/>
      <c r="H3294" s="109"/>
      <c r="I3294" s="97"/>
      <c r="J3294" s="97"/>
      <c r="K3294" s="83"/>
      <c r="L3294" s="111"/>
      <c r="M3294" s="111"/>
      <c r="N3294" s="111"/>
      <c r="O3294" s="111"/>
      <c r="P3294" s="111"/>
      <c r="Q3294" s="111"/>
      <c r="R3294" s="111"/>
    </row>
    <row r="3295" spans="2:18" s="108" customFormat="1">
      <c r="B3295" s="97"/>
      <c r="C3295" s="110"/>
      <c r="D3295" s="109"/>
      <c r="E3295" s="97"/>
      <c r="F3295" s="97"/>
      <c r="G3295" s="109"/>
      <c r="H3295" s="109"/>
      <c r="I3295" s="97"/>
      <c r="J3295" s="97"/>
      <c r="K3295" s="83"/>
      <c r="L3295" s="111"/>
      <c r="M3295" s="111"/>
      <c r="N3295" s="111"/>
      <c r="O3295" s="111"/>
      <c r="P3295" s="111"/>
      <c r="Q3295" s="111"/>
      <c r="R3295" s="111"/>
    </row>
    <row r="3296" spans="2:18" s="108" customFormat="1">
      <c r="B3296" s="97"/>
      <c r="C3296" s="110"/>
      <c r="D3296" s="109"/>
      <c r="E3296" s="97"/>
      <c r="F3296" s="97"/>
      <c r="G3296" s="109"/>
      <c r="H3296" s="109"/>
      <c r="I3296" s="97"/>
      <c r="J3296" s="97"/>
      <c r="K3296" s="83"/>
      <c r="L3296" s="111"/>
      <c r="M3296" s="111"/>
      <c r="N3296" s="111"/>
      <c r="O3296" s="111"/>
      <c r="P3296" s="111"/>
      <c r="Q3296" s="111"/>
      <c r="R3296" s="111"/>
    </row>
    <row r="3297" spans="2:18" s="108" customFormat="1">
      <c r="B3297" s="97"/>
      <c r="C3297" s="110"/>
      <c r="D3297" s="109"/>
      <c r="E3297" s="97"/>
      <c r="F3297" s="97"/>
      <c r="G3297" s="109"/>
      <c r="H3297" s="109"/>
      <c r="I3297" s="97"/>
      <c r="J3297" s="97"/>
      <c r="K3297" s="83"/>
      <c r="L3297" s="111"/>
      <c r="M3297" s="111"/>
      <c r="N3297" s="111"/>
      <c r="O3297" s="111"/>
      <c r="P3297" s="111"/>
      <c r="Q3297" s="111"/>
      <c r="R3297" s="111"/>
    </row>
    <row r="3298" spans="2:18" s="108" customFormat="1">
      <c r="B3298" s="97"/>
      <c r="C3298" s="110"/>
      <c r="D3298" s="109"/>
      <c r="E3298" s="97"/>
      <c r="F3298" s="97"/>
      <c r="G3298" s="109"/>
      <c r="H3298" s="109"/>
      <c r="I3298" s="97"/>
      <c r="J3298" s="97"/>
      <c r="K3298" s="83"/>
      <c r="L3298" s="111"/>
      <c r="M3298" s="111"/>
      <c r="N3298" s="111"/>
      <c r="O3298" s="111"/>
      <c r="P3298" s="111"/>
      <c r="Q3298" s="111"/>
      <c r="R3298" s="111"/>
    </row>
    <row r="3299" spans="2:18" s="108" customFormat="1">
      <c r="B3299" s="97"/>
      <c r="C3299" s="110"/>
      <c r="D3299" s="109"/>
      <c r="E3299" s="97"/>
      <c r="F3299" s="97"/>
      <c r="G3299" s="109"/>
      <c r="H3299" s="109"/>
      <c r="I3299" s="97"/>
      <c r="J3299" s="97"/>
      <c r="K3299" s="83"/>
      <c r="L3299" s="111"/>
      <c r="M3299" s="111"/>
      <c r="N3299" s="111"/>
      <c r="O3299" s="111"/>
      <c r="P3299" s="111"/>
      <c r="Q3299" s="111"/>
      <c r="R3299" s="111"/>
    </row>
    <row r="3300" spans="2:18" s="108" customFormat="1">
      <c r="B3300" s="97"/>
      <c r="C3300" s="110"/>
      <c r="D3300" s="109"/>
      <c r="E3300" s="97"/>
      <c r="F3300" s="97"/>
      <c r="G3300" s="109"/>
      <c r="H3300" s="109"/>
      <c r="I3300" s="97"/>
      <c r="J3300" s="97"/>
      <c r="K3300" s="83"/>
      <c r="L3300" s="111"/>
      <c r="M3300" s="111"/>
      <c r="N3300" s="111"/>
      <c r="O3300" s="111"/>
      <c r="P3300" s="111"/>
      <c r="Q3300" s="111"/>
      <c r="R3300" s="111"/>
    </row>
    <row r="3301" spans="2:18" s="108" customFormat="1">
      <c r="B3301" s="97"/>
      <c r="C3301" s="110"/>
      <c r="D3301" s="109"/>
      <c r="E3301" s="97"/>
      <c r="F3301" s="97"/>
      <c r="G3301" s="109"/>
      <c r="H3301" s="109"/>
      <c r="I3301" s="97"/>
      <c r="J3301" s="97"/>
      <c r="K3301" s="83"/>
      <c r="L3301" s="111"/>
      <c r="M3301" s="111"/>
      <c r="N3301" s="111"/>
      <c r="O3301" s="111"/>
      <c r="P3301" s="111"/>
      <c r="Q3301" s="111"/>
      <c r="R3301" s="111"/>
    </row>
    <row r="3302" spans="2:18" s="108" customFormat="1">
      <c r="B3302" s="97"/>
      <c r="C3302" s="110"/>
      <c r="D3302" s="109"/>
      <c r="E3302" s="97"/>
      <c r="F3302" s="97"/>
      <c r="G3302" s="109"/>
      <c r="H3302" s="109"/>
      <c r="I3302" s="97"/>
      <c r="J3302" s="97"/>
      <c r="K3302" s="83"/>
      <c r="L3302" s="111"/>
      <c r="M3302" s="111"/>
      <c r="N3302" s="111"/>
      <c r="O3302" s="111"/>
      <c r="P3302" s="111"/>
      <c r="Q3302" s="111"/>
      <c r="R3302" s="111"/>
    </row>
    <row r="3303" spans="2:18" s="108" customFormat="1">
      <c r="B3303" s="97"/>
      <c r="C3303" s="110"/>
      <c r="D3303" s="109"/>
      <c r="E3303" s="97"/>
      <c r="F3303" s="97"/>
      <c r="G3303" s="109"/>
      <c r="H3303" s="109"/>
      <c r="I3303" s="97"/>
      <c r="J3303" s="97"/>
      <c r="K3303" s="83"/>
      <c r="L3303" s="111"/>
      <c r="M3303" s="111"/>
      <c r="N3303" s="111"/>
      <c r="O3303" s="111"/>
      <c r="P3303" s="111"/>
      <c r="Q3303" s="111"/>
      <c r="R3303" s="111"/>
    </row>
    <row r="3304" spans="2:18" s="108" customFormat="1">
      <c r="B3304" s="97"/>
      <c r="C3304" s="110"/>
      <c r="D3304" s="109"/>
      <c r="E3304" s="97"/>
      <c r="F3304" s="97"/>
      <c r="G3304" s="109"/>
      <c r="H3304" s="109"/>
      <c r="I3304" s="97"/>
      <c r="J3304" s="97"/>
      <c r="K3304" s="83"/>
      <c r="L3304" s="111"/>
      <c r="M3304" s="111"/>
      <c r="N3304" s="111"/>
      <c r="O3304" s="111"/>
      <c r="P3304" s="111"/>
      <c r="Q3304" s="111"/>
      <c r="R3304" s="111"/>
    </row>
    <row r="3305" spans="2:18" s="108" customFormat="1">
      <c r="B3305" s="97"/>
      <c r="C3305" s="110"/>
      <c r="D3305" s="109"/>
      <c r="E3305" s="97"/>
      <c r="F3305" s="97"/>
      <c r="G3305" s="109"/>
      <c r="H3305" s="109"/>
      <c r="I3305" s="97"/>
      <c r="J3305" s="97"/>
      <c r="K3305" s="83"/>
      <c r="L3305" s="111"/>
      <c r="M3305" s="111"/>
      <c r="N3305" s="111"/>
      <c r="O3305" s="111"/>
      <c r="P3305" s="111"/>
      <c r="Q3305" s="111"/>
      <c r="R3305" s="111"/>
    </row>
    <row r="3306" spans="2:18" s="108" customFormat="1">
      <c r="B3306" s="97"/>
      <c r="C3306" s="110"/>
      <c r="D3306" s="109"/>
      <c r="E3306" s="97"/>
      <c r="F3306" s="97"/>
      <c r="G3306" s="109"/>
      <c r="H3306" s="109"/>
      <c r="I3306" s="97"/>
      <c r="J3306" s="97"/>
      <c r="K3306" s="83"/>
      <c r="L3306" s="111"/>
      <c r="M3306" s="111"/>
      <c r="N3306" s="111"/>
      <c r="O3306" s="111"/>
      <c r="P3306" s="111"/>
      <c r="Q3306" s="111"/>
      <c r="R3306" s="111"/>
    </row>
    <row r="3307" spans="2:18" s="108" customFormat="1">
      <c r="B3307" s="97"/>
      <c r="C3307" s="110"/>
      <c r="D3307" s="109"/>
      <c r="E3307" s="97"/>
      <c r="F3307" s="97"/>
      <c r="G3307" s="109"/>
      <c r="H3307" s="109"/>
      <c r="I3307" s="97"/>
      <c r="J3307" s="97"/>
      <c r="K3307" s="83"/>
      <c r="L3307" s="111"/>
      <c r="M3307" s="111"/>
      <c r="N3307" s="111"/>
      <c r="O3307" s="111"/>
      <c r="P3307" s="111"/>
      <c r="Q3307" s="111"/>
      <c r="R3307" s="111"/>
    </row>
    <row r="3308" spans="2:18" s="108" customFormat="1">
      <c r="B3308" s="97"/>
      <c r="C3308" s="110"/>
      <c r="D3308" s="109"/>
      <c r="E3308" s="97"/>
      <c r="F3308" s="97"/>
      <c r="G3308" s="109"/>
      <c r="H3308" s="109"/>
      <c r="I3308" s="97"/>
      <c r="J3308" s="97"/>
      <c r="K3308" s="83"/>
      <c r="L3308" s="111"/>
      <c r="M3308" s="111"/>
      <c r="N3308" s="111"/>
      <c r="O3308" s="111"/>
      <c r="P3308" s="111"/>
      <c r="Q3308" s="111"/>
      <c r="R3308" s="111"/>
    </row>
    <row r="3309" spans="2:18" s="108" customFormat="1">
      <c r="B3309" s="97"/>
      <c r="C3309" s="110"/>
      <c r="D3309" s="109"/>
      <c r="E3309" s="97"/>
      <c r="F3309" s="97"/>
      <c r="G3309" s="109"/>
      <c r="H3309" s="109"/>
      <c r="I3309" s="97"/>
      <c r="J3309" s="97"/>
      <c r="K3309" s="83"/>
      <c r="L3309" s="111"/>
      <c r="M3309" s="111"/>
      <c r="N3309" s="111"/>
      <c r="O3309" s="111"/>
      <c r="P3309" s="111"/>
      <c r="Q3309" s="111"/>
      <c r="R3309" s="111"/>
    </row>
    <row r="3310" spans="2:18" s="108" customFormat="1">
      <c r="B3310" s="97"/>
      <c r="C3310" s="110"/>
      <c r="D3310" s="109"/>
      <c r="E3310" s="97"/>
      <c r="F3310" s="97"/>
      <c r="G3310" s="109"/>
      <c r="H3310" s="109"/>
      <c r="I3310" s="97"/>
      <c r="J3310" s="97"/>
      <c r="K3310" s="83"/>
      <c r="L3310" s="111"/>
      <c r="M3310" s="111"/>
      <c r="N3310" s="111"/>
      <c r="O3310" s="111"/>
      <c r="P3310" s="111"/>
      <c r="Q3310" s="111"/>
      <c r="R3310" s="111"/>
    </row>
    <row r="3311" spans="2:18" s="108" customFormat="1">
      <c r="B3311" s="97"/>
      <c r="C3311" s="110"/>
      <c r="D3311" s="109"/>
      <c r="E3311" s="97"/>
      <c r="F3311" s="97"/>
      <c r="G3311" s="109"/>
      <c r="H3311" s="109"/>
      <c r="I3311" s="97"/>
      <c r="J3311" s="97"/>
      <c r="K3311" s="83"/>
      <c r="L3311" s="111"/>
      <c r="M3311" s="111"/>
      <c r="N3311" s="111"/>
      <c r="O3311" s="111"/>
      <c r="P3311" s="111"/>
      <c r="Q3311" s="111"/>
      <c r="R3311" s="111"/>
    </row>
    <row r="3312" spans="2:18" s="108" customFormat="1">
      <c r="B3312" s="97"/>
      <c r="C3312" s="110"/>
      <c r="D3312" s="109"/>
      <c r="E3312" s="97"/>
      <c r="F3312" s="97"/>
      <c r="G3312" s="109"/>
      <c r="H3312" s="109"/>
      <c r="I3312" s="97"/>
      <c r="J3312" s="97"/>
      <c r="K3312" s="83"/>
      <c r="L3312" s="111"/>
      <c r="M3312" s="111"/>
      <c r="N3312" s="111"/>
      <c r="O3312" s="111"/>
      <c r="P3312" s="111"/>
      <c r="Q3312" s="111"/>
      <c r="R3312" s="111"/>
    </row>
    <row r="3313" spans="2:18" s="108" customFormat="1">
      <c r="B3313" s="97"/>
      <c r="C3313" s="110"/>
      <c r="D3313" s="109"/>
      <c r="E3313" s="97"/>
      <c r="F3313" s="97"/>
      <c r="G3313" s="109"/>
      <c r="H3313" s="109"/>
      <c r="I3313" s="97"/>
      <c r="J3313" s="97"/>
      <c r="K3313" s="83"/>
      <c r="L3313" s="111"/>
      <c r="M3313" s="111"/>
      <c r="N3313" s="111"/>
      <c r="O3313" s="111"/>
      <c r="P3313" s="111"/>
      <c r="Q3313" s="111"/>
      <c r="R3313" s="111"/>
    </row>
    <row r="3314" spans="2:18" s="108" customFormat="1">
      <c r="B3314" s="97"/>
      <c r="C3314" s="110"/>
      <c r="D3314" s="109"/>
      <c r="E3314" s="97"/>
      <c r="F3314" s="97"/>
      <c r="G3314" s="109"/>
      <c r="H3314" s="109"/>
      <c r="I3314" s="97"/>
      <c r="J3314" s="97"/>
      <c r="K3314" s="83"/>
      <c r="L3314" s="111"/>
      <c r="M3314" s="111"/>
      <c r="N3314" s="111"/>
      <c r="O3314" s="111"/>
      <c r="P3314" s="111"/>
      <c r="Q3314" s="111"/>
      <c r="R3314" s="111"/>
    </row>
    <row r="3315" spans="2:18" s="108" customFormat="1">
      <c r="B3315" s="97"/>
      <c r="C3315" s="110"/>
      <c r="D3315" s="109"/>
      <c r="E3315" s="97"/>
      <c r="F3315" s="97"/>
      <c r="G3315" s="109"/>
      <c r="H3315" s="109"/>
      <c r="I3315" s="97"/>
      <c r="J3315" s="97"/>
      <c r="K3315" s="83"/>
      <c r="L3315" s="111"/>
      <c r="M3315" s="111"/>
      <c r="N3315" s="111"/>
      <c r="O3315" s="111"/>
      <c r="P3315" s="111"/>
      <c r="Q3315" s="111"/>
      <c r="R3315" s="111"/>
    </row>
    <row r="3316" spans="2:18" s="108" customFormat="1">
      <c r="B3316" s="97"/>
      <c r="C3316" s="110"/>
      <c r="D3316" s="109"/>
      <c r="E3316" s="97"/>
      <c r="F3316" s="97"/>
      <c r="G3316" s="109"/>
      <c r="H3316" s="109"/>
      <c r="I3316" s="97"/>
      <c r="J3316" s="97"/>
      <c r="K3316" s="83"/>
      <c r="L3316" s="111"/>
      <c r="M3316" s="111"/>
      <c r="N3316" s="111"/>
      <c r="O3316" s="111"/>
      <c r="P3316" s="111"/>
      <c r="Q3316" s="111"/>
      <c r="R3316" s="111"/>
    </row>
    <row r="3317" spans="2:18" s="108" customFormat="1">
      <c r="B3317" s="97"/>
      <c r="C3317" s="110"/>
      <c r="D3317" s="109"/>
      <c r="E3317" s="97"/>
      <c r="F3317" s="97"/>
      <c r="G3317" s="109"/>
      <c r="H3317" s="109"/>
      <c r="I3317" s="97"/>
      <c r="J3317" s="97"/>
      <c r="K3317" s="83"/>
      <c r="L3317" s="111"/>
      <c r="M3317" s="111"/>
      <c r="N3317" s="111"/>
      <c r="O3317" s="111"/>
      <c r="P3317" s="111"/>
      <c r="Q3317" s="111"/>
      <c r="R3317" s="111"/>
    </row>
    <row r="3318" spans="2:18" s="108" customFormat="1">
      <c r="B3318" s="97"/>
      <c r="C3318" s="110"/>
      <c r="D3318" s="109"/>
      <c r="E3318" s="97"/>
      <c r="F3318" s="97"/>
      <c r="G3318" s="109"/>
      <c r="H3318" s="109"/>
      <c r="I3318" s="97"/>
      <c r="J3318" s="97"/>
      <c r="K3318" s="83"/>
      <c r="L3318" s="111"/>
      <c r="M3318" s="111"/>
      <c r="N3318" s="111"/>
      <c r="O3318" s="111"/>
      <c r="P3318" s="111"/>
      <c r="Q3318" s="111"/>
      <c r="R3318" s="111"/>
    </row>
    <row r="3319" spans="2:18" s="108" customFormat="1">
      <c r="B3319" s="97"/>
      <c r="C3319" s="110"/>
      <c r="D3319" s="109"/>
      <c r="E3319" s="97"/>
      <c r="F3319" s="97"/>
      <c r="G3319" s="109"/>
      <c r="H3319" s="109"/>
      <c r="I3319" s="97"/>
      <c r="J3319" s="97"/>
      <c r="K3319" s="83"/>
      <c r="L3319" s="111"/>
      <c r="M3319" s="111"/>
      <c r="N3319" s="111"/>
      <c r="O3319" s="111"/>
      <c r="P3319" s="111"/>
      <c r="Q3319" s="111"/>
      <c r="R3319" s="111"/>
    </row>
    <row r="3320" spans="2:18" s="108" customFormat="1">
      <c r="B3320" s="97"/>
      <c r="C3320" s="110"/>
      <c r="D3320" s="109"/>
      <c r="E3320" s="97"/>
      <c r="F3320" s="97"/>
      <c r="G3320" s="109"/>
      <c r="H3320" s="109"/>
      <c r="I3320" s="97"/>
      <c r="J3320" s="97"/>
      <c r="K3320" s="83"/>
      <c r="L3320" s="111"/>
      <c r="M3320" s="111"/>
      <c r="N3320" s="111"/>
      <c r="O3320" s="111"/>
      <c r="P3320" s="111"/>
      <c r="Q3320" s="111"/>
      <c r="R3320" s="111"/>
    </row>
    <row r="3321" spans="2:18" s="108" customFormat="1">
      <c r="B3321" s="97"/>
      <c r="C3321" s="110"/>
      <c r="D3321" s="109"/>
      <c r="E3321" s="97"/>
      <c r="F3321" s="97"/>
      <c r="G3321" s="109"/>
      <c r="H3321" s="109"/>
      <c r="I3321" s="97"/>
      <c r="J3321" s="97"/>
      <c r="K3321" s="83"/>
      <c r="L3321" s="111"/>
      <c r="M3321" s="111"/>
      <c r="N3321" s="111"/>
      <c r="O3321" s="111"/>
      <c r="P3321" s="111"/>
      <c r="Q3321" s="111"/>
      <c r="R3321" s="111"/>
    </row>
    <row r="3322" spans="2:18" s="108" customFormat="1">
      <c r="B3322" s="97"/>
      <c r="C3322" s="110"/>
      <c r="D3322" s="109"/>
      <c r="E3322" s="97"/>
      <c r="F3322" s="97"/>
      <c r="G3322" s="109"/>
      <c r="H3322" s="109"/>
      <c r="I3322" s="97"/>
      <c r="J3322" s="97"/>
      <c r="K3322" s="83"/>
      <c r="L3322" s="111"/>
      <c r="M3322" s="111"/>
      <c r="N3322" s="111"/>
      <c r="O3322" s="111"/>
      <c r="P3322" s="111"/>
      <c r="Q3322" s="111"/>
      <c r="R3322" s="111"/>
    </row>
    <row r="3323" spans="2:18" s="108" customFormat="1">
      <c r="B3323" s="97"/>
      <c r="C3323" s="110"/>
      <c r="D3323" s="109"/>
      <c r="E3323" s="97"/>
      <c r="F3323" s="97"/>
      <c r="G3323" s="109"/>
      <c r="H3323" s="109"/>
      <c r="I3323" s="97"/>
      <c r="J3323" s="97"/>
      <c r="K3323" s="83"/>
      <c r="L3323" s="111"/>
      <c r="M3323" s="111"/>
      <c r="N3323" s="111"/>
      <c r="O3323" s="111"/>
      <c r="P3323" s="111"/>
      <c r="Q3323" s="111"/>
      <c r="R3323" s="111"/>
    </row>
    <row r="3324" spans="2:18" s="108" customFormat="1">
      <c r="B3324" s="97"/>
      <c r="C3324" s="110"/>
      <c r="D3324" s="109"/>
      <c r="E3324" s="97"/>
      <c r="F3324" s="97"/>
      <c r="G3324" s="109"/>
      <c r="H3324" s="109"/>
      <c r="I3324" s="97"/>
      <c r="J3324" s="97"/>
      <c r="K3324" s="83"/>
      <c r="L3324" s="111"/>
      <c r="M3324" s="111"/>
      <c r="N3324" s="111"/>
      <c r="O3324" s="111"/>
      <c r="P3324" s="111"/>
      <c r="Q3324" s="111"/>
      <c r="R3324" s="111"/>
    </row>
    <row r="3325" spans="2:18" s="108" customFormat="1">
      <c r="B3325" s="97"/>
      <c r="C3325" s="110"/>
      <c r="D3325" s="109"/>
      <c r="E3325" s="97"/>
      <c r="F3325" s="97"/>
      <c r="G3325" s="109"/>
      <c r="H3325" s="109"/>
      <c r="I3325" s="97"/>
      <c r="J3325" s="97"/>
      <c r="K3325" s="83"/>
      <c r="L3325" s="111"/>
      <c r="M3325" s="111"/>
      <c r="N3325" s="111"/>
      <c r="O3325" s="111"/>
      <c r="P3325" s="111"/>
      <c r="Q3325" s="111"/>
      <c r="R3325" s="111"/>
    </row>
    <row r="3326" spans="2:18" s="108" customFormat="1">
      <c r="B3326" s="97"/>
      <c r="C3326" s="110"/>
      <c r="D3326" s="109"/>
      <c r="E3326" s="97"/>
      <c r="F3326" s="97"/>
      <c r="G3326" s="109"/>
      <c r="H3326" s="109"/>
      <c r="I3326" s="97"/>
      <c r="J3326" s="97"/>
      <c r="K3326" s="83"/>
      <c r="L3326" s="111"/>
      <c r="M3326" s="111"/>
      <c r="N3326" s="111"/>
      <c r="O3326" s="111"/>
      <c r="P3326" s="111"/>
      <c r="Q3326" s="111"/>
      <c r="R3326" s="111"/>
    </row>
    <row r="3327" spans="2:18" s="108" customFormat="1">
      <c r="B3327" s="97"/>
      <c r="C3327" s="110"/>
      <c r="D3327" s="109"/>
      <c r="E3327" s="97"/>
      <c r="F3327" s="97"/>
      <c r="G3327" s="109"/>
      <c r="H3327" s="109"/>
      <c r="I3327" s="97"/>
      <c r="J3327" s="97"/>
      <c r="K3327" s="83"/>
      <c r="L3327" s="111"/>
      <c r="M3327" s="111"/>
      <c r="N3327" s="111"/>
      <c r="O3327" s="111"/>
      <c r="P3327" s="111"/>
      <c r="Q3327" s="111"/>
      <c r="R3327" s="111"/>
    </row>
    <row r="3328" spans="2:18" s="108" customFormat="1">
      <c r="B3328" s="97"/>
      <c r="C3328" s="110"/>
      <c r="D3328" s="109"/>
      <c r="E3328" s="97"/>
      <c r="F3328" s="97"/>
      <c r="G3328" s="109"/>
      <c r="H3328" s="109"/>
      <c r="I3328" s="97"/>
      <c r="J3328" s="97"/>
      <c r="K3328" s="83"/>
      <c r="L3328" s="111"/>
      <c r="M3328" s="111"/>
      <c r="N3328" s="111"/>
      <c r="O3328" s="111"/>
      <c r="P3328" s="111"/>
      <c r="Q3328" s="111"/>
      <c r="R3328" s="111"/>
    </row>
    <row r="3329" spans="2:18" s="108" customFormat="1">
      <c r="B3329" s="97"/>
      <c r="C3329" s="110"/>
      <c r="D3329" s="109"/>
      <c r="E3329" s="97"/>
      <c r="F3329" s="97"/>
      <c r="G3329" s="109"/>
      <c r="H3329" s="109"/>
      <c r="I3329" s="97"/>
      <c r="J3329" s="97"/>
      <c r="K3329" s="83"/>
      <c r="L3329" s="111"/>
      <c r="M3329" s="111"/>
      <c r="N3329" s="111"/>
      <c r="O3329" s="111"/>
      <c r="P3329" s="111"/>
      <c r="Q3329" s="111"/>
      <c r="R3329" s="111"/>
    </row>
    <row r="3330" spans="2:18" s="108" customFormat="1">
      <c r="B3330" s="97"/>
      <c r="C3330" s="110"/>
      <c r="D3330" s="109"/>
      <c r="E3330" s="97"/>
      <c r="F3330" s="97"/>
      <c r="G3330" s="109"/>
      <c r="H3330" s="109"/>
      <c r="I3330" s="97"/>
      <c r="J3330" s="97"/>
      <c r="K3330" s="83"/>
      <c r="L3330" s="111"/>
      <c r="M3330" s="111"/>
      <c r="N3330" s="111"/>
      <c r="O3330" s="111"/>
      <c r="P3330" s="111"/>
      <c r="Q3330" s="111"/>
      <c r="R3330" s="111"/>
    </row>
    <row r="3331" spans="2:18" s="108" customFormat="1">
      <c r="B3331" s="97"/>
      <c r="C3331" s="110"/>
      <c r="D3331" s="109"/>
      <c r="E3331" s="97"/>
      <c r="F3331" s="97"/>
      <c r="G3331" s="109"/>
      <c r="H3331" s="109"/>
      <c r="I3331" s="97"/>
      <c r="J3331" s="97"/>
      <c r="K3331" s="83"/>
      <c r="L3331" s="111"/>
      <c r="M3331" s="111"/>
      <c r="N3331" s="111"/>
      <c r="O3331" s="111"/>
      <c r="P3331" s="111"/>
      <c r="Q3331" s="111"/>
      <c r="R3331" s="111"/>
    </row>
    <row r="3332" spans="2:18" s="108" customFormat="1">
      <c r="B3332" s="97"/>
      <c r="C3332" s="110"/>
      <c r="D3332" s="109"/>
      <c r="E3332" s="97"/>
      <c r="F3332" s="97"/>
      <c r="G3332" s="109"/>
      <c r="H3332" s="109"/>
      <c r="I3332" s="97"/>
      <c r="J3332" s="97"/>
      <c r="K3332" s="83"/>
      <c r="L3332" s="111"/>
      <c r="M3332" s="111"/>
      <c r="N3332" s="111"/>
      <c r="O3332" s="111"/>
      <c r="P3332" s="111"/>
      <c r="Q3332" s="111"/>
      <c r="R3332" s="111"/>
    </row>
    <row r="3333" spans="2:18" s="108" customFormat="1">
      <c r="B3333" s="97"/>
      <c r="C3333" s="110"/>
      <c r="D3333" s="109"/>
      <c r="E3333" s="97"/>
      <c r="F3333" s="97"/>
      <c r="G3333" s="109"/>
      <c r="H3333" s="109"/>
      <c r="I3333" s="97"/>
      <c r="J3333" s="97"/>
      <c r="K3333" s="83"/>
      <c r="L3333" s="111"/>
      <c r="M3333" s="111"/>
      <c r="N3333" s="111"/>
      <c r="O3333" s="111"/>
      <c r="P3333" s="111"/>
      <c r="Q3333" s="111"/>
      <c r="R3333" s="111"/>
    </row>
    <row r="3334" spans="2:18" s="108" customFormat="1">
      <c r="B3334" s="97"/>
      <c r="C3334" s="110"/>
      <c r="D3334" s="109"/>
      <c r="E3334" s="97"/>
      <c r="F3334" s="97"/>
      <c r="G3334" s="109"/>
      <c r="H3334" s="109"/>
      <c r="I3334" s="97"/>
      <c r="J3334" s="97"/>
      <c r="K3334" s="83"/>
      <c r="L3334" s="111"/>
      <c r="M3334" s="111"/>
      <c r="N3334" s="111"/>
      <c r="O3334" s="111"/>
      <c r="P3334" s="111"/>
      <c r="Q3334" s="111"/>
      <c r="R3334" s="111"/>
    </row>
    <row r="3335" spans="2:18" s="108" customFormat="1">
      <c r="B3335" s="97"/>
      <c r="C3335" s="110"/>
      <c r="D3335" s="109"/>
      <c r="E3335" s="97"/>
      <c r="F3335" s="97"/>
      <c r="G3335" s="109"/>
      <c r="H3335" s="109"/>
      <c r="I3335" s="97"/>
      <c r="J3335" s="97"/>
      <c r="K3335" s="83"/>
      <c r="L3335" s="111"/>
      <c r="M3335" s="111"/>
      <c r="N3335" s="111"/>
      <c r="O3335" s="111"/>
      <c r="P3335" s="111"/>
      <c r="Q3335" s="111"/>
      <c r="R3335" s="111"/>
    </row>
    <row r="3336" spans="2:18" s="108" customFormat="1">
      <c r="B3336" s="97"/>
      <c r="C3336" s="110"/>
      <c r="D3336" s="109"/>
      <c r="E3336" s="97"/>
      <c r="F3336" s="97"/>
      <c r="G3336" s="109"/>
      <c r="H3336" s="109"/>
      <c r="I3336" s="97"/>
      <c r="J3336" s="97"/>
      <c r="K3336" s="83"/>
      <c r="L3336" s="111"/>
      <c r="M3336" s="111"/>
      <c r="N3336" s="111"/>
      <c r="O3336" s="111"/>
      <c r="P3336" s="111"/>
      <c r="Q3336" s="111"/>
      <c r="R3336" s="111"/>
    </row>
    <row r="3337" spans="2:18" s="108" customFormat="1">
      <c r="B3337" s="97"/>
      <c r="C3337" s="110"/>
      <c r="D3337" s="109"/>
      <c r="E3337" s="97"/>
      <c r="F3337" s="97"/>
      <c r="G3337" s="109"/>
      <c r="H3337" s="109"/>
      <c r="I3337" s="97"/>
      <c r="J3337" s="97"/>
      <c r="K3337" s="83"/>
      <c r="L3337" s="111"/>
      <c r="M3337" s="111"/>
      <c r="N3337" s="111"/>
      <c r="O3337" s="111"/>
      <c r="P3337" s="111"/>
      <c r="Q3337" s="111"/>
      <c r="R3337" s="111"/>
    </row>
    <row r="3338" spans="2:18" s="108" customFormat="1">
      <c r="B3338" s="97"/>
      <c r="C3338" s="110"/>
      <c r="D3338" s="109"/>
      <c r="E3338" s="97"/>
      <c r="F3338" s="97"/>
      <c r="G3338" s="109"/>
      <c r="H3338" s="109"/>
      <c r="I3338" s="97"/>
      <c r="J3338" s="97"/>
      <c r="K3338" s="83"/>
      <c r="L3338" s="111"/>
      <c r="M3338" s="111"/>
      <c r="N3338" s="111"/>
      <c r="O3338" s="111"/>
      <c r="P3338" s="111"/>
      <c r="Q3338" s="111"/>
      <c r="R3338" s="111"/>
    </row>
    <row r="3339" spans="2:18" s="108" customFormat="1">
      <c r="B3339" s="97"/>
      <c r="C3339" s="110"/>
      <c r="D3339" s="109"/>
      <c r="E3339" s="97"/>
      <c r="F3339" s="97"/>
      <c r="G3339" s="109"/>
      <c r="H3339" s="109"/>
      <c r="I3339" s="97"/>
      <c r="J3339" s="97"/>
      <c r="K3339" s="83"/>
      <c r="L3339" s="111"/>
      <c r="M3339" s="111"/>
      <c r="N3339" s="111"/>
      <c r="O3339" s="111"/>
      <c r="P3339" s="111"/>
      <c r="Q3339" s="111"/>
      <c r="R3339" s="111"/>
    </row>
    <row r="3340" spans="2:18" s="108" customFormat="1">
      <c r="B3340" s="97"/>
      <c r="C3340" s="110"/>
      <c r="D3340" s="109"/>
      <c r="E3340" s="97"/>
      <c r="F3340" s="97"/>
      <c r="G3340" s="109"/>
      <c r="H3340" s="109"/>
      <c r="I3340" s="97"/>
      <c r="J3340" s="97"/>
      <c r="K3340" s="83"/>
      <c r="L3340" s="111"/>
      <c r="M3340" s="111"/>
      <c r="N3340" s="111"/>
      <c r="O3340" s="111"/>
      <c r="P3340" s="111"/>
      <c r="Q3340" s="111"/>
      <c r="R3340" s="111"/>
    </row>
    <row r="3341" spans="2:18" s="108" customFormat="1">
      <c r="B3341" s="97"/>
      <c r="C3341" s="110"/>
      <c r="D3341" s="109"/>
      <c r="E3341" s="97"/>
      <c r="F3341" s="97"/>
      <c r="G3341" s="109"/>
      <c r="H3341" s="109"/>
      <c r="I3341" s="97"/>
      <c r="J3341" s="97"/>
      <c r="K3341" s="83"/>
      <c r="L3341" s="111"/>
      <c r="M3341" s="111"/>
      <c r="N3341" s="111"/>
      <c r="O3341" s="111"/>
      <c r="P3341" s="111"/>
      <c r="Q3341" s="111"/>
      <c r="R3341" s="111"/>
    </row>
    <row r="3342" spans="2:18" s="108" customFormat="1">
      <c r="B3342" s="97"/>
      <c r="C3342" s="110"/>
      <c r="D3342" s="109"/>
      <c r="E3342" s="97"/>
      <c r="F3342" s="97"/>
      <c r="G3342" s="109"/>
      <c r="H3342" s="109"/>
      <c r="I3342" s="97"/>
      <c r="J3342" s="97"/>
      <c r="K3342" s="83"/>
      <c r="L3342" s="111"/>
      <c r="M3342" s="111"/>
      <c r="N3342" s="111"/>
      <c r="O3342" s="111"/>
      <c r="P3342" s="111"/>
      <c r="Q3342" s="111"/>
      <c r="R3342" s="111"/>
    </row>
    <row r="3343" spans="2:18" s="108" customFormat="1">
      <c r="B3343" s="97"/>
      <c r="C3343" s="110"/>
      <c r="D3343" s="109"/>
      <c r="E3343" s="97"/>
      <c r="F3343" s="97"/>
      <c r="G3343" s="109"/>
      <c r="H3343" s="109"/>
      <c r="I3343" s="97"/>
      <c r="J3343" s="97"/>
      <c r="K3343" s="83"/>
      <c r="L3343" s="111"/>
      <c r="M3343" s="111"/>
      <c r="N3343" s="111"/>
      <c r="O3343" s="111"/>
      <c r="P3343" s="111"/>
      <c r="Q3343" s="111"/>
      <c r="R3343" s="111"/>
    </row>
    <row r="3344" spans="2:18" s="108" customFormat="1">
      <c r="B3344" s="97"/>
      <c r="C3344" s="110"/>
      <c r="D3344" s="109"/>
      <c r="E3344" s="97"/>
      <c r="F3344" s="97"/>
      <c r="G3344" s="109"/>
      <c r="H3344" s="109"/>
      <c r="I3344" s="97"/>
      <c r="J3344" s="97"/>
      <c r="K3344" s="83"/>
      <c r="L3344" s="111"/>
      <c r="M3344" s="111"/>
      <c r="N3344" s="111"/>
      <c r="O3344" s="111"/>
      <c r="P3344" s="111"/>
      <c r="Q3344" s="111"/>
      <c r="R3344" s="111"/>
    </row>
    <row r="3345" spans="2:18" s="108" customFormat="1">
      <c r="B3345" s="97"/>
      <c r="C3345" s="110"/>
      <c r="D3345" s="109"/>
      <c r="E3345" s="97"/>
      <c r="F3345" s="97"/>
      <c r="G3345" s="109"/>
      <c r="H3345" s="109"/>
      <c r="I3345" s="97"/>
      <c r="J3345" s="97"/>
      <c r="K3345" s="83"/>
      <c r="L3345" s="111"/>
      <c r="M3345" s="111"/>
      <c r="N3345" s="111"/>
      <c r="O3345" s="111"/>
      <c r="P3345" s="111"/>
      <c r="Q3345" s="111"/>
      <c r="R3345" s="111"/>
    </row>
    <row r="3346" spans="2:18" s="108" customFormat="1">
      <c r="B3346" s="97"/>
      <c r="C3346" s="110"/>
      <c r="D3346" s="109"/>
      <c r="E3346" s="97"/>
      <c r="F3346" s="97"/>
      <c r="G3346" s="109"/>
      <c r="H3346" s="109"/>
      <c r="I3346" s="97"/>
      <c r="J3346" s="97"/>
      <c r="K3346" s="83"/>
      <c r="L3346" s="111"/>
      <c r="M3346" s="111"/>
      <c r="N3346" s="111"/>
      <c r="O3346" s="111"/>
      <c r="P3346" s="111"/>
      <c r="Q3346" s="111"/>
      <c r="R3346" s="111"/>
    </row>
    <row r="3347" spans="2:18" s="108" customFormat="1">
      <c r="B3347" s="97"/>
      <c r="C3347" s="110"/>
      <c r="D3347" s="109"/>
      <c r="E3347" s="97"/>
      <c r="F3347" s="97"/>
      <c r="G3347" s="109"/>
      <c r="H3347" s="109"/>
      <c r="I3347" s="97"/>
      <c r="J3347" s="97"/>
      <c r="K3347" s="83"/>
      <c r="L3347" s="111"/>
      <c r="M3347" s="111"/>
      <c r="N3347" s="111"/>
      <c r="O3347" s="111"/>
      <c r="P3347" s="111"/>
      <c r="Q3347" s="111"/>
      <c r="R3347" s="111"/>
    </row>
    <row r="3348" spans="2:18" s="108" customFormat="1">
      <c r="B3348" s="97"/>
      <c r="C3348" s="110"/>
      <c r="D3348" s="109"/>
      <c r="E3348" s="97"/>
      <c r="F3348" s="97"/>
      <c r="G3348" s="109"/>
      <c r="H3348" s="109"/>
      <c r="I3348" s="97"/>
      <c r="J3348" s="97"/>
      <c r="K3348" s="83"/>
      <c r="L3348" s="111"/>
      <c r="M3348" s="111"/>
      <c r="N3348" s="111"/>
      <c r="O3348" s="111"/>
      <c r="P3348" s="111"/>
      <c r="Q3348" s="111"/>
      <c r="R3348" s="111"/>
    </row>
    <row r="3349" spans="2:18" s="108" customFormat="1">
      <c r="B3349" s="97"/>
      <c r="C3349" s="110"/>
      <c r="D3349" s="109"/>
      <c r="E3349" s="97"/>
      <c r="F3349" s="97"/>
      <c r="G3349" s="109"/>
      <c r="H3349" s="109"/>
      <c r="I3349" s="97"/>
      <c r="J3349" s="97"/>
      <c r="K3349" s="83"/>
      <c r="L3349" s="111"/>
      <c r="M3349" s="111"/>
      <c r="N3349" s="111"/>
      <c r="O3349" s="111"/>
      <c r="P3349" s="111"/>
      <c r="Q3349" s="111"/>
      <c r="R3349" s="111"/>
    </row>
    <row r="3350" spans="2:18" s="108" customFormat="1">
      <c r="B3350" s="97"/>
      <c r="C3350" s="110"/>
      <c r="D3350" s="109"/>
      <c r="E3350" s="97"/>
      <c r="F3350" s="97"/>
      <c r="G3350" s="109"/>
      <c r="H3350" s="109"/>
      <c r="I3350" s="97"/>
      <c r="J3350" s="97"/>
      <c r="K3350" s="83"/>
      <c r="L3350" s="111"/>
      <c r="M3350" s="111"/>
      <c r="N3350" s="111"/>
      <c r="O3350" s="111"/>
      <c r="P3350" s="111"/>
      <c r="Q3350" s="111"/>
      <c r="R3350" s="111"/>
    </row>
    <row r="3351" spans="2:18" s="108" customFormat="1">
      <c r="B3351" s="97"/>
      <c r="C3351" s="110"/>
      <c r="D3351" s="109"/>
      <c r="E3351" s="97"/>
      <c r="F3351" s="97"/>
      <c r="G3351" s="109"/>
      <c r="H3351" s="109"/>
      <c r="I3351" s="97"/>
      <c r="J3351" s="97"/>
      <c r="K3351" s="83"/>
      <c r="L3351" s="111"/>
      <c r="M3351" s="111"/>
      <c r="N3351" s="111"/>
      <c r="O3351" s="111"/>
      <c r="P3351" s="111"/>
      <c r="Q3351" s="111"/>
      <c r="R3351" s="111"/>
    </row>
    <row r="3352" spans="2:18" s="108" customFormat="1">
      <c r="B3352" s="97"/>
      <c r="C3352" s="110"/>
      <c r="D3352" s="109"/>
      <c r="E3352" s="97"/>
      <c r="F3352" s="97"/>
      <c r="G3352" s="109"/>
      <c r="H3352" s="109"/>
      <c r="I3352" s="97"/>
      <c r="J3352" s="97"/>
      <c r="K3352" s="83"/>
      <c r="L3352" s="111"/>
      <c r="M3352" s="111"/>
      <c r="N3352" s="111"/>
      <c r="O3352" s="111"/>
      <c r="P3352" s="111"/>
      <c r="Q3352" s="111"/>
      <c r="R3352" s="111"/>
    </row>
    <row r="3353" spans="2:18" s="108" customFormat="1">
      <c r="B3353" s="97"/>
      <c r="C3353" s="110"/>
      <c r="D3353" s="109"/>
      <c r="E3353" s="97"/>
      <c r="F3353" s="97"/>
      <c r="G3353" s="109"/>
      <c r="H3353" s="109"/>
      <c r="I3353" s="97"/>
      <c r="J3353" s="97"/>
      <c r="K3353" s="83"/>
      <c r="L3353" s="111"/>
      <c r="M3353" s="111"/>
      <c r="N3353" s="111"/>
      <c r="O3353" s="111"/>
      <c r="P3353" s="111"/>
      <c r="Q3353" s="111"/>
      <c r="R3353" s="111"/>
    </row>
    <row r="3354" spans="2:18" s="108" customFormat="1">
      <c r="B3354" s="97"/>
      <c r="C3354" s="110"/>
      <c r="D3354" s="109"/>
      <c r="E3354" s="97"/>
      <c r="F3354" s="97"/>
      <c r="G3354" s="109"/>
      <c r="H3354" s="109"/>
      <c r="I3354" s="97"/>
      <c r="J3354" s="97"/>
      <c r="K3354" s="83"/>
      <c r="L3354" s="111"/>
      <c r="M3354" s="111"/>
      <c r="N3354" s="111"/>
      <c r="O3354" s="111"/>
      <c r="P3354" s="111"/>
      <c r="Q3354" s="111"/>
      <c r="R3354" s="111"/>
    </row>
    <row r="3355" spans="2:18" s="108" customFormat="1">
      <c r="B3355" s="97"/>
      <c r="C3355" s="110"/>
      <c r="D3355" s="109"/>
      <c r="E3355" s="97"/>
      <c r="F3355" s="97"/>
      <c r="G3355" s="109"/>
      <c r="H3355" s="109"/>
      <c r="I3355" s="97"/>
      <c r="J3355" s="97"/>
      <c r="K3355" s="83"/>
      <c r="L3355" s="111"/>
      <c r="M3355" s="111"/>
      <c r="N3355" s="111"/>
      <c r="O3355" s="111"/>
      <c r="P3355" s="111"/>
      <c r="Q3355" s="111"/>
      <c r="R3355" s="111"/>
    </row>
    <row r="3356" spans="2:18" s="108" customFormat="1">
      <c r="B3356" s="97"/>
      <c r="C3356" s="110"/>
      <c r="D3356" s="109"/>
      <c r="E3356" s="97"/>
      <c r="F3356" s="97"/>
      <c r="G3356" s="109"/>
      <c r="H3356" s="109"/>
      <c r="I3356" s="97"/>
      <c r="J3356" s="97"/>
      <c r="K3356" s="83"/>
      <c r="L3356" s="111"/>
      <c r="M3356" s="111"/>
      <c r="N3356" s="111"/>
      <c r="O3356" s="111"/>
      <c r="P3356" s="111"/>
      <c r="Q3356" s="111"/>
      <c r="R3356" s="111"/>
    </row>
    <row r="3357" spans="2:18" s="108" customFormat="1">
      <c r="B3357" s="97"/>
      <c r="C3357" s="110"/>
      <c r="D3357" s="109"/>
      <c r="E3357" s="97"/>
      <c r="F3357" s="97"/>
      <c r="G3357" s="109"/>
      <c r="H3357" s="109"/>
      <c r="I3357" s="97"/>
      <c r="J3357" s="97"/>
      <c r="K3357" s="83"/>
      <c r="L3357" s="111"/>
      <c r="M3357" s="111"/>
      <c r="N3357" s="111"/>
      <c r="O3357" s="111"/>
      <c r="P3357" s="111"/>
      <c r="Q3357" s="111"/>
      <c r="R3357" s="111"/>
    </row>
    <row r="3358" spans="2:18" s="108" customFormat="1">
      <c r="B3358" s="97"/>
      <c r="C3358" s="110"/>
      <c r="D3358" s="109"/>
      <c r="E3358" s="97"/>
      <c r="F3358" s="97"/>
      <c r="G3358" s="109"/>
      <c r="H3358" s="109"/>
      <c r="I3358" s="97"/>
      <c r="J3358" s="97"/>
      <c r="K3358" s="83"/>
      <c r="L3358" s="111"/>
      <c r="M3358" s="111"/>
      <c r="N3358" s="111"/>
      <c r="O3358" s="111"/>
      <c r="P3358" s="111"/>
      <c r="Q3358" s="111"/>
      <c r="R3358" s="111"/>
    </row>
    <row r="3359" spans="2:18" s="108" customFormat="1">
      <c r="B3359" s="97"/>
      <c r="C3359" s="110"/>
      <c r="D3359" s="109"/>
      <c r="E3359" s="97"/>
      <c r="F3359" s="97"/>
      <c r="G3359" s="109"/>
      <c r="H3359" s="109"/>
      <c r="I3359" s="97"/>
      <c r="J3359" s="97"/>
      <c r="K3359" s="83"/>
      <c r="L3359" s="111"/>
      <c r="M3359" s="111"/>
      <c r="N3359" s="111"/>
      <c r="O3359" s="111"/>
      <c r="P3359" s="111"/>
      <c r="Q3359" s="111"/>
      <c r="R3359" s="111"/>
    </row>
    <row r="3360" spans="2:18" s="108" customFormat="1">
      <c r="B3360" s="97"/>
      <c r="C3360" s="110"/>
      <c r="D3360" s="109"/>
      <c r="E3360" s="97"/>
      <c r="F3360" s="97"/>
      <c r="G3360" s="109"/>
      <c r="H3360" s="109"/>
      <c r="I3360" s="97"/>
      <c r="J3360" s="97"/>
      <c r="K3360" s="83"/>
      <c r="L3360" s="111"/>
      <c r="M3360" s="111"/>
      <c r="N3360" s="111"/>
      <c r="O3360" s="111"/>
      <c r="P3360" s="111"/>
      <c r="Q3360" s="111"/>
      <c r="R3360" s="111"/>
    </row>
    <row r="3361" spans="2:18" s="108" customFormat="1">
      <c r="B3361" s="97"/>
      <c r="C3361" s="110"/>
      <c r="D3361" s="109"/>
      <c r="E3361" s="97"/>
      <c r="F3361" s="97"/>
      <c r="G3361" s="109"/>
      <c r="H3361" s="109"/>
      <c r="I3361" s="97"/>
      <c r="J3361" s="97"/>
      <c r="K3361" s="83"/>
      <c r="L3361" s="111"/>
      <c r="M3361" s="111"/>
      <c r="N3361" s="111"/>
      <c r="O3361" s="111"/>
      <c r="P3361" s="111"/>
      <c r="Q3361" s="111"/>
      <c r="R3361" s="111"/>
    </row>
    <row r="3362" spans="2:18" s="108" customFormat="1">
      <c r="B3362" s="97"/>
      <c r="C3362" s="110"/>
      <c r="D3362" s="109"/>
      <c r="E3362" s="97"/>
      <c r="F3362" s="97"/>
      <c r="G3362" s="109"/>
      <c r="H3362" s="109"/>
      <c r="I3362" s="97"/>
      <c r="J3362" s="97"/>
      <c r="K3362" s="83"/>
      <c r="L3362" s="111"/>
      <c r="M3362" s="111"/>
      <c r="N3362" s="111"/>
      <c r="O3362" s="111"/>
      <c r="P3362" s="111"/>
      <c r="Q3362" s="111"/>
      <c r="R3362" s="111"/>
    </row>
    <row r="3363" spans="2:18" s="108" customFormat="1">
      <c r="B3363" s="97"/>
      <c r="C3363" s="110"/>
      <c r="D3363" s="109"/>
      <c r="E3363" s="97"/>
      <c r="F3363" s="97"/>
      <c r="G3363" s="109"/>
      <c r="H3363" s="109"/>
      <c r="I3363" s="97"/>
      <c r="J3363" s="97"/>
      <c r="K3363" s="83"/>
      <c r="L3363" s="111"/>
      <c r="M3363" s="111"/>
      <c r="N3363" s="111"/>
      <c r="O3363" s="111"/>
      <c r="P3363" s="111"/>
      <c r="Q3363" s="111"/>
      <c r="R3363" s="111"/>
    </row>
    <row r="3364" spans="2:18" s="108" customFormat="1">
      <c r="B3364" s="97"/>
      <c r="C3364" s="110"/>
      <c r="D3364" s="109"/>
      <c r="E3364" s="97"/>
      <c r="F3364" s="97"/>
      <c r="G3364" s="109"/>
      <c r="H3364" s="109"/>
      <c r="I3364" s="97"/>
      <c r="J3364" s="97"/>
      <c r="K3364" s="83"/>
      <c r="L3364" s="111"/>
      <c r="M3364" s="111"/>
      <c r="N3364" s="111"/>
      <c r="O3364" s="111"/>
      <c r="P3364" s="111"/>
      <c r="Q3364" s="111"/>
      <c r="R3364" s="111"/>
    </row>
    <row r="3365" spans="2:18" s="108" customFormat="1">
      <c r="B3365" s="97"/>
      <c r="C3365" s="110"/>
      <c r="D3365" s="109"/>
      <c r="E3365" s="97"/>
      <c r="F3365" s="97"/>
      <c r="G3365" s="109"/>
      <c r="H3365" s="109"/>
      <c r="I3365" s="97"/>
      <c r="J3365" s="97"/>
      <c r="K3365" s="83"/>
      <c r="L3365" s="111"/>
      <c r="M3365" s="111"/>
      <c r="N3365" s="111"/>
      <c r="O3365" s="111"/>
      <c r="P3365" s="111"/>
      <c r="Q3365" s="111"/>
      <c r="R3365" s="111"/>
    </row>
    <row r="3366" spans="2:18" s="108" customFormat="1">
      <c r="B3366" s="97"/>
      <c r="C3366" s="110"/>
      <c r="D3366" s="109"/>
      <c r="E3366" s="97"/>
      <c r="F3366" s="97"/>
      <c r="G3366" s="109"/>
      <c r="H3366" s="109"/>
      <c r="I3366" s="97"/>
      <c r="J3366" s="97"/>
      <c r="K3366" s="83"/>
      <c r="L3366" s="111"/>
      <c r="M3366" s="111"/>
      <c r="N3366" s="111"/>
      <c r="O3366" s="111"/>
      <c r="P3366" s="111"/>
      <c r="Q3366" s="111"/>
      <c r="R3366" s="111"/>
    </row>
    <row r="3367" spans="2:18" s="108" customFormat="1">
      <c r="B3367" s="97"/>
      <c r="C3367" s="110"/>
      <c r="D3367" s="109"/>
      <c r="E3367" s="97"/>
      <c r="F3367" s="97"/>
      <c r="G3367" s="109"/>
      <c r="H3367" s="109"/>
      <c r="I3367" s="97"/>
      <c r="J3367" s="97"/>
      <c r="K3367" s="83"/>
      <c r="L3367" s="111"/>
      <c r="M3367" s="111"/>
      <c r="N3367" s="111"/>
      <c r="O3367" s="111"/>
      <c r="P3367" s="111"/>
      <c r="Q3367" s="111"/>
      <c r="R3367" s="111"/>
    </row>
    <row r="3368" spans="2:18" s="108" customFormat="1">
      <c r="B3368" s="97"/>
      <c r="C3368" s="110"/>
      <c r="D3368" s="109"/>
      <c r="E3368" s="97"/>
      <c r="F3368" s="97"/>
      <c r="G3368" s="109"/>
      <c r="H3368" s="109"/>
      <c r="I3368" s="97"/>
      <c r="J3368" s="97"/>
      <c r="K3368" s="83"/>
      <c r="L3368" s="111"/>
      <c r="M3368" s="111"/>
      <c r="N3368" s="111"/>
      <c r="O3368" s="111"/>
      <c r="P3368" s="111"/>
      <c r="Q3368" s="111"/>
      <c r="R3368" s="111"/>
    </row>
    <row r="3369" spans="2:18" s="108" customFormat="1">
      <c r="B3369" s="97"/>
      <c r="C3369" s="110"/>
      <c r="D3369" s="109"/>
      <c r="E3369" s="97"/>
      <c r="F3369" s="97"/>
      <c r="G3369" s="109"/>
      <c r="H3369" s="109"/>
      <c r="I3369" s="97"/>
      <c r="J3369" s="97"/>
      <c r="K3369" s="83"/>
      <c r="L3369" s="111"/>
      <c r="M3369" s="111"/>
      <c r="N3369" s="111"/>
      <c r="O3369" s="111"/>
      <c r="P3369" s="111"/>
      <c r="Q3369" s="111"/>
      <c r="R3369" s="111"/>
    </row>
    <row r="3370" spans="2:18" s="108" customFormat="1">
      <c r="B3370" s="97"/>
      <c r="C3370" s="110"/>
      <c r="D3370" s="109"/>
      <c r="E3370" s="97"/>
      <c r="F3370" s="97"/>
      <c r="G3370" s="109"/>
      <c r="H3370" s="109"/>
      <c r="I3370" s="97"/>
      <c r="J3370" s="97"/>
      <c r="K3370" s="83"/>
      <c r="L3370" s="111"/>
      <c r="M3370" s="111"/>
      <c r="N3370" s="111"/>
      <c r="O3370" s="111"/>
      <c r="P3370" s="111"/>
      <c r="Q3370" s="111"/>
      <c r="R3370" s="111"/>
    </row>
    <row r="3371" spans="2:18" s="108" customFormat="1">
      <c r="B3371" s="97"/>
      <c r="C3371" s="110"/>
      <c r="D3371" s="109"/>
      <c r="E3371" s="97"/>
      <c r="F3371" s="97"/>
      <c r="G3371" s="109"/>
      <c r="H3371" s="109"/>
      <c r="I3371" s="97"/>
      <c r="J3371" s="97"/>
      <c r="K3371" s="83"/>
      <c r="L3371" s="111"/>
      <c r="M3371" s="111"/>
      <c r="N3371" s="111"/>
      <c r="O3371" s="111"/>
      <c r="P3371" s="111"/>
      <c r="Q3371" s="111"/>
      <c r="R3371" s="111"/>
    </row>
    <row r="3372" spans="2:18" s="108" customFormat="1">
      <c r="B3372" s="97"/>
      <c r="C3372" s="110"/>
      <c r="D3372" s="109"/>
      <c r="E3372" s="97"/>
      <c r="F3372" s="97"/>
      <c r="G3372" s="109"/>
      <c r="H3372" s="109"/>
      <c r="I3372" s="97"/>
      <c r="J3372" s="97"/>
      <c r="K3372" s="83"/>
      <c r="L3372" s="111"/>
      <c r="M3372" s="111"/>
      <c r="N3372" s="111"/>
      <c r="O3372" s="111"/>
      <c r="P3372" s="111"/>
      <c r="Q3372" s="111"/>
      <c r="R3372" s="111"/>
    </row>
    <row r="3373" spans="2:18" s="108" customFormat="1">
      <c r="B3373" s="97"/>
      <c r="C3373" s="110"/>
      <c r="D3373" s="109"/>
      <c r="E3373" s="97"/>
      <c r="F3373" s="97"/>
      <c r="G3373" s="109"/>
      <c r="H3373" s="109"/>
      <c r="I3373" s="97"/>
      <c r="J3373" s="97"/>
      <c r="K3373" s="83"/>
      <c r="L3373" s="111"/>
      <c r="M3373" s="111"/>
      <c r="N3373" s="111"/>
      <c r="O3373" s="111"/>
      <c r="P3373" s="111"/>
      <c r="Q3373" s="111"/>
      <c r="R3373" s="111"/>
    </row>
    <row r="3374" spans="2:18" s="108" customFormat="1">
      <c r="B3374" s="97"/>
      <c r="C3374" s="110"/>
      <c r="D3374" s="109"/>
      <c r="E3374" s="97"/>
      <c r="F3374" s="97"/>
      <c r="G3374" s="109"/>
      <c r="H3374" s="109"/>
      <c r="I3374" s="97"/>
      <c r="J3374" s="97"/>
      <c r="K3374" s="83"/>
      <c r="L3374" s="111"/>
      <c r="M3374" s="111"/>
      <c r="N3374" s="111"/>
      <c r="O3374" s="111"/>
      <c r="P3374" s="111"/>
      <c r="Q3374" s="111"/>
      <c r="R3374" s="111"/>
    </row>
    <row r="3375" spans="2:18" s="108" customFormat="1">
      <c r="B3375" s="97"/>
      <c r="C3375" s="110"/>
      <c r="D3375" s="109"/>
      <c r="E3375" s="97"/>
      <c r="F3375" s="97"/>
      <c r="G3375" s="109"/>
      <c r="H3375" s="109"/>
      <c r="I3375" s="97"/>
      <c r="J3375" s="97"/>
      <c r="K3375" s="83"/>
      <c r="L3375" s="111"/>
      <c r="M3375" s="111"/>
      <c r="N3375" s="111"/>
      <c r="O3375" s="111"/>
      <c r="P3375" s="111"/>
      <c r="Q3375" s="111"/>
      <c r="R3375" s="111"/>
    </row>
    <row r="3376" spans="2:18" s="108" customFormat="1">
      <c r="B3376" s="97"/>
      <c r="C3376" s="110"/>
      <c r="D3376" s="109"/>
      <c r="E3376" s="97"/>
      <c r="F3376" s="97"/>
      <c r="G3376" s="109"/>
      <c r="H3376" s="109"/>
      <c r="I3376" s="97"/>
      <c r="J3376" s="97"/>
      <c r="K3376" s="83"/>
      <c r="L3376" s="111"/>
      <c r="M3376" s="111"/>
      <c r="N3376" s="111"/>
      <c r="O3376" s="111"/>
      <c r="P3376" s="111"/>
      <c r="Q3376" s="111"/>
      <c r="R3376" s="111"/>
    </row>
    <row r="3377" spans="2:18" s="108" customFormat="1">
      <c r="B3377" s="97"/>
      <c r="C3377" s="110"/>
      <c r="D3377" s="109"/>
      <c r="E3377" s="97"/>
      <c r="F3377" s="97"/>
      <c r="G3377" s="109"/>
      <c r="H3377" s="109"/>
      <c r="I3377" s="97"/>
      <c r="J3377" s="97"/>
      <c r="K3377" s="83"/>
      <c r="L3377" s="111"/>
      <c r="M3377" s="111"/>
      <c r="N3377" s="111"/>
      <c r="O3377" s="111"/>
      <c r="P3377" s="111"/>
      <c r="Q3377" s="111"/>
      <c r="R3377" s="111"/>
    </row>
    <row r="3378" spans="2:18" s="108" customFormat="1">
      <c r="B3378" s="97"/>
      <c r="C3378" s="110"/>
      <c r="D3378" s="109"/>
      <c r="E3378" s="97"/>
      <c r="F3378" s="97"/>
      <c r="G3378" s="109"/>
      <c r="H3378" s="109"/>
      <c r="I3378" s="97"/>
      <c r="J3378" s="97"/>
      <c r="K3378" s="83"/>
      <c r="L3378" s="111"/>
      <c r="M3378" s="111"/>
      <c r="N3378" s="111"/>
      <c r="O3378" s="111"/>
      <c r="P3378" s="111"/>
      <c r="Q3378" s="111"/>
      <c r="R3378" s="111"/>
    </row>
    <row r="3379" spans="2:18" s="108" customFormat="1">
      <c r="B3379" s="97"/>
      <c r="C3379" s="110"/>
      <c r="D3379" s="109"/>
      <c r="E3379" s="97"/>
      <c r="F3379" s="97"/>
      <c r="G3379" s="109"/>
      <c r="H3379" s="109"/>
      <c r="I3379" s="97"/>
      <c r="J3379" s="97"/>
      <c r="K3379" s="83"/>
      <c r="L3379" s="111"/>
      <c r="M3379" s="111"/>
      <c r="N3379" s="111"/>
      <c r="O3379" s="111"/>
      <c r="P3379" s="111"/>
      <c r="Q3379" s="111"/>
      <c r="R3379" s="111"/>
    </row>
    <row r="3380" spans="2:18" s="108" customFormat="1">
      <c r="B3380" s="97"/>
      <c r="C3380" s="110"/>
      <c r="D3380" s="109"/>
      <c r="E3380" s="97"/>
      <c r="F3380" s="97"/>
      <c r="G3380" s="109"/>
      <c r="H3380" s="109"/>
      <c r="I3380" s="97"/>
      <c r="J3380" s="97"/>
      <c r="K3380" s="83"/>
      <c r="L3380" s="111"/>
      <c r="M3380" s="111"/>
      <c r="N3380" s="111"/>
      <c r="O3380" s="111"/>
      <c r="P3380" s="111"/>
      <c r="Q3380" s="111"/>
      <c r="R3380" s="111"/>
    </row>
    <row r="3381" spans="2:18" s="108" customFormat="1">
      <c r="B3381" s="97"/>
      <c r="C3381" s="110"/>
      <c r="D3381" s="109"/>
      <c r="E3381" s="97"/>
      <c r="F3381" s="97"/>
      <c r="G3381" s="109"/>
      <c r="H3381" s="109"/>
      <c r="I3381" s="97"/>
      <c r="J3381" s="97"/>
      <c r="K3381" s="83"/>
      <c r="L3381" s="111"/>
      <c r="M3381" s="111"/>
      <c r="N3381" s="111"/>
      <c r="O3381" s="111"/>
      <c r="P3381" s="111"/>
      <c r="Q3381" s="111"/>
      <c r="R3381" s="111"/>
    </row>
    <row r="3382" spans="2:18" s="108" customFormat="1">
      <c r="B3382" s="97"/>
      <c r="C3382" s="110"/>
      <c r="D3382" s="109"/>
      <c r="E3382" s="97"/>
      <c r="F3382" s="97"/>
      <c r="G3382" s="109"/>
      <c r="H3382" s="109"/>
      <c r="I3382" s="97"/>
      <c r="J3382" s="97"/>
      <c r="K3382" s="83"/>
      <c r="L3382" s="111"/>
      <c r="M3382" s="111"/>
      <c r="N3382" s="111"/>
      <c r="O3382" s="111"/>
      <c r="P3382" s="111"/>
      <c r="Q3382" s="111"/>
      <c r="R3382" s="111"/>
    </row>
    <row r="3383" spans="2:18" s="108" customFormat="1">
      <c r="B3383" s="97"/>
      <c r="C3383" s="110"/>
      <c r="D3383" s="109"/>
      <c r="E3383" s="97"/>
      <c r="F3383" s="97"/>
      <c r="G3383" s="109"/>
      <c r="H3383" s="109"/>
      <c r="I3383" s="97"/>
      <c r="J3383" s="97"/>
      <c r="K3383" s="83"/>
      <c r="L3383" s="111"/>
      <c r="M3383" s="111"/>
      <c r="N3383" s="111"/>
      <c r="O3383" s="111"/>
      <c r="P3383" s="111"/>
      <c r="Q3383" s="111"/>
      <c r="R3383" s="111"/>
    </row>
    <row r="3384" spans="2:18" s="108" customFormat="1">
      <c r="B3384" s="97"/>
      <c r="C3384" s="110"/>
      <c r="D3384" s="109"/>
      <c r="E3384" s="97"/>
      <c r="F3384" s="97"/>
      <c r="G3384" s="109"/>
      <c r="H3384" s="109"/>
      <c r="I3384" s="97"/>
      <c r="J3384" s="97"/>
      <c r="K3384" s="83"/>
      <c r="L3384" s="111"/>
      <c r="M3384" s="111"/>
      <c r="N3384" s="111"/>
      <c r="O3384" s="111"/>
      <c r="P3384" s="111"/>
      <c r="Q3384" s="111"/>
      <c r="R3384" s="111"/>
    </row>
    <row r="3385" spans="2:18" s="108" customFormat="1">
      <c r="B3385" s="97"/>
      <c r="C3385" s="110"/>
      <c r="D3385" s="109"/>
      <c r="E3385" s="97"/>
      <c r="F3385" s="97"/>
      <c r="G3385" s="109"/>
      <c r="H3385" s="109"/>
      <c r="I3385" s="97"/>
      <c r="J3385" s="97"/>
      <c r="K3385" s="83"/>
      <c r="L3385" s="111"/>
      <c r="M3385" s="111"/>
      <c r="N3385" s="111"/>
      <c r="O3385" s="111"/>
      <c r="P3385" s="111"/>
      <c r="Q3385" s="111"/>
      <c r="R3385" s="111"/>
    </row>
    <row r="3386" spans="2:18" s="108" customFormat="1">
      <c r="B3386" s="97"/>
      <c r="C3386" s="110"/>
      <c r="D3386" s="109"/>
      <c r="E3386" s="97"/>
      <c r="F3386" s="97"/>
      <c r="G3386" s="109"/>
      <c r="H3386" s="109"/>
      <c r="I3386" s="97"/>
      <c r="J3386" s="97"/>
      <c r="K3386" s="83"/>
      <c r="L3386" s="111"/>
      <c r="M3386" s="111"/>
      <c r="N3386" s="111"/>
      <c r="O3386" s="111"/>
      <c r="P3386" s="111"/>
      <c r="Q3386" s="111"/>
      <c r="R3386" s="111"/>
    </row>
    <row r="3387" spans="2:18" s="108" customFormat="1">
      <c r="B3387" s="97"/>
      <c r="C3387" s="110"/>
      <c r="D3387" s="109"/>
      <c r="E3387" s="97"/>
      <c r="F3387" s="97"/>
      <c r="G3387" s="109"/>
      <c r="H3387" s="109"/>
      <c r="I3387" s="97"/>
      <c r="J3387" s="97"/>
      <c r="K3387" s="83"/>
      <c r="L3387" s="111"/>
      <c r="M3387" s="111"/>
      <c r="N3387" s="111"/>
      <c r="O3387" s="111"/>
      <c r="P3387" s="111"/>
      <c r="Q3387" s="111"/>
      <c r="R3387" s="111"/>
    </row>
    <row r="3388" spans="2:18" s="108" customFormat="1">
      <c r="B3388" s="97"/>
      <c r="C3388" s="110"/>
      <c r="D3388" s="109"/>
      <c r="E3388" s="97"/>
      <c r="F3388" s="97"/>
      <c r="G3388" s="109"/>
      <c r="H3388" s="109"/>
      <c r="I3388" s="97"/>
      <c r="J3388" s="97"/>
      <c r="K3388" s="83"/>
      <c r="L3388" s="111"/>
      <c r="M3388" s="111"/>
      <c r="N3388" s="111"/>
      <c r="O3388" s="111"/>
      <c r="P3388" s="111"/>
      <c r="Q3388" s="111"/>
      <c r="R3388" s="111"/>
    </row>
    <row r="3389" spans="2:18" s="108" customFormat="1">
      <c r="B3389" s="97"/>
      <c r="C3389" s="110"/>
      <c r="D3389" s="109"/>
      <c r="E3389" s="97"/>
      <c r="F3389" s="97"/>
      <c r="G3389" s="109"/>
      <c r="H3389" s="109"/>
      <c r="I3389" s="97"/>
      <c r="J3389" s="97"/>
      <c r="K3389" s="83"/>
      <c r="L3389" s="111"/>
      <c r="M3389" s="111"/>
      <c r="N3389" s="111"/>
      <c r="O3389" s="111"/>
      <c r="P3389" s="111"/>
      <c r="Q3389" s="111"/>
      <c r="R3389" s="111"/>
    </row>
    <row r="3390" spans="2:18" s="108" customFormat="1">
      <c r="B3390" s="97"/>
      <c r="C3390" s="110"/>
      <c r="D3390" s="109"/>
      <c r="E3390" s="97"/>
      <c r="F3390" s="97"/>
      <c r="G3390" s="109"/>
      <c r="H3390" s="109"/>
      <c r="I3390" s="97"/>
      <c r="J3390" s="97"/>
      <c r="K3390" s="83"/>
      <c r="L3390" s="111"/>
      <c r="M3390" s="111"/>
      <c r="N3390" s="111"/>
      <c r="O3390" s="111"/>
      <c r="P3390" s="111"/>
      <c r="Q3390" s="111"/>
      <c r="R3390" s="111"/>
    </row>
    <row r="3391" spans="2:18" s="108" customFormat="1">
      <c r="B3391" s="97"/>
      <c r="C3391" s="110"/>
      <c r="D3391" s="109"/>
      <c r="E3391" s="97"/>
      <c r="F3391" s="97"/>
      <c r="G3391" s="109"/>
      <c r="H3391" s="109"/>
      <c r="I3391" s="97"/>
      <c r="J3391" s="97"/>
      <c r="K3391" s="83"/>
      <c r="L3391" s="111"/>
      <c r="M3391" s="111"/>
      <c r="N3391" s="111"/>
      <c r="O3391" s="111"/>
      <c r="P3391" s="111"/>
      <c r="Q3391" s="111"/>
      <c r="R3391" s="111"/>
    </row>
    <row r="3392" spans="2:18" s="108" customFormat="1">
      <c r="B3392" s="97"/>
      <c r="C3392" s="110"/>
      <c r="D3392" s="109"/>
      <c r="E3392" s="97"/>
      <c r="F3392" s="97"/>
      <c r="G3392" s="109"/>
      <c r="H3392" s="109"/>
      <c r="I3392" s="97"/>
      <c r="J3392" s="97"/>
      <c r="K3392" s="83"/>
      <c r="L3392" s="111"/>
      <c r="M3392" s="111"/>
      <c r="N3392" s="111"/>
      <c r="O3392" s="111"/>
      <c r="P3392" s="111"/>
      <c r="Q3392" s="111"/>
      <c r="R3392" s="111"/>
    </row>
    <row r="3393" spans="2:18" s="108" customFormat="1">
      <c r="B3393" s="97"/>
      <c r="C3393" s="110"/>
      <c r="D3393" s="109"/>
      <c r="E3393" s="97"/>
      <c r="F3393" s="97"/>
      <c r="G3393" s="109"/>
      <c r="H3393" s="109"/>
      <c r="I3393" s="97"/>
      <c r="J3393" s="97"/>
      <c r="K3393" s="83"/>
      <c r="L3393" s="111"/>
      <c r="M3393" s="111"/>
      <c r="N3393" s="111"/>
      <c r="O3393" s="111"/>
      <c r="P3393" s="111"/>
      <c r="Q3393" s="111"/>
      <c r="R3393" s="111"/>
    </row>
    <row r="3394" spans="2:18" s="108" customFormat="1">
      <c r="B3394" s="97"/>
      <c r="C3394" s="110"/>
      <c r="D3394" s="109"/>
      <c r="E3394" s="97"/>
      <c r="F3394" s="97"/>
      <c r="G3394" s="109"/>
      <c r="H3394" s="109"/>
      <c r="I3394" s="97"/>
      <c r="J3394" s="97"/>
      <c r="K3394" s="83"/>
      <c r="L3394" s="111"/>
      <c r="M3394" s="111"/>
      <c r="N3394" s="111"/>
      <c r="O3394" s="111"/>
      <c r="P3394" s="111"/>
      <c r="Q3394" s="111"/>
      <c r="R3394" s="111"/>
    </row>
    <row r="3395" spans="2:18" s="108" customFormat="1">
      <c r="B3395" s="97"/>
      <c r="C3395" s="110"/>
      <c r="D3395" s="109"/>
      <c r="E3395" s="97"/>
      <c r="F3395" s="97"/>
      <c r="G3395" s="109"/>
      <c r="H3395" s="109"/>
      <c r="I3395" s="97"/>
      <c r="J3395" s="97"/>
      <c r="K3395" s="83"/>
      <c r="L3395" s="111"/>
      <c r="M3395" s="111"/>
      <c r="N3395" s="111"/>
      <c r="O3395" s="111"/>
      <c r="P3395" s="111"/>
      <c r="Q3395" s="111"/>
      <c r="R3395" s="111"/>
    </row>
    <row r="3396" spans="2:18" s="108" customFormat="1">
      <c r="B3396" s="97"/>
      <c r="C3396" s="110"/>
      <c r="D3396" s="109"/>
      <c r="E3396" s="97"/>
      <c r="F3396" s="97"/>
      <c r="G3396" s="109"/>
      <c r="H3396" s="109"/>
      <c r="I3396" s="97"/>
      <c r="J3396" s="97"/>
      <c r="K3396" s="83"/>
      <c r="L3396" s="111"/>
      <c r="M3396" s="111"/>
      <c r="N3396" s="111"/>
      <c r="O3396" s="111"/>
      <c r="P3396" s="111"/>
      <c r="Q3396" s="111"/>
      <c r="R3396" s="111"/>
    </row>
    <row r="3397" spans="2:18" s="108" customFormat="1">
      <c r="B3397" s="97"/>
      <c r="C3397" s="110"/>
      <c r="D3397" s="109"/>
      <c r="E3397" s="97"/>
      <c r="F3397" s="97"/>
      <c r="G3397" s="109"/>
      <c r="H3397" s="109"/>
      <c r="I3397" s="97"/>
      <c r="J3397" s="97"/>
      <c r="K3397" s="83"/>
      <c r="L3397" s="111"/>
      <c r="M3397" s="111"/>
      <c r="N3397" s="111"/>
      <c r="O3397" s="111"/>
      <c r="P3397" s="111"/>
      <c r="Q3397" s="111"/>
      <c r="R3397" s="111"/>
    </row>
    <row r="3398" spans="2:18" s="108" customFormat="1">
      <c r="B3398" s="97"/>
      <c r="C3398" s="110"/>
      <c r="D3398" s="109"/>
      <c r="E3398" s="97"/>
      <c r="F3398" s="97"/>
      <c r="G3398" s="109"/>
      <c r="H3398" s="109"/>
      <c r="I3398" s="97"/>
      <c r="J3398" s="97"/>
      <c r="K3398" s="83"/>
      <c r="L3398" s="111"/>
      <c r="M3398" s="111"/>
      <c r="N3398" s="111"/>
      <c r="O3398" s="111"/>
      <c r="P3398" s="111"/>
      <c r="Q3398" s="111"/>
      <c r="R3398" s="111"/>
    </row>
    <row r="3399" spans="2:18" s="108" customFormat="1">
      <c r="B3399" s="97"/>
      <c r="C3399" s="110"/>
      <c r="D3399" s="109"/>
      <c r="E3399" s="97"/>
      <c r="F3399" s="97"/>
      <c r="G3399" s="109"/>
      <c r="H3399" s="109"/>
      <c r="I3399" s="97"/>
      <c r="J3399" s="97"/>
      <c r="K3399" s="83"/>
      <c r="L3399" s="111"/>
      <c r="M3399" s="111"/>
      <c r="N3399" s="111"/>
      <c r="O3399" s="111"/>
      <c r="P3399" s="111"/>
      <c r="Q3399" s="111"/>
      <c r="R3399" s="111"/>
    </row>
    <row r="3400" spans="2:18" s="108" customFormat="1">
      <c r="B3400" s="97"/>
      <c r="C3400" s="110"/>
      <c r="D3400" s="109"/>
      <c r="E3400" s="97"/>
      <c r="F3400" s="97"/>
      <c r="G3400" s="109"/>
      <c r="H3400" s="109"/>
      <c r="I3400" s="97"/>
      <c r="J3400" s="97"/>
      <c r="K3400" s="83"/>
      <c r="L3400" s="111"/>
      <c r="M3400" s="111"/>
      <c r="N3400" s="111"/>
      <c r="O3400" s="111"/>
      <c r="P3400" s="111"/>
      <c r="Q3400" s="111"/>
      <c r="R3400" s="111"/>
    </row>
    <row r="3401" spans="2:18" s="108" customFormat="1">
      <c r="B3401" s="97"/>
      <c r="C3401" s="110"/>
      <c r="D3401" s="109"/>
      <c r="E3401" s="97"/>
      <c r="F3401" s="97"/>
      <c r="G3401" s="109"/>
      <c r="H3401" s="109"/>
      <c r="I3401" s="97"/>
      <c r="J3401" s="97"/>
      <c r="K3401" s="83"/>
      <c r="L3401" s="111"/>
      <c r="M3401" s="111"/>
      <c r="N3401" s="111"/>
      <c r="O3401" s="111"/>
      <c r="P3401" s="111"/>
      <c r="Q3401" s="111"/>
      <c r="R3401" s="111"/>
    </row>
    <row r="3402" spans="2:18" s="108" customFormat="1">
      <c r="B3402" s="97"/>
      <c r="C3402" s="110"/>
      <c r="D3402" s="109"/>
      <c r="E3402" s="97"/>
      <c r="F3402" s="97"/>
      <c r="G3402" s="109"/>
      <c r="H3402" s="109"/>
      <c r="I3402" s="97"/>
      <c r="J3402" s="97"/>
      <c r="K3402" s="83"/>
      <c r="L3402" s="111"/>
      <c r="M3402" s="111"/>
      <c r="N3402" s="111"/>
      <c r="O3402" s="111"/>
      <c r="P3402" s="111"/>
      <c r="Q3402" s="111"/>
      <c r="R3402" s="111"/>
    </row>
    <row r="3403" spans="2:18" s="108" customFormat="1">
      <c r="B3403" s="97"/>
      <c r="C3403" s="110"/>
      <c r="D3403" s="109"/>
      <c r="E3403" s="97"/>
      <c r="F3403" s="97"/>
      <c r="G3403" s="109"/>
      <c r="H3403" s="109"/>
      <c r="I3403" s="97"/>
      <c r="J3403" s="97"/>
      <c r="K3403" s="83"/>
      <c r="L3403" s="111"/>
      <c r="M3403" s="111"/>
      <c r="N3403" s="111"/>
      <c r="O3403" s="111"/>
      <c r="P3403" s="111"/>
      <c r="Q3403" s="111"/>
      <c r="R3403" s="111"/>
    </row>
    <row r="3404" spans="2:18" s="108" customFormat="1">
      <c r="B3404" s="97"/>
      <c r="C3404" s="110"/>
      <c r="D3404" s="109"/>
      <c r="E3404" s="97"/>
      <c r="F3404" s="97"/>
      <c r="G3404" s="109"/>
      <c r="H3404" s="109"/>
      <c r="I3404" s="97"/>
      <c r="J3404" s="97"/>
      <c r="K3404" s="83"/>
      <c r="L3404" s="111"/>
      <c r="M3404" s="111"/>
      <c r="N3404" s="111"/>
      <c r="O3404" s="111"/>
      <c r="P3404" s="111"/>
      <c r="Q3404" s="111"/>
      <c r="R3404" s="111"/>
    </row>
    <row r="3405" spans="2:18" s="108" customFormat="1">
      <c r="B3405" s="97"/>
      <c r="C3405" s="110"/>
      <c r="D3405" s="109"/>
      <c r="E3405" s="97"/>
      <c r="F3405" s="97"/>
      <c r="G3405" s="109"/>
      <c r="H3405" s="109"/>
      <c r="I3405" s="97"/>
      <c r="J3405" s="97"/>
      <c r="K3405" s="83"/>
      <c r="L3405" s="111"/>
      <c r="M3405" s="111"/>
      <c r="N3405" s="111"/>
      <c r="O3405" s="111"/>
      <c r="P3405" s="111"/>
      <c r="Q3405" s="111"/>
      <c r="R3405" s="111"/>
    </row>
    <row r="3406" spans="2:18" s="108" customFormat="1">
      <c r="B3406" s="97"/>
      <c r="C3406" s="110"/>
      <c r="D3406" s="109"/>
      <c r="E3406" s="97"/>
      <c r="F3406" s="97"/>
      <c r="G3406" s="109"/>
      <c r="H3406" s="109"/>
      <c r="I3406" s="97"/>
      <c r="J3406" s="97"/>
      <c r="K3406" s="83"/>
      <c r="L3406" s="111"/>
      <c r="M3406" s="111"/>
      <c r="N3406" s="111"/>
      <c r="O3406" s="111"/>
      <c r="P3406" s="111"/>
      <c r="Q3406" s="111"/>
      <c r="R3406" s="111"/>
    </row>
    <row r="3407" spans="2:18" s="108" customFormat="1">
      <c r="B3407" s="97"/>
      <c r="C3407" s="110"/>
      <c r="D3407" s="109"/>
      <c r="E3407" s="97"/>
      <c r="F3407" s="97"/>
      <c r="G3407" s="109"/>
      <c r="H3407" s="109"/>
      <c r="I3407" s="97"/>
      <c r="J3407" s="97"/>
      <c r="K3407" s="83"/>
      <c r="L3407" s="111"/>
      <c r="M3407" s="111"/>
      <c r="N3407" s="111"/>
      <c r="O3407" s="111"/>
      <c r="P3407" s="111"/>
      <c r="Q3407" s="111"/>
      <c r="R3407" s="111"/>
    </row>
    <row r="3408" spans="2:18" s="108" customFormat="1">
      <c r="B3408" s="97"/>
      <c r="C3408" s="110"/>
      <c r="D3408" s="109"/>
      <c r="E3408" s="97"/>
      <c r="F3408" s="97"/>
      <c r="G3408" s="109"/>
      <c r="H3408" s="109"/>
      <c r="I3408" s="97"/>
      <c r="J3408" s="97"/>
      <c r="K3408" s="83"/>
      <c r="L3408" s="111"/>
      <c r="M3408" s="111"/>
      <c r="N3408" s="111"/>
      <c r="O3408" s="111"/>
      <c r="P3408" s="111"/>
      <c r="Q3408" s="111"/>
      <c r="R3408" s="111"/>
    </row>
    <row r="3409" spans="2:18" s="108" customFormat="1">
      <c r="B3409" s="97"/>
      <c r="C3409" s="110"/>
      <c r="D3409" s="109"/>
      <c r="E3409" s="97"/>
      <c r="F3409" s="97"/>
      <c r="G3409" s="109"/>
      <c r="H3409" s="109"/>
      <c r="I3409" s="97"/>
      <c r="J3409" s="97"/>
      <c r="K3409" s="83"/>
      <c r="L3409" s="111"/>
      <c r="M3409" s="111"/>
      <c r="N3409" s="111"/>
      <c r="O3409" s="111"/>
      <c r="P3409" s="111"/>
      <c r="Q3409" s="111"/>
      <c r="R3409" s="111"/>
    </row>
    <row r="3410" spans="2:18" s="108" customFormat="1">
      <c r="B3410" s="97"/>
      <c r="C3410" s="110"/>
      <c r="D3410" s="109"/>
      <c r="E3410" s="97"/>
      <c r="F3410" s="97"/>
      <c r="G3410" s="109"/>
      <c r="H3410" s="109"/>
      <c r="I3410" s="97"/>
      <c r="J3410" s="97"/>
      <c r="K3410" s="83"/>
      <c r="L3410" s="111"/>
      <c r="M3410" s="111"/>
      <c r="N3410" s="111"/>
      <c r="O3410" s="111"/>
      <c r="P3410" s="111"/>
      <c r="Q3410" s="111"/>
      <c r="R3410" s="111"/>
    </row>
    <row r="3411" spans="2:18" s="108" customFormat="1">
      <c r="B3411" s="97"/>
      <c r="C3411" s="110"/>
      <c r="D3411" s="109"/>
      <c r="E3411" s="97"/>
      <c r="F3411" s="97"/>
      <c r="G3411" s="109"/>
      <c r="H3411" s="109"/>
      <c r="I3411" s="97"/>
      <c r="J3411" s="97"/>
      <c r="K3411" s="83"/>
      <c r="L3411" s="111"/>
      <c r="M3411" s="111"/>
      <c r="N3411" s="111"/>
      <c r="O3411" s="111"/>
      <c r="P3411" s="111"/>
      <c r="Q3411" s="111"/>
      <c r="R3411" s="111"/>
    </row>
    <row r="3412" spans="2:18" s="108" customFormat="1">
      <c r="B3412" s="97"/>
      <c r="C3412" s="110"/>
      <c r="D3412" s="109"/>
      <c r="E3412" s="97"/>
      <c r="F3412" s="97"/>
      <c r="G3412" s="109"/>
      <c r="H3412" s="109"/>
      <c r="I3412" s="97"/>
      <c r="J3412" s="97"/>
      <c r="K3412" s="83"/>
      <c r="L3412" s="111"/>
      <c r="M3412" s="111"/>
      <c r="N3412" s="111"/>
      <c r="O3412" s="111"/>
      <c r="P3412" s="111"/>
      <c r="Q3412" s="111"/>
      <c r="R3412" s="111"/>
    </row>
    <row r="3413" spans="2:18" s="108" customFormat="1">
      <c r="B3413" s="97"/>
      <c r="C3413" s="110"/>
      <c r="D3413" s="109"/>
      <c r="E3413" s="97"/>
      <c r="F3413" s="97"/>
      <c r="G3413" s="109"/>
      <c r="H3413" s="109"/>
      <c r="I3413" s="97"/>
      <c r="J3413" s="97"/>
      <c r="K3413" s="83"/>
      <c r="L3413" s="111"/>
      <c r="M3413" s="111"/>
      <c r="N3413" s="111"/>
      <c r="O3413" s="111"/>
      <c r="P3413" s="111"/>
      <c r="Q3413" s="111"/>
      <c r="R3413" s="111"/>
    </row>
    <row r="3414" spans="2:18" s="108" customFormat="1">
      <c r="B3414" s="97"/>
      <c r="C3414" s="110"/>
      <c r="D3414" s="109"/>
      <c r="E3414" s="97"/>
      <c r="F3414" s="97"/>
      <c r="G3414" s="109"/>
      <c r="H3414" s="109"/>
      <c r="I3414" s="97"/>
      <c r="J3414" s="97"/>
      <c r="K3414" s="83"/>
      <c r="L3414" s="111"/>
      <c r="M3414" s="111"/>
      <c r="N3414" s="111"/>
      <c r="O3414" s="111"/>
      <c r="P3414" s="111"/>
      <c r="Q3414" s="111"/>
      <c r="R3414" s="111"/>
    </row>
    <row r="3415" spans="2:18" s="108" customFormat="1">
      <c r="B3415" s="97"/>
      <c r="C3415" s="110"/>
      <c r="D3415" s="109"/>
      <c r="E3415" s="97"/>
      <c r="F3415" s="97"/>
      <c r="G3415" s="109"/>
      <c r="H3415" s="109"/>
      <c r="I3415" s="97"/>
      <c r="J3415" s="97"/>
      <c r="K3415" s="83"/>
      <c r="L3415" s="111"/>
      <c r="M3415" s="111"/>
      <c r="N3415" s="111"/>
      <c r="O3415" s="111"/>
      <c r="P3415" s="111"/>
      <c r="Q3415" s="111"/>
      <c r="R3415" s="111"/>
    </row>
    <row r="3416" spans="2:18" s="108" customFormat="1">
      <c r="B3416" s="97"/>
      <c r="C3416" s="110"/>
      <c r="D3416" s="109"/>
      <c r="E3416" s="97"/>
      <c r="F3416" s="97"/>
      <c r="G3416" s="109"/>
      <c r="H3416" s="109"/>
      <c r="I3416" s="97"/>
      <c r="J3416" s="97"/>
      <c r="K3416" s="83"/>
      <c r="L3416" s="111"/>
      <c r="M3416" s="111"/>
      <c r="N3416" s="111"/>
      <c r="O3416" s="111"/>
      <c r="P3416" s="111"/>
      <c r="Q3416" s="111"/>
      <c r="R3416" s="111"/>
    </row>
    <row r="3417" spans="2:18" s="108" customFormat="1">
      <c r="B3417" s="97"/>
      <c r="C3417" s="110"/>
      <c r="D3417" s="109"/>
      <c r="E3417" s="97"/>
      <c r="F3417" s="97"/>
      <c r="G3417" s="109"/>
      <c r="H3417" s="109"/>
      <c r="I3417" s="97"/>
      <c r="J3417" s="97"/>
      <c r="K3417" s="83"/>
      <c r="L3417" s="111"/>
      <c r="M3417" s="111"/>
      <c r="N3417" s="111"/>
      <c r="O3417" s="111"/>
      <c r="P3417" s="111"/>
      <c r="Q3417" s="111"/>
      <c r="R3417" s="111"/>
    </row>
    <row r="3418" spans="2:18" s="108" customFormat="1">
      <c r="B3418" s="97"/>
      <c r="C3418" s="110"/>
      <c r="D3418" s="109"/>
      <c r="E3418" s="97"/>
      <c r="F3418" s="97"/>
      <c r="G3418" s="109"/>
      <c r="H3418" s="109"/>
      <c r="I3418" s="97"/>
      <c r="J3418" s="97"/>
      <c r="K3418" s="83"/>
      <c r="L3418" s="111"/>
      <c r="M3418" s="111"/>
      <c r="N3418" s="111"/>
      <c r="O3418" s="111"/>
      <c r="P3418" s="111"/>
      <c r="Q3418" s="111"/>
      <c r="R3418" s="111"/>
    </row>
    <row r="3419" spans="2:18" s="108" customFormat="1">
      <c r="B3419" s="97"/>
      <c r="C3419" s="110"/>
      <c r="D3419" s="109"/>
      <c r="E3419" s="97"/>
      <c r="F3419" s="97"/>
      <c r="G3419" s="109"/>
      <c r="H3419" s="109"/>
      <c r="I3419" s="97"/>
      <c r="J3419" s="97"/>
      <c r="K3419" s="83"/>
      <c r="L3419" s="111"/>
      <c r="M3419" s="111"/>
      <c r="N3419" s="111"/>
      <c r="O3419" s="111"/>
      <c r="P3419" s="111"/>
      <c r="Q3419" s="111"/>
      <c r="R3419" s="111"/>
    </row>
    <row r="3420" spans="2:18" s="108" customFormat="1">
      <c r="B3420" s="97"/>
      <c r="C3420" s="110"/>
      <c r="D3420" s="109"/>
      <c r="E3420" s="97"/>
      <c r="F3420" s="97"/>
      <c r="G3420" s="109"/>
      <c r="H3420" s="109"/>
      <c r="I3420" s="97"/>
      <c r="J3420" s="97"/>
      <c r="K3420" s="83"/>
      <c r="L3420" s="111"/>
      <c r="M3420" s="111"/>
      <c r="N3420" s="111"/>
      <c r="O3420" s="111"/>
      <c r="P3420" s="111"/>
      <c r="Q3420" s="111"/>
      <c r="R3420" s="111"/>
    </row>
    <row r="3421" spans="2:18" s="108" customFormat="1">
      <c r="B3421" s="97"/>
      <c r="C3421" s="110"/>
      <c r="D3421" s="109"/>
      <c r="E3421" s="97"/>
      <c r="F3421" s="97"/>
      <c r="G3421" s="109"/>
      <c r="H3421" s="109"/>
      <c r="I3421" s="97"/>
      <c r="J3421" s="97"/>
      <c r="K3421" s="83"/>
      <c r="L3421" s="111"/>
      <c r="M3421" s="111"/>
      <c r="N3421" s="111"/>
      <c r="O3421" s="111"/>
      <c r="P3421" s="111"/>
      <c r="Q3421" s="111"/>
      <c r="R3421" s="111"/>
    </row>
    <row r="3422" spans="2:18" s="108" customFormat="1">
      <c r="B3422" s="97"/>
      <c r="C3422" s="110"/>
      <c r="D3422" s="109"/>
      <c r="E3422" s="97"/>
      <c r="F3422" s="97"/>
      <c r="G3422" s="109"/>
      <c r="H3422" s="109"/>
      <c r="I3422" s="97"/>
      <c r="J3422" s="97"/>
      <c r="K3422" s="83"/>
      <c r="L3422" s="111"/>
      <c r="M3422" s="111"/>
      <c r="N3422" s="111"/>
      <c r="O3422" s="111"/>
      <c r="P3422" s="111"/>
      <c r="Q3422" s="111"/>
      <c r="R3422" s="111"/>
    </row>
    <row r="3423" spans="2:18" s="108" customFormat="1">
      <c r="B3423" s="97"/>
      <c r="C3423" s="110"/>
      <c r="D3423" s="109"/>
      <c r="E3423" s="97"/>
      <c r="F3423" s="97"/>
      <c r="G3423" s="109"/>
      <c r="H3423" s="109"/>
      <c r="I3423" s="97"/>
      <c r="J3423" s="97"/>
      <c r="K3423" s="83"/>
      <c r="L3423" s="111"/>
      <c r="M3423" s="111"/>
      <c r="N3423" s="111"/>
      <c r="O3423" s="111"/>
      <c r="P3423" s="111"/>
      <c r="Q3423" s="111"/>
      <c r="R3423" s="111"/>
    </row>
    <row r="3424" spans="2:18" s="108" customFormat="1">
      <c r="B3424" s="97"/>
      <c r="C3424" s="110"/>
      <c r="D3424" s="109"/>
      <c r="E3424" s="97"/>
      <c r="F3424" s="97"/>
      <c r="G3424" s="109"/>
      <c r="H3424" s="109"/>
      <c r="I3424" s="97"/>
      <c r="J3424" s="97"/>
      <c r="K3424" s="83"/>
      <c r="L3424" s="111"/>
      <c r="M3424" s="111"/>
      <c r="N3424" s="111"/>
      <c r="O3424" s="111"/>
      <c r="P3424" s="111"/>
      <c r="Q3424" s="111"/>
      <c r="R3424" s="111"/>
    </row>
    <row r="3425" spans="2:18" s="108" customFormat="1">
      <c r="B3425" s="97"/>
      <c r="C3425" s="110"/>
      <c r="D3425" s="109"/>
      <c r="E3425" s="97"/>
      <c r="F3425" s="97"/>
      <c r="G3425" s="109"/>
      <c r="H3425" s="109"/>
      <c r="I3425" s="97"/>
      <c r="J3425" s="97"/>
      <c r="K3425" s="83"/>
      <c r="L3425" s="111"/>
      <c r="M3425" s="111"/>
      <c r="N3425" s="111"/>
      <c r="O3425" s="111"/>
      <c r="P3425" s="111"/>
      <c r="Q3425" s="111"/>
      <c r="R3425" s="111"/>
    </row>
    <row r="3426" spans="2:18" s="108" customFormat="1">
      <c r="B3426" s="97"/>
      <c r="C3426" s="110"/>
      <c r="D3426" s="109"/>
      <c r="E3426" s="97"/>
      <c r="F3426" s="97"/>
      <c r="G3426" s="109"/>
      <c r="H3426" s="109"/>
      <c r="I3426" s="97"/>
      <c r="J3426" s="97"/>
      <c r="K3426" s="83"/>
      <c r="L3426" s="111"/>
      <c r="M3426" s="111"/>
      <c r="N3426" s="111"/>
      <c r="O3426" s="111"/>
      <c r="P3426" s="111"/>
      <c r="Q3426" s="111"/>
      <c r="R3426" s="111"/>
    </row>
    <row r="3427" spans="2:18" s="108" customFormat="1">
      <c r="B3427" s="97"/>
      <c r="C3427" s="110"/>
      <c r="D3427" s="109"/>
      <c r="E3427" s="97"/>
      <c r="F3427" s="97"/>
      <c r="G3427" s="109"/>
      <c r="H3427" s="109"/>
      <c r="I3427" s="97"/>
      <c r="J3427" s="97"/>
      <c r="K3427" s="83"/>
      <c r="L3427" s="111"/>
      <c r="M3427" s="111"/>
      <c r="N3427" s="111"/>
      <c r="O3427" s="111"/>
      <c r="P3427" s="111"/>
      <c r="Q3427" s="111"/>
      <c r="R3427" s="111"/>
    </row>
    <row r="3428" spans="2:18" s="108" customFormat="1">
      <c r="B3428" s="97"/>
      <c r="C3428" s="110"/>
      <c r="D3428" s="109"/>
      <c r="E3428" s="97"/>
      <c r="F3428" s="97"/>
      <c r="G3428" s="109"/>
      <c r="H3428" s="109"/>
      <c r="I3428" s="97"/>
      <c r="J3428" s="97"/>
      <c r="K3428" s="83"/>
      <c r="L3428" s="111"/>
      <c r="M3428" s="111"/>
      <c r="N3428" s="111"/>
      <c r="O3428" s="111"/>
      <c r="P3428" s="111"/>
      <c r="Q3428" s="111"/>
      <c r="R3428" s="111"/>
    </row>
    <row r="3429" spans="2:18" s="108" customFormat="1">
      <c r="B3429" s="97"/>
      <c r="C3429" s="110"/>
      <c r="D3429" s="109"/>
      <c r="E3429" s="97"/>
      <c r="F3429" s="97"/>
      <c r="G3429" s="109"/>
      <c r="H3429" s="109"/>
      <c r="I3429" s="97"/>
      <c r="J3429" s="97"/>
      <c r="K3429" s="83"/>
      <c r="L3429" s="111"/>
      <c r="M3429" s="111"/>
      <c r="N3429" s="111"/>
      <c r="O3429" s="111"/>
      <c r="P3429" s="111"/>
      <c r="Q3429" s="111"/>
      <c r="R3429" s="111"/>
    </row>
    <row r="3430" spans="2:18" s="108" customFormat="1">
      <c r="B3430" s="97"/>
      <c r="C3430" s="110"/>
      <c r="D3430" s="109"/>
      <c r="E3430" s="97"/>
      <c r="F3430" s="97"/>
      <c r="G3430" s="109"/>
      <c r="H3430" s="109"/>
      <c r="I3430" s="97"/>
      <c r="J3430" s="97"/>
      <c r="K3430" s="83"/>
      <c r="L3430" s="111"/>
      <c r="M3430" s="111"/>
      <c r="N3430" s="111"/>
      <c r="O3430" s="111"/>
      <c r="P3430" s="111"/>
      <c r="Q3430" s="111"/>
      <c r="R3430" s="111"/>
    </row>
    <row r="3431" spans="2:18" s="108" customFormat="1">
      <c r="B3431" s="97"/>
      <c r="C3431" s="110"/>
      <c r="D3431" s="109"/>
      <c r="E3431" s="97"/>
      <c r="F3431" s="97"/>
      <c r="G3431" s="109"/>
      <c r="H3431" s="109"/>
      <c r="I3431" s="97"/>
      <c r="J3431" s="97"/>
      <c r="K3431" s="83"/>
      <c r="L3431" s="111"/>
      <c r="M3431" s="111"/>
      <c r="N3431" s="111"/>
      <c r="O3431" s="111"/>
      <c r="P3431" s="111"/>
      <c r="Q3431" s="111"/>
      <c r="R3431" s="111"/>
    </row>
    <row r="3432" spans="2:18" s="108" customFormat="1">
      <c r="B3432" s="97"/>
      <c r="C3432" s="110"/>
      <c r="D3432" s="109"/>
      <c r="E3432" s="97"/>
      <c r="F3432" s="97"/>
      <c r="G3432" s="109"/>
      <c r="H3432" s="109"/>
      <c r="I3432" s="97"/>
      <c r="J3432" s="97"/>
      <c r="K3432" s="83"/>
      <c r="L3432" s="111"/>
      <c r="M3432" s="111"/>
      <c r="N3432" s="111"/>
      <c r="O3432" s="111"/>
      <c r="P3432" s="111"/>
      <c r="Q3432" s="111"/>
      <c r="R3432" s="111"/>
    </row>
    <row r="3433" spans="2:18" s="108" customFormat="1">
      <c r="B3433" s="97"/>
      <c r="C3433" s="110"/>
      <c r="D3433" s="109"/>
      <c r="E3433" s="97"/>
      <c r="F3433" s="97"/>
      <c r="G3433" s="109"/>
      <c r="H3433" s="109"/>
      <c r="I3433" s="97"/>
      <c r="J3433" s="97"/>
      <c r="K3433" s="83"/>
      <c r="L3433" s="111"/>
      <c r="M3433" s="111"/>
      <c r="N3433" s="111"/>
      <c r="O3433" s="111"/>
      <c r="P3433" s="111"/>
      <c r="Q3433" s="111"/>
      <c r="R3433" s="111"/>
    </row>
    <row r="3434" spans="2:18" s="108" customFormat="1">
      <c r="B3434" s="97"/>
      <c r="C3434" s="110"/>
      <c r="D3434" s="109"/>
      <c r="E3434" s="97"/>
      <c r="F3434" s="97"/>
      <c r="G3434" s="109"/>
      <c r="H3434" s="109"/>
      <c r="I3434" s="97"/>
      <c r="J3434" s="97"/>
      <c r="K3434" s="83"/>
      <c r="L3434" s="111"/>
      <c r="M3434" s="111"/>
      <c r="N3434" s="111"/>
      <c r="O3434" s="111"/>
      <c r="P3434" s="111"/>
      <c r="Q3434" s="111"/>
      <c r="R3434" s="111"/>
    </row>
    <row r="3435" spans="2:18" s="108" customFormat="1">
      <c r="B3435" s="97"/>
      <c r="C3435" s="110"/>
      <c r="D3435" s="109"/>
      <c r="E3435" s="97"/>
      <c r="F3435" s="97"/>
      <c r="G3435" s="109"/>
      <c r="H3435" s="109"/>
      <c r="I3435" s="97"/>
      <c r="J3435" s="97"/>
      <c r="K3435" s="83"/>
      <c r="L3435" s="111"/>
      <c r="M3435" s="111"/>
      <c r="N3435" s="111"/>
      <c r="O3435" s="111"/>
      <c r="P3435" s="111"/>
      <c r="Q3435" s="111"/>
      <c r="R3435" s="111"/>
    </row>
    <row r="3436" spans="2:18" s="108" customFormat="1">
      <c r="B3436" s="97"/>
      <c r="C3436" s="110"/>
      <c r="D3436" s="109"/>
      <c r="E3436" s="97"/>
      <c r="F3436" s="97"/>
      <c r="G3436" s="109"/>
      <c r="H3436" s="109"/>
      <c r="I3436" s="97"/>
      <c r="J3436" s="97"/>
      <c r="K3436" s="83"/>
      <c r="L3436" s="111"/>
      <c r="M3436" s="111"/>
      <c r="N3436" s="111"/>
      <c r="O3436" s="111"/>
      <c r="P3436" s="111"/>
      <c r="Q3436" s="111"/>
      <c r="R3436" s="111"/>
    </row>
    <row r="3437" spans="2:18" s="108" customFormat="1">
      <c r="B3437" s="97"/>
      <c r="C3437" s="110"/>
      <c r="D3437" s="109"/>
      <c r="E3437" s="97"/>
      <c r="F3437" s="97"/>
      <c r="G3437" s="109"/>
      <c r="H3437" s="109"/>
      <c r="I3437" s="97"/>
      <c r="J3437" s="97"/>
      <c r="K3437" s="83"/>
      <c r="L3437" s="111"/>
      <c r="M3437" s="111"/>
      <c r="N3437" s="111"/>
      <c r="O3437" s="111"/>
      <c r="P3437" s="111"/>
      <c r="Q3437" s="111"/>
      <c r="R3437" s="111"/>
    </row>
    <row r="3438" spans="2:18" s="108" customFormat="1">
      <c r="B3438" s="97"/>
      <c r="C3438" s="110"/>
      <c r="D3438" s="109"/>
      <c r="E3438" s="97"/>
      <c r="F3438" s="97"/>
      <c r="G3438" s="109"/>
      <c r="H3438" s="109"/>
      <c r="I3438" s="97"/>
      <c r="J3438" s="97"/>
      <c r="K3438" s="83"/>
      <c r="L3438" s="111"/>
      <c r="M3438" s="111"/>
      <c r="N3438" s="111"/>
      <c r="O3438" s="111"/>
      <c r="P3438" s="111"/>
      <c r="Q3438" s="111"/>
      <c r="R3438" s="111"/>
    </row>
    <row r="3439" spans="2:18" s="108" customFormat="1">
      <c r="B3439" s="97"/>
      <c r="C3439" s="110"/>
      <c r="D3439" s="109"/>
      <c r="E3439" s="97"/>
      <c r="F3439" s="97"/>
      <c r="G3439" s="109"/>
      <c r="H3439" s="109"/>
      <c r="I3439" s="97"/>
      <c r="J3439" s="97"/>
      <c r="K3439" s="83"/>
      <c r="L3439" s="111"/>
      <c r="M3439" s="111"/>
      <c r="N3439" s="111"/>
      <c r="O3439" s="111"/>
      <c r="P3439" s="111"/>
      <c r="Q3439" s="111"/>
      <c r="R3439" s="111"/>
    </row>
    <row r="3440" spans="2:18" s="108" customFormat="1">
      <c r="B3440" s="97"/>
      <c r="C3440" s="110"/>
      <c r="D3440" s="109"/>
      <c r="E3440" s="97"/>
      <c r="F3440" s="97"/>
      <c r="G3440" s="109"/>
      <c r="H3440" s="109"/>
      <c r="I3440" s="97"/>
      <c r="J3440" s="97"/>
      <c r="K3440" s="83"/>
      <c r="L3440" s="111"/>
      <c r="M3440" s="111"/>
      <c r="N3440" s="111"/>
      <c r="O3440" s="111"/>
      <c r="P3440" s="111"/>
      <c r="Q3440" s="111"/>
      <c r="R3440" s="111"/>
    </row>
    <row r="3441" spans="2:18" s="108" customFormat="1">
      <c r="B3441" s="97"/>
      <c r="C3441" s="110"/>
      <c r="D3441" s="109"/>
      <c r="E3441" s="97"/>
      <c r="F3441" s="97"/>
      <c r="G3441" s="109"/>
      <c r="H3441" s="109"/>
      <c r="I3441" s="97"/>
      <c r="J3441" s="97"/>
      <c r="K3441" s="83"/>
      <c r="L3441" s="111"/>
      <c r="M3441" s="111"/>
      <c r="N3441" s="111"/>
      <c r="O3441" s="111"/>
      <c r="P3441" s="111"/>
      <c r="Q3441" s="111"/>
      <c r="R3441" s="111"/>
    </row>
    <row r="3442" spans="2:18" s="108" customFormat="1">
      <c r="B3442" s="97"/>
      <c r="C3442" s="110"/>
      <c r="D3442" s="109"/>
      <c r="E3442" s="97"/>
      <c r="F3442" s="97"/>
      <c r="G3442" s="109"/>
      <c r="H3442" s="109"/>
      <c r="I3442" s="97"/>
      <c r="J3442" s="97"/>
      <c r="K3442" s="83"/>
      <c r="L3442" s="111"/>
      <c r="M3442" s="111"/>
      <c r="N3442" s="111"/>
      <c r="O3442" s="111"/>
      <c r="P3442" s="111"/>
      <c r="Q3442" s="111"/>
      <c r="R3442" s="111"/>
    </row>
    <row r="3443" spans="2:18" s="108" customFormat="1">
      <c r="B3443" s="97"/>
      <c r="C3443" s="110"/>
      <c r="D3443" s="109"/>
      <c r="E3443" s="97"/>
      <c r="F3443" s="97"/>
      <c r="G3443" s="109"/>
      <c r="H3443" s="109"/>
      <c r="I3443" s="97"/>
      <c r="J3443" s="97"/>
      <c r="K3443" s="83"/>
      <c r="L3443" s="111"/>
      <c r="M3443" s="111"/>
      <c r="N3443" s="111"/>
      <c r="O3443" s="111"/>
      <c r="P3443" s="111"/>
      <c r="Q3443" s="111"/>
      <c r="R3443" s="111"/>
    </row>
    <row r="3444" spans="2:18" s="108" customFormat="1">
      <c r="B3444" s="97"/>
      <c r="C3444" s="110"/>
      <c r="D3444" s="109"/>
      <c r="E3444" s="97"/>
      <c r="F3444" s="97"/>
      <c r="G3444" s="109"/>
      <c r="H3444" s="109"/>
      <c r="I3444" s="97"/>
      <c r="J3444" s="97"/>
      <c r="K3444" s="83"/>
      <c r="L3444" s="111"/>
      <c r="M3444" s="111"/>
      <c r="N3444" s="111"/>
      <c r="O3444" s="111"/>
      <c r="P3444" s="111"/>
      <c r="Q3444" s="111"/>
      <c r="R3444" s="111"/>
    </row>
    <row r="3445" spans="2:18" s="108" customFormat="1">
      <c r="B3445" s="97"/>
      <c r="C3445" s="110"/>
      <c r="D3445" s="109"/>
      <c r="E3445" s="97"/>
      <c r="F3445" s="97"/>
      <c r="G3445" s="109"/>
      <c r="H3445" s="109"/>
      <c r="I3445" s="97"/>
      <c r="J3445" s="97"/>
      <c r="K3445" s="83"/>
      <c r="L3445" s="111"/>
      <c r="M3445" s="111"/>
      <c r="N3445" s="111"/>
      <c r="O3445" s="111"/>
      <c r="P3445" s="111"/>
      <c r="Q3445" s="111"/>
      <c r="R3445" s="111"/>
    </row>
    <row r="3446" spans="2:18" s="108" customFormat="1">
      <c r="B3446" s="97"/>
      <c r="C3446" s="110"/>
      <c r="D3446" s="109"/>
      <c r="E3446" s="97"/>
      <c r="F3446" s="97"/>
      <c r="G3446" s="109"/>
      <c r="H3446" s="109"/>
      <c r="I3446" s="97"/>
      <c r="J3446" s="97"/>
      <c r="K3446" s="83"/>
      <c r="L3446" s="111"/>
      <c r="M3446" s="111"/>
      <c r="N3446" s="111"/>
      <c r="O3446" s="111"/>
      <c r="P3446" s="111"/>
      <c r="Q3446" s="111"/>
      <c r="R3446" s="111"/>
    </row>
    <row r="3447" spans="2:18" s="108" customFormat="1">
      <c r="B3447" s="97"/>
      <c r="C3447" s="110"/>
      <c r="D3447" s="109"/>
      <c r="E3447" s="97"/>
      <c r="F3447" s="97"/>
      <c r="G3447" s="109"/>
      <c r="H3447" s="109"/>
      <c r="I3447" s="97"/>
      <c r="J3447" s="97"/>
      <c r="K3447" s="83"/>
      <c r="L3447" s="111"/>
      <c r="M3447" s="111"/>
      <c r="N3447" s="111"/>
      <c r="O3447" s="111"/>
      <c r="P3447" s="111"/>
      <c r="Q3447" s="111"/>
      <c r="R3447" s="111"/>
    </row>
    <row r="3448" spans="2:18" s="108" customFormat="1">
      <c r="B3448" s="97"/>
      <c r="C3448" s="110"/>
      <c r="D3448" s="109"/>
      <c r="E3448" s="97"/>
      <c r="F3448" s="97"/>
      <c r="G3448" s="109"/>
      <c r="H3448" s="109"/>
      <c r="I3448" s="97"/>
      <c r="J3448" s="97"/>
      <c r="K3448" s="83"/>
      <c r="L3448" s="111"/>
      <c r="M3448" s="111"/>
      <c r="N3448" s="111"/>
      <c r="O3448" s="111"/>
      <c r="P3448" s="111"/>
      <c r="Q3448" s="111"/>
      <c r="R3448" s="111"/>
    </row>
    <row r="3449" spans="2:18" s="108" customFormat="1">
      <c r="B3449" s="97"/>
      <c r="C3449" s="110"/>
      <c r="D3449" s="109"/>
      <c r="E3449" s="97"/>
      <c r="F3449" s="97"/>
      <c r="G3449" s="109"/>
      <c r="H3449" s="109"/>
      <c r="I3449" s="97"/>
      <c r="J3449" s="97"/>
      <c r="K3449" s="83"/>
      <c r="L3449" s="111"/>
      <c r="M3449" s="111"/>
      <c r="N3449" s="111"/>
      <c r="O3449" s="111"/>
      <c r="P3449" s="111"/>
      <c r="Q3449" s="111"/>
      <c r="R3449" s="111"/>
    </row>
    <row r="3450" spans="2:18" s="108" customFormat="1">
      <c r="B3450" s="97"/>
      <c r="C3450" s="110"/>
      <c r="D3450" s="109"/>
      <c r="E3450" s="97"/>
      <c r="F3450" s="97"/>
      <c r="G3450" s="109"/>
      <c r="H3450" s="109"/>
      <c r="I3450" s="97"/>
      <c r="J3450" s="97"/>
      <c r="K3450" s="83"/>
      <c r="L3450" s="111"/>
      <c r="M3450" s="111"/>
      <c r="N3450" s="111"/>
      <c r="O3450" s="111"/>
      <c r="P3450" s="111"/>
      <c r="Q3450" s="111"/>
      <c r="R3450" s="111"/>
    </row>
    <row r="3451" spans="2:18" s="108" customFormat="1">
      <c r="B3451" s="97"/>
      <c r="C3451" s="110"/>
      <c r="D3451" s="109"/>
      <c r="E3451" s="97"/>
      <c r="F3451" s="97"/>
      <c r="G3451" s="109"/>
      <c r="H3451" s="109"/>
      <c r="I3451" s="97"/>
      <c r="J3451" s="97"/>
      <c r="K3451" s="83"/>
      <c r="L3451" s="111"/>
      <c r="M3451" s="111"/>
      <c r="N3451" s="111"/>
      <c r="O3451" s="111"/>
      <c r="P3451" s="111"/>
      <c r="Q3451" s="111"/>
      <c r="R3451" s="111"/>
    </row>
    <row r="3452" spans="2:18" s="108" customFormat="1">
      <c r="B3452" s="97"/>
      <c r="C3452" s="110"/>
      <c r="D3452" s="109"/>
      <c r="E3452" s="97"/>
      <c r="F3452" s="97"/>
      <c r="G3452" s="109"/>
      <c r="H3452" s="109"/>
      <c r="I3452" s="97"/>
      <c r="J3452" s="97"/>
      <c r="K3452" s="83"/>
      <c r="L3452" s="111"/>
      <c r="M3452" s="111"/>
      <c r="N3452" s="111"/>
      <c r="O3452" s="111"/>
      <c r="P3452" s="111"/>
      <c r="Q3452" s="111"/>
      <c r="R3452" s="111"/>
    </row>
    <row r="3453" spans="2:18" s="108" customFormat="1">
      <c r="B3453" s="97"/>
      <c r="C3453" s="110"/>
      <c r="D3453" s="109"/>
      <c r="E3453" s="97"/>
      <c r="F3453" s="97"/>
      <c r="G3453" s="109"/>
      <c r="H3453" s="109"/>
      <c r="I3453" s="97"/>
      <c r="J3453" s="97"/>
      <c r="K3453" s="83"/>
      <c r="L3453" s="111"/>
      <c r="M3453" s="111"/>
      <c r="N3453" s="111"/>
      <c r="O3453" s="111"/>
      <c r="P3453" s="111"/>
      <c r="Q3453" s="111"/>
      <c r="R3453" s="111"/>
    </row>
    <row r="3454" spans="2:18" s="108" customFormat="1">
      <c r="B3454" s="97"/>
      <c r="C3454" s="110"/>
      <c r="D3454" s="109"/>
      <c r="E3454" s="97"/>
      <c r="F3454" s="97"/>
      <c r="G3454" s="109"/>
      <c r="H3454" s="109"/>
      <c r="I3454" s="97"/>
      <c r="J3454" s="97"/>
      <c r="K3454" s="83"/>
      <c r="L3454" s="111"/>
      <c r="M3454" s="111"/>
      <c r="N3454" s="111"/>
      <c r="O3454" s="111"/>
      <c r="P3454" s="111"/>
      <c r="Q3454" s="111"/>
      <c r="R3454" s="111"/>
    </row>
    <row r="3455" spans="2:18" s="108" customFormat="1">
      <c r="B3455" s="97"/>
      <c r="C3455" s="110"/>
      <c r="D3455" s="109"/>
      <c r="E3455" s="97"/>
      <c r="F3455" s="97"/>
      <c r="G3455" s="109"/>
      <c r="H3455" s="109"/>
      <c r="I3455" s="97"/>
      <c r="J3455" s="97"/>
      <c r="K3455" s="83"/>
      <c r="L3455" s="111"/>
      <c r="M3455" s="111"/>
      <c r="N3455" s="111"/>
      <c r="O3455" s="111"/>
      <c r="P3455" s="111"/>
      <c r="Q3455" s="111"/>
      <c r="R3455" s="111"/>
    </row>
    <row r="3456" spans="2:18" s="108" customFormat="1">
      <c r="B3456" s="97"/>
      <c r="C3456" s="110"/>
      <c r="D3456" s="109"/>
      <c r="E3456" s="97"/>
      <c r="F3456" s="97"/>
      <c r="G3456" s="109"/>
      <c r="H3456" s="109"/>
      <c r="I3456" s="97"/>
      <c r="J3456" s="97"/>
      <c r="K3456" s="83"/>
      <c r="L3456" s="111"/>
      <c r="M3456" s="111"/>
      <c r="N3456" s="111"/>
      <c r="O3456" s="111"/>
      <c r="P3456" s="111"/>
      <c r="Q3456" s="111"/>
      <c r="R3456" s="111"/>
    </row>
    <row r="3457" spans="2:18" s="108" customFormat="1">
      <c r="B3457" s="97"/>
      <c r="C3457" s="110"/>
      <c r="D3457" s="109"/>
      <c r="E3457" s="97"/>
      <c r="F3457" s="97"/>
      <c r="G3457" s="109"/>
      <c r="H3457" s="109"/>
      <c r="I3457" s="97"/>
      <c r="J3457" s="97"/>
      <c r="K3457" s="83"/>
      <c r="L3457" s="111"/>
      <c r="M3457" s="111"/>
      <c r="N3457" s="111"/>
      <c r="O3457" s="111"/>
      <c r="P3457" s="111"/>
      <c r="Q3457" s="111"/>
      <c r="R3457" s="111"/>
    </row>
    <row r="3458" spans="2:18" s="108" customFormat="1">
      <c r="B3458" s="97"/>
      <c r="C3458" s="110"/>
      <c r="D3458" s="109"/>
      <c r="E3458" s="97"/>
      <c r="F3458" s="97"/>
      <c r="G3458" s="109"/>
      <c r="H3458" s="109"/>
      <c r="I3458" s="97"/>
      <c r="J3458" s="97"/>
      <c r="K3458" s="83"/>
      <c r="L3458" s="111"/>
      <c r="M3458" s="111"/>
      <c r="N3458" s="111"/>
      <c r="O3458" s="111"/>
      <c r="P3458" s="111"/>
      <c r="Q3458" s="111"/>
      <c r="R3458" s="111"/>
    </row>
    <row r="3459" spans="2:18" s="108" customFormat="1">
      <c r="B3459" s="97"/>
      <c r="C3459" s="110"/>
      <c r="D3459" s="109"/>
      <c r="E3459" s="97"/>
      <c r="F3459" s="97"/>
      <c r="G3459" s="109"/>
      <c r="H3459" s="109"/>
      <c r="I3459" s="97"/>
      <c r="J3459" s="97"/>
      <c r="K3459" s="83"/>
      <c r="L3459" s="111"/>
      <c r="M3459" s="111"/>
      <c r="N3459" s="111"/>
      <c r="O3459" s="111"/>
      <c r="P3459" s="111"/>
      <c r="Q3459" s="111"/>
      <c r="R3459" s="111"/>
    </row>
    <row r="3460" spans="2:18" s="108" customFormat="1">
      <c r="B3460" s="97"/>
      <c r="C3460" s="110"/>
      <c r="D3460" s="109"/>
      <c r="E3460" s="97"/>
      <c r="F3460" s="97"/>
      <c r="G3460" s="109"/>
      <c r="H3460" s="109"/>
      <c r="I3460" s="97"/>
      <c r="J3460" s="97"/>
      <c r="K3460" s="83"/>
      <c r="L3460" s="111"/>
      <c r="M3460" s="111"/>
      <c r="N3460" s="111"/>
      <c r="O3460" s="111"/>
      <c r="P3460" s="111"/>
      <c r="Q3460" s="111"/>
      <c r="R3460" s="111"/>
    </row>
    <row r="3461" spans="2:18" s="108" customFormat="1">
      <c r="B3461" s="97"/>
      <c r="C3461" s="110"/>
      <c r="D3461" s="109"/>
      <c r="E3461" s="97"/>
      <c r="F3461" s="97"/>
      <c r="G3461" s="109"/>
      <c r="H3461" s="109"/>
      <c r="I3461" s="97"/>
      <c r="J3461" s="97"/>
      <c r="K3461" s="83"/>
      <c r="L3461" s="111"/>
      <c r="M3461" s="111"/>
      <c r="N3461" s="111"/>
      <c r="O3461" s="111"/>
      <c r="P3461" s="111"/>
      <c r="Q3461" s="111"/>
      <c r="R3461" s="111"/>
    </row>
    <row r="3462" spans="2:18" s="108" customFormat="1">
      <c r="B3462" s="97"/>
      <c r="C3462" s="110"/>
      <c r="D3462" s="109"/>
      <c r="E3462" s="97"/>
      <c r="F3462" s="97"/>
      <c r="G3462" s="109"/>
      <c r="H3462" s="109"/>
      <c r="I3462" s="97"/>
      <c r="J3462" s="97"/>
      <c r="K3462" s="83"/>
      <c r="L3462" s="111"/>
      <c r="M3462" s="111"/>
      <c r="N3462" s="111"/>
      <c r="O3462" s="111"/>
      <c r="P3462" s="111"/>
      <c r="Q3462" s="111"/>
      <c r="R3462" s="111"/>
    </row>
    <row r="3463" spans="2:18" s="108" customFormat="1">
      <c r="B3463" s="97"/>
      <c r="C3463" s="110"/>
      <c r="D3463" s="109"/>
      <c r="E3463" s="97"/>
      <c r="F3463" s="97"/>
      <c r="G3463" s="109"/>
      <c r="H3463" s="109"/>
      <c r="I3463" s="97"/>
      <c r="J3463" s="97"/>
      <c r="K3463" s="83"/>
      <c r="L3463" s="111"/>
      <c r="M3463" s="111"/>
      <c r="N3463" s="111"/>
      <c r="O3463" s="111"/>
      <c r="P3463" s="111"/>
      <c r="Q3463" s="111"/>
      <c r="R3463" s="111"/>
    </row>
    <row r="3464" spans="2:18" s="108" customFormat="1">
      <c r="B3464" s="97"/>
      <c r="C3464" s="110"/>
      <c r="D3464" s="109"/>
      <c r="E3464" s="97"/>
      <c r="F3464" s="97"/>
      <c r="G3464" s="109"/>
      <c r="H3464" s="109"/>
      <c r="I3464" s="97"/>
      <c r="J3464" s="97"/>
      <c r="K3464" s="83"/>
      <c r="L3464" s="111"/>
      <c r="M3464" s="111"/>
      <c r="N3464" s="111"/>
      <c r="O3464" s="111"/>
      <c r="P3464" s="111"/>
      <c r="Q3464" s="111"/>
      <c r="R3464" s="111"/>
    </row>
    <row r="3465" spans="2:18" s="108" customFormat="1">
      <c r="B3465" s="97"/>
      <c r="C3465" s="110"/>
      <c r="D3465" s="109"/>
      <c r="E3465" s="97"/>
      <c r="F3465" s="97"/>
      <c r="G3465" s="109"/>
      <c r="H3465" s="109"/>
      <c r="I3465" s="97"/>
      <c r="J3465" s="97"/>
      <c r="K3465" s="83"/>
      <c r="L3465" s="111"/>
      <c r="M3465" s="111"/>
      <c r="N3465" s="111"/>
      <c r="O3465" s="111"/>
      <c r="P3465" s="111"/>
      <c r="Q3465" s="111"/>
      <c r="R3465" s="111"/>
    </row>
    <row r="3466" spans="2:18" s="108" customFormat="1">
      <c r="B3466" s="97"/>
      <c r="C3466" s="110"/>
      <c r="D3466" s="109"/>
      <c r="E3466" s="97"/>
      <c r="F3466" s="97"/>
      <c r="G3466" s="109"/>
      <c r="H3466" s="109"/>
      <c r="I3466" s="97"/>
      <c r="J3466" s="97"/>
      <c r="K3466" s="83"/>
      <c r="L3466" s="111"/>
      <c r="M3466" s="111"/>
      <c r="N3466" s="111"/>
      <c r="O3466" s="111"/>
      <c r="P3466" s="111"/>
      <c r="Q3466" s="111"/>
      <c r="R3466" s="111"/>
    </row>
    <row r="3467" spans="2:18" s="108" customFormat="1">
      <c r="B3467" s="97"/>
      <c r="C3467" s="110"/>
      <c r="D3467" s="109"/>
      <c r="E3467" s="97"/>
      <c r="F3467" s="97"/>
      <c r="G3467" s="109"/>
      <c r="H3467" s="109"/>
      <c r="I3467" s="97"/>
      <c r="J3467" s="97"/>
      <c r="K3467" s="83"/>
      <c r="L3467" s="111"/>
      <c r="M3467" s="111"/>
      <c r="N3467" s="111"/>
      <c r="O3467" s="111"/>
      <c r="P3467" s="111"/>
      <c r="Q3467" s="111"/>
      <c r="R3467" s="111"/>
    </row>
    <row r="3468" spans="2:18" s="108" customFormat="1">
      <c r="B3468" s="97"/>
      <c r="C3468" s="110"/>
      <c r="D3468" s="109"/>
      <c r="E3468" s="97"/>
      <c r="F3468" s="97"/>
      <c r="G3468" s="109"/>
      <c r="H3468" s="109"/>
      <c r="I3468" s="97"/>
      <c r="J3468" s="97"/>
      <c r="K3468" s="83"/>
      <c r="L3468" s="111"/>
      <c r="M3468" s="111"/>
      <c r="N3468" s="111"/>
      <c r="O3468" s="111"/>
      <c r="P3468" s="111"/>
      <c r="Q3468" s="111"/>
      <c r="R3468" s="111"/>
    </row>
    <row r="3469" spans="2:18" s="108" customFormat="1">
      <c r="B3469" s="97"/>
      <c r="C3469" s="110"/>
      <c r="D3469" s="109"/>
      <c r="E3469" s="97"/>
      <c r="F3469" s="97"/>
      <c r="G3469" s="109"/>
      <c r="H3469" s="109"/>
      <c r="I3469" s="97"/>
      <c r="J3469" s="97"/>
      <c r="K3469" s="83"/>
      <c r="L3469" s="111"/>
      <c r="M3469" s="111"/>
      <c r="N3469" s="111"/>
      <c r="O3469" s="111"/>
      <c r="P3469" s="111"/>
      <c r="Q3469" s="111"/>
      <c r="R3469" s="111"/>
    </row>
    <row r="3470" spans="2:18" s="108" customFormat="1">
      <c r="B3470" s="97"/>
      <c r="C3470" s="110"/>
      <c r="D3470" s="109"/>
      <c r="E3470" s="97"/>
      <c r="F3470" s="97"/>
      <c r="G3470" s="109"/>
      <c r="H3470" s="109"/>
      <c r="I3470" s="97"/>
      <c r="J3470" s="97"/>
      <c r="K3470" s="83"/>
      <c r="L3470" s="111"/>
      <c r="M3470" s="111"/>
      <c r="N3470" s="111"/>
      <c r="O3470" s="111"/>
      <c r="P3470" s="111"/>
      <c r="Q3470" s="111"/>
      <c r="R3470" s="111"/>
    </row>
    <row r="3471" spans="2:18" s="108" customFormat="1">
      <c r="B3471" s="97"/>
      <c r="C3471" s="110"/>
      <c r="D3471" s="109"/>
      <c r="E3471" s="97"/>
      <c r="F3471" s="97"/>
      <c r="G3471" s="109"/>
      <c r="H3471" s="109"/>
      <c r="I3471" s="97"/>
      <c r="J3471" s="97"/>
      <c r="K3471" s="83"/>
      <c r="L3471" s="111"/>
      <c r="M3471" s="111"/>
      <c r="N3471" s="111"/>
      <c r="O3471" s="111"/>
      <c r="P3471" s="111"/>
      <c r="Q3471" s="111"/>
      <c r="R3471" s="111"/>
    </row>
    <row r="3472" spans="2:18" s="108" customFormat="1">
      <c r="B3472" s="97"/>
      <c r="C3472" s="110"/>
      <c r="D3472" s="109"/>
      <c r="E3472" s="97"/>
      <c r="F3472" s="97"/>
      <c r="G3472" s="109"/>
      <c r="H3472" s="109"/>
      <c r="I3472" s="97"/>
      <c r="J3472" s="97"/>
      <c r="K3472" s="83"/>
      <c r="L3472" s="111"/>
      <c r="M3472" s="111"/>
      <c r="N3472" s="111"/>
      <c r="O3472" s="111"/>
      <c r="P3472" s="111"/>
      <c r="Q3472" s="111"/>
      <c r="R3472" s="111"/>
    </row>
    <row r="3473" spans="2:18" s="108" customFormat="1">
      <c r="B3473" s="97"/>
      <c r="C3473" s="110"/>
      <c r="D3473" s="109"/>
      <c r="E3473" s="97"/>
      <c r="F3473" s="97"/>
      <c r="G3473" s="109"/>
      <c r="H3473" s="109"/>
      <c r="I3473" s="97"/>
      <c r="J3473" s="97"/>
      <c r="K3473" s="83"/>
      <c r="L3473" s="111"/>
      <c r="M3473" s="111"/>
      <c r="N3473" s="111"/>
      <c r="O3473" s="111"/>
      <c r="P3473" s="111"/>
      <c r="Q3473" s="111"/>
      <c r="R3473" s="111"/>
    </row>
    <row r="3474" spans="2:18" s="108" customFormat="1">
      <c r="B3474" s="97"/>
      <c r="C3474" s="110"/>
      <c r="D3474" s="109"/>
      <c r="E3474" s="97"/>
      <c r="F3474" s="97"/>
      <c r="G3474" s="109"/>
      <c r="H3474" s="109"/>
      <c r="I3474" s="97"/>
      <c r="J3474" s="97"/>
      <c r="K3474" s="83"/>
      <c r="L3474" s="111"/>
      <c r="M3474" s="111"/>
      <c r="N3474" s="111"/>
      <c r="O3474" s="111"/>
      <c r="P3474" s="111"/>
      <c r="Q3474" s="111"/>
      <c r="R3474" s="111"/>
    </row>
    <row r="3475" spans="2:18" s="108" customFormat="1">
      <c r="B3475" s="97"/>
      <c r="C3475" s="110"/>
      <c r="D3475" s="109"/>
      <c r="E3475" s="97"/>
      <c r="F3475" s="97"/>
      <c r="G3475" s="109"/>
      <c r="H3475" s="109"/>
      <c r="I3475" s="97"/>
      <c r="J3475" s="97"/>
      <c r="K3475" s="83"/>
      <c r="L3475" s="111"/>
      <c r="M3475" s="111"/>
      <c r="N3475" s="111"/>
      <c r="O3475" s="111"/>
      <c r="P3475" s="111"/>
      <c r="Q3475" s="111"/>
      <c r="R3475" s="111"/>
    </row>
    <row r="3476" spans="2:18" s="108" customFormat="1">
      <c r="B3476" s="97"/>
      <c r="C3476" s="110"/>
      <c r="D3476" s="109"/>
      <c r="E3476" s="97"/>
      <c r="F3476" s="97"/>
      <c r="G3476" s="109"/>
      <c r="H3476" s="109"/>
      <c r="I3476" s="97"/>
      <c r="J3476" s="97"/>
      <c r="K3476" s="83"/>
      <c r="L3476" s="111"/>
      <c r="M3476" s="111"/>
      <c r="N3476" s="111"/>
      <c r="O3476" s="111"/>
      <c r="P3476" s="111"/>
      <c r="Q3476" s="111"/>
      <c r="R3476" s="111"/>
    </row>
    <row r="3477" spans="2:18" s="108" customFormat="1">
      <c r="B3477" s="97"/>
      <c r="C3477" s="110"/>
      <c r="D3477" s="109"/>
      <c r="E3477" s="97"/>
      <c r="F3477" s="97"/>
      <c r="G3477" s="109"/>
      <c r="H3477" s="109"/>
      <c r="I3477" s="97"/>
      <c r="J3477" s="97"/>
      <c r="K3477" s="83"/>
      <c r="L3477" s="111"/>
      <c r="M3477" s="111"/>
      <c r="N3477" s="111"/>
      <c r="O3477" s="111"/>
      <c r="P3477" s="111"/>
      <c r="Q3477" s="111"/>
      <c r="R3477" s="111"/>
    </row>
    <row r="3478" spans="2:18" s="108" customFormat="1">
      <c r="B3478" s="97"/>
      <c r="C3478" s="110"/>
      <c r="D3478" s="109"/>
      <c r="E3478" s="97"/>
      <c r="F3478" s="97"/>
      <c r="G3478" s="109"/>
      <c r="H3478" s="109"/>
      <c r="I3478" s="97"/>
      <c r="J3478" s="97"/>
      <c r="K3478" s="83"/>
      <c r="L3478" s="111"/>
      <c r="M3478" s="111"/>
      <c r="N3478" s="111"/>
      <c r="O3478" s="111"/>
      <c r="P3478" s="111"/>
      <c r="Q3478" s="111"/>
      <c r="R3478" s="111"/>
    </row>
    <row r="3479" spans="2:18" s="108" customFormat="1">
      <c r="B3479" s="97"/>
      <c r="C3479" s="110"/>
      <c r="D3479" s="109"/>
      <c r="E3479" s="97"/>
      <c r="F3479" s="97"/>
      <c r="G3479" s="109"/>
      <c r="H3479" s="109"/>
      <c r="I3479" s="97"/>
      <c r="J3479" s="97"/>
      <c r="K3479" s="83"/>
      <c r="L3479" s="111"/>
      <c r="M3479" s="111"/>
      <c r="N3479" s="111"/>
      <c r="O3479" s="111"/>
      <c r="P3479" s="111"/>
      <c r="Q3479" s="111"/>
      <c r="R3479" s="111"/>
    </row>
    <row r="3480" spans="2:18" s="108" customFormat="1">
      <c r="B3480" s="97"/>
      <c r="C3480" s="110"/>
      <c r="D3480" s="109"/>
      <c r="E3480" s="97"/>
      <c r="F3480" s="97"/>
      <c r="G3480" s="109"/>
      <c r="H3480" s="109"/>
      <c r="I3480" s="97"/>
      <c r="J3480" s="97"/>
      <c r="K3480" s="83"/>
      <c r="L3480" s="111"/>
      <c r="M3480" s="111"/>
      <c r="N3480" s="111"/>
      <c r="O3480" s="111"/>
      <c r="P3480" s="111"/>
      <c r="Q3480" s="111"/>
      <c r="R3480" s="111"/>
    </row>
    <row r="3481" spans="2:18" s="108" customFormat="1">
      <c r="B3481" s="97"/>
      <c r="C3481" s="110"/>
      <c r="D3481" s="109"/>
      <c r="E3481" s="97"/>
      <c r="F3481" s="97"/>
      <c r="G3481" s="109"/>
      <c r="H3481" s="109"/>
      <c r="I3481" s="97"/>
      <c r="J3481" s="97"/>
      <c r="K3481" s="83"/>
      <c r="L3481" s="111"/>
      <c r="M3481" s="111"/>
      <c r="N3481" s="111"/>
      <c r="O3481" s="111"/>
      <c r="P3481" s="111"/>
      <c r="Q3481" s="111"/>
      <c r="R3481" s="111"/>
    </row>
    <row r="3482" spans="2:18" s="108" customFormat="1">
      <c r="B3482" s="97"/>
      <c r="C3482" s="110"/>
      <c r="D3482" s="109"/>
      <c r="E3482" s="97"/>
      <c r="F3482" s="97"/>
      <c r="G3482" s="109"/>
      <c r="H3482" s="109"/>
      <c r="I3482" s="97"/>
      <c r="J3482" s="97"/>
      <c r="K3482" s="83"/>
      <c r="L3482" s="111"/>
      <c r="M3482" s="111"/>
      <c r="N3482" s="111"/>
      <c r="O3482" s="111"/>
      <c r="P3482" s="111"/>
      <c r="Q3482" s="111"/>
      <c r="R3482" s="111"/>
    </row>
    <row r="3483" spans="2:18" s="108" customFormat="1">
      <c r="B3483" s="97"/>
      <c r="C3483" s="110"/>
      <c r="D3483" s="109"/>
      <c r="E3483" s="97"/>
      <c r="F3483" s="97"/>
      <c r="G3483" s="109"/>
      <c r="H3483" s="109"/>
      <c r="I3483" s="97"/>
      <c r="J3483" s="97"/>
      <c r="K3483" s="83"/>
      <c r="L3483" s="111"/>
      <c r="M3483" s="111"/>
      <c r="N3483" s="111"/>
      <c r="O3483" s="111"/>
      <c r="P3483" s="111"/>
      <c r="Q3483" s="111"/>
      <c r="R3483" s="111"/>
    </row>
    <row r="3484" spans="2:18" s="108" customFormat="1">
      <c r="B3484" s="97"/>
      <c r="C3484" s="110"/>
      <c r="D3484" s="109"/>
      <c r="E3484" s="97"/>
      <c r="F3484" s="97"/>
      <c r="G3484" s="109"/>
      <c r="H3484" s="109"/>
      <c r="I3484" s="97"/>
      <c r="J3484" s="97"/>
      <c r="K3484" s="83"/>
      <c r="L3484" s="111"/>
      <c r="M3484" s="111"/>
      <c r="N3484" s="111"/>
      <c r="O3484" s="111"/>
      <c r="P3484" s="111"/>
      <c r="Q3484" s="111"/>
      <c r="R3484" s="111"/>
    </row>
    <row r="3485" spans="2:18" s="108" customFormat="1">
      <c r="B3485" s="97"/>
      <c r="C3485" s="110"/>
      <c r="D3485" s="109"/>
      <c r="E3485" s="97"/>
      <c r="F3485" s="97"/>
      <c r="G3485" s="109"/>
      <c r="H3485" s="109"/>
      <c r="I3485" s="97"/>
      <c r="J3485" s="97"/>
      <c r="K3485" s="83"/>
      <c r="L3485" s="111"/>
      <c r="M3485" s="111"/>
      <c r="N3485" s="111"/>
      <c r="O3485" s="111"/>
      <c r="P3485" s="111"/>
      <c r="Q3485" s="111"/>
      <c r="R3485" s="111"/>
    </row>
    <row r="3486" spans="2:18" s="108" customFormat="1">
      <c r="B3486" s="97"/>
      <c r="C3486" s="110"/>
      <c r="D3486" s="109"/>
      <c r="E3486" s="97"/>
      <c r="F3486" s="97"/>
      <c r="G3486" s="109"/>
      <c r="H3486" s="109"/>
      <c r="I3486" s="97"/>
      <c r="J3486" s="97"/>
      <c r="K3486" s="83"/>
      <c r="L3486" s="111"/>
      <c r="M3486" s="111"/>
      <c r="N3486" s="111"/>
      <c r="O3486" s="111"/>
      <c r="P3486" s="111"/>
      <c r="Q3486" s="111"/>
      <c r="R3486" s="111"/>
    </row>
    <row r="3487" spans="2:18" s="108" customFormat="1">
      <c r="B3487" s="97"/>
      <c r="C3487" s="110"/>
      <c r="D3487" s="109"/>
      <c r="E3487" s="97"/>
      <c r="F3487" s="97"/>
      <c r="G3487" s="109"/>
      <c r="H3487" s="109"/>
      <c r="I3487" s="97"/>
      <c r="J3487" s="97"/>
      <c r="K3487" s="83"/>
      <c r="L3487" s="111"/>
      <c r="M3487" s="111"/>
      <c r="N3487" s="111"/>
      <c r="O3487" s="111"/>
      <c r="P3487" s="111"/>
      <c r="Q3487" s="111"/>
      <c r="R3487" s="111"/>
    </row>
    <row r="3488" spans="2:18" s="108" customFormat="1">
      <c r="B3488" s="97"/>
      <c r="C3488" s="110"/>
      <c r="D3488" s="109"/>
      <c r="E3488" s="97"/>
      <c r="F3488" s="97"/>
      <c r="G3488" s="109"/>
      <c r="H3488" s="109"/>
      <c r="I3488" s="97"/>
      <c r="J3488" s="97"/>
      <c r="K3488" s="83"/>
      <c r="L3488" s="111"/>
      <c r="M3488" s="111"/>
      <c r="N3488" s="111"/>
      <c r="O3488" s="111"/>
      <c r="P3488" s="111"/>
      <c r="Q3488" s="111"/>
      <c r="R3488" s="111"/>
    </row>
    <row r="3489" spans="2:18" s="108" customFormat="1">
      <c r="B3489" s="97"/>
      <c r="C3489" s="110"/>
      <c r="D3489" s="109"/>
      <c r="E3489" s="97"/>
      <c r="F3489" s="97"/>
      <c r="G3489" s="109"/>
      <c r="H3489" s="109"/>
      <c r="I3489" s="97"/>
      <c r="J3489" s="97"/>
      <c r="K3489" s="83"/>
      <c r="L3489" s="111"/>
      <c r="M3489" s="111"/>
      <c r="N3489" s="111"/>
      <c r="O3489" s="111"/>
      <c r="P3489" s="111"/>
      <c r="Q3489" s="111"/>
      <c r="R3489" s="111"/>
    </row>
    <row r="3490" spans="2:18" s="108" customFormat="1">
      <c r="B3490" s="97"/>
      <c r="C3490" s="110"/>
      <c r="D3490" s="109"/>
      <c r="E3490" s="97"/>
      <c r="F3490" s="97"/>
      <c r="G3490" s="109"/>
      <c r="H3490" s="109"/>
      <c r="I3490" s="97"/>
      <c r="J3490" s="97"/>
      <c r="K3490" s="83"/>
      <c r="L3490" s="111"/>
      <c r="M3490" s="111"/>
      <c r="N3490" s="111"/>
      <c r="O3490" s="111"/>
      <c r="P3490" s="111"/>
      <c r="Q3490" s="111"/>
      <c r="R3490" s="111"/>
    </row>
    <row r="3491" spans="2:18" s="108" customFormat="1">
      <c r="B3491" s="97"/>
      <c r="C3491" s="110"/>
      <c r="D3491" s="109"/>
      <c r="E3491" s="97"/>
      <c r="F3491" s="97"/>
      <c r="G3491" s="109"/>
      <c r="H3491" s="109"/>
      <c r="I3491" s="97"/>
      <c r="J3491" s="97"/>
      <c r="K3491" s="83"/>
      <c r="L3491" s="111"/>
      <c r="M3491" s="111"/>
      <c r="N3491" s="111"/>
      <c r="O3491" s="111"/>
      <c r="P3491" s="111"/>
      <c r="Q3491" s="111"/>
      <c r="R3491" s="111"/>
    </row>
    <row r="3492" spans="2:18" s="108" customFormat="1">
      <c r="B3492" s="97"/>
      <c r="C3492" s="110"/>
      <c r="D3492" s="109"/>
      <c r="E3492" s="97"/>
      <c r="F3492" s="97"/>
      <c r="G3492" s="109"/>
      <c r="H3492" s="109"/>
      <c r="I3492" s="97"/>
      <c r="J3492" s="97"/>
      <c r="K3492" s="83"/>
      <c r="L3492" s="111"/>
      <c r="M3492" s="111"/>
      <c r="N3492" s="111"/>
      <c r="O3492" s="111"/>
      <c r="P3492" s="111"/>
      <c r="Q3492" s="111"/>
      <c r="R3492" s="111"/>
    </row>
    <row r="3493" spans="2:18" s="108" customFormat="1">
      <c r="B3493" s="97"/>
      <c r="C3493" s="110"/>
      <c r="D3493" s="109"/>
      <c r="E3493" s="97"/>
      <c r="F3493" s="97"/>
      <c r="G3493" s="109"/>
      <c r="H3493" s="109"/>
      <c r="I3493" s="97"/>
      <c r="J3493" s="97"/>
      <c r="K3493" s="83"/>
      <c r="L3493" s="111"/>
      <c r="M3493" s="111"/>
      <c r="N3493" s="111"/>
      <c r="O3493" s="111"/>
      <c r="P3493" s="111"/>
      <c r="Q3493" s="111"/>
      <c r="R3493" s="111"/>
    </row>
    <row r="3494" spans="2:18" s="108" customFormat="1">
      <c r="B3494" s="97"/>
      <c r="C3494" s="110"/>
      <c r="D3494" s="109"/>
      <c r="E3494" s="97"/>
      <c r="F3494" s="97"/>
      <c r="G3494" s="109"/>
      <c r="H3494" s="109"/>
      <c r="I3494" s="97"/>
      <c r="J3494" s="97"/>
      <c r="K3494" s="83"/>
      <c r="L3494" s="111"/>
      <c r="M3494" s="111"/>
      <c r="N3494" s="111"/>
      <c r="O3494" s="111"/>
      <c r="P3494" s="111"/>
      <c r="Q3494" s="111"/>
      <c r="R3494" s="111"/>
    </row>
    <row r="3495" spans="2:18" s="108" customFormat="1">
      <c r="B3495" s="97"/>
      <c r="C3495" s="110"/>
      <c r="D3495" s="109"/>
      <c r="E3495" s="97"/>
      <c r="F3495" s="97"/>
      <c r="G3495" s="109"/>
      <c r="H3495" s="109"/>
      <c r="I3495" s="97"/>
      <c r="J3495" s="97"/>
      <c r="K3495" s="83"/>
      <c r="L3495" s="111"/>
      <c r="M3495" s="111"/>
      <c r="N3495" s="111"/>
      <c r="O3495" s="111"/>
      <c r="P3495" s="111"/>
      <c r="Q3495" s="111"/>
      <c r="R3495" s="111"/>
    </row>
    <row r="3496" spans="2:18" s="108" customFormat="1">
      <c r="B3496" s="97"/>
      <c r="C3496" s="110"/>
      <c r="D3496" s="109"/>
      <c r="E3496" s="97"/>
      <c r="F3496" s="97"/>
      <c r="G3496" s="109"/>
      <c r="H3496" s="109"/>
      <c r="I3496" s="97"/>
      <c r="J3496" s="97"/>
      <c r="K3496" s="83"/>
      <c r="L3496" s="111"/>
      <c r="M3496" s="111"/>
      <c r="N3496" s="111"/>
      <c r="O3496" s="111"/>
      <c r="P3496" s="111"/>
      <c r="Q3496" s="111"/>
      <c r="R3496" s="111"/>
    </row>
    <row r="3497" spans="2:18" s="108" customFormat="1">
      <c r="B3497" s="97"/>
      <c r="C3497" s="110"/>
      <c r="D3497" s="109"/>
      <c r="E3497" s="97"/>
      <c r="F3497" s="97"/>
      <c r="G3497" s="109"/>
      <c r="H3497" s="109"/>
      <c r="I3497" s="97"/>
      <c r="J3497" s="97"/>
      <c r="K3497" s="83"/>
      <c r="L3497" s="111"/>
      <c r="M3497" s="111"/>
      <c r="N3497" s="111"/>
      <c r="O3497" s="111"/>
      <c r="P3497" s="111"/>
      <c r="Q3497" s="111"/>
      <c r="R3497" s="111"/>
    </row>
    <row r="3498" spans="2:18" s="108" customFormat="1">
      <c r="B3498" s="97"/>
      <c r="C3498" s="110"/>
      <c r="D3498" s="109"/>
      <c r="E3498" s="97"/>
      <c r="F3498" s="97"/>
      <c r="G3498" s="109"/>
      <c r="H3498" s="109"/>
      <c r="I3498" s="97"/>
      <c r="J3498" s="97"/>
      <c r="K3498" s="83"/>
      <c r="L3498" s="111"/>
      <c r="M3498" s="111"/>
      <c r="N3498" s="111"/>
      <c r="O3498" s="111"/>
      <c r="P3498" s="111"/>
      <c r="Q3498" s="111"/>
      <c r="R3498" s="111"/>
    </row>
    <row r="3499" spans="2:18" s="108" customFormat="1">
      <c r="B3499" s="97"/>
      <c r="C3499" s="110"/>
      <c r="D3499" s="109"/>
      <c r="E3499" s="97"/>
      <c r="F3499" s="97"/>
      <c r="G3499" s="109"/>
      <c r="H3499" s="109"/>
      <c r="I3499" s="97"/>
      <c r="J3499" s="97"/>
      <c r="K3499" s="83"/>
      <c r="L3499" s="111"/>
      <c r="M3499" s="111"/>
      <c r="N3499" s="111"/>
      <c r="O3499" s="111"/>
      <c r="P3499" s="111"/>
      <c r="Q3499" s="111"/>
      <c r="R3499" s="111"/>
    </row>
    <row r="3500" spans="2:18" s="108" customFormat="1">
      <c r="B3500" s="97"/>
      <c r="C3500" s="110"/>
      <c r="D3500" s="109"/>
      <c r="E3500" s="97"/>
      <c r="F3500" s="97"/>
      <c r="G3500" s="109"/>
      <c r="H3500" s="109"/>
      <c r="I3500" s="97"/>
      <c r="J3500" s="97"/>
      <c r="K3500" s="83"/>
      <c r="L3500" s="111"/>
      <c r="M3500" s="111"/>
      <c r="N3500" s="111"/>
      <c r="O3500" s="111"/>
      <c r="P3500" s="111"/>
      <c r="Q3500" s="111"/>
      <c r="R3500" s="111"/>
    </row>
    <row r="3501" spans="2:18" s="108" customFormat="1">
      <c r="B3501" s="97"/>
      <c r="C3501" s="110"/>
      <c r="D3501" s="109"/>
      <c r="E3501" s="97"/>
      <c r="F3501" s="97"/>
      <c r="G3501" s="109"/>
      <c r="H3501" s="109"/>
      <c r="I3501" s="97"/>
      <c r="J3501" s="97"/>
      <c r="K3501" s="83"/>
      <c r="L3501" s="111"/>
      <c r="M3501" s="111"/>
      <c r="N3501" s="111"/>
      <c r="O3501" s="111"/>
      <c r="P3501" s="111"/>
      <c r="Q3501" s="111"/>
      <c r="R3501" s="111"/>
    </row>
    <row r="3502" spans="2:18" s="108" customFormat="1">
      <c r="B3502" s="97"/>
      <c r="C3502" s="110"/>
      <c r="D3502" s="109"/>
      <c r="E3502" s="97"/>
      <c r="F3502" s="97"/>
      <c r="G3502" s="109"/>
      <c r="H3502" s="109"/>
      <c r="I3502" s="97"/>
      <c r="J3502" s="97"/>
      <c r="K3502" s="83"/>
      <c r="L3502" s="111"/>
      <c r="M3502" s="111"/>
      <c r="N3502" s="111"/>
      <c r="O3502" s="111"/>
      <c r="P3502" s="111"/>
      <c r="Q3502" s="111"/>
      <c r="R3502" s="111"/>
    </row>
    <row r="3503" spans="2:18" s="108" customFormat="1">
      <c r="B3503" s="97"/>
      <c r="C3503" s="110"/>
      <c r="D3503" s="109"/>
      <c r="E3503" s="97"/>
      <c r="F3503" s="97"/>
      <c r="G3503" s="109"/>
      <c r="H3503" s="109"/>
      <c r="I3503" s="97"/>
      <c r="J3503" s="97"/>
      <c r="K3503" s="83"/>
      <c r="L3503" s="111"/>
      <c r="M3503" s="111"/>
      <c r="N3503" s="111"/>
      <c r="O3503" s="111"/>
      <c r="P3503" s="111"/>
      <c r="Q3503" s="111"/>
      <c r="R3503" s="111"/>
    </row>
    <row r="3504" spans="2:18" s="108" customFormat="1">
      <c r="B3504" s="97"/>
      <c r="C3504" s="110"/>
      <c r="D3504" s="109"/>
      <c r="E3504" s="97"/>
      <c r="F3504" s="97"/>
      <c r="G3504" s="109"/>
      <c r="H3504" s="109"/>
      <c r="I3504" s="97"/>
      <c r="J3504" s="97"/>
      <c r="K3504" s="83"/>
      <c r="L3504" s="111"/>
      <c r="M3504" s="111"/>
      <c r="N3504" s="111"/>
      <c r="O3504" s="111"/>
      <c r="P3504" s="111"/>
      <c r="Q3504" s="111"/>
      <c r="R3504" s="111"/>
    </row>
    <row r="3505" spans="2:18" s="108" customFormat="1">
      <c r="B3505" s="97"/>
      <c r="C3505" s="110"/>
      <c r="D3505" s="109"/>
      <c r="E3505" s="97"/>
      <c r="F3505" s="97"/>
      <c r="G3505" s="109"/>
      <c r="H3505" s="109"/>
      <c r="I3505" s="97"/>
      <c r="J3505" s="97"/>
      <c r="K3505" s="83"/>
      <c r="L3505" s="111"/>
      <c r="M3505" s="111"/>
      <c r="N3505" s="111"/>
      <c r="O3505" s="111"/>
      <c r="P3505" s="111"/>
      <c r="Q3505" s="111"/>
      <c r="R3505" s="111"/>
    </row>
    <row r="3506" spans="2:18" s="108" customFormat="1">
      <c r="B3506" s="97"/>
      <c r="C3506" s="110"/>
      <c r="D3506" s="109"/>
      <c r="E3506" s="97"/>
      <c r="F3506" s="97"/>
      <c r="G3506" s="109"/>
      <c r="H3506" s="109"/>
      <c r="I3506" s="97"/>
      <c r="J3506" s="97"/>
      <c r="K3506" s="83"/>
      <c r="L3506" s="111"/>
      <c r="M3506" s="111"/>
      <c r="N3506" s="111"/>
      <c r="O3506" s="111"/>
      <c r="P3506" s="111"/>
      <c r="Q3506" s="111"/>
      <c r="R3506" s="111"/>
    </row>
    <row r="3507" spans="2:18" s="108" customFormat="1">
      <c r="B3507" s="97"/>
      <c r="C3507" s="110"/>
      <c r="D3507" s="109"/>
      <c r="E3507" s="97"/>
      <c r="F3507" s="97"/>
      <c r="G3507" s="109"/>
      <c r="H3507" s="109"/>
      <c r="I3507" s="97"/>
      <c r="J3507" s="97"/>
      <c r="K3507" s="83"/>
      <c r="L3507" s="111"/>
      <c r="M3507" s="111"/>
      <c r="N3507" s="111"/>
      <c r="O3507" s="111"/>
      <c r="P3507" s="111"/>
      <c r="Q3507" s="111"/>
      <c r="R3507" s="111"/>
    </row>
    <row r="3508" spans="2:18" s="108" customFormat="1">
      <c r="B3508" s="97"/>
      <c r="C3508" s="110"/>
      <c r="D3508" s="109"/>
      <c r="E3508" s="97"/>
      <c r="F3508" s="97"/>
      <c r="G3508" s="109"/>
      <c r="H3508" s="109"/>
      <c r="I3508" s="97"/>
      <c r="J3508" s="97"/>
      <c r="K3508" s="83"/>
      <c r="L3508" s="111"/>
      <c r="M3508" s="111"/>
      <c r="N3508" s="111"/>
      <c r="O3508" s="111"/>
      <c r="P3508" s="111"/>
      <c r="Q3508" s="111"/>
      <c r="R3508" s="111"/>
    </row>
    <row r="3509" spans="2:18" s="108" customFormat="1">
      <c r="B3509" s="97"/>
      <c r="C3509" s="110"/>
      <c r="D3509" s="109"/>
      <c r="E3509" s="97"/>
      <c r="F3509" s="97"/>
      <c r="G3509" s="109"/>
      <c r="H3509" s="109"/>
      <c r="I3509" s="97"/>
      <c r="J3509" s="97"/>
      <c r="K3509" s="83"/>
      <c r="L3509" s="111"/>
      <c r="M3509" s="111"/>
      <c r="N3509" s="111"/>
      <c r="O3509" s="111"/>
      <c r="P3509" s="111"/>
      <c r="Q3509" s="111"/>
      <c r="R3509" s="111"/>
    </row>
    <row r="3510" spans="2:18" s="108" customFormat="1">
      <c r="B3510" s="97"/>
      <c r="C3510" s="110"/>
      <c r="D3510" s="109"/>
      <c r="E3510" s="97"/>
      <c r="F3510" s="97"/>
      <c r="G3510" s="109"/>
      <c r="H3510" s="109"/>
      <c r="I3510" s="97"/>
      <c r="J3510" s="97"/>
      <c r="K3510" s="83"/>
      <c r="L3510" s="111"/>
      <c r="M3510" s="111"/>
      <c r="N3510" s="111"/>
      <c r="O3510" s="111"/>
      <c r="P3510" s="111"/>
      <c r="Q3510" s="111"/>
      <c r="R3510" s="111"/>
    </row>
    <row r="3511" spans="2:18" s="108" customFormat="1">
      <c r="B3511" s="97"/>
      <c r="C3511" s="110"/>
      <c r="D3511" s="109"/>
      <c r="E3511" s="97"/>
      <c r="F3511" s="97"/>
      <c r="G3511" s="109"/>
      <c r="H3511" s="109"/>
      <c r="I3511" s="97"/>
      <c r="J3511" s="97"/>
      <c r="K3511" s="83"/>
      <c r="L3511" s="111"/>
      <c r="M3511" s="111"/>
      <c r="N3511" s="111"/>
      <c r="O3511" s="111"/>
      <c r="P3511" s="111"/>
      <c r="Q3511" s="111"/>
      <c r="R3511" s="111"/>
    </row>
    <row r="3512" spans="2:18" s="108" customFormat="1">
      <c r="B3512" s="97"/>
      <c r="C3512" s="110"/>
      <c r="D3512" s="109"/>
      <c r="E3512" s="97"/>
      <c r="F3512" s="97"/>
      <c r="G3512" s="109"/>
      <c r="H3512" s="109"/>
      <c r="I3512" s="97"/>
      <c r="J3512" s="97"/>
      <c r="K3512" s="83"/>
      <c r="L3512" s="111"/>
      <c r="M3512" s="111"/>
      <c r="N3512" s="111"/>
      <c r="O3512" s="111"/>
      <c r="P3512" s="111"/>
      <c r="Q3512" s="111"/>
      <c r="R3512" s="111"/>
    </row>
    <row r="3513" spans="2:18" s="108" customFormat="1">
      <c r="B3513" s="97"/>
      <c r="C3513" s="110"/>
      <c r="D3513" s="109"/>
      <c r="E3513" s="97"/>
      <c r="F3513" s="97"/>
      <c r="G3513" s="109"/>
      <c r="H3513" s="109"/>
      <c r="I3513" s="97"/>
      <c r="J3513" s="97"/>
      <c r="K3513" s="83"/>
      <c r="L3513" s="111"/>
      <c r="M3513" s="111"/>
      <c r="N3513" s="111"/>
      <c r="O3513" s="111"/>
      <c r="P3513" s="111"/>
      <c r="Q3513" s="111"/>
      <c r="R3513" s="111"/>
    </row>
    <row r="3514" spans="2:18" s="108" customFormat="1">
      <c r="B3514" s="97"/>
      <c r="C3514" s="110"/>
      <c r="D3514" s="109"/>
      <c r="E3514" s="97"/>
      <c r="F3514" s="97"/>
      <c r="G3514" s="109"/>
      <c r="H3514" s="109"/>
      <c r="I3514" s="97"/>
      <c r="J3514" s="97"/>
      <c r="K3514" s="83"/>
      <c r="L3514" s="111"/>
      <c r="M3514" s="111"/>
      <c r="N3514" s="111"/>
      <c r="O3514" s="111"/>
      <c r="P3514" s="111"/>
      <c r="Q3514" s="111"/>
      <c r="R3514" s="111"/>
    </row>
    <row r="3515" spans="2:18" s="108" customFormat="1">
      <c r="B3515" s="97"/>
      <c r="C3515" s="110"/>
      <c r="D3515" s="109"/>
      <c r="E3515" s="97"/>
      <c r="F3515" s="97"/>
      <c r="G3515" s="109"/>
      <c r="H3515" s="109"/>
      <c r="I3515" s="97"/>
      <c r="J3515" s="97"/>
      <c r="K3515" s="83"/>
      <c r="L3515" s="111"/>
      <c r="M3515" s="111"/>
      <c r="N3515" s="111"/>
      <c r="O3515" s="111"/>
      <c r="P3515" s="111"/>
      <c r="Q3515" s="111"/>
      <c r="R3515" s="111"/>
    </row>
    <row r="3516" spans="2:18" s="108" customFormat="1">
      <c r="B3516" s="97"/>
      <c r="C3516" s="110"/>
      <c r="D3516" s="109"/>
      <c r="E3516" s="97"/>
      <c r="F3516" s="97"/>
      <c r="G3516" s="109"/>
      <c r="H3516" s="109"/>
      <c r="I3516" s="97"/>
      <c r="J3516" s="97"/>
      <c r="K3516" s="83"/>
      <c r="L3516" s="111"/>
      <c r="M3516" s="111"/>
      <c r="N3516" s="111"/>
      <c r="O3516" s="111"/>
      <c r="P3516" s="111"/>
      <c r="Q3516" s="111"/>
      <c r="R3516" s="111"/>
    </row>
    <row r="3517" spans="2:18" s="108" customFormat="1">
      <c r="B3517" s="97"/>
      <c r="C3517" s="110"/>
      <c r="D3517" s="109"/>
      <c r="E3517" s="97"/>
      <c r="F3517" s="97"/>
      <c r="G3517" s="109"/>
      <c r="H3517" s="109"/>
      <c r="I3517" s="97"/>
      <c r="J3517" s="97"/>
      <c r="K3517" s="83"/>
      <c r="L3517" s="111"/>
      <c r="M3517" s="111"/>
      <c r="N3517" s="111"/>
      <c r="O3517" s="111"/>
      <c r="P3517" s="111"/>
      <c r="Q3517" s="111"/>
      <c r="R3517" s="111"/>
    </row>
    <row r="3518" spans="2:18" s="108" customFormat="1">
      <c r="B3518" s="97"/>
      <c r="C3518" s="110"/>
      <c r="D3518" s="109"/>
      <c r="E3518" s="97"/>
      <c r="F3518" s="97"/>
      <c r="G3518" s="109"/>
      <c r="H3518" s="109"/>
      <c r="I3518" s="97"/>
      <c r="J3518" s="97"/>
      <c r="K3518" s="83"/>
      <c r="L3518" s="111"/>
      <c r="M3518" s="111"/>
      <c r="N3518" s="111"/>
      <c r="O3518" s="111"/>
      <c r="P3518" s="111"/>
      <c r="Q3518" s="111"/>
      <c r="R3518" s="111"/>
    </row>
    <row r="3519" spans="2:18" s="108" customFormat="1">
      <c r="B3519" s="97"/>
      <c r="C3519" s="110"/>
      <c r="D3519" s="109"/>
      <c r="E3519" s="97"/>
      <c r="F3519" s="97"/>
      <c r="G3519" s="109"/>
      <c r="H3519" s="109"/>
      <c r="I3519" s="97"/>
      <c r="J3519" s="97"/>
      <c r="K3519" s="83"/>
      <c r="L3519" s="111"/>
      <c r="M3519" s="111"/>
      <c r="N3519" s="111"/>
      <c r="O3519" s="111"/>
      <c r="P3519" s="111"/>
      <c r="Q3519" s="111"/>
      <c r="R3519" s="111"/>
    </row>
    <row r="3520" spans="2:18" s="108" customFormat="1">
      <c r="B3520" s="97"/>
      <c r="C3520" s="110"/>
      <c r="D3520" s="109"/>
      <c r="E3520" s="97"/>
      <c r="F3520" s="97"/>
      <c r="G3520" s="109"/>
      <c r="H3520" s="109"/>
      <c r="I3520" s="97"/>
      <c r="J3520" s="97"/>
      <c r="K3520" s="83"/>
      <c r="L3520" s="111"/>
      <c r="M3520" s="111"/>
      <c r="N3520" s="111"/>
      <c r="O3520" s="111"/>
      <c r="P3520" s="111"/>
      <c r="Q3520" s="111"/>
      <c r="R3520" s="111"/>
    </row>
    <row r="3521" spans="2:18" s="108" customFormat="1">
      <c r="B3521" s="97"/>
      <c r="C3521" s="110"/>
      <c r="D3521" s="109"/>
      <c r="E3521" s="97"/>
      <c r="F3521" s="97"/>
      <c r="G3521" s="109"/>
      <c r="H3521" s="109"/>
      <c r="I3521" s="97"/>
      <c r="J3521" s="97"/>
      <c r="K3521" s="83"/>
      <c r="L3521" s="111"/>
      <c r="M3521" s="111"/>
      <c r="N3521" s="111"/>
      <c r="O3521" s="111"/>
      <c r="P3521" s="111"/>
      <c r="Q3521" s="111"/>
      <c r="R3521" s="111"/>
    </row>
    <row r="3522" spans="2:18" s="108" customFormat="1">
      <c r="B3522" s="97"/>
      <c r="C3522" s="110"/>
      <c r="D3522" s="109"/>
      <c r="E3522" s="97"/>
      <c r="F3522" s="97"/>
      <c r="G3522" s="109"/>
      <c r="H3522" s="109"/>
      <c r="I3522" s="97"/>
      <c r="J3522" s="97"/>
      <c r="K3522" s="83"/>
      <c r="L3522" s="111"/>
      <c r="M3522" s="111"/>
      <c r="N3522" s="111"/>
      <c r="O3522" s="111"/>
      <c r="P3522" s="111"/>
      <c r="Q3522" s="111"/>
      <c r="R3522" s="111"/>
    </row>
    <row r="3523" spans="2:18" s="108" customFormat="1">
      <c r="B3523" s="97"/>
      <c r="C3523" s="110"/>
      <c r="D3523" s="109"/>
      <c r="E3523" s="97"/>
      <c r="F3523" s="97"/>
      <c r="G3523" s="109"/>
      <c r="H3523" s="109"/>
      <c r="I3523" s="97"/>
      <c r="J3523" s="97"/>
      <c r="K3523" s="83"/>
      <c r="L3523" s="111"/>
      <c r="M3523" s="111"/>
      <c r="N3523" s="111"/>
      <c r="O3523" s="111"/>
      <c r="P3523" s="111"/>
      <c r="Q3523" s="111"/>
      <c r="R3523" s="111"/>
    </row>
    <row r="3524" spans="2:18" s="108" customFormat="1">
      <c r="B3524" s="97"/>
      <c r="C3524" s="110"/>
      <c r="D3524" s="109"/>
      <c r="E3524" s="97"/>
      <c r="F3524" s="97"/>
      <c r="G3524" s="109"/>
      <c r="H3524" s="109"/>
      <c r="I3524" s="97"/>
      <c r="J3524" s="97"/>
      <c r="K3524" s="83"/>
      <c r="L3524" s="111"/>
      <c r="M3524" s="111"/>
      <c r="N3524" s="111"/>
      <c r="O3524" s="111"/>
      <c r="P3524" s="111"/>
      <c r="Q3524" s="111"/>
      <c r="R3524" s="111"/>
    </row>
    <row r="3525" spans="2:18" s="108" customFormat="1">
      <c r="B3525" s="97"/>
      <c r="C3525" s="110"/>
      <c r="D3525" s="109"/>
      <c r="E3525" s="97"/>
      <c r="F3525" s="97"/>
      <c r="G3525" s="109"/>
      <c r="H3525" s="109"/>
      <c r="I3525" s="97"/>
      <c r="J3525" s="97"/>
      <c r="K3525" s="83"/>
      <c r="L3525" s="111"/>
      <c r="M3525" s="111"/>
      <c r="N3525" s="111"/>
      <c r="O3525" s="111"/>
      <c r="P3525" s="111"/>
      <c r="Q3525" s="111"/>
      <c r="R3525" s="111"/>
    </row>
    <row r="3526" spans="2:18" s="108" customFormat="1">
      <c r="B3526" s="97"/>
      <c r="C3526" s="110"/>
      <c r="D3526" s="109"/>
      <c r="E3526" s="97"/>
      <c r="F3526" s="97"/>
      <c r="G3526" s="109"/>
      <c r="H3526" s="109"/>
      <c r="I3526" s="97"/>
      <c r="J3526" s="97"/>
      <c r="K3526" s="83"/>
      <c r="L3526" s="111"/>
      <c r="M3526" s="111"/>
      <c r="N3526" s="111"/>
      <c r="O3526" s="111"/>
      <c r="P3526" s="111"/>
      <c r="Q3526" s="111"/>
      <c r="R3526" s="111"/>
    </row>
    <row r="3527" spans="2:18" s="108" customFormat="1">
      <c r="B3527" s="97"/>
      <c r="C3527" s="110"/>
      <c r="D3527" s="109"/>
      <c r="E3527" s="97"/>
      <c r="F3527" s="97"/>
      <c r="G3527" s="109"/>
      <c r="H3527" s="109"/>
      <c r="I3527" s="97"/>
      <c r="J3527" s="97"/>
      <c r="K3527" s="83"/>
      <c r="L3527" s="111"/>
      <c r="M3527" s="111"/>
      <c r="N3527" s="111"/>
      <c r="O3527" s="111"/>
      <c r="P3527" s="111"/>
      <c r="Q3527" s="111"/>
      <c r="R3527" s="111"/>
    </row>
    <row r="3528" spans="2:18" s="108" customFormat="1">
      <c r="B3528" s="97"/>
      <c r="C3528" s="110"/>
      <c r="D3528" s="109"/>
      <c r="E3528" s="97"/>
      <c r="F3528" s="97"/>
      <c r="G3528" s="109"/>
      <c r="H3528" s="109"/>
      <c r="I3528" s="97"/>
      <c r="J3528" s="97"/>
      <c r="K3528" s="83"/>
      <c r="L3528" s="111"/>
      <c r="M3528" s="111"/>
      <c r="N3528" s="111"/>
      <c r="O3528" s="111"/>
      <c r="P3528" s="111"/>
      <c r="Q3528" s="111"/>
      <c r="R3528" s="111"/>
    </row>
    <row r="3529" spans="2:18" s="108" customFormat="1">
      <c r="B3529" s="97"/>
      <c r="C3529" s="110"/>
      <c r="D3529" s="109"/>
      <c r="E3529" s="97"/>
      <c r="F3529" s="97"/>
      <c r="G3529" s="109"/>
      <c r="H3529" s="109"/>
      <c r="I3529" s="97"/>
      <c r="J3529" s="97"/>
      <c r="K3529" s="83"/>
      <c r="L3529" s="111"/>
      <c r="M3529" s="111"/>
      <c r="N3529" s="111"/>
      <c r="O3529" s="111"/>
      <c r="P3529" s="111"/>
      <c r="Q3529" s="111"/>
      <c r="R3529" s="111"/>
    </row>
    <row r="3530" spans="2:18" s="108" customFormat="1">
      <c r="B3530" s="97"/>
      <c r="C3530" s="110"/>
      <c r="D3530" s="109"/>
      <c r="E3530" s="97"/>
      <c r="F3530" s="97"/>
      <c r="G3530" s="109"/>
      <c r="H3530" s="109"/>
      <c r="I3530" s="97"/>
      <c r="J3530" s="97"/>
      <c r="K3530" s="83"/>
      <c r="L3530" s="111"/>
      <c r="M3530" s="111"/>
      <c r="N3530" s="111"/>
      <c r="O3530" s="111"/>
      <c r="P3530" s="111"/>
      <c r="Q3530" s="111"/>
      <c r="R3530" s="111"/>
    </row>
    <row r="3531" spans="2:18" s="108" customFormat="1">
      <c r="B3531" s="97"/>
      <c r="C3531" s="110"/>
      <c r="D3531" s="109"/>
      <c r="E3531" s="97"/>
      <c r="F3531" s="97"/>
      <c r="G3531" s="109"/>
      <c r="H3531" s="109"/>
      <c r="I3531" s="97"/>
      <c r="J3531" s="97"/>
      <c r="K3531" s="83"/>
      <c r="L3531" s="111"/>
      <c r="M3531" s="111"/>
      <c r="N3531" s="111"/>
      <c r="O3531" s="111"/>
      <c r="P3531" s="111"/>
      <c r="Q3531" s="111"/>
      <c r="R3531" s="111"/>
    </row>
    <row r="3532" spans="2:18" s="108" customFormat="1">
      <c r="B3532" s="97"/>
      <c r="C3532" s="110"/>
      <c r="D3532" s="109"/>
      <c r="E3532" s="97"/>
      <c r="F3532" s="97"/>
      <c r="G3532" s="109"/>
      <c r="H3532" s="109"/>
      <c r="I3532" s="97"/>
      <c r="J3532" s="97"/>
      <c r="K3532" s="83"/>
      <c r="L3532" s="111"/>
      <c r="M3532" s="111"/>
      <c r="N3532" s="111"/>
      <c r="O3532" s="111"/>
      <c r="P3532" s="111"/>
      <c r="Q3532" s="111"/>
      <c r="R3532" s="111"/>
    </row>
    <row r="3533" spans="2:18" s="108" customFormat="1">
      <c r="B3533" s="97"/>
      <c r="C3533" s="110"/>
      <c r="D3533" s="109"/>
      <c r="E3533" s="97"/>
      <c r="F3533" s="97"/>
      <c r="G3533" s="109"/>
      <c r="H3533" s="109"/>
      <c r="I3533" s="97"/>
      <c r="J3533" s="97"/>
      <c r="K3533" s="83"/>
      <c r="L3533" s="111"/>
      <c r="M3533" s="111"/>
      <c r="N3533" s="111"/>
      <c r="O3533" s="111"/>
      <c r="P3533" s="111"/>
      <c r="Q3533" s="111"/>
      <c r="R3533" s="111"/>
    </row>
    <row r="3534" spans="2:18" s="108" customFormat="1">
      <c r="B3534" s="97"/>
      <c r="C3534" s="110"/>
      <c r="D3534" s="109"/>
      <c r="E3534" s="97"/>
      <c r="F3534" s="97"/>
      <c r="G3534" s="109"/>
      <c r="H3534" s="109"/>
      <c r="I3534" s="97"/>
      <c r="J3534" s="97"/>
      <c r="K3534" s="83"/>
      <c r="L3534" s="111"/>
      <c r="M3534" s="111"/>
      <c r="N3534" s="111"/>
      <c r="O3534" s="111"/>
      <c r="P3534" s="111"/>
      <c r="Q3534" s="111"/>
      <c r="R3534" s="111"/>
    </row>
    <row r="3535" spans="2:18" s="108" customFormat="1">
      <c r="B3535" s="97"/>
      <c r="C3535" s="110"/>
      <c r="D3535" s="109"/>
      <c r="E3535" s="97"/>
      <c r="F3535" s="97"/>
      <c r="G3535" s="109"/>
      <c r="H3535" s="109"/>
      <c r="I3535" s="97"/>
      <c r="J3535" s="97"/>
      <c r="K3535" s="83"/>
      <c r="L3535" s="111"/>
      <c r="M3535" s="111"/>
      <c r="N3535" s="111"/>
      <c r="O3535" s="111"/>
      <c r="P3535" s="111"/>
      <c r="Q3535" s="111"/>
      <c r="R3535" s="111"/>
    </row>
    <row r="3536" spans="2:18" s="108" customFormat="1">
      <c r="B3536" s="97"/>
      <c r="C3536" s="110"/>
      <c r="D3536" s="109"/>
      <c r="E3536" s="97"/>
      <c r="F3536" s="97"/>
      <c r="G3536" s="109"/>
      <c r="H3536" s="109"/>
      <c r="I3536" s="97"/>
      <c r="J3536" s="97"/>
      <c r="K3536" s="83"/>
      <c r="L3536" s="111"/>
      <c r="M3536" s="111"/>
      <c r="N3536" s="111"/>
      <c r="O3536" s="111"/>
      <c r="P3536" s="111"/>
      <c r="Q3536" s="111"/>
      <c r="R3536" s="111"/>
    </row>
    <row r="3537" spans="2:18" s="108" customFormat="1">
      <c r="B3537" s="97"/>
      <c r="C3537" s="110"/>
      <c r="D3537" s="109"/>
      <c r="E3537" s="97"/>
      <c r="F3537" s="97"/>
      <c r="G3537" s="109"/>
      <c r="H3537" s="109"/>
      <c r="I3537" s="97"/>
      <c r="J3537" s="97"/>
      <c r="K3537" s="83"/>
      <c r="L3537" s="111"/>
      <c r="M3537" s="111"/>
      <c r="N3537" s="111"/>
      <c r="O3537" s="111"/>
      <c r="P3537" s="111"/>
      <c r="Q3537" s="111"/>
      <c r="R3537" s="111"/>
    </row>
    <row r="3538" spans="2:18" s="108" customFormat="1">
      <c r="B3538" s="97"/>
      <c r="C3538" s="110"/>
      <c r="D3538" s="109"/>
      <c r="E3538" s="97"/>
      <c r="F3538" s="97"/>
      <c r="G3538" s="109"/>
      <c r="H3538" s="109"/>
      <c r="I3538" s="97"/>
      <c r="J3538" s="97"/>
      <c r="K3538" s="83"/>
      <c r="L3538" s="111"/>
      <c r="M3538" s="111"/>
      <c r="N3538" s="111"/>
      <c r="O3538" s="111"/>
      <c r="P3538" s="111"/>
      <c r="Q3538" s="111"/>
      <c r="R3538" s="111"/>
    </row>
    <row r="3539" spans="2:18" s="108" customFormat="1">
      <c r="B3539" s="97"/>
      <c r="C3539" s="110"/>
      <c r="D3539" s="109"/>
      <c r="E3539" s="97"/>
      <c r="F3539" s="97"/>
      <c r="G3539" s="109"/>
      <c r="H3539" s="109"/>
      <c r="I3539" s="97"/>
      <c r="J3539" s="97"/>
      <c r="K3539" s="83"/>
      <c r="L3539" s="111"/>
      <c r="M3539" s="111"/>
      <c r="N3539" s="111"/>
      <c r="O3539" s="111"/>
      <c r="P3539" s="111"/>
      <c r="Q3539" s="111"/>
      <c r="R3539" s="111"/>
    </row>
    <row r="3540" spans="2:18" s="108" customFormat="1">
      <c r="B3540" s="97"/>
      <c r="C3540" s="110"/>
      <c r="D3540" s="109"/>
      <c r="E3540" s="97"/>
      <c r="F3540" s="97"/>
      <c r="G3540" s="109"/>
      <c r="H3540" s="109"/>
      <c r="I3540" s="97"/>
      <c r="J3540" s="97"/>
      <c r="K3540" s="83"/>
      <c r="L3540" s="111"/>
      <c r="M3540" s="111"/>
      <c r="N3540" s="111"/>
      <c r="O3540" s="111"/>
      <c r="P3540" s="111"/>
      <c r="Q3540" s="111"/>
      <c r="R3540" s="111"/>
    </row>
    <row r="3541" spans="2:18" s="108" customFormat="1">
      <c r="B3541" s="97"/>
      <c r="C3541" s="110"/>
      <c r="D3541" s="109"/>
      <c r="E3541" s="97"/>
      <c r="F3541" s="97"/>
      <c r="G3541" s="109"/>
      <c r="H3541" s="109"/>
      <c r="I3541" s="97"/>
      <c r="J3541" s="97"/>
      <c r="K3541" s="83"/>
      <c r="L3541" s="111"/>
      <c r="M3541" s="111"/>
      <c r="N3541" s="111"/>
      <c r="O3541" s="111"/>
      <c r="P3541" s="111"/>
      <c r="Q3541" s="111"/>
      <c r="R3541" s="111"/>
    </row>
    <row r="3542" spans="2:18" s="108" customFormat="1">
      <c r="B3542" s="97"/>
      <c r="C3542" s="110"/>
      <c r="D3542" s="109"/>
      <c r="E3542" s="97"/>
      <c r="F3542" s="97"/>
      <c r="G3542" s="109"/>
      <c r="H3542" s="109"/>
      <c r="I3542" s="97"/>
      <c r="J3542" s="97"/>
      <c r="K3542" s="83"/>
      <c r="L3542" s="111"/>
      <c r="M3542" s="111"/>
      <c r="N3542" s="111"/>
      <c r="O3542" s="111"/>
      <c r="P3542" s="111"/>
      <c r="Q3542" s="111"/>
      <c r="R3542" s="111"/>
    </row>
    <row r="3543" spans="2:18" s="108" customFormat="1">
      <c r="B3543" s="97"/>
      <c r="C3543" s="110"/>
      <c r="D3543" s="109"/>
      <c r="E3543" s="97"/>
      <c r="F3543" s="97"/>
      <c r="G3543" s="109"/>
      <c r="H3543" s="109"/>
      <c r="I3543" s="97"/>
      <c r="J3543" s="97"/>
      <c r="K3543" s="83"/>
      <c r="L3543" s="111"/>
      <c r="M3543" s="111"/>
      <c r="N3543" s="111"/>
      <c r="O3543" s="111"/>
      <c r="P3543" s="111"/>
      <c r="Q3543" s="111"/>
      <c r="R3543" s="111"/>
    </row>
    <row r="3544" spans="2:18" s="108" customFormat="1">
      <c r="B3544" s="97"/>
      <c r="C3544" s="110"/>
      <c r="D3544" s="109"/>
      <c r="E3544" s="97"/>
      <c r="F3544" s="97"/>
      <c r="G3544" s="109"/>
      <c r="H3544" s="109"/>
      <c r="I3544" s="97"/>
      <c r="J3544" s="97"/>
      <c r="K3544" s="83"/>
      <c r="L3544" s="111"/>
      <c r="M3544" s="111"/>
      <c r="N3544" s="111"/>
      <c r="O3544" s="111"/>
      <c r="P3544" s="111"/>
      <c r="Q3544" s="111"/>
      <c r="R3544" s="111"/>
    </row>
    <row r="3545" spans="2:18" s="108" customFormat="1">
      <c r="B3545" s="97"/>
      <c r="C3545" s="110"/>
      <c r="D3545" s="109"/>
      <c r="E3545" s="97"/>
      <c r="F3545" s="97"/>
      <c r="G3545" s="109"/>
      <c r="H3545" s="109"/>
      <c r="I3545" s="97"/>
      <c r="J3545" s="97"/>
      <c r="K3545" s="83"/>
      <c r="L3545" s="111"/>
      <c r="M3545" s="111"/>
      <c r="N3545" s="111"/>
      <c r="O3545" s="111"/>
      <c r="P3545" s="111"/>
      <c r="Q3545" s="111"/>
      <c r="R3545" s="111"/>
    </row>
    <row r="3546" spans="2:18">
      <c r="N3546" s="111"/>
    </row>
  </sheetData>
  <sheetProtection selectLockedCells="1"/>
  <mergeCells count="7">
    <mergeCell ref="K1:K2"/>
    <mergeCell ref="B1:B2"/>
    <mergeCell ref="C1:E1"/>
    <mergeCell ref="O1:P1"/>
    <mergeCell ref="L1:M1"/>
    <mergeCell ref="F1:F2"/>
    <mergeCell ref="N1:N2"/>
  </mergeCells>
  <phoneticPr fontId="3" type="noConversion"/>
  <pageMargins left="0.75" right="0.75" top="1" bottom="1" header="0" footer="0"/>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7"/>
  <dimension ref="A1:AP3546"/>
  <sheetViews>
    <sheetView workbookViewId="0">
      <pane xSplit="1" ySplit="2" topLeftCell="D13" activePane="bottomRight" state="frozenSplit"/>
      <selection activeCell="C45" sqref="C45"/>
      <selection pane="topRight" activeCell="C45" sqref="C45"/>
      <selection pane="bottomLeft" activeCell="C45" sqref="C45"/>
      <selection pane="bottomRight" activeCell="I45" sqref="I45"/>
    </sheetView>
  </sheetViews>
  <sheetFormatPr defaultColWidth="11.453125" defaultRowHeight="12.5"/>
  <cols>
    <col min="1" max="1" width="4" style="48" bestFit="1" customWidth="1"/>
    <col min="2" max="2" width="56.7265625" style="75" bestFit="1" customWidth="1"/>
    <col min="3" max="3" width="8.26953125" style="80" bestFit="1" customWidth="1"/>
    <col min="4" max="4" width="56.7265625" style="77" bestFit="1" customWidth="1"/>
    <col min="5" max="5" width="41.26953125" style="75" bestFit="1" customWidth="1"/>
    <col min="6" max="6" width="21.453125" style="96" bestFit="1" customWidth="1"/>
    <col min="7" max="7" width="9.1796875" style="75" bestFit="1" customWidth="1"/>
    <col min="8" max="8" width="20.26953125" style="75" bestFit="1" customWidth="1"/>
    <col min="9" max="9" width="14.453125" style="97" customWidth="1"/>
    <col min="10" max="10" width="23.7265625" style="97" bestFit="1" customWidth="1"/>
    <col min="11" max="11" width="15.54296875" bestFit="1" customWidth="1"/>
    <col min="12" max="12" width="12.26953125" style="49" bestFit="1" customWidth="1"/>
    <col min="13" max="13" width="15.26953125" style="49" bestFit="1" customWidth="1"/>
    <col min="14" max="14" width="16.26953125" style="49" bestFit="1" customWidth="1"/>
    <col min="15" max="15" width="28" style="49" bestFit="1" customWidth="1"/>
    <col min="16" max="16" width="30" style="49" bestFit="1" customWidth="1"/>
    <col min="17" max="17" width="11.54296875" style="49" bestFit="1" customWidth="1"/>
    <col min="18" max="18" width="19.26953125" style="49" bestFit="1" customWidth="1"/>
    <col min="19" max="19" width="30.26953125" style="48" bestFit="1" customWidth="1"/>
    <col min="20" max="20" width="9.1796875" style="48" bestFit="1" customWidth="1"/>
    <col min="21" max="21" width="11.54296875" style="48" customWidth="1"/>
    <col min="22" max="23" width="17.7265625" style="48" bestFit="1" customWidth="1"/>
    <col min="24" max="24" width="12.26953125" style="48" bestFit="1" customWidth="1"/>
    <col min="25" max="16384" width="11.453125" style="48"/>
  </cols>
  <sheetData>
    <row r="1" spans="1:42" ht="12.75" customHeight="1">
      <c r="B1" s="676" t="s">
        <v>48</v>
      </c>
      <c r="C1" s="678" t="s">
        <v>52</v>
      </c>
      <c r="D1" s="586"/>
      <c r="E1" s="586"/>
      <c r="F1" s="683" t="s">
        <v>106</v>
      </c>
      <c r="I1" s="95"/>
      <c r="J1" s="95"/>
      <c r="K1" s="679" t="s">
        <v>99</v>
      </c>
      <c r="L1" s="682" t="s">
        <v>38</v>
      </c>
      <c r="M1" s="681"/>
      <c r="N1" s="776" t="s">
        <v>94</v>
      </c>
      <c r="O1" s="682" t="s">
        <v>35</v>
      </c>
      <c r="P1" s="682"/>
    </row>
    <row r="2" spans="1:42" ht="13" thickBot="1">
      <c r="B2" s="677"/>
      <c r="C2" s="80" t="s">
        <v>17</v>
      </c>
      <c r="D2" s="77" t="s">
        <v>96</v>
      </c>
      <c r="E2" s="75" t="s">
        <v>93</v>
      </c>
      <c r="F2" s="684"/>
      <c r="G2" s="75" t="s">
        <v>12</v>
      </c>
      <c r="H2" s="75" t="s">
        <v>46</v>
      </c>
      <c r="I2" s="97" t="s">
        <v>95</v>
      </c>
      <c r="J2" s="97" t="s">
        <v>73</v>
      </c>
      <c r="K2" s="679"/>
      <c r="L2" s="70" t="s">
        <v>1</v>
      </c>
      <c r="M2" s="70" t="s">
        <v>2</v>
      </c>
      <c r="N2" s="674"/>
      <c r="O2" s="70" t="s">
        <v>36</v>
      </c>
      <c r="P2" s="70" t="s">
        <v>37</v>
      </c>
    </row>
    <row r="3" spans="1:42" ht="13" thickBot="1">
      <c r="A3" s="48">
        <v>1</v>
      </c>
      <c r="B3" s="75">
        <f>IF(controls!$B$40=3,'choose m.p. (endogenous policy)'!$W$3,IF(controls!$B$40=1,'choose m.p. (endogenous policy)'!$W$3*(1+L3),W3*(1+L3)))</f>
        <v>50</v>
      </c>
      <c r="D3" s="77">
        <f>IF(E3-'input own m.p.'!$K$12*'choose m.p. (endogenous policy)'!W5&gt;0,E3-'input own m.p.'!$K$12*'choose m.p. (endogenous policy)'!W5,0.1)</f>
        <v>50</v>
      </c>
      <c r="E3" s="75">
        <f>IF(controls!B40=3,$T$3,$T$3+($T$3-'input own m.p.'!$K$12*'choose m.p. (endogenous policy)'!$W$5)*'choose m.p. (endogenous policy)'!M3)</f>
        <v>51.5</v>
      </c>
      <c r="F3" s="96">
        <f>'choose m.p.'!F3</f>
        <v>0</v>
      </c>
      <c r="G3" s="75">
        <f>'input own m.p.'!K16+'input own m.p.'!K10*(D3-B3)</f>
        <v>2</v>
      </c>
      <c r="H3" s="75">
        <f>IF(I3=0,0,I3-G3)</f>
        <v>2</v>
      </c>
      <c r="I3" s="113">
        <f>IF(G3+J3+(('input own m.p.'!$K$10*'loss level and beta es(outputs)'!$L$5*'input own m.p.'!$K$14)/('input own m.p.'!$K$12*(1+('input own m.p.'!$K$10^2)*'loss level and beta es(outputs)'!$L$5)))*(G3-('input own m.p.'!$K$16/100)*100)&lt;0,0,G3+J3+(('input own m.p.'!$K$10*'loss level and beta es(outputs)'!$L$5*'input own m.p.'!$K$14)/('input own m.p.'!$K$12*(1+('input own m.p.'!$K$10^2)*'loss level and beta es(outputs)'!$L$5)))*(G3-('input own m.p.'!$K$16/100)*100))</f>
        <v>4</v>
      </c>
      <c r="J3" s="98">
        <f>IF(controls!$B$40=1,$W$5,(E3-B3)/'input own m.p.'!$K$12)</f>
        <v>2</v>
      </c>
      <c r="K3" s="117">
        <f>J3+G3</f>
        <v>4</v>
      </c>
      <c r="L3" s="40">
        <f>'choose m.p.'!L3</f>
        <v>0</v>
      </c>
      <c r="M3" s="40">
        <f>'choose m.p.'!M3</f>
        <v>0</v>
      </c>
      <c r="N3" s="40">
        <v>0.05</v>
      </c>
      <c r="O3" s="49">
        <f>D3-W4</f>
        <v>0</v>
      </c>
      <c r="P3" s="49">
        <v>0</v>
      </c>
      <c r="S3" s="67" t="s">
        <v>76</v>
      </c>
      <c r="T3" s="67">
        <f>'choose m.p.'!T3</f>
        <v>51.5</v>
      </c>
      <c r="U3" s="48">
        <v>-0.02</v>
      </c>
      <c r="V3" s="76" t="s">
        <v>47</v>
      </c>
      <c r="W3" s="76">
        <f>'choose m.p.'!W3</f>
        <v>50</v>
      </c>
      <c r="X3" s="76" t="s">
        <v>173</v>
      </c>
      <c r="Y3" s="96">
        <v>3</v>
      </c>
      <c r="Z3" s="80" t="s">
        <v>174</v>
      </c>
      <c r="AA3" s="76">
        <f>W3*(1+Y3/100)</f>
        <v>51.5</v>
      </c>
    </row>
    <row r="4" spans="1:42" ht="13" thickBot="1">
      <c r="A4" s="48">
        <v>2</v>
      </c>
      <c r="B4" s="75">
        <f>IF(controls!$B$40=3,$W$3,IF(controls!$B$40=1,'choose m.p. (endogenous policy)'!$W$3*(1+L4),B3*(1+L4)))</f>
        <v>50</v>
      </c>
      <c r="C4" s="80">
        <f t="shared" ref="C4:C23" si="0">D4/D3-1</f>
        <v>0</v>
      </c>
      <c r="D4" s="77">
        <f>IF(E4-'input own m.p.'!$K$12*'choose m.p. (endogenous policy)'!H3&gt;0,E4-'input own m.p.'!$K$12*'choose m.p. (endogenous policy)'!H3,0.1)</f>
        <v>50</v>
      </c>
      <c r="E4" s="75">
        <f>IF(controls!$B$40=3,$T$3,IF(controls!$B$40=1,'choose m.p. (endogenous policy)'!$T$3+E27+D3*M4,E3+D3*(M4+F4/100)))</f>
        <v>51.5</v>
      </c>
      <c r="F4" s="96">
        <f>'choose m.p.'!F4</f>
        <v>0</v>
      </c>
      <c r="G4" s="75">
        <f>IF(ABS('input own m.p.'!$K$14*G3+(1-'input own m.p.'!$K$14)*('input own m.p.'!$K$16/100)*100+'input own m.p.'!$K$10*(D4-B4)-G3)&lt;0.0000001,G3,'input own m.p.'!$K$14*G3+(1-'input own m.p.'!$K$14)*('input own m.p.'!$K$16/100)*100+'input own m.p.'!$K$10*(D4-B4))</f>
        <v>2</v>
      </c>
      <c r="H4" s="75">
        <f t="shared" ref="H4:H23" si="1">I4-G4</f>
        <v>2</v>
      </c>
      <c r="I4" s="113">
        <f>IF(G4+J4+(('input own m.p.'!$K$10*'loss level and beta es(outputs)'!$L$5*'input own m.p.'!$K$14)/('input own m.p.'!$K$12*(1+('input own m.p.'!$K$10^2)*'loss level and beta es(outputs)'!$L$5)))*(G4-('input own m.p.'!$K$16/100)*100)&lt;0,0,G4+J4+(('input own m.p.'!$K$10*'loss level and beta es(outputs)'!$L$5*'input own m.p.'!$K$14)/('input own m.p.'!$K$12*(1+('input own m.p.'!$K$10^2)*'loss level and beta es(outputs)'!$L$5)))*(G4-('input own m.p.'!$K$16/100)*100))</f>
        <v>4</v>
      </c>
      <c r="J4" s="98">
        <f>IF(controls!$B$40=1,$W$5,(E4-B4)/'input own m.p.'!$K$12)</f>
        <v>2</v>
      </c>
      <c r="K4" s="117">
        <f t="shared" ref="K4:K22" si="2">J4+G4</f>
        <v>4</v>
      </c>
      <c r="L4" s="40">
        <f>'choose m.p.'!L4</f>
        <v>0</v>
      </c>
      <c r="M4" s="40">
        <f>'choose m.p.'!M4</f>
        <v>0</v>
      </c>
      <c r="N4" s="40">
        <v>-0.05</v>
      </c>
      <c r="O4" s="49">
        <f t="shared" ref="O4:O22" si="3">D4-W5</f>
        <v>48</v>
      </c>
      <c r="P4" s="49">
        <v>3.5000000000000003E-2</v>
      </c>
      <c r="S4" s="213" t="s">
        <v>100</v>
      </c>
      <c r="T4" s="69"/>
      <c r="U4" s="64">
        <v>-1.4999999999999999E-2</v>
      </c>
      <c r="V4" s="67" t="s">
        <v>49</v>
      </c>
      <c r="W4" s="76">
        <f>'choose m.p.'!W4</f>
        <v>50</v>
      </c>
      <c r="X4" s="64"/>
      <c r="Y4" s="40"/>
      <c r="Z4" s="40"/>
    </row>
    <row r="5" spans="1:42" ht="13" thickBot="1">
      <c r="A5" s="48">
        <v>3</v>
      </c>
      <c r="B5" s="75">
        <f>IF(controls!$B$40=3,$W$3,IF(controls!$B$40=1,'choose m.p. (endogenous policy)'!$W$3*(1+L5),B4*(1+L5)))</f>
        <v>50</v>
      </c>
      <c r="C5" s="80">
        <f t="shared" si="0"/>
        <v>0</v>
      </c>
      <c r="D5" s="77">
        <f>IF(E5-'input own m.p.'!$K$12*'choose m.p. (endogenous policy)'!H4&gt;0,E5-'input own m.p.'!$K$12*'choose m.p. (endogenous policy)'!H4,0.1)</f>
        <v>50</v>
      </c>
      <c r="E5" s="75">
        <f>IF(controls!$B$40=3,$T$3,IF(controls!$B$40=1,'choose m.p. (endogenous policy)'!$T$3+SUM($E$27:E28)+D4*M5,E4+D4*(M5+F5/100)))</f>
        <v>51.5</v>
      </c>
      <c r="F5" s="96">
        <f>'choose m.p.'!F5</f>
        <v>0</v>
      </c>
      <c r="G5" s="75">
        <f>IF(ABS('input own m.p.'!$K$14*G4+(1-'input own m.p.'!$K$14)*('input own m.p.'!$K$16/100)*100+'input own m.p.'!$K$10*(D5-B5)-G4)&lt;0.0000001,G4,'input own m.p.'!$K$14*G4+(1-'input own m.p.'!$K$14)*('input own m.p.'!$K$16/100)*100+'input own m.p.'!$K$10*(D5-B5))</f>
        <v>2</v>
      </c>
      <c r="H5" s="75">
        <f t="shared" si="1"/>
        <v>2</v>
      </c>
      <c r="I5" s="113">
        <f>IF(G5+J5+(('input own m.p.'!$K$10*'loss level and beta es(outputs)'!$L$5*'input own m.p.'!$K$14)/('input own m.p.'!$K$12*(1+('input own m.p.'!$K$10^2)*'loss level and beta es(outputs)'!$L$5)))*(G5-('input own m.p.'!$K$16/100)*100)&lt;0,0,G5+J5+(('input own m.p.'!$K$10*'loss level and beta es(outputs)'!$L$5*'input own m.p.'!$K$14)/('input own m.p.'!$K$12*(1+('input own m.p.'!$K$10^2)*'loss level and beta es(outputs)'!$L$5)))*(G5-('input own m.p.'!$K$16/100)*100))</f>
        <v>4</v>
      </c>
      <c r="J5" s="98">
        <f>IF(controls!$B$40=1,$W$5,(E5-B5)/'input own m.p.'!$K$12)</f>
        <v>2</v>
      </c>
      <c r="K5" s="117">
        <f t="shared" si="2"/>
        <v>4</v>
      </c>
      <c r="L5" s="40">
        <f>'choose m.p.'!L5</f>
        <v>-0.02</v>
      </c>
      <c r="M5" s="40">
        <f>'choose m.p.'!M5</f>
        <v>0</v>
      </c>
      <c r="N5" s="40">
        <v>4.4999999999999998E-2</v>
      </c>
      <c r="O5" s="49">
        <f t="shared" si="3"/>
        <v>50</v>
      </c>
      <c r="P5" s="49">
        <v>-4.4999999999999998E-2</v>
      </c>
      <c r="S5" s="214" t="s">
        <v>172</v>
      </c>
      <c r="T5" s="67">
        <f>T3*(1+T4/100)</f>
        <v>51.5</v>
      </c>
      <c r="U5" s="64">
        <v>-2.5000000000000001E-2</v>
      </c>
      <c r="V5" s="67" t="s">
        <v>50</v>
      </c>
      <c r="W5" s="67">
        <f>(T3-W3)/'input own m.p.'!$K$12</f>
        <v>2</v>
      </c>
      <c r="X5" s="64"/>
      <c r="Y5" s="40"/>
      <c r="Z5" s="40"/>
    </row>
    <row r="6" spans="1:42" ht="13" thickBot="1">
      <c r="A6" s="48">
        <v>4</v>
      </c>
      <c r="B6" s="75">
        <f>IF(controls!$B$40=3,$W$3,IF(controls!$B$40=1,'choose m.p. (endogenous policy)'!$W$3*(1+L6),B5*(1+L6)))</f>
        <v>50</v>
      </c>
      <c r="C6" s="80">
        <f t="shared" si="0"/>
        <v>0</v>
      </c>
      <c r="D6" s="77">
        <f>IF(E6-'input own m.p.'!$K$12*'choose m.p. (endogenous policy)'!H5&gt;0,E6-'input own m.p.'!$K$12*'choose m.p. (endogenous policy)'!H5,0.1)</f>
        <v>50</v>
      </c>
      <c r="E6" s="75">
        <f>IF(controls!$B$40=3,$T$3,IF(controls!$B$40=1,'choose m.p. (endogenous policy)'!$T$3+SUM($E$27:E29)+D5*M6,E5+D5*(M6+F6/100)))</f>
        <v>51.5</v>
      </c>
      <c r="F6" s="96">
        <f>'choose m.p.'!F6</f>
        <v>0</v>
      </c>
      <c r="G6" s="75">
        <f>IF(ABS('input own m.p.'!$K$14*G5+(1-'input own m.p.'!$K$14)*('input own m.p.'!$K$16/100)*100+'input own m.p.'!$K$10*(D6-B6)-G5)&lt;0.0000001,G5,'input own m.p.'!$K$14*G5+(1-'input own m.p.'!$K$14)*('input own m.p.'!$K$16/100)*100+'input own m.p.'!$K$10*(D6-B6))</f>
        <v>2</v>
      </c>
      <c r="H6" s="75">
        <f t="shared" si="1"/>
        <v>2</v>
      </c>
      <c r="I6" s="113">
        <f>IF(G6+J6+(('input own m.p.'!$K$10*'loss level and beta es(outputs)'!$L$5*'input own m.p.'!$K$14)/('input own m.p.'!$K$12*(1+('input own m.p.'!$K$10^2)*'loss level and beta es(outputs)'!$L$5)))*(G6-('input own m.p.'!$K$16/100)*100)&lt;0,0,G6+J6+(('input own m.p.'!$K$10*'loss level and beta es(outputs)'!$L$5*'input own m.p.'!$K$14)/('input own m.p.'!$K$12*(1+('input own m.p.'!$K$10^2)*'loss level and beta es(outputs)'!$L$5)))*(G6-('input own m.p.'!$K$16/100)*100))</f>
        <v>4</v>
      </c>
      <c r="J6" s="98">
        <f>IF(controls!$B$40=1,$W$5,(E6-B6)/'input own m.p.'!$K$12)</f>
        <v>2</v>
      </c>
      <c r="K6" s="117">
        <f t="shared" si="2"/>
        <v>4</v>
      </c>
      <c r="L6" s="40">
        <f>'choose m.p.'!L6</f>
        <v>0</v>
      </c>
      <c r="M6" s="40">
        <f>'choose m.p.'!M6</f>
        <v>0</v>
      </c>
      <c r="N6" s="40">
        <v>-4.4999999999999998E-2</v>
      </c>
      <c r="O6" s="49">
        <f t="shared" si="3"/>
        <v>50</v>
      </c>
      <c r="P6" s="49">
        <v>-4.4999999999999998E-2</v>
      </c>
      <c r="S6" s="67"/>
      <c r="T6" s="69"/>
      <c r="U6" s="64">
        <v>-2.5000000000000001E-2</v>
      </c>
      <c r="V6" s="64"/>
      <c r="W6" s="64"/>
      <c r="X6" s="65"/>
      <c r="Y6" s="40"/>
      <c r="Z6" s="40"/>
      <c r="AA6" s="65"/>
      <c r="AB6" s="65"/>
      <c r="AC6" s="65"/>
      <c r="AD6" s="65"/>
      <c r="AE6" s="65"/>
      <c r="AF6" s="65"/>
      <c r="AG6" s="65"/>
      <c r="AH6" s="65"/>
      <c r="AI6" s="65"/>
      <c r="AJ6" s="65"/>
      <c r="AK6" s="65"/>
      <c r="AL6" s="65"/>
      <c r="AM6" s="65"/>
      <c r="AN6" s="65"/>
      <c r="AO6" s="65"/>
      <c r="AP6" s="65"/>
    </row>
    <row r="7" spans="1:42" ht="13" thickBot="1">
      <c r="A7" s="48">
        <v>5</v>
      </c>
      <c r="B7" s="75">
        <f>IF(controls!$B$40=3,$AA$3,IF(controls!$B$40=1,'choose m.p. (endogenous policy)'!$W$3*(1+L7),B6*(1+L7)))</f>
        <v>51.5</v>
      </c>
      <c r="C7" s="80">
        <f t="shared" si="0"/>
        <v>0</v>
      </c>
      <c r="D7" s="77">
        <f>IF(E7-'input own m.p.'!$K$12*'choose m.p. (endogenous policy)'!H6&gt;0,E7-'input own m.p.'!$K$12*'choose m.p. (endogenous policy)'!H6,0.1)</f>
        <v>50</v>
      </c>
      <c r="E7" s="75">
        <f>IF(controls!$B$40=3,$T$5,IF(controls!$B$40=1,'choose m.p. (endogenous policy)'!$T$3+SUM($E$27:E30)+D6*M7,E6+D6*(M7+F7/100)))</f>
        <v>51.5</v>
      </c>
      <c r="F7" s="96">
        <f>'choose m.p.'!F7</f>
        <v>0</v>
      </c>
      <c r="G7" s="75">
        <f>IF(ABS('input own m.p.'!$K$14*G6+(1-'input own m.p.'!$K$14)*('input own m.p.'!$K$16/100)*100+'input own m.p.'!$K$10*(D7-B7)-G6)&lt;0.0000001,G6,'input own m.p.'!$K$14*G6+(1-'input own m.p.'!$K$14)*('input own m.p.'!$K$16/100)*100+'input own m.p.'!$K$10*(D7-B7))</f>
        <v>0.5</v>
      </c>
      <c r="H7" s="75">
        <f t="shared" si="1"/>
        <v>-0.5</v>
      </c>
      <c r="I7" s="113">
        <f>IF(G7+J7+(('input own m.p.'!$K$10*'loss level and beta es(outputs)'!$L$5*'input own m.p.'!$K$14)/('input own m.p.'!$K$12*(1+('input own m.p.'!$K$10^2)*'loss level and beta es(outputs)'!$L$5)))*(G7-('input own m.p.'!$K$16/100)*100)&lt;0,0,G7+J7+(('input own m.p.'!$K$10*'loss level and beta es(outputs)'!$L$5*'input own m.p.'!$K$14)/('input own m.p.'!$K$12*(1+('input own m.p.'!$K$10^2)*'loss level and beta es(outputs)'!$L$5)))*(G7-('input own m.p.'!$K$16/100)*100))</f>
        <v>0</v>
      </c>
      <c r="J7" s="98">
        <f>IF(controls!$B$40=1,$W$5,(E7-B7)/'input own m.p.'!$K$12)</f>
        <v>0</v>
      </c>
      <c r="K7" s="117">
        <f t="shared" si="2"/>
        <v>0.5</v>
      </c>
      <c r="L7" s="40">
        <f>'choose m.p.'!L7</f>
        <v>0</v>
      </c>
      <c r="M7" s="40">
        <f>'choose m.p.'!M7</f>
        <v>0.03</v>
      </c>
      <c r="N7" s="40">
        <v>0.04</v>
      </c>
      <c r="O7" s="49">
        <f t="shared" si="3"/>
        <v>50</v>
      </c>
      <c r="P7" s="49">
        <v>-4.4999999999999998E-2</v>
      </c>
      <c r="R7" s="63"/>
      <c r="S7" s="64"/>
      <c r="T7" s="64"/>
      <c r="U7" s="64">
        <v>-2.5000000000000001E-2</v>
      </c>
      <c r="V7" s="68"/>
      <c r="W7" s="67"/>
      <c r="X7" s="65"/>
      <c r="Y7" s="40"/>
      <c r="Z7" s="40"/>
      <c r="AA7" s="65"/>
      <c r="AB7" s="65"/>
      <c r="AC7" s="65"/>
      <c r="AD7" s="65"/>
      <c r="AE7" s="65"/>
      <c r="AF7" s="65"/>
      <c r="AG7" s="65"/>
      <c r="AH7" s="65"/>
      <c r="AI7" s="65"/>
      <c r="AJ7" s="65"/>
      <c r="AK7" s="65"/>
      <c r="AL7" s="65"/>
      <c r="AM7" s="65"/>
      <c r="AN7" s="65"/>
      <c r="AO7" s="65"/>
      <c r="AP7" s="65"/>
    </row>
    <row r="8" spans="1:42" ht="13" thickBot="1">
      <c r="A8" s="48">
        <v>6</v>
      </c>
      <c r="B8" s="75">
        <f>IF(controls!$B$40=3,IF(controls!$B$48="temporary",$W$3,$AA$3),IF(controls!$B$40=1,'choose m.p. (endogenous policy)'!$W$3*(1+L8),B7*(1+L8)))</f>
        <v>50</v>
      </c>
      <c r="C8" s="80">
        <f t="shared" si="0"/>
        <v>3.7500000000000089E-2</v>
      </c>
      <c r="D8" s="77">
        <f>IF(E8-'input own m.p.'!$K$12*'choose m.p. (endogenous policy)'!H7&gt;0,E8-'input own m.p.'!$K$12*'choose m.p. (endogenous policy)'!H7,0.1)</f>
        <v>51.875</v>
      </c>
      <c r="E8" s="75">
        <f>IF(controls!$B$40=3,IF(controls!$B$47="temporary",$T$3,$T$5),IF(controls!$B$40=1,'choose m.p. (endogenous policy)'!$T$3+SUM($E$27:E31)+D7*M8,E7+D7*(M8+F8/100)))</f>
        <v>51.5</v>
      </c>
      <c r="F8" s="96">
        <f>'choose m.p.'!F8</f>
        <v>0</v>
      </c>
      <c r="G8" s="75">
        <f>IF(ABS('input own m.p.'!$K$14*G7+(1-'input own m.p.'!$K$14)*('input own m.p.'!$K$16/100)*100+'input own m.p.'!$K$10*(D8-B8)-G7)&lt;0.0000001,G7,'input own m.p.'!$K$14*G7+(1-'input own m.p.'!$K$14)*('input own m.p.'!$K$16/100)*100+'input own m.p.'!$K$10*(D8-B8))</f>
        <v>2.375</v>
      </c>
      <c r="H8" s="75">
        <f t="shared" si="1"/>
        <v>2.3223737965824718</v>
      </c>
      <c r="I8" s="113">
        <f>IF(G8+J8+(('input own m.p.'!$K$10*'loss level and beta es(outputs)'!$L$5*'input own m.p.'!$K$14)/('input own m.p.'!$K$12*(1+('input own m.p.'!$K$10^2)*'loss level and beta es(outputs)'!$L$5)))*(G8-('input own m.p.'!$K$16/100)*100)&lt;0,0,G8+J8+(('input own m.p.'!$K$10*'loss level and beta es(outputs)'!$L$5*'input own m.p.'!$K$14)/('input own m.p.'!$K$12*(1+('input own m.p.'!$K$10^2)*'loss level and beta es(outputs)'!$L$5)))*(G8-('input own m.p.'!$K$16/100)*100))</f>
        <v>4.6973737965824718</v>
      </c>
      <c r="J8" s="98">
        <f>IF(controls!$B$40=1,$W$5,(E8-B8)/'input own m.p.'!$K$12)</f>
        <v>2</v>
      </c>
      <c r="K8" s="117">
        <f t="shared" si="2"/>
        <v>4.375</v>
      </c>
      <c r="L8" s="40">
        <f>'choose m.p.'!L8</f>
        <v>0</v>
      </c>
      <c r="M8" s="40">
        <f>'choose m.p.'!M8</f>
        <v>0</v>
      </c>
      <c r="N8" s="40">
        <v>-0.04</v>
      </c>
      <c r="O8" s="49">
        <f t="shared" si="3"/>
        <v>51.875</v>
      </c>
      <c r="P8" s="49">
        <v>-4.4999999999999998E-2</v>
      </c>
      <c r="Q8" s="49">
        <v>0.01</v>
      </c>
      <c r="S8" s="68" t="s">
        <v>0</v>
      </c>
      <c r="T8" s="67">
        <f>'input own m.p.'!K16</f>
        <v>2</v>
      </c>
      <c r="U8" s="48">
        <v>-2.5000000000000001E-2</v>
      </c>
      <c r="V8" s="68">
        <v>0</v>
      </c>
      <c r="W8" s="76">
        <f>'main page'!G8*'choose m.p. (endogenous policy)'!W3</f>
        <v>0</v>
      </c>
      <c r="X8" s="65"/>
      <c r="Y8" s="40"/>
      <c r="Z8" s="40"/>
      <c r="AA8" s="65"/>
      <c r="AB8" s="65"/>
      <c r="AC8" s="65"/>
      <c r="AD8" s="65"/>
      <c r="AE8" s="65"/>
      <c r="AF8" s="65"/>
      <c r="AG8" s="65"/>
      <c r="AH8" s="65"/>
      <c r="AI8" s="65"/>
      <c r="AJ8" s="65"/>
      <c r="AK8" s="65"/>
      <c r="AL8" s="65"/>
      <c r="AM8" s="65"/>
      <c r="AN8" s="65"/>
      <c r="AO8" s="65"/>
      <c r="AP8" s="65"/>
    </row>
    <row r="9" spans="1:42" ht="13" thickBot="1">
      <c r="A9" s="48">
        <v>7</v>
      </c>
      <c r="B9" s="75">
        <f>IF(controls!$B$40=3,IF(controls!$B$48="temporary",$W$3,$AA$3),IF(controls!$B$40=1,'choose m.p. (endogenous policy)'!$W$3*(1+L9),B8*(1+L9)))</f>
        <v>50</v>
      </c>
      <c r="C9" s="80">
        <f t="shared" si="0"/>
        <v>-4.0805404287939329E-2</v>
      </c>
      <c r="D9" s="77">
        <f>IF(E9-'input own m.p.'!$K$12*'choose m.p. (endogenous policy)'!H8&gt;0,E9-'input own m.p.'!$K$12*'choose m.p. (endogenous policy)'!H8,0.1)</f>
        <v>49.758219652563149</v>
      </c>
      <c r="E9" s="75">
        <f>IF(controls!$B$40=3,IF(controls!$B$47="temporary",$T$3,$T$5),IF(controls!$B$40=1,'choose m.p. (endogenous policy)'!$T$3+SUM($E$27:E32)+D8*M9,E8+D8*(M9+F9/100)))</f>
        <v>51.5</v>
      </c>
      <c r="F9" s="96">
        <f>'choose m.p.'!F9</f>
        <v>0</v>
      </c>
      <c r="G9" s="75">
        <f>IF(ABS('input own m.p.'!$K$14*G8+(1-'input own m.p.'!$K$14)*('input own m.p.'!$K$16/100)*100+'input own m.p.'!$K$10*(D9-B9)-G8)&lt;0.0000001,G8,'input own m.p.'!$K$14*G8+(1-'input own m.p.'!$K$14)*('input own m.p.'!$K$16/100)*100+'input own m.p.'!$K$10*(D9-B9))</f>
        <v>2.1332196525631488</v>
      </c>
      <c r="H9" s="75">
        <f t="shared" si="1"/>
        <v>2.1145240671364807</v>
      </c>
      <c r="I9" s="113">
        <f>IF(G9+J9+(('input own m.p.'!$K$10*'loss level and beta es(outputs)'!$L$5*'input own m.p.'!$K$14)/('input own m.p.'!$K$12*(1+('input own m.p.'!$K$10^2)*'loss level and beta es(outputs)'!$L$5)))*(G9-('input own m.p.'!$K$16/100)*100)&lt;0,0,G9+J9+(('input own m.p.'!$K$10*'loss level and beta es(outputs)'!$L$5*'input own m.p.'!$K$14)/('input own m.p.'!$K$12*(1+('input own m.p.'!$K$10^2)*'loss level and beta es(outputs)'!$L$5)))*(G9-('input own m.p.'!$K$16/100)*100))</f>
        <v>4.2477437196996295</v>
      </c>
      <c r="J9" s="98">
        <f>IF(controls!$B$40=1,$W$5,(E9-B9)/'input own m.p.'!$K$12)</f>
        <v>2</v>
      </c>
      <c r="K9" s="117">
        <f t="shared" si="2"/>
        <v>4.1332196525631488</v>
      </c>
      <c r="L9" s="40">
        <f>'choose m.p.'!L9</f>
        <v>0</v>
      </c>
      <c r="M9" s="40">
        <f>'choose m.p.'!M9</f>
        <v>0</v>
      </c>
      <c r="N9" s="40">
        <v>3.5000000000000003E-2</v>
      </c>
      <c r="O9" s="49">
        <f t="shared" si="3"/>
        <v>49.758219652563149</v>
      </c>
      <c r="P9" s="49">
        <v>-4.4999999999999998E-2</v>
      </c>
      <c r="Q9" s="49">
        <v>0.01</v>
      </c>
      <c r="U9" s="48">
        <v>-2.5000000000000001E-2</v>
      </c>
      <c r="V9" s="48">
        <v>-0.03</v>
      </c>
      <c r="X9" s="65"/>
      <c r="Y9" s="40"/>
      <c r="Z9" s="40"/>
      <c r="AA9" s="65"/>
      <c r="AB9" s="65"/>
      <c r="AC9" s="65"/>
      <c r="AD9" s="65"/>
      <c r="AE9" s="65"/>
      <c r="AF9" s="65"/>
      <c r="AG9" s="65"/>
      <c r="AH9" s="65"/>
      <c r="AI9" s="65"/>
      <c r="AJ9" s="65"/>
      <c r="AK9" s="65"/>
      <c r="AL9" s="65"/>
      <c r="AM9" s="65"/>
      <c r="AN9" s="65"/>
      <c r="AO9" s="65"/>
      <c r="AP9" s="65"/>
    </row>
    <row r="10" spans="1:42" ht="13" thickBot="1">
      <c r="A10" s="48">
        <v>8</v>
      </c>
      <c r="B10" s="75">
        <f>IF(controls!$B$40=3,IF(controls!$B$48="temporary",$W$3,$AA$3),IF(controls!$B$40=1,'choose m.p. (endogenous policy)'!$W$3*(1+L10),B9*(1+L10)))</f>
        <v>50</v>
      </c>
      <c r="C10" s="80">
        <f t="shared" si="0"/>
        <v>3.1328953924190106E-3</v>
      </c>
      <c r="D10" s="77">
        <f>IF(E10-'input own m.p.'!$K$12*'choose m.p. (endogenous policy)'!H9&gt;0,E10-'input own m.p.'!$K$12*'choose m.p. (endogenous policy)'!H9,0.1)</f>
        <v>49.914106949647639</v>
      </c>
      <c r="E10" s="75">
        <f>IF(controls!$B$40=3,IF(controls!$B$47="temporary",$T$3,$T$5),IF(controls!$B$40=1,'choose m.p. (endogenous policy)'!$T$3+SUM($E$27:E33)+D9*M10,E9+D9*(M10+F10/100)))</f>
        <v>51.5</v>
      </c>
      <c r="F10" s="96">
        <f>'choose m.p.'!F10</f>
        <v>0</v>
      </c>
      <c r="G10" s="75">
        <f>IF(ABS('input own m.p.'!$K$14*G9+(1-'input own m.p.'!$K$14)*('input own m.p.'!$K$16/100)*100+'input own m.p.'!$K$10*(D10-B10)-G9)&lt;0.0000001,G9,'input own m.p.'!$K$14*G9+(1-'input own m.p.'!$K$14)*('input own m.p.'!$K$16/100)*100+'input own m.p.'!$K$10*(D10-B10))</f>
        <v>2.0473266022107879</v>
      </c>
      <c r="H10" s="75">
        <f t="shared" si="1"/>
        <v>2.0406849504907738</v>
      </c>
      <c r="I10" s="113">
        <f>IF(G10+J10+(('input own m.p.'!$K$10*'loss level and beta es(outputs)'!$L$5*'input own m.p.'!$K$14)/('input own m.p.'!$K$12*(1+('input own m.p.'!$K$10^2)*'loss level and beta es(outputs)'!$L$5)))*(G10-('input own m.p.'!$K$16/100)*100)&lt;0,0,G10+J10+(('input own m.p.'!$K$10*'loss level and beta es(outputs)'!$L$5*'input own m.p.'!$K$14)/('input own m.p.'!$K$12*(1+('input own m.p.'!$K$10^2)*'loss level and beta es(outputs)'!$L$5)))*(G10-('input own m.p.'!$K$16/100)*100))</f>
        <v>4.0880115527015617</v>
      </c>
      <c r="J10" s="98">
        <f>IF(controls!$B$40=1,$W$5,(E10-B10)/'input own m.p.'!$K$12)</f>
        <v>2</v>
      </c>
      <c r="K10" s="117">
        <f t="shared" si="2"/>
        <v>4.0473266022107879</v>
      </c>
      <c r="L10" s="40">
        <f>'choose m.p.'!L10</f>
        <v>-0.05</v>
      </c>
      <c r="M10" s="40">
        <f>'choose m.p.'!M10</f>
        <v>0</v>
      </c>
      <c r="N10" s="40">
        <v>-3.5000000000000003E-2</v>
      </c>
      <c r="O10" s="49">
        <f t="shared" si="3"/>
        <v>49.914106949647639</v>
      </c>
      <c r="P10" s="49">
        <v>-4.4999999999999998E-2</v>
      </c>
      <c r="Q10" s="49">
        <v>-0.04</v>
      </c>
      <c r="U10" s="48">
        <v>-2.5000000000000001E-2</v>
      </c>
      <c r="V10" s="48">
        <v>-0.03</v>
      </c>
      <c r="X10" s="65"/>
      <c r="Y10" s="40"/>
      <c r="Z10" s="40"/>
      <c r="AA10" s="65"/>
      <c r="AB10" s="65"/>
      <c r="AC10" s="65"/>
      <c r="AD10" s="65"/>
      <c r="AE10" s="65"/>
      <c r="AF10" s="65"/>
      <c r="AG10" s="65"/>
      <c r="AH10" s="65"/>
      <c r="AI10" s="65"/>
      <c r="AJ10" s="65"/>
      <c r="AK10" s="65"/>
      <c r="AL10" s="65"/>
      <c r="AM10" s="65"/>
      <c r="AN10" s="65"/>
      <c r="AO10" s="65"/>
      <c r="AP10" s="65"/>
    </row>
    <row r="11" spans="1:42" ht="13" thickBot="1">
      <c r="A11" s="48">
        <v>9</v>
      </c>
      <c r="B11" s="75">
        <f>IF(controls!$B$40=3,IF(controls!$B$48="temporary",$W$3,$AA$3),IF(controls!$B$40=1,'choose m.p. (endogenous policy)'!$W$3*(1+L11),B10*(1+L11)))</f>
        <v>50</v>
      </c>
      <c r="C11" s="80">
        <f t="shared" si="0"/>
        <v>1.109492703939452E-3</v>
      </c>
      <c r="D11" s="77">
        <f>IF(E11-'input own m.p.'!$K$12*'choose m.p. (endogenous policy)'!H10&gt;0,E11-'input own m.p.'!$K$12*'choose m.p. (endogenous policy)'!H10,0.1)</f>
        <v>49.969486287131922</v>
      </c>
      <c r="E11" s="75">
        <f>IF(controls!$B$40=3,IF(controls!$B$47="temporary",$T$3,$T$5),IF(controls!$B$40=1,'choose m.p. (endogenous policy)'!$T$3+SUM($E$27:E34)+D10*M11,E10+D10*(M11+F11/100)))</f>
        <v>51.5</v>
      </c>
      <c r="F11" s="96">
        <f>'choose m.p.'!F11</f>
        <v>0</v>
      </c>
      <c r="G11" s="75">
        <f>IF(ABS('input own m.p.'!$K$14*G10+(1-'input own m.p.'!$K$14)*('input own m.p.'!$K$16/100)*100+'input own m.p.'!$K$10*(D11-B11)-G10)&lt;0.0000001,G10,'input own m.p.'!$K$14*G10+(1-'input own m.p.'!$K$14)*('input own m.p.'!$K$16/100)*100+'input own m.p.'!$K$10*(D11-B11))</f>
        <v>2.0168128893427095</v>
      </c>
      <c r="H11" s="75">
        <f t="shared" si="1"/>
        <v>2.0144534265838141</v>
      </c>
      <c r="I11" s="113">
        <f>IF(G11+J11+(('input own m.p.'!$K$10*'loss level and beta es(outputs)'!$L$5*'input own m.p.'!$K$14)/('input own m.p.'!$K$12*(1+('input own m.p.'!$K$10^2)*'loss level and beta es(outputs)'!$L$5)))*(G11-('input own m.p.'!$K$16/100)*100)&lt;0,0,G11+J11+(('input own m.p.'!$K$10*'loss level and beta es(outputs)'!$L$5*'input own m.p.'!$K$14)/('input own m.p.'!$K$12*(1+('input own m.p.'!$K$10^2)*'loss level and beta es(outputs)'!$L$5)))*(G11-('input own m.p.'!$K$16/100)*100))</f>
        <v>4.0312663159265236</v>
      </c>
      <c r="J11" s="98">
        <f>IF(controls!$B$40=1,$W$5,(E11-B11)/'input own m.p.'!$K$12)</f>
        <v>2</v>
      </c>
      <c r="K11" s="117">
        <f t="shared" si="2"/>
        <v>4.0168128893427095</v>
      </c>
      <c r="L11" s="40">
        <f>'choose m.p.'!L11</f>
        <v>0</v>
      </c>
      <c r="M11" s="40">
        <f>'choose m.p.'!M11</f>
        <v>0</v>
      </c>
      <c r="N11" s="40">
        <v>0.03</v>
      </c>
      <c r="O11" s="49">
        <f t="shared" si="3"/>
        <v>49.969486287131922</v>
      </c>
      <c r="P11" s="49">
        <v>-4.4999999999999998E-2</v>
      </c>
      <c r="Q11" s="49">
        <v>-0.04</v>
      </c>
      <c r="R11" s="224"/>
      <c r="S11" s="65"/>
      <c r="T11" s="58" t="b">
        <v>0</v>
      </c>
      <c r="U11" s="65">
        <v>-2.5000000000000001E-2</v>
      </c>
      <c r="V11" s="65">
        <v>-0.03</v>
      </c>
      <c r="W11" s="65"/>
      <c r="X11" s="65"/>
      <c r="Y11" s="40"/>
      <c r="Z11" s="40"/>
      <c r="AA11" s="65"/>
      <c r="AB11" s="65"/>
      <c r="AC11" s="65"/>
      <c r="AD11" s="65"/>
      <c r="AE11" s="65"/>
      <c r="AF11" s="65"/>
      <c r="AG11" s="65"/>
      <c r="AH11" s="65"/>
      <c r="AI11" s="65"/>
      <c r="AJ11" s="65"/>
      <c r="AK11" s="65"/>
      <c r="AL11" s="65"/>
      <c r="AM11" s="65"/>
      <c r="AN11" s="65"/>
      <c r="AO11" s="65"/>
      <c r="AP11" s="65"/>
    </row>
    <row r="12" spans="1:42" ht="13" thickBot="1">
      <c r="A12" s="48">
        <v>10</v>
      </c>
      <c r="B12" s="75">
        <f>IF(controls!$B$40=3,IF(controls!$B$48="temporary",$W$3,$AA$3),IF(controls!$B$40=1,'choose m.p. (endogenous policy)'!$W$3*(1+L12),B11*(1+L12)))</f>
        <v>50</v>
      </c>
      <c r="C12" s="80">
        <f t="shared" si="0"/>
        <v>3.9371313159319854E-4</v>
      </c>
      <c r="D12" s="77">
        <f>IF(E12-'input own m.p.'!$K$12*'choose m.p. (endogenous policy)'!H11&gt;0,E12-'input own m.p.'!$K$12*'choose m.p. (endogenous policy)'!H11,0.1)</f>
        <v>49.989159930062137</v>
      </c>
      <c r="E12" s="75">
        <f>IF(controls!$B$40=3,IF(controls!$B$47="temporary",$T$3,$T$5),IF(controls!$B$40=1,'choose m.p. (endogenous policy)'!$T$3+SUM($E$27:E35)+D11*M12,E11+D11*(M12+F12/100)))</f>
        <v>51.5</v>
      </c>
      <c r="F12" s="96">
        <f>'choose m.p.'!F12</f>
        <v>0</v>
      </c>
      <c r="G12" s="75">
        <f>IF(ABS('input own m.p.'!$K$14*G11+(1-'input own m.p.'!$K$14)*('input own m.p.'!$K$16/100)*100+'input own m.p.'!$K$10*(D12-B12)-G11)&lt;0.0000001,G11,'input own m.p.'!$K$14*G11+(1-'input own m.p.'!$K$14)*('input own m.p.'!$K$16/100)*100+'input own m.p.'!$K$10*(D12-B12))</f>
        <v>2.0059728194048461</v>
      </c>
      <c r="H12" s="75">
        <f t="shared" si="1"/>
        <v>2.0051346145809115</v>
      </c>
      <c r="I12" s="113">
        <f>IF(G12+J12+(('input own m.p.'!$K$10*'loss level and beta es(outputs)'!$L$5*'input own m.p.'!$K$14)/('input own m.p.'!$K$12*(1+('input own m.p.'!$K$10^2)*'loss level and beta es(outputs)'!$L$5)))*(G12-('input own m.p.'!$K$16/100)*100)&lt;0,0,G12+J12+(('input own m.p.'!$K$10*'loss level and beta es(outputs)'!$L$5*'input own m.p.'!$K$14)/('input own m.p.'!$K$12*(1+('input own m.p.'!$K$10^2)*'loss level and beta es(outputs)'!$L$5)))*(G12-('input own m.p.'!$K$16/100)*100))</f>
        <v>4.0111074339857575</v>
      </c>
      <c r="J12" s="98">
        <f>IF(controls!$B$40=1,$W$5,(E12-B12)/'input own m.p.'!$K$12)</f>
        <v>2</v>
      </c>
      <c r="K12" s="117">
        <f t="shared" si="2"/>
        <v>4.0059728194048461</v>
      </c>
      <c r="L12" s="40">
        <f>'choose m.p.'!L12</f>
        <v>0</v>
      </c>
      <c r="M12" s="40">
        <f>'choose m.p.'!M12</f>
        <v>0.09</v>
      </c>
      <c r="N12" s="40">
        <v>-0.03</v>
      </c>
      <c r="O12" s="49">
        <f t="shared" si="3"/>
        <v>49.939159930062139</v>
      </c>
      <c r="P12" s="49">
        <v>-4.4999999999999998E-2</v>
      </c>
      <c r="Q12" s="49">
        <v>-0.04</v>
      </c>
      <c r="U12" s="48">
        <v>-2.5000000000000001E-2</v>
      </c>
      <c r="V12" s="48">
        <v>-0.03</v>
      </c>
      <c r="Y12" s="40"/>
      <c r="Z12" s="40"/>
    </row>
    <row r="13" spans="1:42" ht="13" thickBot="1">
      <c r="A13" s="48">
        <v>11</v>
      </c>
      <c r="B13" s="75">
        <f>IF(controls!$B$40=3,IF(controls!$B$48="temporary",$W$3,$AA$3),IF(controls!$B$40=1,'choose m.p. (endogenous policy)'!$W$3*(1+L13),B12*(1+L13)))</f>
        <v>50</v>
      </c>
      <c r="C13" s="80">
        <f t="shared" si="0"/>
        <v>1.398124915872323E-4</v>
      </c>
      <c r="D13" s="77">
        <f>IF(E13-'input own m.p.'!$K$12*'choose m.p. (endogenous policy)'!H12&gt;0,E13-'input own m.p.'!$K$12*'choose m.p. (endogenous policy)'!H12,0.1)</f>
        <v>49.996149039064314</v>
      </c>
      <c r="E13" s="75">
        <f>IF(controls!$B$40=3,IF(controls!$B$47="temporary",$T$3,$T$5),IF(controls!$B$40=1,'choose m.p. (endogenous policy)'!$T$3+SUM($E$27:E36)+D12*M13,E12+D12*(M13+F13/100)))</f>
        <v>51.5</v>
      </c>
      <c r="F13" s="96">
        <f>'choose m.p.'!F13</f>
        <v>0</v>
      </c>
      <c r="G13" s="75">
        <f>IF(ABS('input own m.p.'!$K$14*G12+(1-'input own m.p.'!$K$14)*('input own m.p.'!$K$16/100)*100+'input own m.p.'!$K$10*(D13-B13)-G12)&lt;0.0000001,G12,'input own m.p.'!$K$14*G12+(1-'input own m.p.'!$K$14)*('input own m.p.'!$K$16/100)*100+'input own m.p.'!$K$10*(D13-B13))</f>
        <v>2.0021218584691596</v>
      </c>
      <c r="H13" s="75">
        <f t="shared" si="1"/>
        <v>2.0018240841880361</v>
      </c>
      <c r="I13" s="113">
        <f>IF(G13+J13+(('input own m.p.'!$K$10*'loss level and beta es(outputs)'!$L$5*'input own m.p.'!$K$14)/('input own m.p.'!$K$12*(1+('input own m.p.'!$K$10^2)*'loss level and beta es(outputs)'!$L$5)))*(G13-('input own m.p.'!$K$16/100)*100)&lt;0,0,G13+J13+(('input own m.p.'!$K$10*'loss level and beta es(outputs)'!$L$5*'input own m.p.'!$K$14)/('input own m.p.'!$K$12*(1+('input own m.p.'!$K$10^2)*'loss level and beta es(outputs)'!$L$5)))*(G13-('input own m.p.'!$K$16/100)*100))</f>
        <v>4.0039459426571957</v>
      </c>
      <c r="J13" s="98">
        <f>IF(controls!$B$40=1,$W$5,(E13-B13)/'input own m.p.'!$K$12)</f>
        <v>2</v>
      </c>
      <c r="K13" s="117">
        <f t="shared" si="2"/>
        <v>4.0021218584691596</v>
      </c>
      <c r="L13" s="40">
        <f>'choose m.p.'!L13</f>
        <v>0</v>
      </c>
      <c r="M13" s="40">
        <f>'choose m.p.'!M13</f>
        <v>0</v>
      </c>
      <c r="N13" s="40">
        <v>2.5000000000000001E-2</v>
      </c>
      <c r="O13" s="49">
        <f t="shared" si="3"/>
        <v>50.006149039064312</v>
      </c>
      <c r="P13" s="49">
        <v>-4.4999999999999998E-2</v>
      </c>
      <c r="Q13" s="49">
        <v>-0.04</v>
      </c>
      <c r="R13" s="49">
        <v>3.5000000000000003E-2</v>
      </c>
      <c r="U13" s="48">
        <v>-2.5000000000000001E-2</v>
      </c>
      <c r="V13" s="48">
        <v>-0.03</v>
      </c>
      <c r="W13" s="48">
        <v>0.05</v>
      </c>
      <c r="Y13" s="40"/>
      <c r="Z13" s="40"/>
    </row>
    <row r="14" spans="1:42" ht="13" thickBot="1">
      <c r="A14" s="48">
        <v>12</v>
      </c>
      <c r="B14" s="75">
        <f>IF(controls!$B$40=3,IF(controls!$B$48="temporary",$W$3,$AA$3),IF(controls!$B$40=1,'choose m.p. (endogenous policy)'!$W$3*(1+L14),B13*(1+L14)))</f>
        <v>50</v>
      </c>
      <c r="C14" s="80">
        <f t="shared" si="0"/>
        <v>4.9661780804788336E-5</v>
      </c>
      <c r="D14" s="77">
        <f>IF(E14-'input own m.p.'!$K$12*'choose m.p. (endogenous policy)'!H13&gt;0,E14-'input own m.p.'!$K$12*'choose m.p. (endogenous policy)'!H13,0.1)</f>
        <v>49.99863193685897</v>
      </c>
      <c r="E14" s="75">
        <f>IF(controls!$B$40=3,IF(controls!$B$47="temporary",$T$3,$T$5),IF(controls!$B$40=1,'choose m.p. (endogenous policy)'!$T$3+SUM($E$27:E37)+D13*M14,E13+D13*(M14+F14/100)))</f>
        <v>51.5</v>
      </c>
      <c r="F14" s="96">
        <f>'choose m.p.'!F14</f>
        <v>0</v>
      </c>
      <c r="G14" s="75">
        <f>IF(ABS('input own m.p.'!$K$14*G13+(1-'input own m.p.'!$K$14)*('input own m.p.'!$K$16/100)*100+'input own m.p.'!$K$10*(D14-B14)-G13)&lt;0.0000001,G13,'input own m.p.'!$K$14*G13+(1-'input own m.p.'!$K$14)*('input own m.p.'!$K$16/100)*100+'input own m.p.'!$K$10*(D14-B14))</f>
        <v>2.00075379532813</v>
      </c>
      <c r="H14" s="75">
        <f t="shared" si="1"/>
        <v>2.0006480102980682</v>
      </c>
      <c r="I14" s="113">
        <f>IF(G14+J14+(('input own m.p.'!$K$10*'loss level and beta es(outputs)'!$L$5*'input own m.p.'!$K$14)/('input own m.p.'!$K$12*(1+('input own m.p.'!$K$10^2)*'loss level and beta es(outputs)'!$L$5)))*(G14-('input own m.p.'!$K$16/100)*100)&lt;0,0,G14+J14+(('input own m.p.'!$K$10*'loss level and beta es(outputs)'!$L$5*'input own m.p.'!$K$14)/('input own m.p.'!$K$12*(1+('input own m.p.'!$K$10^2)*'loss level and beta es(outputs)'!$L$5)))*(G14-('input own m.p.'!$K$16/100)*100))</f>
        <v>4.0014018056261982</v>
      </c>
      <c r="J14" s="98">
        <f>IF(controls!$B$40=1,$W$5,(E14-B14)/'input own m.p.'!$K$12)</f>
        <v>2</v>
      </c>
      <c r="K14" s="117">
        <f t="shared" si="2"/>
        <v>4.00075379532813</v>
      </c>
      <c r="L14" s="40">
        <f>'choose m.p.'!L14</f>
        <v>0</v>
      </c>
      <c r="M14" s="40">
        <f>'choose m.p.'!M14</f>
        <v>0</v>
      </c>
      <c r="N14" s="40">
        <v>-2.5000000000000001E-2</v>
      </c>
      <c r="O14" s="49">
        <f t="shared" si="3"/>
        <v>50.008631936858968</v>
      </c>
      <c r="P14" s="49">
        <v>-4.4999999999999998E-2</v>
      </c>
      <c r="Q14" s="49">
        <v>-0.04</v>
      </c>
      <c r="R14" s="49">
        <v>3.5000000000000003E-2</v>
      </c>
      <c r="U14" s="48">
        <v>-2.5000000000000001E-2</v>
      </c>
      <c r="V14" s="48">
        <v>-0.03</v>
      </c>
      <c r="W14" s="48">
        <v>-0.01</v>
      </c>
      <c r="Y14" s="40"/>
      <c r="Z14" s="40"/>
    </row>
    <row r="15" spans="1:42" ht="13" thickBot="1">
      <c r="A15" s="48">
        <v>13</v>
      </c>
      <c r="B15" s="75">
        <f>IF(controls!$B$40=3,IF(controls!$B$48="temporary",$W$3,$AA$3),IF(controls!$B$40=1,'choose m.p. (endogenous policy)'!$W$3*(1+L15),B14*(1+L15)))</f>
        <v>50</v>
      </c>
      <c r="C15" s="80">
        <f t="shared" si="0"/>
        <v>1.7641591045780558E-5</v>
      </c>
      <c r="D15" s="77">
        <f>IF(E15-'input own m.p.'!$K$12*'choose m.p. (endogenous policy)'!H14&gt;0,E15-'input own m.p.'!$K$12*'choose m.p. (endogenous policy)'!H14,0.1)</f>
        <v>49.999513992276448</v>
      </c>
      <c r="E15" s="75">
        <f>IF(controls!$B$40=3,IF(controls!$B$47="temporary",$T$3,$T$5),IF(controls!$B$40=1,'choose m.p. (endogenous policy)'!$T$3+SUM($E$27:E38)+D14*M15,E14+D14*(M15+F15/100)))</f>
        <v>51.5</v>
      </c>
      <c r="F15" s="96">
        <f>'choose m.p.'!F15</f>
        <v>0</v>
      </c>
      <c r="G15" s="75">
        <f>IF(ABS('input own m.p.'!$K$14*G14+(1-'input own m.p.'!$K$14)*('input own m.p.'!$K$16/100)*100+'input own m.p.'!$K$10*(D15-B15)-G14)&lt;0.0000001,G14,'input own m.p.'!$K$14*G14+(1-'input own m.p.'!$K$14)*('input own m.p.'!$K$16/100)*100+'input own m.p.'!$K$10*(D15-B15))</f>
        <v>2.000267787604578</v>
      </c>
      <c r="H15" s="75">
        <f t="shared" si="1"/>
        <v>2.0002302072180411</v>
      </c>
      <c r="I15" s="113">
        <f>IF(G15+J15+(('input own m.p.'!$K$10*'loss level and beta es(outputs)'!$L$5*'input own m.p.'!$K$14)/('input own m.p.'!$K$12*(1+('input own m.p.'!$K$10^2)*'loss level and beta es(outputs)'!$L$5)))*(G15-('input own m.p.'!$K$16/100)*100)&lt;0,0,G15+J15+(('input own m.p.'!$K$10*'loss level and beta es(outputs)'!$L$5*'input own m.p.'!$K$14)/('input own m.p.'!$K$12*(1+('input own m.p.'!$K$10^2)*'loss level and beta es(outputs)'!$L$5)))*(G15-('input own m.p.'!$K$16/100)*100))</f>
        <v>4.0004979948226191</v>
      </c>
      <c r="J15" s="98">
        <f>IF(controls!$B$40=1,$W$5,(E15-B15)/'input own m.p.'!$K$12)</f>
        <v>2</v>
      </c>
      <c r="K15" s="117">
        <f t="shared" si="2"/>
        <v>4.000267787604578</v>
      </c>
      <c r="L15" s="40">
        <f>'choose m.p.'!L15</f>
        <v>-0.03</v>
      </c>
      <c r="M15" s="40">
        <f>'choose m.p.'!M15</f>
        <v>-7.0000000000000007E-2</v>
      </c>
      <c r="N15" s="40">
        <v>0.02</v>
      </c>
      <c r="O15" s="49">
        <f t="shared" si="3"/>
        <v>50.009513992276446</v>
      </c>
      <c r="P15" s="49">
        <v>-4.4999999999999998E-2</v>
      </c>
      <c r="Q15" s="49">
        <v>-0.04</v>
      </c>
      <c r="R15" s="49">
        <v>3.5000000000000003E-2</v>
      </c>
      <c r="U15" s="48">
        <v>-2.5000000000000001E-2</v>
      </c>
      <c r="V15" s="48">
        <v>-0.03</v>
      </c>
      <c r="W15" s="48">
        <v>-0.01</v>
      </c>
      <c r="Y15" s="40"/>
      <c r="Z15" s="40"/>
    </row>
    <row r="16" spans="1:42" ht="13" thickBot="1">
      <c r="A16" s="48">
        <v>14</v>
      </c>
      <c r="B16" s="75">
        <f>IF(controls!$B$40=3,IF(controls!$B$48="temporary",$W$3,$AA$3),IF(controls!$B$40=1,'choose m.p. (endogenous policy)'!$W$3*(1+L16),B15*(1+L16)))</f>
        <v>50</v>
      </c>
      <c r="C16" s="80">
        <f t="shared" si="0"/>
        <v>6.2671071177078375E-6</v>
      </c>
      <c r="D16" s="77">
        <f>IF(E16-'input own m.p.'!$K$12*'choose m.p. (endogenous policy)'!H15&gt;0,E16-'input own m.p.'!$K$12*'choose m.p. (endogenous policy)'!H15,0.1)</f>
        <v>49.999827344586471</v>
      </c>
      <c r="E16" s="75">
        <f>IF(controls!$B$40=3,IF(controls!$B$47="temporary",$T$3,$T$5),IF(controls!$B$40=1,'choose m.p. (endogenous policy)'!$T$3+SUM($E$27:E39)+D15*M16,E15+D15*(M16+F16/100)))</f>
        <v>51.5</v>
      </c>
      <c r="F16" s="96">
        <f>'choose m.p.'!F16</f>
        <v>0</v>
      </c>
      <c r="G16" s="75">
        <f>IF(ABS('input own m.p.'!$K$14*G15+(1-'input own m.p.'!$K$14)*('input own m.p.'!$K$16/100)*100+'input own m.p.'!$K$10*(D16-B16)-G15)&lt;0.0000001,G15,'input own m.p.'!$K$14*G15+(1-'input own m.p.'!$K$14)*('input own m.p.'!$K$16/100)*100+'input own m.p.'!$K$10*(D16-B16))</f>
        <v>2.0000951321910492</v>
      </c>
      <c r="H16" s="75">
        <f t="shared" si="1"/>
        <v>2.0000817816682819</v>
      </c>
      <c r="I16" s="113">
        <f>IF(G16+J16+(('input own m.p.'!$K$10*'loss level and beta es(outputs)'!$L$5*'input own m.p.'!$K$14)/('input own m.p.'!$K$12*(1+('input own m.p.'!$K$10^2)*'loss level and beta es(outputs)'!$L$5)))*(G16-('input own m.p.'!$K$16/100)*100)&lt;0,0,G16+J16+(('input own m.p.'!$K$10*'loss level and beta es(outputs)'!$L$5*'input own m.p.'!$K$14)/('input own m.p.'!$K$12*(1+('input own m.p.'!$K$10^2)*'loss level and beta es(outputs)'!$L$5)))*(G16-('input own m.p.'!$K$16/100)*100))</f>
        <v>4.0001769138593311</v>
      </c>
      <c r="J16" s="98">
        <f>IF(controls!$B$40=1,$W$5,(E16-B16)/'input own m.p.'!$K$12)</f>
        <v>2</v>
      </c>
      <c r="K16" s="117">
        <f t="shared" si="2"/>
        <v>4.0000951321910492</v>
      </c>
      <c r="L16" s="40">
        <f>'choose m.p.'!L16</f>
        <v>0</v>
      </c>
      <c r="M16" s="40">
        <f>'choose m.p.'!M16</f>
        <v>0</v>
      </c>
      <c r="N16" s="40">
        <v>-0.02</v>
      </c>
      <c r="O16" s="49">
        <f t="shared" si="3"/>
        <v>50.009827344586469</v>
      </c>
      <c r="P16" s="49">
        <v>-4.4999999999999998E-2</v>
      </c>
      <c r="Q16" s="49">
        <v>-0.04</v>
      </c>
      <c r="R16" s="49">
        <v>3.5000000000000003E-2</v>
      </c>
      <c r="U16" s="48">
        <v>-2.5000000000000001E-2</v>
      </c>
      <c r="V16" s="48">
        <v>-0.03</v>
      </c>
      <c r="W16" s="48">
        <v>-0.01</v>
      </c>
      <c r="Y16" s="40"/>
      <c r="Z16" s="40"/>
    </row>
    <row r="17" spans="1:26" ht="13" thickBot="1">
      <c r="A17" s="48">
        <v>15</v>
      </c>
      <c r="B17" s="75">
        <f>IF(controls!$B$40=3,IF(controls!$B$48="temporary",$W$3,$AA$3),IF(controls!$B$40=1,'choose m.p. (endogenous policy)'!$W$3*(1+L17),B16*(1+L17)))</f>
        <v>50</v>
      </c>
      <c r="C17" s="80">
        <f t="shared" si="0"/>
        <v>2.22639093427901E-6</v>
      </c>
      <c r="D17" s="77">
        <f>IF(E17-'input own m.p.'!$K$12*'choose m.p. (endogenous policy)'!H16&gt;0,E17-'input own m.p.'!$K$12*'choose m.p. (endogenous policy)'!H16,0.1)</f>
        <v>49.999938663748786</v>
      </c>
      <c r="E17" s="75">
        <f>IF(controls!$B$40=3,IF(controls!$B$47="temporary",$T$3,$T$5),IF(controls!$B$40=1,'choose m.p. (endogenous policy)'!$T$3+SUM($E$27:E40)+D16*M17,E16+D16*(M17+F17/100)))</f>
        <v>51.5</v>
      </c>
      <c r="F17" s="96">
        <f>'choose m.p.'!F17</f>
        <v>0</v>
      </c>
      <c r="G17" s="75">
        <f>IF(ABS('input own m.p.'!$K$14*G16+(1-'input own m.p.'!$K$14)*('input own m.p.'!$K$16/100)*100+'input own m.p.'!$K$10*(D17-B17)-G16)&lt;0.0000001,G16,'input own m.p.'!$K$14*G16+(1-'input own m.p.'!$K$14)*('input own m.p.'!$K$16/100)*100+'input own m.p.'!$K$10*(D17-B17))</f>
        <v>2.0000337959398351</v>
      </c>
      <c r="H17" s="75">
        <f t="shared" si="1"/>
        <v>2.0000290531344902</v>
      </c>
      <c r="I17" s="113">
        <f>IF(G17+J17+(('input own m.p.'!$K$10*'loss level and beta es(outputs)'!$L$5*'input own m.p.'!$K$14)/('input own m.p.'!$K$12*(1+('input own m.p.'!$K$10^2)*'loss level and beta es(outputs)'!$L$5)))*(G17-('input own m.p.'!$K$16/100)*100)&lt;0,0,G17+J17+(('input own m.p.'!$K$10*'loss level and beta es(outputs)'!$L$5*'input own m.p.'!$K$14)/('input own m.p.'!$K$12*(1+('input own m.p.'!$K$10^2)*'loss level and beta es(outputs)'!$L$5)))*(G17-('input own m.p.'!$K$16/100)*100))</f>
        <v>4.0000628490743253</v>
      </c>
      <c r="J17" s="98">
        <f>IF(controls!$B$40=1,$W$5,(E17-B17)/'input own m.p.'!$K$12)</f>
        <v>2</v>
      </c>
      <c r="K17" s="117">
        <f t="shared" si="2"/>
        <v>4.0000337959398351</v>
      </c>
      <c r="L17" s="40">
        <f>'choose m.p.'!L17</f>
        <v>0</v>
      </c>
      <c r="M17" s="40">
        <f>'choose m.p.'!M17</f>
        <v>0</v>
      </c>
      <c r="N17" s="40">
        <v>1.4999999999999999E-2</v>
      </c>
      <c r="O17" s="49">
        <f t="shared" si="3"/>
        <v>50.009938663748784</v>
      </c>
      <c r="P17" s="49">
        <v>-4.4999999999999998E-2</v>
      </c>
      <c r="Q17" s="49">
        <v>-0.04</v>
      </c>
      <c r="R17" s="49">
        <v>3.5000000000000003E-2</v>
      </c>
      <c r="U17" s="48">
        <v>-2.5000000000000001E-2</v>
      </c>
      <c r="V17" s="48">
        <v>-0.03</v>
      </c>
      <c r="W17" s="48">
        <v>-0.01</v>
      </c>
      <c r="Y17" s="40"/>
      <c r="Z17" s="40"/>
    </row>
    <row r="18" spans="1:26" ht="13" thickBot="1">
      <c r="A18" s="48">
        <v>16</v>
      </c>
      <c r="B18" s="75">
        <f>IF(controls!$B$40=3,IF(controls!$B$48="temporary",$W$3,$AA$3),IF(controls!$B$40=1,'choose m.p. (endogenous policy)'!$W$3*(1+L18),B17*(1+L18)))</f>
        <v>50</v>
      </c>
      <c r="C18" s="80">
        <f t="shared" si="0"/>
        <v>7.909289772012329E-7</v>
      </c>
      <c r="D18" s="77">
        <f>IF(E18-'input own m.p.'!$K$12*'choose m.p. (endogenous policy)'!H17&gt;0,E18-'input own m.p.'!$K$12*'choose m.p. (endogenous policy)'!H17,0.1)</f>
        <v>49.999978210149131</v>
      </c>
      <c r="E18" s="75">
        <f>IF(controls!$B$40=3,IF(controls!$B$47="temporary",$T$3,$T$5),IF(controls!$B$40=1,'choose m.p. (endogenous policy)'!$T$3+SUM($E$27:E41)+D17*M18,E17+D17*(M18+F18/100)))</f>
        <v>51.5</v>
      </c>
      <c r="F18" s="96">
        <f>'choose m.p.'!F18</f>
        <v>0</v>
      </c>
      <c r="G18" s="75">
        <f>IF(ABS('input own m.p.'!$K$14*G17+(1-'input own m.p.'!$K$14)*('input own m.p.'!$K$16/100)*100+'input own m.p.'!$K$10*(D18-B18)-G17)&lt;0.0000001,G17,'input own m.p.'!$K$14*G17+(1-'input own m.p.'!$K$14)*('input own m.p.'!$K$16/100)*100+'input own m.p.'!$K$10*(D18-B18))</f>
        <v>2.0000120060889657</v>
      </c>
      <c r="H18" s="75">
        <f t="shared" si="1"/>
        <v>2.0000103211959521</v>
      </c>
      <c r="I18" s="113">
        <f>IF(G18+J18+(('input own m.p.'!$K$10*'loss level and beta es(outputs)'!$L$5*'input own m.p.'!$K$14)/('input own m.p.'!$K$12*(1+('input own m.p.'!$K$10^2)*'loss level and beta es(outputs)'!$L$5)))*(G18-('input own m.p.'!$K$16/100)*100)&lt;0,0,G18+J18+(('input own m.p.'!$K$10*'loss level and beta es(outputs)'!$L$5*'input own m.p.'!$K$14)/('input own m.p.'!$K$12*(1+('input own m.p.'!$K$10^2)*'loss level and beta es(outputs)'!$L$5)))*(G18-('input own m.p.'!$K$16/100)*100))</f>
        <v>4.0000223272849178</v>
      </c>
      <c r="J18" s="98">
        <f>IF(controls!$B$40=1,$W$5,(E18-B18)/'input own m.p.'!$K$12)</f>
        <v>2</v>
      </c>
      <c r="K18" s="117">
        <f t="shared" si="2"/>
        <v>4.0000120060889657</v>
      </c>
      <c r="L18" s="40">
        <f>'choose m.p.'!L18</f>
        <v>0</v>
      </c>
      <c r="M18" s="40">
        <f>'choose m.p.'!M18</f>
        <v>0</v>
      </c>
      <c r="N18" s="40">
        <v>-1.4999999999999999E-2</v>
      </c>
      <c r="O18" s="49">
        <f t="shared" si="3"/>
        <v>50.009978210149129</v>
      </c>
      <c r="P18" s="49">
        <v>-4.4999999999999998E-2</v>
      </c>
      <c r="Q18" s="49">
        <v>-0.04</v>
      </c>
      <c r="R18" s="49">
        <v>3.5000000000000003E-2</v>
      </c>
      <c r="S18" s="48">
        <v>-0.04</v>
      </c>
      <c r="U18" s="48">
        <v>-2.5000000000000001E-2</v>
      </c>
      <c r="V18" s="48">
        <v>-0.03</v>
      </c>
      <c r="W18" s="48">
        <v>-0.01</v>
      </c>
      <c r="X18" s="48">
        <v>-0.05</v>
      </c>
      <c r="Y18" s="40"/>
      <c r="Z18" s="40"/>
    </row>
    <row r="19" spans="1:26" ht="13" thickBot="1">
      <c r="A19" s="48">
        <v>17</v>
      </c>
      <c r="B19" s="75">
        <f>IF(controls!$B$40=3,IF(controls!$B$48="temporary",$W$3,$AA$3),IF(controls!$B$40=1,'choose m.p. (endogenous policy)'!$W$3*(1+L19),B18*(1+L19)))</f>
        <v>50</v>
      </c>
      <c r="C19" s="80">
        <f t="shared" si="0"/>
        <v>2.809792005731282E-7</v>
      </c>
      <c r="D19" s="77">
        <f>IF(E19-'input own m.p.'!$K$12*'choose m.p. (endogenous policy)'!H18&gt;0,E19-'input own m.p.'!$K$12*'choose m.p. (endogenous policy)'!H18,0.1)</f>
        <v>49.999992259103038</v>
      </c>
      <c r="E19" s="75">
        <f>IF(controls!$B$40=3,IF(controls!$B$47="temporary",$T$3,$T$5),IF(controls!$B$40=1,'choose m.p. (endogenous policy)'!$T$3+SUM($E$27:E42)+D18*M19,E18+D18*(M19+F19/100)))</f>
        <v>51.5</v>
      </c>
      <c r="F19" s="96">
        <f>'choose m.p.'!F19</f>
        <v>0</v>
      </c>
      <c r="G19" s="75">
        <f>IF(ABS('input own m.p.'!$K$14*G18+(1-'input own m.p.'!$K$14)*('input own m.p.'!$K$16/100)*100+'input own m.p.'!$K$10*(D19-B19)-G18)&lt;0.0000001,G18,'input own m.p.'!$K$14*G18+(1-'input own m.p.'!$K$14)*('input own m.p.'!$K$16/100)*100+'input own m.p.'!$K$10*(D19-B19))</f>
        <v>2.000004265192004</v>
      </c>
      <c r="H19" s="75">
        <f t="shared" si="1"/>
        <v>2.0000036666297056</v>
      </c>
      <c r="I19" s="113">
        <f>IF(G19+J19+(('input own m.p.'!$K$10*'loss level and beta es(outputs)'!$L$5*'input own m.p.'!$K$14)/('input own m.p.'!$K$12*(1+('input own m.p.'!$K$10^2)*'loss level and beta es(outputs)'!$L$5)))*(G19-('input own m.p.'!$K$16/100)*100)&lt;0,0,G19+J19+(('input own m.p.'!$K$10*'loss level and beta es(outputs)'!$L$5*'input own m.p.'!$K$14)/('input own m.p.'!$K$12*(1+('input own m.p.'!$K$10^2)*'loss level and beta es(outputs)'!$L$5)))*(G19-('input own m.p.'!$K$16/100)*100))</f>
        <v>4.0000079318217097</v>
      </c>
      <c r="J19" s="98">
        <f>IF(controls!$B$40=1,$W$5,(E19-B19)/'input own m.p.'!$K$12)</f>
        <v>2</v>
      </c>
      <c r="K19" s="117">
        <f t="shared" si="2"/>
        <v>4.000004265192004</v>
      </c>
      <c r="L19" s="40">
        <f>'choose m.p.'!L19</f>
        <v>0</v>
      </c>
      <c r="M19" s="40">
        <f>'choose m.p.'!M19</f>
        <v>0</v>
      </c>
      <c r="N19" s="40">
        <v>0.01</v>
      </c>
      <c r="O19" s="49">
        <f t="shared" si="3"/>
        <v>50.009992259103036</v>
      </c>
      <c r="P19" s="49">
        <v>-4.4999999999999998E-2</v>
      </c>
      <c r="Q19" s="49">
        <v>-0.04</v>
      </c>
      <c r="R19" s="49">
        <v>3.5000000000000003E-2</v>
      </c>
      <c r="S19" s="48">
        <v>-0.04</v>
      </c>
      <c r="U19" s="48">
        <v>-2.5000000000000001E-2</v>
      </c>
      <c r="V19" s="48">
        <v>-0.03</v>
      </c>
      <c r="W19" s="48">
        <v>-0.01</v>
      </c>
      <c r="X19" s="48">
        <v>0.03</v>
      </c>
      <c r="Y19" s="40"/>
      <c r="Z19" s="40"/>
    </row>
    <row r="20" spans="1:26" ht="13" thickBot="1">
      <c r="A20" s="48">
        <v>18</v>
      </c>
      <c r="B20" s="75">
        <f>IF(controls!$B$40=3,IF(controls!$B$48="temporary",$W$3,$AA$3),IF(controls!$B$40=1,'choose m.p. (endogenous policy)'!$W$3*(1+L20),B19*(1+L20)))</f>
        <v>50</v>
      </c>
      <c r="C20" s="80">
        <f t="shared" si="0"/>
        <v>9.9818509013971379E-8</v>
      </c>
      <c r="D20" s="77">
        <f>IF(E20-'input own m.p.'!$K$12*'choose m.p. (endogenous policy)'!H19&gt;0,E20-'input own m.p.'!$K$12*'choose m.p. (endogenous policy)'!H19,0.1)</f>
        <v>49.999997250027718</v>
      </c>
      <c r="E20" s="75">
        <f>IF(controls!$B$40=3,IF(controls!$B$47="temporary",$T$3,$T$5),IF(controls!$B$40=1,'choose m.p. (endogenous policy)'!$T$3+SUM($E$27:E43)+D19*M20,E19+D19*(M20+F20/100)))</f>
        <v>51.5</v>
      </c>
      <c r="F20" s="96">
        <f>'choose m.p.'!F20</f>
        <v>0</v>
      </c>
      <c r="G20" s="75">
        <f>IF(ABS('input own m.p.'!$K$14*G19+(1-'input own m.p.'!$K$14)*('input own m.p.'!$K$16/100)*100+'input own m.p.'!$K$10*(D20-B20)-G19)&lt;0.0000001,G19,'input own m.p.'!$K$14*G19+(1-'input own m.p.'!$K$14)*('input own m.p.'!$K$16/100)*100+'input own m.p.'!$K$10*(D20-B20))</f>
        <v>2.0000015152197221</v>
      </c>
      <c r="H20" s="75">
        <f t="shared" si="1"/>
        <v>2.0000013025790251</v>
      </c>
      <c r="I20" s="113">
        <f>IF(G20+J20+(('input own m.p.'!$K$10*'loss level and beta es(outputs)'!$L$5*'input own m.p.'!$K$14)/('input own m.p.'!$K$12*(1+('input own m.p.'!$K$10^2)*'loss level and beta es(outputs)'!$L$5)))*(G20-('input own m.p.'!$K$16/100)*100)&lt;0,0,G20+J20+(('input own m.p.'!$K$10*'loss level and beta es(outputs)'!$L$5*'input own m.p.'!$K$14)/('input own m.p.'!$K$12*(1+('input own m.p.'!$K$10^2)*'loss level and beta es(outputs)'!$L$5)))*(G20-('input own m.p.'!$K$16/100)*100))</f>
        <v>4.0000028177987472</v>
      </c>
      <c r="J20" s="98">
        <f>IF(controls!$B$40=1,$W$5,(E20-B20)/'input own m.p.'!$K$12)</f>
        <v>2</v>
      </c>
      <c r="K20" s="117">
        <f t="shared" si="2"/>
        <v>4.0000015152197221</v>
      </c>
      <c r="L20" s="40">
        <f>'choose m.p.'!L20</f>
        <v>0</v>
      </c>
      <c r="M20" s="40">
        <f>'choose m.p.'!M20</f>
        <v>-0.02</v>
      </c>
      <c r="N20" s="40">
        <v>-0.01</v>
      </c>
      <c r="O20" s="49">
        <f t="shared" si="3"/>
        <v>50.009997250027716</v>
      </c>
      <c r="P20" s="49">
        <v>-4.4999999999999998E-2</v>
      </c>
      <c r="Q20" s="49">
        <v>-0.04</v>
      </c>
      <c r="R20" s="49">
        <v>3.5000000000000003E-2</v>
      </c>
      <c r="S20" s="48">
        <v>-0.04</v>
      </c>
      <c r="U20" s="48">
        <v>-2.5000000000000001E-2</v>
      </c>
      <c r="V20" s="48">
        <v>-0.03</v>
      </c>
      <c r="W20" s="48">
        <v>-0.01</v>
      </c>
      <c r="X20" s="48">
        <v>0.03</v>
      </c>
      <c r="Y20" s="40"/>
      <c r="Z20" s="40"/>
    </row>
    <row r="21" spans="1:26" ht="13" thickBot="1">
      <c r="A21" s="48">
        <v>19</v>
      </c>
      <c r="B21" s="75">
        <f>IF(controls!$B$40=3,IF(controls!$B$48="temporary",$W$3,$AA$3),IF(controls!$B$40=1,'choose m.p. (endogenous policy)'!$W$3*(1+L21),B20*(1+L21)))</f>
        <v>50</v>
      </c>
      <c r="C21" s="106">
        <f t="shared" si="0"/>
        <v>3.5460762326522399E-8</v>
      </c>
      <c r="D21" s="77">
        <f>IF(E21-'input own m.p.'!$K$12*'choose m.p. (endogenous policy)'!H20&gt;0,E21-'input own m.p.'!$K$12*'choose m.p. (endogenous policy)'!H20,0.1)</f>
        <v>49.999999023065733</v>
      </c>
      <c r="E21" s="75">
        <f>IF(controls!$B$40=3,IF(controls!$B$47="temporary",$T$3,$T$5),IF(controls!$B$40=1,'choose m.p. (endogenous policy)'!$T$3+SUM($E$27:E44)+D20*M21,E20+D20*(M21+F21/100)))</f>
        <v>51.5</v>
      </c>
      <c r="F21" s="96">
        <f>'choose m.p.'!F21</f>
        <v>0</v>
      </c>
      <c r="G21" s="75">
        <f>IF(ABS('input own m.p.'!$K$14*G20+(1-'input own m.p.'!$K$14)*('input own m.p.'!$K$16/100)*100+'input own m.p.'!$K$10*(D21-B21)-G20)&lt;0.0000001,G20,'input own m.p.'!$K$14*G20+(1-'input own m.p.'!$K$14)*('input own m.p.'!$K$16/100)*100+'input own m.p.'!$K$10*(D21-B21))</f>
        <v>2.0000005382854553</v>
      </c>
      <c r="H21" s="75">
        <f t="shared" si="1"/>
        <v>2.0000004627443353</v>
      </c>
      <c r="I21" s="113">
        <f>IF(G21+J21+(('input own m.p.'!$K$10*'loss level and beta es(outputs)'!$L$5*'input own m.p.'!$K$14)/('input own m.p.'!$K$12*(1+('input own m.p.'!$K$10^2)*'loss level and beta es(outputs)'!$L$5)))*(G21-('input own m.p.'!$K$16/100)*100)&lt;0,0,G21+J21+(('input own m.p.'!$K$10*'loss level and beta es(outputs)'!$L$5*'input own m.p.'!$K$14)/('input own m.p.'!$K$12*(1+('input own m.p.'!$K$10^2)*'loss level and beta es(outputs)'!$L$5)))*(G21-('input own m.p.'!$K$16/100)*100))</f>
        <v>4.0000010010297906</v>
      </c>
      <c r="J21" s="98">
        <f>IF(controls!$B$40=1,$W$5,(E21-B21)/'input own m.p.'!$K$12)</f>
        <v>2</v>
      </c>
      <c r="K21" s="117">
        <f t="shared" si="2"/>
        <v>4.0000005382854553</v>
      </c>
      <c r="L21" s="40">
        <f>'choose m.p.'!L21</f>
        <v>-0.08</v>
      </c>
      <c r="M21" s="40">
        <f>'choose m.p.'!M21</f>
        <v>0</v>
      </c>
      <c r="N21" s="40">
        <v>5.0000000000000001E-3</v>
      </c>
      <c r="O21" s="49">
        <f t="shared" si="3"/>
        <v>50.009999023065731</v>
      </c>
      <c r="P21" s="49">
        <v>-4.4999999999999998E-2</v>
      </c>
      <c r="Q21" s="49">
        <v>-0.04</v>
      </c>
      <c r="R21" s="49">
        <v>3.5000000000000003E-2</v>
      </c>
      <c r="S21" s="48">
        <v>-0.04</v>
      </c>
      <c r="U21" s="48">
        <v>-2.5000000000000001E-2</v>
      </c>
      <c r="V21" s="48">
        <v>-0.03</v>
      </c>
      <c r="W21" s="48">
        <v>-0.01</v>
      </c>
      <c r="X21" s="48">
        <v>0.03</v>
      </c>
      <c r="Y21" s="40"/>
      <c r="Z21" s="40"/>
    </row>
    <row r="22" spans="1:26" s="76" customFormat="1" ht="13" thickBot="1">
      <c r="A22" s="76">
        <v>20</v>
      </c>
      <c r="B22" s="75">
        <f>IF(controls!$B$40=3,IF(controls!$B$48="temporary",$W$3,$AA$3),IF(controls!$B$40=1,'choose m.p. (endogenous policy)'!$W$3*(1+L22),B21*(1+L22)))</f>
        <v>50</v>
      </c>
      <c r="C22" s="80">
        <f t="shared" si="0"/>
        <v>1.2597520582247057E-8</v>
      </c>
      <c r="D22" s="77">
        <f>IF(E22-'input own m.p.'!$K$12*'choose m.p. (endogenous policy)'!H21&gt;0,E22-'input own m.p.'!$K$12*'choose m.p. (endogenous policy)'!H21,0.1)</f>
        <v>49.999999652941746</v>
      </c>
      <c r="E22" s="75">
        <f>IF(controls!$B$40=3,IF(controls!$B$47="temporary",$T$3,$T$5),IF(controls!$B$40=1,'choose m.p. (endogenous policy)'!$T$3+SUM($E$27:E45)+D21*M22,E21+D21*(M22+F22/100)))</f>
        <v>51.5</v>
      </c>
      <c r="F22" s="96">
        <f>'choose m.p.'!F22</f>
        <v>0</v>
      </c>
      <c r="G22" s="75">
        <f>IF(ABS('input own m.p.'!$K$14*G21+(1-'input own m.p.'!$K$14)*('input own m.p.'!$K$16/100)*100+'input own m.p.'!$K$10*(D22-B22)-G21)&lt;0.0000001,G21,'input own m.p.'!$K$14*G21+(1-'input own m.p.'!$K$14)*('input own m.p.'!$K$16/100)*100+'input own m.p.'!$K$10*(D22-B22))</f>
        <v>2.0000001912272012</v>
      </c>
      <c r="H22" s="75">
        <f t="shared" si="1"/>
        <v>2.0000001643910368</v>
      </c>
      <c r="I22" s="113">
        <f>IF(G22+J22+(('input own m.p.'!$K$10*'loss level and beta es(outputs)'!$L$5*'input own m.p.'!$K$14)/('input own m.p.'!$K$12*(1+('input own m.p.'!$K$10^2)*'loss level and beta es(outputs)'!$L$5)))*(G22-('input own m.p.'!$K$16/100)*100)&lt;0,0,G22+J22+(('input own m.p.'!$K$10*'loss level and beta es(outputs)'!$L$5*'input own m.p.'!$K$14)/('input own m.p.'!$K$12*(1+('input own m.p.'!$K$10^2)*'loss level and beta es(outputs)'!$L$5)))*(G22-('input own m.p.'!$K$16/100)*100))</f>
        <v>4.000000355618238</v>
      </c>
      <c r="J22" s="98">
        <f>IF(controls!$B$40=1,$W$5,(E22-B22)/'input own m.p.'!$K$12)</f>
        <v>2</v>
      </c>
      <c r="K22" s="117">
        <f t="shared" si="2"/>
        <v>4.0000001912272012</v>
      </c>
      <c r="L22" s="40">
        <f>'choose m.p.'!L22</f>
        <v>0</v>
      </c>
      <c r="M22" s="40">
        <f>'choose m.p.'!M22</f>
        <v>0</v>
      </c>
      <c r="N22" s="40">
        <v>-5.0000000000000001E-3</v>
      </c>
      <c r="O22" s="49">
        <f t="shared" si="3"/>
        <v>49.999999652941746</v>
      </c>
      <c r="P22" s="70">
        <v>-4.4999999999999998E-2</v>
      </c>
      <c r="Q22" s="70">
        <v>-0.04</v>
      </c>
      <c r="R22" s="70">
        <v>3.5000000000000003E-2</v>
      </c>
      <c r="S22" s="76">
        <v>-0.04</v>
      </c>
      <c r="U22" s="76">
        <v>-2.5000000000000001E-2</v>
      </c>
      <c r="V22" s="76">
        <v>-0.03</v>
      </c>
      <c r="W22" s="76">
        <v>-0.01</v>
      </c>
      <c r="X22" s="76">
        <v>1.4999999999999999E-2</v>
      </c>
      <c r="Y22" s="80"/>
      <c r="Z22" s="80"/>
    </row>
    <row r="23" spans="1:26" s="108" customFormat="1">
      <c r="A23" s="112"/>
      <c r="B23" s="75">
        <f>IF(controls!$B$40=3,IF(controls!$B$48="temporary",$W$3,$AA$3),IF(controls!$B$40=1,'choose m.p. (endogenous policy)'!$W$3*(1+L23),B22*(1+L23)))</f>
        <v>50</v>
      </c>
      <c r="C23" s="80">
        <f t="shared" si="0"/>
        <v>4.4752996863905992E-9</v>
      </c>
      <c r="D23" s="77">
        <f>IF(E23-'input own m.p.'!$K$12*'choose m.p. (endogenous policy)'!H22&gt;0,E23-'input own m.p.'!$K$12*'choose m.p. (endogenous policy)'!H22,0.1)</f>
        <v>49.999999876706724</v>
      </c>
      <c r="E23" s="75">
        <f>IF(controls!$B$40=3,IF(controls!$B$47="temporary",$T$3,$T$5),IF(controls!$B$40=1,'choose m.p. (endogenous policy)'!$T$3+SUM($E$27:E46)+D22*M23,E22+D22*(M23+F23/100)))</f>
        <v>51.5</v>
      </c>
      <c r="F23" s="96">
        <f>'choose m.p.'!F23</f>
        <v>0</v>
      </c>
      <c r="G23" s="75">
        <f>IF(ABS('input own m.p.'!$K$14*G22+(1-'input own m.p.'!$K$14)*('input own m.p.'!$K$16/100)*100+'input own m.p.'!$K$10*(D23-B23)-G22)&lt;0.0000001,G22,'input own m.p.'!$K$14*G22+(1-'input own m.p.'!$K$14)*('input own m.p.'!$K$16/100)*100+'input own m.p.'!$K$10*(D23-B23))</f>
        <v>2.0000000679339252</v>
      </c>
      <c r="H23" s="75">
        <f t="shared" si="1"/>
        <v>-2.0000000679339252</v>
      </c>
      <c r="I23" s="98"/>
      <c r="J23" s="98">
        <f>IF(controls!$B$40=1,$W$5,(E23-B23)/'input own m.p.'!$K$12)</f>
        <v>2</v>
      </c>
      <c r="K23" s="89"/>
      <c r="L23" s="40">
        <f>'choose m.p.'!L23</f>
        <v>0</v>
      </c>
      <c r="M23" s="40">
        <f>'choose m.p.'!M23</f>
        <v>0</v>
      </c>
      <c r="N23" s="80"/>
      <c r="O23" s="70">
        <f>IF(controls!$B$33=1,D23-(#REF!-'main page'!$K$27*2)*(1+('main page'!$K$35/100))^A22,D23-$W$4)</f>
        <v>-1.2329327603310958E-7</v>
      </c>
      <c r="P23" s="70">
        <f>ABS(G23-(controls!$B$9/100)*100)</f>
        <v>6.7933925151919539E-8</v>
      </c>
      <c r="Q23" s="111"/>
      <c r="R23" s="111"/>
      <c r="Y23" s="110"/>
      <c r="Z23" s="110"/>
    </row>
    <row r="24" spans="1:26" s="108" customFormat="1">
      <c r="B24" s="109"/>
      <c r="C24" s="110"/>
      <c r="D24" s="109"/>
      <c r="E24" s="109"/>
      <c r="F24" s="97">
        <v>0</v>
      </c>
      <c r="G24" s="109"/>
      <c r="H24" s="109"/>
      <c r="I24" s="98"/>
      <c r="J24" s="98"/>
      <c r="K24" s="83"/>
      <c r="L24" s="110"/>
      <c r="M24" s="110"/>
      <c r="N24" s="80"/>
      <c r="O24" s="111"/>
      <c r="P24" s="111"/>
      <c r="Q24" s="111"/>
      <c r="R24" s="111"/>
      <c r="Y24" s="110"/>
      <c r="Z24" s="110"/>
    </row>
    <row r="25" spans="1:26" s="108" customFormat="1">
      <c r="B25" s="109"/>
      <c r="C25" s="110"/>
      <c r="D25" s="109"/>
      <c r="E25" s="109"/>
      <c r="F25" s="97">
        <v>0</v>
      </c>
      <c r="G25" s="109"/>
      <c r="H25" s="109"/>
      <c r="I25" s="98"/>
      <c r="J25" s="98"/>
      <c r="K25" s="83"/>
      <c r="L25" s="110"/>
      <c r="M25" s="110"/>
      <c r="N25" s="110"/>
      <c r="O25" s="111"/>
      <c r="P25" s="111"/>
      <c r="Q25" s="111"/>
      <c r="R25" s="111"/>
      <c r="Y25" s="110"/>
      <c r="Z25" s="110"/>
    </row>
    <row r="26" spans="1:26" s="108" customFormat="1">
      <c r="A26" s="48"/>
      <c r="B26" s="109"/>
      <c r="C26" s="110"/>
      <c r="D26" s="109"/>
      <c r="E26" s="109"/>
      <c r="F26" s="97">
        <v>0</v>
      </c>
      <c r="G26" s="109"/>
      <c r="H26" s="109"/>
      <c r="I26" s="98">
        <f>G3+J3+(('input own m.p.'!$K$10*'loss level and beta es(outputs)'!$L$5*'input own m.p.'!$K$14)/('input own m.p.'!$K$12*(1+('input own m.p.'!$K$10^2)*'loss level and beta es(outputs)'!$L$5)))*(G3-('input own m.p.'!$K$16/100)*100)</f>
        <v>4</v>
      </c>
      <c r="J26" s="98"/>
      <c r="K26" s="83"/>
      <c r="L26" s="110"/>
      <c r="M26" s="110"/>
      <c r="N26" s="40">
        <v>0</v>
      </c>
      <c r="O26" s="111"/>
      <c r="P26" s="111"/>
      <c r="Q26" s="111"/>
      <c r="R26" s="111"/>
      <c r="Y26" s="110"/>
      <c r="Z26" s="110"/>
    </row>
    <row r="27" spans="1:26" s="108" customFormat="1">
      <c r="A27" s="48"/>
      <c r="B27" s="109"/>
      <c r="C27" s="110"/>
      <c r="D27" s="109"/>
      <c r="E27" s="109">
        <f>D3*F4/100</f>
        <v>0</v>
      </c>
      <c r="F27" s="97">
        <v>0</v>
      </c>
      <c r="G27" s="109"/>
      <c r="H27" s="109"/>
      <c r="I27" s="98">
        <f>G4+J4+(('input own m.p.'!$K$10*'loss level and beta es(outputs)'!$L$5*'input own m.p.'!$K$14)/('input own m.p.'!$K$12*(1+('input own m.p.'!$K$10^2)*'loss level and beta es(outputs)'!$L$5)))*(G4-('input own m.p.'!$K$16/100)*100)</f>
        <v>4</v>
      </c>
      <c r="J27" s="98"/>
      <c r="K27" s="83"/>
      <c r="L27" s="110"/>
      <c r="M27" s="110"/>
      <c r="N27" s="40">
        <v>0</v>
      </c>
      <c r="O27" s="111"/>
      <c r="P27" s="111"/>
      <c r="Q27" s="111"/>
      <c r="R27" s="111"/>
      <c r="Y27" s="110"/>
      <c r="Z27" s="110"/>
    </row>
    <row r="28" spans="1:26" s="108" customFormat="1">
      <c r="A28" s="48"/>
      <c r="B28" s="109"/>
      <c r="C28" s="110"/>
      <c r="D28" s="109"/>
      <c r="E28" s="109">
        <f t="shared" ref="E28:E45" si="4">D4*F5/100</f>
        <v>0</v>
      </c>
      <c r="F28" s="97">
        <v>0</v>
      </c>
      <c r="G28" s="109"/>
      <c r="H28" s="109"/>
      <c r="I28" s="98">
        <f>G5+J5+(('input own m.p.'!$K$10*'loss level and beta es(outputs)'!$L$5*'input own m.p.'!$K$14)/('input own m.p.'!$K$12*(1+('input own m.p.'!$K$10^2)*'loss level and beta es(outputs)'!$L$5)))*(G5-('input own m.p.'!$K$16/100)*100)</f>
        <v>4</v>
      </c>
      <c r="J28" s="98"/>
      <c r="K28" s="83"/>
      <c r="L28" s="110"/>
      <c r="M28" s="110"/>
      <c r="N28" s="40">
        <v>0</v>
      </c>
      <c r="O28" s="111"/>
      <c r="P28" s="111"/>
      <c r="Q28" s="111"/>
      <c r="R28" s="111"/>
      <c r="Y28" s="110"/>
      <c r="Z28" s="110"/>
    </row>
    <row r="29" spans="1:26" s="108" customFormat="1">
      <c r="A29" s="48"/>
      <c r="B29" s="109"/>
      <c r="C29" s="110"/>
      <c r="D29" s="109"/>
      <c r="E29" s="109">
        <f t="shared" si="4"/>
        <v>0</v>
      </c>
      <c r="F29" s="97"/>
      <c r="G29" s="109"/>
      <c r="H29" s="109"/>
      <c r="I29" s="98">
        <f>G6+J6+(('input own m.p.'!$K$10*'loss level and beta es(outputs)'!$L$5*'input own m.p.'!$K$14)/('input own m.p.'!$K$12*(1+('input own m.p.'!$K$10^2)*'loss level and beta es(outputs)'!$L$5)))*(G6-('input own m.p.'!$K$16/100)*100)</f>
        <v>4</v>
      </c>
      <c r="J29" s="98"/>
      <c r="K29" s="83"/>
      <c r="L29" s="110"/>
      <c r="M29" s="110"/>
      <c r="N29" s="40">
        <v>0</v>
      </c>
      <c r="O29" s="111"/>
      <c r="P29" s="111"/>
      <c r="Q29" s="111"/>
      <c r="R29" s="111"/>
      <c r="Y29" s="110"/>
      <c r="Z29" s="110"/>
    </row>
    <row r="30" spans="1:26" s="108" customFormat="1">
      <c r="A30" s="48"/>
      <c r="B30" s="109"/>
      <c r="C30" s="110"/>
      <c r="D30" s="109"/>
      <c r="E30" s="109">
        <f t="shared" si="4"/>
        <v>0</v>
      </c>
      <c r="F30" s="97">
        <v>0</v>
      </c>
      <c r="G30" s="109"/>
      <c r="H30" s="109"/>
      <c r="I30" s="98">
        <f>G7+J7+(('input own m.p.'!$K$10*'loss level and beta es(outputs)'!$L$5*'input own m.p.'!$K$14)/('input own m.p.'!$K$12*(1+('input own m.p.'!$K$10^2)*'loss level and beta es(outputs)'!$L$5)))*(G7-('input own m.p.'!$K$16/100)*100)</f>
        <v>-0.78949518632988758</v>
      </c>
      <c r="J30" s="98"/>
      <c r="K30" s="83"/>
      <c r="L30" s="110"/>
      <c r="M30" s="110"/>
      <c r="N30" s="40">
        <v>0</v>
      </c>
      <c r="O30" s="111"/>
      <c r="P30" s="111"/>
      <c r="Q30" s="111"/>
      <c r="R30" s="111"/>
      <c r="Y30" s="110"/>
      <c r="Z30" s="110"/>
    </row>
    <row r="31" spans="1:26" s="108" customFormat="1">
      <c r="A31" s="48"/>
      <c r="B31" s="109"/>
      <c r="C31" s="110"/>
      <c r="D31" s="109"/>
      <c r="E31" s="109">
        <f t="shared" si="4"/>
        <v>0</v>
      </c>
      <c r="F31" s="97"/>
      <c r="G31" s="109"/>
      <c r="H31" s="109"/>
      <c r="I31" s="98">
        <f>G8+J8+(('input own m.p.'!$K$10*'loss level and beta es(outputs)'!$L$5*'input own m.p.'!$K$14)/('input own m.p.'!$K$12*(1+('input own m.p.'!$K$10^2)*'loss level and beta es(outputs)'!$L$5)))*(G8-('input own m.p.'!$K$16/100)*100)</f>
        <v>4.6973737965824718</v>
      </c>
      <c r="J31" s="98"/>
      <c r="K31" s="83"/>
      <c r="L31" s="110"/>
      <c r="M31" s="110"/>
      <c r="N31" s="40">
        <v>0</v>
      </c>
      <c r="O31" s="111"/>
      <c r="P31" s="111"/>
      <c r="Q31" s="111"/>
      <c r="R31" s="111"/>
      <c r="Y31" s="110"/>
      <c r="Z31" s="110"/>
    </row>
    <row r="32" spans="1:26" s="108" customFormat="1">
      <c r="A32" s="48"/>
      <c r="B32" s="109"/>
      <c r="C32" s="110"/>
      <c r="D32" s="109"/>
      <c r="E32" s="109">
        <f t="shared" si="4"/>
        <v>0</v>
      </c>
      <c r="F32" s="97"/>
      <c r="G32" s="109"/>
      <c r="H32" s="109"/>
      <c r="I32" s="98">
        <f>G9+J9+(('input own m.p.'!$K$10*'loss level and beta es(outputs)'!$L$5*'input own m.p.'!$K$14)/('input own m.p.'!$K$12*(1+('input own m.p.'!$K$10^2)*'loss level and beta es(outputs)'!$L$5)))*(G9-('input own m.p.'!$K$16/100)*100)</f>
        <v>4.2477437196996295</v>
      </c>
      <c r="J32" s="98"/>
      <c r="K32" s="83"/>
      <c r="L32" s="110"/>
      <c r="M32" s="110"/>
      <c r="N32" s="40">
        <v>0</v>
      </c>
      <c r="O32" s="111"/>
      <c r="P32" s="111"/>
      <c r="Q32" s="111"/>
      <c r="R32" s="111"/>
      <c r="Y32" s="110"/>
      <c r="Z32" s="110"/>
    </row>
    <row r="33" spans="1:26" s="108" customFormat="1">
      <c r="A33" s="48"/>
      <c r="B33" s="109"/>
      <c r="C33" s="110"/>
      <c r="D33" s="109"/>
      <c r="E33" s="109">
        <f t="shared" si="4"/>
        <v>0</v>
      </c>
      <c r="F33" s="97"/>
      <c r="G33" s="109"/>
      <c r="H33" s="109"/>
      <c r="I33" s="98">
        <f>G10+J10+(('input own m.p.'!$K$10*'loss level and beta es(outputs)'!$L$5*'input own m.p.'!$K$14)/('input own m.p.'!$K$12*(1+('input own m.p.'!$K$10^2)*'loss level and beta es(outputs)'!$L$5)))*(G10-('input own m.p.'!$K$16/100)*100)</f>
        <v>4.0880115527015617</v>
      </c>
      <c r="J33" s="98"/>
      <c r="K33" s="83"/>
      <c r="L33" s="110"/>
      <c r="M33" s="110"/>
      <c r="N33" s="40">
        <v>0</v>
      </c>
      <c r="O33" s="111"/>
      <c r="P33" s="111"/>
      <c r="Q33" s="111"/>
      <c r="R33" s="111"/>
      <c r="Y33" s="110"/>
      <c r="Z33" s="110"/>
    </row>
    <row r="34" spans="1:26" s="108" customFormat="1">
      <c r="A34" s="48"/>
      <c r="B34" s="109"/>
      <c r="C34" s="110"/>
      <c r="D34" s="109"/>
      <c r="E34" s="109">
        <f t="shared" si="4"/>
        <v>0</v>
      </c>
      <c r="F34" s="97"/>
      <c r="G34" s="109"/>
      <c r="H34" s="109"/>
      <c r="I34" s="98">
        <f>G11+J11+(('input own m.p.'!$K$10*'loss level and beta es(outputs)'!$L$5*'input own m.p.'!$K$14)/('input own m.p.'!$K$12*(1+('input own m.p.'!$K$10^2)*'loss level and beta es(outputs)'!$L$5)))*(G11-('input own m.p.'!$K$16/100)*100)</f>
        <v>4.0312663159265236</v>
      </c>
      <c r="J34" s="98"/>
      <c r="K34" s="83"/>
      <c r="L34" s="110"/>
      <c r="M34" s="110"/>
      <c r="N34" s="40">
        <v>0</v>
      </c>
      <c r="O34" s="111"/>
      <c r="P34" s="111"/>
      <c r="Q34" s="111"/>
      <c r="R34" s="111"/>
      <c r="Y34" s="110"/>
      <c r="Z34" s="110"/>
    </row>
    <row r="35" spans="1:26" s="108" customFormat="1">
      <c r="A35" s="48"/>
      <c r="B35" s="109"/>
      <c r="C35" s="110"/>
      <c r="D35" s="109"/>
      <c r="E35" s="109">
        <f t="shared" si="4"/>
        <v>0</v>
      </c>
      <c r="F35" s="97"/>
      <c r="G35" s="109"/>
      <c r="H35" s="109"/>
      <c r="I35" s="98">
        <f>G12+J12+(('input own m.p.'!$K$10*'loss level and beta es(outputs)'!$L$5*'input own m.p.'!$K$14)/('input own m.p.'!$K$12*(1+('input own m.p.'!$K$10^2)*'loss level and beta es(outputs)'!$L$5)))*(G12-('input own m.p.'!$K$16/100)*100)</f>
        <v>4.0111074339857575</v>
      </c>
      <c r="J35" s="98"/>
      <c r="K35" s="83"/>
      <c r="L35" s="110"/>
      <c r="M35" s="110"/>
      <c r="N35" s="40">
        <v>0</v>
      </c>
      <c r="O35" s="111"/>
      <c r="P35" s="111"/>
      <c r="Q35" s="111"/>
      <c r="R35" s="111"/>
      <c r="Y35" s="110"/>
      <c r="Z35" s="110"/>
    </row>
    <row r="36" spans="1:26" s="108" customFormat="1">
      <c r="A36" s="48"/>
      <c r="B36" s="109"/>
      <c r="C36" s="110"/>
      <c r="D36" s="109"/>
      <c r="E36" s="109">
        <f t="shared" si="4"/>
        <v>0</v>
      </c>
      <c r="F36" s="97"/>
      <c r="G36" s="109"/>
      <c r="H36" s="109"/>
      <c r="I36" s="98">
        <f>G13+J13+(('input own m.p.'!$K$10*'loss level and beta es(outputs)'!$L$5*'input own m.p.'!$K$14)/('input own m.p.'!$K$12*(1+('input own m.p.'!$K$10^2)*'loss level and beta es(outputs)'!$L$5)))*(G13-('input own m.p.'!$K$16/100)*100)</f>
        <v>4.0039459426571957</v>
      </c>
      <c r="J36" s="98"/>
      <c r="K36" s="83"/>
      <c r="L36" s="110"/>
      <c r="M36" s="110"/>
      <c r="N36" s="40">
        <v>-2.5000000000000001E-2</v>
      </c>
      <c r="O36" s="111"/>
      <c r="P36" s="111"/>
      <c r="Q36" s="111"/>
      <c r="R36" s="111"/>
      <c r="Y36" s="110"/>
      <c r="Z36" s="110"/>
    </row>
    <row r="37" spans="1:26" s="108" customFormat="1">
      <c r="A37" s="48"/>
      <c r="B37" s="109"/>
      <c r="C37" s="110"/>
      <c r="D37" s="109"/>
      <c r="E37" s="109">
        <f t="shared" si="4"/>
        <v>0</v>
      </c>
      <c r="F37" s="97"/>
      <c r="G37" s="109"/>
      <c r="H37" s="109"/>
      <c r="I37" s="98">
        <f>G14+J14+(('input own m.p.'!$K$10*'loss level and beta es(outputs)'!$L$5*'input own m.p.'!$K$14)/('input own m.p.'!$K$12*(1+('input own m.p.'!$K$10^2)*'loss level and beta es(outputs)'!$L$5)))*(G14-('input own m.p.'!$K$16/100)*100)</f>
        <v>4.0014018056261982</v>
      </c>
      <c r="J37" s="98"/>
      <c r="K37" s="83"/>
      <c r="L37" s="110"/>
      <c r="M37" s="110"/>
      <c r="N37" s="40">
        <v>-0.02</v>
      </c>
      <c r="O37" s="111"/>
      <c r="P37" s="111"/>
      <c r="Q37" s="111"/>
      <c r="R37" s="111"/>
      <c r="Y37" s="110"/>
      <c r="Z37" s="110"/>
    </row>
    <row r="38" spans="1:26" s="108" customFormat="1">
      <c r="A38" s="48"/>
      <c r="B38" s="109"/>
      <c r="C38" s="110"/>
      <c r="D38" s="109"/>
      <c r="E38" s="109">
        <f t="shared" si="4"/>
        <v>0</v>
      </c>
      <c r="F38" s="97"/>
      <c r="G38" s="109"/>
      <c r="H38" s="109"/>
      <c r="I38" s="98">
        <f>G15+J15+(('input own m.p.'!$K$10*'loss level and beta es(outputs)'!$L$5*'input own m.p.'!$K$14)/('input own m.p.'!$K$12*(1+('input own m.p.'!$K$10^2)*'loss level and beta es(outputs)'!$L$5)))*(G15-('input own m.p.'!$K$16/100)*100)</f>
        <v>4.0004979948226191</v>
      </c>
      <c r="J38" s="98"/>
      <c r="K38" s="83"/>
      <c r="L38" s="110"/>
      <c r="M38" s="110"/>
      <c r="N38" s="40">
        <v>-1.4999999999999999E-2</v>
      </c>
      <c r="O38" s="111"/>
      <c r="P38" s="111"/>
      <c r="Q38" s="111"/>
      <c r="R38" s="111"/>
      <c r="Y38" s="110"/>
      <c r="Z38" s="110"/>
    </row>
    <row r="39" spans="1:26" s="108" customFormat="1">
      <c r="A39" s="48"/>
      <c r="B39" s="109"/>
      <c r="C39" s="110"/>
      <c r="D39" s="109"/>
      <c r="E39" s="109">
        <f t="shared" si="4"/>
        <v>0</v>
      </c>
      <c r="F39" s="97"/>
      <c r="G39" s="109"/>
      <c r="H39" s="109"/>
      <c r="I39" s="98">
        <f>G16+J16+(('input own m.p.'!$K$10*'loss level and beta es(outputs)'!$L$5*'input own m.p.'!$K$14)/('input own m.p.'!$K$12*(1+('input own m.p.'!$K$10^2)*'loss level and beta es(outputs)'!$L$5)))*(G16-('input own m.p.'!$K$16/100)*100)</f>
        <v>4.0001769138593311</v>
      </c>
      <c r="J39" s="98"/>
      <c r="K39" s="83"/>
      <c r="L39" s="110"/>
      <c r="M39" s="110"/>
      <c r="N39" s="40">
        <v>-0.01</v>
      </c>
      <c r="O39" s="111"/>
      <c r="P39" s="111"/>
      <c r="Q39" s="111"/>
      <c r="R39" s="111"/>
      <c r="Y39" s="110"/>
      <c r="Z39" s="110"/>
    </row>
    <row r="40" spans="1:26" s="108" customFormat="1">
      <c r="A40" s="48"/>
      <c r="B40" s="109"/>
      <c r="C40" s="110"/>
      <c r="D40" s="109"/>
      <c r="E40" s="109">
        <f t="shared" si="4"/>
        <v>0</v>
      </c>
      <c r="F40" s="97"/>
      <c r="G40" s="109"/>
      <c r="H40" s="109"/>
      <c r="I40" s="98">
        <f>G17+J17+(('input own m.p.'!$K$10*'loss level and beta es(outputs)'!$L$5*'input own m.p.'!$K$14)/('input own m.p.'!$K$12*(1+('input own m.p.'!$K$10^2)*'loss level and beta es(outputs)'!$L$5)))*(G17-('input own m.p.'!$K$16/100)*100)</f>
        <v>4.0000628490743253</v>
      </c>
      <c r="J40" s="98"/>
      <c r="K40" s="83"/>
      <c r="L40" s="110"/>
      <c r="M40" s="110"/>
      <c r="N40" s="40">
        <v>-5.0000000000000001E-3</v>
      </c>
      <c r="O40" s="111"/>
      <c r="P40" s="111"/>
      <c r="Q40" s="111"/>
      <c r="R40" s="111"/>
      <c r="Y40" s="110"/>
      <c r="Z40" s="110"/>
    </row>
    <row r="41" spans="1:26" s="108" customFormat="1">
      <c r="A41" s="48"/>
      <c r="B41" s="109"/>
      <c r="C41" s="110"/>
      <c r="D41" s="109"/>
      <c r="E41" s="109">
        <f t="shared" si="4"/>
        <v>0</v>
      </c>
      <c r="F41" s="97"/>
      <c r="G41" s="109"/>
      <c r="H41" s="109"/>
      <c r="I41" s="98">
        <f>G18+J18+(('input own m.p.'!$K$10*'loss level and beta es(outputs)'!$L$5*'input own m.p.'!$K$14)/('input own m.p.'!$K$12*(1+('input own m.p.'!$K$10^2)*'loss level and beta es(outputs)'!$L$5)))*(G18-('input own m.p.'!$K$16/100)*100)</f>
        <v>4.0000223272849178</v>
      </c>
      <c r="J41" s="98"/>
      <c r="K41" s="83"/>
      <c r="L41" s="110"/>
      <c r="M41" s="110"/>
      <c r="N41" s="40">
        <v>5.0000000000000001E-3</v>
      </c>
      <c r="O41" s="111"/>
      <c r="P41" s="111"/>
      <c r="Q41" s="111"/>
      <c r="R41" s="111"/>
      <c r="Y41" s="110"/>
      <c r="Z41" s="110"/>
    </row>
    <row r="42" spans="1:26" s="108" customFormat="1">
      <c r="A42" s="48"/>
      <c r="B42" s="109"/>
      <c r="C42" s="110"/>
      <c r="D42" s="109"/>
      <c r="E42" s="109">
        <f t="shared" si="4"/>
        <v>0</v>
      </c>
      <c r="F42" s="97"/>
      <c r="G42" s="109"/>
      <c r="H42" s="109"/>
      <c r="I42" s="98">
        <f>G19+J19+(('input own m.p.'!$K$10*'loss level and beta es(outputs)'!$L$5*'input own m.p.'!$K$14)/('input own m.p.'!$K$12*(1+('input own m.p.'!$K$10^2)*'loss level and beta es(outputs)'!$L$5)))*(G19-('input own m.p.'!$K$16/100)*100)</f>
        <v>4.0000079318217097</v>
      </c>
      <c r="J42" s="98"/>
      <c r="K42" s="83"/>
      <c r="L42" s="110"/>
      <c r="M42" s="110"/>
      <c r="N42" s="40">
        <v>0.01</v>
      </c>
      <c r="O42" s="111"/>
      <c r="P42" s="111"/>
      <c r="Q42" s="111"/>
      <c r="R42" s="111"/>
      <c r="Y42" s="110"/>
      <c r="Z42" s="110"/>
    </row>
    <row r="43" spans="1:26" s="108" customFormat="1">
      <c r="A43" s="48"/>
      <c r="B43" s="109"/>
      <c r="C43" s="110"/>
      <c r="D43" s="109"/>
      <c r="E43" s="109">
        <f t="shared" si="4"/>
        <v>0</v>
      </c>
      <c r="F43" s="97"/>
      <c r="G43" s="109"/>
      <c r="H43" s="109"/>
      <c r="I43" s="98">
        <f>G20+J20+(('input own m.p.'!$K$10*'loss level and beta es(outputs)'!$L$5*'input own m.p.'!$K$14)/('input own m.p.'!$K$12*(1+('input own m.p.'!$K$10^2)*'loss level and beta es(outputs)'!$L$5)))*(G20-('input own m.p.'!$K$16/100)*100)</f>
        <v>4.0000028177987472</v>
      </c>
      <c r="J43" s="98"/>
      <c r="K43" s="83"/>
      <c r="L43" s="110"/>
      <c r="M43" s="110"/>
      <c r="N43" s="40">
        <v>1.4999999999999999E-2</v>
      </c>
      <c r="O43" s="111"/>
      <c r="P43" s="111"/>
      <c r="Q43" s="111"/>
      <c r="R43" s="111"/>
      <c r="Y43" s="110"/>
      <c r="Z43" s="110"/>
    </row>
    <row r="44" spans="1:26" s="108" customFormat="1">
      <c r="A44" s="48"/>
      <c r="B44" s="109"/>
      <c r="C44" s="110"/>
      <c r="D44" s="109"/>
      <c r="E44" s="109">
        <f t="shared" si="4"/>
        <v>0</v>
      </c>
      <c r="F44" s="97"/>
      <c r="G44" s="109"/>
      <c r="H44" s="109"/>
      <c r="I44" s="98">
        <f>G21+J21+(('input own m.p.'!$K$10*'loss level and beta es(outputs)'!$L$5*'input own m.p.'!$K$14)/('input own m.p.'!$K$12*(1+('input own m.p.'!$K$10^2)*'loss level and beta es(outputs)'!$L$5)))*(G21-('input own m.p.'!$K$16/100)*100)</f>
        <v>4.0000010010297906</v>
      </c>
      <c r="J44" s="98"/>
      <c r="K44" s="83"/>
      <c r="L44" s="110"/>
      <c r="M44" s="110"/>
      <c r="N44" s="40">
        <v>0.02</v>
      </c>
      <c r="O44" s="111"/>
      <c r="P44" s="111"/>
      <c r="Q44" s="111"/>
      <c r="R44" s="111"/>
      <c r="Y44" s="110"/>
      <c r="Z44" s="110"/>
    </row>
    <row r="45" spans="1:26" s="108" customFormat="1">
      <c r="A45" s="76"/>
      <c r="B45" s="109"/>
      <c r="C45" s="110"/>
      <c r="D45" s="109"/>
      <c r="E45" s="109">
        <f t="shared" si="4"/>
        <v>0</v>
      </c>
      <c r="F45" s="97"/>
      <c r="G45" s="109"/>
      <c r="H45" s="109"/>
      <c r="I45" s="261">
        <f>COUNTIF(I26:I44,"&lt;0")</f>
        <v>1</v>
      </c>
      <c r="J45" s="98"/>
      <c r="K45" s="83"/>
      <c r="L45" s="110"/>
      <c r="M45" s="110"/>
      <c r="N45" s="40">
        <v>2.5000000000000001E-2</v>
      </c>
      <c r="O45" s="111"/>
      <c r="P45" s="111"/>
      <c r="Q45" s="111"/>
      <c r="R45" s="111"/>
      <c r="Y45" s="110"/>
      <c r="Z45" s="110"/>
    </row>
    <row r="46" spans="1:26" s="108" customFormat="1">
      <c r="B46" s="109"/>
      <c r="C46" s="110"/>
      <c r="D46" s="109"/>
      <c r="E46" s="109"/>
      <c r="F46" s="97"/>
      <c r="G46" s="109"/>
      <c r="H46" s="109"/>
      <c r="I46" s="98"/>
      <c r="J46" s="98"/>
      <c r="K46" s="83"/>
      <c r="L46" s="110"/>
      <c r="M46" s="110"/>
      <c r="N46" s="110"/>
      <c r="O46" s="111"/>
      <c r="P46" s="111"/>
      <c r="Q46" s="111"/>
      <c r="R46" s="111"/>
      <c r="Y46" s="110"/>
      <c r="Z46" s="110"/>
    </row>
    <row r="47" spans="1:26" s="108" customFormat="1">
      <c r="B47" s="109"/>
      <c r="C47" s="110"/>
      <c r="D47" s="109"/>
      <c r="E47" s="109"/>
      <c r="F47" s="97"/>
      <c r="G47" s="109"/>
      <c r="H47" s="109"/>
      <c r="I47" s="98"/>
      <c r="J47" s="98"/>
      <c r="K47" s="83"/>
      <c r="L47" s="110"/>
      <c r="M47" s="110"/>
      <c r="N47" s="110"/>
      <c r="O47" s="111"/>
      <c r="P47" s="111"/>
      <c r="Q47" s="111"/>
      <c r="R47" s="111"/>
      <c r="Y47" s="110"/>
      <c r="Z47" s="110"/>
    </row>
    <row r="48" spans="1:26" s="108" customFormat="1">
      <c r="B48" s="109"/>
      <c r="C48" s="110"/>
      <c r="D48" s="109"/>
      <c r="E48" s="109"/>
      <c r="F48" s="97"/>
      <c r="G48" s="109"/>
      <c r="H48" s="109"/>
      <c r="I48" s="98"/>
      <c r="J48" s="98"/>
      <c r="K48" s="83"/>
      <c r="L48" s="110"/>
      <c r="M48" s="110"/>
      <c r="N48" s="110"/>
      <c r="O48" s="111"/>
      <c r="P48" s="111"/>
      <c r="Q48" s="111"/>
      <c r="R48" s="111"/>
      <c r="Y48" s="110"/>
      <c r="Z48" s="110"/>
    </row>
    <row r="49" spans="2:26" s="108" customFormat="1">
      <c r="B49" s="109"/>
      <c r="C49" s="110"/>
      <c r="D49" s="109"/>
      <c r="E49" s="109"/>
      <c r="F49" s="97"/>
      <c r="G49" s="109"/>
      <c r="H49" s="109"/>
      <c r="I49" s="98"/>
      <c r="J49" s="98"/>
      <c r="K49" s="83"/>
      <c r="L49" s="110"/>
      <c r="M49" s="110"/>
      <c r="N49" s="110"/>
      <c r="O49" s="111"/>
      <c r="P49" s="111"/>
      <c r="Q49" s="111"/>
      <c r="R49" s="111"/>
      <c r="Y49" s="110"/>
      <c r="Z49" s="110"/>
    </row>
    <row r="50" spans="2:26" s="108" customFormat="1">
      <c r="B50" s="109"/>
      <c r="C50" s="110"/>
      <c r="D50" s="109"/>
      <c r="E50" s="109"/>
      <c r="F50" s="97"/>
      <c r="G50" s="109"/>
      <c r="H50" s="109"/>
      <c r="I50" s="98"/>
      <c r="J50" s="98"/>
      <c r="K50" s="83"/>
      <c r="L50" s="110"/>
      <c r="M50" s="110"/>
      <c r="N50" s="110"/>
      <c r="O50" s="111"/>
      <c r="P50" s="111"/>
      <c r="Q50" s="111"/>
      <c r="R50" s="111"/>
      <c r="Y50" s="110"/>
      <c r="Z50" s="110"/>
    </row>
    <row r="51" spans="2:26" s="108" customFormat="1">
      <c r="B51" s="109"/>
      <c r="C51" s="110"/>
      <c r="D51" s="109"/>
      <c r="E51" s="109"/>
      <c r="F51" s="97"/>
      <c r="G51" s="109"/>
      <c r="H51" s="109"/>
      <c r="I51" s="98"/>
      <c r="J51" s="98"/>
      <c r="K51" s="83"/>
      <c r="L51" s="110"/>
      <c r="M51" s="110"/>
      <c r="N51" s="110"/>
      <c r="O51" s="111"/>
      <c r="P51" s="111"/>
      <c r="Q51" s="111"/>
      <c r="R51" s="111"/>
      <c r="Y51" s="110"/>
      <c r="Z51" s="110"/>
    </row>
    <row r="52" spans="2:26" s="108" customFormat="1">
      <c r="B52" s="109"/>
      <c r="C52" s="110"/>
      <c r="D52" s="109"/>
      <c r="E52" s="109"/>
      <c r="F52" s="97"/>
      <c r="G52" s="109"/>
      <c r="H52" s="109"/>
      <c r="I52" s="98"/>
      <c r="J52" s="98"/>
      <c r="K52" s="83"/>
      <c r="L52" s="110"/>
      <c r="M52" s="110"/>
      <c r="N52" s="110"/>
      <c r="O52" s="111"/>
      <c r="P52" s="111"/>
      <c r="Q52" s="111"/>
      <c r="R52" s="111"/>
      <c r="Y52" s="110"/>
      <c r="Z52" s="110"/>
    </row>
    <row r="53" spans="2:26" s="108" customFormat="1">
      <c r="B53" s="109"/>
      <c r="C53" s="110"/>
      <c r="D53" s="109"/>
      <c r="E53" s="109"/>
      <c r="F53" s="97"/>
      <c r="G53" s="109"/>
      <c r="H53" s="109"/>
      <c r="I53" s="98"/>
      <c r="J53" s="98"/>
      <c r="K53" s="83"/>
      <c r="L53" s="110"/>
      <c r="M53" s="110"/>
      <c r="N53" s="110"/>
      <c r="O53" s="111"/>
      <c r="P53" s="111"/>
      <c r="Q53" s="111"/>
      <c r="R53" s="111"/>
      <c r="Y53" s="110"/>
      <c r="Z53" s="110"/>
    </row>
    <row r="54" spans="2:26" s="108" customFormat="1">
      <c r="B54" s="109"/>
      <c r="C54" s="110"/>
      <c r="D54" s="109"/>
      <c r="E54" s="109"/>
      <c r="F54" s="97"/>
      <c r="G54" s="109"/>
      <c r="H54" s="109"/>
      <c r="I54" s="98"/>
      <c r="J54" s="98"/>
      <c r="K54" s="83"/>
      <c r="L54" s="110"/>
      <c r="M54" s="110"/>
      <c r="N54" s="110"/>
      <c r="O54" s="111"/>
      <c r="P54" s="111"/>
      <c r="Q54" s="111"/>
      <c r="R54" s="111"/>
      <c r="Y54" s="110"/>
      <c r="Z54" s="110"/>
    </row>
    <row r="55" spans="2:26" s="108" customFormat="1">
      <c r="B55" s="109"/>
      <c r="C55" s="110"/>
      <c r="D55" s="109"/>
      <c r="E55" s="109"/>
      <c r="F55" s="97"/>
      <c r="G55" s="109"/>
      <c r="H55" s="109"/>
      <c r="I55" s="98"/>
      <c r="J55" s="98"/>
      <c r="K55" s="83"/>
      <c r="L55" s="110"/>
      <c r="M55" s="110"/>
      <c r="N55" s="110"/>
      <c r="O55" s="111"/>
      <c r="P55" s="111"/>
      <c r="Q55" s="111"/>
      <c r="R55" s="111"/>
      <c r="Y55" s="110"/>
      <c r="Z55" s="110"/>
    </row>
    <row r="56" spans="2:26" s="108" customFormat="1">
      <c r="B56" s="109"/>
      <c r="C56" s="110"/>
      <c r="D56" s="109"/>
      <c r="E56" s="109"/>
      <c r="F56" s="97"/>
      <c r="G56" s="109"/>
      <c r="H56" s="109"/>
      <c r="I56" s="98"/>
      <c r="J56" s="98"/>
      <c r="K56" s="83"/>
      <c r="L56" s="110"/>
      <c r="M56" s="110"/>
      <c r="N56" s="110"/>
      <c r="O56" s="111"/>
      <c r="P56" s="111"/>
      <c r="Q56" s="111"/>
      <c r="R56" s="111"/>
      <c r="Y56" s="110"/>
      <c r="Z56" s="110"/>
    </row>
    <row r="57" spans="2:26" s="108" customFormat="1">
      <c r="B57" s="109"/>
      <c r="C57" s="110"/>
      <c r="D57" s="109"/>
      <c r="E57" s="109"/>
      <c r="F57" s="97"/>
      <c r="G57" s="109"/>
      <c r="H57" s="109"/>
      <c r="I57" s="98"/>
      <c r="J57" s="98"/>
      <c r="K57" s="83"/>
      <c r="L57" s="110"/>
      <c r="M57" s="110"/>
      <c r="N57" s="110"/>
      <c r="O57" s="111"/>
      <c r="P57" s="111"/>
      <c r="Q57" s="111"/>
      <c r="R57" s="111"/>
      <c r="Y57" s="110"/>
      <c r="Z57" s="110"/>
    </row>
    <row r="58" spans="2:26" s="108" customFormat="1">
      <c r="B58" s="109"/>
      <c r="C58" s="110"/>
      <c r="D58" s="109"/>
      <c r="E58" s="109"/>
      <c r="F58" s="97"/>
      <c r="G58" s="109"/>
      <c r="H58" s="109"/>
      <c r="I58" s="98"/>
      <c r="J58" s="98"/>
      <c r="K58" s="83"/>
      <c r="L58" s="110"/>
      <c r="M58" s="110"/>
      <c r="N58" s="110"/>
      <c r="O58" s="111"/>
      <c r="P58" s="111"/>
      <c r="Q58" s="111"/>
      <c r="R58" s="111"/>
      <c r="Y58" s="110"/>
      <c r="Z58" s="110"/>
    </row>
    <row r="59" spans="2:26" s="108" customFormat="1">
      <c r="B59" s="109"/>
      <c r="C59" s="110"/>
      <c r="D59" s="109"/>
      <c r="E59" s="109"/>
      <c r="F59" s="97"/>
      <c r="G59" s="109"/>
      <c r="H59" s="109"/>
      <c r="I59" s="98"/>
      <c r="J59" s="98"/>
      <c r="K59" s="83"/>
      <c r="L59" s="110"/>
      <c r="M59" s="110"/>
      <c r="N59" s="110"/>
      <c r="O59" s="111"/>
      <c r="P59" s="111"/>
      <c r="Q59" s="111"/>
      <c r="R59" s="111"/>
      <c r="Y59" s="110"/>
      <c r="Z59" s="110"/>
    </row>
    <row r="60" spans="2:26" s="108" customFormat="1">
      <c r="B60" s="109"/>
      <c r="C60" s="110"/>
      <c r="D60" s="109"/>
      <c r="E60" s="109"/>
      <c r="F60" s="97"/>
      <c r="G60" s="109"/>
      <c r="H60" s="109"/>
      <c r="I60" s="98"/>
      <c r="J60" s="98"/>
      <c r="K60" s="83"/>
      <c r="L60" s="110"/>
      <c r="M60" s="110"/>
      <c r="N60" s="110"/>
      <c r="O60" s="111"/>
      <c r="P60" s="111"/>
      <c r="Q60" s="111"/>
      <c r="R60" s="111"/>
      <c r="Y60" s="110"/>
      <c r="Z60" s="110"/>
    </row>
    <row r="61" spans="2:26" s="108" customFormat="1">
      <c r="B61" s="109"/>
      <c r="C61" s="110"/>
      <c r="D61" s="109"/>
      <c r="E61" s="109"/>
      <c r="F61" s="97"/>
      <c r="G61" s="109"/>
      <c r="H61" s="109"/>
      <c r="I61" s="98"/>
      <c r="J61" s="98"/>
      <c r="K61" s="83"/>
      <c r="L61" s="110"/>
      <c r="M61" s="110"/>
      <c r="N61" s="110"/>
      <c r="O61" s="111"/>
      <c r="P61" s="111"/>
      <c r="Q61" s="111"/>
      <c r="R61" s="111"/>
      <c r="Y61" s="110"/>
      <c r="Z61" s="110"/>
    </row>
    <row r="62" spans="2:26" s="108" customFormat="1">
      <c r="B62" s="109"/>
      <c r="C62" s="110"/>
      <c r="D62" s="109"/>
      <c r="E62" s="109"/>
      <c r="F62" s="97"/>
      <c r="G62" s="109"/>
      <c r="H62" s="109"/>
      <c r="I62" s="98"/>
      <c r="J62" s="98"/>
      <c r="K62" s="83"/>
      <c r="L62" s="110"/>
      <c r="M62" s="110"/>
      <c r="N62" s="110"/>
      <c r="O62" s="111"/>
      <c r="P62" s="111"/>
      <c r="Q62" s="111"/>
      <c r="R62" s="111"/>
      <c r="Y62" s="110"/>
      <c r="Z62" s="110"/>
    </row>
    <row r="63" spans="2:26" s="108" customFormat="1">
      <c r="B63" s="109"/>
      <c r="C63" s="110"/>
      <c r="D63" s="109"/>
      <c r="E63" s="109"/>
      <c r="F63" s="97"/>
      <c r="G63" s="109"/>
      <c r="H63" s="109"/>
      <c r="I63" s="98"/>
      <c r="J63" s="98"/>
      <c r="K63" s="83"/>
      <c r="L63" s="110"/>
      <c r="M63" s="110"/>
      <c r="N63" s="110"/>
      <c r="O63" s="111"/>
      <c r="P63" s="111"/>
      <c r="Q63" s="111"/>
      <c r="R63" s="111"/>
      <c r="Y63" s="110"/>
      <c r="Z63" s="110"/>
    </row>
    <row r="64" spans="2:26" s="108" customFormat="1">
      <c r="B64" s="109"/>
      <c r="C64" s="110"/>
      <c r="D64" s="109"/>
      <c r="E64" s="109"/>
      <c r="F64" s="97"/>
      <c r="G64" s="109"/>
      <c r="H64" s="109"/>
      <c r="I64" s="98"/>
      <c r="J64" s="98"/>
      <c r="K64" s="83"/>
      <c r="L64" s="110"/>
      <c r="M64" s="110"/>
      <c r="N64" s="110"/>
      <c r="O64" s="111"/>
      <c r="P64" s="111"/>
      <c r="Q64" s="111"/>
      <c r="R64" s="111"/>
      <c r="Y64" s="110"/>
      <c r="Z64" s="110"/>
    </row>
    <row r="65" spans="2:26" s="108" customFormat="1">
      <c r="B65" s="109"/>
      <c r="C65" s="110"/>
      <c r="D65" s="109"/>
      <c r="E65" s="109"/>
      <c r="F65" s="97"/>
      <c r="G65" s="109"/>
      <c r="H65" s="109"/>
      <c r="I65" s="98"/>
      <c r="J65" s="98"/>
      <c r="K65" s="83"/>
      <c r="L65" s="110"/>
      <c r="M65" s="110"/>
      <c r="N65" s="110"/>
      <c r="O65" s="111"/>
      <c r="P65" s="111"/>
      <c r="Q65" s="111"/>
      <c r="R65" s="111"/>
      <c r="Y65" s="110"/>
      <c r="Z65" s="110"/>
    </row>
    <row r="66" spans="2:26" s="108" customFormat="1">
      <c r="B66" s="109"/>
      <c r="C66" s="110"/>
      <c r="D66" s="109"/>
      <c r="E66" s="109"/>
      <c r="F66" s="97"/>
      <c r="G66" s="109"/>
      <c r="H66" s="109"/>
      <c r="I66" s="98"/>
      <c r="J66" s="98"/>
      <c r="K66" s="83"/>
      <c r="L66" s="110"/>
      <c r="M66" s="110"/>
      <c r="N66" s="110"/>
      <c r="O66" s="111"/>
      <c r="P66" s="111"/>
      <c r="Q66" s="111"/>
      <c r="R66" s="111"/>
      <c r="Y66" s="110"/>
      <c r="Z66" s="110"/>
    </row>
    <row r="67" spans="2:26" s="108" customFormat="1">
      <c r="B67" s="109"/>
      <c r="C67" s="110"/>
      <c r="D67" s="109"/>
      <c r="E67" s="109"/>
      <c r="F67" s="97"/>
      <c r="G67" s="109"/>
      <c r="H67" s="109"/>
      <c r="I67" s="98"/>
      <c r="J67" s="98"/>
      <c r="K67" s="83"/>
      <c r="L67" s="110"/>
      <c r="M67" s="110"/>
      <c r="N67" s="110"/>
      <c r="O67" s="111"/>
      <c r="P67" s="111"/>
      <c r="Q67" s="111"/>
      <c r="R67" s="111"/>
      <c r="Y67" s="110"/>
      <c r="Z67" s="110"/>
    </row>
    <row r="68" spans="2:26" s="108" customFormat="1">
      <c r="B68" s="109"/>
      <c r="C68" s="110"/>
      <c r="D68" s="109"/>
      <c r="E68" s="109"/>
      <c r="F68" s="97"/>
      <c r="G68" s="109"/>
      <c r="H68" s="109"/>
      <c r="I68" s="98"/>
      <c r="J68" s="98"/>
      <c r="K68" s="83"/>
      <c r="L68" s="110"/>
      <c r="M68" s="110"/>
      <c r="N68" s="110"/>
      <c r="O68" s="111"/>
      <c r="P68" s="111"/>
      <c r="Q68" s="111"/>
      <c r="R68" s="111"/>
      <c r="Y68" s="110"/>
      <c r="Z68" s="110"/>
    </row>
    <row r="69" spans="2:26" s="108" customFormat="1">
      <c r="B69" s="109"/>
      <c r="C69" s="110"/>
      <c r="D69" s="109"/>
      <c r="E69" s="109"/>
      <c r="F69" s="97"/>
      <c r="G69" s="109"/>
      <c r="H69" s="109"/>
      <c r="I69" s="98"/>
      <c r="J69" s="98"/>
      <c r="K69" s="83"/>
      <c r="L69" s="110"/>
      <c r="M69" s="110"/>
      <c r="N69" s="110"/>
      <c r="O69" s="111"/>
      <c r="P69" s="111"/>
      <c r="Q69" s="111"/>
      <c r="R69" s="111"/>
      <c r="Y69" s="110"/>
      <c r="Z69" s="110"/>
    </row>
    <row r="70" spans="2:26" s="108" customFormat="1">
      <c r="B70" s="109"/>
      <c r="C70" s="110"/>
      <c r="D70" s="109"/>
      <c r="E70" s="109"/>
      <c r="F70" s="97"/>
      <c r="G70" s="109"/>
      <c r="H70" s="109"/>
      <c r="I70" s="98"/>
      <c r="J70" s="98"/>
      <c r="K70" s="83"/>
      <c r="L70" s="110"/>
      <c r="M70" s="110"/>
      <c r="N70" s="110"/>
      <c r="O70" s="111"/>
      <c r="P70" s="111"/>
      <c r="Q70" s="111"/>
      <c r="R70" s="111"/>
      <c r="Y70" s="110"/>
      <c r="Z70" s="110"/>
    </row>
    <row r="71" spans="2:26" s="108" customFormat="1">
      <c r="B71" s="109"/>
      <c r="C71" s="110"/>
      <c r="D71" s="109"/>
      <c r="E71" s="109"/>
      <c r="F71" s="97"/>
      <c r="G71" s="109"/>
      <c r="H71" s="109"/>
      <c r="I71" s="98"/>
      <c r="J71" s="98"/>
      <c r="K71" s="83"/>
      <c r="L71" s="110"/>
      <c r="M71" s="110"/>
      <c r="N71" s="110"/>
      <c r="O71" s="111"/>
      <c r="P71" s="111"/>
      <c r="Q71" s="111"/>
      <c r="R71" s="111"/>
      <c r="Y71" s="110"/>
      <c r="Z71" s="110"/>
    </row>
    <row r="72" spans="2:26" s="108" customFormat="1">
      <c r="B72" s="109"/>
      <c r="C72" s="110"/>
      <c r="D72" s="109"/>
      <c r="E72" s="109"/>
      <c r="F72" s="97"/>
      <c r="G72" s="109"/>
      <c r="H72" s="109"/>
      <c r="I72" s="98"/>
      <c r="J72" s="98"/>
      <c r="K72" s="83"/>
      <c r="L72" s="110"/>
      <c r="M72" s="110"/>
      <c r="N72" s="110"/>
      <c r="O72" s="111"/>
      <c r="P72" s="111"/>
      <c r="Q72" s="111"/>
      <c r="R72" s="111"/>
      <c r="Y72" s="110"/>
      <c r="Z72" s="110"/>
    </row>
    <row r="73" spans="2:26" s="108" customFormat="1">
      <c r="B73" s="109"/>
      <c r="C73" s="110"/>
      <c r="D73" s="109"/>
      <c r="E73" s="109"/>
      <c r="F73" s="97"/>
      <c r="G73" s="109"/>
      <c r="H73" s="109"/>
      <c r="I73" s="98"/>
      <c r="J73" s="98"/>
      <c r="K73" s="83"/>
      <c r="L73" s="110"/>
      <c r="M73" s="110"/>
      <c r="N73" s="110"/>
      <c r="O73" s="111"/>
      <c r="P73" s="111"/>
      <c r="Q73" s="111"/>
      <c r="R73" s="111"/>
      <c r="Y73" s="110"/>
      <c r="Z73" s="110"/>
    </row>
    <row r="74" spans="2:26" s="108" customFormat="1">
      <c r="B74" s="109"/>
      <c r="C74" s="110"/>
      <c r="D74" s="109"/>
      <c r="E74" s="109"/>
      <c r="F74" s="97"/>
      <c r="G74" s="109"/>
      <c r="H74" s="109"/>
      <c r="I74" s="98"/>
      <c r="J74" s="98"/>
      <c r="K74" s="83"/>
      <c r="L74" s="110"/>
      <c r="M74" s="110"/>
      <c r="N74" s="110"/>
      <c r="O74" s="111"/>
      <c r="P74" s="111"/>
      <c r="Q74" s="111"/>
      <c r="R74" s="111"/>
      <c r="Y74" s="110"/>
      <c r="Z74" s="110"/>
    </row>
    <row r="75" spans="2:26" s="108" customFormat="1">
      <c r="B75" s="109"/>
      <c r="C75" s="110"/>
      <c r="D75" s="109"/>
      <c r="E75" s="109"/>
      <c r="F75" s="97"/>
      <c r="G75" s="109"/>
      <c r="H75" s="109"/>
      <c r="I75" s="98"/>
      <c r="J75" s="98"/>
      <c r="K75" s="83"/>
      <c r="L75" s="110"/>
      <c r="M75" s="110"/>
      <c r="N75" s="110"/>
      <c r="O75" s="111"/>
      <c r="P75" s="111"/>
      <c r="Q75" s="111"/>
      <c r="R75" s="111"/>
      <c r="Y75" s="110"/>
      <c r="Z75" s="110"/>
    </row>
    <row r="76" spans="2:26" s="108" customFormat="1">
      <c r="B76" s="109"/>
      <c r="C76" s="110"/>
      <c r="D76" s="109"/>
      <c r="E76" s="109"/>
      <c r="F76" s="97"/>
      <c r="G76" s="109"/>
      <c r="H76" s="109"/>
      <c r="I76" s="98"/>
      <c r="J76" s="98"/>
      <c r="K76" s="83"/>
      <c r="L76" s="110"/>
      <c r="M76" s="110"/>
      <c r="N76" s="110"/>
      <c r="O76" s="111"/>
      <c r="P76" s="111"/>
      <c r="Q76" s="111"/>
      <c r="R76" s="111"/>
      <c r="Y76" s="110"/>
      <c r="Z76" s="110"/>
    </row>
    <row r="77" spans="2:26" s="108" customFormat="1">
      <c r="B77" s="109"/>
      <c r="C77" s="110"/>
      <c r="D77" s="109"/>
      <c r="E77" s="109"/>
      <c r="F77" s="97"/>
      <c r="G77" s="109"/>
      <c r="H77" s="109"/>
      <c r="I77" s="98"/>
      <c r="J77" s="98"/>
      <c r="K77" s="83"/>
      <c r="L77" s="110"/>
      <c r="M77" s="110"/>
      <c r="N77" s="110"/>
      <c r="O77" s="111"/>
      <c r="P77" s="111"/>
      <c r="Q77" s="111"/>
      <c r="R77" s="111"/>
      <c r="Y77" s="110"/>
      <c r="Z77" s="110"/>
    </row>
    <row r="78" spans="2:26" s="108" customFormat="1">
      <c r="B78" s="109"/>
      <c r="C78" s="110"/>
      <c r="D78" s="109"/>
      <c r="E78" s="109"/>
      <c r="F78" s="97"/>
      <c r="G78" s="109"/>
      <c r="H78" s="109"/>
      <c r="I78" s="98"/>
      <c r="J78" s="98"/>
      <c r="K78" s="83"/>
      <c r="L78" s="110"/>
      <c r="M78" s="110"/>
      <c r="N78" s="110"/>
      <c r="O78" s="111"/>
      <c r="P78" s="111"/>
      <c r="Q78" s="111"/>
      <c r="R78" s="111"/>
      <c r="Y78" s="110"/>
      <c r="Z78" s="110"/>
    </row>
    <row r="79" spans="2:26" s="108" customFormat="1">
      <c r="B79" s="109"/>
      <c r="C79" s="110"/>
      <c r="D79" s="109"/>
      <c r="E79" s="109"/>
      <c r="F79" s="97"/>
      <c r="G79" s="109"/>
      <c r="H79" s="109"/>
      <c r="I79" s="98"/>
      <c r="J79" s="98"/>
      <c r="K79" s="83"/>
      <c r="L79" s="110"/>
      <c r="M79" s="110"/>
      <c r="N79" s="110"/>
      <c r="O79" s="111"/>
      <c r="P79" s="111"/>
      <c r="Q79" s="111"/>
      <c r="R79" s="111"/>
      <c r="Y79" s="110"/>
      <c r="Z79" s="110"/>
    </row>
    <row r="80" spans="2:26" s="108" customFormat="1">
      <c r="B80" s="109"/>
      <c r="C80" s="110"/>
      <c r="D80" s="109"/>
      <c r="E80" s="109"/>
      <c r="F80" s="97"/>
      <c r="G80" s="109"/>
      <c r="H80" s="109"/>
      <c r="I80" s="98"/>
      <c r="J80" s="98"/>
      <c r="K80" s="83"/>
      <c r="L80" s="110"/>
      <c r="M80" s="110"/>
      <c r="N80" s="110"/>
      <c r="O80" s="111"/>
      <c r="P80" s="111"/>
      <c r="Q80" s="111"/>
      <c r="R80" s="111"/>
      <c r="Y80" s="110"/>
      <c r="Z80" s="110"/>
    </row>
    <row r="81" spans="2:26" s="108" customFormat="1">
      <c r="B81" s="109"/>
      <c r="C81" s="110"/>
      <c r="D81" s="109"/>
      <c r="E81" s="109"/>
      <c r="F81" s="97"/>
      <c r="G81" s="109"/>
      <c r="H81" s="109"/>
      <c r="I81" s="98"/>
      <c r="J81" s="98"/>
      <c r="K81" s="83"/>
      <c r="L81" s="110"/>
      <c r="M81" s="110"/>
      <c r="N81" s="110"/>
      <c r="O81" s="111"/>
      <c r="P81" s="111"/>
      <c r="Q81" s="111"/>
      <c r="R81" s="111"/>
      <c r="Y81" s="110"/>
      <c r="Z81" s="110"/>
    </row>
    <row r="82" spans="2:26" s="108" customFormat="1">
      <c r="B82" s="109"/>
      <c r="C82" s="110"/>
      <c r="D82" s="109"/>
      <c r="E82" s="109"/>
      <c r="F82" s="97"/>
      <c r="G82" s="109"/>
      <c r="H82" s="109"/>
      <c r="I82" s="98"/>
      <c r="J82" s="98"/>
      <c r="K82" s="83"/>
      <c r="L82" s="110"/>
      <c r="M82" s="110"/>
      <c r="N82" s="110"/>
      <c r="O82" s="111"/>
      <c r="P82" s="111"/>
      <c r="Q82" s="111"/>
      <c r="R82" s="111"/>
      <c r="Y82" s="110"/>
      <c r="Z82" s="110"/>
    </row>
    <row r="83" spans="2:26" s="108" customFormat="1">
      <c r="B83" s="109"/>
      <c r="C83" s="110"/>
      <c r="D83" s="109"/>
      <c r="E83" s="109"/>
      <c r="F83" s="97"/>
      <c r="G83" s="109"/>
      <c r="H83" s="109"/>
      <c r="I83" s="98"/>
      <c r="J83" s="98"/>
      <c r="K83" s="83"/>
      <c r="L83" s="110"/>
      <c r="M83" s="110"/>
      <c r="N83" s="110"/>
      <c r="O83" s="111"/>
      <c r="P83" s="111"/>
      <c r="Q83" s="111"/>
      <c r="R83" s="111"/>
      <c r="Y83" s="110"/>
      <c r="Z83" s="110"/>
    </row>
    <row r="84" spans="2:26" s="108" customFormat="1">
      <c r="B84" s="109"/>
      <c r="C84" s="110"/>
      <c r="D84" s="109"/>
      <c r="E84" s="109"/>
      <c r="F84" s="97"/>
      <c r="G84" s="109"/>
      <c r="H84" s="109"/>
      <c r="I84" s="98"/>
      <c r="J84" s="98"/>
      <c r="K84" s="83"/>
      <c r="L84" s="110"/>
      <c r="M84" s="110"/>
      <c r="N84" s="110"/>
      <c r="O84" s="111"/>
      <c r="P84" s="111"/>
      <c r="Q84" s="111"/>
      <c r="R84" s="111"/>
      <c r="Y84" s="110"/>
      <c r="Z84" s="110"/>
    </row>
    <row r="85" spans="2:26" s="108" customFormat="1">
      <c r="B85" s="109"/>
      <c r="C85" s="110"/>
      <c r="D85" s="109"/>
      <c r="E85" s="109"/>
      <c r="F85" s="97"/>
      <c r="G85" s="109"/>
      <c r="H85" s="109"/>
      <c r="I85" s="98"/>
      <c r="J85" s="98"/>
      <c r="K85" s="83"/>
      <c r="L85" s="110"/>
      <c r="M85" s="110"/>
      <c r="N85" s="110"/>
      <c r="O85" s="111"/>
      <c r="P85" s="111"/>
      <c r="Q85" s="111"/>
      <c r="R85" s="111"/>
      <c r="Y85" s="110"/>
      <c r="Z85" s="110"/>
    </row>
    <row r="86" spans="2:26" s="108" customFormat="1">
      <c r="B86" s="109"/>
      <c r="C86" s="110"/>
      <c r="D86" s="109"/>
      <c r="E86" s="109"/>
      <c r="F86" s="97"/>
      <c r="G86" s="109"/>
      <c r="H86" s="109"/>
      <c r="I86" s="98"/>
      <c r="J86" s="98"/>
      <c r="K86" s="83"/>
      <c r="L86" s="110"/>
      <c r="M86" s="110"/>
      <c r="N86" s="110"/>
      <c r="O86" s="111"/>
      <c r="P86" s="111"/>
      <c r="Q86" s="111"/>
      <c r="R86" s="111"/>
      <c r="Y86" s="110"/>
      <c r="Z86" s="110"/>
    </row>
    <row r="87" spans="2:26" s="108" customFormat="1">
      <c r="B87" s="109"/>
      <c r="C87" s="110"/>
      <c r="D87" s="109"/>
      <c r="E87" s="109"/>
      <c r="F87" s="97"/>
      <c r="G87" s="109"/>
      <c r="H87" s="109"/>
      <c r="I87" s="98"/>
      <c r="J87" s="98"/>
      <c r="K87" s="83"/>
      <c r="L87" s="110"/>
      <c r="M87" s="110"/>
      <c r="N87" s="110"/>
      <c r="O87" s="111"/>
      <c r="P87" s="111"/>
      <c r="Q87" s="111"/>
      <c r="R87" s="111"/>
      <c r="Y87" s="110"/>
      <c r="Z87" s="110"/>
    </row>
    <row r="88" spans="2:26" s="108" customFormat="1">
      <c r="B88" s="109"/>
      <c r="C88" s="110"/>
      <c r="D88" s="109"/>
      <c r="E88" s="109"/>
      <c r="F88" s="97"/>
      <c r="G88" s="109"/>
      <c r="H88" s="109"/>
      <c r="I88" s="98"/>
      <c r="J88" s="98"/>
      <c r="K88" s="83"/>
      <c r="L88" s="110"/>
      <c r="M88" s="110"/>
      <c r="N88" s="110"/>
      <c r="O88" s="111"/>
      <c r="P88" s="111"/>
      <c r="Q88" s="111"/>
      <c r="R88" s="111"/>
      <c r="Y88" s="110"/>
      <c r="Z88" s="110"/>
    </row>
    <row r="89" spans="2:26" s="108" customFormat="1">
      <c r="B89" s="109"/>
      <c r="C89" s="110"/>
      <c r="D89" s="109"/>
      <c r="E89" s="109"/>
      <c r="F89" s="97"/>
      <c r="G89" s="109"/>
      <c r="H89" s="109"/>
      <c r="I89" s="98"/>
      <c r="J89" s="98"/>
      <c r="K89" s="83"/>
      <c r="L89" s="110"/>
      <c r="M89" s="110"/>
      <c r="N89" s="110"/>
      <c r="O89" s="111"/>
      <c r="P89" s="111"/>
      <c r="Q89" s="111"/>
      <c r="R89" s="111"/>
      <c r="Y89" s="110"/>
      <c r="Z89" s="110"/>
    </row>
    <row r="90" spans="2:26" s="108" customFormat="1">
      <c r="B90" s="109"/>
      <c r="C90" s="110"/>
      <c r="D90" s="109"/>
      <c r="E90" s="109"/>
      <c r="F90" s="97"/>
      <c r="G90" s="109"/>
      <c r="H90" s="109"/>
      <c r="I90" s="98"/>
      <c r="J90" s="98"/>
      <c r="K90" s="83"/>
      <c r="L90" s="110"/>
      <c r="M90" s="110"/>
      <c r="N90" s="110"/>
      <c r="O90" s="111"/>
      <c r="P90" s="111"/>
      <c r="Q90" s="111"/>
      <c r="R90" s="111"/>
      <c r="Y90" s="110"/>
      <c r="Z90" s="110"/>
    </row>
    <row r="91" spans="2:26" s="108" customFormat="1">
      <c r="B91" s="109"/>
      <c r="C91" s="110"/>
      <c r="D91" s="109"/>
      <c r="E91" s="109"/>
      <c r="F91" s="97"/>
      <c r="G91" s="109"/>
      <c r="H91" s="109"/>
      <c r="I91" s="98"/>
      <c r="J91" s="98"/>
      <c r="K91" s="83"/>
      <c r="L91" s="110"/>
      <c r="M91" s="110"/>
      <c r="N91" s="110"/>
      <c r="O91" s="111"/>
      <c r="P91" s="111"/>
      <c r="Q91" s="111"/>
      <c r="R91" s="111"/>
      <c r="Y91" s="110"/>
      <c r="Z91" s="110"/>
    </row>
    <row r="92" spans="2:26" s="108" customFormat="1">
      <c r="B92" s="109"/>
      <c r="C92" s="110"/>
      <c r="D92" s="109"/>
      <c r="E92" s="109"/>
      <c r="F92" s="97"/>
      <c r="G92" s="109"/>
      <c r="H92" s="109"/>
      <c r="I92" s="98"/>
      <c r="J92" s="98"/>
      <c r="K92" s="83"/>
      <c r="L92" s="110"/>
      <c r="M92" s="110"/>
      <c r="N92" s="110"/>
      <c r="O92" s="111"/>
      <c r="P92" s="111"/>
      <c r="Q92" s="111"/>
      <c r="R92" s="111"/>
      <c r="Y92" s="110"/>
      <c r="Z92" s="110"/>
    </row>
    <row r="93" spans="2:26" s="108" customFormat="1">
      <c r="B93" s="109"/>
      <c r="C93" s="110"/>
      <c r="D93" s="109"/>
      <c r="E93" s="109"/>
      <c r="F93" s="97"/>
      <c r="G93" s="109"/>
      <c r="H93" s="109"/>
      <c r="I93" s="98"/>
      <c r="J93" s="98"/>
      <c r="K93" s="83"/>
      <c r="L93" s="110"/>
      <c r="M93" s="110"/>
      <c r="N93" s="110"/>
      <c r="O93" s="111"/>
      <c r="P93" s="111"/>
      <c r="Q93" s="111"/>
      <c r="R93" s="111"/>
      <c r="Y93" s="110"/>
      <c r="Z93" s="110"/>
    </row>
    <row r="94" spans="2:26" s="108" customFormat="1">
      <c r="B94" s="109"/>
      <c r="C94" s="110"/>
      <c r="D94" s="109"/>
      <c r="E94" s="109"/>
      <c r="F94" s="97"/>
      <c r="G94" s="109"/>
      <c r="H94" s="109"/>
      <c r="I94" s="98"/>
      <c r="J94" s="98"/>
      <c r="K94" s="83"/>
      <c r="L94" s="110"/>
      <c r="M94" s="110"/>
      <c r="N94" s="110"/>
      <c r="O94" s="111"/>
      <c r="P94" s="111"/>
      <c r="Q94" s="111"/>
      <c r="R94" s="111"/>
      <c r="Y94" s="110"/>
      <c r="Z94" s="110"/>
    </row>
    <row r="95" spans="2:26" s="108" customFormat="1">
      <c r="B95" s="109"/>
      <c r="C95" s="110"/>
      <c r="D95" s="109"/>
      <c r="E95" s="109"/>
      <c r="F95" s="97"/>
      <c r="G95" s="109"/>
      <c r="H95" s="109"/>
      <c r="I95" s="98"/>
      <c r="J95" s="98"/>
      <c r="K95" s="83"/>
      <c r="L95" s="110"/>
      <c r="M95" s="110"/>
      <c r="N95" s="110"/>
      <c r="O95" s="111"/>
      <c r="P95" s="111"/>
      <c r="Q95" s="111"/>
      <c r="R95" s="111"/>
      <c r="Y95" s="110"/>
      <c r="Z95" s="110"/>
    </row>
    <row r="96" spans="2:26" s="108" customFormat="1">
      <c r="B96" s="109"/>
      <c r="C96" s="110"/>
      <c r="D96" s="109"/>
      <c r="E96" s="109"/>
      <c r="F96" s="97"/>
      <c r="G96" s="109"/>
      <c r="H96" s="109"/>
      <c r="I96" s="98"/>
      <c r="J96" s="98"/>
      <c r="K96" s="83"/>
      <c r="L96" s="110"/>
      <c r="M96" s="110"/>
      <c r="N96" s="110"/>
      <c r="O96" s="111"/>
      <c r="P96" s="111"/>
      <c r="Q96" s="111"/>
      <c r="R96" s="111"/>
      <c r="Y96" s="110"/>
      <c r="Z96" s="110"/>
    </row>
    <row r="97" spans="2:26" s="108" customFormat="1">
      <c r="B97" s="109"/>
      <c r="C97" s="110"/>
      <c r="D97" s="109"/>
      <c r="E97" s="109"/>
      <c r="F97" s="97"/>
      <c r="G97" s="109"/>
      <c r="H97" s="109"/>
      <c r="I97" s="98"/>
      <c r="J97" s="98"/>
      <c r="K97" s="83"/>
      <c r="L97" s="110"/>
      <c r="M97" s="110"/>
      <c r="N97" s="110"/>
      <c r="O97" s="111"/>
      <c r="P97" s="111"/>
      <c r="Q97" s="111"/>
      <c r="R97" s="111"/>
      <c r="Y97" s="110"/>
      <c r="Z97" s="110"/>
    </row>
    <row r="98" spans="2:26" s="108" customFormat="1">
      <c r="B98" s="109"/>
      <c r="C98" s="110"/>
      <c r="D98" s="109"/>
      <c r="E98" s="109"/>
      <c r="F98" s="97"/>
      <c r="G98" s="109"/>
      <c r="H98" s="109"/>
      <c r="I98" s="98"/>
      <c r="J98" s="98"/>
      <c r="K98" s="83"/>
      <c r="L98" s="110"/>
      <c r="M98" s="110"/>
      <c r="N98" s="110"/>
      <c r="O98" s="111"/>
      <c r="P98" s="111"/>
      <c r="Q98" s="111"/>
      <c r="R98" s="111"/>
      <c r="Y98" s="110"/>
      <c r="Z98" s="110"/>
    </row>
    <row r="99" spans="2:26" s="108" customFormat="1">
      <c r="B99" s="109"/>
      <c r="C99" s="110"/>
      <c r="D99" s="109"/>
      <c r="E99" s="109"/>
      <c r="F99" s="97"/>
      <c r="G99" s="109"/>
      <c r="H99" s="109"/>
      <c r="I99" s="98"/>
      <c r="J99" s="98"/>
      <c r="K99" s="83"/>
      <c r="L99" s="110"/>
      <c r="M99" s="110"/>
      <c r="N99" s="110"/>
      <c r="O99" s="111"/>
      <c r="P99" s="111"/>
      <c r="Q99" s="111"/>
      <c r="R99" s="111"/>
      <c r="Y99" s="110"/>
      <c r="Z99" s="110"/>
    </row>
    <row r="100" spans="2:26" s="108" customFormat="1">
      <c r="B100" s="109"/>
      <c r="C100" s="110"/>
      <c r="D100" s="109"/>
      <c r="E100" s="109"/>
      <c r="F100" s="97"/>
      <c r="G100" s="109"/>
      <c r="H100" s="109"/>
      <c r="I100" s="98"/>
      <c r="J100" s="98"/>
      <c r="K100" s="83"/>
      <c r="L100" s="110"/>
      <c r="M100" s="110"/>
      <c r="N100" s="110"/>
      <c r="O100" s="111"/>
      <c r="P100" s="111"/>
      <c r="Q100" s="111"/>
      <c r="R100" s="111"/>
      <c r="Y100" s="110"/>
      <c r="Z100" s="110"/>
    </row>
    <row r="101" spans="2:26" s="108" customFormat="1">
      <c r="B101" s="109"/>
      <c r="C101" s="110"/>
      <c r="D101" s="109"/>
      <c r="E101" s="109"/>
      <c r="F101" s="97"/>
      <c r="G101" s="109"/>
      <c r="H101" s="109"/>
      <c r="I101" s="98"/>
      <c r="J101" s="98"/>
      <c r="K101" s="83"/>
      <c r="L101" s="110"/>
      <c r="M101" s="110"/>
      <c r="N101" s="110"/>
      <c r="O101" s="111"/>
      <c r="P101" s="111"/>
      <c r="Q101" s="111"/>
      <c r="R101" s="111"/>
      <c r="Y101" s="110"/>
      <c r="Z101" s="110"/>
    </row>
    <row r="102" spans="2:26" s="108" customFormat="1">
      <c r="B102" s="109"/>
      <c r="C102" s="110"/>
      <c r="D102" s="109"/>
      <c r="E102" s="109"/>
      <c r="F102" s="97"/>
      <c r="G102" s="109"/>
      <c r="H102" s="109"/>
      <c r="I102" s="98"/>
      <c r="J102" s="98"/>
      <c r="K102" s="83"/>
      <c r="L102" s="110"/>
      <c r="M102" s="110"/>
      <c r="N102" s="110"/>
      <c r="O102" s="111"/>
      <c r="P102" s="111"/>
      <c r="Q102" s="111"/>
      <c r="R102" s="111"/>
      <c r="Y102" s="110"/>
      <c r="Z102" s="110"/>
    </row>
    <row r="103" spans="2:26" s="108" customFormat="1">
      <c r="B103" s="109"/>
      <c r="C103" s="110"/>
      <c r="D103" s="109"/>
      <c r="E103" s="109"/>
      <c r="F103" s="97"/>
      <c r="G103" s="109"/>
      <c r="H103" s="109"/>
      <c r="I103" s="98"/>
      <c r="J103" s="98"/>
      <c r="K103" s="83"/>
      <c r="L103" s="110"/>
      <c r="M103" s="110"/>
      <c r="N103" s="110"/>
      <c r="O103" s="111"/>
      <c r="P103" s="111"/>
      <c r="Q103" s="111"/>
      <c r="R103" s="111"/>
      <c r="Y103" s="110"/>
      <c r="Z103" s="110"/>
    </row>
    <row r="104" spans="2:26" s="108" customFormat="1">
      <c r="B104" s="109"/>
      <c r="C104" s="110"/>
      <c r="D104" s="109"/>
      <c r="E104" s="109"/>
      <c r="F104" s="97"/>
      <c r="G104" s="109"/>
      <c r="H104" s="109"/>
      <c r="I104" s="98"/>
      <c r="J104" s="98"/>
      <c r="K104" s="83"/>
      <c r="L104" s="110"/>
      <c r="M104" s="110"/>
      <c r="N104" s="110"/>
      <c r="O104" s="111"/>
      <c r="P104" s="111"/>
      <c r="Q104" s="111"/>
      <c r="R104" s="111"/>
      <c r="Y104" s="110"/>
      <c r="Z104" s="110"/>
    </row>
    <row r="105" spans="2:26" s="108" customFormat="1">
      <c r="B105" s="109"/>
      <c r="C105" s="110"/>
      <c r="D105" s="109"/>
      <c r="E105" s="109"/>
      <c r="F105" s="97"/>
      <c r="G105" s="109"/>
      <c r="H105" s="109"/>
      <c r="I105" s="98"/>
      <c r="J105" s="98"/>
      <c r="K105" s="83"/>
      <c r="L105" s="110"/>
      <c r="M105" s="110"/>
      <c r="N105" s="110"/>
      <c r="O105" s="111"/>
      <c r="P105" s="111"/>
      <c r="Q105" s="111"/>
      <c r="R105" s="111"/>
      <c r="Y105" s="110"/>
      <c r="Z105" s="110"/>
    </row>
    <row r="106" spans="2:26" s="108" customFormat="1">
      <c r="B106" s="109"/>
      <c r="C106" s="110"/>
      <c r="D106" s="109"/>
      <c r="E106" s="109"/>
      <c r="F106" s="97"/>
      <c r="G106" s="109"/>
      <c r="H106" s="109"/>
      <c r="I106" s="98"/>
      <c r="J106" s="98"/>
      <c r="K106" s="83"/>
      <c r="L106" s="110"/>
      <c r="M106" s="110"/>
      <c r="N106" s="110"/>
      <c r="O106" s="111"/>
      <c r="P106" s="111"/>
      <c r="Q106" s="111"/>
      <c r="R106" s="111"/>
      <c r="Y106" s="110"/>
      <c r="Z106" s="110"/>
    </row>
    <row r="107" spans="2:26" s="108" customFormat="1">
      <c r="B107" s="109"/>
      <c r="C107" s="110"/>
      <c r="D107" s="109"/>
      <c r="E107" s="109"/>
      <c r="F107" s="97"/>
      <c r="G107" s="109"/>
      <c r="H107" s="109"/>
      <c r="I107" s="98"/>
      <c r="J107" s="98"/>
      <c r="K107" s="83"/>
      <c r="L107" s="110"/>
      <c r="M107" s="110"/>
      <c r="N107" s="110"/>
      <c r="O107" s="111"/>
      <c r="P107" s="111"/>
      <c r="Q107" s="111"/>
      <c r="R107" s="111"/>
      <c r="Y107" s="110"/>
      <c r="Z107" s="110"/>
    </row>
    <row r="108" spans="2:26" s="108" customFormat="1">
      <c r="B108" s="109"/>
      <c r="C108" s="110"/>
      <c r="D108" s="109"/>
      <c r="E108" s="109"/>
      <c r="F108" s="97"/>
      <c r="G108" s="109"/>
      <c r="H108" s="109"/>
      <c r="I108" s="98"/>
      <c r="J108" s="98"/>
      <c r="K108" s="83"/>
      <c r="L108" s="110"/>
      <c r="M108" s="110"/>
      <c r="N108" s="110"/>
      <c r="O108" s="111"/>
      <c r="P108" s="111"/>
      <c r="Q108" s="111"/>
      <c r="R108" s="111"/>
      <c r="Y108" s="110"/>
      <c r="Z108" s="110"/>
    </row>
    <row r="109" spans="2:26" s="108" customFormat="1">
      <c r="B109" s="109"/>
      <c r="C109" s="110"/>
      <c r="D109" s="109"/>
      <c r="E109" s="109"/>
      <c r="F109" s="97"/>
      <c r="G109" s="109"/>
      <c r="H109" s="109"/>
      <c r="I109" s="98"/>
      <c r="J109" s="98"/>
      <c r="K109" s="83"/>
      <c r="L109" s="110"/>
      <c r="M109" s="110"/>
      <c r="N109" s="110"/>
      <c r="O109" s="111"/>
      <c r="P109" s="111"/>
      <c r="Q109" s="111"/>
      <c r="R109" s="111"/>
      <c r="Y109" s="110"/>
      <c r="Z109" s="110"/>
    </row>
    <row r="110" spans="2:26" s="108" customFormat="1">
      <c r="B110" s="109"/>
      <c r="C110" s="110"/>
      <c r="D110" s="109"/>
      <c r="E110" s="109"/>
      <c r="F110" s="97"/>
      <c r="G110" s="109"/>
      <c r="H110" s="109"/>
      <c r="I110" s="98"/>
      <c r="J110" s="98"/>
      <c r="K110" s="83"/>
      <c r="L110" s="110"/>
      <c r="M110" s="110"/>
      <c r="N110" s="110"/>
      <c r="O110" s="111"/>
      <c r="P110" s="111"/>
      <c r="Q110" s="111"/>
      <c r="R110" s="111"/>
      <c r="Y110" s="110"/>
      <c r="Z110" s="110"/>
    </row>
    <row r="111" spans="2:26" s="108" customFormat="1">
      <c r="B111" s="109"/>
      <c r="C111" s="110"/>
      <c r="D111" s="109"/>
      <c r="E111" s="109"/>
      <c r="F111" s="97"/>
      <c r="G111" s="109"/>
      <c r="H111" s="109"/>
      <c r="I111" s="98"/>
      <c r="J111" s="98"/>
      <c r="K111" s="83"/>
      <c r="L111" s="110"/>
      <c r="M111" s="110"/>
      <c r="N111" s="110"/>
      <c r="O111" s="111"/>
      <c r="P111" s="111"/>
      <c r="Q111" s="111"/>
      <c r="R111" s="111"/>
      <c r="Y111" s="110"/>
      <c r="Z111" s="110"/>
    </row>
    <row r="112" spans="2:26" s="108" customFormat="1">
      <c r="B112" s="109"/>
      <c r="C112" s="110"/>
      <c r="D112" s="109"/>
      <c r="E112" s="109"/>
      <c r="F112" s="97"/>
      <c r="G112" s="109"/>
      <c r="H112" s="109"/>
      <c r="I112" s="98"/>
      <c r="J112" s="98"/>
      <c r="K112" s="83"/>
      <c r="L112" s="110"/>
      <c r="M112" s="110"/>
      <c r="N112" s="110"/>
      <c r="O112" s="111"/>
      <c r="P112" s="111"/>
      <c r="Q112" s="111"/>
      <c r="R112" s="111"/>
      <c r="Y112" s="110"/>
      <c r="Z112" s="110"/>
    </row>
    <row r="113" spans="2:26" s="108" customFormat="1">
      <c r="B113" s="109"/>
      <c r="C113" s="110"/>
      <c r="D113" s="109"/>
      <c r="E113" s="109"/>
      <c r="F113" s="97"/>
      <c r="G113" s="109"/>
      <c r="H113" s="109"/>
      <c r="I113" s="98"/>
      <c r="J113" s="98"/>
      <c r="K113" s="83"/>
      <c r="L113" s="110"/>
      <c r="M113" s="110"/>
      <c r="N113" s="110"/>
      <c r="O113" s="111"/>
      <c r="P113" s="111"/>
      <c r="Q113" s="111"/>
      <c r="R113" s="111"/>
      <c r="Y113" s="110"/>
      <c r="Z113" s="110"/>
    </row>
    <row r="114" spans="2:26" s="108" customFormat="1">
      <c r="B114" s="109"/>
      <c r="C114" s="110"/>
      <c r="D114" s="109"/>
      <c r="E114" s="109"/>
      <c r="F114" s="97"/>
      <c r="G114" s="109"/>
      <c r="H114" s="109"/>
      <c r="I114" s="98"/>
      <c r="J114" s="98"/>
      <c r="K114" s="83"/>
      <c r="L114" s="110"/>
      <c r="M114" s="110"/>
      <c r="N114" s="110"/>
      <c r="O114" s="111"/>
      <c r="P114" s="111"/>
      <c r="Q114" s="111"/>
      <c r="R114" s="111"/>
      <c r="Y114" s="110"/>
      <c r="Z114" s="110"/>
    </row>
    <row r="115" spans="2:26" s="108" customFormat="1">
      <c r="B115" s="109"/>
      <c r="C115" s="110"/>
      <c r="D115" s="109"/>
      <c r="E115" s="109"/>
      <c r="F115" s="97"/>
      <c r="G115" s="109"/>
      <c r="H115" s="109"/>
      <c r="I115" s="98"/>
      <c r="J115" s="98"/>
      <c r="K115" s="83"/>
      <c r="L115" s="110"/>
      <c r="M115" s="110"/>
      <c r="N115" s="110"/>
      <c r="O115" s="111"/>
      <c r="P115" s="111"/>
      <c r="Q115" s="111"/>
      <c r="R115" s="111"/>
      <c r="Y115" s="110"/>
      <c r="Z115" s="110"/>
    </row>
    <row r="116" spans="2:26" s="108" customFormat="1">
      <c r="B116" s="109"/>
      <c r="C116" s="110"/>
      <c r="D116" s="109"/>
      <c r="E116" s="109"/>
      <c r="F116" s="97"/>
      <c r="G116" s="109"/>
      <c r="H116" s="109"/>
      <c r="I116" s="98"/>
      <c r="J116" s="98"/>
      <c r="K116" s="83"/>
      <c r="L116" s="110"/>
      <c r="M116" s="110"/>
      <c r="N116" s="110"/>
      <c r="O116" s="111"/>
      <c r="P116" s="111"/>
      <c r="Q116" s="111"/>
      <c r="R116" s="111"/>
      <c r="Y116" s="110"/>
      <c r="Z116" s="110"/>
    </row>
    <row r="117" spans="2:26" s="108" customFormat="1">
      <c r="B117" s="109"/>
      <c r="C117" s="110"/>
      <c r="D117" s="109"/>
      <c r="E117" s="109"/>
      <c r="F117" s="97"/>
      <c r="G117" s="109"/>
      <c r="H117" s="109"/>
      <c r="I117" s="98"/>
      <c r="J117" s="98"/>
      <c r="K117" s="83"/>
      <c r="L117" s="110"/>
      <c r="M117" s="110"/>
      <c r="N117" s="110"/>
      <c r="O117" s="111"/>
      <c r="P117" s="111"/>
      <c r="Q117" s="111"/>
      <c r="R117" s="111"/>
      <c r="Y117" s="110"/>
      <c r="Z117" s="110"/>
    </row>
    <row r="118" spans="2:26" s="108" customFormat="1">
      <c r="B118" s="109"/>
      <c r="C118" s="110"/>
      <c r="D118" s="109"/>
      <c r="E118" s="109"/>
      <c r="F118" s="97"/>
      <c r="G118" s="109"/>
      <c r="H118" s="109"/>
      <c r="I118" s="98"/>
      <c r="J118" s="98"/>
      <c r="K118" s="83"/>
      <c r="L118" s="110"/>
      <c r="M118" s="110"/>
      <c r="N118" s="110"/>
      <c r="O118" s="111"/>
      <c r="P118" s="111"/>
      <c r="Q118" s="111"/>
      <c r="R118" s="111"/>
      <c r="Y118" s="110"/>
      <c r="Z118" s="110"/>
    </row>
    <row r="119" spans="2:26" s="108" customFormat="1">
      <c r="B119" s="109"/>
      <c r="C119" s="110"/>
      <c r="D119" s="109"/>
      <c r="E119" s="109"/>
      <c r="F119" s="97"/>
      <c r="G119" s="109"/>
      <c r="H119" s="109"/>
      <c r="I119" s="98"/>
      <c r="J119" s="98"/>
      <c r="K119" s="83"/>
      <c r="L119" s="110"/>
      <c r="M119" s="110"/>
      <c r="N119" s="110"/>
      <c r="O119" s="111"/>
      <c r="P119" s="111"/>
      <c r="Q119" s="111"/>
      <c r="R119" s="111"/>
      <c r="Y119" s="110"/>
      <c r="Z119" s="110"/>
    </row>
    <row r="120" spans="2:26" s="108" customFormat="1">
      <c r="B120" s="109"/>
      <c r="C120" s="110"/>
      <c r="D120" s="109"/>
      <c r="E120" s="109"/>
      <c r="F120" s="97"/>
      <c r="G120" s="109"/>
      <c r="H120" s="109"/>
      <c r="I120" s="98"/>
      <c r="J120" s="98"/>
      <c r="K120" s="83"/>
      <c r="L120" s="110"/>
      <c r="M120" s="110"/>
      <c r="N120" s="110"/>
      <c r="O120" s="111"/>
      <c r="P120" s="111"/>
      <c r="Q120" s="111"/>
      <c r="R120" s="111"/>
      <c r="Y120" s="110"/>
      <c r="Z120" s="110"/>
    </row>
    <row r="121" spans="2:26" s="108" customFormat="1">
      <c r="B121" s="109"/>
      <c r="C121" s="110"/>
      <c r="D121" s="109"/>
      <c r="E121" s="109"/>
      <c r="F121" s="97"/>
      <c r="G121" s="109"/>
      <c r="H121" s="109"/>
      <c r="I121" s="98"/>
      <c r="J121" s="98"/>
      <c r="K121" s="83"/>
      <c r="L121" s="110"/>
      <c r="M121" s="110"/>
      <c r="N121" s="110"/>
      <c r="O121" s="111"/>
      <c r="P121" s="111"/>
      <c r="Q121" s="111"/>
      <c r="R121" s="111"/>
      <c r="Y121" s="110"/>
      <c r="Z121" s="110"/>
    </row>
    <row r="122" spans="2:26" s="108" customFormat="1">
      <c r="B122" s="109"/>
      <c r="C122" s="110"/>
      <c r="D122" s="109"/>
      <c r="E122" s="109"/>
      <c r="F122" s="97"/>
      <c r="G122" s="109"/>
      <c r="H122" s="109"/>
      <c r="I122" s="98"/>
      <c r="J122" s="98"/>
      <c r="K122" s="83"/>
      <c r="L122" s="110"/>
      <c r="M122" s="110"/>
      <c r="N122" s="110"/>
      <c r="O122" s="111"/>
      <c r="P122" s="111"/>
      <c r="Q122" s="111"/>
      <c r="R122" s="111"/>
      <c r="Y122" s="110"/>
      <c r="Z122" s="110"/>
    </row>
    <row r="123" spans="2:26" s="108" customFormat="1">
      <c r="B123" s="109"/>
      <c r="C123" s="110"/>
      <c r="D123" s="109"/>
      <c r="E123" s="109"/>
      <c r="F123" s="97"/>
      <c r="G123" s="109"/>
      <c r="H123" s="109"/>
      <c r="I123" s="98"/>
      <c r="J123" s="98"/>
      <c r="K123" s="83"/>
      <c r="L123" s="110"/>
      <c r="M123" s="110"/>
      <c r="N123" s="110"/>
      <c r="O123" s="111"/>
      <c r="P123" s="111"/>
      <c r="Q123" s="111"/>
      <c r="R123" s="111"/>
      <c r="Y123" s="110"/>
      <c r="Z123" s="110"/>
    </row>
    <row r="124" spans="2:26" s="108" customFormat="1">
      <c r="B124" s="109"/>
      <c r="C124" s="110"/>
      <c r="D124" s="109"/>
      <c r="E124" s="109"/>
      <c r="F124" s="97"/>
      <c r="G124" s="109"/>
      <c r="H124" s="109"/>
      <c r="I124" s="98"/>
      <c r="J124" s="98"/>
      <c r="K124" s="83"/>
      <c r="L124" s="110"/>
      <c r="M124" s="110"/>
      <c r="N124" s="110"/>
      <c r="O124" s="111"/>
      <c r="P124" s="111"/>
      <c r="Q124" s="111"/>
      <c r="R124" s="111"/>
      <c r="Y124" s="110"/>
      <c r="Z124" s="110"/>
    </row>
    <row r="125" spans="2:26" s="108" customFormat="1">
      <c r="B125" s="109"/>
      <c r="C125" s="110"/>
      <c r="D125" s="109"/>
      <c r="E125" s="109"/>
      <c r="F125" s="97"/>
      <c r="G125" s="109"/>
      <c r="H125" s="109"/>
      <c r="I125" s="98"/>
      <c r="J125" s="98"/>
      <c r="K125" s="83"/>
      <c r="L125" s="110"/>
      <c r="M125" s="110"/>
      <c r="N125" s="110"/>
      <c r="O125" s="111"/>
      <c r="P125" s="111"/>
      <c r="Q125" s="111"/>
      <c r="R125" s="111"/>
      <c r="Y125" s="110"/>
      <c r="Z125" s="110"/>
    </row>
    <row r="126" spans="2:26" s="108" customFormat="1">
      <c r="B126" s="109"/>
      <c r="C126" s="110"/>
      <c r="D126" s="109"/>
      <c r="E126" s="109"/>
      <c r="F126" s="97"/>
      <c r="G126" s="109"/>
      <c r="H126" s="109"/>
      <c r="I126" s="98"/>
      <c r="J126" s="98"/>
      <c r="K126" s="83"/>
      <c r="L126" s="110"/>
      <c r="M126" s="110"/>
      <c r="N126" s="110"/>
      <c r="O126" s="111"/>
      <c r="P126" s="111"/>
      <c r="Q126" s="111"/>
      <c r="R126" s="111"/>
      <c r="Y126" s="110"/>
      <c r="Z126" s="110"/>
    </row>
    <row r="127" spans="2:26" s="108" customFormat="1">
      <c r="B127" s="109"/>
      <c r="C127" s="110"/>
      <c r="D127" s="109"/>
      <c r="E127" s="109"/>
      <c r="F127" s="97"/>
      <c r="G127" s="109"/>
      <c r="H127" s="109"/>
      <c r="I127" s="98"/>
      <c r="J127" s="98"/>
      <c r="K127" s="83"/>
      <c r="L127" s="110"/>
      <c r="M127" s="110"/>
      <c r="N127" s="110"/>
      <c r="O127" s="111"/>
      <c r="P127" s="111"/>
      <c r="Q127" s="111"/>
      <c r="R127" s="111"/>
      <c r="Y127" s="110"/>
      <c r="Z127" s="110"/>
    </row>
    <row r="128" spans="2:26" s="108" customFormat="1">
      <c r="B128" s="109"/>
      <c r="C128" s="110"/>
      <c r="D128" s="109"/>
      <c r="E128" s="109"/>
      <c r="F128" s="97"/>
      <c r="G128" s="109"/>
      <c r="H128" s="109"/>
      <c r="I128" s="98"/>
      <c r="J128" s="98"/>
      <c r="K128" s="83"/>
      <c r="L128" s="110"/>
      <c r="M128" s="110"/>
      <c r="N128" s="110"/>
      <c r="O128" s="111"/>
      <c r="P128" s="111"/>
      <c r="Q128" s="111"/>
      <c r="R128" s="111"/>
      <c r="Y128" s="110"/>
      <c r="Z128" s="110"/>
    </row>
    <row r="129" spans="2:26" s="108" customFormat="1">
      <c r="B129" s="109"/>
      <c r="C129" s="110"/>
      <c r="D129" s="109"/>
      <c r="E129" s="109"/>
      <c r="F129" s="97"/>
      <c r="G129" s="109"/>
      <c r="H129" s="109"/>
      <c r="I129" s="98"/>
      <c r="J129" s="98"/>
      <c r="K129" s="83"/>
      <c r="L129" s="110"/>
      <c r="M129" s="110"/>
      <c r="N129" s="110"/>
      <c r="O129" s="111"/>
      <c r="P129" s="111"/>
      <c r="Q129" s="111"/>
      <c r="R129" s="111"/>
      <c r="Y129" s="110"/>
      <c r="Z129" s="110"/>
    </row>
    <row r="130" spans="2:26" s="108" customFormat="1">
      <c r="B130" s="109"/>
      <c r="C130" s="110"/>
      <c r="D130" s="109"/>
      <c r="E130" s="109"/>
      <c r="F130" s="97"/>
      <c r="G130" s="109"/>
      <c r="H130" s="109"/>
      <c r="I130" s="98"/>
      <c r="J130" s="98"/>
      <c r="K130" s="83"/>
      <c r="L130" s="110"/>
      <c r="M130" s="110"/>
      <c r="N130" s="110"/>
      <c r="O130" s="111"/>
      <c r="P130" s="111"/>
      <c r="Q130" s="111"/>
      <c r="R130" s="111"/>
      <c r="Y130" s="110"/>
      <c r="Z130" s="110"/>
    </row>
    <row r="131" spans="2:26" s="108" customFormat="1">
      <c r="B131" s="109"/>
      <c r="C131" s="110"/>
      <c r="D131" s="109"/>
      <c r="E131" s="109"/>
      <c r="F131" s="97"/>
      <c r="G131" s="109"/>
      <c r="H131" s="109"/>
      <c r="I131" s="98"/>
      <c r="J131" s="98"/>
      <c r="K131" s="83"/>
      <c r="L131" s="110"/>
      <c r="M131" s="110"/>
      <c r="N131" s="110"/>
      <c r="O131" s="111"/>
      <c r="P131" s="111"/>
      <c r="Q131" s="111"/>
      <c r="R131" s="111"/>
      <c r="Y131" s="110"/>
      <c r="Z131" s="110"/>
    </row>
    <row r="132" spans="2:26" s="108" customFormat="1">
      <c r="B132" s="109"/>
      <c r="C132" s="110"/>
      <c r="D132" s="109"/>
      <c r="E132" s="109"/>
      <c r="F132" s="97"/>
      <c r="G132" s="109"/>
      <c r="H132" s="109"/>
      <c r="I132" s="98"/>
      <c r="J132" s="98"/>
      <c r="K132" s="83"/>
      <c r="L132" s="110"/>
      <c r="M132" s="110"/>
      <c r="N132" s="110"/>
      <c r="O132" s="111"/>
      <c r="P132" s="111"/>
      <c r="Q132" s="111"/>
      <c r="R132" s="111"/>
      <c r="Y132" s="110"/>
      <c r="Z132" s="110"/>
    </row>
    <row r="133" spans="2:26" s="108" customFormat="1">
      <c r="B133" s="109"/>
      <c r="C133" s="110"/>
      <c r="D133" s="109"/>
      <c r="E133" s="109"/>
      <c r="F133" s="97"/>
      <c r="G133" s="109"/>
      <c r="H133" s="109"/>
      <c r="I133" s="98"/>
      <c r="J133" s="98"/>
      <c r="K133" s="83"/>
      <c r="L133" s="110"/>
      <c r="M133" s="110"/>
      <c r="N133" s="110"/>
      <c r="O133" s="111"/>
      <c r="P133" s="111"/>
      <c r="Q133" s="111"/>
      <c r="R133" s="111"/>
      <c r="Y133" s="110"/>
      <c r="Z133" s="110"/>
    </row>
    <row r="134" spans="2:26" s="108" customFormat="1">
      <c r="B134" s="109"/>
      <c r="C134" s="110"/>
      <c r="D134" s="109"/>
      <c r="E134" s="109"/>
      <c r="F134" s="97"/>
      <c r="G134" s="109"/>
      <c r="H134" s="109"/>
      <c r="I134" s="98"/>
      <c r="J134" s="98"/>
      <c r="K134" s="83"/>
      <c r="L134" s="110"/>
      <c r="M134" s="110"/>
      <c r="N134" s="110"/>
      <c r="O134" s="111"/>
      <c r="P134" s="111"/>
      <c r="Q134" s="111"/>
      <c r="R134" s="111"/>
      <c r="Y134" s="110"/>
      <c r="Z134" s="110"/>
    </row>
    <row r="135" spans="2:26" s="108" customFormat="1">
      <c r="B135" s="109"/>
      <c r="C135" s="110"/>
      <c r="D135" s="109"/>
      <c r="E135" s="109"/>
      <c r="F135" s="97"/>
      <c r="G135" s="109"/>
      <c r="H135" s="109"/>
      <c r="I135" s="98"/>
      <c r="J135" s="98"/>
      <c r="K135" s="83"/>
      <c r="L135" s="110"/>
      <c r="M135" s="110"/>
      <c r="N135" s="110"/>
      <c r="O135" s="111"/>
      <c r="P135" s="111"/>
      <c r="Q135" s="111"/>
      <c r="R135" s="111"/>
      <c r="Y135" s="110"/>
      <c r="Z135" s="110"/>
    </row>
    <row r="136" spans="2:26" s="108" customFormat="1">
      <c r="B136" s="109"/>
      <c r="C136" s="110"/>
      <c r="D136" s="109"/>
      <c r="E136" s="109"/>
      <c r="F136" s="97"/>
      <c r="G136" s="109"/>
      <c r="H136" s="109"/>
      <c r="I136" s="98"/>
      <c r="J136" s="98"/>
      <c r="K136" s="83"/>
      <c r="L136" s="110"/>
      <c r="M136" s="110"/>
      <c r="N136" s="110"/>
      <c r="O136" s="111"/>
      <c r="P136" s="111"/>
      <c r="Q136" s="111"/>
      <c r="R136" s="111"/>
      <c r="Y136" s="110"/>
      <c r="Z136" s="110"/>
    </row>
    <row r="137" spans="2:26" s="108" customFormat="1">
      <c r="B137" s="109"/>
      <c r="C137" s="110"/>
      <c r="D137" s="109"/>
      <c r="E137" s="109"/>
      <c r="F137" s="97"/>
      <c r="G137" s="109"/>
      <c r="H137" s="109"/>
      <c r="I137" s="98"/>
      <c r="J137" s="98"/>
      <c r="K137" s="83"/>
      <c r="L137" s="110"/>
      <c r="M137" s="110"/>
      <c r="N137" s="110"/>
      <c r="O137" s="111"/>
      <c r="P137" s="111"/>
      <c r="Q137" s="111"/>
      <c r="R137" s="111"/>
      <c r="Y137" s="110"/>
      <c r="Z137" s="110"/>
    </row>
    <row r="138" spans="2:26" s="108" customFormat="1">
      <c r="B138" s="109"/>
      <c r="C138" s="110"/>
      <c r="D138" s="109"/>
      <c r="E138" s="109"/>
      <c r="F138" s="97"/>
      <c r="G138" s="109"/>
      <c r="H138" s="109"/>
      <c r="I138" s="98"/>
      <c r="J138" s="98"/>
      <c r="K138" s="83"/>
      <c r="L138" s="110"/>
      <c r="M138" s="110"/>
      <c r="N138" s="110"/>
      <c r="O138" s="111"/>
      <c r="P138" s="111"/>
      <c r="Q138" s="111"/>
      <c r="R138" s="111"/>
      <c r="Y138" s="110"/>
      <c r="Z138" s="110"/>
    </row>
    <row r="139" spans="2:26" s="108" customFormat="1">
      <c r="B139" s="109"/>
      <c r="C139" s="110"/>
      <c r="D139" s="109"/>
      <c r="E139" s="109"/>
      <c r="F139" s="97"/>
      <c r="G139" s="109"/>
      <c r="H139" s="109"/>
      <c r="I139" s="98"/>
      <c r="J139" s="98"/>
      <c r="K139" s="83"/>
      <c r="L139" s="110"/>
      <c r="M139" s="110"/>
      <c r="N139" s="110"/>
      <c r="O139" s="111"/>
      <c r="P139" s="111"/>
      <c r="Q139" s="111"/>
      <c r="R139" s="111"/>
      <c r="Y139" s="110"/>
      <c r="Z139" s="110"/>
    </row>
    <row r="140" spans="2:26" s="108" customFormat="1">
      <c r="B140" s="109"/>
      <c r="C140" s="110"/>
      <c r="D140" s="109"/>
      <c r="E140" s="109"/>
      <c r="F140" s="97"/>
      <c r="G140" s="109"/>
      <c r="H140" s="109"/>
      <c r="I140" s="98"/>
      <c r="J140" s="98"/>
      <c r="K140" s="83"/>
      <c r="L140" s="110"/>
      <c r="M140" s="110"/>
      <c r="N140" s="110"/>
      <c r="O140" s="111"/>
      <c r="P140" s="111"/>
      <c r="Q140" s="111"/>
      <c r="R140" s="111"/>
      <c r="Y140" s="110"/>
      <c r="Z140" s="110"/>
    </row>
    <row r="141" spans="2:26" s="108" customFormat="1">
      <c r="B141" s="109"/>
      <c r="C141" s="110"/>
      <c r="D141" s="109"/>
      <c r="E141" s="109"/>
      <c r="F141" s="97"/>
      <c r="G141" s="109"/>
      <c r="H141" s="109"/>
      <c r="I141" s="98"/>
      <c r="J141" s="98"/>
      <c r="K141" s="83"/>
      <c r="L141" s="110"/>
      <c r="M141" s="110"/>
      <c r="N141" s="110"/>
      <c r="O141" s="111"/>
      <c r="P141" s="111"/>
      <c r="Q141" s="111"/>
      <c r="R141" s="111"/>
      <c r="Y141" s="110"/>
      <c r="Z141" s="110"/>
    </row>
    <row r="142" spans="2:26" s="108" customFormat="1">
      <c r="B142" s="109"/>
      <c r="C142" s="110"/>
      <c r="D142" s="109"/>
      <c r="E142" s="109"/>
      <c r="F142" s="97"/>
      <c r="G142" s="109"/>
      <c r="H142" s="109"/>
      <c r="I142" s="98"/>
      <c r="J142" s="98"/>
      <c r="K142" s="83"/>
      <c r="L142" s="110"/>
      <c r="M142" s="110"/>
      <c r="N142" s="110"/>
      <c r="O142" s="111"/>
      <c r="P142" s="111"/>
      <c r="Q142" s="111"/>
      <c r="R142" s="111"/>
      <c r="Y142" s="110"/>
      <c r="Z142" s="110"/>
    </row>
    <row r="143" spans="2:26" s="108" customFormat="1">
      <c r="B143" s="109"/>
      <c r="C143" s="110"/>
      <c r="D143" s="109"/>
      <c r="E143" s="109"/>
      <c r="F143" s="97"/>
      <c r="G143" s="109"/>
      <c r="H143" s="109"/>
      <c r="I143" s="98"/>
      <c r="J143" s="98"/>
      <c r="K143" s="83"/>
      <c r="L143" s="110"/>
      <c r="M143" s="110"/>
      <c r="N143" s="110"/>
      <c r="O143" s="111"/>
      <c r="P143" s="111"/>
      <c r="Q143" s="111"/>
      <c r="R143" s="111"/>
      <c r="Y143" s="110"/>
      <c r="Z143" s="110"/>
    </row>
    <row r="144" spans="2:26" s="108" customFormat="1">
      <c r="B144" s="109"/>
      <c r="C144" s="110"/>
      <c r="D144" s="109"/>
      <c r="E144" s="109"/>
      <c r="F144" s="97"/>
      <c r="G144" s="109"/>
      <c r="H144" s="109"/>
      <c r="I144" s="98"/>
      <c r="J144" s="98"/>
      <c r="K144" s="83"/>
      <c r="L144" s="110"/>
      <c r="M144" s="110"/>
      <c r="N144" s="110"/>
      <c r="O144" s="111"/>
      <c r="P144" s="111"/>
      <c r="Q144" s="111"/>
      <c r="R144" s="111"/>
      <c r="Y144" s="110"/>
      <c r="Z144" s="110"/>
    </row>
    <row r="145" spans="2:26" s="108" customFormat="1">
      <c r="B145" s="109"/>
      <c r="C145" s="110"/>
      <c r="D145" s="109"/>
      <c r="E145" s="109"/>
      <c r="F145" s="97"/>
      <c r="G145" s="109"/>
      <c r="H145" s="109"/>
      <c r="I145" s="98"/>
      <c r="J145" s="98"/>
      <c r="K145" s="83"/>
      <c r="L145" s="110"/>
      <c r="M145" s="110"/>
      <c r="N145" s="110"/>
      <c r="O145" s="111"/>
      <c r="P145" s="111"/>
      <c r="Q145" s="111"/>
      <c r="R145" s="111"/>
      <c r="Y145" s="110"/>
      <c r="Z145" s="110"/>
    </row>
    <row r="146" spans="2:26" s="108" customFormat="1">
      <c r="B146" s="109"/>
      <c r="C146" s="110"/>
      <c r="D146" s="109"/>
      <c r="E146" s="109"/>
      <c r="F146" s="97"/>
      <c r="G146" s="109"/>
      <c r="H146" s="109"/>
      <c r="I146" s="98"/>
      <c r="J146" s="98"/>
      <c r="K146" s="83"/>
      <c r="L146" s="110"/>
      <c r="M146" s="110"/>
      <c r="N146" s="110"/>
      <c r="O146" s="111"/>
      <c r="P146" s="111"/>
      <c r="Q146" s="111"/>
      <c r="R146" s="111"/>
      <c r="Y146" s="110"/>
      <c r="Z146" s="110"/>
    </row>
    <row r="147" spans="2:26" s="108" customFormat="1">
      <c r="B147" s="109"/>
      <c r="C147" s="110"/>
      <c r="D147" s="109"/>
      <c r="E147" s="109"/>
      <c r="F147" s="97"/>
      <c r="G147" s="109"/>
      <c r="H147" s="109"/>
      <c r="I147" s="98"/>
      <c r="J147" s="98"/>
      <c r="K147" s="83"/>
      <c r="L147" s="110"/>
      <c r="M147" s="110"/>
      <c r="N147" s="110"/>
      <c r="O147" s="111"/>
      <c r="P147" s="111"/>
      <c r="Q147" s="111"/>
      <c r="R147" s="111"/>
      <c r="Y147" s="110"/>
      <c r="Z147" s="110"/>
    </row>
    <row r="148" spans="2:26" s="108" customFormat="1">
      <c r="B148" s="109"/>
      <c r="C148" s="110"/>
      <c r="D148" s="109"/>
      <c r="E148" s="109"/>
      <c r="F148" s="97"/>
      <c r="G148" s="109"/>
      <c r="H148" s="109"/>
      <c r="I148" s="98"/>
      <c r="J148" s="98"/>
      <c r="K148" s="83"/>
      <c r="L148" s="110"/>
      <c r="M148" s="110"/>
      <c r="N148" s="110"/>
      <c r="O148" s="111"/>
      <c r="P148" s="111"/>
      <c r="Q148" s="111"/>
      <c r="R148" s="111"/>
      <c r="Y148" s="110"/>
      <c r="Z148" s="110"/>
    </row>
    <row r="149" spans="2:26" s="108" customFormat="1">
      <c r="B149" s="109"/>
      <c r="C149" s="110"/>
      <c r="D149" s="109"/>
      <c r="E149" s="109"/>
      <c r="F149" s="97"/>
      <c r="G149" s="109"/>
      <c r="H149" s="109"/>
      <c r="I149" s="98"/>
      <c r="J149" s="98"/>
      <c r="K149" s="83"/>
      <c r="L149" s="110"/>
      <c r="M149" s="110"/>
      <c r="N149" s="110"/>
      <c r="O149" s="111"/>
      <c r="P149" s="111"/>
      <c r="Q149" s="111"/>
      <c r="R149" s="111"/>
      <c r="Y149" s="110"/>
      <c r="Z149" s="110"/>
    </row>
    <row r="150" spans="2:26" s="108" customFormat="1">
      <c r="B150" s="109"/>
      <c r="C150" s="110"/>
      <c r="D150" s="109"/>
      <c r="E150" s="109"/>
      <c r="F150" s="97"/>
      <c r="G150" s="109"/>
      <c r="H150" s="109"/>
      <c r="I150" s="98"/>
      <c r="J150" s="98"/>
      <c r="K150" s="83"/>
      <c r="L150" s="110"/>
      <c r="M150" s="110"/>
      <c r="N150" s="110"/>
      <c r="O150" s="111"/>
      <c r="P150" s="111"/>
      <c r="Q150" s="111"/>
      <c r="R150" s="111"/>
      <c r="Y150" s="110"/>
      <c r="Z150" s="110"/>
    </row>
    <row r="151" spans="2:26" s="108" customFormat="1">
      <c r="B151" s="109"/>
      <c r="C151" s="110"/>
      <c r="D151" s="109"/>
      <c r="E151" s="109"/>
      <c r="F151" s="97"/>
      <c r="G151" s="109"/>
      <c r="H151" s="109"/>
      <c r="I151" s="98"/>
      <c r="J151" s="98"/>
      <c r="K151" s="83"/>
      <c r="L151" s="110"/>
      <c r="M151" s="110"/>
      <c r="N151" s="110"/>
      <c r="O151" s="111"/>
      <c r="P151" s="111"/>
      <c r="Q151" s="111"/>
      <c r="R151" s="111"/>
      <c r="Y151" s="110"/>
      <c r="Z151" s="110"/>
    </row>
    <row r="152" spans="2:26" s="108" customFormat="1">
      <c r="B152" s="109"/>
      <c r="C152" s="110"/>
      <c r="D152" s="109"/>
      <c r="E152" s="109"/>
      <c r="F152" s="97"/>
      <c r="G152" s="109"/>
      <c r="H152" s="109"/>
      <c r="I152" s="98"/>
      <c r="J152" s="98"/>
      <c r="K152" s="83"/>
      <c r="L152" s="110"/>
      <c r="M152" s="110"/>
      <c r="N152" s="110"/>
      <c r="O152" s="111"/>
      <c r="P152" s="111"/>
      <c r="Q152" s="111"/>
      <c r="R152" s="111"/>
      <c r="Y152" s="110"/>
      <c r="Z152" s="110"/>
    </row>
    <row r="153" spans="2:26" s="108" customFormat="1">
      <c r="B153" s="109"/>
      <c r="C153" s="110"/>
      <c r="D153" s="109"/>
      <c r="E153" s="109"/>
      <c r="F153" s="97"/>
      <c r="G153" s="109"/>
      <c r="H153" s="109"/>
      <c r="I153" s="98"/>
      <c r="J153" s="98"/>
      <c r="K153" s="83"/>
      <c r="L153" s="110"/>
      <c r="M153" s="110"/>
      <c r="N153" s="110"/>
      <c r="O153" s="111"/>
      <c r="P153" s="111"/>
      <c r="Q153" s="111"/>
      <c r="R153" s="111"/>
      <c r="Y153" s="110"/>
      <c r="Z153" s="110"/>
    </row>
    <row r="154" spans="2:26" s="108" customFormat="1">
      <c r="B154" s="109"/>
      <c r="C154" s="110"/>
      <c r="D154" s="109"/>
      <c r="E154" s="109"/>
      <c r="F154" s="97"/>
      <c r="G154" s="109"/>
      <c r="H154" s="109"/>
      <c r="I154" s="98"/>
      <c r="J154" s="98"/>
      <c r="K154" s="83"/>
      <c r="L154" s="110"/>
      <c r="M154" s="110"/>
      <c r="N154" s="110"/>
      <c r="O154" s="111"/>
      <c r="P154" s="111"/>
      <c r="Q154" s="111"/>
      <c r="R154" s="111"/>
      <c r="Y154" s="110"/>
      <c r="Z154" s="110"/>
    </row>
    <row r="155" spans="2:26" s="108" customFormat="1">
      <c r="B155" s="109"/>
      <c r="C155" s="110"/>
      <c r="D155" s="109"/>
      <c r="E155" s="109"/>
      <c r="F155" s="97"/>
      <c r="G155" s="109"/>
      <c r="H155" s="109"/>
      <c r="I155" s="98"/>
      <c r="J155" s="98"/>
      <c r="K155" s="83"/>
      <c r="L155" s="110"/>
      <c r="M155" s="110"/>
      <c r="N155" s="110"/>
      <c r="O155" s="111"/>
      <c r="P155" s="111"/>
      <c r="Q155" s="111"/>
      <c r="R155" s="111"/>
      <c r="Y155" s="110"/>
      <c r="Z155" s="110"/>
    </row>
    <row r="156" spans="2:26" s="108" customFormat="1">
      <c r="B156" s="109"/>
      <c r="C156" s="110"/>
      <c r="D156" s="109"/>
      <c r="E156" s="109"/>
      <c r="F156" s="97"/>
      <c r="G156" s="109"/>
      <c r="H156" s="109"/>
      <c r="I156" s="98"/>
      <c r="J156" s="98"/>
      <c r="K156" s="83"/>
      <c r="L156" s="110"/>
      <c r="M156" s="110"/>
      <c r="N156" s="110"/>
      <c r="O156" s="111"/>
      <c r="P156" s="111"/>
      <c r="Q156" s="111"/>
      <c r="R156" s="111"/>
      <c r="Y156" s="110"/>
      <c r="Z156" s="110"/>
    </row>
    <row r="157" spans="2:26" s="108" customFormat="1">
      <c r="B157" s="109"/>
      <c r="C157" s="110"/>
      <c r="D157" s="109"/>
      <c r="E157" s="109"/>
      <c r="F157" s="97"/>
      <c r="G157" s="109"/>
      <c r="H157" s="109"/>
      <c r="I157" s="98"/>
      <c r="J157" s="98"/>
      <c r="K157" s="83"/>
      <c r="L157" s="110"/>
      <c r="M157" s="110"/>
      <c r="N157" s="110"/>
      <c r="O157" s="111"/>
      <c r="P157" s="111"/>
      <c r="Q157" s="111"/>
      <c r="R157" s="111"/>
      <c r="Y157" s="110"/>
      <c r="Z157" s="110"/>
    </row>
    <row r="158" spans="2:26" s="108" customFormat="1">
      <c r="B158" s="109"/>
      <c r="C158" s="110"/>
      <c r="D158" s="109"/>
      <c r="E158" s="109"/>
      <c r="F158" s="97"/>
      <c r="G158" s="109"/>
      <c r="H158" s="109"/>
      <c r="I158" s="98"/>
      <c r="J158" s="98"/>
      <c r="K158" s="83"/>
      <c r="L158" s="110"/>
      <c r="M158" s="110"/>
      <c r="N158" s="110"/>
      <c r="O158" s="111"/>
      <c r="P158" s="111"/>
      <c r="Q158" s="111"/>
      <c r="R158" s="111"/>
      <c r="Y158" s="110"/>
      <c r="Z158" s="110"/>
    </row>
    <row r="159" spans="2:26" s="108" customFormat="1">
      <c r="B159" s="109"/>
      <c r="C159" s="110"/>
      <c r="D159" s="109"/>
      <c r="E159" s="109"/>
      <c r="F159" s="97"/>
      <c r="G159" s="109"/>
      <c r="H159" s="109"/>
      <c r="I159" s="98"/>
      <c r="J159" s="98"/>
      <c r="K159" s="83"/>
      <c r="L159" s="110"/>
      <c r="M159" s="110"/>
      <c r="N159" s="110"/>
      <c r="O159" s="111"/>
      <c r="P159" s="111"/>
      <c r="Q159" s="111"/>
      <c r="R159" s="111"/>
      <c r="Y159" s="110"/>
      <c r="Z159" s="110"/>
    </row>
    <row r="160" spans="2:26" s="108" customFormat="1">
      <c r="B160" s="109"/>
      <c r="C160" s="110"/>
      <c r="D160" s="109"/>
      <c r="E160" s="109"/>
      <c r="F160" s="97"/>
      <c r="G160" s="109"/>
      <c r="H160" s="109"/>
      <c r="I160" s="98"/>
      <c r="J160" s="98"/>
      <c r="K160" s="83"/>
      <c r="L160" s="110"/>
      <c r="M160" s="110"/>
      <c r="N160" s="110"/>
      <c r="O160" s="111"/>
      <c r="P160" s="111"/>
      <c r="Q160" s="111"/>
      <c r="R160" s="111"/>
      <c r="Y160" s="110"/>
      <c r="Z160" s="110"/>
    </row>
    <row r="161" spans="2:26" s="108" customFormat="1">
      <c r="B161" s="109"/>
      <c r="C161" s="110"/>
      <c r="D161" s="109"/>
      <c r="E161" s="109"/>
      <c r="F161" s="97"/>
      <c r="G161" s="109"/>
      <c r="H161" s="109"/>
      <c r="I161" s="98"/>
      <c r="J161" s="98"/>
      <c r="K161" s="83"/>
      <c r="L161" s="110"/>
      <c r="M161" s="110"/>
      <c r="N161" s="110"/>
      <c r="O161" s="111"/>
      <c r="P161" s="111"/>
      <c r="Q161" s="111"/>
      <c r="R161" s="111"/>
      <c r="Y161" s="110"/>
      <c r="Z161" s="110"/>
    </row>
    <row r="162" spans="2:26" s="108" customFormat="1">
      <c r="B162" s="109"/>
      <c r="C162" s="110"/>
      <c r="D162" s="109"/>
      <c r="E162" s="109"/>
      <c r="F162" s="97"/>
      <c r="G162" s="109"/>
      <c r="H162" s="109"/>
      <c r="I162" s="98"/>
      <c r="J162" s="98"/>
      <c r="K162" s="83"/>
      <c r="L162" s="110"/>
      <c r="M162" s="110"/>
      <c r="N162" s="110"/>
      <c r="O162" s="111"/>
      <c r="P162" s="111"/>
      <c r="Q162" s="111"/>
      <c r="R162" s="111"/>
      <c r="Y162" s="110"/>
      <c r="Z162" s="110"/>
    </row>
    <row r="163" spans="2:26" s="108" customFormat="1">
      <c r="B163" s="109"/>
      <c r="C163" s="110"/>
      <c r="D163" s="109"/>
      <c r="E163" s="109"/>
      <c r="F163" s="97"/>
      <c r="G163" s="109"/>
      <c r="H163" s="109"/>
      <c r="I163" s="98"/>
      <c r="J163" s="98"/>
      <c r="K163" s="83"/>
      <c r="L163" s="110"/>
      <c r="M163" s="110"/>
      <c r="N163" s="110"/>
      <c r="O163" s="111"/>
      <c r="P163" s="111"/>
      <c r="Q163" s="111"/>
      <c r="R163" s="111"/>
      <c r="Y163" s="110"/>
      <c r="Z163" s="110"/>
    </row>
    <row r="164" spans="2:26" s="108" customFormat="1">
      <c r="B164" s="109"/>
      <c r="C164" s="110"/>
      <c r="D164" s="109"/>
      <c r="E164" s="109"/>
      <c r="F164" s="97"/>
      <c r="G164" s="109"/>
      <c r="H164" s="109"/>
      <c r="I164" s="98"/>
      <c r="J164" s="98"/>
      <c r="K164" s="83"/>
      <c r="L164" s="110"/>
      <c r="M164" s="110"/>
      <c r="N164" s="110"/>
      <c r="O164" s="111"/>
      <c r="P164" s="111"/>
      <c r="Q164" s="111"/>
      <c r="R164" s="111"/>
      <c r="Y164" s="110"/>
      <c r="Z164" s="110"/>
    </row>
    <row r="165" spans="2:26" s="108" customFormat="1">
      <c r="B165" s="109"/>
      <c r="C165" s="110"/>
      <c r="D165" s="109"/>
      <c r="E165" s="109"/>
      <c r="F165" s="97"/>
      <c r="G165" s="109"/>
      <c r="H165" s="109"/>
      <c r="I165" s="98"/>
      <c r="J165" s="98"/>
      <c r="K165" s="83"/>
      <c r="L165" s="110"/>
      <c r="M165" s="110"/>
      <c r="N165" s="110"/>
      <c r="O165" s="111"/>
      <c r="P165" s="111"/>
      <c r="Q165" s="111"/>
      <c r="R165" s="111"/>
      <c r="Y165" s="110"/>
      <c r="Z165" s="110"/>
    </row>
    <row r="166" spans="2:26" s="108" customFormat="1">
      <c r="B166" s="109"/>
      <c r="C166" s="110"/>
      <c r="D166" s="109"/>
      <c r="E166" s="109"/>
      <c r="F166" s="97"/>
      <c r="G166" s="109"/>
      <c r="H166" s="109"/>
      <c r="I166" s="98"/>
      <c r="J166" s="98"/>
      <c r="K166" s="83"/>
      <c r="L166" s="110"/>
      <c r="M166" s="110"/>
      <c r="N166" s="110"/>
      <c r="O166" s="111"/>
      <c r="P166" s="111"/>
      <c r="Q166" s="111"/>
      <c r="R166" s="111"/>
      <c r="Y166" s="110"/>
      <c r="Z166" s="110"/>
    </row>
    <row r="167" spans="2:26" s="108" customFormat="1">
      <c r="B167" s="109"/>
      <c r="C167" s="110"/>
      <c r="D167" s="109"/>
      <c r="E167" s="109"/>
      <c r="F167" s="97"/>
      <c r="G167" s="109"/>
      <c r="H167" s="109"/>
      <c r="I167" s="98"/>
      <c r="J167" s="98"/>
      <c r="K167" s="83"/>
      <c r="L167" s="110"/>
      <c r="M167" s="110"/>
      <c r="N167" s="110"/>
      <c r="O167" s="111"/>
      <c r="P167" s="111"/>
      <c r="Q167" s="111"/>
      <c r="R167" s="111"/>
      <c r="Y167" s="110"/>
      <c r="Z167" s="110"/>
    </row>
    <row r="168" spans="2:26" s="108" customFormat="1">
      <c r="B168" s="109"/>
      <c r="C168" s="110"/>
      <c r="D168" s="109"/>
      <c r="E168" s="109"/>
      <c r="F168" s="97"/>
      <c r="G168" s="109"/>
      <c r="H168" s="109"/>
      <c r="I168" s="98"/>
      <c r="J168" s="98"/>
      <c r="K168" s="83"/>
      <c r="L168" s="110"/>
      <c r="M168" s="110"/>
      <c r="N168" s="110"/>
      <c r="O168" s="111"/>
      <c r="P168" s="111"/>
      <c r="Q168" s="111"/>
      <c r="R168" s="111"/>
      <c r="Y168" s="110"/>
      <c r="Z168" s="110"/>
    </row>
    <row r="169" spans="2:26" s="108" customFormat="1">
      <c r="B169" s="109"/>
      <c r="C169" s="110"/>
      <c r="D169" s="109"/>
      <c r="E169" s="109"/>
      <c r="F169" s="97"/>
      <c r="G169" s="109"/>
      <c r="H169" s="109"/>
      <c r="I169" s="98"/>
      <c r="J169" s="98"/>
      <c r="K169" s="83"/>
      <c r="L169" s="110"/>
      <c r="M169" s="110"/>
      <c r="N169" s="110"/>
      <c r="O169" s="111"/>
      <c r="P169" s="111"/>
      <c r="Q169" s="111"/>
      <c r="R169" s="111"/>
      <c r="Y169" s="110"/>
      <c r="Z169" s="110"/>
    </row>
    <row r="170" spans="2:26" s="108" customFormat="1">
      <c r="B170" s="109"/>
      <c r="C170" s="110"/>
      <c r="D170" s="109"/>
      <c r="E170" s="109"/>
      <c r="F170" s="97"/>
      <c r="G170" s="109"/>
      <c r="H170" s="109"/>
      <c r="I170" s="98"/>
      <c r="J170" s="98"/>
      <c r="K170" s="83"/>
      <c r="L170" s="110"/>
      <c r="M170" s="110"/>
      <c r="N170" s="110"/>
      <c r="O170" s="111"/>
      <c r="P170" s="111"/>
      <c r="Q170" s="111"/>
      <c r="R170" s="111"/>
      <c r="Y170" s="110"/>
      <c r="Z170" s="110"/>
    </row>
    <row r="171" spans="2:26" s="108" customFormat="1">
      <c r="B171" s="109"/>
      <c r="C171" s="110"/>
      <c r="D171" s="109"/>
      <c r="E171" s="109"/>
      <c r="F171" s="97"/>
      <c r="G171" s="109"/>
      <c r="H171" s="109"/>
      <c r="I171" s="98"/>
      <c r="J171" s="98"/>
      <c r="K171" s="83"/>
      <c r="L171" s="110"/>
      <c r="M171" s="110"/>
      <c r="N171" s="110"/>
      <c r="O171" s="111"/>
      <c r="P171" s="111"/>
      <c r="Q171" s="111"/>
      <c r="R171" s="111"/>
      <c r="Y171" s="110"/>
      <c r="Z171" s="110"/>
    </row>
    <row r="172" spans="2:26" s="108" customFormat="1">
      <c r="B172" s="109"/>
      <c r="C172" s="110"/>
      <c r="D172" s="109"/>
      <c r="E172" s="109"/>
      <c r="F172" s="97"/>
      <c r="G172" s="109"/>
      <c r="H172" s="109"/>
      <c r="I172" s="98"/>
      <c r="J172" s="98"/>
      <c r="K172" s="83"/>
      <c r="L172" s="110"/>
      <c r="M172" s="110"/>
      <c r="N172" s="110"/>
      <c r="O172" s="111"/>
      <c r="P172" s="111"/>
      <c r="Q172" s="111"/>
      <c r="R172" s="111"/>
      <c r="Y172" s="110"/>
      <c r="Z172" s="110"/>
    </row>
    <row r="173" spans="2:26" s="108" customFormat="1">
      <c r="B173" s="109"/>
      <c r="C173" s="110"/>
      <c r="D173" s="109"/>
      <c r="E173" s="109"/>
      <c r="F173" s="97"/>
      <c r="G173" s="109"/>
      <c r="H173" s="109"/>
      <c r="I173" s="98"/>
      <c r="J173" s="98"/>
      <c r="K173" s="83"/>
      <c r="L173" s="110"/>
      <c r="M173" s="110"/>
      <c r="N173" s="110"/>
      <c r="O173" s="111"/>
      <c r="P173" s="111"/>
      <c r="Q173" s="111"/>
      <c r="R173" s="111"/>
      <c r="Y173" s="110"/>
      <c r="Z173" s="110"/>
    </row>
    <row r="174" spans="2:26" s="108" customFormat="1">
      <c r="B174" s="109"/>
      <c r="C174" s="110"/>
      <c r="D174" s="109"/>
      <c r="E174" s="109"/>
      <c r="F174" s="97"/>
      <c r="G174" s="109"/>
      <c r="H174" s="109"/>
      <c r="I174" s="98"/>
      <c r="J174" s="98"/>
      <c r="K174" s="83"/>
      <c r="L174" s="110"/>
      <c r="M174" s="110"/>
      <c r="N174" s="110"/>
      <c r="O174" s="111"/>
      <c r="P174" s="111"/>
      <c r="Q174" s="111"/>
      <c r="R174" s="111"/>
      <c r="Y174" s="110"/>
      <c r="Z174" s="110"/>
    </row>
    <row r="175" spans="2:26" s="108" customFormat="1">
      <c r="B175" s="109"/>
      <c r="C175" s="110"/>
      <c r="D175" s="109"/>
      <c r="E175" s="109"/>
      <c r="F175" s="97"/>
      <c r="G175" s="109"/>
      <c r="H175" s="109"/>
      <c r="I175" s="98"/>
      <c r="J175" s="98"/>
      <c r="K175" s="83"/>
      <c r="L175" s="110"/>
      <c r="M175" s="110"/>
      <c r="N175" s="110"/>
      <c r="O175" s="111"/>
      <c r="P175" s="111"/>
      <c r="Q175" s="111"/>
      <c r="R175" s="111"/>
      <c r="Y175" s="110"/>
      <c r="Z175" s="110"/>
    </row>
    <row r="176" spans="2:26" s="108" customFormat="1">
      <c r="B176" s="109"/>
      <c r="C176" s="110"/>
      <c r="D176" s="109"/>
      <c r="E176" s="109"/>
      <c r="F176" s="97"/>
      <c r="G176" s="109"/>
      <c r="H176" s="109"/>
      <c r="I176" s="98"/>
      <c r="J176" s="98"/>
      <c r="K176" s="83"/>
      <c r="L176" s="110"/>
      <c r="M176" s="110"/>
      <c r="N176" s="110"/>
      <c r="O176" s="111"/>
      <c r="P176" s="111"/>
      <c r="Q176" s="111"/>
      <c r="R176" s="111"/>
      <c r="Y176" s="110"/>
      <c r="Z176" s="110"/>
    </row>
    <row r="177" spans="2:26" s="108" customFormat="1">
      <c r="B177" s="109"/>
      <c r="C177" s="110"/>
      <c r="D177" s="109"/>
      <c r="E177" s="109"/>
      <c r="F177" s="97"/>
      <c r="G177" s="109"/>
      <c r="H177" s="109"/>
      <c r="I177" s="98"/>
      <c r="J177" s="98"/>
      <c r="K177" s="83"/>
      <c r="L177" s="110"/>
      <c r="M177" s="110"/>
      <c r="N177" s="110"/>
      <c r="O177" s="111"/>
      <c r="P177" s="111"/>
      <c r="Q177" s="111"/>
      <c r="R177" s="111"/>
      <c r="Y177" s="110"/>
      <c r="Z177" s="110"/>
    </row>
    <row r="178" spans="2:26" s="108" customFormat="1">
      <c r="B178" s="109"/>
      <c r="C178" s="110"/>
      <c r="D178" s="109"/>
      <c r="E178" s="109"/>
      <c r="F178" s="97"/>
      <c r="G178" s="109"/>
      <c r="H178" s="109"/>
      <c r="I178" s="98"/>
      <c r="J178" s="98"/>
      <c r="K178" s="83"/>
      <c r="L178" s="110"/>
      <c r="M178" s="110"/>
      <c r="N178" s="110"/>
      <c r="O178" s="111"/>
      <c r="P178" s="111"/>
      <c r="Q178" s="111"/>
      <c r="R178" s="111"/>
      <c r="Y178" s="110"/>
      <c r="Z178" s="110"/>
    </row>
    <row r="179" spans="2:26" s="108" customFormat="1">
      <c r="B179" s="109"/>
      <c r="C179" s="110"/>
      <c r="D179" s="109"/>
      <c r="E179" s="109"/>
      <c r="F179" s="97"/>
      <c r="G179" s="109"/>
      <c r="H179" s="109"/>
      <c r="I179" s="98"/>
      <c r="J179" s="98"/>
      <c r="K179" s="83"/>
      <c r="L179" s="110"/>
      <c r="M179" s="110"/>
      <c r="N179" s="110"/>
      <c r="O179" s="111"/>
      <c r="P179" s="111"/>
      <c r="Q179" s="111"/>
      <c r="R179" s="111"/>
      <c r="Y179" s="110"/>
      <c r="Z179" s="110"/>
    </row>
    <row r="180" spans="2:26" s="108" customFormat="1">
      <c r="B180" s="109"/>
      <c r="C180" s="110"/>
      <c r="D180" s="109"/>
      <c r="E180" s="109"/>
      <c r="F180" s="97"/>
      <c r="G180" s="109"/>
      <c r="H180" s="109"/>
      <c r="I180" s="98"/>
      <c r="J180" s="98"/>
      <c r="K180" s="83"/>
      <c r="L180" s="110"/>
      <c r="M180" s="110"/>
      <c r="N180" s="110"/>
      <c r="O180" s="111"/>
      <c r="P180" s="111"/>
      <c r="Q180" s="111"/>
      <c r="R180" s="111"/>
      <c r="Y180" s="110"/>
      <c r="Z180" s="110"/>
    </row>
    <row r="181" spans="2:26" s="108" customFormat="1">
      <c r="B181" s="109"/>
      <c r="C181" s="110"/>
      <c r="D181" s="109"/>
      <c r="E181" s="109"/>
      <c r="F181" s="97"/>
      <c r="G181" s="109"/>
      <c r="H181" s="109"/>
      <c r="I181" s="98"/>
      <c r="J181" s="98"/>
      <c r="K181" s="83"/>
      <c r="L181" s="110"/>
      <c r="M181" s="110"/>
      <c r="N181" s="110"/>
      <c r="O181" s="111"/>
      <c r="P181" s="111"/>
      <c r="Q181" s="111"/>
      <c r="R181" s="111"/>
      <c r="Y181" s="110"/>
      <c r="Z181" s="110"/>
    </row>
    <row r="182" spans="2:26" s="108" customFormat="1">
      <c r="B182" s="109"/>
      <c r="C182" s="110"/>
      <c r="D182" s="109"/>
      <c r="E182" s="109"/>
      <c r="F182" s="97"/>
      <c r="G182" s="109"/>
      <c r="H182" s="109"/>
      <c r="I182" s="98"/>
      <c r="J182" s="98"/>
      <c r="K182" s="83"/>
      <c r="L182" s="110"/>
      <c r="M182" s="110"/>
      <c r="N182" s="110"/>
      <c r="O182" s="111"/>
      <c r="P182" s="111"/>
      <c r="Q182" s="111"/>
      <c r="R182" s="111"/>
      <c r="Y182" s="110"/>
      <c r="Z182" s="110"/>
    </row>
    <row r="183" spans="2:26" s="108" customFormat="1">
      <c r="B183" s="109"/>
      <c r="C183" s="110"/>
      <c r="D183" s="109"/>
      <c r="E183" s="109"/>
      <c r="F183" s="97"/>
      <c r="G183" s="109"/>
      <c r="H183" s="109"/>
      <c r="I183" s="98"/>
      <c r="J183" s="98"/>
      <c r="K183" s="83"/>
      <c r="L183" s="110"/>
      <c r="M183" s="110"/>
      <c r="N183" s="110"/>
      <c r="O183" s="111"/>
      <c r="P183" s="111"/>
      <c r="Q183" s="111"/>
      <c r="R183" s="111"/>
      <c r="Y183" s="110"/>
      <c r="Z183" s="110"/>
    </row>
    <row r="184" spans="2:26" s="108" customFormat="1">
      <c r="B184" s="109"/>
      <c r="C184" s="110"/>
      <c r="D184" s="109"/>
      <c r="E184" s="109"/>
      <c r="F184" s="97"/>
      <c r="G184" s="109"/>
      <c r="H184" s="109"/>
      <c r="I184" s="98"/>
      <c r="J184" s="98"/>
      <c r="K184" s="83"/>
      <c r="L184" s="110"/>
      <c r="M184" s="110"/>
      <c r="N184" s="110"/>
      <c r="O184" s="111"/>
      <c r="P184" s="111"/>
      <c r="Q184" s="111"/>
      <c r="R184" s="111"/>
      <c r="Y184" s="110"/>
      <c r="Z184" s="110"/>
    </row>
    <row r="185" spans="2:26" s="108" customFormat="1">
      <c r="B185" s="109"/>
      <c r="C185" s="110"/>
      <c r="D185" s="109"/>
      <c r="E185" s="109"/>
      <c r="F185" s="97"/>
      <c r="G185" s="109"/>
      <c r="H185" s="109"/>
      <c r="I185" s="98"/>
      <c r="J185" s="98"/>
      <c r="K185" s="83"/>
      <c r="L185" s="110"/>
      <c r="M185" s="110"/>
      <c r="N185" s="110"/>
      <c r="O185" s="111"/>
      <c r="P185" s="111"/>
      <c r="Q185" s="111"/>
      <c r="R185" s="111"/>
      <c r="Y185" s="110"/>
      <c r="Z185" s="110"/>
    </row>
    <row r="186" spans="2:26" s="108" customFormat="1">
      <c r="B186" s="109"/>
      <c r="C186" s="110"/>
      <c r="D186" s="109"/>
      <c r="E186" s="109"/>
      <c r="F186" s="97"/>
      <c r="G186" s="109"/>
      <c r="H186" s="109"/>
      <c r="I186" s="98"/>
      <c r="J186" s="98"/>
      <c r="K186" s="83"/>
      <c r="L186" s="110"/>
      <c r="M186" s="110"/>
      <c r="N186" s="110"/>
      <c r="O186" s="111"/>
      <c r="P186" s="111"/>
      <c r="Q186" s="111"/>
      <c r="R186" s="111"/>
      <c r="Y186" s="110"/>
      <c r="Z186" s="110"/>
    </row>
    <row r="187" spans="2:26" s="108" customFormat="1">
      <c r="B187" s="109"/>
      <c r="C187" s="110"/>
      <c r="D187" s="109"/>
      <c r="E187" s="109"/>
      <c r="F187" s="97"/>
      <c r="G187" s="109"/>
      <c r="H187" s="109"/>
      <c r="I187" s="98"/>
      <c r="J187" s="98"/>
      <c r="K187" s="83"/>
      <c r="L187" s="110"/>
      <c r="M187" s="110"/>
      <c r="N187" s="110"/>
      <c r="O187" s="111"/>
      <c r="P187" s="111"/>
      <c r="Q187" s="111"/>
      <c r="R187" s="111"/>
      <c r="Y187" s="110"/>
      <c r="Z187" s="110"/>
    </row>
    <row r="188" spans="2:26" s="108" customFormat="1">
      <c r="B188" s="109"/>
      <c r="C188" s="110"/>
      <c r="D188" s="109"/>
      <c r="E188" s="109"/>
      <c r="F188" s="97"/>
      <c r="G188" s="109"/>
      <c r="H188" s="109"/>
      <c r="I188" s="98"/>
      <c r="J188" s="98"/>
      <c r="K188" s="83"/>
      <c r="L188" s="110"/>
      <c r="M188" s="110"/>
      <c r="N188" s="110"/>
      <c r="O188" s="111"/>
      <c r="P188" s="111"/>
      <c r="Q188" s="111"/>
      <c r="R188" s="111"/>
      <c r="Y188" s="110"/>
      <c r="Z188" s="110"/>
    </row>
    <row r="189" spans="2:26" s="108" customFormat="1">
      <c r="B189" s="109"/>
      <c r="C189" s="110"/>
      <c r="D189" s="109"/>
      <c r="E189" s="109"/>
      <c r="F189" s="97"/>
      <c r="G189" s="109"/>
      <c r="H189" s="109"/>
      <c r="I189" s="98"/>
      <c r="J189" s="98"/>
      <c r="K189" s="83"/>
      <c r="L189" s="110"/>
      <c r="M189" s="110"/>
      <c r="N189" s="110"/>
      <c r="O189" s="111"/>
      <c r="P189" s="111"/>
      <c r="Q189" s="111"/>
      <c r="R189" s="111"/>
      <c r="Y189" s="110"/>
      <c r="Z189" s="110"/>
    </row>
    <row r="190" spans="2:26" s="108" customFormat="1">
      <c r="B190" s="109"/>
      <c r="C190" s="110"/>
      <c r="D190" s="109"/>
      <c r="E190" s="109"/>
      <c r="F190" s="97"/>
      <c r="G190" s="109"/>
      <c r="H190" s="109"/>
      <c r="I190" s="98"/>
      <c r="J190" s="98"/>
      <c r="K190" s="83"/>
      <c r="L190" s="110"/>
      <c r="M190" s="110"/>
      <c r="N190" s="110"/>
      <c r="O190" s="111"/>
      <c r="P190" s="111"/>
      <c r="Q190" s="111"/>
      <c r="R190" s="111"/>
      <c r="Y190" s="110"/>
      <c r="Z190" s="110"/>
    </row>
    <row r="191" spans="2:26" s="108" customFormat="1">
      <c r="B191" s="109"/>
      <c r="C191" s="110"/>
      <c r="D191" s="109"/>
      <c r="E191" s="109"/>
      <c r="F191" s="97"/>
      <c r="G191" s="109"/>
      <c r="H191" s="109"/>
      <c r="I191" s="98"/>
      <c r="J191" s="98"/>
      <c r="K191" s="83"/>
      <c r="L191" s="110"/>
      <c r="M191" s="110"/>
      <c r="N191" s="110"/>
      <c r="O191" s="111"/>
      <c r="P191" s="111"/>
      <c r="Q191" s="111"/>
      <c r="R191" s="111"/>
      <c r="Y191" s="110"/>
      <c r="Z191" s="110"/>
    </row>
    <row r="192" spans="2:26" s="108" customFormat="1">
      <c r="B192" s="109"/>
      <c r="C192" s="110"/>
      <c r="D192" s="109"/>
      <c r="E192" s="109"/>
      <c r="F192" s="97"/>
      <c r="G192" s="109"/>
      <c r="H192" s="109"/>
      <c r="I192" s="98"/>
      <c r="J192" s="98"/>
      <c r="K192" s="83"/>
      <c r="L192" s="110"/>
      <c r="M192" s="110"/>
      <c r="N192" s="110"/>
      <c r="O192" s="111"/>
      <c r="P192" s="111"/>
      <c r="Q192" s="111"/>
      <c r="R192" s="111"/>
      <c r="Y192" s="110"/>
      <c r="Z192" s="110"/>
    </row>
    <row r="193" spans="2:26" s="108" customFormat="1">
      <c r="B193" s="109"/>
      <c r="C193" s="110"/>
      <c r="D193" s="109"/>
      <c r="E193" s="109"/>
      <c r="F193" s="97"/>
      <c r="G193" s="109"/>
      <c r="H193" s="109"/>
      <c r="I193" s="98"/>
      <c r="J193" s="98"/>
      <c r="K193" s="83"/>
      <c r="L193" s="110"/>
      <c r="M193" s="110"/>
      <c r="N193" s="110"/>
      <c r="O193" s="111"/>
      <c r="P193" s="111"/>
      <c r="Q193" s="111"/>
      <c r="R193" s="111"/>
      <c r="Y193" s="110"/>
      <c r="Z193" s="110"/>
    </row>
    <row r="194" spans="2:26" s="108" customFormat="1">
      <c r="B194" s="109"/>
      <c r="C194" s="110"/>
      <c r="D194" s="109"/>
      <c r="E194" s="109"/>
      <c r="F194" s="97"/>
      <c r="G194" s="109"/>
      <c r="H194" s="109"/>
      <c r="I194" s="98"/>
      <c r="J194" s="98"/>
      <c r="K194" s="83"/>
      <c r="L194" s="110"/>
      <c r="M194" s="110"/>
      <c r="N194" s="110"/>
      <c r="O194" s="111"/>
      <c r="P194" s="111"/>
      <c r="Q194" s="111"/>
      <c r="R194" s="111"/>
      <c r="Y194" s="110"/>
      <c r="Z194" s="110"/>
    </row>
    <row r="195" spans="2:26" s="108" customFormat="1">
      <c r="B195" s="109"/>
      <c r="C195" s="110"/>
      <c r="D195" s="109"/>
      <c r="E195" s="109"/>
      <c r="F195" s="97"/>
      <c r="G195" s="109"/>
      <c r="H195" s="109"/>
      <c r="I195" s="98"/>
      <c r="J195" s="98"/>
      <c r="K195" s="83"/>
      <c r="L195" s="110"/>
      <c r="M195" s="110"/>
      <c r="N195" s="110"/>
      <c r="O195" s="111"/>
      <c r="P195" s="111"/>
      <c r="Q195" s="111"/>
      <c r="R195" s="111"/>
      <c r="Y195" s="110"/>
      <c r="Z195" s="110"/>
    </row>
    <row r="196" spans="2:26" s="108" customFormat="1">
      <c r="B196" s="109"/>
      <c r="C196" s="110"/>
      <c r="D196" s="109"/>
      <c r="E196" s="109"/>
      <c r="F196" s="97"/>
      <c r="G196" s="109"/>
      <c r="H196" s="109"/>
      <c r="I196" s="98"/>
      <c r="J196" s="98"/>
      <c r="K196" s="83"/>
      <c r="L196" s="110"/>
      <c r="M196" s="110"/>
      <c r="N196" s="110"/>
      <c r="O196" s="111"/>
      <c r="P196" s="111"/>
      <c r="Q196" s="111"/>
      <c r="R196" s="111"/>
      <c r="Y196" s="110"/>
      <c r="Z196" s="110"/>
    </row>
    <row r="197" spans="2:26" s="108" customFormat="1">
      <c r="B197" s="109"/>
      <c r="C197" s="110"/>
      <c r="D197" s="109"/>
      <c r="E197" s="109"/>
      <c r="F197" s="97"/>
      <c r="G197" s="109"/>
      <c r="H197" s="109"/>
      <c r="I197" s="98"/>
      <c r="J197" s="98"/>
      <c r="K197" s="83"/>
      <c r="L197" s="110"/>
      <c r="M197" s="110"/>
      <c r="N197" s="110"/>
      <c r="O197" s="111"/>
      <c r="P197" s="111"/>
      <c r="Q197" s="111"/>
      <c r="R197" s="111"/>
      <c r="Y197" s="110"/>
      <c r="Z197" s="110"/>
    </row>
    <row r="198" spans="2:26" s="108" customFormat="1">
      <c r="B198" s="109"/>
      <c r="C198" s="110"/>
      <c r="D198" s="109"/>
      <c r="E198" s="109"/>
      <c r="F198" s="97"/>
      <c r="G198" s="109"/>
      <c r="H198" s="109"/>
      <c r="I198" s="98"/>
      <c r="J198" s="98"/>
      <c r="K198" s="83"/>
      <c r="L198" s="110"/>
      <c r="M198" s="110"/>
      <c r="N198" s="110"/>
      <c r="O198" s="111"/>
      <c r="P198" s="111"/>
      <c r="Q198" s="111"/>
      <c r="R198" s="111"/>
      <c r="Y198" s="110"/>
      <c r="Z198" s="110"/>
    </row>
    <row r="199" spans="2:26" s="108" customFormat="1">
      <c r="B199" s="109"/>
      <c r="C199" s="110"/>
      <c r="D199" s="109"/>
      <c r="E199" s="109"/>
      <c r="F199" s="97"/>
      <c r="G199" s="109"/>
      <c r="H199" s="109"/>
      <c r="I199" s="98"/>
      <c r="J199" s="98"/>
      <c r="K199" s="83"/>
      <c r="L199" s="110"/>
      <c r="M199" s="110"/>
      <c r="N199" s="110"/>
      <c r="O199" s="111"/>
      <c r="P199" s="111"/>
      <c r="Q199" s="111"/>
      <c r="R199" s="111"/>
      <c r="Y199" s="110"/>
      <c r="Z199" s="110"/>
    </row>
    <row r="200" spans="2:26" s="108" customFormat="1">
      <c r="B200" s="109"/>
      <c r="C200" s="110"/>
      <c r="D200" s="109"/>
      <c r="E200" s="109"/>
      <c r="F200" s="97"/>
      <c r="G200" s="109"/>
      <c r="H200" s="109"/>
      <c r="I200" s="98"/>
      <c r="J200" s="98"/>
      <c r="K200" s="83"/>
      <c r="L200" s="110"/>
      <c r="M200" s="110"/>
      <c r="N200" s="110"/>
      <c r="O200" s="111"/>
      <c r="P200" s="111"/>
      <c r="Q200" s="111"/>
      <c r="R200" s="111"/>
      <c r="Y200" s="110"/>
      <c r="Z200" s="110"/>
    </row>
    <row r="201" spans="2:26" s="108" customFormat="1">
      <c r="B201" s="109"/>
      <c r="C201" s="110"/>
      <c r="D201" s="109"/>
      <c r="E201" s="109"/>
      <c r="F201" s="97"/>
      <c r="G201" s="109"/>
      <c r="H201" s="109"/>
      <c r="I201" s="98"/>
      <c r="J201" s="98"/>
      <c r="K201" s="83"/>
      <c r="L201" s="110"/>
      <c r="M201" s="110"/>
      <c r="N201" s="110"/>
      <c r="O201" s="111"/>
      <c r="P201" s="111"/>
      <c r="Q201" s="111"/>
      <c r="R201" s="111"/>
      <c r="Y201" s="110"/>
      <c r="Z201" s="110"/>
    </row>
    <row r="202" spans="2:26" s="108" customFormat="1">
      <c r="B202" s="109"/>
      <c r="C202" s="110"/>
      <c r="D202" s="109"/>
      <c r="E202" s="109"/>
      <c r="F202" s="97"/>
      <c r="G202" s="109"/>
      <c r="H202" s="109"/>
      <c r="I202" s="98"/>
      <c r="J202" s="98"/>
      <c r="K202" s="83"/>
      <c r="L202" s="110"/>
      <c r="M202" s="110"/>
      <c r="N202" s="110"/>
      <c r="O202" s="111"/>
      <c r="P202" s="111"/>
      <c r="Q202" s="111"/>
      <c r="R202" s="111"/>
      <c r="Y202" s="110"/>
      <c r="Z202" s="110"/>
    </row>
    <row r="203" spans="2:26" s="108" customFormat="1">
      <c r="B203" s="109"/>
      <c r="C203" s="110"/>
      <c r="D203" s="109"/>
      <c r="E203" s="109"/>
      <c r="F203" s="97"/>
      <c r="G203" s="109"/>
      <c r="H203" s="109"/>
      <c r="I203" s="98"/>
      <c r="J203" s="98"/>
      <c r="K203" s="83"/>
      <c r="L203" s="110"/>
      <c r="M203" s="110"/>
      <c r="N203" s="110"/>
      <c r="O203" s="111"/>
      <c r="P203" s="111"/>
      <c r="Q203" s="111"/>
      <c r="R203" s="111"/>
      <c r="Y203" s="110"/>
      <c r="Z203" s="110"/>
    </row>
    <row r="204" spans="2:26" s="108" customFormat="1">
      <c r="B204" s="109"/>
      <c r="C204" s="110"/>
      <c r="D204" s="109"/>
      <c r="E204" s="109"/>
      <c r="F204" s="97"/>
      <c r="G204" s="109"/>
      <c r="H204" s="109"/>
      <c r="I204" s="98"/>
      <c r="J204" s="98"/>
      <c r="K204" s="83"/>
      <c r="L204" s="110"/>
      <c r="M204" s="110"/>
      <c r="N204" s="110"/>
      <c r="O204" s="111"/>
      <c r="P204" s="111"/>
      <c r="Q204" s="111"/>
      <c r="R204" s="111"/>
      <c r="Y204" s="110"/>
      <c r="Z204" s="110"/>
    </row>
    <row r="205" spans="2:26" s="108" customFormat="1">
      <c r="B205" s="109"/>
      <c r="C205" s="110"/>
      <c r="D205" s="109"/>
      <c r="E205" s="109"/>
      <c r="F205" s="97"/>
      <c r="G205" s="109"/>
      <c r="H205" s="109"/>
      <c r="I205" s="98"/>
      <c r="J205" s="98"/>
      <c r="K205" s="83"/>
      <c r="L205" s="110"/>
      <c r="M205" s="110"/>
      <c r="N205" s="110"/>
      <c r="O205" s="111"/>
      <c r="P205" s="111"/>
      <c r="Q205" s="111"/>
      <c r="R205" s="111"/>
      <c r="Y205" s="110"/>
      <c r="Z205" s="110"/>
    </row>
    <row r="206" spans="2:26" s="108" customFormat="1">
      <c r="B206" s="109"/>
      <c r="C206" s="110"/>
      <c r="D206" s="109"/>
      <c r="E206" s="109"/>
      <c r="F206" s="97"/>
      <c r="G206" s="109"/>
      <c r="H206" s="109"/>
      <c r="I206" s="98"/>
      <c r="J206" s="98"/>
      <c r="K206" s="83"/>
      <c r="L206" s="110"/>
      <c r="M206" s="110"/>
      <c r="N206" s="110"/>
      <c r="O206" s="111"/>
      <c r="P206" s="111"/>
      <c r="Q206" s="111"/>
      <c r="R206" s="111"/>
      <c r="Y206" s="110"/>
      <c r="Z206" s="110"/>
    </row>
    <row r="207" spans="2:26" s="108" customFormat="1">
      <c r="B207" s="109"/>
      <c r="C207" s="110"/>
      <c r="D207" s="109"/>
      <c r="E207" s="109"/>
      <c r="F207" s="97"/>
      <c r="G207" s="109"/>
      <c r="H207" s="109"/>
      <c r="I207" s="98"/>
      <c r="J207" s="98"/>
      <c r="K207" s="83"/>
      <c r="L207" s="110"/>
      <c r="M207" s="110"/>
      <c r="N207" s="110"/>
      <c r="O207" s="111"/>
      <c r="P207" s="111"/>
      <c r="Q207" s="111"/>
      <c r="R207" s="111"/>
      <c r="Y207" s="110"/>
      <c r="Z207" s="110"/>
    </row>
    <row r="208" spans="2:26" s="108" customFormat="1">
      <c r="B208" s="109"/>
      <c r="C208" s="110"/>
      <c r="D208" s="109"/>
      <c r="E208" s="109"/>
      <c r="F208" s="97"/>
      <c r="G208" s="109"/>
      <c r="H208" s="109"/>
      <c r="I208" s="98"/>
      <c r="J208" s="98"/>
      <c r="K208" s="83"/>
      <c r="L208" s="110"/>
      <c r="M208" s="110"/>
      <c r="N208" s="110"/>
      <c r="O208" s="111"/>
      <c r="P208" s="111"/>
      <c r="Q208" s="111"/>
      <c r="R208" s="111"/>
      <c r="Y208" s="110"/>
      <c r="Z208" s="110"/>
    </row>
    <row r="209" spans="2:26" s="108" customFormat="1">
      <c r="B209" s="109"/>
      <c r="C209" s="110"/>
      <c r="D209" s="109"/>
      <c r="E209" s="109"/>
      <c r="F209" s="97"/>
      <c r="G209" s="109"/>
      <c r="H209" s="109"/>
      <c r="I209" s="98"/>
      <c r="J209" s="98"/>
      <c r="K209" s="83"/>
      <c r="L209" s="110"/>
      <c r="M209" s="110"/>
      <c r="N209" s="110"/>
      <c r="O209" s="111"/>
      <c r="P209" s="111"/>
      <c r="Q209" s="111"/>
      <c r="R209" s="111"/>
      <c r="Y209" s="110"/>
      <c r="Z209" s="110"/>
    </row>
    <row r="210" spans="2:26" s="108" customFormat="1">
      <c r="B210" s="109"/>
      <c r="C210" s="110"/>
      <c r="D210" s="109"/>
      <c r="E210" s="109"/>
      <c r="F210" s="97"/>
      <c r="G210" s="109"/>
      <c r="H210" s="109"/>
      <c r="I210" s="98"/>
      <c r="J210" s="98"/>
      <c r="K210" s="83"/>
      <c r="L210" s="110"/>
      <c r="M210" s="110"/>
      <c r="N210" s="110"/>
      <c r="O210" s="111"/>
      <c r="P210" s="111"/>
      <c r="Q210" s="111"/>
      <c r="R210" s="111"/>
      <c r="Y210" s="110"/>
      <c r="Z210" s="110"/>
    </row>
    <row r="211" spans="2:26" s="108" customFormat="1">
      <c r="B211" s="109"/>
      <c r="C211" s="110"/>
      <c r="D211" s="109"/>
      <c r="E211" s="109"/>
      <c r="F211" s="97"/>
      <c r="G211" s="109"/>
      <c r="H211" s="109"/>
      <c r="I211" s="98"/>
      <c r="J211" s="98"/>
      <c r="K211" s="83"/>
      <c r="L211" s="110"/>
      <c r="M211" s="110"/>
      <c r="N211" s="110"/>
      <c r="O211" s="111"/>
      <c r="P211" s="111"/>
      <c r="Q211" s="111"/>
      <c r="R211" s="111"/>
      <c r="Y211" s="110"/>
      <c r="Z211" s="110"/>
    </row>
    <row r="212" spans="2:26" s="108" customFormat="1">
      <c r="B212" s="109"/>
      <c r="C212" s="110"/>
      <c r="D212" s="109"/>
      <c r="E212" s="109"/>
      <c r="F212" s="97"/>
      <c r="G212" s="109"/>
      <c r="H212" s="109"/>
      <c r="I212" s="98"/>
      <c r="J212" s="98"/>
      <c r="K212" s="83"/>
      <c r="L212" s="110"/>
      <c r="M212" s="110"/>
      <c r="N212" s="110"/>
      <c r="O212" s="111"/>
      <c r="P212" s="111"/>
      <c r="Q212" s="111"/>
      <c r="R212" s="111"/>
      <c r="Y212" s="110"/>
      <c r="Z212" s="110"/>
    </row>
    <row r="213" spans="2:26" s="108" customFormat="1">
      <c r="B213" s="109"/>
      <c r="C213" s="110"/>
      <c r="D213" s="109"/>
      <c r="E213" s="109"/>
      <c r="F213" s="97"/>
      <c r="G213" s="109"/>
      <c r="H213" s="109"/>
      <c r="I213" s="98"/>
      <c r="J213" s="98"/>
      <c r="K213" s="83"/>
      <c r="L213" s="110"/>
      <c r="M213" s="110"/>
      <c r="N213" s="110"/>
      <c r="O213" s="111"/>
      <c r="P213" s="111"/>
      <c r="Q213" s="111"/>
      <c r="R213" s="111"/>
      <c r="Y213" s="110"/>
      <c r="Z213" s="110"/>
    </row>
    <row r="214" spans="2:26" s="108" customFormat="1">
      <c r="B214" s="109"/>
      <c r="C214" s="110"/>
      <c r="D214" s="109"/>
      <c r="E214" s="109"/>
      <c r="F214" s="97"/>
      <c r="G214" s="109"/>
      <c r="H214" s="109"/>
      <c r="I214" s="98"/>
      <c r="J214" s="98"/>
      <c r="K214" s="83"/>
      <c r="L214" s="110"/>
      <c r="M214" s="110"/>
      <c r="N214" s="110"/>
      <c r="O214" s="111"/>
      <c r="P214" s="111"/>
      <c r="Q214" s="111"/>
      <c r="R214" s="111"/>
      <c r="Y214" s="110"/>
      <c r="Z214" s="110"/>
    </row>
    <row r="215" spans="2:26" s="108" customFormat="1">
      <c r="B215" s="109"/>
      <c r="C215" s="110"/>
      <c r="D215" s="109"/>
      <c r="E215" s="109"/>
      <c r="F215" s="97"/>
      <c r="G215" s="109"/>
      <c r="H215" s="109"/>
      <c r="I215" s="98"/>
      <c r="J215" s="98"/>
      <c r="K215" s="83"/>
      <c r="L215" s="110"/>
      <c r="M215" s="110"/>
      <c r="N215" s="110"/>
      <c r="O215" s="111"/>
      <c r="P215" s="111"/>
      <c r="Q215" s="111"/>
      <c r="R215" s="111"/>
      <c r="Y215" s="110"/>
      <c r="Z215" s="110"/>
    </row>
    <row r="216" spans="2:26" s="108" customFormat="1">
      <c r="B216" s="109"/>
      <c r="C216" s="110"/>
      <c r="D216" s="109"/>
      <c r="E216" s="109"/>
      <c r="F216" s="97"/>
      <c r="G216" s="109"/>
      <c r="H216" s="109"/>
      <c r="I216" s="98"/>
      <c r="J216" s="98"/>
      <c r="K216" s="83"/>
      <c r="L216" s="110"/>
      <c r="M216" s="110"/>
      <c r="N216" s="110"/>
      <c r="O216" s="111"/>
      <c r="P216" s="111"/>
      <c r="Q216" s="111"/>
      <c r="R216" s="111"/>
      <c r="Y216" s="110"/>
      <c r="Z216" s="110"/>
    </row>
    <row r="217" spans="2:26" s="108" customFormat="1">
      <c r="B217" s="109"/>
      <c r="C217" s="110"/>
      <c r="D217" s="109"/>
      <c r="E217" s="109"/>
      <c r="F217" s="97"/>
      <c r="G217" s="109"/>
      <c r="H217" s="109"/>
      <c r="I217" s="98"/>
      <c r="J217" s="98"/>
      <c r="K217" s="83"/>
      <c r="L217" s="110"/>
      <c r="M217" s="110"/>
      <c r="N217" s="110"/>
      <c r="O217" s="111"/>
      <c r="P217" s="111"/>
      <c r="Q217" s="111"/>
      <c r="R217" s="111"/>
      <c r="Y217" s="110"/>
      <c r="Z217" s="110"/>
    </row>
    <row r="218" spans="2:26" s="108" customFormat="1">
      <c r="B218" s="109"/>
      <c r="C218" s="110"/>
      <c r="D218" s="109"/>
      <c r="E218" s="109"/>
      <c r="F218" s="97"/>
      <c r="G218" s="109"/>
      <c r="H218" s="109"/>
      <c r="I218" s="98"/>
      <c r="J218" s="98"/>
      <c r="K218" s="83"/>
      <c r="L218" s="110"/>
      <c r="M218" s="110"/>
      <c r="N218" s="110"/>
      <c r="O218" s="111"/>
      <c r="P218" s="111"/>
      <c r="Q218" s="111"/>
      <c r="R218" s="111"/>
      <c r="Y218" s="110"/>
      <c r="Z218" s="110"/>
    </row>
    <row r="219" spans="2:26" s="108" customFormat="1">
      <c r="B219" s="109"/>
      <c r="C219" s="110"/>
      <c r="D219" s="109"/>
      <c r="E219" s="109"/>
      <c r="F219" s="97"/>
      <c r="G219" s="109"/>
      <c r="H219" s="109"/>
      <c r="I219" s="98"/>
      <c r="J219" s="98"/>
      <c r="K219" s="83"/>
      <c r="L219" s="110"/>
      <c r="M219" s="110"/>
      <c r="N219" s="110"/>
      <c r="O219" s="111"/>
      <c r="P219" s="111"/>
      <c r="Q219" s="111"/>
      <c r="R219" s="111"/>
      <c r="Y219" s="110"/>
      <c r="Z219" s="110"/>
    </row>
    <row r="220" spans="2:26" s="108" customFormat="1">
      <c r="B220" s="109"/>
      <c r="C220" s="110"/>
      <c r="D220" s="109"/>
      <c r="E220" s="109"/>
      <c r="F220" s="97"/>
      <c r="G220" s="109"/>
      <c r="H220" s="109"/>
      <c r="I220" s="98"/>
      <c r="J220" s="98"/>
      <c r="K220" s="83"/>
      <c r="L220" s="110"/>
      <c r="M220" s="110"/>
      <c r="N220" s="110"/>
      <c r="O220" s="111"/>
      <c r="P220" s="111"/>
      <c r="Q220" s="111"/>
      <c r="R220" s="111"/>
      <c r="Y220" s="110"/>
      <c r="Z220" s="110"/>
    </row>
    <row r="221" spans="2:26" s="108" customFormat="1">
      <c r="B221" s="109"/>
      <c r="C221" s="110"/>
      <c r="D221" s="109"/>
      <c r="E221" s="109"/>
      <c r="F221" s="97"/>
      <c r="G221" s="109"/>
      <c r="H221" s="109"/>
      <c r="I221" s="98"/>
      <c r="J221" s="98"/>
      <c r="K221" s="83"/>
      <c r="L221" s="110"/>
      <c r="M221" s="110"/>
      <c r="N221" s="110"/>
      <c r="O221" s="111"/>
      <c r="P221" s="111"/>
      <c r="Q221" s="111"/>
      <c r="R221" s="111"/>
      <c r="Y221" s="110"/>
      <c r="Z221" s="110"/>
    </row>
    <row r="222" spans="2:26" s="108" customFormat="1">
      <c r="B222" s="109"/>
      <c r="C222" s="110"/>
      <c r="D222" s="109"/>
      <c r="E222" s="109"/>
      <c r="F222" s="97"/>
      <c r="G222" s="109"/>
      <c r="H222" s="109"/>
      <c r="I222" s="98"/>
      <c r="J222" s="98"/>
      <c r="K222" s="83"/>
      <c r="L222" s="110"/>
      <c r="M222" s="110"/>
      <c r="N222" s="110"/>
      <c r="O222" s="111"/>
      <c r="P222" s="111"/>
      <c r="Q222" s="111"/>
      <c r="R222" s="111"/>
      <c r="Y222" s="110"/>
      <c r="Z222" s="110"/>
    </row>
    <row r="223" spans="2:26" s="108" customFormat="1">
      <c r="B223" s="109"/>
      <c r="C223" s="110"/>
      <c r="D223" s="109"/>
      <c r="E223" s="109"/>
      <c r="F223" s="97"/>
      <c r="G223" s="109"/>
      <c r="H223" s="109"/>
      <c r="I223" s="98"/>
      <c r="J223" s="98"/>
      <c r="K223" s="83"/>
      <c r="L223" s="110"/>
      <c r="M223" s="110"/>
      <c r="N223" s="110"/>
      <c r="O223" s="111"/>
      <c r="P223" s="111"/>
      <c r="Q223" s="111"/>
      <c r="R223" s="111"/>
      <c r="Y223" s="110"/>
      <c r="Z223" s="110"/>
    </row>
    <row r="224" spans="2:26" s="108" customFormat="1">
      <c r="B224" s="109"/>
      <c r="C224" s="110"/>
      <c r="D224" s="109"/>
      <c r="E224" s="109"/>
      <c r="F224" s="97"/>
      <c r="G224" s="109"/>
      <c r="H224" s="109"/>
      <c r="I224" s="98"/>
      <c r="J224" s="98"/>
      <c r="K224" s="83"/>
      <c r="L224" s="110"/>
      <c r="M224" s="110"/>
      <c r="N224" s="110"/>
      <c r="O224" s="111"/>
      <c r="P224" s="111"/>
      <c r="Q224" s="111"/>
      <c r="R224" s="111"/>
      <c r="Y224" s="110"/>
      <c r="Z224" s="110"/>
    </row>
    <row r="225" spans="2:26" s="108" customFormat="1">
      <c r="B225" s="109"/>
      <c r="C225" s="110"/>
      <c r="D225" s="109"/>
      <c r="E225" s="109"/>
      <c r="F225" s="97"/>
      <c r="G225" s="109"/>
      <c r="H225" s="109"/>
      <c r="I225" s="98"/>
      <c r="J225" s="98"/>
      <c r="K225" s="83"/>
      <c r="L225" s="110"/>
      <c r="M225" s="110"/>
      <c r="N225" s="110"/>
      <c r="O225" s="111"/>
      <c r="P225" s="111"/>
      <c r="Q225" s="111"/>
      <c r="R225" s="111"/>
      <c r="Y225" s="110"/>
      <c r="Z225" s="110"/>
    </row>
    <row r="226" spans="2:26" s="108" customFormat="1">
      <c r="B226" s="109"/>
      <c r="C226" s="110"/>
      <c r="D226" s="109"/>
      <c r="E226" s="109"/>
      <c r="F226" s="97"/>
      <c r="G226" s="109"/>
      <c r="H226" s="109"/>
      <c r="I226" s="98"/>
      <c r="J226" s="98"/>
      <c r="K226" s="83"/>
      <c r="L226" s="110"/>
      <c r="M226" s="110"/>
      <c r="N226" s="110"/>
      <c r="O226" s="111"/>
      <c r="P226" s="111"/>
      <c r="Q226" s="111"/>
      <c r="R226" s="111"/>
      <c r="Y226" s="110"/>
      <c r="Z226" s="110"/>
    </row>
    <row r="227" spans="2:26" s="108" customFormat="1">
      <c r="B227" s="109"/>
      <c r="C227" s="110"/>
      <c r="D227" s="109"/>
      <c r="E227" s="109"/>
      <c r="F227" s="97"/>
      <c r="G227" s="109"/>
      <c r="H227" s="109"/>
      <c r="I227" s="98"/>
      <c r="J227" s="98"/>
      <c r="K227" s="83"/>
      <c r="L227" s="110"/>
      <c r="M227" s="110"/>
      <c r="N227" s="110"/>
      <c r="O227" s="111"/>
      <c r="P227" s="111"/>
      <c r="Q227" s="111"/>
      <c r="R227" s="111"/>
      <c r="Y227" s="110"/>
      <c r="Z227" s="110"/>
    </row>
    <row r="228" spans="2:26" s="108" customFormat="1">
      <c r="B228" s="109"/>
      <c r="C228" s="110"/>
      <c r="D228" s="109"/>
      <c r="E228" s="109"/>
      <c r="F228" s="97"/>
      <c r="G228" s="109"/>
      <c r="H228" s="109"/>
      <c r="I228" s="98"/>
      <c r="J228" s="98"/>
      <c r="K228" s="83"/>
      <c r="L228" s="110"/>
      <c r="M228" s="110"/>
      <c r="N228" s="110"/>
      <c r="O228" s="111"/>
      <c r="P228" s="111"/>
      <c r="Q228" s="111"/>
      <c r="R228" s="111"/>
      <c r="Y228" s="110"/>
      <c r="Z228" s="110"/>
    </row>
    <row r="229" spans="2:26" s="108" customFormat="1">
      <c r="B229" s="109"/>
      <c r="C229" s="110"/>
      <c r="D229" s="109"/>
      <c r="E229" s="109"/>
      <c r="F229" s="97"/>
      <c r="G229" s="109"/>
      <c r="H229" s="109"/>
      <c r="I229" s="98"/>
      <c r="J229" s="98"/>
      <c r="K229" s="83"/>
      <c r="L229" s="110"/>
      <c r="M229" s="110"/>
      <c r="N229" s="110"/>
      <c r="O229" s="111"/>
      <c r="P229" s="111"/>
      <c r="Q229" s="111"/>
      <c r="R229" s="111"/>
      <c r="Y229" s="110"/>
      <c r="Z229" s="110"/>
    </row>
    <row r="230" spans="2:26" s="108" customFormat="1">
      <c r="B230" s="109"/>
      <c r="C230" s="110"/>
      <c r="D230" s="109"/>
      <c r="E230" s="109"/>
      <c r="F230" s="97"/>
      <c r="G230" s="109"/>
      <c r="H230" s="109"/>
      <c r="I230" s="98"/>
      <c r="J230" s="98"/>
      <c r="K230" s="83"/>
      <c r="L230" s="110"/>
      <c r="M230" s="110"/>
      <c r="N230" s="110"/>
      <c r="O230" s="111"/>
      <c r="P230" s="111"/>
      <c r="Q230" s="111"/>
      <c r="R230" s="111"/>
      <c r="Y230" s="110"/>
      <c r="Z230" s="110"/>
    </row>
    <row r="231" spans="2:26" s="108" customFormat="1">
      <c r="B231" s="109"/>
      <c r="C231" s="110"/>
      <c r="D231" s="109"/>
      <c r="E231" s="109"/>
      <c r="F231" s="97"/>
      <c r="G231" s="109"/>
      <c r="H231" s="109"/>
      <c r="I231" s="98"/>
      <c r="J231" s="98"/>
      <c r="K231" s="83"/>
      <c r="L231" s="110"/>
      <c r="M231" s="110"/>
      <c r="N231" s="110"/>
      <c r="O231" s="111"/>
      <c r="P231" s="111"/>
      <c r="Q231" s="111"/>
      <c r="R231" s="111"/>
      <c r="Y231" s="110"/>
      <c r="Z231" s="110"/>
    </row>
    <row r="232" spans="2:26" s="108" customFormat="1">
      <c r="B232" s="109"/>
      <c r="C232" s="110"/>
      <c r="D232" s="109"/>
      <c r="E232" s="109"/>
      <c r="F232" s="97"/>
      <c r="G232" s="109"/>
      <c r="H232" s="109"/>
      <c r="I232" s="98"/>
      <c r="J232" s="98"/>
      <c r="K232" s="83"/>
      <c r="L232" s="110"/>
      <c r="M232" s="110"/>
      <c r="N232" s="110"/>
      <c r="O232" s="111"/>
      <c r="P232" s="111"/>
      <c r="Q232" s="111"/>
      <c r="R232" s="111"/>
      <c r="Y232" s="110"/>
      <c r="Z232" s="110"/>
    </row>
    <row r="233" spans="2:26" s="108" customFormat="1">
      <c r="B233" s="109"/>
      <c r="C233" s="110"/>
      <c r="D233" s="109"/>
      <c r="E233" s="109"/>
      <c r="F233" s="97"/>
      <c r="G233" s="109"/>
      <c r="H233" s="109"/>
      <c r="I233" s="98"/>
      <c r="J233" s="98"/>
      <c r="K233" s="83"/>
      <c r="L233" s="110"/>
      <c r="M233" s="110"/>
      <c r="N233" s="110"/>
      <c r="O233" s="111"/>
      <c r="P233" s="111"/>
      <c r="Q233" s="111"/>
      <c r="R233" s="111"/>
      <c r="Y233" s="110"/>
      <c r="Z233" s="110"/>
    </row>
    <row r="234" spans="2:26" s="108" customFormat="1">
      <c r="B234" s="109"/>
      <c r="C234" s="110"/>
      <c r="D234" s="109"/>
      <c r="E234" s="109"/>
      <c r="F234" s="97"/>
      <c r="G234" s="109"/>
      <c r="H234" s="109"/>
      <c r="I234" s="98"/>
      <c r="J234" s="98"/>
      <c r="K234" s="83"/>
      <c r="L234" s="110"/>
      <c r="M234" s="110"/>
      <c r="N234" s="110"/>
      <c r="O234" s="111"/>
      <c r="P234" s="111"/>
      <c r="Q234" s="111"/>
      <c r="R234" s="111"/>
      <c r="Y234" s="110"/>
      <c r="Z234" s="110"/>
    </row>
    <row r="235" spans="2:26" s="108" customFormat="1">
      <c r="B235" s="109"/>
      <c r="C235" s="110"/>
      <c r="D235" s="109"/>
      <c r="E235" s="109"/>
      <c r="F235" s="97"/>
      <c r="G235" s="109"/>
      <c r="H235" s="109"/>
      <c r="I235" s="98"/>
      <c r="J235" s="98"/>
      <c r="K235" s="83"/>
      <c r="L235" s="110"/>
      <c r="M235" s="110"/>
      <c r="N235" s="110"/>
      <c r="O235" s="111"/>
      <c r="P235" s="111"/>
      <c r="Q235" s="111"/>
      <c r="R235" s="111"/>
      <c r="Y235" s="110"/>
      <c r="Z235" s="110"/>
    </row>
    <row r="236" spans="2:26" s="108" customFormat="1">
      <c r="B236" s="109"/>
      <c r="C236" s="110"/>
      <c r="D236" s="109"/>
      <c r="E236" s="109"/>
      <c r="F236" s="97"/>
      <c r="G236" s="109"/>
      <c r="H236" s="109"/>
      <c r="I236" s="98"/>
      <c r="J236" s="98"/>
      <c r="K236" s="83"/>
      <c r="L236" s="110"/>
      <c r="M236" s="110"/>
      <c r="N236" s="110"/>
      <c r="O236" s="111"/>
      <c r="P236" s="111"/>
      <c r="Q236" s="111"/>
      <c r="R236" s="111"/>
      <c r="Y236" s="110"/>
      <c r="Z236" s="110"/>
    </row>
    <row r="237" spans="2:26" s="108" customFormat="1">
      <c r="B237" s="109"/>
      <c r="C237" s="110"/>
      <c r="D237" s="109"/>
      <c r="E237" s="109"/>
      <c r="F237" s="97"/>
      <c r="G237" s="109"/>
      <c r="H237" s="109"/>
      <c r="I237" s="98"/>
      <c r="J237" s="98"/>
      <c r="K237" s="83"/>
      <c r="L237" s="110"/>
      <c r="M237" s="110"/>
      <c r="N237" s="110"/>
      <c r="O237" s="111"/>
      <c r="P237" s="111"/>
      <c r="Q237" s="111"/>
      <c r="R237" s="111"/>
      <c r="Y237" s="110"/>
      <c r="Z237" s="110"/>
    </row>
    <row r="238" spans="2:26" s="108" customFormat="1">
      <c r="B238" s="109"/>
      <c r="C238" s="110"/>
      <c r="D238" s="109"/>
      <c r="E238" s="109"/>
      <c r="F238" s="97"/>
      <c r="G238" s="109"/>
      <c r="H238" s="109"/>
      <c r="I238" s="98"/>
      <c r="J238" s="98"/>
      <c r="K238" s="83"/>
      <c r="L238" s="110"/>
      <c r="M238" s="110"/>
      <c r="N238" s="110"/>
      <c r="O238" s="111"/>
      <c r="P238" s="111"/>
      <c r="Q238" s="111"/>
      <c r="R238" s="111"/>
      <c r="Y238" s="110"/>
      <c r="Z238" s="110"/>
    </row>
    <row r="239" spans="2:26" s="108" customFormat="1">
      <c r="B239" s="109"/>
      <c r="C239" s="110"/>
      <c r="D239" s="109"/>
      <c r="E239" s="109"/>
      <c r="F239" s="97"/>
      <c r="G239" s="109"/>
      <c r="H239" s="109"/>
      <c r="I239" s="98"/>
      <c r="J239" s="98"/>
      <c r="K239" s="83"/>
      <c r="L239" s="110"/>
      <c r="M239" s="110"/>
      <c r="N239" s="110"/>
      <c r="O239" s="111"/>
      <c r="P239" s="111"/>
      <c r="Q239" s="111"/>
      <c r="R239" s="111"/>
      <c r="Y239" s="110"/>
      <c r="Z239" s="110"/>
    </row>
    <row r="240" spans="2:26" s="108" customFormat="1">
      <c r="B240" s="109"/>
      <c r="C240" s="110"/>
      <c r="D240" s="109"/>
      <c r="E240" s="109"/>
      <c r="F240" s="97"/>
      <c r="G240" s="109"/>
      <c r="H240" s="109"/>
      <c r="I240" s="98"/>
      <c r="J240" s="98"/>
      <c r="K240" s="83"/>
      <c r="L240" s="110"/>
      <c r="M240" s="110"/>
      <c r="N240" s="110"/>
      <c r="O240" s="111"/>
      <c r="P240" s="111"/>
      <c r="Q240" s="111"/>
      <c r="R240" s="111"/>
      <c r="Y240" s="110"/>
      <c r="Z240" s="110"/>
    </row>
    <row r="241" spans="2:26" s="108" customFormat="1">
      <c r="B241" s="109"/>
      <c r="C241" s="110"/>
      <c r="D241" s="109"/>
      <c r="E241" s="109"/>
      <c r="F241" s="97"/>
      <c r="G241" s="109"/>
      <c r="H241" s="109"/>
      <c r="I241" s="98"/>
      <c r="J241" s="98"/>
      <c r="K241" s="83"/>
      <c r="L241" s="110"/>
      <c r="M241" s="110"/>
      <c r="N241" s="110"/>
      <c r="O241" s="111"/>
      <c r="P241" s="111"/>
      <c r="Q241" s="111"/>
      <c r="R241" s="111"/>
      <c r="Y241" s="110"/>
      <c r="Z241" s="110"/>
    </row>
    <row r="242" spans="2:26" s="108" customFormat="1">
      <c r="B242" s="109"/>
      <c r="C242" s="110"/>
      <c r="D242" s="109"/>
      <c r="E242" s="109"/>
      <c r="F242" s="97"/>
      <c r="G242" s="109"/>
      <c r="H242" s="109"/>
      <c r="I242" s="98"/>
      <c r="J242" s="98"/>
      <c r="K242" s="83"/>
      <c r="L242" s="110"/>
      <c r="M242" s="110"/>
      <c r="N242" s="110"/>
      <c r="O242" s="111"/>
      <c r="P242" s="111"/>
      <c r="Q242" s="111"/>
      <c r="R242" s="111"/>
      <c r="Y242" s="110"/>
      <c r="Z242" s="110"/>
    </row>
    <row r="243" spans="2:26" s="108" customFormat="1">
      <c r="B243" s="109"/>
      <c r="C243" s="110"/>
      <c r="D243" s="109"/>
      <c r="E243" s="109"/>
      <c r="F243" s="97"/>
      <c r="G243" s="109"/>
      <c r="H243" s="109"/>
      <c r="I243" s="98"/>
      <c r="J243" s="98"/>
      <c r="K243" s="83"/>
      <c r="L243" s="110"/>
      <c r="M243" s="110"/>
      <c r="N243" s="110"/>
      <c r="O243" s="111"/>
      <c r="P243" s="111"/>
      <c r="Q243" s="111"/>
      <c r="R243" s="111"/>
      <c r="Y243" s="110"/>
      <c r="Z243" s="110"/>
    </row>
    <row r="244" spans="2:26" s="108" customFormat="1">
      <c r="B244" s="109"/>
      <c r="C244" s="110"/>
      <c r="D244" s="109"/>
      <c r="E244" s="109"/>
      <c r="F244" s="97"/>
      <c r="G244" s="109"/>
      <c r="H244" s="109"/>
      <c r="I244" s="98"/>
      <c r="J244" s="98"/>
      <c r="K244" s="83"/>
      <c r="L244" s="110"/>
      <c r="M244" s="110"/>
      <c r="N244" s="110"/>
      <c r="O244" s="111"/>
      <c r="P244" s="111"/>
      <c r="Q244" s="111"/>
      <c r="R244" s="111"/>
      <c r="Y244" s="110"/>
      <c r="Z244" s="110"/>
    </row>
    <row r="245" spans="2:26" s="108" customFormat="1">
      <c r="B245" s="109"/>
      <c r="C245" s="110"/>
      <c r="D245" s="109"/>
      <c r="E245" s="109"/>
      <c r="F245" s="97"/>
      <c r="G245" s="109"/>
      <c r="H245" s="109"/>
      <c r="I245" s="98"/>
      <c r="J245" s="98"/>
      <c r="K245" s="83"/>
      <c r="L245" s="110"/>
      <c r="M245" s="110"/>
      <c r="N245" s="110"/>
      <c r="O245" s="111"/>
      <c r="P245" s="111"/>
      <c r="Q245" s="111"/>
      <c r="R245" s="111"/>
      <c r="Y245" s="110"/>
      <c r="Z245" s="110"/>
    </row>
    <row r="246" spans="2:26" s="108" customFormat="1">
      <c r="B246" s="109"/>
      <c r="C246" s="110"/>
      <c r="D246" s="109"/>
      <c r="E246" s="109"/>
      <c r="F246" s="97"/>
      <c r="G246" s="109"/>
      <c r="H246" s="109"/>
      <c r="I246" s="98"/>
      <c r="J246" s="98"/>
      <c r="K246" s="83"/>
      <c r="L246" s="110"/>
      <c r="M246" s="110"/>
      <c r="N246" s="110"/>
      <c r="O246" s="111"/>
      <c r="P246" s="111"/>
      <c r="Q246" s="111"/>
      <c r="R246" s="111"/>
      <c r="Y246" s="110"/>
      <c r="Z246" s="110"/>
    </row>
    <row r="247" spans="2:26" s="108" customFormat="1">
      <c r="B247" s="109"/>
      <c r="C247" s="110"/>
      <c r="D247" s="109"/>
      <c r="E247" s="109"/>
      <c r="F247" s="97"/>
      <c r="G247" s="109"/>
      <c r="H247" s="109"/>
      <c r="I247" s="98"/>
      <c r="J247" s="98"/>
      <c r="K247" s="83"/>
      <c r="L247" s="110"/>
      <c r="M247" s="110"/>
      <c r="N247" s="110"/>
      <c r="O247" s="111"/>
      <c r="P247" s="111"/>
      <c r="Q247" s="111"/>
      <c r="R247" s="111"/>
      <c r="Y247" s="110"/>
      <c r="Z247" s="110"/>
    </row>
    <row r="248" spans="2:26" s="108" customFormat="1">
      <c r="B248" s="109"/>
      <c r="C248" s="110"/>
      <c r="D248" s="109"/>
      <c r="E248" s="109"/>
      <c r="F248" s="97"/>
      <c r="G248" s="109"/>
      <c r="H248" s="109"/>
      <c r="I248" s="98"/>
      <c r="J248" s="98"/>
      <c r="K248" s="83"/>
      <c r="L248" s="110"/>
      <c r="M248" s="110"/>
      <c r="N248" s="110"/>
      <c r="O248" s="111"/>
      <c r="P248" s="111"/>
      <c r="Q248" s="111"/>
      <c r="R248" s="111"/>
      <c r="Y248" s="110"/>
      <c r="Z248" s="110"/>
    </row>
    <row r="249" spans="2:26" s="108" customFormat="1">
      <c r="B249" s="109"/>
      <c r="C249" s="110"/>
      <c r="D249" s="109"/>
      <c r="E249" s="109"/>
      <c r="F249" s="97"/>
      <c r="G249" s="109"/>
      <c r="H249" s="109"/>
      <c r="I249" s="98"/>
      <c r="J249" s="98"/>
      <c r="K249" s="83"/>
      <c r="L249" s="110"/>
      <c r="M249" s="110"/>
      <c r="N249" s="110"/>
      <c r="O249" s="111"/>
      <c r="P249" s="111"/>
      <c r="Q249" s="111"/>
      <c r="R249" s="111"/>
      <c r="Y249" s="110"/>
      <c r="Z249" s="110"/>
    </row>
    <row r="250" spans="2:26" s="108" customFormat="1">
      <c r="B250" s="109"/>
      <c r="C250" s="110"/>
      <c r="D250" s="109"/>
      <c r="E250" s="109"/>
      <c r="F250" s="97"/>
      <c r="G250" s="109"/>
      <c r="H250" s="109"/>
      <c r="I250" s="98"/>
      <c r="J250" s="98"/>
      <c r="K250" s="83"/>
      <c r="L250" s="110"/>
      <c r="M250" s="110"/>
      <c r="N250" s="110"/>
      <c r="O250" s="111"/>
      <c r="P250" s="111"/>
      <c r="Q250" s="111"/>
      <c r="R250" s="111"/>
      <c r="Y250" s="110"/>
      <c r="Z250" s="110"/>
    </row>
    <row r="251" spans="2:26" s="108" customFormat="1">
      <c r="B251" s="109"/>
      <c r="C251" s="110"/>
      <c r="D251" s="109"/>
      <c r="E251" s="109"/>
      <c r="F251" s="97"/>
      <c r="G251" s="109"/>
      <c r="H251" s="109"/>
      <c r="I251" s="98"/>
      <c r="J251" s="98"/>
      <c r="K251" s="83"/>
      <c r="L251" s="110"/>
      <c r="M251" s="110"/>
      <c r="N251" s="110"/>
      <c r="O251" s="111"/>
      <c r="P251" s="111"/>
      <c r="Q251" s="111"/>
      <c r="R251" s="111"/>
      <c r="Y251" s="110"/>
      <c r="Z251" s="110"/>
    </row>
    <row r="252" spans="2:26" s="108" customFormat="1">
      <c r="B252" s="109"/>
      <c r="C252" s="110"/>
      <c r="D252" s="109"/>
      <c r="E252" s="109"/>
      <c r="F252" s="97"/>
      <c r="G252" s="109"/>
      <c r="H252" s="109"/>
      <c r="I252" s="98"/>
      <c r="J252" s="98"/>
      <c r="K252" s="83"/>
      <c r="L252" s="110"/>
      <c r="M252" s="110"/>
      <c r="N252" s="110"/>
      <c r="O252" s="111"/>
      <c r="P252" s="111"/>
      <c r="Q252" s="111"/>
      <c r="R252" s="111"/>
      <c r="Y252" s="110"/>
      <c r="Z252" s="110"/>
    </row>
    <row r="253" spans="2:26" s="108" customFormat="1">
      <c r="B253" s="109"/>
      <c r="C253" s="110"/>
      <c r="D253" s="109"/>
      <c r="E253" s="109"/>
      <c r="F253" s="97"/>
      <c r="G253" s="109"/>
      <c r="H253" s="109"/>
      <c r="I253" s="98"/>
      <c r="J253" s="98"/>
      <c r="K253" s="83"/>
      <c r="L253" s="110"/>
      <c r="M253" s="110"/>
      <c r="N253" s="110"/>
      <c r="O253" s="111"/>
      <c r="P253" s="111"/>
      <c r="Q253" s="111"/>
      <c r="R253" s="111"/>
      <c r="Y253" s="110"/>
      <c r="Z253" s="110"/>
    </row>
    <row r="254" spans="2:26" s="108" customFormat="1">
      <c r="B254" s="109"/>
      <c r="C254" s="110"/>
      <c r="D254" s="109"/>
      <c r="E254" s="109"/>
      <c r="F254" s="97"/>
      <c r="G254" s="109"/>
      <c r="H254" s="109"/>
      <c r="I254" s="98"/>
      <c r="J254" s="98"/>
      <c r="K254" s="83"/>
      <c r="L254" s="110"/>
      <c r="M254" s="110"/>
      <c r="N254" s="110"/>
      <c r="O254" s="111"/>
      <c r="P254" s="111"/>
      <c r="Q254" s="111"/>
      <c r="R254" s="111"/>
      <c r="Y254" s="110"/>
      <c r="Z254" s="110"/>
    </row>
    <row r="255" spans="2:26" s="108" customFormat="1">
      <c r="B255" s="109"/>
      <c r="C255" s="110"/>
      <c r="D255" s="109"/>
      <c r="E255" s="109"/>
      <c r="F255" s="97"/>
      <c r="G255" s="109"/>
      <c r="H255" s="109"/>
      <c r="I255" s="98"/>
      <c r="J255" s="98"/>
      <c r="K255" s="83"/>
      <c r="L255" s="110"/>
      <c r="M255" s="110"/>
      <c r="N255" s="110"/>
      <c r="O255" s="111"/>
      <c r="P255" s="111"/>
      <c r="Q255" s="111"/>
      <c r="R255" s="111"/>
      <c r="Y255" s="110"/>
      <c r="Z255" s="110"/>
    </row>
    <row r="256" spans="2:26" s="108" customFormat="1">
      <c r="B256" s="109"/>
      <c r="C256" s="110"/>
      <c r="D256" s="109"/>
      <c r="E256" s="109"/>
      <c r="F256" s="97"/>
      <c r="G256" s="109"/>
      <c r="H256" s="109"/>
      <c r="I256" s="98"/>
      <c r="J256" s="98"/>
      <c r="K256" s="83"/>
      <c r="L256" s="110"/>
      <c r="M256" s="110"/>
      <c r="N256" s="110"/>
      <c r="O256" s="111"/>
      <c r="P256" s="111"/>
      <c r="Q256" s="111"/>
      <c r="R256" s="111"/>
      <c r="Y256" s="110"/>
      <c r="Z256" s="110"/>
    </row>
    <row r="257" spans="2:26" s="108" customFormat="1">
      <c r="B257" s="109"/>
      <c r="C257" s="110"/>
      <c r="D257" s="109"/>
      <c r="E257" s="109"/>
      <c r="F257" s="97"/>
      <c r="G257" s="109"/>
      <c r="H257" s="109"/>
      <c r="I257" s="98"/>
      <c r="J257" s="98"/>
      <c r="K257" s="83"/>
      <c r="L257" s="110"/>
      <c r="M257" s="110"/>
      <c r="N257" s="110"/>
      <c r="O257" s="111"/>
      <c r="P257" s="111"/>
      <c r="Q257" s="111"/>
      <c r="R257" s="111"/>
      <c r="Y257" s="110"/>
      <c r="Z257" s="110"/>
    </row>
    <row r="258" spans="2:26" s="108" customFormat="1">
      <c r="B258" s="109"/>
      <c r="C258" s="110"/>
      <c r="D258" s="109"/>
      <c r="E258" s="109"/>
      <c r="F258" s="97"/>
      <c r="G258" s="109"/>
      <c r="H258" s="109"/>
      <c r="I258" s="98"/>
      <c r="J258" s="98"/>
      <c r="K258" s="83"/>
      <c r="L258" s="110"/>
      <c r="M258" s="110"/>
      <c r="N258" s="110"/>
      <c r="O258" s="111"/>
      <c r="P258" s="111"/>
      <c r="Q258" s="111"/>
      <c r="R258" s="111"/>
      <c r="Y258" s="110"/>
      <c r="Z258" s="110"/>
    </row>
    <row r="259" spans="2:26" s="108" customFormat="1">
      <c r="B259" s="109"/>
      <c r="C259" s="110"/>
      <c r="D259" s="109"/>
      <c r="E259" s="109"/>
      <c r="F259" s="97"/>
      <c r="G259" s="109"/>
      <c r="H259" s="109"/>
      <c r="I259" s="98"/>
      <c r="J259" s="98"/>
      <c r="K259" s="83"/>
      <c r="L259" s="110"/>
      <c r="M259" s="110"/>
      <c r="N259" s="110"/>
      <c r="O259" s="111"/>
      <c r="P259" s="111"/>
      <c r="Q259" s="111"/>
      <c r="R259" s="111"/>
      <c r="Y259" s="110"/>
      <c r="Z259" s="110"/>
    </row>
    <row r="260" spans="2:26" s="108" customFormat="1">
      <c r="B260" s="109"/>
      <c r="C260" s="110"/>
      <c r="D260" s="109"/>
      <c r="E260" s="109"/>
      <c r="F260" s="97"/>
      <c r="G260" s="109"/>
      <c r="H260" s="109"/>
      <c r="I260" s="98"/>
      <c r="J260" s="98"/>
      <c r="K260" s="83"/>
      <c r="L260" s="110"/>
      <c r="M260" s="110"/>
      <c r="N260" s="110"/>
      <c r="O260" s="111"/>
      <c r="P260" s="111"/>
      <c r="Q260" s="111"/>
      <c r="R260" s="111"/>
      <c r="Y260" s="110"/>
      <c r="Z260" s="110"/>
    </row>
    <row r="261" spans="2:26" s="108" customFormat="1">
      <c r="B261" s="109"/>
      <c r="C261" s="110"/>
      <c r="D261" s="109"/>
      <c r="E261" s="109"/>
      <c r="F261" s="97"/>
      <c r="G261" s="109"/>
      <c r="H261" s="109"/>
      <c r="I261" s="98"/>
      <c r="J261" s="98"/>
      <c r="K261" s="83"/>
      <c r="L261" s="110"/>
      <c r="M261" s="110"/>
      <c r="N261" s="110"/>
      <c r="O261" s="111"/>
      <c r="P261" s="111"/>
      <c r="Q261" s="111"/>
      <c r="R261" s="111"/>
      <c r="Y261" s="110"/>
      <c r="Z261" s="110"/>
    </row>
    <row r="262" spans="2:26" s="108" customFormat="1">
      <c r="B262" s="109"/>
      <c r="C262" s="110"/>
      <c r="D262" s="109"/>
      <c r="E262" s="109"/>
      <c r="F262" s="97"/>
      <c r="G262" s="109"/>
      <c r="H262" s="109"/>
      <c r="I262" s="98"/>
      <c r="J262" s="98"/>
      <c r="K262" s="83"/>
      <c r="L262" s="110"/>
      <c r="M262" s="110"/>
      <c r="N262" s="110"/>
      <c r="O262" s="111"/>
      <c r="P262" s="111"/>
      <c r="Q262" s="111"/>
      <c r="R262" s="111"/>
      <c r="Y262" s="110"/>
      <c r="Z262" s="110"/>
    </row>
    <row r="263" spans="2:26" s="108" customFormat="1">
      <c r="B263" s="109"/>
      <c r="C263" s="110"/>
      <c r="D263" s="109"/>
      <c r="E263" s="109"/>
      <c r="F263" s="97"/>
      <c r="G263" s="109"/>
      <c r="H263" s="109"/>
      <c r="I263" s="98"/>
      <c r="J263" s="98"/>
      <c r="K263" s="83"/>
      <c r="L263" s="110"/>
      <c r="M263" s="110"/>
      <c r="N263" s="110"/>
      <c r="O263" s="111"/>
      <c r="P263" s="111"/>
      <c r="Q263" s="111"/>
      <c r="R263" s="111"/>
      <c r="Y263" s="110"/>
      <c r="Z263" s="110"/>
    </row>
    <row r="264" spans="2:26" s="108" customFormat="1">
      <c r="B264" s="109"/>
      <c r="C264" s="110"/>
      <c r="D264" s="109"/>
      <c r="E264" s="109"/>
      <c r="F264" s="97"/>
      <c r="G264" s="109"/>
      <c r="H264" s="109"/>
      <c r="I264" s="98"/>
      <c r="J264" s="98"/>
      <c r="K264" s="83"/>
      <c r="L264" s="110"/>
      <c r="M264" s="110"/>
      <c r="N264" s="110"/>
      <c r="O264" s="111"/>
      <c r="P264" s="111"/>
      <c r="Q264" s="111"/>
      <c r="R264" s="111"/>
      <c r="Y264" s="110"/>
      <c r="Z264" s="110"/>
    </row>
    <row r="265" spans="2:26" s="108" customFormat="1">
      <c r="B265" s="109"/>
      <c r="C265" s="110"/>
      <c r="D265" s="109"/>
      <c r="E265" s="109"/>
      <c r="F265" s="97"/>
      <c r="G265" s="109"/>
      <c r="H265" s="109"/>
      <c r="I265" s="98"/>
      <c r="J265" s="98"/>
      <c r="K265" s="83"/>
      <c r="L265" s="110"/>
      <c r="M265" s="110"/>
      <c r="N265" s="110"/>
      <c r="O265" s="111"/>
      <c r="P265" s="111"/>
      <c r="Q265" s="111"/>
      <c r="R265" s="111"/>
      <c r="Y265" s="110"/>
      <c r="Z265" s="110"/>
    </row>
    <row r="266" spans="2:26" s="108" customFormat="1">
      <c r="B266" s="109"/>
      <c r="C266" s="110"/>
      <c r="D266" s="109"/>
      <c r="E266" s="109"/>
      <c r="F266" s="97"/>
      <c r="G266" s="109"/>
      <c r="H266" s="109"/>
      <c r="I266" s="98"/>
      <c r="J266" s="98"/>
      <c r="K266" s="83"/>
      <c r="L266" s="110"/>
      <c r="M266" s="110"/>
      <c r="N266" s="110"/>
      <c r="O266" s="111"/>
      <c r="P266" s="111"/>
      <c r="Q266" s="111"/>
      <c r="R266" s="111"/>
      <c r="Y266" s="110"/>
      <c r="Z266" s="110"/>
    </row>
    <row r="267" spans="2:26" s="108" customFormat="1">
      <c r="B267" s="109"/>
      <c r="C267" s="110"/>
      <c r="D267" s="109"/>
      <c r="E267" s="109"/>
      <c r="F267" s="97"/>
      <c r="G267" s="109"/>
      <c r="H267" s="109"/>
      <c r="I267" s="98"/>
      <c r="J267" s="98"/>
      <c r="K267" s="83"/>
      <c r="L267" s="110"/>
      <c r="M267" s="110"/>
      <c r="N267" s="110"/>
      <c r="O267" s="111"/>
      <c r="P267" s="111"/>
      <c r="Q267" s="111"/>
      <c r="R267" s="111"/>
      <c r="Y267" s="110"/>
      <c r="Z267" s="110"/>
    </row>
    <row r="268" spans="2:26" s="108" customFormat="1">
      <c r="B268" s="109"/>
      <c r="C268" s="110"/>
      <c r="D268" s="109"/>
      <c r="E268" s="109"/>
      <c r="F268" s="97"/>
      <c r="G268" s="109"/>
      <c r="H268" s="109"/>
      <c r="I268" s="98"/>
      <c r="J268" s="98"/>
      <c r="K268" s="83"/>
      <c r="L268" s="110"/>
      <c r="M268" s="110"/>
      <c r="N268" s="110"/>
      <c r="O268" s="111"/>
      <c r="P268" s="111"/>
      <c r="Q268" s="111"/>
      <c r="R268" s="111"/>
      <c r="Y268" s="110"/>
      <c r="Z268" s="110"/>
    </row>
    <row r="269" spans="2:26" s="108" customFormat="1">
      <c r="B269" s="109"/>
      <c r="C269" s="110"/>
      <c r="D269" s="109"/>
      <c r="E269" s="109"/>
      <c r="F269" s="97"/>
      <c r="G269" s="109"/>
      <c r="H269" s="109"/>
      <c r="I269" s="98"/>
      <c r="J269" s="98"/>
      <c r="K269" s="83"/>
      <c r="L269" s="110"/>
      <c r="M269" s="110"/>
      <c r="N269" s="110"/>
      <c r="O269" s="111"/>
      <c r="P269" s="111"/>
      <c r="Q269" s="111"/>
      <c r="R269" s="111"/>
      <c r="Y269" s="110"/>
      <c r="Z269" s="110"/>
    </row>
    <row r="270" spans="2:26" s="108" customFormat="1">
      <c r="B270" s="109"/>
      <c r="C270" s="110"/>
      <c r="D270" s="109"/>
      <c r="E270" s="109"/>
      <c r="F270" s="97"/>
      <c r="G270" s="109"/>
      <c r="H270" s="109"/>
      <c r="I270" s="98"/>
      <c r="J270" s="98"/>
      <c r="K270" s="83"/>
      <c r="L270" s="110"/>
      <c r="M270" s="110"/>
      <c r="N270" s="110"/>
      <c r="O270" s="111"/>
      <c r="P270" s="111"/>
      <c r="Q270" s="111"/>
      <c r="R270" s="111"/>
      <c r="Y270" s="110"/>
      <c r="Z270" s="110"/>
    </row>
    <row r="271" spans="2:26" s="108" customFormat="1">
      <c r="B271" s="109"/>
      <c r="C271" s="110"/>
      <c r="D271" s="109"/>
      <c r="E271" s="109"/>
      <c r="F271" s="97"/>
      <c r="G271" s="109"/>
      <c r="H271" s="109"/>
      <c r="I271" s="98"/>
      <c r="J271" s="98"/>
      <c r="K271" s="83"/>
      <c r="L271" s="110"/>
      <c r="M271" s="110"/>
      <c r="N271" s="110"/>
      <c r="O271" s="111"/>
      <c r="P271" s="111"/>
      <c r="Q271" s="111"/>
      <c r="R271" s="111"/>
      <c r="Y271" s="110"/>
      <c r="Z271" s="110"/>
    </row>
    <row r="272" spans="2:26" s="108" customFormat="1">
      <c r="B272" s="109"/>
      <c r="C272" s="110"/>
      <c r="D272" s="109"/>
      <c r="E272" s="109"/>
      <c r="F272" s="97"/>
      <c r="G272" s="109"/>
      <c r="H272" s="109"/>
      <c r="I272" s="98"/>
      <c r="J272" s="98"/>
      <c r="K272" s="83"/>
      <c r="L272" s="110"/>
      <c r="M272" s="110"/>
      <c r="N272" s="110"/>
      <c r="O272" s="111"/>
      <c r="P272" s="111"/>
      <c r="Q272" s="111"/>
      <c r="R272" s="111"/>
      <c r="Y272" s="110"/>
      <c r="Z272" s="110"/>
    </row>
    <row r="273" spans="2:26" s="108" customFormat="1">
      <c r="B273" s="109"/>
      <c r="C273" s="110"/>
      <c r="D273" s="109"/>
      <c r="E273" s="109"/>
      <c r="F273" s="97"/>
      <c r="G273" s="109"/>
      <c r="H273" s="109"/>
      <c r="I273" s="98"/>
      <c r="J273" s="98"/>
      <c r="K273" s="83"/>
      <c r="L273" s="110"/>
      <c r="M273" s="110"/>
      <c r="N273" s="110"/>
      <c r="O273" s="111"/>
      <c r="P273" s="111"/>
      <c r="Q273" s="111"/>
      <c r="R273" s="111"/>
      <c r="Y273" s="110"/>
      <c r="Z273" s="110"/>
    </row>
    <row r="274" spans="2:26" s="108" customFormat="1">
      <c r="B274" s="109"/>
      <c r="C274" s="110"/>
      <c r="D274" s="109"/>
      <c r="E274" s="109"/>
      <c r="F274" s="97"/>
      <c r="G274" s="109"/>
      <c r="H274" s="109"/>
      <c r="I274" s="98"/>
      <c r="J274" s="98"/>
      <c r="K274" s="83"/>
      <c r="L274" s="110"/>
      <c r="M274" s="110"/>
      <c r="N274" s="110"/>
      <c r="O274" s="111"/>
      <c r="P274" s="111"/>
      <c r="Q274" s="111"/>
      <c r="R274" s="111"/>
      <c r="Y274" s="110"/>
      <c r="Z274" s="110"/>
    </row>
    <row r="275" spans="2:26" s="108" customFormat="1">
      <c r="B275" s="109"/>
      <c r="C275" s="110"/>
      <c r="D275" s="109"/>
      <c r="E275" s="109"/>
      <c r="F275" s="97"/>
      <c r="G275" s="109"/>
      <c r="H275" s="109"/>
      <c r="I275" s="98"/>
      <c r="J275" s="98"/>
      <c r="K275" s="83"/>
      <c r="L275" s="110"/>
      <c r="M275" s="110"/>
      <c r="N275" s="110"/>
      <c r="O275" s="111"/>
      <c r="P275" s="111"/>
      <c r="Q275" s="111"/>
      <c r="R275" s="111"/>
      <c r="Y275" s="110"/>
      <c r="Z275" s="110"/>
    </row>
    <row r="276" spans="2:26" s="108" customFormat="1">
      <c r="B276" s="109"/>
      <c r="C276" s="110"/>
      <c r="D276" s="109"/>
      <c r="E276" s="109"/>
      <c r="F276" s="97"/>
      <c r="G276" s="109"/>
      <c r="H276" s="109"/>
      <c r="I276" s="98"/>
      <c r="J276" s="98"/>
      <c r="K276" s="83"/>
      <c r="L276" s="110"/>
      <c r="M276" s="110"/>
      <c r="N276" s="110"/>
      <c r="O276" s="111"/>
      <c r="P276" s="111"/>
      <c r="Q276" s="111"/>
      <c r="R276" s="111"/>
      <c r="Y276" s="110"/>
      <c r="Z276" s="110"/>
    </row>
    <row r="277" spans="2:26" s="108" customFormat="1">
      <c r="B277" s="109"/>
      <c r="C277" s="110"/>
      <c r="D277" s="109"/>
      <c r="E277" s="109"/>
      <c r="F277" s="97"/>
      <c r="G277" s="109"/>
      <c r="H277" s="109"/>
      <c r="I277" s="98"/>
      <c r="J277" s="98"/>
      <c r="K277" s="83"/>
      <c r="L277" s="110"/>
      <c r="M277" s="110"/>
      <c r="N277" s="110"/>
      <c r="O277" s="111"/>
      <c r="P277" s="111"/>
      <c r="Q277" s="111"/>
      <c r="R277" s="111"/>
      <c r="Y277" s="110"/>
      <c r="Z277" s="110"/>
    </row>
    <row r="278" spans="2:26" s="108" customFormat="1">
      <c r="B278" s="109"/>
      <c r="C278" s="110"/>
      <c r="D278" s="109"/>
      <c r="E278" s="109"/>
      <c r="F278" s="97"/>
      <c r="G278" s="109"/>
      <c r="H278" s="109"/>
      <c r="I278" s="98"/>
      <c r="J278" s="98"/>
      <c r="K278" s="83"/>
      <c r="L278" s="110"/>
      <c r="M278" s="110"/>
      <c r="N278" s="110"/>
      <c r="O278" s="111"/>
      <c r="P278" s="111"/>
      <c r="Q278" s="111"/>
      <c r="R278" s="111"/>
      <c r="Y278" s="110"/>
      <c r="Z278" s="110"/>
    </row>
    <row r="279" spans="2:26" s="108" customFormat="1">
      <c r="B279" s="109"/>
      <c r="C279" s="110"/>
      <c r="D279" s="109"/>
      <c r="E279" s="109"/>
      <c r="F279" s="97"/>
      <c r="G279" s="109"/>
      <c r="H279" s="109"/>
      <c r="I279" s="98"/>
      <c r="J279" s="98"/>
      <c r="K279" s="83"/>
      <c r="L279" s="110"/>
      <c r="M279" s="110"/>
      <c r="N279" s="110"/>
      <c r="O279" s="111"/>
      <c r="P279" s="111"/>
      <c r="Q279" s="111"/>
      <c r="R279" s="111"/>
      <c r="Y279" s="110"/>
      <c r="Z279" s="110"/>
    </row>
    <row r="280" spans="2:26" s="108" customFormat="1">
      <c r="B280" s="109"/>
      <c r="C280" s="110"/>
      <c r="D280" s="109"/>
      <c r="E280" s="109"/>
      <c r="F280" s="97"/>
      <c r="G280" s="109"/>
      <c r="H280" s="109"/>
      <c r="I280" s="98"/>
      <c r="J280" s="98"/>
      <c r="K280" s="83"/>
      <c r="L280" s="110"/>
      <c r="M280" s="110"/>
      <c r="N280" s="110"/>
      <c r="O280" s="111"/>
      <c r="P280" s="111"/>
      <c r="Q280" s="111"/>
      <c r="R280" s="111"/>
      <c r="Y280" s="110"/>
      <c r="Z280" s="110"/>
    </row>
    <row r="281" spans="2:26" s="108" customFormat="1">
      <c r="B281" s="109"/>
      <c r="C281" s="110"/>
      <c r="D281" s="109"/>
      <c r="E281" s="109"/>
      <c r="F281" s="97"/>
      <c r="G281" s="109"/>
      <c r="H281" s="109"/>
      <c r="I281" s="98"/>
      <c r="J281" s="98"/>
      <c r="K281" s="83"/>
      <c r="L281" s="110"/>
      <c r="M281" s="110"/>
      <c r="N281" s="110"/>
      <c r="O281" s="111"/>
      <c r="P281" s="111"/>
      <c r="Q281" s="111"/>
      <c r="R281" s="111"/>
      <c r="Y281" s="110"/>
      <c r="Z281" s="110"/>
    </row>
    <row r="282" spans="2:26" s="108" customFormat="1">
      <c r="B282" s="109"/>
      <c r="C282" s="110"/>
      <c r="D282" s="109"/>
      <c r="E282" s="109"/>
      <c r="F282" s="97"/>
      <c r="G282" s="109"/>
      <c r="H282" s="109"/>
      <c r="I282" s="98"/>
      <c r="J282" s="98"/>
      <c r="K282" s="83"/>
      <c r="L282" s="110"/>
      <c r="M282" s="110"/>
      <c r="N282" s="110"/>
      <c r="O282" s="111"/>
      <c r="P282" s="111"/>
      <c r="Q282" s="111"/>
      <c r="R282" s="111"/>
      <c r="Y282" s="110"/>
      <c r="Z282" s="110"/>
    </row>
    <row r="283" spans="2:26" s="108" customFormat="1">
      <c r="B283" s="109"/>
      <c r="C283" s="110"/>
      <c r="D283" s="109"/>
      <c r="E283" s="109"/>
      <c r="F283" s="97"/>
      <c r="G283" s="109"/>
      <c r="H283" s="109"/>
      <c r="I283" s="98"/>
      <c r="J283" s="98"/>
      <c r="K283" s="83"/>
      <c r="L283" s="110"/>
      <c r="M283" s="110"/>
      <c r="N283" s="110"/>
      <c r="O283" s="111"/>
      <c r="P283" s="111"/>
      <c r="Q283" s="111"/>
      <c r="R283" s="111"/>
      <c r="Y283" s="110"/>
      <c r="Z283" s="110"/>
    </row>
    <row r="284" spans="2:26" s="108" customFormat="1">
      <c r="B284" s="109"/>
      <c r="C284" s="110"/>
      <c r="D284" s="109"/>
      <c r="E284" s="109"/>
      <c r="F284" s="97"/>
      <c r="G284" s="109"/>
      <c r="H284" s="109"/>
      <c r="I284" s="98"/>
      <c r="J284" s="98"/>
      <c r="K284" s="83"/>
      <c r="L284" s="110"/>
      <c r="M284" s="110"/>
      <c r="N284" s="110"/>
      <c r="O284" s="111"/>
      <c r="P284" s="111"/>
      <c r="Q284" s="111"/>
      <c r="R284" s="111"/>
      <c r="Y284" s="110"/>
      <c r="Z284" s="110"/>
    </row>
    <row r="285" spans="2:26" s="108" customFormat="1">
      <c r="B285" s="109"/>
      <c r="C285" s="110"/>
      <c r="D285" s="109"/>
      <c r="E285" s="109"/>
      <c r="F285" s="97"/>
      <c r="G285" s="109"/>
      <c r="H285" s="109"/>
      <c r="I285" s="98"/>
      <c r="J285" s="98"/>
      <c r="K285" s="83"/>
      <c r="L285" s="110"/>
      <c r="M285" s="110"/>
      <c r="N285" s="110"/>
      <c r="O285" s="111"/>
      <c r="P285" s="111"/>
      <c r="Q285" s="111"/>
      <c r="R285" s="111"/>
      <c r="Y285" s="110"/>
      <c r="Z285" s="110"/>
    </row>
    <row r="286" spans="2:26" s="108" customFormat="1">
      <c r="B286" s="109"/>
      <c r="C286" s="110"/>
      <c r="D286" s="109"/>
      <c r="E286" s="109"/>
      <c r="F286" s="97"/>
      <c r="G286" s="109"/>
      <c r="H286" s="109"/>
      <c r="I286" s="98"/>
      <c r="J286" s="98"/>
      <c r="K286" s="83"/>
      <c r="L286" s="110"/>
      <c r="M286" s="110"/>
      <c r="N286" s="110"/>
      <c r="O286" s="111"/>
      <c r="P286" s="111"/>
      <c r="Q286" s="111"/>
      <c r="R286" s="111"/>
      <c r="Y286" s="110"/>
      <c r="Z286" s="110"/>
    </row>
    <row r="287" spans="2:26" s="108" customFormat="1">
      <c r="B287" s="109"/>
      <c r="C287" s="110"/>
      <c r="D287" s="109"/>
      <c r="E287" s="109"/>
      <c r="F287" s="97"/>
      <c r="G287" s="109"/>
      <c r="H287" s="109"/>
      <c r="I287" s="98"/>
      <c r="J287" s="98"/>
      <c r="K287" s="83"/>
      <c r="L287" s="110"/>
      <c r="M287" s="110"/>
      <c r="N287" s="110"/>
      <c r="O287" s="111"/>
      <c r="P287" s="111"/>
      <c r="Q287" s="111"/>
      <c r="R287" s="111"/>
      <c r="Y287" s="110"/>
      <c r="Z287" s="110"/>
    </row>
    <row r="288" spans="2:26" s="108" customFormat="1">
      <c r="B288" s="109"/>
      <c r="C288" s="110"/>
      <c r="D288" s="109"/>
      <c r="E288" s="109"/>
      <c r="F288" s="97"/>
      <c r="G288" s="109"/>
      <c r="H288" s="109"/>
      <c r="I288" s="98"/>
      <c r="J288" s="98"/>
      <c r="K288" s="83"/>
      <c r="L288" s="110"/>
      <c r="M288" s="110"/>
      <c r="N288" s="110"/>
      <c r="O288" s="111"/>
      <c r="P288" s="111"/>
      <c r="Q288" s="111"/>
      <c r="R288" s="111"/>
      <c r="Y288" s="110"/>
      <c r="Z288" s="110"/>
    </row>
    <row r="289" spans="2:26" s="108" customFormat="1">
      <c r="B289" s="109"/>
      <c r="C289" s="110"/>
      <c r="D289" s="109"/>
      <c r="E289" s="109"/>
      <c r="F289" s="97"/>
      <c r="G289" s="109"/>
      <c r="H289" s="109"/>
      <c r="I289" s="98"/>
      <c r="J289" s="98"/>
      <c r="K289" s="83"/>
      <c r="L289" s="110"/>
      <c r="M289" s="110"/>
      <c r="N289" s="110"/>
      <c r="O289" s="111"/>
      <c r="P289" s="111"/>
      <c r="Q289" s="111"/>
      <c r="R289" s="111"/>
      <c r="Y289" s="110"/>
      <c r="Z289" s="110"/>
    </row>
    <row r="290" spans="2:26" s="108" customFormat="1">
      <c r="B290" s="109"/>
      <c r="C290" s="110"/>
      <c r="D290" s="109"/>
      <c r="E290" s="109"/>
      <c r="F290" s="97"/>
      <c r="G290" s="109"/>
      <c r="H290" s="109"/>
      <c r="I290" s="98"/>
      <c r="J290" s="98"/>
      <c r="K290" s="83"/>
      <c r="L290" s="110"/>
      <c r="M290" s="110"/>
      <c r="N290" s="110"/>
      <c r="O290" s="111"/>
      <c r="P290" s="111"/>
      <c r="Q290" s="111"/>
      <c r="R290" s="111"/>
      <c r="Y290" s="110"/>
      <c r="Z290" s="110"/>
    </row>
    <row r="291" spans="2:26" s="108" customFormat="1">
      <c r="B291" s="109"/>
      <c r="C291" s="110"/>
      <c r="D291" s="109"/>
      <c r="E291" s="109"/>
      <c r="F291" s="97"/>
      <c r="G291" s="109"/>
      <c r="H291" s="109"/>
      <c r="I291" s="98"/>
      <c r="J291" s="98"/>
      <c r="K291" s="83"/>
      <c r="L291" s="110"/>
      <c r="M291" s="110"/>
      <c r="N291" s="110"/>
      <c r="O291" s="111"/>
      <c r="P291" s="111"/>
      <c r="Q291" s="111"/>
      <c r="R291" s="111"/>
      <c r="Y291" s="110"/>
      <c r="Z291" s="110"/>
    </row>
    <row r="292" spans="2:26" s="108" customFormat="1">
      <c r="B292" s="109"/>
      <c r="C292" s="110"/>
      <c r="D292" s="109"/>
      <c r="E292" s="109"/>
      <c r="F292" s="97"/>
      <c r="G292" s="109"/>
      <c r="H292" s="109"/>
      <c r="I292" s="98"/>
      <c r="J292" s="98"/>
      <c r="K292" s="83"/>
      <c r="L292" s="110"/>
      <c r="M292" s="110"/>
      <c r="N292" s="110"/>
      <c r="O292" s="111"/>
      <c r="P292" s="111"/>
      <c r="Q292" s="111"/>
      <c r="R292" s="111"/>
      <c r="Y292" s="110"/>
      <c r="Z292" s="110"/>
    </row>
    <row r="293" spans="2:26" s="108" customFormat="1">
      <c r="B293" s="109"/>
      <c r="C293" s="110"/>
      <c r="D293" s="109"/>
      <c r="E293" s="109"/>
      <c r="F293" s="97"/>
      <c r="G293" s="109"/>
      <c r="H293" s="109"/>
      <c r="I293" s="98"/>
      <c r="J293" s="98"/>
      <c r="K293" s="83"/>
      <c r="L293" s="110"/>
      <c r="M293" s="110"/>
      <c r="N293" s="110"/>
      <c r="O293" s="111"/>
      <c r="P293" s="111"/>
      <c r="Q293" s="111"/>
      <c r="R293" s="111"/>
      <c r="Y293" s="110"/>
      <c r="Z293" s="110"/>
    </row>
    <row r="294" spans="2:26" s="108" customFormat="1">
      <c r="B294" s="109"/>
      <c r="C294" s="110"/>
      <c r="D294" s="109"/>
      <c r="E294" s="109"/>
      <c r="F294" s="97"/>
      <c r="G294" s="109"/>
      <c r="H294" s="109"/>
      <c r="I294" s="98"/>
      <c r="J294" s="98"/>
      <c r="K294" s="83"/>
      <c r="L294" s="110"/>
      <c r="M294" s="110"/>
      <c r="N294" s="110"/>
      <c r="O294" s="111"/>
      <c r="P294" s="111"/>
      <c r="Q294" s="111"/>
      <c r="R294" s="111"/>
      <c r="Y294" s="110"/>
      <c r="Z294" s="110"/>
    </row>
    <row r="295" spans="2:26" s="108" customFormat="1">
      <c r="B295" s="109"/>
      <c r="C295" s="110"/>
      <c r="D295" s="109"/>
      <c r="E295" s="109"/>
      <c r="F295" s="97"/>
      <c r="G295" s="109"/>
      <c r="H295" s="109"/>
      <c r="I295" s="98"/>
      <c r="J295" s="98"/>
      <c r="K295" s="83"/>
      <c r="L295" s="110"/>
      <c r="M295" s="110"/>
      <c r="N295" s="110"/>
      <c r="O295" s="111"/>
      <c r="P295" s="111"/>
      <c r="Q295" s="111"/>
      <c r="R295" s="111"/>
      <c r="Y295" s="110"/>
      <c r="Z295" s="110"/>
    </row>
    <row r="296" spans="2:26" s="108" customFormat="1">
      <c r="B296" s="109"/>
      <c r="C296" s="110"/>
      <c r="D296" s="109"/>
      <c r="E296" s="109"/>
      <c r="F296" s="97"/>
      <c r="G296" s="109"/>
      <c r="H296" s="109"/>
      <c r="I296" s="98"/>
      <c r="J296" s="98"/>
      <c r="K296" s="83"/>
      <c r="L296" s="110"/>
      <c r="M296" s="110"/>
      <c r="N296" s="110"/>
      <c r="O296" s="111"/>
      <c r="P296" s="111"/>
      <c r="Q296" s="111"/>
      <c r="R296" s="111"/>
      <c r="Y296" s="110"/>
      <c r="Z296" s="110"/>
    </row>
    <row r="297" spans="2:26" s="108" customFormat="1">
      <c r="B297" s="109"/>
      <c r="C297" s="110"/>
      <c r="D297" s="109"/>
      <c r="E297" s="109"/>
      <c r="F297" s="97"/>
      <c r="G297" s="109"/>
      <c r="H297" s="109"/>
      <c r="I297" s="98"/>
      <c r="J297" s="98"/>
      <c r="K297" s="83"/>
      <c r="L297" s="110"/>
      <c r="M297" s="110"/>
      <c r="N297" s="110"/>
      <c r="O297" s="111"/>
      <c r="P297" s="111"/>
      <c r="Q297" s="111"/>
      <c r="R297" s="111"/>
      <c r="Y297" s="110"/>
      <c r="Z297" s="110"/>
    </row>
    <row r="298" spans="2:26" s="108" customFormat="1">
      <c r="B298" s="109"/>
      <c r="C298" s="110"/>
      <c r="D298" s="109"/>
      <c r="E298" s="109"/>
      <c r="F298" s="97"/>
      <c r="G298" s="109"/>
      <c r="H298" s="109"/>
      <c r="I298" s="98"/>
      <c r="J298" s="98"/>
      <c r="K298" s="83"/>
      <c r="L298" s="110"/>
      <c r="M298" s="110"/>
      <c r="N298" s="110"/>
      <c r="O298" s="111"/>
      <c r="P298" s="111"/>
      <c r="Q298" s="111"/>
      <c r="R298" s="111"/>
      <c r="Y298" s="110"/>
      <c r="Z298" s="110"/>
    </row>
    <row r="299" spans="2:26" s="108" customFormat="1">
      <c r="B299" s="109"/>
      <c r="C299" s="110"/>
      <c r="D299" s="109"/>
      <c r="E299" s="109"/>
      <c r="F299" s="97"/>
      <c r="G299" s="109"/>
      <c r="H299" s="109"/>
      <c r="I299" s="98"/>
      <c r="J299" s="98"/>
      <c r="K299" s="83"/>
      <c r="L299" s="110"/>
      <c r="M299" s="110"/>
      <c r="N299" s="110"/>
      <c r="O299" s="111"/>
      <c r="P299" s="111"/>
      <c r="Q299" s="111"/>
      <c r="R299" s="111"/>
      <c r="Y299" s="110"/>
      <c r="Z299" s="110"/>
    </row>
    <row r="300" spans="2:26" s="108" customFormat="1">
      <c r="B300" s="109"/>
      <c r="C300" s="110"/>
      <c r="D300" s="109"/>
      <c r="E300" s="109"/>
      <c r="F300" s="97"/>
      <c r="G300" s="109"/>
      <c r="H300" s="109"/>
      <c r="I300" s="98"/>
      <c r="J300" s="98"/>
      <c r="K300" s="83"/>
      <c r="L300" s="110"/>
      <c r="M300" s="110"/>
      <c r="N300" s="110"/>
      <c r="O300" s="111"/>
      <c r="P300" s="111"/>
      <c r="Q300" s="111"/>
      <c r="R300" s="111"/>
      <c r="Y300" s="110"/>
      <c r="Z300" s="110"/>
    </row>
    <row r="301" spans="2:26" s="108" customFormat="1">
      <c r="B301" s="109"/>
      <c r="C301" s="110"/>
      <c r="D301" s="109"/>
      <c r="E301" s="109"/>
      <c r="F301" s="97"/>
      <c r="G301" s="109"/>
      <c r="H301" s="109"/>
      <c r="I301" s="98"/>
      <c r="J301" s="98"/>
      <c r="K301" s="83"/>
      <c r="L301" s="110"/>
      <c r="M301" s="110"/>
      <c r="N301" s="110"/>
      <c r="O301" s="111"/>
      <c r="P301" s="111"/>
      <c r="Q301" s="111"/>
      <c r="R301" s="111"/>
      <c r="Y301" s="110"/>
      <c r="Z301" s="110"/>
    </row>
    <row r="302" spans="2:26" s="108" customFormat="1">
      <c r="B302" s="109"/>
      <c r="C302" s="110"/>
      <c r="D302" s="109"/>
      <c r="E302" s="109"/>
      <c r="F302" s="97"/>
      <c r="G302" s="109"/>
      <c r="H302" s="109"/>
      <c r="I302" s="98"/>
      <c r="J302" s="98"/>
      <c r="K302" s="83"/>
      <c r="L302" s="110"/>
      <c r="M302" s="110"/>
      <c r="N302" s="110"/>
      <c r="O302" s="111"/>
      <c r="P302" s="111"/>
      <c r="Q302" s="111"/>
      <c r="R302" s="111"/>
      <c r="Y302" s="110"/>
      <c r="Z302" s="110"/>
    </row>
    <row r="303" spans="2:26" s="108" customFormat="1">
      <c r="B303" s="109"/>
      <c r="C303" s="110"/>
      <c r="D303" s="109"/>
      <c r="E303" s="109"/>
      <c r="F303" s="97"/>
      <c r="G303" s="109"/>
      <c r="H303" s="109"/>
      <c r="I303" s="98"/>
      <c r="J303" s="98"/>
      <c r="K303" s="83"/>
      <c r="L303" s="110"/>
      <c r="M303" s="110"/>
      <c r="N303" s="110"/>
      <c r="O303" s="111"/>
      <c r="P303" s="111"/>
      <c r="Q303" s="111"/>
      <c r="R303" s="111"/>
      <c r="Y303" s="110"/>
      <c r="Z303" s="110"/>
    </row>
    <row r="304" spans="2:26" s="108" customFormat="1">
      <c r="B304" s="109"/>
      <c r="C304" s="110"/>
      <c r="D304" s="109"/>
      <c r="E304" s="109"/>
      <c r="F304" s="97"/>
      <c r="G304" s="109"/>
      <c r="H304" s="109"/>
      <c r="I304" s="98"/>
      <c r="J304" s="98"/>
      <c r="K304" s="83"/>
      <c r="L304" s="110"/>
      <c r="M304" s="110"/>
      <c r="N304" s="110"/>
      <c r="O304" s="111"/>
      <c r="P304" s="111"/>
      <c r="Q304" s="111"/>
      <c r="R304" s="111"/>
      <c r="Y304" s="110"/>
      <c r="Z304" s="110"/>
    </row>
    <row r="305" spans="2:26" s="108" customFormat="1">
      <c r="B305" s="109"/>
      <c r="C305" s="110"/>
      <c r="D305" s="109"/>
      <c r="E305" s="109"/>
      <c r="F305" s="97"/>
      <c r="G305" s="109"/>
      <c r="H305" s="109"/>
      <c r="I305" s="98"/>
      <c r="J305" s="98"/>
      <c r="K305" s="83"/>
      <c r="L305" s="110"/>
      <c r="M305" s="110"/>
      <c r="N305" s="110"/>
      <c r="O305" s="111"/>
      <c r="P305" s="111"/>
      <c r="Q305" s="111"/>
      <c r="R305" s="111"/>
      <c r="Y305" s="110"/>
      <c r="Z305" s="110"/>
    </row>
    <row r="306" spans="2:26" s="108" customFormat="1">
      <c r="B306" s="109"/>
      <c r="C306" s="110"/>
      <c r="D306" s="109"/>
      <c r="E306" s="109"/>
      <c r="F306" s="97"/>
      <c r="G306" s="109"/>
      <c r="H306" s="109"/>
      <c r="I306" s="98"/>
      <c r="J306" s="98"/>
      <c r="K306" s="83"/>
      <c r="L306" s="110"/>
      <c r="M306" s="110"/>
      <c r="N306" s="110"/>
      <c r="O306" s="111"/>
      <c r="P306" s="111"/>
      <c r="Q306" s="111"/>
      <c r="R306" s="111"/>
      <c r="Y306" s="110"/>
      <c r="Z306" s="110"/>
    </row>
    <row r="307" spans="2:26" s="108" customFormat="1">
      <c r="B307" s="109"/>
      <c r="C307" s="110"/>
      <c r="D307" s="109"/>
      <c r="E307" s="109"/>
      <c r="F307" s="97"/>
      <c r="G307" s="109"/>
      <c r="H307" s="109"/>
      <c r="I307" s="98"/>
      <c r="J307" s="98"/>
      <c r="K307" s="83"/>
      <c r="L307" s="110"/>
      <c r="M307" s="110"/>
      <c r="N307" s="110"/>
      <c r="O307" s="111"/>
      <c r="P307" s="111"/>
      <c r="Q307" s="111"/>
      <c r="R307" s="111"/>
      <c r="Y307" s="110"/>
      <c r="Z307" s="110"/>
    </row>
    <row r="308" spans="2:26" s="108" customFormat="1">
      <c r="B308" s="109"/>
      <c r="C308" s="110"/>
      <c r="D308" s="109"/>
      <c r="E308" s="109"/>
      <c r="F308" s="97"/>
      <c r="G308" s="109"/>
      <c r="H308" s="109"/>
      <c r="I308" s="98"/>
      <c r="J308" s="98"/>
      <c r="K308" s="83"/>
      <c r="L308" s="110"/>
      <c r="M308" s="110"/>
      <c r="N308" s="110"/>
      <c r="O308" s="111"/>
      <c r="P308" s="111"/>
      <c r="Q308" s="111"/>
      <c r="R308" s="111"/>
      <c r="Y308" s="110"/>
      <c r="Z308" s="110"/>
    </row>
    <row r="309" spans="2:26" s="108" customFormat="1">
      <c r="B309" s="109"/>
      <c r="C309" s="110"/>
      <c r="D309" s="109"/>
      <c r="E309" s="109"/>
      <c r="F309" s="97"/>
      <c r="G309" s="109"/>
      <c r="H309" s="109"/>
      <c r="I309" s="98"/>
      <c r="J309" s="98"/>
      <c r="K309" s="83"/>
      <c r="L309" s="110"/>
      <c r="M309" s="110"/>
      <c r="N309" s="110"/>
      <c r="O309" s="111"/>
      <c r="P309" s="111"/>
      <c r="Q309" s="111"/>
      <c r="R309" s="111"/>
      <c r="Y309" s="110"/>
      <c r="Z309" s="110"/>
    </row>
    <row r="310" spans="2:26" s="108" customFormat="1">
      <c r="B310" s="109"/>
      <c r="C310" s="110"/>
      <c r="D310" s="109"/>
      <c r="E310" s="109"/>
      <c r="F310" s="97"/>
      <c r="G310" s="109"/>
      <c r="H310" s="109"/>
      <c r="I310" s="98"/>
      <c r="J310" s="98"/>
      <c r="K310" s="83"/>
      <c r="L310" s="110"/>
      <c r="M310" s="110"/>
      <c r="N310" s="110"/>
      <c r="O310" s="111"/>
      <c r="P310" s="111"/>
      <c r="Q310" s="111"/>
      <c r="R310" s="111"/>
      <c r="Y310" s="110"/>
      <c r="Z310" s="110"/>
    </row>
    <row r="311" spans="2:26" s="108" customFormat="1">
      <c r="B311" s="109"/>
      <c r="C311" s="110"/>
      <c r="D311" s="109"/>
      <c r="E311" s="109"/>
      <c r="F311" s="97"/>
      <c r="G311" s="109"/>
      <c r="H311" s="109"/>
      <c r="I311" s="98"/>
      <c r="J311" s="98"/>
      <c r="K311" s="83"/>
      <c r="L311" s="110"/>
      <c r="M311" s="110"/>
      <c r="N311" s="110"/>
      <c r="O311" s="111"/>
      <c r="P311" s="111"/>
      <c r="Q311" s="111"/>
      <c r="R311" s="111"/>
      <c r="Y311" s="110"/>
      <c r="Z311" s="110"/>
    </row>
    <row r="312" spans="2:26" s="108" customFormat="1">
      <c r="B312" s="109"/>
      <c r="C312" s="110"/>
      <c r="D312" s="109"/>
      <c r="E312" s="109"/>
      <c r="F312" s="97"/>
      <c r="G312" s="109"/>
      <c r="H312" s="109"/>
      <c r="I312" s="98"/>
      <c r="J312" s="98"/>
      <c r="K312" s="83"/>
      <c r="L312" s="110"/>
      <c r="M312" s="110"/>
      <c r="N312" s="110"/>
      <c r="O312" s="111"/>
      <c r="P312" s="111"/>
      <c r="Q312" s="111"/>
      <c r="R312" s="111"/>
      <c r="Y312" s="110"/>
      <c r="Z312" s="110"/>
    </row>
    <row r="313" spans="2:26" s="108" customFormat="1">
      <c r="B313" s="109"/>
      <c r="C313" s="110"/>
      <c r="D313" s="109"/>
      <c r="E313" s="109"/>
      <c r="F313" s="97"/>
      <c r="G313" s="109"/>
      <c r="H313" s="109"/>
      <c r="I313" s="98"/>
      <c r="J313" s="98"/>
      <c r="K313" s="83"/>
      <c r="L313" s="110"/>
      <c r="M313" s="110"/>
      <c r="N313" s="110"/>
      <c r="O313" s="111"/>
      <c r="P313" s="111"/>
      <c r="Q313" s="111"/>
      <c r="R313" s="111"/>
      <c r="Y313" s="110"/>
      <c r="Z313" s="110"/>
    </row>
    <row r="314" spans="2:26" s="108" customFormat="1">
      <c r="B314" s="109"/>
      <c r="C314" s="110"/>
      <c r="D314" s="109"/>
      <c r="E314" s="109"/>
      <c r="F314" s="97"/>
      <c r="G314" s="109"/>
      <c r="H314" s="109"/>
      <c r="I314" s="98"/>
      <c r="J314" s="98"/>
      <c r="K314" s="83"/>
      <c r="L314" s="110"/>
      <c r="M314" s="110"/>
      <c r="N314" s="110"/>
      <c r="O314" s="111"/>
      <c r="P314" s="111"/>
      <c r="Q314" s="111"/>
      <c r="R314" s="111"/>
      <c r="Y314" s="110"/>
      <c r="Z314" s="110"/>
    </row>
    <row r="315" spans="2:26" s="108" customFormat="1">
      <c r="B315" s="109"/>
      <c r="C315" s="110"/>
      <c r="D315" s="109"/>
      <c r="E315" s="109"/>
      <c r="F315" s="97"/>
      <c r="G315" s="109"/>
      <c r="H315" s="109"/>
      <c r="I315" s="98"/>
      <c r="J315" s="98"/>
      <c r="K315" s="83"/>
      <c r="L315" s="110"/>
      <c r="M315" s="110"/>
      <c r="N315" s="110"/>
      <c r="O315" s="111"/>
      <c r="P315" s="111"/>
      <c r="Q315" s="111"/>
      <c r="R315" s="111"/>
      <c r="Y315" s="110"/>
      <c r="Z315" s="110"/>
    </row>
    <row r="316" spans="2:26" s="108" customFormat="1">
      <c r="B316" s="109"/>
      <c r="C316" s="110"/>
      <c r="D316" s="109"/>
      <c r="E316" s="109"/>
      <c r="F316" s="97"/>
      <c r="G316" s="109"/>
      <c r="H316" s="109"/>
      <c r="I316" s="98"/>
      <c r="J316" s="98"/>
      <c r="K316" s="83"/>
      <c r="L316" s="110"/>
      <c r="M316" s="110"/>
      <c r="N316" s="110"/>
      <c r="O316" s="111"/>
      <c r="P316" s="111"/>
      <c r="Q316" s="111"/>
      <c r="R316" s="111"/>
      <c r="Y316" s="110"/>
      <c r="Z316" s="110"/>
    </row>
    <row r="317" spans="2:26" s="108" customFormat="1">
      <c r="B317" s="109"/>
      <c r="C317" s="110"/>
      <c r="D317" s="109"/>
      <c r="E317" s="109"/>
      <c r="F317" s="97"/>
      <c r="G317" s="109"/>
      <c r="H317" s="109"/>
      <c r="I317" s="98"/>
      <c r="J317" s="98"/>
      <c r="K317" s="83"/>
      <c r="L317" s="110"/>
      <c r="M317" s="110"/>
      <c r="N317" s="110"/>
      <c r="O317" s="111"/>
      <c r="P317" s="111"/>
      <c r="Q317" s="111"/>
      <c r="R317" s="111"/>
      <c r="Y317" s="110"/>
      <c r="Z317" s="110"/>
    </row>
    <row r="318" spans="2:26" s="108" customFormat="1">
      <c r="B318" s="109"/>
      <c r="C318" s="110"/>
      <c r="D318" s="109"/>
      <c r="E318" s="109"/>
      <c r="F318" s="97"/>
      <c r="G318" s="109"/>
      <c r="H318" s="109"/>
      <c r="I318" s="98"/>
      <c r="J318" s="98"/>
      <c r="K318" s="83"/>
      <c r="L318" s="110"/>
      <c r="M318" s="110"/>
      <c r="N318" s="110"/>
      <c r="O318" s="111"/>
      <c r="P318" s="111"/>
      <c r="Q318" s="111"/>
      <c r="R318" s="111"/>
      <c r="Y318" s="110"/>
      <c r="Z318" s="110"/>
    </row>
    <row r="319" spans="2:26" s="108" customFormat="1">
      <c r="B319" s="109"/>
      <c r="C319" s="110"/>
      <c r="D319" s="109"/>
      <c r="E319" s="109"/>
      <c r="F319" s="97"/>
      <c r="G319" s="109"/>
      <c r="H319" s="109"/>
      <c r="I319" s="98"/>
      <c r="J319" s="98"/>
      <c r="K319" s="83"/>
      <c r="L319" s="110"/>
      <c r="M319" s="110"/>
      <c r="N319" s="110"/>
      <c r="O319" s="111"/>
      <c r="P319" s="111"/>
      <c r="Q319" s="111"/>
      <c r="R319" s="111"/>
      <c r="Y319" s="110"/>
      <c r="Z319" s="110"/>
    </row>
    <row r="320" spans="2:26" s="108" customFormat="1">
      <c r="B320" s="109"/>
      <c r="C320" s="110"/>
      <c r="D320" s="109"/>
      <c r="E320" s="109"/>
      <c r="F320" s="97"/>
      <c r="G320" s="109"/>
      <c r="H320" s="109"/>
      <c r="I320" s="98"/>
      <c r="J320" s="98"/>
      <c r="K320" s="83"/>
      <c r="L320" s="110"/>
      <c r="M320" s="110"/>
      <c r="N320" s="110"/>
      <c r="O320" s="111"/>
      <c r="P320" s="111"/>
      <c r="Q320" s="111"/>
      <c r="R320" s="111"/>
      <c r="Y320" s="110"/>
      <c r="Z320" s="110"/>
    </row>
    <row r="321" spans="2:26" s="108" customFormat="1">
      <c r="B321" s="109"/>
      <c r="C321" s="110"/>
      <c r="D321" s="109"/>
      <c r="E321" s="109"/>
      <c r="F321" s="97"/>
      <c r="G321" s="109"/>
      <c r="H321" s="109"/>
      <c r="I321" s="98"/>
      <c r="J321" s="98"/>
      <c r="K321" s="83"/>
      <c r="L321" s="110"/>
      <c r="M321" s="110"/>
      <c r="N321" s="110"/>
      <c r="O321" s="111"/>
      <c r="P321" s="111"/>
      <c r="Q321" s="111"/>
      <c r="R321" s="111"/>
      <c r="Y321" s="110"/>
      <c r="Z321" s="110"/>
    </row>
    <row r="322" spans="2:26" s="108" customFormat="1">
      <c r="B322" s="109"/>
      <c r="C322" s="110"/>
      <c r="D322" s="109"/>
      <c r="E322" s="109"/>
      <c r="F322" s="97"/>
      <c r="G322" s="109"/>
      <c r="H322" s="109"/>
      <c r="I322" s="98"/>
      <c r="J322" s="98"/>
      <c r="K322" s="83"/>
      <c r="L322" s="110"/>
      <c r="M322" s="110"/>
      <c r="N322" s="110"/>
      <c r="O322" s="111"/>
      <c r="P322" s="111"/>
      <c r="Q322" s="111"/>
      <c r="R322" s="111"/>
      <c r="Y322" s="110"/>
      <c r="Z322" s="110"/>
    </row>
    <row r="323" spans="2:26" s="108" customFormat="1">
      <c r="B323" s="109"/>
      <c r="C323" s="110"/>
      <c r="D323" s="109"/>
      <c r="E323" s="109"/>
      <c r="F323" s="97"/>
      <c r="G323" s="109"/>
      <c r="H323" s="109"/>
      <c r="I323" s="98"/>
      <c r="J323" s="98"/>
      <c r="K323" s="83"/>
      <c r="L323" s="110"/>
      <c r="M323" s="110"/>
      <c r="N323" s="110"/>
      <c r="O323" s="111"/>
      <c r="P323" s="111"/>
      <c r="Q323" s="111"/>
      <c r="R323" s="111"/>
      <c r="Y323" s="110"/>
      <c r="Z323" s="110"/>
    </row>
    <row r="324" spans="2:26" s="108" customFormat="1">
      <c r="B324" s="109"/>
      <c r="C324" s="110"/>
      <c r="D324" s="109"/>
      <c r="E324" s="109"/>
      <c r="F324" s="97"/>
      <c r="G324" s="109"/>
      <c r="H324" s="109"/>
      <c r="I324" s="98"/>
      <c r="J324" s="98"/>
      <c r="K324" s="83"/>
      <c r="L324" s="110"/>
      <c r="M324" s="110"/>
      <c r="N324" s="110"/>
      <c r="O324" s="111"/>
      <c r="P324" s="111"/>
      <c r="Q324" s="111"/>
      <c r="R324" s="111"/>
      <c r="Y324" s="110"/>
      <c r="Z324" s="110"/>
    </row>
    <row r="325" spans="2:26" s="108" customFormat="1">
      <c r="B325" s="109"/>
      <c r="C325" s="110"/>
      <c r="D325" s="109"/>
      <c r="E325" s="109"/>
      <c r="F325" s="97"/>
      <c r="G325" s="109"/>
      <c r="H325" s="109"/>
      <c r="I325" s="98"/>
      <c r="J325" s="98"/>
      <c r="K325" s="83"/>
      <c r="L325" s="110"/>
      <c r="M325" s="110"/>
      <c r="N325" s="110"/>
      <c r="O325" s="111"/>
      <c r="P325" s="111"/>
      <c r="Q325" s="111"/>
      <c r="R325" s="111"/>
      <c r="Y325" s="110"/>
      <c r="Z325" s="110"/>
    </row>
    <row r="326" spans="2:26" s="108" customFormat="1">
      <c r="B326" s="109"/>
      <c r="C326" s="110"/>
      <c r="D326" s="109"/>
      <c r="E326" s="109"/>
      <c r="F326" s="97"/>
      <c r="G326" s="109"/>
      <c r="H326" s="109"/>
      <c r="I326" s="98"/>
      <c r="J326" s="98"/>
      <c r="K326" s="83"/>
      <c r="L326" s="110"/>
      <c r="M326" s="110"/>
      <c r="N326" s="110"/>
      <c r="O326" s="111"/>
      <c r="P326" s="111"/>
      <c r="Q326" s="111"/>
      <c r="R326" s="111"/>
      <c r="Y326" s="110"/>
      <c r="Z326" s="110"/>
    </row>
    <row r="327" spans="2:26" s="108" customFormat="1">
      <c r="B327" s="109"/>
      <c r="C327" s="110"/>
      <c r="D327" s="109"/>
      <c r="E327" s="109"/>
      <c r="F327" s="97"/>
      <c r="G327" s="109"/>
      <c r="H327" s="109"/>
      <c r="I327" s="98"/>
      <c r="J327" s="98"/>
      <c r="K327" s="83"/>
      <c r="L327" s="110"/>
      <c r="M327" s="110"/>
      <c r="N327" s="110"/>
      <c r="O327" s="111"/>
      <c r="P327" s="111"/>
      <c r="Q327" s="111"/>
      <c r="R327" s="111"/>
      <c r="Y327" s="110"/>
      <c r="Z327" s="110"/>
    </row>
    <row r="328" spans="2:26" s="108" customFormat="1">
      <c r="B328" s="109"/>
      <c r="C328" s="110"/>
      <c r="D328" s="109"/>
      <c r="E328" s="109"/>
      <c r="F328" s="97"/>
      <c r="G328" s="109"/>
      <c r="H328" s="109"/>
      <c r="I328" s="98"/>
      <c r="J328" s="98"/>
      <c r="K328" s="83"/>
      <c r="L328" s="110"/>
      <c r="M328" s="110"/>
      <c r="N328" s="110"/>
      <c r="O328" s="111"/>
      <c r="P328" s="111"/>
      <c r="Q328" s="111"/>
      <c r="R328" s="111"/>
      <c r="Y328" s="110"/>
      <c r="Z328" s="110"/>
    </row>
    <row r="329" spans="2:26" s="108" customFormat="1">
      <c r="B329" s="109"/>
      <c r="C329" s="110"/>
      <c r="D329" s="109"/>
      <c r="E329" s="109"/>
      <c r="F329" s="97"/>
      <c r="G329" s="109"/>
      <c r="H329" s="109"/>
      <c r="I329" s="98"/>
      <c r="J329" s="98"/>
      <c r="K329" s="83"/>
      <c r="L329" s="110"/>
      <c r="M329" s="110"/>
      <c r="N329" s="110"/>
      <c r="O329" s="111"/>
      <c r="P329" s="111"/>
      <c r="Q329" s="111"/>
      <c r="R329" s="111"/>
      <c r="Y329" s="110"/>
      <c r="Z329" s="110"/>
    </row>
    <row r="330" spans="2:26" s="108" customFormat="1">
      <c r="B330" s="109"/>
      <c r="C330" s="110"/>
      <c r="D330" s="109"/>
      <c r="E330" s="109"/>
      <c r="F330" s="97"/>
      <c r="G330" s="109"/>
      <c r="H330" s="109"/>
      <c r="I330" s="98"/>
      <c r="J330" s="98"/>
      <c r="K330" s="83"/>
      <c r="L330" s="110"/>
      <c r="M330" s="110"/>
      <c r="N330" s="110"/>
      <c r="O330" s="111"/>
      <c r="P330" s="111"/>
      <c r="Q330" s="111"/>
      <c r="R330" s="111"/>
      <c r="Y330" s="110"/>
      <c r="Z330" s="110"/>
    </row>
    <row r="331" spans="2:26" s="108" customFormat="1">
      <c r="B331" s="109"/>
      <c r="C331" s="110"/>
      <c r="D331" s="109"/>
      <c r="E331" s="109"/>
      <c r="F331" s="97"/>
      <c r="G331" s="109"/>
      <c r="H331" s="109"/>
      <c r="I331" s="98"/>
      <c r="J331" s="98"/>
      <c r="K331" s="83"/>
      <c r="L331" s="110"/>
      <c r="M331" s="110"/>
      <c r="N331" s="110"/>
      <c r="O331" s="111"/>
      <c r="P331" s="111"/>
      <c r="Q331" s="111"/>
      <c r="R331" s="111"/>
      <c r="Y331" s="110"/>
      <c r="Z331" s="110"/>
    </row>
    <row r="332" spans="2:26" s="108" customFormat="1">
      <c r="B332" s="109"/>
      <c r="C332" s="110"/>
      <c r="D332" s="109"/>
      <c r="E332" s="109"/>
      <c r="F332" s="97"/>
      <c r="G332" s="109"/>
      <c r="H332" s="109"/>
      <c r="I332" s="98"/>
      <c r="J332" s="98"/>
      <c r="K332" s="83"/>
      <c r="L332" s="110"/>
      <c r="M332" s="110"/>
      <c r="N332" s="110"/>
      <c r="O332" s="111"/>
      <c r="P332" s="111"/>
      <c r="Q332" s="111"/>
      <c r="R332" s="111"/>
      <c r="Y332" s="110"/>
      <c r="Z332" s="110"/>
    </row>
    <row r="333" spans="2:26" s="108" customFormat="1">
      <c r="B333" s="109"/>
      <c r="C333" s="110"/>
      <c r="D333" s="109"/>
      <c r="E333" s="109"/>
      <c r="F333" s="97"/>
      <c r="G333" s="109"/>
      <c r="H333" s="109"/>
      <c r="I333" s="98"/>
      <c r="J333" s="98"/>
      <c r="K333" s="83"/>
      <c r="L333" s="110"/>
      <c r="M333" s="110"/>
      <c r="N333" s="110"/>
      <c r="O333" s="111"/>
      <c r="P333" s="111"/>
      <c r="Q333" s="111"/>
      <c r="R333" s="111"/>
      <c r="Y333" s="110"/>
      <c r="Z333" s="110"/>
    </row>
    <row r="334" spans="2:26" s="108" customFormat="1">
      <c r="B334" s="109"/>
      <c r="C334" s="110"/>
      <c r="D334" s="109"/>
      <c r="E334" s="109"/>
      <c r="F334" s="97"/>
      <c r="G334" s="109"/>
      <c r="H334" s="109"/>
      <c r="I334" s="98"/>
      <c r="J334" s="98"/>
      <c r="K334" s="83"/>
      <c r="L334" s="110"/>
      <c r="M334" s="110"/>
      <c r="N334" s="110"/>
      <c r="O334" s="111"/>
      <c r="P334" s="111"/>
      <c r="Q334" s="111"/>
      <c r="R334" s="111"/>
      <c r="Y334" s="110"/>
      <c r="Z334" s="110"/>
    </row>
    <row r="335" spans="2:26" s="108" customFormat="1">
      <c r="B335" s="109"/>
      <c r="C335" s="110"/>
      <c r="D335" s="109"/>
      <c r="E335" s="109"/>
      <c r="F335" s="97"/>
      <c r="G335" s="109"/>
      <c r="H335" s="109"/>
      <c r="I335" s="98"/>
      <c r="J335" s="98"/>
      <c r="K335" s="83"/>
      <c r="L335" s="110"/>
      <c r="M335" s="110"/>
      <c r="N335" s="110"/>
      <c r="O335" s="111"/>
      <c r="P335" s="111"/>
      <c r="Q335" s="111"/>
      <c r="R335" s="111"/>
      <c r="Y335" s="110"/>
      <c r="Z335" s="110"/>
    </row>
    <row r="336" spans="2:26" s="108" customFormat="1">
      <c r="B336" s="109"/>
      <c r="C336" s="110"/>
      <c r="D336" s="109"/>
      <c r="E336" s="109"/>
      <c r="F336" s="97"/>
      <c r="G336" s="109"/>
      <c r="H336" s="109"/>
      <c r="I336" s="98"/>
      <c r="J336" s="98"/>
      <c r="K336" s="83"/>
      <c r="L336" s="110"/>
      <c r="M336" s="110"/>
      <c r="N336" s="110"/>
      <c r="O336" s="111"/>
      <c r="P336" s="111"/>
      <c r="Q336" s="111"/>
      <c r="R336" s="111"/>
      <c r="Y336" s="110"/>
      <c r="Z336" s="110"/>
    </row>
    <row r="337" spans="2:26" s="108" customFormat="1">
      <c r="B337" s="109"/>
      <c r="C337" s="110"/>
      <c r="D337" s="109"/>
      <c r="E337" s="109"/>
      <c r="F337" s="97"/>
      <c r="G337" s="109"/>
      <c r="H337" s="109"/>
      <c r="I337" s="98"/>
      <c r="J337" s="98"/>
      <c r="K337" s="83"/>
      <c r="L337" s="110"/>
      <c r="M337" s="110"/>
      <c r="N337" s="110"/>
      <c r="O337" s="111"/>
      <c r="P337" s="111"/>
      <c r="Q337" s="111"/>
      <c r="R337" s="111"/>
      <c r="Y337" s="110"/>
      <c r="Z337" s="110"/>
    </row>
    <row r="338" spans="2:26" s="108" customFormat="1">
      <c r="B338" s="109"/>
      <c r="C338" s="110"/>
      <c r="D338" s="109"/>
      <c r="E338" s="109"/>
      <c r="F338" s="97"/>
      <c r="G338" s="109"/>
      <c r="H338" s="109"/>
      <c r="I338" s="98"/>
      <c r="J338" s="98"/>
      <c r="K338" s="83"/>
      <c r="L338" s="110"/>
      <c r="M338" s="110"/>
      <c r="N338" s="110"/>
      <c r="O338" s="111"/>
      <c r="P338" s="111"/>
      <c r="Q338" s="111"/>
      <c r="R338" s="111"/>
      <c r="Y338" s="110"/>
      <c r="Z338" s="110"/>
    </row>
    <row r="339" spans="2:26" s="108" customFormat="1">
      <c r="B339" s="109"/>
      <c r="C339" s="110"/>
      <c r="D339" s="109"/>
      <c r="E339" s="109"/>
      <c r="F339" s="97"/>
      <c r="G339" s="109"/>
      <c r="H339" s="109"/>
      <c r="I339" s="98"/>
      <c r="J339" s="98"/>
      <c r="K339" s="83"/>
      <c r="L339" s="110"/>
      <c r="M339" s="110"/>
      <c r="N339" s="110"/>
      <c r="O339" s="111"/>
      <c r="P339" s="111"/>
      <c r="Q339" s="111"/>
      <c r="R339" s="111"/>
      <c r="Y339" s="110"/>
      <c r="Z339" s="110"/>
    </row>
    <row r="340" spans="2:26" s="108" customFormat="1">
      <c r="B340" s="109"/>
      <c r="C340" s="110"/>
      <c r="D340" s="109"/>
      <c r="E340" s="109"/>
      <c r="F340" s="97"/>
      <c r="G340" s="109"/>
      <c r="H340" s="109"/>
      <c r="I340" s="98"/>
      <c r="J340" s="98"/>
      <c r="K340" s="83"/>
      <c r="L340" s="110"/>
      <c r="M340" s="110"/>
      <c r="N340" s="110"/>
      <c r="O340" s="111"/>
      <c r="P340" s="111"/>
      <c r="Q340" s="111"/>
      <c r="R340" s="111"/>
      <c r="Y340" s="110"/>
      <c r="Z340" s="110"/>
    </row>
    <row r="341" spans="2:26" s="108" customFormat="1">
      <c r="B341" s="109"/>
      <c r="C341" s="110"/>
      <c r="D341" s="109"/>
      <c r="E341" s="109"/>
      <c r="F341" s="97"/>
      <c r="G341" s="109"/>
      <c r="H341" s="109"/>
      <c r="I341" s="98"/>
      <c r="J341" s="98"/>
      <c r="K341" s="83"/>
      <c r="L341" s="110"/>
      <c r="M341" s="110"/>
      <c r="N341" s="110"/>
      <c r="O341" s="111"/>
      <c r="P341" s="111"/>
      <c r="Q341" s="111"/>
      <c r="R341" s="111"/>
      <c r="Y341" s="110"/>
      <c r="Z341" s="110"/>
    </row>
    <row r="342" spans="2:26" s="108" customFormat="1">
      <c r="B342" s="109"/>
      <c r="C342" s="110"/>
      <c r="D342" s="109"/>
      <c r="E342" s="109"/>
      <c r="F342" s="97"/>
      <c r="G342" s="109"/>
      <c r="H342" s="109"/>
      <c r="I342" s="98"/>
      <c r="J342" s="98"/>
      <c r="K342" s="83"/>
      <c r="L342" s="110"/>
      <c r="M342" s="110"/>
      <c r="N342" s="110"/>
      <c r="O342" s="111"/>
      <c r="P342" s="111"/>
      <c r="Q342" s="111"/>
      <c r="R342" s="111"/>
      <c r="Y342" s="110"/>
      <c r="Z342" s="110"/>
    </row>
    <row r="343" spans="2:26" s="108" customFormat="1">
      <c r="B343" s="109"/>
      <c r="C343" s="110"/>
      <c r="D343" s="109"/>
      <c r="E343" s="109"/>
      <c r="F343" s="97"/>
      <c r="G343" s="109"/>
      <c r="H343" s="109"/>
      <c r="I343" s="98"/>
      <c r="J343" s="98"/>
      <c r="K343" s="83"/>
      <c r="L343" s="110"/>
      <c r="M343" s="110"/>
      <c r="N343" s="110"/>
      <c r="O343" s="111"/>
      <c r="P343" s="111"/>
      <c r="Q343" s="111"/>
      <c r="R343" s="111"/>
      <c r="Y343" s="110"/>
      <c r="Z343" s="110"/>
    </row>
    <row r="344" spans="2:26" s="108" customFormat="1">
      <c r="B344" s="109"/>
      <c r="C344" s="110"/>
      <c r="D344" s="109"/>
      <c r="E344" s="109"/>
      <c r="F344" s="97"/>
      <c r="G344" s="109"/>
      <c r="H344" s="109"/>
      <c r="I344" s="98"/>
      <c r="J344" s="98"/>
      <c r="K344" s="83"/>
      <c r="L344" s="110"/>
      <c r="M344" s="110"/>
      <c r="N344" s="110"/>
      <c r="O344" s="111"/>
      <c r="P344" s="111"/>
      <c r="Q344" s="111"/>
      <c r="R344" s="111"/>
      <c r="Y344" s="110"/>
      <c r="Z344" s="110"/>
    </row>
    <row r="345" spans="2:26" s="108" customFormat="1">
      <c r="B345" s="109"/>
      <c r="C345" s="110"/>
      <c r="D345" s="109"/>
      <c r="E345" s="109"/>
      <c r="F345" s="97"/>
      <c r="G345" s="109"/>
      <c r="H345" s="109"/>
      <c r="I345" s="98"/>
      <c r="J345" s="98"/>
      <c r="K345" s="83"/>
      <c r="L345" s="110"/>
      <c r="M345" s="110"/>
      <c r="N345" s="110"/>
      <c r="O345" s="111"/>
      <c r="P345" s="111"/>
      <c r="Q345" s="111"/>
      <c r="R345" s="111"/>
      <c r="Y345" s="110"/>
      <c r="Z345" s="110"/>
    </row>
    <row r="346" spans="2:26" s="108" customFormat="1">
      <c r="B346" s="109"/>
      <c r="C346" s="110"/>
      <c r="D346" s="109"/>
      <c r="E346" s="109"/>
      <c r="F346" s="97"/>
      <c r="G346" s="109"/>
      <c r="H346" s="109"/>
      <c r="I346" s="98"/>
      <c r="J346" s="98"/>
      <c r="K346" s="83"/>
      <c r="L346" s="110"/>
      <c r="M346" s="110"/>
      <c r="N346" s="110"/>
      <c r="O346" s="111"/>
      <c r="P346" s="111"/>
      <c r="Q346" s="111"/>
      <c r="R346" s="111"/>
      <c r="Y346" s="110"/>
      <c r="Z346" s="110"/>
    </row>
    <row r="347" spans="2:26" s="108" customFormat="1">
      <c r="B347" s="109"/>
      <c r="C347" s="110"/>
      <c r="D347" s="109"/>
      <c r="E347" s="109"/>
      <c r="F347" s="97"/>
      <c r="G347" s="109"/>
      <c r="H347" s="109"/>
      <c r="I347" s="98"/>
      <c r="J347" s="98"/>
      <c r="K347" s="83"/>
      <c r="L347" s="110"/>
      <c r="M347" s="110"/>
      <c r="N347" s="110"/>
      <c r="O347" s="111"/>
      <c r="P347" s="111"/>
      <c r="Q347" s="111"/>
      <c r="R347" s="111"/>
      <c r="Y347" s="110"/>
      <c r="Z347" s="110"/>
    </row>
    <row r="348" spans="2:26" s="108" customFormat="1">
      <c r="B348" s="109"/>
      <c r="C348" s="110"/>
      <c r="D348" s="109"/>
      <c r="E348" s="109"/>
      <c r="F348" s="97"/>
      <c r="G348" s="109"/>
      <c r="H348" s="109"/>
      <c r="I348" s="98"/>
      <c r="J348" s="98"/>
      <c r="K348" s="83"/>
      <c r="L348" s="110"/>
      <c r="M348" s="110"/>
      <c r="N348" s="110"/>
      <c r="O348" s="111"/>
      <c r="P348" s="111"/>
      <c r="Q348" s="111"/>
      <c r="R348" s="111"/>
      <c r="Y348" s="110"/>
      <c r="Z348" s="110"/>
    </row>
    <row r="349" spans="2:26" s="108" customFormat="1">
      <c r="B349" s="109"/>
      <c r="C349" s="110"/>
      <c r="D349" s="109"/>
      <c r="E349" s="109"/>
      <c r="F349" s="97"/>
      <c r="G349" s="109"/>
      <c r="H349" s="109"/>
      <c r="I349" s="98"/>
      <c r="J349" s="98"/>
      <c r="K349" s="83"/>
      <c r="L349" s="110"/>
      <c r="M349" s="110"/>
      <c r="N349" s="110"/>
      <c r="O349" s="111"/>
      <c r="P349" s="111"/>
      <c r="Q349" s="111"/>
      <c r="R349" s="111"/>
      <c r="Y349" s="110"/>
      <c r="Z349" s="110"/>
    </row>
    <row r="350" spans="2:26" s="108" customFormat="1">
      <c r="B350" s="109"/>
      <c r="C350" s="110"/>
      <c r="D350" s="109"/>
      <c r="E350" s="109"/>
      <c r="F350" s="97"/>
      <c r="G350" s="109"/>
      <c r="H350" s="109"/>
      <c r="I350" s="98"/>
      <c r="J350" s="98"/>
      <c r="K350" s="83"/>
      <c r="L350" s="110"/>
      <c r="M350" s="110"/>
      <c r="N350" s="110"/>
      <c r="O350" s="111"/>
      <c r="P350" s="111"/>
      <c r="Q350" s="111"/>
      <c r="R350" s="111"/>
      <c r="Y350" s="110"/>
      <c r="Z350" s="110"/>
    </row>
    <row r="351" spans="2:26" s="108" customFormat="1">
      <c r="B351" s="109"/>
      <c r="C351" s="110"/>
      <c r="D351" s="109"/>
      <c r="E351" s="109"/>
      <c r="F351" s="97"/>
      <c r="G351" s="109"/>
      <c r="H351" s="109"/>
      <c r="I351" s="98"/>
      <c r="J351" s="98"/>
      <c r="K351" s="83"/>
      <c r="L351" s="110"/>
      <c r="M351" s="110"/>
      <c r="N351" s="110"/>
      <c r="O351" s="111"/>
      <c r="P351" s="111"/>
      <c r="Q351" s="111"/>
      <c r="R351" s="111"/>
      <c r="Y351" s="110"/>
      <c r="Z351" s="110"/>
    </row>
    <row r="352" spans="2:26" s="108" customFormat="1">
      <c r="B352" s="109"/>
      <c r="C352" s="110"/>
      <c r="D352" s="109"/>
      <c r="E352" s="109"/>
      <c r="F352" s="97"/>
      <c r="G352" s="109"/>
      <c r="H352" s="109"/>
      <c r="I352" s="98"/>
      <c r="J352" s="98"/>
      <c r="K352" s="83"/>
      <c r="L352" s="110"/>
      <c r="M352" s="110"/>
      <c r="N352" s="110"/>
      <c r="O352" s="111"/>
      <c r="P352" s="111"/>
      <c r="Q352" s="111"/>
      <c r="R352" s="111"/>
      <c r="Y352" s="110"/>
      <c r="Z352" s="110"/>
    </row>
    <row r="353" spans="2:26" s="108" customFormat="1">
      <c r="B353" s="109"/>
      <c r="C353" s="110"/>
      <c r="D353" s="109"/>
      <c r="E353" s="109"/>
      <c r="F353" s="97"/>
      <c r="G353" s="109"/>
      <c r="H353" s="109"/>
      <c r="I353" s="98"/>
      <c r="J353" s="98"/>
      <c r="K353" s="83"/>
      <c r="L353" s="110"/>
      <c r="M353" s="110"/>
      <c r="N353" s="110"/>
      <c r="O353" s="111"/>
      <c r="P353" s="111"/>
      <c r="Q353" s="111"/>
      <c r="R353" s="111"/>
      <c r="Y353" s="110"/>
      <c r="Z353" s="110"/>
    </row>
    <row r="354" spans="2:26" s="108" customFormat="1">
      <c r="B354" s="109"/>
      <c r="C354" s="110"/>
      <c r="D354" s="109"/>
      <c r="E354" s="109"/>
      <c r="F354" s="97"/>
      <c r="G354" s="109"/>
      <c r="H354" s="109"/>
      <c r="I354" s="98"/>
      <c r="J354" s="98"/>
      <c r="K354" s="83"/>
      <c r="L354" s="110"/>
      <c r="M354" s="110"/>
      <c r="N354" s="110"/>
      <c r="O354" s="111"/>
      <c r="P354" s="111"/>
      <c r="Q354" s="111"/>
      <c r="R354" s="111"/>
      <c r="Y354" s="110"/>
      <c r="Z354" s="110"/>
    </row>
    <row r="355" spans="2:26" s="108" customFormat="1">
      <c r="B355" s="109"/>
      <c r="C355" s="110"/>
      <c r="D355" s="109"/>
      <c r="E355" s="109"/>
      <c r="F355" s="97"/>
      <c r="G355" s="109"/>
      <c r="H355" s="109"/>
      <c r="I355" s="98"/>
      <c r="J355" s="98"/>
      <c r="K355" s="83"/>
      <c r="L355" s="110"/>
      <c r="M355" s="110"/>
      <c r="N355" s="110"/>
      <c r="O355" s="111"/>
      <c r="P355" s="111"/>
      <c r="Q355" s="111"/>
      <c r="R355" s="111"/>
      <c r="Y355" s="110"/>
      <c r="Z355" s="110"/>
    </row>
    <row r="356" spans="2:26" s="108" customFormat="1">
      <c r="B356" s="109"/>
      <c r="C356" s="110"/>
      <c r="D356" s="109"/>
      <c r="E356" s="109"/>
      <c r="F356" s="97"/>
      <c r="G356" s="109"/>
      <c r="H356" s="109"/>
      <c r="I356" s="98"/>
      <c r="J356" s="98"/>
      <c r="K356" s="83"/>
      <c r="L356" s="110"/>
      <c r="M356" s="110"/>
      <c r="N356" s="110"/>
      <c r="O356" s="111"/>
      <c r="P356" s="111"/>
      <c r="Q356" s="111"/>
      <c r="R356" s="111"/>
      <c r="Y356" s="110"/>
      <c r="Z356" s="110"/>
    </row>
    <row r="357" spans="2:26" s="108" customFormat="1">
      <c r="B357" s="109"/>
      <c r="C357" s="110"/>
      <c r="D357" s="109"/>
      <c r="E357" s="109"/>
      <c r="F357" s="97"/>
      <c r="G357" s="109"/>
      <c r="H357" s="109"/>
      <c r="I357" s="98"/>
      <c r="J357" s="98"/>
      <c r="K357" s="83"/>
      <c r="L357" s="110"/>
      <c r="M357" s="110"/>
      <c r="N357" s="110"/>
      <c r="O357" s="111"/>
      <c r="P357" s="111"/>
      <c r="Q357" s="111"/>
      <c r="R357" s="111"/>
      <c r="Y357" s="110"/>
      <c r="Z357" s="110"/>
    </row>
    <row r="358" spans="2:26" s="108" customFormat="1">
      <c r="B358" s="109"/>
      <c r="C358" s="110"/>
      <c r="D358" s="109"/>
      <c r="E358" s="109"/>
      <c r="F358" s="97"/>
      <c r="G358" s="109"/>
      <c r="H358" s="109"/>
      <c r="I358" s="98"/>
      <c r="J358" s="98"/>
      <c r="K358" s="83"/>
      <c r="L358" s="110"/>
      <c r="M358" s="110"/>
      <c r="N358" s="110"/>
      <c r="O358" s="111"/>
      <c r="P358" s="111"/>
      <c r="Q358" s="111"/>
      <c r="R358" s="111"/>
      <c r="Y358" s="110"/>
      <c r="Z358" s="110"/>
    </row>
    <row r="359" spans="2:26" s="108" customFormat="1">
      <c r="B359" s="109"/>
      <c r="C359" s="110"/>
      <c r="D359" s="109"/>
      <c r="E359" s="109"/>
      <c r="F359" s="97"/>
      <c r="G359" s="109"/>
      <c r="H359" s="109"/>
      <c r="I359" s="98"/>
      <c r="J359" s="98"/>
      <c r="K359" s="83"/>
      <c r="L359" s="110"/>
      <c r="M359" s="110"/>
      <c r="N359" s="110"/>
      <c r="O359" s="111"/>
      <c r="P359" s="111"/>
      <c r="Q359" s="111"/>
      <c r="R359" s="111"/>
      <c r="Y359" s="110"/>
      <c r="Z359" s="110"/>
    </row>
    <row r="360" spans="2:26" s="108" customFormat="1">
      <c r="B360" s="109"/>
      <c r="C360" s="110"/>
      <c r="D360" s="109"/>
      <c r="E360" s="109"/>
      <c r="F360" s="97"/>
      <c r="G360" s="109"/>
      <c r="H360" s="109"/>
      <c r="I360" s="98"/>
      <c r="J360" s="98"/>
      <c r="K360" s="83"/>
      <c r="L360" s="110"/>
      <c r="M360" s="110"/>
      <c r="N360" s="110"/>
      <c r="O360" s="111"/>
      <c r="P360" s="111"/>
      <c r="Q360" s="111"/>
      <c r="R360" s="111"/>
      <c r="Y360" s="110"/>
      <c r="Z360" s="110"/>
    </row>
    <row r="361" spans="2:26" s="108" customFormat="1">
      <c r="B361" s="109"/>
      <c r="C361" s="110"/>
      <c r="D361" s="109"/>
      <c r="E361" s="109"/>
      <c r="F361" s="97"/>
      <c r="G361" s="109"/>
      <c r="H361" s="109"/>
      <c r="I361" s="98"/>
      <c r="J361" s="98"/>
      <c r="K361" s="83"/>
      <c r="L361" s="110"/>
      <c r="M361" s="110"/>
      <c r="N361" s="110"/>
      <c r="O361" s="111"/>
      <c r="P361" s="111"/>
      <c r="Q361" s="111"/>
      <c r="R361" s="111"/>
      <c r="Y361" s="110"/>
      <c r="Z361" s="110"/>
    </row>
    <row r="362" spans="2:26" s="108" customFormat="1">
      <c r="B362" s="109"/>
      <c r="C362" s="110"/>
      <c r="D362" s="109"/>
      <c r="E362" s="109"/>
      <c r="F362" s="97"/>
      <c r="G362" s="109"/>
      <c r="H362" s="109"/>
      <c r="I362" s="98"/>
      <c r="J362" s="98"/>
      <c r="K362" s="83"/>
      <c r="L362" s="110"/>
      <c r="M362" s="110"/>
      <c r="N362" s="110"/>
      <c r="O362" s="111"/>
      <c r="P362" s="111"/>
      <c r="Q362" s="111"/>
      <c r="R362" s="111"/>
      <c r="Y362" s="110"/>
      <c r="Z362" s="110"/>
    </row>
    <row r="363" spans="2:26" s="108" customFormat="1">
      <c r="B363" s="109"/>
      <c r="C363" s="110"/>
      <c r="D363" s="109"/>
      <c r="E363" s="109"/>
      <c r="F363" s="97"/>
      <c r="G363" s="109"/>
      <c r="H363" s="109"/>
      <c r="I363" s="98"/>
      <c r="J363" s="98"/>
      <c r="K363" s="83"/>
      <c r="L363" s="110"/>
      <c r="M363" s="110"/>
      <c r="N363" s="110"/>
      <c r="O363" s="111"/>
      <c r="P363" s="111"/>
      <c r="Q363" s="111"/>
      <c r="R363" s="111"/>
      <c r="Y363" s="110"/>
      <c r="Z363" s="110"/>
    </row>
    <row r="364" spans="2:26" s="108" customFormat="1">
      <c r="B364" s="109"/>
      <c r="C364" s="110"/>
      <c r="D364" s="109"/>
      <c r="E364" s="109"/>
      <c r="F364" s="97"/>
      <c r="G364" s="109"/>
      <c r="H364" s="109"/>
      <c r="I364" s="98"/>
      <c r="J364" s="98"/>
      <c r="K364" s="83"/>
      <c r="L364" s="110"/>
      <c r="M364" s="110"/>
      <c r="N364" s="110"/>
      <c r="O364" s="111"/>
      <c r="P364" s="111"/>
      <c r="Q364" s="111"/>
      <c r="R364" s="111"/>
      <c r="Y364" s="110"/>
      <c r="Z364" s="110"/>
    </row>
    <row r="365" spans="2:26" s="108" customFormat="1">
      <c r="B365" s="109"/>
      <c r="C365" s="110"/>
      <c r="D365" s="109"/>
      <c r="E365" s="109"/>
      <c r="F365" s="97"/>
      <c r="G365" s="109"/>
      <c r="H365" s="109"/>
      <c r="I365" s="98"/>
      <c r="J365" s="98"/>
      <c r="K365" s="83"/>
      <c r="L365" s="110"/>
      <c r="M365" s="110"/>
      <c r="N365" s="110"/>
      <c r="O365" s="111"/>
      <c r="P365" s="111"/>
      <c r="Q365" s="111"/>
      <c r="R365" s="111"/>
      <c r="Y365" s="110"/>
      <c r="Z365" s="110"/>
    </row>
    <row r="366" spans="2:26" s="108" customFormat="1">
      <c r="B366" s="109"/>
      <c r="C366" s="110"/>
      <c r="D366" s="109"/>
      <c r="E366" s="109"/>
      <c r="F366" s="97"/>
      <c r="G366" s="109"/>
      <c r="H366" s="109"/>
      <c r="I366" s="98"/>
      <c r="J366" s="98"/>
      <c r="K366" s="83"/>
      <c r="L366" s="110"/>
      <c r="M366" s="110"/>
      <c r="N366" s="110"/>
      <c r="O366" s="111"/>
      <c r="P366" s="111"/>
      <c r="Q366" s="111"/>
      <c r="R366" s="111"/>
      <c r="Y366" s="110"/>
      <c r="Z366" s="110"/>
    </row>
    <row r="367" spans="2:26" s="108" customFormat="1">
      <c r="B367" s="109"/>
      <c r="C367" s="110"/>
      <c r="D367" s="109"/>
      <c r="E367" s="109"/>
      <c r="F367" s="97"/>
      <c r="G367" s="109"/>
      <c r="H367" s="109"/>
      <c r="I367" s="98"/>
      <c r="J367" s="98"/>
      <c r="K367" s="83"/>
      <c r="L367" s="110"/>
      <c r="M367" s="110"/>
      <c r="N367" s="110"/>
      <c r="O367" s="111"/>
      <c r="P367" s="111"/>
      <c r="Q367" s="111"/>
      <c r="R367" s="111"/>
      <c r="Y367" s="110"/>
      <c r="Z367" s="110"/>
    </row>
    <row r="368" spans="2:26" s="108" customFormat="1">
      <c r="B368" s="109"/>
      <c r="C368" s="110"/>
      <c r="D368" s="109"/>
      <c r="E368" s="109"/>
      <c r="F368" s="97"/>
      <c r="G368" s="109"/>
      <c r="H368" s="109"/>
      <c r="I368" s="98"/>
      <c r="J368" s="98"/>
      <c r="K368" s="83"/>
      <c r="L368" s="110"/>
      <c r="M368" s="110"/>
      <c r="N368" s="110"/>
      <c r="O368" s="111"/>
      <c r="P368" s="111"/>
      <c r="Q368" s="111"/>
      <c r="R368" s="111"/>
      <c r="Y368" s="110"/>
      <c r="Z368" s="110"/>
    </row>
    <row r="369" spans="2:26" s="108" customFormat="1">
      <c r="B369" s="109"/>
      <c r="C369" s="110"/>
      <c r="D369" s="109"/>
      <c r="E369" s="109"/>
      <c r="F369" s="97"/>
      <c r="G369" s="109"/>
      <c r="H369" s="109"/>
      <c r="I369" s="98"/>
      <c r="J369" s="98"/>
      <c r="K369" s="83"/>
      <c r="L369" s="110"/>
      <c r="M369" s="110"/>
      <c r="N369" s="110"/>
      <c r="O369" s="111"/>
      <c r="P369" s="111"/>
      <c r="Q369" s="111"/>
      <c r="R369" s="111"/>
      <c r="Y369" s="110"/>
      <c r="Z369" s="110"/>
    </row>
    <row r="370" spans="2:26" s="108" customFormat="1">
      <c r="B370" s="109"/>
      <c r="C370" s="110"/>
      <c r="D370" s="109"/>
      <c r="E370" s="109"/>
      <c r="F370" s="97"/>
      <c r="G370" s="109"/>
      <c r="H370" s="109"/>
      <c r="I370" s="98"/>
      <c r="J370" s="98"/>
      <c r="K370" s="83"/>
      <c r="L370" s="110"/>
      <c r="M370" s="110"/>
      <c r="N370" s="110"/>
      <c r="O370" s="111"/>
      <c r="P370" s="111"/>
      <c r="Q370" s="111"/>
      <c r="R370" s="111"/>
      <c r="Y370" s="110"/>
      <c r="Z370" s="110"/>
    </row>
    <row r="371" spans="2:26" s="108" customFormat="1">
      <c r="B371" s="109"/>
      <c r="C371" s="110"/>
      <c r="D371" s="109"/>
      <c r="E371" s="109"/>
      <c r="F371" s="97"/>
      <c r="G371" s="109"/>
      <c r="H371" s="109"/>
      <c r="I371" s="98"/>
      <c r="J371" s="98"/>
      <c r="K371" s="83"/>
      <c r="L371" s="110"/>
      <c r="M371" s="110"/>
      <c r="N371" s="110"/>
      <c r="O371" s="111"/>
      <c r="P371" s="111"/>
      <c r="Q371" s="111"/>
      <c r="R371" s="111"/>
      <c r="Y371" s="110"/>
      <c r="Z371" s="110"/>
    </row>
    <row r="372" spans="2:26" s="108" customFormat="1">
      <c r="B372" s="109"/>
      <c r="C372" s="110"/>
      <c r="D372" s="109"/>
      <c r="E372" s="109"/>
      <c r="F372" s="97"/>
      <c r="G372" s="109"/>
      <c r="H372" s="109"/>
      <c r="I372" s="98"/>
      <c r="J372" s="98"/>
      <c r="K372" s="83"/>
      <c r="L372" s="110"/>
      <c r="M372" s="110"/>
      <c r="N372" s="110"/>
      <c r="O372" s="111"/>
      <c r="P372" s="111"/>
      <c r="Q372" s="111"/>
      <c r="R372" s="111"/>
      <c r="Y372" s="110"/>
      <c r="Z372" s="110"/>
    </row>
    <row r="373" spans="2:26" s="108" customFormat="1">
      <c r="B373" s="109"/>
      <c r="C373" s="110"/>
      <c r="D373" s="109"/>
      <c r="E373" s="109"/>
      <c r="F373" s="97"/>
      <c r="G373" s="109"/>
      <c r="H373" s="109"/>
      <c r="I373" s="98"/>
      <c r="J373" s="98"/>
      <c r="K373" s="83"/>
      <c r="L373" s="110"/>
      <c r="M373" s="110"/>
      <c r="N373" s="110"/>
      <c r="O373" s="111"/>
      <c r="P373" s="111"/>
      <c r="Q373" s="111"/>
      <c r="R373" s="111"/>
      <c r="Y373" s="110"/>
      <c r="Z373" s="110"/>
    </row>
    <row r="374" spans="2:26" s="108" customFormat="1">
      <c r="B374" s="109"/>
      <c r="C374" s="110"/>
      <c r="D374" s="109"/>
      <c r="E374" s="109"/>
      <c r="F374" s="97"/>
      <c r="G374" s="109"/>
      <c r="H374" s="109"/>
      <c r="I374" s="98"/>
      <c r="J374" s="98"/>
      <c r="K374" s="83"/>
      <c r="L374" s="110"/>
      <c r="M374" s="110"/>
      <c r="N374" s="110"/>
      <c r="O374" s="111"/>
      <c r="P374" s="111"/>
      <c r="Q374" s="111"/>
      <c r="R374" s="111"/>
      <c r="Y374" s="110"/>
      <c r="Z374" s="110"/>
    </row>
    <row r="375" spans="2:26" s="108" customFormat="1">
      <c r="B375" s="109"/>
      <c r="C375" s="110"/>
      <c r="D375" s="109"/>
      <c r="E375" s="109"/>
      <c r="F375" s="97"/>
      <c r="G375" s="109"/>
      <c r="H375" s="109"/>
      <c r="I375" s="98"/>
      <c r="J375" s="98"/>
      <c r="K375" s="83"/>
      <c r="L375" s="110"/>
      <c r="M375" s="110"/>
      <c r="N375" s="110"/>
      <c r="O375" s="111"/>
      <c r="P375" s="111"/>
      <c r="Q375" s="111"/>
      <c r="R375" s="111"/>
      <c r="Y375" s="110"/>
      <c r="Z375" s="110"/>
    </row>
    <row r="376" spans="2:26" s="108" customFormat="1">
      <c r="B376" s="109"/>
      <c r="C376" s="110"/>
      <c r="D376" s="109"/>
      <c r="E376" s="109"/>
      <c r="F376" s="97"/>
      <c r="G376" s="109"/>
      <c r="H376" s="109"/>
      <c r="I376" s="98"/>
      <c r="J376" s="98"/>
      <c r="K376" s="83"/>
      <c r="L376" s="110"/>
      <c r="M376" s="110"/>
      <c r="N376" s="110"/>
      <c r="O376" s="111"/>
      <c r="P376" s="111"/>
      <c r="Q376" s="111"/>
      <c r="R376" s="111"/>
      <c r="Y376" s="110"/>
      <c r="Z376" s="110"/>
    </row>
    <row r="377" spans="2:26" s="108" customFormat="1">
      <c r="B377" s="109"/>
      <c r="C377" s="110"/>
      <c r="D377" s="109"/>
      <c r="E377" s="109"/>
      <c r="F377" s="97"/>
      <c r="G377" s="109"/>
      <c r="H377" s="109"/>
      <c r="I377" s="98"/>
      <c r="J377" s="98"/>
      <c r="K377" s="83"/>
      <c r="L377" s="110"/>
      <c r="M377" s="110"/>
      <c r="N377" s="110"/>
      <c r="O377" s="111"/>
      <c r="P377" s="111"/>
      <c r="Q377" s="111"/>
      <c r="R377" s="111"/>
      <c r="Y377" s="110"/>
      <c r="Z377" s="110"/>
    </row>
    <row r="378" spans="2:26" s="108" customFormat="1">
      <c r="B378" s="109"/>
      <c r="C378" s="110"/>
      <c r="D378" s="109"/>
      <c r="E378" s="109"/>
      <c r="F378" s="97"/>
      <c r="G378" s="109"/>
      <c r="H378" s="109"/>
      <c r="I378" s="98"/>
      <c r="J378" s="98"/>
      <c r="K378" s="83"/>
      <c r="L378" s="110"/>
      <c r="M378" s="110"/>
      <c r="N378" s="110"/>
      <c r="O378" s="111"/>
      <c r="P378" s="111"/>
      <c r="Q378" s="111"/>
      <c r="R378" s="111"/>
      <c r="Y378" s="110"/>
      <c r="Z378" s="110"/>
    </row>
    <row r="379" spans="2:26" s="108" customFormat="1">
      <c r="B379" s="109"/>
      <c r="C379" s="110"/>
      <c r="D379" s="109"/>
      <c r="E379" s="109"/>
      <c r="F379" s="97"/>
      <c r="G379" s="109"/>
      <c r="H379" s="109"/>
      <c r="I379" s="98"/>
      <c r="J379" s="98"/>
      <c r="K379" s="83"/>
      <c r="L379" s="110"/>
      <c r="M379" s="110"/>
      <c r="N379" s="110"/>
      <c r="O379" s="111"/>
      <c r="P379" s="111"/>
      <c r="Q379" s="111"/>
      <c r="R379" s="111"/>
      <c r="Y379" s="110"/>
      <c r="Z379" s="110"/>
    </row>
    <row r="380" spans="2:26" s="108" customFormat="1">
      <c r="B380" s="109"/>
      <c r="C380" s="110"/>
      <c r="D380" s="109"/>
      <c r="E380" s="109"/>
      <c r="F380" s="97"/>
      <c r="G380" s="109"/>
      <c r="H380" s="109"/>
      <c r="I380" s="98"/>
      <c r="J380" s="98"/>
      <c r="K380" s="83"/>
      <c r="L380" s="110"/>
      <c r="M380" s="110"/>
      <c r="N380" s="110"/>
      <c r="O380" s="111"/>
      <c r="P380" s="111"/>
      <c r="Q380" s="111"/>
      <c r="R380" s="111"/>
      <c r="Y380" s="110"/>
      <c r="Z380" s="110"/>
    </row>
    <row r="381" spans="2:26" s="108" customFormat="1">
      <c r="B381" s="109"/>
      <c r="C381" s="110"/>
      <c r="D381" s="109"/>
      <c r="E381" s="109"/>
      <c r="F381" s="97"/>
      <c r="G381" s="109"/>
      <c r="H381" s="109"/>
      <c r="I381" s="98"/>
      <c r="J381" s="98"/>
      <c r="K381" s="83"/>
      <c r="L381" s="110"/>
      <c r="M381" s="110"/>
      <c r="N381" s="110"/>
      <c r="O381" s="111"/>
      <c r="P381" s="111"/>
      <c r="Q381" s="111"/>
      <c r="R381" s="111"/>
      <c r="Y381" s="110"/>
      <c r="Z381" s="110"/>
    </row>
    <row r="382" spans="2:26" s="108" customFormat="1">
      <c r="B382" s="109"/>
      <c r="C382" s="110"/>
      <c r="D382" s="109"/>
      <c r="E382" s="109"/>
      <c r="F382" s="97"/>
      <c r="G382" s="109"/>
      <c r="H382" s="109"/>
      <c r="I382" s="98"/>
      <c r="J382" s="98"/>
      <c r="K382" s="83"/>
      <c r="L382" s="110"/>
      <c r="M382" s="110"/>
      <c r="N382" s="110"/>
      <c r="O382" s="111"/>
      <c r="P382" s="111"/>
      <c r="Q382" s="111"/>
      <c r="R382" s="111"/>
      <c r="Y382" s="110"/>
      <c r="Z382" s="110"/>
    </row>
    <row r="383" spans="2:26" s="108" customFormat="1">
      <c r="B383" s="109"/>
      <c r="C383" s="110"/>
      <c r="D383" s="109"/>
      <c r="E383" s="109"/>
      <c r="F383" s="97"/>
      <c r="G383" s="109"/>
      <c r="H383" s="109"/>
      <c r="I383" s="98"/>
      <c r="J383" s="98"/>
      <c r="K383" s="83"/>
      <c r="L383" s="110"/>
      <c r="M383" s="110"/>
      <c r="N383" s="110"/>
      <c r="O383" s="111"/>
      <c r="P383" s="111"/>
      <c r="Q383" s="111"/>
      <c r="R383" s="111"/>
      <c r="Y383" s="110"/>
      <c r="Z383" s="110"/>
    </row>
    <row r="384" spans="2:26" s="108" customFormat="1">
      <c r="B384" s="109"/>
      <c r="C384" s="110"/>
      <c r="D384" s="109"/>
      <c r="E384" s="109"/>
      <c r="F384" s="97"/>
      <c r="G384" s="109"/>
      <c r="H384" s="109"/>
      <c r="I384" s="98"/>
      <c r="J384" s="98"/>
      <c r="K384" s="83"/>
      <c r="L384" s="110"/>
      <c r="M384" s="110"/>
      <c r="N384" s="110"/>
      <c r="O384" s="111"/>
      <c r="P384" s="111"/>
      <c r="Q384" s="111"/>
      <c r="R384" s="111"/>
      <c r="Y384" s="110"/>
      <c r="Z384" s="110"/>
    </row>
    <row r="385" spans="2:26" s="108" customFormat="1">
      <c r="B385" s="109"/>
      <c r="C385" s="110"/>
      <c r="D385" s="109"/>
      <c r="E385" s="109"/>
      <c r="F385" s="97"/>
      <c r="G385" s="109"/>
      <c r="H385" s="109"/>
      <c r="I385" s="98"/>
      <c r="J385" s="98"/>
      <c r="K385" s="83"/>
      <c r="L385" s="110"/>
      <c r="M385" s="110"/>
      <c r="N385" s="110"/>
      <c r="O385" s="111"/>
      <c r="P385" s="111"/>
      <c r="Q385" s="111"/>
      <c r="R385" s="111"/>
      <c r="Y385" s="110"/>
      <c r="Z385" s="110"/>
    </row>
    <row r="386" spans="2:26" s="108" customFormat="1">
      <c r="B386" s="109"/>
      <c r="C386" s="110"/>
      <c r="D386" s="109"/>
      <c r="E386" s="109"/>
      <c r="F386" s="97"/>
      <c r="G386" s="109"/>
      <c r="H386" s="109"/>
      <c r="I386" s="98"/>
      <c r="J386" s="98"/>
      <c r="K386" s="83"/>
      <c r="L386" s="110"/>
      <c r="M386" s="110"/>
      <c r="N386" s="110"/>
      <c r="O386" s="111"/>
      <c r="P386" s="111"/>
      <c r="Q386" s="111"/>
      <c r="R386" s="111"/>
      <c r="Y386" s="110"/>
      <c r="Z386" s="110"/>
    </row>
    <row r="387" spans="2:26" s="108" customFormat="1">
      <c r="B387" s="109"/>
      <c r="C387" s="110"/>
      <c r="D387" s="109"/>
      <c r="E387" s="109"/>
      <c r="F387" s="97"/>
      <c r="G387" s="109"/>
      <c r="H387" s="109"/>
      <c r="I387" s="98"/>
      <c r="J387" s="98"/>
      <c r="K387" s="83"/>
      <c r="L387" s="110"/>
      <c r="M387" s="110"/>
      <c r="N387" s="110"/>
      <c r="O387" s="111"/>
      <c r="P387" s="111"/>
      <c r="Q387" s="111"/>
      <c r="R387" s="111"/>
      <c r="Y387" s="110"/>
      <c r="Z387" s="110"/>
    </row>
    <row r="388" spans="2:26" s="108" customFormat="1">
      <c r="B388" s="109"/>
      <c r="C388" s="110"/>
      <c r="D388" s="109"/>
      <c r="E388" s="109"/>
      <c r="F388" s="97"/>
      <c r="G388" s="109"/>
      <c r="H388" s="109"/>
      <c r="I388" s="98"/>
      <c r="J388" s="98"/>
      <c r="K388" s="83"/>
      <c r="L388" s="110"/>
      <c r="M388" s="110"/>
      <c r="N388" s="110"/>
      <c r="O388" s="111"/>
      <c r="P388" s="111"/>
      <c r="Q388" s="111"/>
      <c r="R388" s="111"/>
      <c r="Y388" s="110"/>
      <c r="Z388" s="110"/>
    </row>
    <row r="389" spans="2:26" s="108" customFormat="1">
      <c r="B389" s="109"/>
      <c r="C389" s="110"/>
      <c r="D389" s="109"/>
      <c r="E389" s="109"/>
      <c r="F389" s="97"/>
      <c r="G389" s="109"/>
      <c r="H389" s="109"/>
      <c r="I389" s="98"/>
      <c r="J389" s="98"/>
      <c r="K389" s="83"/>
      <c r="L389" s="110"/>
      <c r="M389" s="110"/>
      <c r="N389" s="110"/>
      <c r="O389" s="111"/>
      <c r="P389" s="111"/>
      <c r="Q389" s="111"/>
      <c r="R389" s="111"/>
      <c r="Y389" s="110"/>
      <c r="Z389" s="110"/>
    </row>
    <row r="390" spans="2:26" s="108" customFormat="1">
      <c r="B390" s="109"/>
      <c r="C390" s="110"/>
      <c r="D390" s="109"/>
      <c r="E390" s="109"/>
      <c r="F390" s="97"/>
      <c r="G390" s="109"/>
      <c r="H390" s="109"/>
      <c r="I390" s="98"/>
      <c r="J390" s="98"/>
      <c r="K390" s="83"/>
      <c r="L390" s="110"/>
      <c r="M390" s="110"/>
      <c r="N390" s="110"/>
      <c r="O390" s="111"/>
      <c r="P390" s="111"/>
      <c r="Q390" s="111"/>
      <c r="R390" s="111"/>
      <c r="Y390" s="110"/>
      <c r="Z390" s="110"/>
    </row>
    <row r="391" spans="2:26" s="108" customFormat="1">
      <c r="B391" s="109"/>
      <c r="C391" s="110"/>
      <c r="D391" s="109"/>
      <c r="E391" s="109"/>
      <c r="F391" s="97"/>
      <c r="G391" s="109"/>
      <c r="H391" s="109"/>
      <c r="I391" s="98"/>
      <c r="J391" s="98"/>
      <c r="K391" s="83"/>
      <c r="L391" s="110"/>
      <c r="M391" s="110"/>
      <c r="N391" s="110"/>
      <c r="O391" s="111"/>
      <c r="P391" s="111"/>
      <c r="Q391" s="111"/>
      <c r="R391" s="111"/>
      <c r="Y391" s="110"/>
      <c r="Z391" s="110"/>
    </row>
    <row r="392" spans="2:26" s="108" customFormat="1">
      <c r="B392" s="109"/>
      <c r="C392" s="110"/>
      <c r="D392" s="109"/>
      <c r="E392" s="109"/>
      <c r="F392" s="97"/>
      <c r="G392" s="109"/>
      <c r="H392" s="109"/>
      <c r="I392" s="98"/>
      <c r="J392" s="98"/>
      <c r="K392" s="83"/>
      <c r="L392" s="110"/>
      <c r="M392" s="110"/>
      <c r="N392" s="110"/>
      <c r="O392" s="111"/>
      <c r="P392" s="111"/>
      <c r="Q392" s="111"/>
      <c r="R392" s="111"/>
      <c r="Y392" s="110"/>
      <c r="Z392" s="110"/>
    </row>
    <row r="393" spans="2:26" s="108" customFormat="1">
      <c r="B393" s="109"/>
      <c r="C393" s="110"/>
      <c r="D393" s="109"/>
      <c r="E393" s="109"/>
      <c r="F393" s="97"/>
      <c r="G393" s="109"/>
      <c r="H393" s="109"/>
      <c r="I393" s="98"/>
      <c r="J393" s="98"/>
      <c r="K393" s="83"/>
      <c r="L393" s="110"/>
      <c r="M393" s="110"/>
      <c r="N393" s="110"/>
      <c r="O393" s="111"/>
      <c r="P393" s="111"/>
      <c r="Q393" s="111"/>
      <c r="R393" s="111"/>
      <c r="Y393" s="110"/>
      <c r="Z393" s="110"/>
    </row>
    <row r="394" spans="2:26" s="108" customFormat="1">
      <c r="B394" s="109"/>
      <c r="C394" s="110"/>
      <c r="D394" s="109"/>
      <c r="E394" s="109"/>
      <c r="F394" s="97"/>
      <c r="G394" s="109"/>
      <c r="H394" s="109"/>
      <c r="I394" s="98"/>
      <c r="J394" s="98"/>
      <c r="K394" s="83"/>
      <c r="L394" s="110"/>
      <c r="M394" s="110"/>
      <c r="N394" s="110"/>
      <c r="O394" s="111"/>
      <c r="P394" s="111"/>
      <c r="Q394" s="111"/>
      <c r="R394" s="111"/>
      <c r="Y394" s="110"/>
      <c r="Z394" s="110"/>
    </row>
    <row r="395" spans="2:26" s="108" customFormat="1">
      <c r="B395" s="109"/>
      <c r="C395" s="110"/>
      <c r="D395" s="109"/>
      <c r="E395" s="109"/>
      <c r="F395" s="97"/>
      <c r="G395" s="109"/>
      <c r="H395" s="109"/>
      <c r="I395" s="98"/>
      <c r="J395" s="98"/>
      <c r="K395" s="83"/>
      <c r="L395" s="110"/>
      <c r="M395" s="110"/>
      <c r="N395" s="110"/>
      <c r="O395" s="111"/>
      <c r="P395" s="111"/>
      <c r="Q395" s="111"/>
      <c r="R395" s="111"/>
      <c r="Y395" s="110"/>
      <c r="Z395" s="110"/>
    </row>
    <row r="396" spans="2:26" s="108" customFormat="1">
      <c r="B396" s="109"/>
      <c r="C396" s="110"/>
      <c r="D396" s="109"/>
      <c r="E396" s="109"/>
      <c r="F396" s="97"/>
      <c r="G396" s="109"/>
      <c r="H396" s="109"/>
      <c r="I396" s="98"/>
      <c r="J396" s="98"/>
      <c r="K396" s="83"/>
      <c r="L396" s="110"/>
      <c r="M396" s="110"/>
      <c r="N396" s="110"/>
      <c r="O396" s="111"/>
      <c r="P396" s="111"/>
      <c r="Q396" s="111"/>
      <c r="R396" s="111"/>
      <c r="Y396" s="110"/>
      <c r="Z396" s="110"/>
    </row>
    <row r="397" spans="2:26" s="108" customFormat="1">
      <c r="B397" s="109"/>
      <c r="C397" s="110"/>
      <c r="D397" s="109"/>
      <c r="E397" s="109"/>
      <c r="F397" s="97"/>
      <c r="G397" s="109"/>
      <c r="H397" s="109"/>
      <c r="I397" s="98"/>
      <c r="J397" s="98"/>
      <c r="K397" s="83"/>
      <c r="L397" s="110"/>
      <c r="M397" s="110"/>
      <c r="N397" s="110"/>
      <c r="O397" s="111"/>
      <c r="P397" s="111"/>
      <c r="Q397" s="111"/>
      <c r="R397" s="111"/>
      <c r="Y397" s="110"/>
      <c r="Z397" s="110"/>
    </row>
    <row r="398" spans="2:26" s="108" customFormat="1">
      <c r="B398" s="109"/>
      <c r="C398" s="110"/>
      <c r="D398" s="109"/>
      <c r="E398" s="109"/>
      <c r="F398" s="97"/>
      <c r="G398" s="109"/>
      <c r="H398" s="109"/>
      <c r="I398" s="98"/>
      <c r="J398" s="98"/>
      <c r="K398" s="83"/>
      <c r="L398" s="110"/>
      <c r="M398" s="110"/>
      <c r="N398" s="110"/>
      <c r="O398" s="111"/>
      <c r="P398" s="111"/>
      <c r="Q398" s="111"/>
      <c r="R398" s="111"/>
      <c r="Y398" s="110"/>
      <c r="Z398" s="110"/>
    </row>
    <row r="399" spans="2:26" s="108" customFormat="1">
      <c r="B399" s="109"/>
      <c r="C399" s="110"/>
      <c r="D399" s="109"/>
      <c r="E399" s="109"/>
      <c r="F399" s="97"/>
      <c r="G399" s="109"/>
      <c r="H399" s="109"/>
      <c r="I399" s="98"/>
      <c r="J399" s="98"/>
      <c r="K399" s="83"/>
      <c r="L399" s="110"/>
      <c r="M399" s="110"/>
      <c r="N399" s="110"/>
      <c r="O399" s="111"/>
      <c r="P399" s="111"/>
      <c r="Q399" s="111"/>
      <c r="R399" s="111"/>
      <c r="Y399" s="110"/>
      <c r="Z399" s="110"/>
    </row>
    <row r="400" spans="2:26" s="108" customFormat="1">
      <c r="B400" s="109"/>
      <c r="C400" s="110"/>
      <c r="D400" s="109"/>
      <c r="E400" s="109"/>
      <c r="F400" s="97"/>
      <c r="G400" s="109"/>
      <c r="H400" s="109"/>
      <c r="I400" s="98"/>
      <c r="J400" s="98"/>
      <c r="K400" s="83"/>
      <c r="L400" s="110"/>
      <c r="M400" s="110"/>
      <c r="N400" s="110"/>
      <c r="O400" s="111"/>
      <c r="P400" s="111"/>
      <c r="Q400" s="111"/>
      <c r="R400" s="111"/>
      <c r="Y400" s="110"/>
      <c r="Z400" s="110"/>
    </row>
    <row r="401" spans="2:26" s="108" customFormat="1">
      <c r="B401" s="109"/>
      <c r="C401" s="110"/>
      <c r="D401" s="109"/>
      <c r="E401" s="109"/>
      <c r="F401" s="97"/>
      <c r="G401" s="109"/>
      <c r="H401" s="109"/>
      <c r="I401" s="98"/>
      <c r="J401" s="98"/>
      <c r="K401" s="83"/>
      <c r="L401" s="110"/>
      <c r="M401" s="110"/>
      <c r="N401" s="110"/>
      <c r="O401" s="111"/>
      <c r="P401" s="111"/>
      <c r="Q401" s="111"/>
      <c r="R401" s="111"/>
      <c r="Y401" s="110"/>
      <c r="Z401" s="110"/>
    </row>
    <row r="402" spans="2:26" s="108" customFormat="1">
      <c r="B402" s="109"/>
      <c r="C402" s="110"/>
      <c r="D402" s="109"/>
      <c r="E402" s="109"/>
      <c r="F402" s="97"/>
      <c r="G402" s="109"/>
      <c r="H402" s="109"/>
      <c r="I402" s="98"/>
      <c r="J402" s="98"/>
      <c r="K402" s="83"/>
      <c r="L402" s="110"/>
      <c r="M402" s="110"/>
      <c r="N402" s="110"/>
      <c r="O402" s="111"/>
      <c r="P402" s="111"/>
      <c r="Q402" s="111"/>
      <c r="R402" s="111"/>
      <c r="Y402" s="110"/>
      <c r="Z402" s="110"/>
    </row>
    <row r="403" spans="2:26" s="108" customFormat="1">
      <c r="B403" s="109"/>
      <c r="C403" s="110"/>
      <c r="D403" s="109"/>
      <c r="E403" s="109"/>
      <c r="F403" s="97"/>
      <c r="G403" s="109"/>
      <c r="H403" s="109"/>
      <c r="I403" s="98"/>
      <c r="J403" s="98"/>
      <c r="K403" s="83"/>
      <c r="L403" s="110"/>
      <c r="M403" s="110"/>
      <c r="N403" s="110"/>
      <c r="O403" s="111"/>
      <c r="P403" s="111"/>
      <c r="Q403" s="111"/>
      <c r="R403" s="111"/>
      <c r="Y403" s="110"/>
      <c r="Z403" s="110"/>
    </row>
    <row r="404" spans="2:26" s="108" customFormat="1">
      <c r="B404" s="109"/>
      <c r="C404" s="110"/>
      <c r="D404" s="109"/>
      <c r="E404" s="109"/>
      <c r="F404" s="97"/>
      <c r="G404" s="109"/>
      <c r="H404" s="109"/>
      <c r="I404" s="98"/>
      <c r="J404" s="98"/>
      <c r="K404" s="83"/>
      <c r="L404" s="110"/>
      <c r="M404" s="110"/>
      <c r="N404" s="110"/>
      <c r="O404" s="111"/>
      <c r="P404" s="111"/>
      <c r="Q404" s="111"/>
      <c r="R404" s="111"/>
      <c r="Y404" s="110"/>
      <c r="Z404" s="110"/>
    </row>
    <row r="405" spans="2:26" s="108" customFormat="1">
      <c r="B405" s="109"/>
      <c r="C405" s="110"/>
      <c r="D405" s="109"/>
      <c r="E405" s="109"/>
      <c r="F405" s="97"/>
      <c r="G405" s="109"/>
      <c r="H405" s="109"/>
      <c r="I405" s="98"/>
      <c r="J405" s="98"/>
      <c r="K405" s="83"/>
      <c r="L405" s="110"/>
      <c r="M405" s="110"/>
      <c r="N405" s="110"/>
      <c r="O405" s="111"/>
      <c r="P405" s="111"/>
      <c r="Q405" s="111"/>
      <c r="R405" s="111"/>
      <c r="Y405" s="110"/>
      <c r="Z405" s="110"/>
    </row>
    <row r="406" spans="2:26" s="108" customFormat="1">
      <c r="B406" s="109"/>
      <c r="C406" s="110"/>
      <c r="D406" s="109"/>
      <c r="E406" s="109"/>
      <c r="F406" s="97"/>
      <c r="G406" s="109"/>
      <c r="H406" s="109"/>
      <c r="I406" s="98"/>
      <c r="J406" s="98"/>
      <c r="K406" s="83"/>
      <c r="L406" s="110"/>
      <c r="M406" s="110"/>
      <c r="N406" s="110"/>
      <c r="O406" s="111"/>
      <c r="P406" s="111"/>
      <c r="Q406" s="111"/>
      <c r="R406" s="111"/>
      <c r="Y406" s="110"/>
      <c r="Z406" s="110"/>
    </row>
    <row r="407" spans="2:26" s="108" customFormat="1">
      <c r="B407" s="109"/>
      <c r="C407" s="110"/>
      <c r="D407" s="109"/>
      <c r="E407" s="109"/>
      <c r="F407" s="97"/>
      <c r="G407" s="109"/>
      <c r="H407" s="109"/>
      <c r="I407" s="98"/>
      <c r="J407" s="98"/>
      <c r="K407" s="83"/>
      <c r="L407" s="110"/>
      <c r="M407" s="110"/>
      <c r="N407" s="110"/>
      <c r="O407" s="111"/>
      <c r="P407" s="111"/>
      <c r="Q407" s="111"/>
      <c r="R407" s="111"/>
      <c r="Y407" s="110"/>
      <c r="Z407" s="110"/>
    </row>
    <row r="408" spans="2:26" s="108" customFormat="1">
      <c r="B408" s="109"/>
      <c r="C408" s="110"/>
      <c r="D408" s="109"/>
      <c r="E408" s="109"/>
      <c r="F408" s="97"/>
      <c r="G408" s="109"/>
      <c r="H408" s="109"/>
      <c r="I408" s="98"/>
      <c r="J408" s="98"/>
      <c r="K408" s="83"/>
      <c r="L408" s="110"/>
      <c r="M408" s="110"/>
      <c r="N408" s="110"/>
      <c r="O408" s="111"/>
      <c r="P408" s="111"/>
      <c r="Q408" s="111"/>
      <c r="R408" s="111"/>
      <c r="Y408" s="110"/>
      <c r="Z408" s="110"/>
    </row>
    <row r="409" spans="2:26" s="108" customFormat="1">
      <c r="B409" s="109"/>
      <c r="C409" s="110"/>
      <c r="D409" s="109"/>
      <c r="E409" s="109"/>
      <c r="F409" s="97"/>
      <c r="G409" s="109"/>
      <c r="H409" s="109"/>
      <c r="I409" s="98"/>
      <c r="J409" s="98"/>
      <c r="K409" s="83"/>
      <c r="L409" s="110"/>
      <c r="M409" s="110"/>
      <c r="N409" s="110"/>
      <c r="O409" s="111"/>
      <c r="P409" s="111"/>
      <c r="Q409" s="111"/>
      <c r="R409" s="111"/>
      <c r="Y409" s="110"/>
      <c r="Z409" s="110"/>
    </row>
    <row r="410" spans="2:26" s="108" customFormat="1">
      <c r="B410" s="109"/>
      <c r="C410" s="110"/>
      <c r="D410" s="109"/>
      <c r="E410" s="109"/>
      <c r="F410" s="97"/>
      <c r="G410" s="109"/>
      <c r="H410" s="109"/>
      <c r="I410" s="98"/>
      <c r="J410" s="98"/>
      <c r="K410" s="83"/>
      <c r="L410" s="110"/>
      <c r="M410" s="110"/>
      <c r="N410" s="110"/>
      <c r="O410" s="111"/>
      <c r="P410" s="111"/>
      <c r="Q410" s="111"/>
      <c r="R410" s="111"/>
      <c r="Y410" s="110"/>
      <c r="Z410" s="110"/>
    </row>
    <row r="411" spans="2:26" s="108" customFormat="1">
      <c r="B411" s="109"/>
      <c r="C411" s="110"/>
      <c r="D411" s="109"/>
      <c r="E411" s="109"/>
      <c r="F411" s="97"/>
      <c r="G411" s="109"/>
      <c r="H411" s="109"/>
      <c r="I411" s="98"/>
      <c r="J411" s="98"/>
      <c r="K411" s="83"/>
      <c r="L411" s="110"/>
      <c r="M411" s="110"/>
      <c r="N411" s="110"/>
      <c r="O411" s="111"/>
      <c r="P411" s="111"/>
      <c r="Q411" s="111"/>
      <c r="R411" s="111"/>
      <c r="Y411" s="110"/>
      <c r="Z411" s="110"/>
    </row>
    <row r="412" spans="2:26" s="108" customFormat="1">
      <c r="B412" s="109"/>
      <c r="C412" s="110"/>
      <c r="D412" s="109"/>
      <c r="E412" s="109"/>
      <c r="F412" s="97"/>
      <c r="G412" s="109"/>
      <c r="H412" s="109"/>
      <c r="I412" s="98"/>
      <c r="J412" s="98"/>
      <c r="K412" s="83"/>
      <c r="L412" s="110"/>
      <c r="M412" s="110"/>
      <c r="N412" s="110"/>
      <c r="O412" s="111"/>
      <c r="P412" s="111"/>
      <c r="Q412" s="111"/>
      <c r="R412" s="111"/>
      <c r="Y412" s="110"/>
      <c r="Z412" s="110"/>
    </row>
    <row r="413" spans="2:26" s="108" customFormat="1">
      <c r="B413" s="109"/>
      <c r="C413" s="110"/>
      <c r="D413" s="109"/>
      <c r="E413" s="109"/>
      <c r="F413" s="97"/>
      <c r="G413" s="109"/>
      <c r="H413" s="109"/>
      <c r="I413" s="98"/>
      <c r="J413" s="98"/>
      <c r="K413" s="83"/>
      <c r="L413" s="110"/>
      <c r="M413" s="110"/>
      <c r="N413" s="110"/>
      <c r="O413" s="111"/>
      <c r="P413" s="111"/>
      <c r="Q413" s="111"/>
      <c r="R413" s="111"/>
      <c r="Y413" s="110"/>
      <c r="Z413" s="110"/>
    </row>
    <row r="414" spans="2:26" s="108" customFormat="1">
      <c r="B414" s="109"/>
      <c r="C414" s="110"/>
      <c r="D414" s="109"/>
      <c r="E414" s="109"/>
      <c r="F414" s="97"/>
      <c r="G414" s="109"/>
      <c r="H414" s="109"/>
      <c r="I414" s="98"/>
      <c r="J414" s="98"/>
      <c r="K414" s="83"/>
      <c r="L414" s="110"/>
      <c r="M414" s="110"/>
      <c r="N414" s="110"/>
      <c r="O414" s="111"/>
      <c r="P414" s="111"/>
      <c r="Q414" s="111"/>
      <c r="R414" s="111"/>
      <c r="Y414" s="110"/>
      <c r="Z414" s="110"/>
    </row>
    <row r="415" spans="2:26" s="108" customFormat="1">
      <c r="B415" s="109"/>
      <c r="C415" s="110"/>
      <c r="D415" s="109"/>
      <c r="E415" s="109"/>
      <c r="F415" s="97"/>
      <c r="G415" s="109"/>
      <c r="H415" s="109"/>
      <c r="I415" s="98"/>
      <c r="J415" s="98"/>
      <c r="K415" s="83"/>
      <c r="L415" s="110"/>
      <c r="M415" s="110"/>
      <c r="N415" s="110"/>
      <c r="O415" s="111"/>
      <c r="P415" s="111"/>
      <c r="Q415" s="111"/>
      <c r="R415" s="111"/>
      <c r="Y415" s="110"/>
      <c r="Z415" s="110"/>
    </row>
    <row r="416" spans="2:26" s="108" customFormat="1">
      <c r="B416" s="109"/>
      <c r="C416" s="110"/>
      <c r="D416" s="109"/>
      <c r="E416" s="109"/>
      <c r="F416" s="97"/>
      <c r="G416" s="109"/>
      <c r="H416" s="109"/>
      <c r="I416" s="98"/>
      <c r="J416" s="98"/>
      <c r="K416" s="83"/>
      <c r="L416" s="110"/>
      <c r="M416" s="110"/>
      <c r="N416" s="110"/>
      <c r="O416" s="111"/>
      <c r="P416" s="111"/>
      <c r="Q416" s="111"/>
      <c r="R416" s="111"/>
      <c r="Y416" s="110"/>
      <c r="Z416" s="110"/>
    </row>
    <row r="417" spans="2:26" s="108" customFormat="1">
      <c r="B417" s="109"/>
      <c r="C417" s="110"/>
      <c r="D417" s="109"/>
      <c r="E417" s="109"/>
      <c r="F417" s="97"/>
      <c r="G417" s="109"/>
      <c r="H417" s="109"/>
      <c r="I417" s="98"/>
      <c r="J417" s="98"/>
      <c r="K417" s="83"/>
      <c r="L417" s="110"/>
      <c r="M417" s="110"/>
      <c r="N417" s="110"/>
      <c r="O417" s="111"/>
      <c r="P417" s="111"/>
      <c r="Q417" s="111"/>
      <c r="R417" s="111"/>
      <c r="Y417" s="110"/>
      <c r="Z417" s="110"/>
    </row>
    <row r="418" spans="2:26" s="108" customFormat="1">
      <c r="B418" s="109"/>
      <c r="C418" s="110"/>
      <c r="D418" s="109"/>
      <c r="E418" s="109"/>
      <c r="F418" s="97"/>
      <c r="G418" s="109"/>
      <c r="H418" s="109"/>
      <c r="I418" s="98"/>
      <c r="J418" s="98"/>
      <c r="K418" s="83"/>
      <c r="L418" s="110"/>
      <c r="M418" s="110"/>
      <c r="N418" s="110"/>
      <c r="O418" s="111"/>
      <c r="P418" s="111"/>
      <c r="Q418" s="111"/>
      <c r="R418" s="111"/>
      <c r="Y418" s="110"/>
      <c r="Z418" s="110"/>
    </row>
    <row r="419" spans="2:26" s="108" customFormat="1">
      <c r="B419" s="109"/>
      <c r="C419" s="110"/>
      <c r="D419" s="109"/>
      <c r="E419" s="109"/>
      <c r="F419" s="97"/>
      <c r="G419" s="109"/>
      <c r="H419" s="109"/>
      <c r="I419" s="98"/>
      <c r="J419" s="98"/>
      <c r="K419" s="83"/>
      <c r="L419" s="110"/>
      <c r="M419" s="110"/>
      <c r="N419" s="110"/>
      <c r="O419" s="111"/>
      <c r="P419" s="111"/>
      <c r="Q419" s="111"/>
      <c r="R419" s="111"/>
      <c r="Y419" s="110"/>
      <c r="Z419" s="110"/>
    </row>
    <row r="420" spans="2:26" s="108" customFormat="1">
      <c r="B420" s="109"/>
      <c r="C420" s="110"/>
      <c r="D420" s="109"/>
      <c r="E420" s="109"/>
      <c r="F420" s="97"/>
      <c r="G420" s="109"/>
      <c r="H420" s="109"/>
      <c r="I420" s="98"/>
      <c r="J420" s="98"/>
      <c r="K420" s="83"/>
      <c r="L420" s="110"/>
      <c r="M420" s="110"/>
      <c r="N420" s="110"/>
      <c r="O420" s="111"/>
      <c r="P420" s="111"/>
      <c r="Q420" s="111"/>
      <c r="R420" s="111"/>
      <c r="Y420" s="110"/>
      <c r="Z420" s="110"/>
    </row>
    <row r="421" spans="2:26" s="108" customFormat="1">
      <c r="B421" s="109"/>
      <c r="C421" s="110"/>
      <c r="D421" s="109"/>
      <c r="E421" s="109"/>
      <c r="F421" s="97"/>
      <c r="G421" s="109"/>
      <c r="H421" s="109"/>
      <c r="I421" s="98"/>
      <c r="J421" s="98"/>
      <c r="K421" s="83"/>
      <c r="L421" s="110"/>
      <c r="M421" s="110"/>
      <c r="N421" s="110"/>
      <c r="O421" s="111"/>
      <c r="P421" s="111"/>
      <c r="Q421" s="111"/>
      <c r="R421" s="111"/>
      <c r="Y421" s="110"/>
      <c r="Z421" s="110"/>
    </row>
    <row r="422" spans="2:26" s="108" customFormat="1">
      <c r="B422" s="109"/>
      <c r="C422" s="110"/>
      <c r="D422" s="109"/>
      <c r="E422" s="109"/>
      <c r="F422" s="97"/>
      <c r="G422" s="109"/>
      <c r="H422" s="109"/>
      <c r="I422" s="98"/>
      <c r="J422" s="98"/>
      <c r="K422" s="83"/>
      <c r="L422" s="110"/>
      <c r="M422" s="110"/>
      <c r="N422" s="110"/>
      <c r="O422" s="111"/>
      <c r="P422" s="111"/>
      <c r="Q422" s="111"/>
      <c r="R422" s="111"/>
      <c r="Y422" s="110"/>
      <c r="Z422" s="110"/>
    </row>
    <row r="423" spans="2:26" s="108" customFormat="1">
      <c r="B423" s="109"/>
      <c r="C423" s="110"/>
      <c r="D423" s="109"/>
      <c r="E423" s="109"/>
      <c r="F423" s="97"/>
      <c r="G423" s="109"/>
      <c r="H423" s="109"/>
      <c r="I423" s="98"/>
      <c r="J423" s="98"/>
      <c r="K423" s="83"/>
      <c r="L423" s="110"/>
      <c r="M423" s="110"/>
      <c r="N423" s="110"/>
      <c r="O423" s="111"/>
      <c r="P423" s="111"/>
      <c r="Q423" s="111"/>
      <c r="R423" s="111"/>
      <c r="Y423" s="110"/>
      <c r="Z423" s="110"/>
    </row>
    <row r="424" spans="2:26" s="108" customFormat="1">
      <c r="B424" s="109"/>
      <c r="C424" s="110"/>
      <c r="D424" s="109"/>
      <c r="E424" s="109"/>
      <c r="F424" s="97"/>
      <c r="G424" s="109"/>
      <c r="H424" s="109"/>
      <c r="I424" s="98"/>
      <c r="J424" s="98"/>
      <c r="K424" s="83"/>
      <c r="L424" s="110"/>
      <c r="M424" s="110"/>
      <c r="N424" s="110"/>
      <c r="O424" s="111"/>
      <c r="P424" s="111"/>
      <c r="Q424" s="111"/>
      <c r="R424" s="111"/>
      <c r="Y424" s="110"/>
      <c r="Z424" s="110"/>
    </row>
    <row r="425" spans="2:26" s="108" customFormat="1">
      <c r="B425" s="109"/>
      <c r="C425" s="110"/>
      <c r="D425" s="109"/>
      <c r="E425" s="109"/>
      <c r="F425" s="97"/>
      <c r="G425" s="109"/>
      <c r="H425" s="109"/>
      <c r="I425" s="98"/>
      <c r="J425" s="98"/>
      <c r="K425" s="83"/>
      <c r="L425" s="110"/>
      <c r="M425" s="110"/>
      <c r="N425" s="110"/>
      <c r="O425" s="111"/>
      <c r="P425" s="111"/>
      <c r="Q425" s="111"/>
      <c r="R425" s="111"/>
      <c r="Y425" s="110"/>
      <c r="Z425" s="110"/>
    </row>
    <row r="426" spans="2:26" s="108" customFormat="1">
      <c r="B426" s="109"/>
      <c r="C426" s="110"/>
      <c r="D426" s="109"/>
      <c r="E426" s="109"/>
      <c r="F426" s="97"/>
      <c r="G426" s="109"/>
      <c r="H426" s="109"/>
      <c r="I426" s="98"/>
      <c r="J426" s="98"/>
      <c r="K426" s="83"/>
      <c r="L426" s="110"/>
      <c r="M426" s="110"/>
      <c r="N426" s="110"/>
      <c r="O426" s="111"/>
      <c r="P426" s="111"/>
      <c r="Q426" s="111"/>
      <c r="R426" s="111"/>
      <c r="Y426" s="110"/>
      <c r="Z426" s="110"/>
    </row>
    <row r="427" spans="2:26" s="108" customFormat="1">
      <c r="B427" s="109"/>
      <c r="C427" s="110"/>
      <c r="D427" s="109"/>
      <c r="E427" s="109"/>
      <c r="F427" s="97"/>
      <c r="G427" s="109"/>
      <c r="H427" s="109"/>
      <c r="I427" s="98"/>
      <c r="J427" s="98"/>
      <c r="K427" s="83"/>
      <c r="L427" s="110"/>
      <c r="M427" s="110"/>
      <c r="N427" s="110"/>
      <c r="O427" s="111"/>
      <c r="P427" s="111"/>
      <c r="Q427" s="111"/>
      <c r="R427" s="111"/>
      <c r="Y427" s="110"/>
      <c r="Z427" s="110"/>
    </row>
    <row r="428" spans="2:26" s="108" customFormat="1">
      <c r="B428" s="109"/>
      <c r="C428" s="110"/>
      <c r="D428" s="109"/>
      <c r="E428" s="109"/>
      <c r="F428" s="97"/>
      <c r="G428" s="109"/>
      <c r="H428" s="109"/>
      <c r="I428" s="98"/>
      <c r="J428" s="98"/>
      <c r="K428" s="83"/>
      <c r="L428" s="110"/>
      <c r="M428" s="110"/>
      <c r="N428" s="110"/>
      <c r="O428" s="111"/>
      <c r="P428" s="111"/>
      <c r="Q428" s="111"/>
      <c r="R428" s="111"/>
      <c r="Y428" s="110"/>
      <c r="Z428" s="110"/>
    </row>
    <row r="429" spans="2:26" s="108" customFormat="1">
      <c r="B429" s="109"/>
      <c r="C429" s="110"/>
      <c r="D429" s="109"/>
      <c r="E429" s="109"/>
      <c r="F429" s="97"/>
      <c r="G429" s="109"/>
      <c r="H429" s="109"/>
      <c r="I429" s="98"/>
      <c r="J429" s="98"/>
      <c r="K429" s="83"/>
      <c r="L429" s="110"/>
      <c r="M429" s="110"/>
      <c r="N429" s="110"/>
      <c r="O429" s="111"/>
      <c r="P429" s="111"/>
      <c r="Q429" s="111"/>
      <c r="R429" s="111"/>
      <c r="Y429" s="110"/>
      <c r="Z429" s="110"/>
    </row>
    <row r="430" spans="2:26" s="108" customFormat="1">
      <c r="B430" s="109"/>
      <c r="C430" s="110"/>
      <c r="D430" s="109"/>
      <c r="E430" s="109"/>
      <c r="F430" s="97"/>
      <c r="G430" s="109"/>
      <c r="H430" s="109"/>
      <c r="I430" s="98"/>
      <c r="J430" s="98"/>
      <c r="K430" s="83"/>
      <c r="L430" s="110"/>
      <c r="M430" s="110"/>
      <c r="N430" s="110"/>
      <c r="O430" s="111"/>
      <c r="P430" s="111"/>
      <c r="Q430" s="111"/>
      <c r="R430" s="111"/>
      <c r="Y430" s="110"/>
      <c r="Z430" s="110"/>
    </row>
    <row r="431" spans="2:26" s="108" customFormat="1">
      <c r="B431" s="109"/>
      <c r="C431" s="110"/>
      <c r="D431" s="109"/>
      <c r="E431" s="109"/>
      <c r="F431" s="97"/>
      <c r="G431" s="109"/>
      <c r="H431" s="109"/>
      <c r="I431" s="98"/>
      <c r="J431" s="98"/>
      <c r="K431" s="83"/>
      <c r="L431" s="110"/>
      <c r="M431" s="110"/>
      <c r="N431" s="110"/>
      <c r="O431" s="111"/>
      <c r="P431" s="111"/>
      <c r="Q431" s="111"/>
      <c r="R431" s="111"/>
      <c r="Y431" s="110"/>
      <c r="Z431" s="110"/>
    </row>
    <row r="432" spans="2:26" s="108" customFormat="1">
      <c r="B432" s="109"/>
      <c r="C432" s="110"/>
      <c r="D432" s="109"/>
      <c r="E432" s="109"/>
      <c r="F432" s="97"/>
      <c r="G432" s="109"/>
      <c r="H432" s="109"/>
      <c r="I432" s="98"/>
      <c r="J432" s="98"/>
      <c r="K432" s="83"/>
      <c r="L432" s="110"/>
      <c r="M432" s="110"/>
      <c r="N432" s="110"/>
      <c r="O432" s="111"/>
      <c r="P432" s="111"/>
      <c r="Q432" s="111"/>
      <c r="R432" s="111"/>
      <c r="Y432" s="110"/>
      <c r="Z432" s="110"/>
    </row>
    <row r="433" spans="2:26" s="108" customFormat="1">
      <c r="B433" s="109"/>
      <c r="C433" s="110"/>
      <c r="D433" s="109"/>
      <c r="E433" s="109"/>
      <c r="F433" s="97"/>
      <c r="G433" s="109"/>
      <c r="H433" s="109"/>
      <c r="I433" s="98"/>
      <c r="J433" s="98"/>
      <c r="K433" s="83"/>
      <c r="L433" s="110"/>
      <c r="M433" s="110"/>
      <c r="N433" s="110"/>
      <c r="O433" s="111"/>
      <c r="P433" s="111"/>
      <c r="Q433" s="111"/>
      <c r="R433" s="111"/>
      <c r="Y433" s="110"/>
      <c r="Z433" s="110"/>
    </row>
    <row r="434" spans="2:26" s="108" customFormat="1">
      <c r="B434" s="109"/>
      <c r="C434" s="110"/>
      <c r="D434" s="109"/>
      <c r="E434" s="109"/>
      <c r="F434" s="97"/>
      <c r="G434" s="109"/>
      <c r="H434" s="109"/>
      <c r="I434" s="98"/>
      <c r="J434" s="98"/>
      <c r="K434" s="83"/>
      <c r="L434" s="110"/>
      <c r="M434" s="110"/>
      <c r="N434" s="110"/>
      <c r="O434" s="111"/>
      <c r="P434" s="111"/>
      <c r="Q434" s="111"/>
      <c r="R434" s="111"/>
      <c r="Y434" s="110"/>
      <c r="Z434" s="110"/>
    </row>
    <row r="435" spans="2:26" s="108" customFormat="1">
      <c r="B435" s="109"/>
      <c r="C435" s="110"/>
      <c r="D435" s="109"/>
      <c r="E435" s="109"/>
      <c r="F435" s="97"/>
      <c r="G435" s="109"/>
      <c r="H435" s="109"/>
      <c r="I435" s="98"/>
      <c r="J435" s="98"/>
      <c r="K435" s="83"/>
      <c r="L435" s="110"/>
      <c r="M435" s="110"/>
      <c r="N435" s="110"/>
      <c r="O435" s="111"/>
      <c r="P435" s="111"/>
      <c r="Q435" s="111"/>
      <c r="R435" s="111"/>
      <c r="Y435" s="110"/>
      <c r="Z435" s="110"/>
    </row>
    <row r="436" spans="2:26" s="108" customFormat="1">
      <c r="B436" s="109"/>
      <c r="C436" s="110"/>
      <c r="D436" s="109"/>
      <c r="E436" s="109"/>
      <c r="F436" s="97"/>
      <c r="G436" s="109"/>
      <c r="H436" s="109"/>
      <c r="I436" s="98"/>
      <c r="J436" s="98"/>
      <c r="K436" s="83"/>
      <c r="L436" s="110"/>
      <c r="M436" s="110"/>
      <c r="N436" s="110"/>
      <c r="O436" s="111"/>
      <c r="P436" s="111"/>
      <c r="Q436" s="111"/>
      <c r="R436" s="111"/>
      <c r="Y436" s="110"/>
      <c r="Z436" s="110"/>
    </row>
    <row r="437" spans="2:26" s="108" customFormat="1">
      <c r="B437" s="109"/>
      <c r="C437" s="110"/>
      <c r="D437" s="109"/>
      <c r="E437" s="109"/>
      <c r="F437" s="97"/>
      <c r="G437" s="109"/>
      <c r="H437" s="109"/>
      <c r="I437" s="98"/>
      <c r="J437" s="98"/>
      <c r="K437" s="83"/>
      <c r="L437" s="110"/>
      <c r="M437" s="110"/>
      <c r="N437" s="110"/>
      <c r="O437" s="111"/>
      <c r="P437" s="111"/>
      <c r="Q437" s="111"/>
      <c r="R437" s="111"/>
      <c r="Y437" s="110"/>
      <c r="Z437" s="110"/>
    </row>
    <row r="438" spans="2:26" s="108" customFormat="1">
      <c r="B438" s="109"/>
      <c r="C438" s="110"/>
      <c r="D438" s="109"/>
      <c r="E438" s="109"/>
      <c r="F438" s="97"/>
      <c r="G438" s="109"/>
      <c r="H438" s="109"/>
      <c r="I438" s="98"/>
      <c r="J438" s="98"/>
      <c r="K438" s="83"/>
      <c r="L438" s="110"/>
      <c r="M438" s="110"/>
      <c r="N438" s="110"/>
      <c r="O438" s="111"/>
      <c r="P438" s="111"/>
      <c r="Q438" s="111"/>
      <c r="R438" s="111"/>
      <c r="Y438" s="110"/>
      <c r="Z438" s="110"/>
    </row>
    <row r="439" spans="2:26" s="108" customFormat="1">
      <c r="B439" s="109"/>
      <c r="C439" s="110"/>
      <c r="D439" s="109"/>
      <c r="E439" s="109"/>
      <c r="F439" s="97"/>
      <c r="G439" s="109"/>
      <c r="H439" s="109"/>
      <c r="I439" s="98"/>
      <c r="J439" s="98"/>
      <c r="K439" s="83"/>
      <c r="L439" s="110"/>
      <c r="M439" s="110"/>
      <c r="N439" s="110"/>
      <c r="O439" s="111"/>
      <c r="P439" s="111"/>
      <c r="Q439" s="111"/>
      <c r="R439" s="111"/>
      <c r="Y439" s="110"/>
      <c r="Z439" s="110"/>
    </row>
    <row r="440" spans="2:26" s="108" customFormat="1">
      <c r="B440" s="109"/>
      <c r="C440" s="110"/>
      <c r="D440" s="109"/>
      <c r="E440" s="109"/>
      <c r="F440" s="97"/>
      <c r="G440" s="109"/>
      <c r="H440" s="109"/>
      <c r="I440" s="98"/>
      <c r="J440" s="98"/>
      <c r="K440" s="83"/>
      <c r="L440" s="110"/>
      <c r="M440" s="110"/>
      <c r="N440" s="110"/>
      <c r="O440" s="111"/>
      <c r="P440" s="111"/>
      <c r="Q440" s="111"/>
      <c r="R440" s="111"/>
      <c r="Y440" s="110"/>
      <c r="Z440" s="110"/>
    </row>
    <row r="441" spans="2:26" s="108" customFormat="1">
      <c r="B441" s="109"/>
      <c r="C441" s="110"/>
      <c r="D441" s="109"/>
      <c r="E441" s="109"/>
      <c r="F441" s="97"/>
      <c r="G441" s="109"/>
      <c r="H441" s="109"/>
      <c r="I441" s="98"/>
      <c r="J441" s="98"/>
      <c r="K441" s="83"/>
      <c r="L441" s="110"/>
      <c r="M441" s="110"/>
      <c r="N441" s="110"/>
      <c r="O441" s="111"/>
      <c r="P441" s="111"/>
      <c r="Q441" s="111"/>
      <c r="R441" s="111"/>
      <c r="Y441" s="110"/>
      <c r="Z441" s="110"/>
    </row>
    <row r="442" spans="2:26" s="108" customFormat="1">
      <c r="B442" s="109"/>
      <c r="C442" s="110"/>
      <c r="D442" s="109"/>
      <c r="E442" s="109"/>
      <c r="F442" s="97"/>
      <c r="G442" s="109"/>
      <c r="H442" s="109"/>
      <c r="I442" s="98"/>
      <c r="J442" s="98"/>
      <c r="K442" s="83"/>
      <c r="L442" s="110"/>
      <c r="M442" s="110"/>
      <c r="N442" s="110"/>
      <c r="O442" s="111"/>
      <c r="P442" s="111"/>
      <c r="Q442" s="111"/>
      <c r="R442" s="111"/>
      <c r="Y442" s="110"/>
      <c r="Z442" s="110"/>
    </row>
    <row r="443" spans="2:26" s="108" customFormat="1">
      <c r="B443" s="109"/>
      <c r="C443" s="110"/>
      <c r="D443" s="109"/>
      <c r="E443" s="109"/>
      <c r="F443" s="97"/>
      <c r="G443" s="109"/>
      <c r="H443" s="109"/>
      <c r="I443" s="98"/>
      <c r="J443" s="98"/>
      <c r="K443" s="83"/>
      <c r="L443" s="110"/>
      <c r="M443" s="110"/>
      <c r="N443" s="110"/>
      <c r="O443" s="111"/>
      <c r="P443" s="111"/>
      <c r="Q443" s="111"/>
      <c r="R443" s="111"/>
      <c r="Y443" s="110"/>
      <c r="Z443" s="110"/>
    </row>
    <row r="444" spans="2:26" s="108" customFormat="1">
      <c r="B444" s="109"/>
      <c r="C444" s="110"/>
      <c r="D444" s="109"/>
      <c r="E444" s="109"/>
      <c r="F444" s="97"/>
      <c r="G444" s="109"/>
      <c r="H444" s="109"/>
      <c r="I444" s="98"/>
      <c r="J444" s="98"/>
      <c r="K444" s="83"/>
      <c r="L444" s="110"/>
      <c r="M444" s="110"/>
      <c r="N444" s="110"/>
      <c r="O444" s="111"/>
      <c r="P444" s="111"/>
      <c r="Q444" s="111"/>
      <c r="R444" s="111"/>
      <c r="Y444" s="110"/>
      <c r="Z444" s="110"/>
    </row>
    <row r="445" spans="2:26" s="108" customFormat="1">
      <c r="B445" s="109"/>
      <c r="C445" s="110"/>
      <c r="D445" s="109"/>
      <c r="E445" s="109"/>
      <c r="F445" s="97"/>
      <c r="G445" s="109"/>
      <c r="H445" s="109"/>
      <c r="I445" s="98"/>
      <c r="J445" s="98"/>
      <c r="K445" s="83"/>
      <c r="L445" s="110"/>
      <c r="M445" s="110"/>
      <c r="N445" s="110"/>
      <c r="O445" s="111"/>
      <c r="P445" s="111"/>
      <c r="Q445" s="111"/>
      <c r="R445" s="111"/>
      <c r="Y445" s="110"/>
      <c r="Z445" s="110"/>
    </row>
    <row r="446" spans="2:26" s="108" customFormat="1">
      <c r="B446" s="109"/>
      <c r="C446" s="110"/>
      <c r="D446" s="109"/>
      <c r="E446" s="109"/>
      <c r="F446" s="97"/>
      <c r="G446" s="109"/>
      <c r="H446" s="109"/>
      <c r="I446" s="98"/>
      <c r="J446" s="98"/>
      <c r="K446" s="83"/>
      <c r="L446" s="110"/>
      <c r="M446" s="110"/>
      <c r="N446" s="110"/>
      <c r="O446" s="111"/>
      <c r="P446" s="111"/>
      <c r="Q446" s="111"/>
      <c r="R446" s="111"/>
      <c r="Y446" s="110"/>
      <c r="Z446" s="110"/>
    </row>
    <row r="447" spans="2:26" s="108" customFormat="1">
      <c r="B447" s="109"/>
      <c r="C447" s="110"/>
      <c r="D447" s="109"/>
      <c r="E447" s="109"/>
      <c r="F447" s="97"/>
      <c r="G447" s="109"/>
      <c r="H447" s="109"/>
      <c r="I447" s="98"/>
      <c r="J447" s="98"/>
      <c r="K447" s="83"/>
      <c r="L447" s="110"/>
      <c r="M447" s="110"/>
      <c r="N447" s="110"/>
      <c r="O447" s="111"/>
      <c r="P447" s="111"/>
      <c r="Q447" s="111"/>
      <c r="R447" s="111"/>
      <c r="Y447" s="110"/>
      <c r="Z447" s="110"/>
    </row>
    <row r="448" spans="2:26" s="108" customFormat="1">
      <c r="B448" s="109"/>
      <c r="C448" s="110"/>
      <c r="D448" s="109"/>
      <c r="E448" s="109"/>
      <c r="F448" s="97"/>
      <c r="G448" s="109"/>
      <c r="H448" s="109"/>
      <c r="I448" s="98"/>
      <c r="J448" s="98"/>
      <c r="K448" s="83"/>
      <c r="L448" s="110"/>
      <c r="M448" s="110"/>
      <c r="N448" s="110"/>
      <c r="O448" s="111"/>
      <c r="P448" s="111"/>
      <c r="Q448" s="111"/>
      <c r="R448" s="111"/>
      <c r="Y448" s="110"/>
      <c r="Z448" s="110"/>
    </row>
    <row r="449" spans="2:26" s="108" customFormat="1">
      <c r="B449" s="109"/>
      <c r="C449" s="110"/>
      <c r="D449" s="109"/>
      <c r="E449" s="109"/>
      <c r="F449" s="97"/>
      <c r="G449" s="109"/>
      <c r="H449" s="109"/>
      <c r="I449" s="98"/>
      <c r="J449" s="98"/>
      <c r="K449" s="83"/>
      <c r="L449" s="110"/>
      <c r="M449" s="110"/>
      <c r="N449" s="110"/>
      <c r="O449" s="111"/>
      <c r="P449" s="111"/>
      <c r="Q449" s="111"/>
      <c r="R449" s="111"/>
      <c r="Y449" s="110"/>
      <c r="Z449" s="110"/>
    </row>
    <row r="450" spans="2:26" s="108" customFormat="1">
      <c r="B450" s="109"/>
      <c r="C450" s="110"/>
      <c r="D450" s="109"/>
      <c r="E450" s="109"/>
      <c r="F450" s="97"/>
      <c r="G450" s="109"/>
      <c r="H450" s="109"/>
      <c r="I450" s="98"/>
      <c r="J450" s="98"/>
      <c r="K450" s="83"/>
      <c r="L450" s="110"/>
      <c r="M450" s="110"/>
      <c r="N450" s="110"/>
      <c r="O450" s="111"/>
      <c r="P450" s="111"/>
      <c r="Q450" s="111"/>
      <c r="R450" s="111"/>
      <c r="Y450" s="110"/>
      <c r="Z450" s="110"/>
    </row>
    <row r="451" spans="2:26" s="108" customFormat="1">
      <c r="B451" s="109"/>
      <c r="C451" s="110"/>
      <c r="D451" s="109"/>
      <c r="E451" s="109"/>
      <c r="F451" s="97"/>
      <c r="G451" s="109"/>
      <c r="H451" s="109"/>
      <c r="I451" s="98"/>
      <c r="J451" s="98"/>
      <c r="K451" s="83"/>
      <c r="L451" s="110"/>
      <c r="M451" s="110"/>
      <c r="N451" s="110"/>
      <c r="O451" s="111"/>
      <c r="P451" s="111"/>
      <c r="Q451" s="111"/>
      <c r="R451" s="111"/>
      <c r="Y451" s="110"/>
      <c r="Z451" s="110"/>
    </row>
    <row r="452" spans="2:26" s="108" customFormat="1">
      <c r="B452" s="109"/>
      <c r="C452" s="110"/>
      <c r="D452" s="109"/>
      <c r="E452" s="109"/>
      <c r="F452" s="97"/>
      <c r="G452" s="109"/>
      <c r="H452" s="109"/>
      <c r="I452" s="98"/>
      <c r="J452" s="98"/>
      <c r="K452" s="83"/>
      <c r="L452" s="110"/>
      <c r="M452" s="110"/>
      <c r="N452" s="110"/>
      <c r="O452" s="111"/>
      <c r="P452" s="111"/>
      <c r="Q452" s="111"/>
      <c r="R452" s="111"/>
      <c r="Y452" s="110"/>
      <c r="Z452" s="110"/>
    </row>
    <row r="453" spans="2:26" s="108" customFormat="1">
      <c r="B453" s="109"/>
      <c r="C453" s="110"/>
      <c r="D453" s="109"/>
      <c r="E453" s="109"/>
      <c r="F453" s="97"/>
      <c r="G453" s="109"/>
      <c r="H453" s="109"/>
      <c r="I453" s="98"/>
      <c r="J453" s="98"/>
      <c r="K453" s="83"/>
      <c r="L453" s="110"/>
      <c r="M453" s="110"/>
      <c r="N453" s="110"/>
      <c r="O453" s="111"/>
      <c r="P453" s="111"/>
      <c r="Q453" s="111"/>
      <c r="R453" s="111"/>
      <c r="Y453" s="110"/>
      <c r="Z453" s="110"/>
    </row>
    <row r="454" spans="2:26" s="108" customFormat="1">
      <c r="B454" s="109"/>
      <c r="C454" s="110"/>
      <c r="D454" s="109"/>
      <c r="E454" s="109"/>
      <c r="F454" s="97"/>
      <c r="G454" s="109"/>
      <c r="H454" s="109"/>
      <c r="I454" s="98"/>
      <c r="J454" s="98"/>
      <c r="K454" s="83"/>
      <c r="L454" s="110"/>
      <c r="M454" s="110"/>
      <c r="N454" s="110"/>
      <c r="O454" s="111"/>
      <c r="P454" s="111"/>
      <c r="Q454" s="111"/>
      <c r="R454" s="111"/>
      <c r="Y454" s="110"/>
      <c r="Z454" s="110"/>
    </row>
    <row r="455" spans="2:26" s="108" customFormat="1">
      <c r="B455" s="109"/>
      <c r="C455" s="110"/>
      <c r="D455" s="109"/>
      <c r="E455" s="109"/>
      <c r="F455" s="97"/>
      <c r="G455" s="109"/>
      <c r="H455" s="109"/>
      <c r="I455" s="98"/>
      <c r="J455" s="98"/>
      <c r="K455" s="83"/>
      <c r="L455" s="110"/>
      <c r="M455" s="110"/>
      <c r="N455" s="110"/>
      <c r="O455" s="111"/>
      <c r="P455" s="111"/>
      <c r="Q455" s="111"/>
      <c r="R455" s="111"/>
      <c r="Y455" s="110"/>
      <c r="Z455" s="110"/>
    </row>
    <row r="456" spans="2:26" s="108" customFormat="1">
      <c r="B456" s="109"/>
      <c r="C456" s="110"/>
      <c r="D456" s="109"/>
      <c r="E456" s="109"/>
      <c r="F456" s="97"/>
      <c r="G456" s="109"/>
      <c r="H456" s="109"/>
      <c r="I456" s="98"/>
      <c r="J456" s="98"/>
      <c r="K456" s="83"/>
      <c r="L456" s="110"/>
      <c r="M456" s="110"/>
      <c r="N456" s="110"/>
      <c r="O456" s="111"/>
      <c r="P456" s="111"/>
      <c r="Q456" s="111"/>
      <c r="R456" s="111"/>
      <c r="Y456" s="110"/>
      <c r="Z456" s="110"/>
    </row>
    <row r="457" spans="2:26" s="108" customFormat="1">
      <c r="B457" s="109"/>
      <c r="C457" s="110"/>
      <c r="D457" s="109"/>
      <c r="E457" s="109"/>
      <c r="F457" s="97"/>
      <c r="G457" s="109"/>
      <c r="H457" s="109"/>
      <c r="I457" s="98"/>
      <c r="J457" s="98"/>
      <c r="K457" s="83"/>
      <c r="L457" s="110"/>
      <c r="M457" s="110"/>
      <c r="N457" s="110"/>
      <c r="O457" s="111"/>
      <c r="P457" s="111"/>
      <c r="Q457" s="111"/>
      <c r="R457" s="111"/>
      <c r="Y457" s="110"/>
      <c r="Z457" s="110"/>
    </row>
    <row r="458" spans="2:26" s="108" customFormat="1">
      <c r="B458" s="109"/>
      <c r="C458" s="110"/>
      <c r="D458" s="109"/>
      <c r="E458" s="109"/>
      <c r="F458" s="97"/>
      <c r="G458" s="109"/>
      <c r="H458" s="109"/>
      <c r="I458" s="98"/>
      <c r="J458" s="98"/>
      <c r="K458" s="83"/>
      <c r="L458" s="110"/>
      <c r="M458" s="110"/>
      <c r="N458" s="110"/>
      <c r="O458" s="111"/>
      <c r="P458" s="111"/>
      <c r="Q458" s="111"/>
      <c r="R458" s="111"/>
      <c r="Y458" s="110"/>
      <c r="Z458" s="110"/>
    </row>
    <row r="459" spans="2:26" s="108" customFormat="1">
      <c r="B459" s="109"/>
      <c r="C459" s="110"/>
      <c r="D459" s="109"/>
      <c r="E459" s="109"/>
      <c r="F459" s="97"/>
      <c r="G459" s="109"/>
      <c r="H459" s="109"/>
      <c r="I459" s="98"/>
      <c r="J459" s="98"/>
      <c r="K459" s="83"/>
      <c r="L459" s="110"/>
      <c r="M459" s="110"/>
      <c r="N459" s="110"/>
      <c r="O459" s="111"/>
      <c r="P459" s="111"/>
      <c r="Q459" s="111"/>
      <c r="R459" s="111"/>
      <c r="Y459" s="110"/>
      <c r="Z459" s="110"/>
    </row>
    <row r="460" spans="2:26" s="108" customFormat="1">
      <c r="B460" s="109"/>
      <c r="C460" s="110"/>
      <c r="D460" s="109"/>
      <c r="E460" s="109"/>
      <c r="F460" s="97"/>
      <c r="G460" s="109"/>
      <c r="H460" s="109"/>
      <c r="I460" s="98"/>
      <c r="J460" s="98"/>
      <c r="K460" s="83"/>
      <c r="L460" s="110"/>
      <c r="M460" s="110"/>
      <c r="N460" s="110"/>
      <c r="O460" s="111"/>
      <c r="P460" s="111"/>
      <c r="Q460" s="111"/>
      <c r="R460" s="111"/>
      <c r="Y460" s="110"/>
      <c r="Z460" s="110"/>
    </row>
    <row r="461" spans="2:26" s="108" customFormat="1">
      <c r="B461" s="109"/>
      <c r="C461" s="110"/>
      <c r="D461" s="109"/>
      <c r="E461" s="109"/>
      <c r="F461" s="97"/>
      <c r="G461" s="109"/>
      <c r="H461" s="109"/>
      <c r="I461" s="98"/>
      <c r="J461" s="98"/>
      <c r="K461" s="83"/>
      <c r="L461" s="110"/>
      <c r="M461" s="110"/>
      <c r="N461" s="110"/>
      <c r="O461" s="111"/>
      <c r="P461" s="111"/>
      <c r="Q461" s="111"/>
      <c r="R461" s="111"/>
      <c r="Y461" s="110"/>
      <c r="Z461" s="110"/>
    </row>
    <row r="462" spans="2:26" s="108" customFormat="1">
      <c r="B462" s="109"/>
      <c r="C462" s="110"/>
      <c r="D462" s="109"/>
      <c r="E462" s="109"/>
      <c r="F462" s="97"/>
      <c r="G462" s="109"/>
      <c r="H462" s="109"/>
      <c r="I462" s="98"/>
      <c r="J462" s="98"/>
      <c r="K462" s="83"/>
      <c r="L462" s="110"/>
      <c r="M462" s="110"/>
      <c r="N462" s="110"/>
      <c r="O462" s="111"/>
      <c r="P462" s="111"/>
      <c r="Q462" s="111"/>
      <c r="R462" s="111"/>
      <c r="Y462" s="110"/>
      <c r="Z462" s="110"/>
    </row>
    <row r="463" spans="2:26" s="108" customFormat="1">
      <c r="B463" s="109"/>
      <c r="C463" s="110"/>
      <c r="D463" s="109"/>
      <c r="E463" s="109"/>
      <c r="F463" s="97"/>
      <c r="G463" s="109"/>
      <c r="H463" s="109"/>
      <c r="I463" s="98"/>
      <c r="J463" s="98"/>
      <c r="K463" s="83"/>
      <c r="L463" s="110"/>
      <c r="M463" s="110"/>
      <c r="N463" s="110"/>
      <c r="O463" s="111"/>
      <c r="P463" s="111"/>
      <c r="Q463" s="111"/>
      <c r="R463" s="111"/>
      <c r="Y463" s="110"/>
      <c r="Z463" s="110"/>
    </row>
    <row r="464" spans="2:26" s="108" customFormat="1">
      <c r="B464" s="109"/>
      <c r="C464" s="110"/>
      <c r="D464" s="109"/>
      <c r="E464" s="109"/>
      <c r="F464" s="97"/>
      <c r="G464" s="109"/>
      <c r="H464" s="109"/>
      <c r="I464" s="98"/>
      <c r="J464" s="98"/>
      <c r="K464" s="83"/>
      <c r="L464" s="110"/>
      <c r="M464" s="110"/>
      <c r="N464" s="110"/>
      <c r="O464" s="111"/>
      <c r="P464" s="111"/>
      <c r="Q464" s="111"/>
      <c r="R464" s="111"/>
      <c r="Y464" s="110"/>
      <c r="Z464" s="110"/>
    </row>
    <row r="465" spans="2:26" s="108" customFormat="1">
      <c r="B465" s="109"/>
      <c r="C465" s="110"/>
      <c r="D465" s="109"/>
      <c r="E465" s="109"/>
      <c r="F465" s="97"/>
      <c r="G465" s="109"/>
      <c r="H465" s="109"/>
      <c r="I465" s="98"/>
      <c r="J465" s="98"/>
      <c r="K465" s="83"/>
      <c r="L465" s="110"/>
      <c r="M465" s="110"/>
      <c r="N465" s="110"/>
      <c r="O465" s="111"/>
      <c r="P465" s="111"/>
      <c r="Q465" s="111"/>
      <c r="R465" s="111"/>
      <c r="Y465" s="110"/>
      <c r="Z465" s="110"/>
    </row>
    <row r="466" spans="2:26" s="108" customFormat="1">
      <c r="B466" s="109"/>
      <c r="C466" s="110"/>
      <c r="D466" s="109"/>
      <c r="E466" s="109"/>
      <c r="F466" s="97"/>
      <c r="G466" s="109"/>
      <c r="H466" s="109"/>
      <c r="I466" s="98"/>
      <c r="J466" s="98"/>
      <c r="K466" s="83"/>
      <c r="L466" s="110"/>
      <c r="M466" s="110"/>
      <c r="N466" s="110"/>
      <c r="O466" s="111"/>
      <c r="P466" s="111"/>
      <c r="Q466" s="111"/>
      <c r="R466" s="111"/>
      <c r="Y466" s="110"/>
      <c r="Z466" s="110"/>
    </row>
    <row r="467" spans="2:26" s="108" customFormat="1">
      <c r="B467" s="109"/>
      <c r="C467" s="110"/>
      <c r="D467" s="109"/>
      <c r="E467" s="109"/>
      <c r="F467" s="97"/>
      <c r="G467" s="109"/>
      <c r="H467" s="109"/>
      <c r="I467" s="98"/>
      <c r="J467" s="98"/>
      <c r="K467" s="83"/>
      <c r="L467" s="110"/>
      <c r="M467" s="110"/>
      <c r="N467" s="110"/>
      <c r="O467" s="111"/>
      <c r="P467" s="111"/>
      <c r="Q467" s="111"/>
      <c r="R467" s="111"/>
      <c r="Y467" s="110"/>
      <c r="Z467" s="110"/>
    </row>
    <row r="468" spans="2:26" s="108" customFormat="1">
      <c r="B468" s="109"/>
      <c r="C468" s="110"/>
      <c r="D468" s="109"/>
      <c r="E468" s="109"/>
      <c r="F468" s="97"/>
      <c r="G468" s="109"/>
      <c r="H468" s="109"/>
      <c r="I468" s="98"/>
      <c r="J468" s="98"/>
      <c r="K468" s="83"/>
      <c r="L468" s="110"/>
      <c r="M468" s="110"/>
      <c r="N468" s="110"/>
      <c r="O468" s="111"/>
      <c r="P468" s="111"/>
      <c r="Q468" s="111"/>
      <c r="R468" s="111"/>
      <c r="Y468" s="110"/>
      <c r="Z468" s="110"/>
    </row>
    <row r="469" spans="2:26" s="108" customFormat="1">
      <c r="B469" s="109"/>
      <c r="C469" s="110"/>
      <c r="D469" s="109"/>
      <c r="E469" s="109"/>
      <c r="F469" s="97"/>
      <c r="G469" s="109"/>
      <c r="H469" s="109"/>
      <c r="I469" s="98"/>
      <c r="J469" s="98"/>
      <c r="K469" s="83"/>
      <c r="L469" s="110"/>
      <c r="M469" s="110"/>
      <c r="N469" s="110"/>
      <c r="O469" s="111"/>
      <c r="P469" s="111"/>
      <c r="Q469" s="111"/>
      <c r="R469" s="111"/>
      <c r="Y469" s="110"/>
      <c r="Z469" s="110"/>
    </row>
    <row r="470" spans="2:26" s="108" customFormat="1">
      <c r="B470" s="109"/>
      <c r="C470" s="110"/>
      <c r="D470" s="109"/>
      <c r="E470" s="109"/>
      <c r="F470" s="97"/>
      <c r="G470" s="109"/>
      <c r="H470" s="109"/>
      <c r="I470" s="98"/>
      <c r="J470" s="98"/>
      <c r="K470" s="83"/>
      <c r="L470" s="110"/>
      <c r="M470" s="110"/>
      <c r="N470" s="110"/>
      <c r="O470" s="111"/>
      <c r="P470" s="111"/>
      <c r="Q470" s="111"/>
      <c r="R470" s="111"/>
      <c r="Y470" s="110"/>
      <c r="Z470" s="110"/>
    </row>
    <row r="471" spans="2:26" s="108" customFormat="1">
      <c r="B471" s="109"/>
      <c r="C471" s="110"/>
      <c r="D471" s="109"/>
      <c r="E471" s="109"/>
      <c r="F471" s="97"/>
      <c r="G471" s="109"/>
      <c r="H471" s="109"/>
      <c r="I471" s="98"/>
      <c r="J471" s="98"/>
      <c r="K471" s="83"/>
      <c r="L471" s="110"/>
      <c r="M471" s="110"/>
      <c r="N471" s="110"/>
      <c r="O471" s="111"/>
      <c r="P471" s="111"/>
      <c r="Q471" s="111"/>
      <c r="R471" s="111"/>
      <c r="Y471" s="110"/>
      <c r="Z471" s="110"/>
    </row>
    <row r="472" spans="2:26" s="108" customFormat="1">
      <c r="B472" s="109"/>
      <c r="C472" s="110"/>
      <c r="D472" s="109"/>
      <c r="E472" s="109"/>
      <c r="F472" s="97"/>
      <c r="G472" s="109"/>
      <c r="H472" s="109"/>
      <c r="I472" s="98"/>
      <c r="J472" s="98"/>
      <c r="K472" s="83"/>
      <c r="L472" s="110"/>
      <c r="M472" s="110"/>
      <c r="N472" s="110"/>
      <c r="O472" s="111"/>
      <c r="P472" s="111"/>
      <c r="Q472" s="111"/>
      <c r="R472" s="111"/>
      <c r="Y472" s="110"/>
      <c r="Z472" s="110"/>
    </row>
    <row r="473" spans="2:26" s="108" customFormat="1">
      <c r="B473" s="109"/>
      <c r="C473" s="110"/>
      <c r="D473" s="109"/>
      <c r="E473" s="109"/>
      <c r="F473" s="97"/>
      <c r="G473" s="109"/>
      <c r="H473" s="109"/>
      <c r="I473" s="98"/>
      <c r="J473" s="98"/>
      <c r="K473" s="83"/>
      <c r="L473" s="110"/>
      <c r="M473" s="110"/>
      <c r="N473" s="110"/>
      <c r="O473" s="111"/>
      <c r="P473" s="111"/>
      <c r="Q473" s="111"/>
      <c r="R473" s="111"/>
      <c r="Y473" s="110"/>
      <c r="Z473" s="110"/>
    </row>
    <row r="474" spans="2:26" s="108" customFormat="1">
      <c r="B474" s="109"/>
      <c r="C474" s="110"/>
      <c r="D474" s="109"/>
      <c r="E474" s="109"/>
      <c r="F474" s="97"/>
      <c r="G474" s="109"/>
      <c r="H474" s="109"/>
      <c r="I474" s="98"/>
      <c r="J474" s="98"/>
      <c r="K474" s="83"/>
      <c r="L474" s="110"/>
      <c r="M474" s="110"/>
      <c r="N474" s="110"/>
      <c r="O474" s="111"/>
      <c r="P474" s="111"/>
      <c r="Q474" s="111"/>
      <c r="R474" s="111"/>
      <c r="Y474" s="110"/>
      <c r="Z474" s="110"/>
    </row>
    <row r="475" spans="2:26" s="108" customFormat="1">
      <c r="B475" s="109"/>
      <c r="C475" s="110"/>
      <c r="D475" s="109"/>
      <c r="E475" s="109"/>
      <c r="F475" s="97"/>
      <c r="G475" s="109"/>
      <c r="H475" s="109"/>
      <c r="I475" s="98"/>
      <c r="J475" s="98"/>
      <c r="K475" s="83"/>
      <c r="L475" s="110"/>
      <c r="M475" s="110"/>
      <c r="N475" s="110"/>
      <c r="O475" s="111"/>
      <c r="P475" s="111"/>
      <c r="Q475" s="111"/>
      <c r="R475" s="111"/>
      <c r="Y475" s="110"/>
      <c r="Z475" s="110"/>
    </row>
    <row r="476" spans="2:26" s="108" customFormat="1">
      <c r="B476" s="109"/>
      <c r="C476" s="110"/>
      <c r="D476" s="109"/>
      <c r="E476" s="109"/>
      <c r="F476" s="97"/>
      <c r="G476" s="109"/>
      <c r="H476" s="109"/>
      <c r="I476" s="98"/>
      <c r="J476" s="98"/>
      <c r="K476" s="83"/>
      <c r="L476" s="110"/>
      <c r="M476" s="110"/>
      <c r="N476" s="110"/>
      <c r="O476" s="111"/>
      <c r="P476" s="111"/>
      <c r="Q476" s="111"/>
      <c r="R476" s="111"/>
      <c r="Y476" s="110"/>
      <c r="Z476" s="110"/>
    </row>
    <row r="477" spans="2:26" s="108" customFormat="1">
      <c r="B477" s="109"/>
      <c r="C477" s="110"/>
      <c r="D477" s="109"/>
      <c r="E477" s="109"/>
      <c r="F477" s="97"/>
      <c r="G477" s="109"/>
      <c r="H477" s="109"/>
      <c r="I477" s="98"/>
      <c r="J477" s="98"/>
      <c r="K477" s="83"/>
      <c r="L477" s="110"/>
      <c r="M477" s="110"/>
      <c r="N477" s="110"/>
      <c r="O477" s="111"/>
      <c r="P477" s="111"/>
      <c r="Q477" s="111"/>
      <c r="R477" s="111"/>
      <c r="Y477" s="110"/>
      <c r="Z477" s="110"/>
    </row>
    <row r="478" spans="2:26" s="108" customFormat="1">
      <c r="B478" s="109"/>
      <c r="C478" s="110"/>
      <c r="D478" s="109"/>
      <c r="E478" s="109"/>
      <c r="F478" s="97"/>
      <c r="G478" s="109"/>
      <c r="H478" s="109"/>
      <c r="I478" s="98"/>
      <c r="J478" s="98"/>
      <c r="K478" s="83"/>
      <c r="L478" s="110"/>
      <c r="M478" s="110"/>
      <c r="N478" s="110"/>
      <c r="O478" s="111"/>
      <c r="P478" s="111"/>
      <c r="Q478" s="111"/>
      <c r="R478" s="111"/>
      <c r="Y478" s="110"/>
      <c r="Z478" s="110"/>
    </row>
    <row r="479" spans="2:26" s="108" customFormat="1">
      <c r="B479" s="109"/>
      <c r="C479" s="110"/>
      <c r="D479" s="109"/>
      <c r="E479" s="109"/>
      <c r="F479" s="97"/>
      <c r="G479" s="109"/>
      <c r="H479" s="109"/>
      <c r="I479" s="98"/>
      <c r="J479" s="98"/>
      <c r="K479" s="83"/>
      <c r="L479" s="110"/>
      <c r="M479" s="110"/>
      <c r="N479" s="110"/>
      <c r="O479" s="111"/>
      <c r="P479" s="111"/>
      <c r="Q479" s="111"/>
      <c r="R479" s="111"/>
      <c r="Y479" s="110"/>
      <c r="Z479" s="110"/>
    </row>
    <row r="480" spans="2:26" s="108" customFormat="1">
      <c r="B480" s="109"/>
      <c r="C480" s="110"/>
      <c r="D480" s="109"/>
      <c r="E480" s="109"/>
      <c r="F480" s="97"/>
      <c r="G480" s="109"/>
      <c r="H480" s="109"/>
      <c r="I480" s="98"/>
      <c r="J480" s="98"/>
      <c r="K480" s="83"/>
      <c r="L480" s="110"/>
      <c r="M480" s="110"/>
      <c r="N480" s="110"/>
      <c r="O480" s="111"/>
      <c r="P480" s="111"/>
      <c r="Q480" s="111"/>
      <c r="R480" s="111"/>
      <c r="Y480" s="110"/>
      <c r="Z480" s="110"/>
    </row>
    <row r="481" spans="2:26" s="108" customFormat="1">
      <c r="B481" s="109"/>
      <c r="C481" s="110"/>
      <c r="D481" s="109"/>
      <c r="E481" s="109"/>
      <c r="F481" s="97"/>
      <c r="G481" s="109"/>
      <c r="H481" s="109"/>
      <c r="I481" s="98"/>
      <c r="J481" s="98"/>
      <c r="K481" s="83"/>
      <c r="L481" s="110"/>
      <c r="M481" s="110"/>
      <c r="N481" s="110"/>
      <c r="O481" s="111"/>
      <c r="P481" s="111"/>
      <c r="Q481" s="111"/>
      <c r="R481" s="111"/>
      <c r="Y481" s="110"/>
      <c r="Z481" s="110"/>
    </row>
    <row r="482" spans="2:26" s="108" customFormat="1">
      <c r="B482" s="109"/>
      <c r="C482" s="110"/>
      <c r="D482" s="109"/>
      <c r="E482" s="109"/>
      <c r="F482" s="97"/>
      <c r="G482" s="109"/>
      <c r="H482" s="109"/>
      <c r="I482" s="98"/>
      <c r="J482" s="98"/>
      <c r="K482" s="83"/>
      <c r="L482" s="110"/>
      <c r="M482" s="110"/>
      <c r="N482" s="110"/>
      <c r="O482" s="111"/>
      <c r="P482" s="111"/>
      <c r="Q482" s="111"/>
      <c r="R482" s="111"/>
      <c r="Y482" s="110"/>
      <c r="Z482" s="110"/>
    </row>
    <row r="483" spans="2:26" s="108" customFormat="1">
      <c r="B483" s="109"/>
      <c r="C483" s="110"/>
      <c r="D483" s="109"/>
      <c r="E483" s="109"/>
      <c r="F483" s="97"/>
      <c r="G483" s="109"/>
      <c r="H483" s="109"/>
      <c r="I483" s="98"/>
      <c r="J483" s="98"/>
      <c r="K483" s="83"/>
      <c r="L483" s="110"/>
      <c r="M483" s="110"/>
      <c r="N483" s="110"/>
      <c r="O483" s="111"/>
      <c r="P483" s="111"/>
      <c r="Q483" s="111"/>
      <c r="R483" s="111"/>
      <c r="Y483" s="110"/>
      <c r="Z483" s="110"/>
    </row>
    <row r="484" spans="2:26" s="108" customFormat="1">
      <c r="B484" s="109"/>
      <c r="C484" s="110"/>
      <c r="D484" s="109"/>
      <c r="E484" s="109"/>
      <c r="F484" s="97"/>
      <c r="G484" s="109"/>
      <c r="H484" s="109"/>
      <c r="I484" s="98"/>
      <c r="J484" s="98"/>
      <c r="K484" s="83"/>
      <c r="L484" s="110"/>
      <c r="M484" s="110"/>
      <c r="N484" s="110"/>
      <c r="O484" s="111"/>
      <c r="P484" s="111"/>
      <c r="Q484" s="111"/>
      <c r="R484" s="111"/>
      <c r="Y484" s="110"/>
      <c r="Z484" s="110"/>
    </row>
    <row r="485" spans="2:26" s="108" customFormat="1">
      <c r="B485" s="109"/>
      <c r="C485" s="110"/>
      <c r="D485" s="109"/>
      <c r="E485" s="109"/>
      <c r="F485" s="97"/>
      <c r="G485" s="109"/>
      <c r="H485" s="109"/>
      <c r="I485" s="98"/>
      <c r="J485" s="98"/>
      <c r="K485" s="83"/>
      <c r="L485" s="110"/>
      <c r="M485" s="110"/>
      <c r="N485" s="110"/>
      <c r="O485" s="111"/>
      <c r="P485" s="111"/>
      <c r="Q485" s="111"/>
      <c r="R485" s="111"/>
      <c r="Y485" s="110"/>
      <c r="Z485" s="110"/>
    </row>
    <row r="486" spans="2:26" s="108" customFormat="1">
      <c r="B486" s="109"/>
      <c r="C486" s="110"/>
      <c r="D486" s="109"/>
      <c r="E486" s="109"/>
      <c r="F486" s="97"/>
      <c r="G486" s="109"/>
      <c r="H486" s="109"/>
      <c r="I486" s="98"/>
      <c r="J486" s="98"/>
      <c r="K486" s="83"/>
      <c r="L486" s="110"/>
      <c r="M486" s="110"/>
      <c r="N486" s="110"/>
      <c r="O486" s="111"/>
      <c r="P486" s="111"/>
      <c r="Q486" s="111"/>
      <c r="R486" s="111"/>
      <c r="Y486" s="110"/>
      <c r="Z486" s="110"/>
    </row>
    <row r="487" spans="2:26" s="108" customFormat="1">
      <c r="B487" s="109"/>
      <c r="C487" s="110"/>
      <c r="D487" s="109"/>
      <c r="E487" s="109"/>
      <c r="F487" s="97"/>
      <c r="G487" s="109"/>
      <c r="H487" s="109"/>
      <c r="I487" s="98"/>
      <c r="J487" s="98"/>
      <c r="K487" s="83"/>
      <c r="L487" s="110"/>
      <c r="M487" s="110"/>
      <c r="N487" s="110"/>
      <c r="O487" s="111"/>
      <c r="P487" s="111"/>
      <c r="Q487" s="111"/>
      <c r="R487" s="111"/>
      <c r="Y487" s="110"/>
      <c r="Z487" s="110"/>
    </row>
    <row r="488" spans="2:26" s="108" customFormat="1">
      <c r="B488" s="109"/>
      <c r="C488" s="110"/>
      <c r="D488" s="109"/>
      <c r="E488" s="109"/>
      <c r="F488" s="97"/>
      <c r="G488" s="109"/>
      <c r="H488" s="109"/>
      <c r="I488" s="98"/>
      <c r="J488" s="98"/>
      <c r="K488" s="83"/>
      <c r="L488" s="110"/>
      <c r="M488" s="110"/>
      <c r="N488" s="110"/>
      <c r="O488" s="111"/>
      <c r="P488" s="111"/>
      <c r="Q488" s="111"/>
      <c r="R488" s="111"/>
      <c r="Y488" s="110"/>
      <c r="Z488" s="110"/>
    </row>
    <row r="489" spans="2:26" s="108" customFormat="1">
      <c r="B489" s="109"/>
      <c r="C489" s="110"/>
      <c r="D489" s="109"/>
      <c r="E489" s="109"/>
      <c r="F489" s="97"/>
      <c r="G489" s="109"/>
      <c r="H489" s="109"/>
      <c r="I489" s="98"/>
      <c r="J489" s="98"/>
      <c r="K489" s="83"/>
      <c r="L489" s="110"/>
      <c r="M489" s="110"/>
      <c r="N489" s="110"/>
      <c r="O489" s="111"/>
      <c r="P489" s="111"/>
      <c r="Q489" s="111"/>
      <c r="R489" s="111"/>
      <c r="Y489" s="110"/>
      <c r="Z489" s="110"/>
    </row>
    <row r="490" spans="2:26" s="108" customFormat="1">
      <c r="B490" s="109"/>
      <c r="C490" s="110"/>
      <c r="D490" s="109"/>
      <c r="E490" s="109"/>
      <c r="F490" s="97"/>
      <c r="G490" s="109"/>
      <c r="H490" s="109"/>
      <c r="I490" s="98"/>
      <c r="J490" s="98"/>
      <c r="K490" s="83"/>
      <c r="L490" s="110"/>
      <c r="M490" s="110"/>
      <c r="N490" s="110"/>
      <c r="O490" s="111"/>
      <c r="P490" s="111"/>
      <c r="Q490" s="111"/>
      <c r="R490" s="111"/>
      <c r="Y490" s="110"/>
      <c r="Z490" s="110"/>
    </row>
    <row r="491" spans="2:26" s="108" customFormat="1">
      <c r="B491" s="109"/>
      <c r="C491" s="110"/>
      <c r="D491" s="109"/>
      <c r="E491" s="109"/>
      <c r="F491" s="97"/>
      <c r="G491" s="109"/>
      <c r="H491" s="109"/>
      <c r="I491" s="98"/>
      <c r="J491" s="98"/>
      <c r="K491" s="83"/>
      <c r="L491" s="110"/>
      <c r="M491" s="110"/>
      <c r="N491" s="110"/>
      <c r="O491" s="111"/>
      <c r="P491" s="111"/>
      <c r="Q491" s="111"/>
      <c r="R491" s="111"/>
      <c r="Y491" s="110"/>
      <c r="Z491" s="110"/>
    </row>
    <row r="492" spans="2:26" s="108" customFormat="1">
      <c r="B492" s="109"/>
      <c r="C492" s="110"/>
      <c r="D492" s="109"/>
      <c r="E492" s="109"/>
      <c r="F492" s="97"/>
      <c r="G492" s="109"/>
      <c r="H492" s="109"/>
      <c r="I492" s="98"/>
      <c r="J492" s="98"/>
      <c r="K492" s="83"/>
      <c r="L492" s="110"/>
      <c r="M492" s="110"/>
      <c r="N492" s="110"/>
      <c r="O492" s="111"/>
      <c r="P492" s="111"/>
      <c r="Q492" s="111"/>
      <c r="R492" s="111"/>
      <c r="Y492" s="110"/>
      <c r="Z492" s="110"/>
    </row>
    <row r="493" spans="2:26" s="108" customFormat="1">
      <c r="B493" s="109"/>
      <c r="C493" s="110"/>
      <c r="D493" s="109"/>
      <c r="E493" s="109"/>
      <c r="F493" s="97"/>
      <c r="G493" s="109"/>
      <c r="H493" s="109"/>
      <c r="I493" s="98"/>
      <c r="J493" s="98"/>
      <c r="K493" s="83"/>
      <c r="L493" s="110"/>
      <c r="M493" s="110"/>
      <c r="N493" s="110"/>
      <c r="O493" s="111"/>
      <c r="P493" s="111"/>
      <c r="Q493" s="111"/>
      <c r="R493" s="111"/>
      <c r="Y493" s="110"/>
      <c r="Z493" s="110"/>
    </row>
    <row r="494" spans="2:26" s="108" customFormat="1">
      <c r="B494" s="109"/>
      <c r="C494" s="110"/>
      <c r="D494" s="109"/>
      <c r="E494" s="109"/>
      <c r="F494" s="97"/>
      <c r="G494" s="109"/>
      <c r="H494" s="109"/>
      <c r="I494" s="98"/>
      <c r="J494" s="98"/>
      <c r="K494" s="83"/>
      <c r="L494" s="110"/>
      <c r="M494" s="110"/>
      <c r="N494" s="110"/>
      <c r="O494" s="111"/>
      <c r="P494" s="111"/>
      <c r="Q494" s="111"/>
      <c r="R494" s="111"/>
      <c r="Y494" s="110"/>
      <c r="Z494" s="110"/>
    </row>
    <row r="495" spans="2:26" s="108" customFormat="1">
      <c r="B495" s="109"/>
      <c r="C495" s="110"/>
      <c r="D495" s="109"/>
      <c r="E495" s="109"/>
      <c r="F495" s="97"/>
      <c r="G495" s="109"/>
      <c r="H495" s="109"/>
      <c r="I495" s="98"/>
      <c r="J495" s="98"/>
      <c r="K495" s="83"/>
      <c r="L495" s="110"/>
      <c r="M495" s="110"/>
      <c r="N495" s="110"/>
      <c r="O495" s="111"/>
      <c r="P495" s="111"/>
      <c r="Q495" s="111"/>
      <c r="R495" s="111"/>
      <c r="Y495" s="110"/>
      <c r="Z495" s="110"/>
    </row>
    <row r="496" spans="2:26" s="108" customFormat="1">
      <c r="B496" s="109"/>
      <c r="C496" s="110"/>
      <c r="D496" s="109"/>
      <c r="E496" s="109"/>
      <c r="F496" s="97"/>
      <c r="G496" s="109"/>
      <c r="H496" s="109"/>
      <c r="I496" s="98"/>
      <c r="J496" s="98"/>
      <c r="K496" s="83"/>
      <c r="L496" s="110"/>
      <c r="M496" s="110"/>
      <c r="N496" s="110"/>
      <c r="O496" s="111"/>
      <c r="P496" s="111"/>
      <c r="Q496" s="111"/>
      <c r="R496" s="111"/>
      <c r="Y496" s="110"/>
      <c r="Z496" s="110"/>
    </row>
    <row r="497" spans="2:26" s="108" customFormat="1">
      <c r="B497" s="109"/>
      <c r="C497" s="110"/>
      <c r="D497" s="109"/>
      <c r="E497" s="109"/>
      <c r="F497" s="97"/>
      <c r="G497" s="109"/>
      <c r="H497" s="109"/>
      <c r="I497" s="98"/>
      <c r="J497" s="98"/>
      <c r="K497" s="83"/>
      <c r="L497" s="110"/>
      <c r="M497" s="110"/>
      <c r="N497" s="110"/>
      <c r="O497" s="111"/>
      <c r="P497" s="111"/>
      <c r="Q497" s="111"/>
      <c r="R497" s="111"/>
      <c r="Y497" s="110"/>
      <c r="Z497" s="110"/>
    </row>
    <row r="498" spans="2:26" s="108" customFormat="1">
      <c r="B498" s="109"/>
      <c r="C498" s="110"/>
      <c r="D498" s="109"/>
      <c r="E498" s="109"/>
      <c r="F498" s="97"/>
      <c r="G498" s="109"/>
      <c r="H498" s="109"/>
      <c r="I498" s="98"/>
      <c r="J498" s="98"/>
      <c r="K498" s="83"/>
      <c r="L498" s="110"/>
      <c r="M498" s="110"/>
      <c r="N498" s="110"/>
      <c r="O498" s="111"/>
      <c r="P498" s="111"/>
      <c r="Q498" s="111"/>
      <c r="R498" s="111"/>
      <c r="Y498" s="110"/>
      <c r="Z498" s="110"/>
    </row>
    <row r="499" spans="2:26" s="108" customFormat="1">
      <c r="B499" s="109"/>
      <c r="C499" s="110"/>
      <c r="D499" s="109"/>
      <c r="E499" s="109"/>
      <c r="F499" s="97"/>
      <c r="G499" s="109"/>
      <c r="H499" s="109"/>
      <c r="I499" s="98"/>
      <c r="J499" s="98"/>
      <c r="K499" s="83"/>
      <c r="L499" s="110"/>
      <c r="M499" s="110"/>
      <c r="N499" s="110"/>
      <c r="O499" s="111"/>
      <c r="P499" s="111"/>
      <c r="Q499" s="111"/>
      <c r="R499" s="111"/>
      <c r="Y499" s="110"/>
      <c r="Z499" s="110"/>
    </row>
    <row r="500" spans="2:26" s="108" customFormat="1">
      <c r="B500" s="109"/>
      <c r="C500" s="110"/>
      <c r="D500" s="109"/>
      <c r="E500" s="109"/>
      <c r="F500" s="97"/>
      <c r="G500" s="109"/>
      <c r="H500" s="109"/>
      <c r="I500" s="98"/>
      <c r="J500" s="98"/>
      <c r="K500" s="83"/>
      <c r="L500" s="110"/>
      <c r="M500" s="110"/>
      <c r="N500" s="110"/>
      <c r="O500" s="111"/>
      <c r="P500" s="111"/>
      <c r="Q500" s="111"/>
      <c r="R500" s="111"/>
      <c r="Y500" s="110"/>
      <c r="Z500" s="110"/>
    </row>
    <row r="501" spans="2:26" s="108" customFormat="1">
      <c r="B501" s="109"/>
      <c r="C501" s="110"/>
      <c r="D501" s="109"/>
      <c r="E501" s="109"/>
      <c r="F501" s="97"/>
      <c r="G501" s="109"/>
      <c r="H501" s="109"/>
      <c r="I501" s="98"/>
      <c r="J501" s="98"/>
      <c r="K501" s="83"/>
      <c r="L501" s="110"/>
      <c r="M501" s="110"/>
      <c r="N501" s="110"/>
      <c r="O501" s="111"/>
      <c r="P501" s="111"/>
      <c r="Q501" s="111"/>
      <c r="R501" s="111"/>
      <c r="Y501" s="110"/>
      <c r="Z501" s="110"/>
    </row>
    <row r="502" spans="2:26" s="108" customFormat="1">
      <c r="B502" s="109"/>
      <c r="C502" s="110"/>
      <c r="D502" s="109"/>
      <c r="E502" s="109"/>
      <c r="F502" s="97"/>
      <c r="G502" s="109"/>
      <c r="H502" s="109"/>
      <c r="I502" s="98"/>
      <c r="J502" s="98"/>
      <c r="K502" s="83"/>
      <c r="L502" s="110"/>
      <c r="M502" s="110"/>
      <c r="N502" s="110"/>
      <c r="O502" s="111"/>
      <c r="P502" s="111"/>
      <c r="Q502" s="111"/>
      <c r="R502" s="111"/>
      <c r="Y502" s="110"/>
      <c r="Z502" s="110"/>
    </row>
    <row r="503" spans="2:26" s="108" customFormat="1">
      <c r="B503" s="109"/>
      <c r="C503" s="110"/>
      <c r="D503" s="109"/>
      <c r="E503" s="109"/>
      <c r="F503" s="97"/>
      <c r="G503" s="109"/>
      <c r="H503" s="109"/>
      <c r="I503" s="97"/>
      <c r="J503" s="97"/>
      <c r="K503" s="83"/>
      <c r="L503" s="111"/>
      <c r="M503" s="111"/>
      <c r="N503" s="110"/>
      <c r="O503" s="111"/>
      <c r="P503" s="111"/>
      <c r="Q503" s="111"/>
      <c r="R503" s="111"/>
    </row>
    <row r="504" spans="2:26" s="108" customFormat="1">
      <c r="B504" s="109"/>
      <c r="C504" s="110"/>
      <c r="D504" s="109"/>
      <c r="E504" s="109"/>
      <c r="F504" s="97"/>
      <c r="G504" s="109"/>
      <c r="H504" s="109"/>
      <c r="I504" s="97"/>
      <c r="J504" s="97"/>
      <c r="K504" s="83"/>
      <c r="L504" s="111"/>
      <c r="M504" s="111"/>
      <c r="N504" s="111"/>
      <c r="O504" s="111"/>
      <c r="P504" s="111"/>
      <c r="Q504" s="111"/>
      <c r="R504" s="111"/>
    </row>
    <row r="505" spans="2:26" s="108" customFormat="1">
      <c r="B505" s="109"/>
      <c r="C505" s="110"/>
      <c r="D505" s="109"/>
      <c r="E505" s="109"/>
      <c r="F505" s="97"/>
      <c r="G505" s="109"/>
      <c r="H505" s="109"/>
      <c r="I505" s="97"/>
      <c r="J505" s="97"/>
      <c r="K505" s="83"/>
      <c r="L505" s="111"/>
      <c r="M505" s="111"/>
      <c r="N505" s="111"/>
      <c r="O505" s="111"/>
      <c r="P505" s="111"/>
      <c r="Q505" s="111"/>
      <c r="R505" s="111"/>
    </row>
    <row r="506" spans="2:26" s="108" customFormat="1">
      <c r="B506" s="109"/>
      <c r="C506" s="110"/>
      <c r="D506" s="109"/>
      <c r="E506" s="109"/>
      <c r="F506" s="97"/>
      <c r="G506" s="109"/>
      <c r="H506" s="109"/>
      <c r="I506" s="97"/>
      <c r="J506" s="97"/>
      <c r="K506" s="83"/>
      <c r="L506" s="111"/>
      <c r="M506" s="111"/>
      <c r="N506" s="111"/>
      <c r="O506" s="111"/>
      <c r="P506" s="111"/>
      <c r="Q506" s="111"/>
      <c r="R506" s="111"/>
    </row>
    <row r="507" spans="2:26" s="108" customFormat="1">
      <c r="B507" s="109"/>
      <c r="C507" s="110"/>
      <c r="D507" s="109"/>
      <c r="E507" s="109"/>
      <c r="F507" s="97"/>
      <c r="G507" s="109"/>
      <c r="H507" s="109"/>
      <c r="I507" s="97"/>
      <c r="J507" s="97"/>
      <c r="K507" s="83"/>
      <c r="L507" s="111"/>
      <c r="M507" s="111"/>
      <c r="N507" s="111"/>
      <c r="O507" s="111"/>
      <c r="P507" s="111"/>
      <c r="Q507" s="111"/>
      <c r="R507" s="111"/>
    </row>
    <row r="508" spans="2:26" s="108" customFormat="1">
      <c r="B508" s="109"/>
      <c r="C508" s="110"/>
      <c r="D508" s="109"/>
      <c r="E508" s="109"/>
      <c r="F508" s="97"/>
      <c r="G508" s="109"/>
      <c r="H508" s="109"/>
      <c r="I508" s="97"/>
      <c r="J508" s="97"/>
      <c r="K508" s="83"/>
      <c r="L508" s="111"/>
      <c r="M508" s="111"/>
      <c r="N508" s="111"/>
      <c r="O508" s="111"/>
      <c r="P508" s="111"/>
      <c r="Q508" s="111"/>
      <c r="R508" s="111"/>
    </row>
    <row r="509" spans="2:26" s="108" customFormat="1">
      <c r="B509" s="109"/>
      <c r="C509" s="110"/>
      <c r="D509" s="109"/>
      <c r="E509" s="109"/>
      <c r="F509" s="97"/>
      <c r="G509" s="109"/>
      <c r="H509" s="109"/>
      <c r="I509" s="97"/>
      <c r="J509" s="97"/>
      <c r="K509" s="83"/>
      <c r="L509" s="111"/>
      <c r="M509" s="111"/>
      <c r="N509" s="111"/>
      <c r="O509" s="111"/>
      <c r="P509" s="111"/>
      <c r="Q509" s="111"/>
      <c r="R509" s="111"/>
    </row>
    <row r="510" spans="2:26" s="108" customFormat="1">
      <c r="B510" s="109"/>
      <c r="C510" s="110"/>
      <c r="D510" s="109"/>
      <c r="E510" s="109"/>
      <c r="F510" s="97"/>
      <c r="G510" s="109"/>
      <c r="H510" s="109"/>
      <c r="I510" s="97"/>
      <c r="J510" s="97"/>
      <c r="K510" s="83"/>
      <c r="L510" s="111"/>
      <c r="M510" s="111"/>
      <c r="N510" s="111"/>
      <c r="O510" s="111"/>
      <c r="P510" s="111"/>
      <c r="Q510" s="111"/>
      <c r="R510" s="111"/>
    </row>
    <row r="511" spans="2:26" s="108" customFormat="1">
      <c r="B511" s="109"/>
      <c r="C511" s="110"/>
      <c r="D511" s="109"/>
      <c r="E511" s="109"/>
      <c r="F511" s="97"/>
      <c r="G511" s="109"/>
      <c r="H511" s="109"/>
      <c r="I511" s="97"/>
      <c r="J511" s="97"/>
      <c r="K511" s="83"/>
      <c r="L511" s="111"/>
      <c r="M511" s="111"/>
      <c r="N511" s="111"/>
      <c r="O511" s="111"/>
      <c r="P511" s="111"/>
      <c r="Q511" s="111"/>
      <c r="R511" s="111"/>
    </row>
    <row r="512" spans="2:26" s="108" customFormat="1">
      <c r="B512" s="109"/>
      <c r="C512" s="110"/>
      <c r="D512" s="109"/>
      <c r="E512" s="109"/>
      <c r="F512" s="97"/>
      <c r="G512" s="109"/>
      <c r="H512" s="109"/>
      <c r="I512" s="97"/>
      <c r="J512" s="97"/>
      <c r="K512" s="83"/>
      <c r="L512" s="111"/>
      <c r="M512" s="111"/>
      <c r="N512" s="111"/>
      <c r="O512" s="111"/>
      <c r="P512" s="111"/>
      <c r="Q512" s="111"/>
      <c r="R512" s="111"/>
    </row>
    <row r="513" spans="2:18" s="108" customFormat="1">
      <c r="B513" s="109"/>
      <c r="C513" s="110"/>
      <c r="D513" s="109"/>
      <c r="E513" s="109"/>
      <c r="F513" s="97"/>
      <c r="G513" s="109"/>
      <c r="H513" s="109"/>
      <c r="I513" s="97"/>
      <c r="J513" s="97"/>
      <c r="K513" s="83"/>
      <c r="L513" s="111"/>
      <c r="M513" s="111"/>
      <c r="N513" s="111"/>
      <c r="O513" s="111"/>
      <c r="P513" s="111"/>
      <c r="Q513" s="111"/>
      <c r="R513" s="111"/>
    </row>
    <row r="514" spans="2:18" s="108" customFormat="1">
      <c r="B514" s="109"/>
      <c r="C514" s="110"/>
      <c r="D514" s="109"/>
      <c r="E514" s="109"/>
      <c r="F514" s="97"/>
      <c r="G514" s="109"/>
      <c r="H514" s="109"/>
      <c r="I514" s="97"/>
      <c r="J514" s="97"/>
      <c r="K514" s="83"/>
      <c r="L514" s="111"/>
      <c r="M514" s="111"/>
      <c r="N514" s="111"/>
      <c r="O514" s="111"/>
      <c r="P514" s="111"/>
      <c r="Q514" s="111"/>
      <c r="R514" s="111"/>
    </row>
    <row r="515" spans="2:18" s="108" customFormat="1">
      <c r="B515" s="109"/>
      <c r="C515" s="110"/>
      <c r="D515" s="109"/>
      <c r="E515" s="109"/>
      <c r="F515" s="97"/>
      <c r="G515" s="109"/>
      <c r="H515" s="109"/>
      <c r="I515" s="97"/>
      <c r="J515" s="97"/>
      <c r="K515" s="83"/>
      <c r="L515" s="111"/>
      <c r="M515" s="111"/>
      <c r="N515" s="111"/>
      <c r="O515" s="111"/>
      <c r="P515" s="111"/>
      <c r="Q515" s="111"/>
      <c r="R515" s="111"/>
    </row>
    <row r="516" spans="2:18" s="108" customFormat="1">
      <c r="B516" s="109"/>
      <c r="C516" s="110"/>
      <c r="D516" s="109"/>
      <c r="E516" s="109"/>
      <c r="F516" s="97"/>
      <c r="G516" s="109"/>
      <c r="H516" s="109"/>
      <c r="I516" s="97"/>
      <c r="J516" s="97"/>
      <c r="K516" s="83"/>
      <c r="L516" s="111"/>
      <c r="M516" s="111"/>
      <c r="N516" s="111"/>
      <c r="O516" s="111"/>
      <c r="P516" s="111"/>
      <c r="Q516" s="111"/>
      <c r="R516" s="111"/>
    </row>
    <row r="517" spans="2:18" s="108" customFormat="1">
      <c r="B517" s="109"/>
      <c r="C517" s="110"/>
      <c r="D517" s="109"/>
      <c r="E517" s="109"/>
      <c r="F517" s="97"/>
      <c r="G517" s="109"/>
      <c r="H517" s="109"/>
      <c r="I517" s="97"/>
      <c r="J517" s="97"/>
      <c r="K517" s="83"/>
      <c r="L517" s="111"/>
      <c r="M517" s="111"/>
      <c r="N517" s="111"/>
      <c r="O517" s="111"/>
      <c r="P517" s="111"/>
      <c r="Q517" s="111"/>
      <c r="R517" s="111"/>
    </row>
    <row r="518" spans="2:18" s="108" customFormat="1">
      <c r="B518" s="109"/>
      <c r="C518" s="110"/>
      <c r="D518" s="109"/>
      <c r="E518" s="109"/>
      <c r="F518" s="97"/>
      <c r="G518" s="109"/>
      <c r="H518" s="109"/>
      <c r="I518" s="97"/>
      <c r="J518" s="97"/>
      <c r="K518" s="83"/>
      <c r="L518" s="111"/>
      <c r="M518" s="111"/>
      <c r="N518" s="111"/>
      <c r="O518" s="111"/>
      <c r="P518" s="111"/>
      <c r="Q518" s="111"/>
      <c r="R518" s="111"/>
    </row>
    <row r="519" spans="2:18" s="108" customFormat="1">
      <c r="B519" s="109"/>
      <c r="C519" s="110"/>
      <c r="D519" s="109"/>
      <c r="E519" s="109"/>
      <c r="F519" s="97"/>
      <c r="G519" s="109"/>
      <c r="H519" s="109"/>
      <c r="I519" s="97"/>
      <c r="J519" s="97"/>
      <c r="K519" s="83"/>
      <c r="L519" s="111"/>
      <c r="M519" s="111"/>
      <c r="N519" s="111"/>
      <c r="O519" s="111"/>
      <c r="P519" s="111"/>
      <c r="Q519" s="111"/>
      <c r="R519" s="111"/>
    </row>
    <row r="520" spans="2:18" s="108" customFormat="1">
      <c r="B520" s="109"/>
      <c r="C520" s="110"/>
      <c r="D520" s="109"/>
      <c r="E520" s="109"/>
      <c r="F520" s="97"/>
      <c r="G520" s="109"/>
      <c r="H520" s="109"/>
      <c r="I520" s="97"/>
      <c r="J520" s="97"/>
      <c r="K520" s="83"/>
      <c r="L520" s="111"/>
      <c r="M520" s="111"/>
      <c r="N520" s="111"/>
      <c r="O520" s="111"/>
      <c r="P520" s="111"/>
      <c r="Q520" s="111"/>
      <c r="R520" s="111"/>
    </row>
    <row r="521" spans="2:18" s="108" customFormat="1">
      <c r="B521" s="109"/>
      <c r="C521" s="110"/>
      <c r="D521" s="109"/>
      <c r="E521" s="109"/>
      <c r="F521" s="97"/>
      <c r="G521" s="109"/>
      <c r="H521" s="109"/>
      <c r="I521" s="97"/>
      <c r="J521" s="97"/>
      <c r="K521" s="83"/>
      <c r="L521" s="111"/>
      <c r="M521" s="111"/>
      <c r="N521" s="111"/>
      <c r="O521" s="111"/>
      <c r="P521" s="111"/>
      <c r="Q521" s="111"/>
      <c r="R521" s="111"/>
    </row>
    <row r="522" spans="2:18" s="108" customFormat="1">
      <c r="B522" s="109"/>
      <c r="C522" s="110"/>
      <c r="D522" s="109"/>
      <c r="E522" s="109"/>
      <c r="F522" s="97"/>
      <c r="G522" s="109"/>
      <c r="H522" s="109"/>
      <c r="I522" s="97"/>
      <c r="J522" s="97"/>
      <c r="K522" s="83"/>
      <c r="L522" s="111"/>
      <c r="M522" s="111"/>
      <c r="N522" s="111"/>
      <c r="O522" s="111"/>
      <c r="P522" s="111"/>
      <c r="Q522" s="111"/>
      <c r="R522" s="111"/>
    </row>
    <row r="523" spans="2:18" s="108" customFormat="1">
      <c r="B523" s="109"/>
      <c r="C523" s="110"/>
      <c r="D523" s="109"/>
      <c r="E523" s="109"/>
      <c r="F523" s="97"/>
      <c r="G523" s="109"/>
      <c r="H523" s="109"/>
      <c r="I523" s="97"/>
      <c r="J523" s="97"/>
      <c r="K523" s="83"/>
      <c r="L523" s="111"/>
      <c r="M523" s="111"/>
      <c r="N523" s="111"/>
      <c r="O523" s="111"/>
      <c r="P523" s="111"/>
      <c r="Q523" s="111"/>
      <c r="R523" s="111"/>
    </row>
    <row r="524" spans="2:18" s="108" customFormat="1">
      <c r="B524" s="109"/>
      <c r="C524" s="110"/>
      <c r="D524" s="109"/>
      <c r="E524" s="109"/>
      <c r="F524" s="97"/>
      <c r="G524" s="109"/>
      <c r="H524" s="109"/>
      <c r="I524" s="97"/>
      <c r="J524" s="97"/>
      <c r="K524" s="83"/>
      <c r="L524" s="111"/>
      <c r="M524" s="111"/>
      <c r="N524" s="111"/>
      <c r="O524" s="111"/>
      <c r="P524" s="111"/>
      <c r="Q524" s="111"/>
      <c r="R524" s="111"/>
    </row>
    <row r="525" spans="2:18" s="108" customFormat="1">
      <c r="B525" s="109"/>
      <c r="C525" s="110"/>
      <c r="D525" s="109"/>
      <c r="E525" s="109"/>
      <c r="F525" s="97"/>
      <c r="G525" s="109"/>
      <c r="H525" s="109"/>
      <c r="I525" s="97"/>
      <c r="J525" s="97"/>
      <c r="K525" s="83"/>
      <c r="L525" s="111"/>
      <c r="M525" s="111"/>
      <c r="N525" s="111"/>
      <c r="O525" s="111"/>
      <c r="P525" s="111"/>
      <c r="Q525" s="111"/>
      <c r="R525" s="111"/>
    </row>
    <row r="526" spans="2:18" s="108" customFormat="1">
      <c r="B526" s="109"/>
      <c r="C526" s="110"/>
      <c r="D526" s="109"/>
      <c r="E526" s="109"/>
      <c r="F526" s="97"/>
      <c r="G526" s="109"/>
      <c r="H526" s="109"/>
      <c r="I526" s="97"/>
      <c r="J526" s="97"/>
      <c r="K526" s="83"/>
      <c r="L526" s="111"/>
      <c r="M526" s="111"/>
      <c r="N526" s="111"/>
      <c r="O526" s="111"/>
      <c r="P526" s="111"/>
      <c r="Q526" s="111"/>
      <c r="R526" s="111"/>
    </row>
    <row r="527" spans="2:18" s="108" customFormat="1">
      <c r="B527" s="109"/>
      <c r="C527" s="110"/>
      <c r="D527" s="109"/>
      <c r="E527" s="109"/>
      <c r="F527" s="97"/>
      <c r="G527" s="109"/>
      <c r="H527" s="109"/>
      <c r="I527" s="97"/>
      <c r="J527" s="97"/>
      <c r="K527" s="83"/>
      <c r="L527" s="111"/>
      <c r="M527" s="111"/>
      <c r="N527" s="111"/>
      <c r="O527" s="111"/>
      <c r="P527" s="111"/>
      <c r="Q527" s="111"/>
      <c r="R527" s="111"/>
    </row>
    <row r="528" spans="2:18" s="108" customFormat="1">
      <c r="B528" s="109"/>
      <c r="C528" s="110"/>
      <c r="D528" s="109"/>
      <c r="E528" s="109"/>
      <c r="F528" s="97"/>
      <c r="G528" s="109"/>
      <c r="H528" s="109"/>
      <c r="I528" s="97"/>
      <c r="J528" s="97"/>
      <c r="K528" s="83"/>
      <c r="L528" s="111"/>
      <c r="M528" s="111"/>
      <c r="N528" s="111"/>
      <c r="O528" s="111"/>
      <c r="P528" s="111"/>
      <c r="Q528" s="111"/>
      <c r="R528" s="111"/>
    </row>
    <row r="529" spans="2:18" s="108" customFormat="1">
      <c r="B529" s="109"/>
      <c r="C529" s="110"/>
      <c r="D529" s="109"/>
      <c r="E529" s="109"/>
      <c r="F529" s="97"/>
      <c r="G529" s="109"/>
      <c r="H529" s="109"/>
      <c r="I529" s="97"/>
      <c r="J529" s="97"/>
      <c r="K529" s="83"/>
      <c r="L529" s="111"/>
      <c r="M529" s="111"/>
      <c r="N529" s="111"/>
      <c r="O529" s="111"/>
      <c r="P529" s="111"/>
      <c r="Q529" s="111"/>
      <c r="R529" s="111"/>
    </row>
    <row r="530" spans="2:18" s="108" customFormat="1">
      <c r="B530" s="109"/>
      <c r="C530" s="110"/>
      <c r="D530" s="109"/>
      <c r="E530" s="109"/>
      <c r="F530" s="97"/>
      <c r="G530" s="109"/>
      <c r="H530" s="109"/>
      <c r="I530" s="97"/>
      <c r="J530" s="97"/>
      <c r="K530" s="83"/>
      <c r="L530" s="111"/>
      <c r="M530" s="111"/>
      <c r="N530" s="111"/>
      <c r="O530" s="111"/>
      <c r="P530" s="111"/>
      <c r="Q530" s="111"/>
      <c r="R530" s="111"/>
    </row>
    <row r="531" spans="2:18" s="108" customFormat="1">
      <c r="B531" s="109"/>
      <c r="C531" s="110"/>
      <c r="D531" s="109"/>
      <c r="E531" s="109"/>
      <c r="F531" s="97"/>
      <c r="G531" s="109"/>
      <c r="H531" s="109"/>
      <c r="I531" s="97"/>
      <c r="J531" s="97"/>
      <c r="K531" s="83"/>
      <c r="L531" s="111"/>
      <c r="M531" s="111"/>
      <c r="N531" s="111"/>
      <c r="O531" s="111"/>
      <c r="P531" s="111"/>
      <c r="Q531" s="111"/>
      <c r="R531" s="111"/>
    </row>
    <row r="532" spans="2:18" s="108" customFormat="1">
      <c r="B532" s="109"/>
      <c r="C532" s="110"/>
      <c r="D532" s="109"/>
      <c r="E532" s="109"/>
      <c r="F532" s="97"/>
      <c r="G532" s="109"/>
      <c r="H532" s="109"/>
      <c r="I532" s="97"/>
      <c r="J532" s="97"/>
      <c r="K532" s="83"/>
      <c r="L532" s="111"/>
      <c r="M532" s="111"/>
      <c r="N532" s="111"/>
      <c r="O532" s="111"/>
      <c r="P532" s="111"/>
      <c r="Q532" s="111"/>
      <c r="R532" s="111"/>
    </row>
    <row r="533" spans="2:18" s="108" customFormat="1">
      <c r="B533" s="109"/>
      <c r="C533" s="110"/>
      <c r="D533" s="109"/>
      <c r="E533" s="109"/>
      <c r="F533" s="97"/>
      <c r="G533" s="109"/>
      <c r="H533" s="109"/>
      <c r="I533" s="97"/>
      <c r="J533" s="97"/>
      <c r="K533" s="83"/>
      <c r="L533" s="111"/>
      <c r="M533" s="111"/>
      <c r="N533" s="111"/>
      <c r="O533" s="111"/>
      <c r="P533" s="111"/>
      <c r="Q533" s="111"/>
      <c r="R533" s="111"/>
    </row>
    <row r="534" spans="2:18" s="108" customFormat="1">
      <c r="B534" s="109"/>
      <c r="C534" s="110"/>
      <c r="D534" s="109"/>
      <c r="E534" s="109"/>
      <c r="F534" s="97"/>
      <c r="G534" s="109"/>
      <c r="H534" s="109"/>
      <c r="I534" s="97"/>
      <c r="J534" s="97"/>
      <c r="K534" s="83"/>
      <c r="L534" s="111"/>
      <c r="M534" s="111"/>
      <c r="N534" s="111"/>
      <c r="O534" s="111"/>
      <c r="P534" s="111"/>
      <c r="Q534" s="111"/>
      <c r="R534" s="111"/>
    </row>
    <row r="535" spans="2:18" s="108" customFormat="1">
      <c r="B535" s="109"/>
      <c r="C535" s="110"/>
      <c r="D535" s="109"/>
      <c r="E535" s="109"/>
      <c r="F535" s="97"/>
      <c r="G535" s="109"/>
      <c r="H535" s="109"/>
      <c r="I535" s="97"/>
      <c r="J535" s="97"/>
      <c r="K535" s="83"/>
      <c r="L535" s="111"/>
      <c r="M535" s="111"/>
      <c r="N535" s="111"/>
      <c r="O535" s="111"/>
      <c r="P535" s="111"/>
      <c r="Q535" s="111"/>
      <c r="R535" s="111"/>
    </row>
    <row r="536" spans="2:18" s="108" customFormat="1">
      <c r="B536" s="109"/>
      <c r="C536" s="110"/>
      <c r="D536" s="109"/>
      <c r="E536" s="109"/>
      <c r="F536" s="97"/>
      <c r="G536" s="109"/>
      <c r="H536" s="109"/>
      <c r="I536" s="97"/>
      <c r="J536" s="97"/>
      <c r="K536" s="83"/>
      <c r="L536" s="111"/>
      <c r="M536" s="111"/>
      <c r="N536" s="111"/>
      <c r="O536" s="111"/>
      <c r="P536" s="111"/>
      <c r="Q536" s="111"/>
      <c r="R536" s="111"/>
    </row>
    <row r="537" spans="2:18" s="108" customFormat="1">
      <c r="B537" s="109"/>
      <c r="C537" s="110"/>
      <c r="D537" s="109"/>
      <c r="E537" s="109"/>
      <c r="F537" s="97"/>
      <c r="G537" s="109"/>
      <c r="H537" s="109"/>
      <c r="I537" s="97"/>
      <c r="J537" s="97"/>
      <c r="K537" s="83"/>
      <c r="L537" s="111"/>
      <c r="M537" s="111"/>
      <c r="N537" s="111"/>
      <c r="O537" s="111"/>
      <c r="P537" s="111"/>
      <c r="Q537" s="111"/>
      <c r="R537" s="111"/>
    </row>
    <row r="538" spans="2:18" s="108" customFormat="1">
      <c r="B538" s="109"/>
      <c r="C538" s="110"/>
      <c r="D538" s="109"/>
      <c r="E538" s="109"/>
      <c r="F538" s="97"/>
      <c r="G538" s="109"/>
      <c r="H538" s="109"/>
      <c r="I538" s="97"/>
      <c r="J538" s="97"/>
      <c r="K538" s="83"/>
      <c r="L538" s="111"/>
      <c r="M538" s="111"/>
      <c r="N538" s="111"/>
      <c r="O538" s="111"/>
      <c r="P538" s="111"/>
      <c r="Q538" s="111"/>
      <c r="R538" s="111"/>
    </row>
    <row r="539" spans="2:18" s="108" customFormat="1">
      <c r="B539" s="109"/>
      <c r="C539" s="110"/>
      <c r="D539" s="109"/>
      <c r="E539" s="109"/>
      <c r="F539" s="97"/>
      <c r="G539" s="109"/>
      <c r="H539" s="109"/>
      <c r="I539" s="97"/>
      <c r="J539" s="97"/>
      <c r="K539" s="83"/>
      <c r="L539" s="111"/>
      <c r="M539" s="111"/>
      <c r="N539" s="111"/>
      <c r="O539" s="111"/>
      <c r="P539" s="111"/>
      <c r="Q539" s="111"/>
      <c r="R539" s="111"/>
    </row>
    <row r="540" spans="2:18" s="108" customFormat="1">
      <c r="B540" s="109"/>
      <c r="C540" s="110"/>
      <c r="D540" s="109"/>
      <c r="E540" s="109"/>
      <c r="F540" s="97"/>
      <c r="G540" s="109"/>
      <c r="H540" s="109"/>
      <c r="I540" s="97"/>
      <c r="J540" s="97"/>
      <c r="K540" s="83"/>
      <c r="L540" s="111"/>
      <c r="M540" s="111"/>
      <c r="N540" s="111"/>
      <c r="O540" s="111"/>
      <c r="P540" s="111"/>
      <c r="Q540" s="111"/>
      <c r="R540" s="111"/>
    </row>
    <row r="541" spans="2:18" s="108" customFormat="1">
      <c r="B541" s="109"/>
      <c r="C541" s="110"/>
      <c r="D541" s="109"/>
      <c r="E541" s="109"/>
      <c r="F541" s="97"/>
      <c r="G541" s="109"/>
      <c r="H541" s="109"/>
      <c r="I541" s="97"/>
      <c r="J541" s="97"/>
      <c r="K541" s="83"/>
      <c r="L541" s="111"/>
      <c r="M541" s="111"/>
      <c r="N541" s="111"/>
      <c r="O541" s="111"/>
      <c r="P541" s="111"/>
      <c r="Q541" s="111"/>
      <c r="R541" s="111"/>
    </row>
    <row r="542" spans="2:18" s="108" customFormat="1">
      <c r="B542" s="109"/>
      <c r="C542" s="110"/>
      <c r="D542" s="109"/>
      <c r="E542" s="109"/>
      <c r="F542" s="97"/>
      <c r="G542" s="109"/>
      <c r="H542" s="109"/>
      <c r="I542" s="97"/>
      <c r="J542" s="97"/>
      <c r="K542" s="83"/>
      <c r="L542" s="111"/>
      <c r="M542" s="111"/>
      <c r="N542" s="111"/>
      <c r="O542" s="111"/>
      <c r="P542" s="111"/>
      <c r="Q542" s="111"/>
      <c r="R542" s="111"/>
    </row>
    <row r="543" spans="2:18" s="108" customFormat="1">
      <c r="B543" s="109"/>
      <c r="C543" s="110"/>
      <c r="D543" s="109"/>
      <c r="E543" s="109"/>
      <c r="F543" s="97"/>
      <c r="G543" s="109"/>
      <c r="H543" s="109"/>
      <c r="I543" s="97"/>
      <c r="J543" s="97"/>
      <c r="K543" s="83"/>
      <c r="L543" s="111"/>
      <c r="M543" s="111"/>
      <c r="N543" s="111"/>
      <c r="O543" s="111"/>
      <c r="P543" s="111"/>
      <c r="Q543" s="111"/>
      <c r="R543" s="111"/>
    </row>
    <row r="544" spans="2:18" s="108" customFormat="1">
      <c r="B544" s="109"/>
      <c r="C544" s="110"/>
      <c r="D544" s="109"/>
      <c r="E544" s="109"/>
      <c r="F544" s="97"/>
      <c r="G544" s="109"/>
      <c r="H544" s="109"/>
      <c r="I544" s="97"/>
      <c r="J544" s="97"/>
      <c r="K544" s="83"/>
      <c r="L544" s="111"/>
      <c r="M544" s="111"/>
      <c r="N544" s="111"/>
      <c r="O544" s="111"/>
      <c r="P544" s="111"/>
      <c r="Q544" s="111"/>
      <c r="R544" s="111"/>
    </row>
    <row r="545" spans="2:18" s="108" customFormat="1">
      <c r="B545" s="109"/>
      <c r="C545" s="110"/>
      <c r="D545" s="109"/>
      <c r="E545" s="109"/>
      <c r="F545" s="97"/>
      <c r="G545" s="109"/>
      <c r="H545" s="109"/>
      <c r="I545" s="97"/>
      <c r="J545" s="97"/>
      <c r="K545" s="83"/>
      <c r="L545" s="111"/>
      <c r="M545" s="111"/>
      <c r="N545" s="111"/>
      <c r="O545" s="111"/>
      <c r="P545" s="111"/>
      <c r="Q545" s="111"/>
      <c r="R545" s="111"/>
    </row>
    <row r="546" spans="2:18" s="108" customFormat="1">
      <c r="B546" s="109"/>
      <c r="C546" s="110"/>
      <c r="D546" s="109"/>
      <c r="E546" s="109"/>
      <c r="F546" s="97"/>
      <c r="G546" s="109"/>
      <c r="H546" s="109"/>
      <c r="I546" s="97"/>
      <c r="J546" s="97"/>
      <c r="K546" s="83"/>
      <c r="L546" s="111"/>
      <c r="M546" s="111"/>
      <c r="N546" s="111"/>
      <c r="O546" s="111"/>
      <c r="P546" s="111"/>
      <c r="Q546" s="111"/>
      <c r="R546" s="111"/>
    </row>
    <row r="547" spans="2:18" s="108" customFormat="1">
      <c r="B547" s="109"/>
      <c r="C547" s="110"/>
      <c r="D547" s="109"/>
      <c r="E547" s="109"/>
      <c r="F547" s="97"/>
      <c r="G547" s="109"/>
      <c r="H547" s="109"/>
      <c r="I547" s="97"/>
      <c r="J547" s="97"/>
      <c r="K547" s="83"/>
      <c r="L547" s="111"/>
      <c r="M547" s="111"/>
      <c r="N547" s="111"/>
      <c r="O547" s="111"/>
      <c r="P547" s="111"/>
      <c r="Q547" s="111"/>
      <c r="R547" s="111"/>
    </row>
    <row r="548" spans="2:18" s="108" customFormat="1">
      <c r="B548" s="109"/>
      <c r="C548" s="110"/>
      <c r="D548" s="109"/>
      <c r="E548" s="109"/>
      <c r="F548" s="97"/>
      <c r="G548" s="109"/>
      <c r="H548" s="109"/>
      <c r="I548" s="97"/>
      <c r="J548" s="97"/>
      <c r="K548" s="83"/>
      <c r="L548" s="111"/>
      <c r="M548" s="111"/>
      <c r="N548" s="111"/>
      <c r="O548" s="111"/>
      <c r="P548" s="111"/>
      <c r="Q548" s="111"/>
      <c r="R548" s="111"/>
    </row>
    <row r="549" spans="2:18" s="108" customFormat="1">
      <c r="B549" s="109"/>
      <c r="C549" s="110"/>
      <c r="D549" s="109"/>
      <c r="E549" s="109"/>
      <c r="F549" s="97"/>
      <c r="G549" s="109"/>
      <c r="H549" s="109"/>
      <c r="I549" s="97"/>
      <c r="J549" s="97"/>
      <c r="K549" s="83"/>
      <c r="L549" s="111"/>
      <c r="M549" s="111"/>
      <c r="N549" s="111"/>
      <c r="O549" s="111"/>
      <c r="P549" s="111"/>
      <c r="Q549" s="111"/>
      <c r="R549" s="111"/>
    </row>
    <row r="550" spans="2:18" s="108" customFormat="1">
      <c r="B550" s="109"/>
      <c r="C550" s="110"/>
      <c r="D550" s="109"/>
      <c r="E550" s="109"/>
      <c r="F550" s="97"/>
      <c r="G550" s="109"/>
      <c r="H550" s="109"/>
      <c r="I550" s="97"/>
      <c r="J550" s="97"/>
      <c r="K550" s="83"/>
      <c r="L550" s="111"/>
      <c r="M550" s="111"/>
      <c r="N550" s="111"/>
      <c r="O550" s="111"/>
      <c r="P550" s="111"/>
      <c r="Q550" s="111"/>
      <c r="R550" s="111"/>
    </row>
    <row r="551" spans="2:18" s="108" customFormat="1">
      <c r="B551" s="109"/>
      <c r="C551" s="110"/>
      <c r="D551" s="109"/>
      <c r="E551" s="109"/>
      <c r="F551" s="97"/>
      <c r="G551" s="109"/>
      <c r="H551" s="109"/>
      <c r="I551" s="97"/>
      <c r="J551" s="97"/>
      <c r="K551" s="83"/>
      <c r="L551" s="111"/>
      <c r="M551" s="111"/>
      <c r="N551" s="111"/>
      <c r="O551" s="111"/>
      <c r="P551" s="111"/>
      <c r="Q551" s="111"/>
      <c r="R551" s="111"/>
    </row>
    <row r="552" spans="2:18" s="108" customFormat="1">
      <c r="B552" s="109"/>
      <c r="C552" s="110"/>
      <c r="D552" s="109"/>
      <c r="E552" s="109"/>
      <c r="F552" s="97"/>
      <c r="G552" s="109"/>
      <c r="H552" s="109"/>
      <c r="I552" s="97"/>
      <c r="J552" s="97"/>
      <c r="K552" s="83"/>
      <c r="L552" s="111"/>
      <c r="M552" s="111"/>
      <c r="N552" s="111"/>
      <c r="O552" s="111"/>
      <c r="P552" s="111"/>
      <c r="Q552" s="111"/>
      <c r="R552" s="111"/>
    </row>
    <row r="553" spans="2:18" s="108" customFormat="1">
      <c r="B553" s="109"/>
      <c r="C553" s="110"/>
      <c r="D553" s="109"/>
      <c r="E553" s="109"/>
      <c r="F553" s="97"/>
      <c r="G553" s="109"/>
      <c r="H553" s="109"/>
      <c r="I553" s="97"/>
      <c r="J553" s="97"/>
      <c r="K553" s="83"/>
      <c r="L553" s="111"/>
      <c r="M553" s="111"/>
      <c r="N553" s="111"/>
      <c r="O553" s="111"/>
      <c r="P553" s="111"/>
      <c r="Q553" s="111"/>
      <c r="R553" s="111"/>
    </row>
    <row r="554" spans="2:18" s="108" customFormat="1">
      <c r="B554" s="109"/>
      <c r="C554" s="110"/>
      <c r="D554" s="109"/>
      <c r="E554" s="109"/>
      <c r="F554" s="97"/>
      <c r="G554" s="109"/>
      <c r="H554" s="109"/>
      <c r="I554" s="97"/>
      <c r="J554" s="97"/>
      <c r="K554" s="83"/>
      <c r="L554" s="111"/>
      <c r="M554" s="111"/>
      <c r="N554" s="111"/>
      <c r="O554" s="111"/>
      <c r="P554" s="111"/>
      <c r="Q554" s="111"/>
      <c r="R554" s="111"/>
    </row>
    <row r="555" spans="2:18" s="108" customFormat="1">
      <c r="B555" s="109"/>
      <c r="C555" s="110"/>
      <c r="D555" s="109"/>
      <c r="E555" s="109"/>
      <c r="F555" s="97"/>
      <c r="G555" s="109"/>
      <c r="H555" s="109"/>
      <c r="I555" s="97"/>
      <c r="J555" s="97"/>
      <c r="K555" s="83"/>
      <c r="L555" s="111"/>
      <c r="M555" s="111"/>
      <c r="N555" s="111"/>
      <c r="O555" s="111"/>
      <c r="P555" s="111"/>
      <c r="Q555" s="111"/>
      <c r="R555" s="111"/>
    </row>
    <row r="556" spans="2:18" s="108" customFormat="1">
      <c r="B556" s="109"/>
      <c r="C556" s="110"/>
      <c r="D556" s="109"/>
      <c r="E556" s="109"/>
      <c r="F556" s="97"/>
      <c r="G556" s="109"/>
      <c r="H556" s="109"/>
      <c r="I556" s="97"/>
      <c r="J556" s="97"/>
      <c r="K556" s="83"/>
      <c r="L556" s="111"/>
      <c r="M556" s="111"/>
      <c r="N556" s="111"/>
      <c r="O556" s="111"/>
      <c r="P556" s="111"/>
      <c r="Q556" s="111"/>
      <c r="R556" s="111"/>
    </row>
    <row r="557" spans="2:18" s="108" customFormat="1">
      <c r="B557" s="109"/>
      <c r="C557" s="110"/>
      <c r="D557" s="109"/>
      <c r="E557" s="109"/>
      <c r="F557" s="97"/>
      <c r="G557" s="109"/>
      <c r="H557" s="109"/>
      <c r="I557" s="97"/>
      <c r="J557" s="97"/>
      <c r="K557" s="83"/>
      <c r="L557" s="111"/>
      <c r="M557" s="111"/>
      <c r="N557" s="111"/>
      <c r="O557" s="111"/>
      <c r="P557" s="111"/>
      <c r="Q557" s="111"/>
      <c r="R557" s="111"/>
    </row>
    <row r="558" spans="2:18" s="108" customFormat="1">
      <c r="B558" s="109"/>
      <c r="C558" s="110"/>
      <c r="D558" s="109"/>
      <c r="E558" s="109"/>
      <c r="F558" s="97"/>
      <c r="G558" s="109"/>
      <c r="H558" s="109"/>
      <c r="I558" s="97"/>
      <c r="J558" s="97"/>
      <c r="K558" s="83"/>
      <c r="L558" s="111"/>
      <c r="M558" s="111"/>
      <c r="N558" s="111"/>
      <c r="O558" s="111"/>
      <c r="P558" s="111"/>
      <c r="Q558" s="111"/>
      <c r="R558" s="111"/>
    </row>
    <row r="559" spans="2:18" s="108" customFormat="1">
      <c r="B559" s="109"/>
      <c r="C559" s="110"/>
      <c r="D559" s="109"/>
      <c r="E559" s="109"/>
      <c r="F559" s="97"/>
      <c r="G559" s="109"/>
      <c r="H559" s="109"/>
      <c r="I559" s="97"/>
      <c r="J559" s="97"/>
      <c r="K559" s="83"/>
      <c r="L559" s="111"/>
      <c r="M559" s="111"/>
      <c r="N559" s="111"/>
      <c r="O559" s="111"/>
      <c r="P559" s="111"/>
      <c r="Q559" s="111"/>
      <c r="R559" s="111"/>
    </row>
    <row r="560" spans="2:18" s="108" customFormat="1">
      <c r="B560" s="109"/>
      <c r="C560" s="110"/>
      <c r="D560" s="109"/>
      <c r="E560" s="109"/>
      <c r="F560" s="97"/>
      <c r="G560" s="109"/>
      <c r="H560" s="109"/>
      <c r="I560" s="97"/>
      <c r="J560" s="97"/>
      <c r="K560" s="83"/>
      <c r="L560" s="111"/>
      <c r="M560" s="111"/>
      <c r="N560" s="111"/>
      <c r="O560" s="111"/>
      <c r="P560" s="111"/>
      <c r="Q560" s="111"/>
      <c r="R560" s="111"/>
    </row>
    <row r="561" spans="2:18" s="108" customFormat="1">
      <c r="B561" s="109"/>
      <c r="C561" s="110"/>
      <c r="D561" s="109"/>
      <c r="E561" s="109"/>
      <c r="F561" s="97"/>
      <c r="G561" s="109"/>
      <c r="H561" s="109"/>
      <c r="I561" s="97"/>
      <c r="J561" s="97"/>
      <c r="K561" s="83"/>
      <c r="L561" s="111"/>
      <c r="M561" s="111"/>
      <c r="N561" s="111"/>
      <c r="O561" s="111"/>
      <c r="P561" s="111"/>
      <c r="Q561" s="111"/>
      <c r="R561" s="111"/>
    </row>
    <row r="562" spans="2:18" s="108" customFormat="1">
      <c r="B562" s="109"/>
      <c r="C562" s="110"/>
      <c r="D562" s="109"/>
      <c r="E562" s="109"/>
      <c r="F562" s="97"/>
      <c r="G562" s="109"/>
      <c r="H562" s="109"/>
      <c r="I562" s="97"/>
      <c r="J562" s="97"/>
      <c r="K562" s="83"/>
      <c r="L562" s="111"/>
      <c r="M562" s="111"/>
      <c r="N562" s="111"/>
      <c r="O562" s="111"/>
      <c r="P562" s="111"/>
      <c r="Q562" s="111"/>
      <c r="R562" s="111"/>
    </row>
    <row r="563" spans="2:18" s="108" customFormat="1">
      <c r="B563" s="109"/>
      <c r="C563" s="110"/>
      <c r="D563" s="109"/>
      <c r="E563" s="109"/>
      <c r="F563" s="97"/>
      <c r="G563" s="109"/>
      <c r="H563" s="109"/>
      <c r="I563" s="97"/>
      <c r="J563" s="97"/>
      <c r="K563" s="83"/>
      <c r="L563" s="111"/>
      <c r="M563" s="111"/>
      <c r="N563" s="111"/>
      <c r="O563" s="111"/>
      <c r="P563" s="111"/>
      <c r="Q563" s="111"/>
      <c r="R563" s="111"/>
    </row>
    <row r="564" spans="2:18" s="108" customFormat="1">
      <c r="B564" s="109"/>
      <c r="C564" s="110"/>
      <c r="D564" s="109"/>
      <c r="E564" s="109"/>
      <c r="F564" s="97"/>
      <c r="G564" s="109"/>
      <c r="H564" s="109"/>
      <c r="I564" s="97"/>
      <c r="J564" s="97"/>
      <c r="K564" s="83"/>
      <c r="L564" s="111"/>
      <c r="M564" s="111"/>
      <c r="N564" s="111"/>
      <c r="O564" s="111"/>
      <c r="P564" s="111"/>
      <c r="Q564" s="111"/>
      <c r="R564" s="111"/>
    </row>
    <row r="565" spans="2:18" s="108" customFormat="1">
      <c r="B565" s="109"/>
      <c r="C565" s="110"/>
      <c r="D565" s="109"/>
      <c r="E565" s="109"/>
      <c r="F565" s="97"/>
      <c r="G565" s="109"/>
      <c r="H565" s="109"/>
      <c r="I565" s="97"/>
      <c r="J565" s="97"/>
      <c r="K565" s="83"/>
      <c r="L565" s="111"/>
      <c r="M565" s="111"/>
      <c r="N565" s="111"/>
      <c r="O565" s="111"/>
      <c r="P565" s="111"/>
      <c r="Q565" s="111"/>
      <c r="R565" s="111"/>
    </row>
    <row r="566" spans="2:18" s="108" customFormat="1">
      <c r="B566" s="109"/>
      <c r="C566" s="110"/>
      <c r="D566" s="109"/>
      <c r="E566" s="109"/>
      <c r="F566" s="97"/>
      <c r="G566" s="109"/>
      <c r="H566" s="109"/>
      <c r="I566" s="97"/>
      <c r="J566" s="97"/>
      <c r="K566" s="83"/>
      <c r="L566" s="111"/>
      <c r="M566" s="111"/>
      <c r="N566" s="111"/>
      <c r="O566" s="111"/>
      <c r="P566" s="111"/>
      <c r="Q566" s="111"/>
      <c r="R566" s="111"/>
    </row>
    <row r="567" spans="2:18" s="108" customFormat="1">
      <c r="B567" s="109"/>
      <c r="C567" s="110"/>
      <c r="D567" s="109"/>
      <c r="E567" s="109"/>
      <c r="F567" s="97"/>
      <c r="G567" s="109"/>
      <c r="H567" s="109"/>
      <c r="I567" s="97"/>
      <c r="J567" s="97"/>
      <c r="K567" s="83"/>
      <c r="L567" s="111"/>
      <c r="M567" s="111"/>
      <c r="N567" s="111"/>
      <c r="O567" s="111"/>
      <c r="P567" s="111"/>
      <c r="Q567" s="111"/>
      <c r="R567" s="111"/>
    </row>
    <row r="568" spans="2:18" s="108" customFormat="1">
      <c r="B568" s="109"/>
      <c r="C568" s="110"/>
      <c r="D568" s="109"/>
      <c r="E568" s="109"/>
      <c r="F568" s="97"/>
      <c r="G568" s="109"/>
      <c r="H568" s="109"/>
      <c r="I568" s="97"/>
      <c r="J568" s="97"/>
      <c r="K568" s="83"/>
      <c r="L568" s="111"/>
      <c r="M568" s="111"/>
      <c r="N568" s="111"/>
      <c r="O568" s="111"/>
      <c r="P568" s="111"/>
      <c r="Q568" s="111"/>
      <c r="R568" s="111"/>
    </row>
    <row r="569" spans="2:18" s="108" customFormat="1">
      <c r="B569" s="109"/>
      <c r="C569" s="110"/>
      <c r="D569" s="109"/>
      <c r="E569" s="109"/>
      <c r="F569" s="97"/>
      <c r="G569" s="109"/>
      <c r="H569" s="109"/>
      <c r="I569" s="97"/>
      <c r="J569" s="97"/>
      <c r="K569" s="83"/>
      <c r="L569" s="111"/>
      <c r="M569" s="111"/>
      <c r="N569" s="111"/>
      <c r="O569" s="111"/>
      <c r="P569" s="111"/>
      <c r="Q569" s="111"/>
      <c r="R569" s="111"/>
    </row>
    <row r="570" spans="2:18" s="108" customFormat="1">
      <c r="B570" s="109"/>
      <c r="C570" s="110"/>
      <c r="D570" s="109"/>
      <c r="E570" s="109"/>
      <c r="F570" s="97"/>
      <c r="G570" s="109"/>
      <c r="H570" s="109"/>
      <c r="I570" s="97"/>
      <c r="J570" s="97"/>
      <c r="K570" s="83"/>
      <c r="L570" s="111"/>
      <c r="M570" s="111"/>
      <c r="N570" s="111"/>
      <c r="O570" s="111"/>
      <c r="P570" s="111"/>
      <c r="Q570" s="111"/>
      <c r="R570" s="111"/>
    </row>
    <row r="571" spans="2:18" s="108" customFormat="1">
      <c r="B571" s="109"/>
      <c r="C571" s="110"/>
      <c r="D571" s="109"/>
      <c r="E571" s="109"/>
      <c r="F571" s="97"/>
      <c r="G571" s="109"/>
      <c r="H571" s="109"/>
      <c r="I571" s="97"/>
      <c r="J571" s="97"/>
      <c r="K571" s="83"/>
      <c r="L571" s="111"/>
      <c r="M571" s="111"/>
      <c r="N571" s="111"/>
      <c r="O571" s="111"/>
      <c r="P571" s="111"/>
      <c r="Q571" s="111"/>
      <c r="R571" s="111"/>
    </row>
    <row r="572" spans="2:18" s="108" customFormat="1">
      <c r="B572" s="109"/>
      <c r="C572" s="110"/>
      <c r="D572" s="109"/>
      <c r="E572" s="109"/>
      <c r="F572" s="97"/>
      <c r="G572" s="109"/>
      <c r="H572" s="109"/>
      <c r="I572" s="97"/>
      <c r="J572" s="97"/>
      <c r="K572" s="83"/>
      <c r="L572" s="111"/>
      <c r="M572" s="111"/>
      <c r="N572" s="111"/>
      <c r="O572" s="111"/>
      <c r="P572" s="111"/>
      <c r="Q572" s="111"/>
      <c r="R572" s="111"/>
    </row>
    <row r="573" spans="2:18" s="108" customFormat="1">
      <c r="B573" s="109"/>
      <c r="C573" s="110"/>
      <c r="D573" s="109"/>
      <c r="E573" s="109"/>
      <c r="F573" s="97"/>
      <c r="G573" s="109"/>
      <c r="H573" s="109"/>
      <c r="I573" s="97"/>
      <c r="J573" s="97"/>
      <c r="K573" s="83"/>
      <c r="L573" s="111"/>
      <c r="M573" s="111"/>
      <c r="N573" s="111"/>
      <c r="O573" s="111"/>
      <c r="P573" s="111"/>
      <c r="Q573" s="111"/>
      <c r="R573" s="111"/>
    </row>
    <row r="574" spans="2:18" s="108" customFormat="1">
      <c r="B574" s="109"/>
      <c r="C574" s="110"/>
      <c r="D574" s="109"/>
      <c r="E574" s="109"/>
      <c r="F574" s="97"/>
      <c r="G574" s="109"/>
      <c r="H574" s="109"/>
      <c r="I574" s="97"/>
      <c r="J574" s="97"/>
      <c r="K574" s="83"/>
      <c r="L574" s="111"/>
      <c r="M574" s="111"/>
      <c r="N574" s="111"/>
      <c r="O574" s="111"/>
      <c r="P574" s="111"/>
      <c r="Q574" s="111"/>
      <c r="R574" s="111"/>
    </row>
    <row r="575" spans="2:18" s="108" customFormat="1">
      <c r="B575" s="109"/>
      <c r="C575" s="110"/>
      <c r="D575" s="109"/>
      <c r="E575" s="109"/>
      <c r="F575" s="97"/>
      <c r="G575" s="109"/>
      <c r="H575" s="109"/>
      <c r="I575" s="97"/>
      <c r="J575" s="97"/>
      <c r="K575" s="83"/>
      <c r="L575" s="111"/>
      <c r="M575" s="111"/>
      <c r="N575" s="111"/>
      <c r="O575" s="111"/>
      <c r="P575" s="111"/>
      <c r="Q575" s="111"/>
      <c r="R575" s="111"/>
    </row>
    <row r="576" spans="2:18" s="108" customFormat="1">
      <c r="B576" s="109"/>
      <c r="C576" s="110"/>
      <c r="D576" s="109"/>
      <c r="E576" s="109"/>
      <c r="F576" s="97"/>
      <c r="G576" s="109"/>
      <c r="H576" s="109"/>
      <c r="I576" s="97"/>
      <c r="J576" s="97"/>
      <c r="K576" s="83"/>
      <c r="L576" s="111"/>
      <c r="M576" s="111"/>
      <c r="N576" s="111"/>
      <c r="O576" s="111"/>
      <c r="P576" s="111"/>
      <c r="Q576" s="111"/>
      <c r="R576" s="111"/>
    </row>
    <row r="577" spans="2:18" s="108" customFormat="1">
      <c r="B577" s="109"/>
      <c r="C577" s="110"/>
      <c r="D577" s="109"/>
      <c r="E577" s="109"/>
      <c r="F577" s="97"/>
      <c r="G577" s="109"/>
      <c r="H577" s="109"/>
      <c r="I577" s="97"/>
      <c r="J577" s="97"/>
      <c r="K577" s="83"/>
      <c r="L577" s="111"/>
      <c r="M577" s="111"/>
      <c r="N577" s="111"/>
      <c r="O577" s="111"/>
      <c r="P577" s="111"/>
      <c r="Q577" s="111"/>
      <c r="R577" s="111"/>
    </row>
    <row r="578" spans="2:18" s="108" customFormat="1">
      <c r="B578" s="109"/>
      <c r="C578" s="110"/>
      <c r="D578" s="109"/>
      <c r="E578" s="109"/>
      <c r="F578" s="97"/>
      <c r="G578" s="109"/>
      <c r="H578" s="109"/>
      <c r="I578" s="97"/>
      <c r="J578" s="97"/>
      <c r="K578" s="83"/>
      <c r="L578" s="111"/>
      <c r="M578" s="111"/>
      <c r="N578" s="111"/>
      <c r="O578" s="111"/>
      <c r="P578" s="111"/>
      <c r="Q578" s="111"/>
      <c r="R578" s="111"/>
    </row>
    <row r="579" spans="2:18" s="108" customFormat="1">
      <c r="B579" s="109"/>
      <c r="C579" s="110"/>
      <c r="D579" s="109"/>
      <c r="E579" s="109"/>
      <c r="F579" s="97"/>
      <c r="G579" s="109"/>
      <c r="H579" s="109"/>
      <c r="I579" s="97"/>
      <c r="J579" s="97"/>
      <c r="K579" s="83"/>
      <c r="L579" s="111"/>
      <c r="M579" s="111"/>
      <c r="N579" s="111"/>
      <c r="O579" s="111"/>
      <c r="P579" s="111"/>
      <c r="Q579" s="111"/>
      <c r="R579" s="111"/>
    </row>
    <row r="580" spans="2:18" s="108" customFormat="1">
      <c r="B580" s="109"/>
      <c r="C580" s="110"/>
      <c r="D580" s="109"/>
      <c r="E580" s="109"/>
      <c r="F580" s="97"/>
      <c r="G580" s="109"/>
      <c r="H580" s="109"/>
      <c r="I580" s="97"/>
      <c r="J580" s="97"/>
      <c r="K580" s="83"/>
      <c r="L580" s="111"/>
      <c r="M580" s="111"/>
      <c r="N580" s="111"/>
      <c r="O580" s="111"/>
      <c r="P580" s="111"/>
      <c r="Q580" s="111"/>
      <c r="R580" s="111"/>
    </row>
    <row r="581" spans="2:18" s="108" customFormat="1">
      <c r="B581" s="109"/>
      <c r="C581" s="110"/>
      <c r="D581" s="109"/>
      <c r="E581" s="109"/>
      <c r="F581" s="97"/>
      <c r="G581" s="109"/>
      <c r="H581" s="109"/>
      <c r="I581" s="97"/>
      <c r="J581" s="97"/>
      <c r="K581" s="83"/>
      <c r="L581" s="111"/>
      <c r="M581" s="111"/>
      <c r="N581" s="111"/>
      <c r="O581" s="111"/>
      <c r="P581" s="111"/>
      <c r="Q581" s="111"/>
      <c r="R581" s="111"/>
    </row>
    <row r="582" spans="2:18" s="108" customFormat="1">
      <c r="B582" s="109"/>
      <c r="C582" s="110"/>
      <c r="D582" s="109"/>
      <c r="E582" s="109"/>
      <c r="F582" s="97"/>
      <c r="G582" s="109"/>
      <c r="H582" s="109"/>
      <c r="I582" s="97"/>
      <c r="J582" s="97"/>
      <c r="K582" s="83"/>
      <c r="L582" s="111"/>
      <c r="M582" s="111"/>
      <c r="N582" s="111"/>
      <c r="O582" s="111"/>
      <c r="P582" s="111"/>
      <c r="Q582" s="111"/>
      <c r="R582" s="111"/>
    </row>
    <row r="583" spans="2:18" s="108" customFormat="1">
      <c r="B583" s="109"/>
      <c r="C583" s="110"/>
      <c r="D583" s="109"/>
      <c r="E583" s="109"/>
      <c r="F583" s="97"/>
      <c r="G583" s="109"/>
      <c r="H583" s="109"/>
      <c r="I583" s="97"/>
      <c r="J583" s="97"/>
      <c r="K583" s="83"/>
      <c r="L583" s="111"/>
      <c r="M583" s="111"/>
      <c r="N583" s="111"/>
      <c r="O583" s="111"/>
      <c r="P583" s="111"/>
      <c r="Q583" s="111"/>
      <c r="R583" s="111"/>
    </row>
    <row r="584" spans="2:18" s="108" customFormat="1">
      <c r="B584" s="109"/>
      <c r="C584" s="110"/>
      <c r="D584" s="109"/>
      <c r="E584" s="109"/>
      <c r="F584" s="97"/>
      <c r="G584" s="109"/>
      <c r="H584" s="109"/>
      <c r="I584" s="97"/>
      <c r="J584" s="97"/>
      <c r="K584" s="83"/>
      <c r="L584" s="111"/>
      <c r="M584" s="111"/>
      <c r="N584" s="111"/>
      <c r="O584" s="111"/>
      <c r="P584" s="111"/>
      <c r="Q584" s="111"/>
      <c r="R584" s="111"/>
    </row>
    <row r="585" spans="2:18" s="108" customFormat="1">
      <c r="B585" s="109"/>
      <c r="C585" s="110"/>
      <c r="D585" s="109"/>
      <c r="E585" s="109"/>
      <c r="F585" s="97"/>
      <c r="G585" s="109"/>
      <c r="H585" s="109"/>
      <c r="I585" s="97"/>
      <c r="J585" s="97"/>
      <c r="K585" s="83"/>
      <c r="L585" s="111"/>
      <c r="M585" s="111"/>
      <c r="N585" s="111"/>
      <c r="O585" s="111"/>
      <c r="P585" s="111"/>
      <c r="Q585" s="111"/>
      <c r="R585" s="111"/>
    </row>
    <row r="586" spans="2:18" s="108" customFormat="1">
      <c r="B586" s="109"/>
      <c r="C586" s="110"/>
      <c r="D586" s="109"/>
      <c r="E586" s="109"/>
      <c r="F586" s="97"/>
      <c r="G586" s="109"/>
      <c r="H586" s="109"/>
      <c r="I586" s="97"/>
      <c r="J586" s="97"/>
      <c r="K586" s="83"/>
      <c r="L586" s="111"/>
      <c r="M586" s="111"/>
      <c r="N586" s="111"/>
      <c r="O586" s="111"/>
      <c r="P586" s="111"/>
      <c r="Q586" s="111"/>
      <c r="R586" s="111"/>
    </row>
    <row r="587" spans="2:18" s="108" customFormat="1">
      <c r="B587" s="109"/>
      <c r="C587" s="110"/>
      <c r="D587" s="109"/>
      <c r="E587" s="109"/>
      <c r="F587" s="97"/>
      <c r="G587" s="109"/>
      <c r="H587" s="109"/>
      <c r="I587" s="97"/>
      <c r="J587" s="97"/>
      <c r="K587" s="83"/>
      <c r="L587" s="111"/>
      <c r="M587" s="111"/>
      <c r="N587" s="111"/>
      <c r="O587" s="111"/>
      <c r="P587" s="111"/>
      <c r="Q587" s="111"/>
      <c r="R587" s="111"/>
    </row>
    <row r="588" spans="2:18" s="108" customFormat="1">
      <c r="B588" s="109"/>
      <c r="C588" s="110"/>
      <c r="D588" s="109"/>
      <c r="E588" s="109"/>
      <c r="F588" s="97"/>
      <c r="G588" s="109"/>
      <c r="H588" s="109"/>
      <c r="I588" s="97"/>
      <c r="J588" s="97"/>
      <c r="K588" s="83"/>
      <c r="L588" s="111"/>
      <c r="M588" s="111"/>
      <c r="N588" s="111"/>
      <c r="O588" s="111"/>
      <c r="P588" s="111"/>
      <c r="Q588" s="111"/>
      <c r="R588" s="111"/>
    </row>
    <row r="589" spans="2:18" s="108" customFormat="1">
      <c r="B589" s="109"/>
      <c r="C589" s="110"/>
      <c r="D589" s="109"/>
      <c r="E589" s="109"/>
      <c r="F589" s="97"/>
      <c r="G589" s="109"/>
      <c r="H589" s="109"/>
      <c r="I589" s="97"/>
      <c r="J589" s="97"/>
      <c r="K589" s="83"/>
      <c r="L589" s="111"/>
      <c r="M589" s="111"/>
      <c r="N589" s="111"/>
      <c r="O589" s="111"/>
      <c r="P589" s="111"/>
      <c r="Q589" s="111"/>
      <c r="R589" s="111"/>
    </row>
    <row r="590" spans="2:18" s="108" customFormat="1">
      <c r="B590" s="109"/>
      <c r="C590" s="110"/>
      <c r="D590" s="109"/>
      <c r="E590" s="109"/>
      <c r="F590" s="97"/>
      <c r="G590" s="109"/>
      <c r="H590" s="109"/>
      <c r="I590" s="97"/>
      <c r="J590" s="97"/>
      <c r="K590" s="83"/>
      <c r="L590" s="111"/>
      <c r="M590" s="111"/>
      <c r="N590" s="111"/>
      <c r="O590" s="111"/>
      <c r="P590" s="111"/>
      <c r="Q590" s="111"/>
      <c r="R590" s="111"/>
    </row>
    <row r="591" spans="2:18" s="108" customFormat="1">
      <c r="B591" s="109"/>
      <c r="C591" s="110"/>
      <c r="D591" s="109"/>
      <c r="E591" s="109"/>
      <c r="F591" s="97"/>
      <c r="G591" s="109"/>
      <c r="H591" s="109"/>
      <c r="I591" s="97"/>
      <c r="J591" s="97"/>
      <c r="K591" s="83"/>
      <c r="L591" s="111"/>
      <c r="M591" s="111"/>
      <c r="N591" s="111"/>
      <c r="O591" s="111"/>
      <c r="P591" s="111"/>
      <c r="Q591" s="111"/>
      <c r="R591" s="111"/>
    </row>
    <row r="592" spans="2:18" s="108" customFormat="1">
      <c r="B592" s="109"/>
      <c r="C592" s="110"/>
      <c r="D592" s="109"/>
      <c r="E592" s="109"/>
      <c r="F592" s="97"/>
      <c r="G592" s="109"/>
      <c r="H592" s="109"/>
      <c r="I592" s="97"/>
      <c r="J592" s="97"/>
      <c r="K592" s="83"/>
      <c r="L592" s="111"/>
      <c r="M592" s="111"/>
      <c r="N592" s="111"/>
      <c r="O592" s="111"/>
      <c r="P592" s="111"/>
      <c r="Q592" s="111"/>
      <c r="R592" s="111"/>
    </row>
    <row r="593" spans="2:18" s="108" customFormat="1">
      <c r="B593" s="109"/>
      <c r="C593" s="110"/>
      <c r="D593" s="109"/>
      <c r="E593" s="109"/>
      <c r="F593" s="97"/>
      <c r="G593" s="109"/>
      <c r="H593" s="109"/>
      <c r="I593" s="97"/>
      <c r="J593" s="97"/>
      <c r="K593" s="83"/>
      <c r="L593" s="111"/>
      <c r="M593" s="111"/>
      <c r="N593" s="111"/>
      <c r="O593" s="111"/>
      <c r="P593" s="111"/>
      <c r="Q593" s="111"/>
      <c r="R593" s="111"/>
    </row>
    <row r="594" spans="2:18" s="108" customFormat="1">
      <c r="B594" s="109"/>
      <c r="C594" s="110"/>
      <c r="D594" s="109"/>
      <c r="E594" s="109"/>
      <c r="F594" s="97"/>
      <c r="G594" s="109"/>
      <c r="H594" s="109"/>
      <c r="I594" s="97"/>
      <c r="J594" s="97"/>
      <c r="K594" s="83"/>
      <c r="L594" s="111"/>
      <c r="M594" s="111"/>
      <c r="N594" s="111"/>
      <c r="O594" s="111"/>
      <c r="P594" s="111"/>
      <c r="Q594" s="111"/>
      <c r="R594" s="111"/>
    </row>
    <row r="595" spans="2:18" s="108" customFormat="1">
      <c r="B595" s="109"/>
      <c r="C595" s="110"/>
      <c r="D595" s="109"/>
      <c r="E595" s="109"/>
      <c r="F595" s="97"/>
      <c r="G595" s="109"/>
      <c r="H595" s="109"/>
      <c r="I595" s="97"/>
      <c r="J595" s="97"/>
      <c r="K595" s="83"/>
      <c r="L595" s="111"/>
      <c r="M595" s="111"/>
      <c r="N595" s="111"/>
      <c r="O595" s="111"/>
      <c r="P595" s="111"/>
      <c r="Q595" s="111"/>
      <c r="R595" s="111"/>
    </row>
    <row r="596" spans="2:18" s="108" customFormat="1">
      <c r="B596" s="109"/>
      <c r="C596" s="110"/>
      <c r="D596" s="109"/>
      <c r="E596" s="109"/>
      <c r="F596" s="97"/>
      <c r="G596" s="109"/>
      <c r="H596" s="109"/>
      <c r="I596" s="97"/>
      <c r="J596" s="97"/>
      <c r="K596" s="83"/>
      <c r="L596" s="111"/>
      <c r="M596" s="111"/>
      <c r="N596" s="111"/>
      <c r="O596" s="111"/>
      <c r="P596" s="111"/>
      <c r="Q596" s="111"/>
      <c r="R596" s="111"/>
    </row>
    <row r="597" spans="2:18" s="108" customFormat="1">
      <c r="B597" s="109"/>
      <c r="C597" s="110"/>
      <c r="D597" s="109"/>
      <c r="E597" s="109"/>
      <c r="F597" s="97"/>
      <c r="G597" s="109"/>
      <c r="H597" s="109"/>
      <c r="I597" s="97"/>
      <c r="J597" s="97"/>
      <c r="K597" s="83"/>
      <c r="L597" s="111"/>
      <c r="M597" s="111"/>
      <c r="N597" s="111"/>
      <c r="O597" s="111"/>
      <c r="P597" s="111"/>
      <c r="Q597" s="111"/>
      <c r="R597" s="111"/>
    </row>
    <row r="598" spans="2:18" s="108" customFormat="1">
      <c r="B598" s="109"/>
      <c r="C598" s="110"/>
      <c r="D598" s="109"/>
      <c r="E598" s="109"/>
      <c r="F598" s="97"/>
      <c r="G598" s="109"/>
      <c r="H598" s="109"/>
      <c r="I598" s="97"/>
      <c r="J598" s="97"/>
      <c r="K598" s="83"/>
      <c r="L598" s="111"/>
      <c r="M598" s="111"/>
      <c r="N598" s="111"/>
      <c r="O598" s="111"/>
      <c r="P598" s="111"/>
      <c r="Q598" s="111"/>
      <c r="R598" s="111"/>
    </row>
    <row r="599" spans="2:18" s="108" customFormat="1">
      <c r="B599" s="109"/>
      <c r="C599" s="110"/>
      <c r="D599" s="109"/>
      <c r="E599" s="109"/>
      <c r="F599" s="97"/>
      <c r="G599" s="109"/>
      <c r="H599" s="109"/>
      <c r="I599" s="97"/>
      <c r="J599" s="97"/>
      <c r="K599" s="83"/>
      <c r="L599" s="111"/>
      <c r="M599" s="111"/>
      <c r="N599" s="111"/>
      <c r="O599" s="111"/>
      <c r="P599" s="111"/>
      <c r="Q599" s="111"/>
      <c r="R599" s="111"/>
    </row>
    <row r="600" spans="2:18" s="108" customFormat="1">
      <c r="B600" s="109"/>
      <c r="C600" s="110"/>
      <c r="D600" s="109"/>
      <c r="E600" s="109"/>
      <c r="F600" s="97"/>
      <c r="G600" s="109"/>
      <c r="H600" s="109"/>
      <c r="I600" s="97"/>
      <c r="J600" s="97"/>
      <c r="K600" s="83"/>
      <c r="L600" s="111"/>
      <c r="M600" s="111"/>
      <c r="N600" s="111"/>
      <c r="O600" s="111"/>
      <c r="P600" s="111"/>
      <c r="Q600" s="111"/>
      <c r="R600" s="111"/>
    </row>
    <row r="601" spans="2:18" s="108" customFormat="1">
      <c r="B601" s="109"/>
      <c r="C601" s="110"/>
      <c r="D601" s="109"/>
      <c r="E601" s="109"/>
      <c r="F601" s="97"/>
      <c r="G601" s="109"/>
      <c r="H601" s="109"/>
      <c r="I601" s="97"/>
      <c r="J601" s="97"/>
      <c r="K601" s="83"/>
      <c r="L601" s="111"/>
      <c r="M601" s="111"/>
      <c r="N601" s="111"/>
      <c r="O601" s="111"/>
      <c r="P601" s="111"/>
      <c r="Q601" s="111"/>
      <c r="R601" s="111"/>
    </row>
    <row r="602" spans="2:18" s="108" customFormat="1">
      <c r="B602" s="109"/>
      <c r="C602" s="110"/>
      <c r="D602" s="109"/>
      <c r="E602" s="109"/>
      <c r="F602" s="97"/>
      <c r="G602" s="109"/>
      <c r="H602" s="109"/>
      <c r="I602" s="97"/>
      <c r="J602" s="97"/>
      <c r="K602" s="83"/>
      <c r="L602" s="111"/>
      <c r="M602" s="111"/>
      <c r="N602" s="111"/>
      <c r="O602" s="111"/>
      <c r="P602" s="111"/>
      <c r="Q602" s="111"/>
      <c r="R602" s="111"/>
    </row>
    <row r="603" spans="2:18" s="108" customFormat="1">
      <c r="B603" s="109"/>
      <c r="C603" s="110"/>
      <c r="D603" s="109"/>
      <c r="E603" s="109"/>
      <c r="F603" s="97"/>
      <c r="G603" s="109"/>
      <c r="H603" s="109"/>
      <c r="I603" s="97"/>
      <c r="J603" s="97"/>
      <c r="K603" s="83"/>
      <c r="L603" s="111"/>
      <c r="M603" s="111"/>
      <c r="N603" s="111"/>
      <c r="O603" s="111"/>
      <c r="P603" s="111"/>
      <c r="Q603" s="111"/>
      <c r="R603" s="111"/>
    </row>
    <row r="604" spans="2:18" s="108" customFormat="1">
      <c r="B604" s="109"/>
      <c r="C604" s="110"/>
      <c r="D604" s="109"/>
      <c r="E604" s="109"/>
      <c r="F604" s="97"/>
      <c r="G604" s="109"/>
      <c r="H604" s="109"/>
      <c r="I604" s="97"/>
      <c r="J604" s="97"/>
      <c r="K604" s="83"/>
      <c r="L604" s="111"/>
      <c r="M604" s="111"/>
      <c r="N604" s="111"/>
      <c r="O604" s="111"/>
      <c r="P604" s="111"/>
      <c r="Q604" s="111"/>
      <c r="R604" s="111"/>
    </row>
    <row r="605" spans="2:18" s="108" customFormat="1">
      <c r="B605" s="109"/>
      <c r="C605" s="110"/>
      <c r="D605" s="109"/>
      <c r="E605" s="109"/>
      <c r="F605" s="97"/>
      <c r="G605" s="109"/>
      <c r="H605" s="109"/>
      <c r="I605" s="97"/>
      <c r="J605" s="97"/>
      <c r="K605" s="83"/>
      <c r="L605" s="111"/>
      <c r="M605" s="111"/>
      <c r="N605" s="111"/>
      <c r="O605" s="111"/>
      <c r="P605" s="111"/>
      <c r="Q605" s="111"/>
      <c r="R605" s="111"/>
    </row>
    <row r="606" spans="2:18" s="108" customFormat="1">
      <c r="B606" s="109"/>
      <c r="C606" s="110"/>
      <c r="D606" s="109"/>
      <c r="E606" s="109"/>
      <c r="F606" s="97"/>
      <c r="G606" s="109"/>
      <c r="H606" s="109"/>
      <c r="I606" s="97"/>
      <c r="J606" s="97"/>
      <c r="K606" s="83"/>
      <c r="L606" s="111"/>
      <c r="M606" s="111"/>
      <c r="N606" s="111"/>
      <c r="O606" s="111"/>
      <c r="P606" s="111"/>
      <c r="Q606" s="111"/>
      <c r="R606" s="111"/>
    </row>
    <row r="607" spans="2:18" s="108" customFormat="1">
      <c r="B607" s="109"/>
      <c r="C607" s="110"/>
      <c r="D607" s="109"/>
      <c r="E607" s="109"/>
      <c r="F607" s="97"/>
      <c r="G607" s="109"/>
      <c r="H607" s="109"/>
      <c r="I607" s="97"/>
      <c r="J607" s="97"/>
      <c r="K607" s="83"/>
      <c r="L607" s="111"/>
      <c r="M607" s="111"/>
      <c r="N607" s="111"/>
      <c r="O607" s="111"/>
      <c r="P607" s="111"/>
      <c r="Q607" s="111"/>
      <c r="R607" s="111"/>
    </row>
    <row r="608" spans="2:18" s="108" customFormat="1">
      <c r="B608" s="109"/>
      <c r="C608" s="110"/>
      <c r="D608" s="109"/>
      <c r="E608" s="109"/>
      <c r="F608" s="97"/>
      <c r="G608" s="109"/>
      <c r="H608" s="109"/>
      <c r="I608" s="97"/>
      <c r="J608" s="97"/>
      <c r="K608" s="83"/>
      <c r="L608" s="111"/>
      <c r="M608" s="111"/>
      <c r="N608" s="111"/>
      <c r="O608" s="111"/>
      <c r="P608" s="111"/>
      <c r="Q608" s="111"/>
      <c r="R608" s="111"/>
    </row>
    <row r="609" spans="2:18" s="108" customFormat="1">
      <c r="B609" s="109"/>
      <c r="C609" s="110"/>
      <c r="D609" s="109"/>
      <c r="E609" s="109"/>
      <c r="F609" s="97"/>
      <c r="G609" s="109"/>
      <c r="H609" s="109"/>
      <c r="I609" s="97"/>
      <c r="J609" s="97"/>
      <c r="K609" s="83"/>
      <c r="L609" s="111"/>
      <c r="M609" s="111"/>
      <c r="N609" s="111"/>
      <c r="O609" s="111"/>
      <c r="P609" s="111"/>
      <c r="Q609" s="111"/>
      <c r="R609" s="111"/>
    </row>
    <row r="610" spans="2:18" s="108" customFormat="1">
      <c r="B610" s="109"/>
      <c r="C610" s="110"/>
      <c r="D610" s="109"/>
      <c r="E610" s="109"/>
      <c r="F610" s="97"/>
      <c r="G610" s="109"/>
      <c r="H610" s="109"/>
      <c r="I610" s="97"/>
      <c r="J610" s="97"/>
      <c r="K610" s="83"/>
      <c r="L610" s="111"/>
      <c r="M610" s="111"/>
      <c r="N610" s="111"/>
      <c r="O610" s="111"/>
      <c r="P610" s="111"/>
      <c r="Q610" s="111"/>
      <c r="R610" s="111"/>
    </row>
    <row r="611" spans="2:18" s="108" customFormat="1">
      <c r="B611" s="109"/>
      <c r="C611" s="110"/>
      <c r="D611" s="109"/>
      <c r="E611" s="109"/>
      <c r="F611" s="97"/>
      <c r="G611" s="109"/>
      <c r="H611" s="109"/>
      <c r="I611" s="97"/>
      <c r="J611" s="97"/>
      <c r="K611" s="83"/>
      <c r="L611" s="111"/>
      <c r="M611" s="111"/>
      <c r="N611" s="111"/>
      <c r="O611" s="111"/>
      <c r="P611" s="111"/>
      <c r="Q611" s="111"/>
      <c r="R611" s="111"/>
    </row>
    <row r="612" spans="2:18" s="108" customFormat="1">
      <c r="B612" s="109"/>
      <c r="C612" s="110"/>
      <c r="D612" s="109"/>
      <c r="E612" s="109"/>
      <c r="F612" s="97"/>
      <c r="G612" s="109"/>
      <c r="H612" s="109"/>
      <c r="I612" s="97"/>
      <c r="J612" s="97"/>
      <c r="K612" s="83"/>
      <c r="L612" s="111"/>
      <c r="M612" s="111"/>
      <c r="N612" s="111"/>
      <c r="O612" s="111"/>
      <c r="P612" s="111"/>
      <c r="Q612" s="111"/>
      <c r="R612" s="111"/>
    </row>
    <row r="613" spans="2:18" s="108" customFormat="1">
      <c r="B613" s="109"/>
      <c r="C613" s="110"/>
      <c r="D613" s="109"/>
      <c r="E613" s="109"/>
      <c r="F613" s="97"/>
      <c r="G613" s="109"/>
      <c r="H613" s="109"/>
      <c r="I613" s="97"/>
      <c r="J613" s="97"/>
      <c r="K613" s="83"/>
      <c r="L613" s="111"/>
      <c r="M613" s="111"/>
      <c r="N613" s="111"/>
      <c r="O613" s="111"/>
      <c r="P613" s="111"/>
      <c r="Q613" s="111"/>
      <c r="R613" s="111"/>
    </row>
    <row r="614" spans="2:18" s="108" customFormat="1">
      <c r="B614" s="109"/>
      <c r="C614" s="110"/>
      <c r="D614" s="109"/>
      <c r="E614" s="109"/>
      <c r="F614" s="97"/>
      <c r="G614" s="109"/>
      <c r="H614" s="109"/>
      <c r="I614" s="97"/>
      <c r="J614" s="97"/>
      <c r="K614" s="83"/>
      <c r="L614" s="111"/>
      <c r="M614" s="111"/>
      <c r="N614" s="111"/>
      <c r="O614" s="111"/>
      <c r="P614" s="111"/>
      <c r="Q614" s="111"/>
      <c r="R614" s="111"/>
    </row>
    <row r="615" spans="2:18" s="108" customFormat="1">
      <c r="B615" s="109"/>
      <c r="C615" s="110"/>
      <c r="D615" s="109"/>
      <c r="E615" s="109"/>
      <c r="F615" s="97"/>
      <c r="G615" s="109"/>
      <c r="H615" s="109"/>
      <c r="I615" s="97"/>
      <c r="J615" s="97"/>
      <c r="K615" s="83"/>
      <c r="L615" s="111"/>
      <c r="M615" s="111"/>
      <c r="N615" s="111"/>
      <c r="O615" s="111"/>
      <c r="P615" s="111"/>
      <c r="Q615" s="111"/>
      <c r="R615" s="111"/>
    </row>
    <row r="616" spans="2:18" s="108" customFormat="1">
      <c r="B616" s="109"/>
      <c r="C616" s="110"/>
      <c r="D616" s="109"/>
      <c r="E616" s="109"/>
      <c r="F616" s="97"/>
      <c r="G616" s="109"/>
      <c r="H616" s="109"/>
      <c r="I616" s="97"/>
      <c r="J616" s="97"/>
      <c r="K616" s="83"/>
      <c r="L616" s="111"/>
      <c r="M616" s="111"/>
      <c r="N616" s="111"/>
      <c r="O616" s="111"/>
      <c r="P616" s="111"/>
      <c r="Q616" s="111"/>
      <c r="R616" s="111"/>
    </row>
    <row r="617" spans="2:18" s="108" customFormat="1">
      <c r="B617" s="109"/>
      <c r="C617" s="110"/>
      <c r="D617" s="109"/>
      <c r="E617" s="109"/>
      <c r="F617" s="97"/>
      <c r="G617" s="109"/>
      <c r="H617" s="109"/>
      <c r="I617" s="97"/>
      <c r="J617" s="97"/>
      <c r="K617" s="83"/>
      <c r="L617" s="111"/>
      <c r="M617" s="111"/>
      <c r="N617" s="111"/>
      <c r="O617" s="111"/>
      <c r="P617" s="111"/>
      <c r="Q617" s="111"/>
      <c r="R617" s="111"/>
    </row>
    <row r="618" spans="2:18" s="108" customFormat="1">
      <c r="B618" s="109"/>
      <c r="C618" s="110"/>
      <c r="D618" s="109"/>
      <c r="E618" s="109"/>
      <c r="F618" s="97"/>
      <c r="G618" s="109"/>
      <c r="H618" s="109"/>
      <c r="I618" s="97"/>
      <c r="J618" s="97"/>
      <c r="K618" s="83"/>
      <c r="L618" s="111"/>
      <c r="M618" s="111"/>
      <c r="N618" s="111"/>
      <c r="O618" s="111"/>
      <c r="P618" s="111"/>
      <c r="Q618" s="111"/>
      <c r="R618" s="111"/>
    </row>
    <row r="619" spans="2:18" s="108" customFormat="1">
      <c r="B619" s="109"/>
      <c r="C619" s="110"/>
      <c r="D619" s="109"/>
      <c r="E619" s="109"/>
      <c r="F619" s="97"/>
      <c r="G619" s="109"/>
      <c r="H619" s="109"/>
      <c r="I619" s="97"/>
      <c r="J619" s="97"/>
      <c r="K619" s="83"/>
      <c r="L619" s="111"/>
      <c r="M619" s="111"/>
      <c r="N619" s="111"/>
      <c r="O619" s="111"/>
      <c r="P619" s="111"/>
      <c r="Q619" s="111"/>
      <c r="R619" s="111"/>
    </row>
    <row r="620" spans="2:18" s="108" customFormat="1">
      <c r="B620" s="109"/>
      <c r="C620" s="110"/>
      <c r="D620" s="109"/>
      <c r="E620" s="109"/>
      <c r="F620" s="97"/>
      <c r="G620" s="109"/>
      <c r="H620" s="109"/>
      <c r="I620" s="97"/>
      <c r="J620" s="97"/>
      <c r="K620" s="83"/>
      <c r="L620" s="111"/>
      <c r="M620" s="111"/>
      <c r="N620" s="111"/>
      <c r="O620" s="111"/>
      <c r="P620" s="111"/>
      <c r="Q620" s="111"/>
      <c r="R620" s="111"/>
    </row>
    <row r="621" spans="2:18" s="108" customFormat="1">
      <c r="B621" s="109"/>
      <c r="C621" s="110"/>
      <c r="D621" s="109"/>
      <c r="E621" s="109"/>
      <c r="F621" s="97"/>
      <c r="G621" s="109"/>
      <c r="H621" s="109"/>
      <c r="I621" s="97"/>
      <c r="J621" s="97"/>
      <c r="K621" s="83"/>
      <c r="L621" s="111"/>
      <c r="M621" s="111"/>
      <c r="N621" s="111"/>
      <c r="O621" s="111"/>
      <c r="P621" s="111"/>
      <c r="Q621" s="111"/>
      <c r="R621" s="111"/>
    </row>
    <row r="622" spans="2:18" s="108" customFormat="1">
      <c r="B622" s="109"/>
      <c r="C622" s="110"/>
      <c r="D622" s="109"/>
      <c r="E622" s="109"/>
      <c r="F622" s="97"/>
      <c r="G622" s="109"/>
      <c r="H622" s="109"/>
      <c r="I622" s="97"/>
      <c r="J622" s="97"/>
      <c r="K622" s="83"/>
      <c r="L622" s="111"/>
      <c r="M622" s="111"/>
      <c r="N622" s="111"/>
      <c r="O622" s="111"/>
      <c r="P622" s="111"/>
      <c r="Q622" s="111"/>
      <c r="R622" s="111"/>
    </row>
    <row r="623" spans="2:18" s="108" customFormat="1">
      <c r="B623" s="109"/>
      <c r="C623" s="110"/>
      <c r="D623" s="109"/>
      <c r="E623" s="109"/>
      <c r="F623" s="97"/>
      <c r="G623" s="109"/>
      <c r="H623" s="109"/>
      <c r="I623" s="97"/>
      <c r="J623" s="97"/>
      <c r="K623" s="83"/>
      <c r="L623" s="111"/>
      <c r="M623" s="111"/>
      <c r="N623" s="111"/>
      <c r="O623" s="111"/>
      <c r="P623" s="111"/>
      <c r="Q623" s="111"/>
      <c r="R623" s="111"/>
    </row>
    <row r="624" spans="2:18" s="108" customFormat="1">
      <c r="B624" s="109"/>
      <c r="C624" s="110"/>
      <c r="D624" s="109"/>
      <c r="E624" s="109"/>
      <c r="F624" s="97"/>
      <c r="G624" s="109"/>
      <c r="H624" s="109"/>
      <c r="I624" s="97"/>
      <c r="J624" s="97"/>
      <c r="K624" s="83"/>
      <c r="L624" s="111"/>
      <c r="M624" s="111"/>
      <c r="N624" s="111"/>
      <c r="O624" s="111"/>
      <c r="P624" s="111"/>
      <c r="Q624" s="111"/>
      <c r="R624" s="111"/>
    </row>
    <row r="625" spans="2:18" s="108" customFormat="1">
      <c r="B625" s="109"/>
      <c r="C625" s="110"/>
      <c r="D625" s="109"/>
      <c r="E625" s="109"/>
      <c r="F625" s="97"/>
      <c r="G625" s="109"/>
      <c r="H625" s="109"/>
      <c r="I625" s="97"/>
      <c r="J625" s="97"/>
      <c r="K625" s="83"/>
      <c r="L625" s="111"/>
      <c r="M625" s="111"/>
      <c r="N625" s="111"/>
      <c r="O625" s="111"/>
      <c r="P625" s="111"/>
      <c r="Q625" s="111"/>
      <c r="R625" s="111"/>
    </row>
    <row r="626" spans="2:18" s="108" customFormat="1">
      <c r="B626" s="109"/>
      <c r="C626" s="110"/>
      <c r="D626" s="109"/>
      <c r="E626" s="109"/>
      <c r="F626" s="97"/>
      <c r="G626" s="109"/>
      <c r="H626" s="109"/>
      <c r="I626" s="97"/>
      <c r="J626" s="97"/>
      <c r="K626" s="83"/>
      <c r="L626" s="111"/>
      <c r="M626" s="111"/>
      <c r="N626" s="111"/>
      <c r="O626" s="111"/>
      <c r="P626" s="111"/>
      <c r="Q626" s="111"/>
      <c r="R626" s="111"/>
    </row>
    <row r="627" spans="2:18" s="108" customFormat="1">
      <c r="B627" s="109"/>
      <c r="C627" s="110"/>
      <c r="D627" s="109"/>
      <c r="E627" s="109"/>
      <c r="F627" s="97"/>
      <c r="G627" s="109"/>
      <c r="H627" s="109"/>
      <c r="I627" s="97"/>
      <c r="J627" s="97"/>
      <c r="K627" s="83"/>
      <c r="L627" s="111"/>
      <c r="M627" s="111"/>
      <c r="N627" s="111"/>
      <c r="O627" s="111"/>
      <c r="P627" s="111"/>
      <c r="Q627" s="111"/>
      <c r="R627" s="111"/>
    </row>
    <row r="628" spans="2:18" s="108" customFormat="1">
      <c r="B628" s="109"/>
      <c r="C628" s="110"/>
      <c r="D628" s="109"/>
      <c r="E628" s="109"/>
      <c r="F628" s="97"/>
      <c r="G628" s="109"/>
      <c r="H628" s="109"/>
      <c r="I628" s="97"/>
      <c r="J628" s="97"/>
      <c r="K628" s="83"/>
      <c r="L628" s="111"/>
      <c r="M628" s="111"/>
      <c r="N628" s="111"/>
      <c r="O628" s="111"/>
      <c r="P628" s="111"/>
      <c r="Q628" s="111"/>
      <c r="R628" s="111"/>
    </row>
    <row r="629" spans="2:18" s="108" customFormat="1">
      <c r="B629" s="109"/>
      <c r="C629" s="110"/>
      <c r="D629" s="109"/>
      <c r="E629" s="109"/>
      <c r="F629" s="97"/>
      <c r="G629" s="109"/>
      <c r="H629" s="109"/>
      <c r="I629" s="97"/>
      <c r="J629" s="97"/>
      <c r="K629" s="83"/>
      <c r="L629" s="111"/>
      <c r="M629" s="111"/>
      <c r="N629" s="111"/>
      <c r="O629" s="111"/>
      <c r="P629" s="111"/>
      <c r="Q629" s="111"/>
      <c r="R629" s="111"/>
    </row>
    <row r="630" spans="2:18" s="108" customFormat="1">
      <c r="B630" s="109"/>
      <c r="C630" s="110"/>
      <c r="D630" s="109"/>
      <c r="E630" s="109"/>
      <c r="F630" s="97"/>
      <c r="G630" s="109"/>
      <c r="H630" s="109"/>
      <c r="I630" s="97"/>
      <c r="J630" s="97"/>
      <c r="K630" s="83"/>
      <c r="L630" s="111"/>
      <c r="M630" s="111"/>
      <c r="N630" s="111"/>
      <c r="O630" s="111"/>
      <c r="P630" s="111"/>
      <c r="Q630" s="111"/>
      <c r="R630" s="111"/>
    </row>
    <row r="631" spans="2:18" s="108" customFormat="1">
      <c r="B631" s="109"/>
      <c r="C631" s="110"/>
      <c r="D631" s="109"/>
      <c r="E631" s="109"/>
      <c r="F631" s="97"/>
      <c r="G631" s="109"/>
      <c r="H631" s="109"/>
      <c r="I631" s="97"/>
      <c r="J631" s="97"/>
      <c r="K631" s="83"/>
      <c r="L631" s="111"/>
      <c r="M631" s="111"/>
      <c r="N631" s="111"/>
      <c r="O631" s="111"/>
      <c r="P631" s="111"/>
      <c r="Q631" s="111"/>
      <c r="R631" s="111"/>
    </row>
    <row r="632" spans="2:18" s="108" customFormat="1">
      <c r="B632" s="109"/>
      <c r="C632" s="110"/>
      <c r="D632" s="109"/>
      <c r="E632" s="109"/>
      <c r="F632" s="97"/>
      <c r="G632" s="109"/>
      <c r="H632" s="109"/>
      <c r="I632" s="97"/>
      <c r="J632" s="97"/>
      <c r="K632" s="83"/>
      <c r="L632" s="111"/>
      <c r="M632" s="111"/>
      <c r="N632" s="111"/>
      <c r="O632" s="111"/>
      <c r="P632" s="111"/>
      <c r="Q632" s="111"/>
      <c r="R632" s="111"/>
    </row>
    <row r="633" spans="2:18" s="108" customFormat="1">
      <c r="B633" s="109"/>
      <c r="C633" s="110"/>
      <c r="D633" s="109"/>
      <c r="E633" s="109"/>
      <c r="F633" s="97"/>
      <c r="G633" s="109"/>
      <c r="H633" s="109"/>
      <c r="I633" s="97"/>
      <c r="J633" s="97"/>
      <c r="K633" s="83"/>
      <c r="L633" s="111"/>
      <c r="M633" s="111"/>
      <c r="N633" s="111"/>
      <c r="O633" s="111"/>
      <c r="P633" s="111"/>
      <c r="Q633" s="111"/>
      <c r="R633" s="111"/>
    </row>
    <row r="634" spans="2:18" s="108" customFormat="1">
      <c r="B634" s="109"/>
      <c r="C634" s="110"/>
      <c r="D634" s="109"/>
      <c r="E634" s="109"/>
      <c r="F634" s="97"/>
      <c r="G634" s="109"/>
      <c r="H634" s="109"/>
      <c r="I634" s="97"/>
      <c r="J634" s="97"/>
      <c r="K634" s="83"/>
      <c r="L634" s="111"/>
      <c r="M634" s="111"/>
      <c r="N634" s="111"/>
      <c r="O634" s="111"/>
      <c r="P634" s="111"/>
      <c r="Q634" s="111"/>
      <c r="R634" s="111"/>
    </row>
    <row r="635" spans="2:18" s="108" customFormat="1">
      <c r="B635" s="109"/>
      <c r="C635" s="110"/>
      <c r="D635" s="109"/>
      <c r="E635" s="109"/>
      <c r="F635" s="97"/>
      <c r="G635" s="109"/>
      <c r="H635" s="109"/>
      <c r="I635" s="97"/>
      <c r="J635" s="97"/>
      <c r="K635" s="83"/>
      <c r="L635" s="111"/>
      <c r="M635" s="111"/>
      <c r="N635" s="111"/>
      <c r="O635" s="111"/>
      <c r="P635" s="111"/>
      <c r="Q635" s="111"/>
      <c r="R635" s="111"/>
    </row>
    <row r="636" spans="2:18" s="108" customFormat="1">
      <c r="B636" s="109"/>
      <c r="C636" s="110"/>
      <c r="D636" s="109"/>
      <c r="E636" s="109"/>
      <c r="F636" s="97"/>
      <c r="G636" s="109"/>
      <c r="H636" s="109"/>
      <c r="I636" s="97"/>
      <c r="J636" s="97"/>
      <c r="K636" s="83"/>
      <c r="L636" s="111"/>
      <c r="M636" s="111"/>
      <c r="N636" s="111"/>
      <c r="O636" s="111"/>
      <c r="P636" s="111"/>
      <c r="Q636" s="111"/>
      <c r="R636" s="111"/>
    </row>
    <row r="637" spans="2:18" s="108" customFormat="1">
      <c r="B637" s="109"/>
      <c r="C637" s="110"/>
      <c r="D637" s="109"/>
      <c r="E637" s="109"/>
      <c r="F637" s="97"/>
      <c r="G637" s="109"/>
      <c r="H637" s="109"/>
      <c r="I637" s="97"/>
      <c r="J637" s="97"/>
      <c r="K637" s="83"/>
      <c r="L637" s="111"/>
      <c r="M637" s="111"/>
      <c r="N637" s="111"/>
      <c r="O637" s="111"/>
      <c r="P637" s="111"/>
      <c r="Q637" s="111"/>
      <c r="R637" s="111"/>
    </row>
    <row r="638" spans="2:18" s="108" customFormat="1">
      <c r="B638" s="109"/>
      <c r="C638" s="110"/>
      <c r="D638" s="109"/>
      <c r="E638" s="109"/>
      <c r="F638" s="97"/>
      <c r="G638" s="109"/>
      <c r="H638" s="109"/>
      <c r="I638" s="97"/>
      <c r="J638" s="97"/>
      <c r="K638" s="83"/>
      <c r="L638" s="111"/>
      <c r="M638" s="111"/>
      <c r="N638" s="111"/>
      <c r="O638" s="111"/>
      <c r="P638" s="111"/>
      <c r="Q638" s="111"/>
      <c r="R638" s="111"/>
    </row>
    <row r="639" spans="2:18" s="108" customFormat="1">
      <c r="B639" s="109"/>
      <c r="C639" s="110"/>
      <c r="D639" s="109"/>
      <c r="E639" s="109"/>
      <c r="F639" s="97"/>
      <c r="G639" s="109"/>
      <c r="H639" s="109"/>
      <c r="I639" s="97"/>
      <c r="J639" s="97"/>
      <c r="K639" s="83"/>
      <c r="L639" s="111"/>
      <c r="M639" s="111"/>
      <c r="N639" s="111"/>
      <c r="O639" s="111"/>
      <c r="P639" s="111"/>
      <c r="Q639" s="111"/>
      <c r="R639" s="111"/>
    </row>
    <row r="640" spans="2:18" s="108" customFormat="1">
      <c r="B640" s="109"/>
      <c r="C640" s="110"/>
      <c r="D640" s="109"/>
      <c r="E640" s="109"/>
      <c r="F640" s="97"/>
      <c r="G640" s="109"/>
      <c r="H640" s="109"/>
      <c r="I640" s="97"/>
      <c r="J640" s="97"/>
      <c r="K640" s="83"/>
      <c r="L640" s="111"/>
      <c r="M640" s="111"/>
      <c r="N640" s="111"/>
      <c r="O640" s="111"/>
      <c r="P640" s="111"/>
      <c r="Q640" s="111"/>
      <c r="R640" s="111"/>
    </row>
    <row r="641" spans="2:18" s="108" customFormat="1">
      <c r="B641" s="109"/>
      <c r="C641" s="110"/>
      <c r="D641" s="109"/>
      <c r="E641" s="109"/>
      <c r="F641" s="97"/>
      <c r="G641" s="109"/>
      <c r="H641" s="109"/>
      <c r="I641" s="97"/>
      <c r="J641" s="97"/>
      <c r="K641" s="83"/>
      <c r="L641" s="111"/>
      <c r="M641" s="111"/>
      <c r="N641" s="111"/>
      <c r="O641" s="111"/>
      <c r="P641" s="111"/>
      <c r="Q641" s="111"/>
      <c r="R641" s="111"/>
    </row>
    <row r="642" spans="2:18" s="108" customFormat="1">
      <c r="B642" s="109"/>
      <c r="C642" s="110"/>
      <c r="D642" s="109"/>
      <c r="E642" s="109"/>
      <c r="F642" s="97"/>
      <c r="G642" s="109"/>
      <c r="H642" s="109"/>
      <c r="I642" s="97"/>
      <c r="J642" s="97"/>
      <c r="K642" s="83"/>
      <c r="L642" s="111"/>
      <c r="M642" s="111"/>
      <c r="N642" s="111"/>
      <c r="O642" s="111"/>
      <c r="P642" s="111"/>
      <c r="Q642" s="111"/>
      <c r="R642" s="111"/>
    </row>
    <row r="643" spans="2:18" s="108" customFormat="1">
      <c r="B643" s="109"/>
      <c r="C643" s="110"/>
      <c r="D643" s="109"/>
      <c r="E643" s="109"/>
      <c r="F643" s="97"/>
      <c r="G643" s="109"/>
      <c r="H643" s="109"/>
      <c r="I643" s="97"/>
      <c r="J643" s="97"/>
      <c r="K643" s="83"/>
      <c r="L643" s="111"/>
      <c r="M643" s="111"/>
      <c r="N643" s="111"/>
      <c r="O643" s="111"/>
      <c r="P643" s="111"/>
      <c r="Q643" s="111"/>
      <c r="R643" s="111"/>
    </row>
    <row r="644" spans="2:18" s="108" customFormat="1">
      <c r="B644" s="109"/>
      <c r="C644" s="110"/>
      <c r="D644" s="109"/>
      <c r="E644" s="109"/>
      <c r="F644" s="97"/>
      <c r="G644" s="109"/>
      <c r="H644" s="109"/>
      <c r="I644" s="97"/>
      <c r="J644" s="97"/>
      <c r="K644" s="83"/>
      <c r="L644" s="111"/>
      <c r="M644" s="111"/>
      <c r="N644" s="111"/>
      <c r="O644" s="111"/>
      <c r="P644" s="111"/>
      <c r="Q644" s="111"/>
      <c r="R644" s="111"/>
    </row>
    <row r="645" spans="2:18" s="108" customFormat="1">
      <c r="B645" s="109"/>
      <c r="C645" s="110"/>
      <c r="D645" s="109"/>
      <c r="E645" s="109"/>
      <c r="F645" s="97"/>
      <c r="G645" s="109"/>
      <c r="H645" s="109"/>
      <c r="I645" s="97"/>
      <c r="J645" s="97"/>
      <c r="K645" s="83"/>
      <c r="L645" s="111"/>
      <c r="M645" s="111"/>
      <c r="N645" s="111"/>
      <c r="O645" s="111"/>
      <c r="P645" s="111"/>
      <c r="Q645" s="111"/>
      <c r="R645" s="111"/>
    </row>
    <row r="646" spans="2:18" s="108" customFormat="1">
      <c r="B646" s="109"/>
      <c r="C646" s="110"/>
      <c r="D646" s="109"/>
      <c r="E646" s="109"/>
      <c r="F646" s="97"/>
      <c r="G646" s="109"/>
      <c r="H646" s="109"/>
      <c r="I646" s="97"/>
      <c r="J646" s="97"/>
      <c r="K646" s="83"/>
      <c r="L646" s="111"/>
      <c r="M646" s="111"/>
      <c r="N646" s="111"/>
      <c r="O646" s="111"/>
      <c r="P646" s="111"/>
      <c r="Q646" s="111"/>
      <c r="R646" s="111"/>
    </row>
    <row r="647" spans="2:18" s="108" customFormat="1">
      <c r="B647" s="109"/>
      <c r="C647" s="110"/>
      <c r="D647" s="109"/>
      <c r="E647" s="109"/>
      <c r="F647" s="97"/>
      <c r="G647" s="109"/>
      <c r="H647" s="109"/>
      <c r="I647" s="97"/>
      <c r="J647" s="97"/>
      <c r="K647" s="83"/>
      <c r="L647" s="111"/>
      <c r="M647" s="111"/>
      <c r="N647" s="111"/>
      <c r="O647" s="111"/>
      <c r="P647" s="111"/>
      <c r="Q647" s="111"/>
      <c r="R647" s="111"/>
    </row>
    <row r="648" spans="2:18" s="108" customFormat="1">
      <c r="B648" s="109"/>
      <c r="C648" s="110"/>
      <c r="D648" s="109"/>
      <c r="E648" s="109"/>
      <c r="F648" s="97"/>
      <c r="G648" s="109"/>
      <c r="H648" s="109"/>
      <c r="I648" s="97"/>
      <c r="J648" s="97"/>
      <c r="K648" s="83"/>
      <c r="L648" s="111"/>
      <c r="M648" s="111"/>
      <c r="N648" s="111"/>
      <c r="O648" s="111"/>
      <c r="P648" s="111"/>
      <c r="Q648" s="111"/>
      <c r="R648" s="111"/>
    </row>
    <row r="649" spans="2:18" s="108" customFormat="1">
      <c r="B649" s="109"/>
      <c r="C649" s="110"/>
      <c r="D649" s="109"/>
      <c r="E649" s="109"/>
      <c r="F649" s="97"/>
      <c r="G649" s="109"/>
      <c r="H649" s="109"/>
      <c r="I649" s="97"/>
      <c r="J649" s="97"/>
      <c r="K649" s="83"/>
      <c r="L649" s="111"/>
      <c r="M649" s="111"/>
      <c r="N649" s="111"/>
      <c r="O649" s="111"/>
      <c r="P649" s="111"/>
      <c r="Q649" s="111"/>
      <c r="R649" s="111"/>
    </row>
    <row r="650" spans="2:18" s="108" customFormat="1">
      <c r="B650" s="109"/>
      <c r="C650" s="110"/>
      <c r="D650" s="109"/>
      <c r="E650" s="109"/>
      <c r="F650" s="97"/>
      <c r="G650" s="109"/>
      <c r="H650" s="109"/>
      <c r="I650" s="97"/>
      <c r="J650" s="97"/>
      <c r="K650" s="83"/>
      <c r="L650" s="111"/>
      <c r="M650" s="111"/>
      <c r="N650" s="111"/>
      <c r="O650" s="111"/>
      <c r="P650" s="111"/>
      <c r="Q650" s="111"/>
      <c r="R650" s="111"/>
    </row>
    <row r="651" spans="2:18" s="108" customFormat="1">
      <c r="B651" s="109"/>
      <c r="C651" s="110"/>
      <c r="D651" s="109"/>
      <c r="E651" s="109"/>
      <c r="F651" s="97"/>
      <c r="G651" s="109"/>
      <c r="H651" s="109"/>
      <c r="I651" s="97"/>
      <c r="J651" s="97"/>
      <c r="K651" s="83"/>
      <c r="L651" s="111"/>
      <c r="M651" s="111"/>
      <c r="N651" s="111"/>
      <c r="O651" s="111"/>
      <c r="P651" s="111"/>
      <c r="Q651" s="111"/>
      <c r="R651" s="111"/>
    </row>
    <row r="652" spans="2:18" s="108" customFormat="1">
      <c r="B652" s="109"/>
      <c r="C652" s="110"/>
      <c r="D652" s="109"/>
      <c r="E652" s="109"/>
      <c r="F652" s="97"/>
      <c r="G652" s="109"/>
      <c r="H652" s="109"/>
      <c r="I652" s="97"/>
      <c r="J652" s="97"/>
      <c r="K652" s="83"/>
      <c r="L652" s="111"/>
      <c r="M652" s="111"/>
      <c r="N652" s="111"/>
      <c r="O652" s="111"/>
      <c r="P652" s="111"/>
      <c r="Q652" s="111"/>
      <c r="R652" s="111"/>
    </row>
    <row r="653" spans="2:18" s="108" customFormat="1">
      <c r="B653" s="109"/>
      <c r="C653" s="110"/>
      <c r="D653" s="109"/>
      <c r="E653" s="109"/>
      <c r="F653" s="97"/>
      <c r="G653" s="109"/>
      <c r="H653" s="109"/>
      <c r="I653" s="97"/>
      <c r="J653" s="97"/>
      <c r="K653" s="83"/>
      <c r="L653" s="111"/>
      <c r="M653" s="111"/>
      <c r="N653" s="111"/>
      <c r="O653" s="111"/>
      <c r="P653" s="111"/>
      <c r="Q653" s="111"/>
      <c r="R653" s="111"/>
    </row>
    <row r="654" spans="2:18" s="108" customFormat="1">
      <c r="B654" s="109"/>
      <c r="C654" s="110"/>
      <c r="D654" s="109"/>
      <c r="E654" s="109"/>
      <c r="F654" s="97"/>
      <c r="G654" s="109"/>
      <c r="H654" s="109"/>
      <c r="I654" s="97"/>
      <c r="J654" s="97"/>
      <c r="K654" s="83"/>
      <c r="L654" s="111"/>
      <c r="M654" s="111"/>
      <c r="N654" s="111"/>
      <c r="O654" s="111"/>
      <c r="P654" s="111"/>
      <c r="Q654" s="111"/>
      <c r="R654" s="111"/>
    </row>
    <row r="655" spans="2:18" s="108" customFormat="1">
      <c r="B655" s="109"/>
      <c r="C655" s="110"/>
      <c r="D655" s="109"/>
      <c r="E655" s="109"/>
      <c r="F655" s="97"/>
      <c r="G655" s="109"/>
      <c r="H655" s="109"/>
      <c r="I655" s="97"/>
      <c r="J655" s="97"/>
      <c r="K655" s="83"/>
      <c r="L655" s="111"/>
      <c r="M655" s="111"/>
      <c r="N655" s="111"/>
      <c r="O655" s="111"/>
      <c r="P655" s="111"/>
      <c r="Q655" s="111"/>
      <c r="R655" s="111"/>
    </row>
    <row r="656" spans="2:18" s="108" customFormat="1">
      <c r="B656" s="109"/>
      <c r="C656" s="110"/>
      <c r="D656" s="109"/>
      <c r="E656" s="109"/>
      <c r="F656" s="97"/>
      <c r="G656" s="109"/>
      <c r="H656" s="109"/>
      <c r="I656" s="97"/>
      <c r="J656" s="97"/>
      <c r="K656" s="83"/>
      <c r="L656" s="111"/>
      <c r="M656" s="111"/>
      <c r="N656" s="111"/>
      <c r="O656" s="111"/>
      <c r="P656" s="111"/>
      <c r="Q656" s="111"/>
      <c r="R656" s="111"/>
    </row>
    <row r="657" spans="2:18" s="108" customFormat="1">
      <c r="B657" s="109"/>
      <c r="C657" s="110"/>
      <c r="D657" s="109"/>
      <c r="E657" s="109"/>
      <c r="F657" s="97"/>
      <c r="G657" s="109"/>
      <c r="H657" s="109"/>
      <c r="I657" s="97"/>
      <c r="J657" s="97"/>
      <c r="K657" s="83"/>
      <c r="L657" s="111"/>
      <c r="M657" s="111"/>
      <c r="N657" s="111"/>
      <c r="O657" s="111"/>
      <c r="P657" s="111"/>
      <c r="Q657" s="111"/>
      <c r="R657" s="111"/>
    </row>
    <row r="658" spans="2:18" s="108" customFormat="1">
      <c r="B658" s="109"/>
      <c r="C658" s="110"/>
      <c r="D658" s="109"/>
      <c r="E658" s="109"/>
      <c r="F658" s="97"/>
      <c r="G658" s="109"/>
      <c r="H658" s="109"/>
      <c r="I658" s="97"/>
      <c r="J658" s="97"/>
      <c r="K658" s="83"/>
      <c r="L658" s="111"/>
      <c r="M658" s="111"/>
      <c r="N658" s="111"/>
      <c r="O658" s="111"/>
      <c r="P658" s="111"/>
      <c r="Q658" s="111"/>
      <c r="R658" s="111"/>
    </row>
    <row r="659" spans="2:18" s="108" customFormat="1">
      <c r="B659" s="109"/>
      <c r="C659" s="110"/>
      <c r="D659" s="109"/>
      <c r="E659" s="109"/>
      <c r="F659" s="97"/>
      <c r="G659" s="109"/>
      <c r="H659" s="109"/>
      <c r="I659" s="97"/>
      <c r="J659" s="97"/>
      <c r="K659" s="83"/>
      <c r="L659" s="111"/>
      <c r="M659" s="111"/>
      <c r="N659" s="111"/>
      <c r="O659" s="111"/>
      <c r="P659" s="111"/>
      <c r="Q659" s="111"/>
      <c r="R659" s="111"/>
    </row>
    <row r="660" spans="2:18" s="108" customFormat="1">
      <c r="B660" s="109"/>
      <c r="C660" s="110"/>
      <c r="D660" s="109"/>
      <c r="E660" s="109"/>
      <c r="F660" s="97"/>
      <c r="G660" s="109"/>
      <c r="H660" s="109"/>
      <c r="I660" s="97"/>
      <c r="J660" s="97"/>
      <c r="K660" s="83"/>
      <c r="L660" s="111"/>
      <c r="M660" s="111"/>
      <c r="N660" s="111"/>
      <c r="O660" s="111"/>
      <c r="P660" s="111"/>
      <c r="Q660" s="111"/>
      <c r="R660" s="111"/>
    </row>
    <row r="661" spans="2:18" s="108" customFormat="1">
      <c r="B661" s="109"/>
      <c r="C661" s="110"/>
      <c r="D661" s="109"/>
      <c r="E661" s="109"/>
      <c r="F661" s="97"/>
      <c r="G661" s="109"/>
      <c r="H661" s="109"/>
      <c r="I661" s="97"/>
      <c r="J661" s="97"/>
      <c r="K661" s="83"/>
      <c r="L661" s="111"/>
      <c r="M661" s="111"/>
      <c r="N661" s="111"/>
      <c r="O661" s="111"/>
      <c r="P661" s="111"/>
      <c r="Q661" s="111"/>
      <c r="R661" s="111"/>
    </row>
    <row r="662" spans="2:18" s="108" customFormat="1">
      <c r="B662" s="109"/>
      <c r="C662" s="110"/>
      <c r="D662" s="109"/>
      <c r="E662" s="109"/>
      <c r="F662" s="97"/>
      <c r="G662" s="109"/>
      <c r="H662" s="109"/>
      <c r="I662" s="97"/>
      <c r="J662" s="97"/>
      <c r="K662" s="83"/>
      <c r="L662" s="111"/>
      <c r="M662" s="111"/>
      <c r="N662" s="111"/>
      <c r="O662" s="111"/>
      <c r="P662" s="111"/>
      <c r="Q662" s="111"/>
      <c r="R662" s="111"/>
    </row>
    <row r="663" spans="2:18" s="108" customFormat="1">
      <c r="B663" s="109"/>
      <c r="C663" s="110"/>
      <c r="D663" s="109"/>
      <c r="E663" s="109"/>
      <c r="F663" s="97"/>
      <c r="G663" s="109"/>
      <c r="H663" s="109"/>
      <c r="I663" s="97"/>
      <c r="J663" s="97"/>
      <c r="K663" s="83"/>
      <c r="L663" s="111"/>
      <c r="M663" s="111"/>
      <c r="N663" s="111"/>
      <c r="O663" s="111"/>
      <c r="P663" s="111"/>
      <c r="Q663" s="111"/>
      <c r="R663" s="111"/>
    </row>
    <row r="664" spans="2:18" s="108" customFormat="1">
      <c r="B664" s="109"/>
      <c r="C664" s="110"/>
      <c r="D664" s="109"/>
      <c r="E664" s="109"/>
      <c r="F664" s="97"/>
      <c r="G664" s="109"/>
      <c r="H664" s="109"/>
      <c r="I664" s="97"/>
      <c r="J664" s="97"/>
      <c r="K664" s="83"/>
      <c r="L664" s="111"/>
      <c r="M664" s="111"/>
      <c r="N664" s="111"/>
      <c r="O664" s="111"/>
      <c r="P664" s="111"/>
      <c r="Q664" s="111"/>
      <c r="R664" s="111"/>
    </row>
    <row r="665" spans="2:18" s="108" customFormat="1">
      <c r="B665" s="109"/>
      <c r="C665" s="110"/>
      <c r="D665" s="109"/>
      <c r="E665" s="109"/>
      <c r="F665" s="97"/>
      <c r="G665" s="109"/>
      <c r="H665" s="109"/>
      <c r="I665" s="97"/>
      <c r="J665" s="97"/>
      <c r="K665" s="83"/>
      <c r="L665" s="111"/>
      <c r="M665" s="111"/>
      <c r="N665" s="111"/>
      <c r="O665" s="111"/>
      <c r="P665" s="111"/>
      <c r="Q665" s="111"/>
      <c r="R665" s="111"/>
    </row>
    <row r="666" spans="2:18" s="108" customFormat="1">
      <c r="B666" s="109"/>
      <c r="C666" s="110"/>
      <c r="D666" s="109"/>
      <c r="E666" s="109"/>
      <c r="F666" s="97"/>
      <c r="G666" s="109"/>
      <c r="H666" s="109"/>
      <c r="I666" s="97"/>
      <c r="J666" s="97"/>
      <c r="K666" s="83"/>
      <c r="L666" s="111"/>
      <c r="M666" s="111"/>
      <c r="N666" s="111"/>
      <c r="O666" s="111"/>
      <c r="P666" s="111"/>
      <c r="Q666" s="111"/>
      <c r="R666" s="111"/>
    </row>
    <row r="667" spans="2:18" s="108" customFormat="1">
      <c r="B667" s="109"/>
      <c r="C667" s="110"/>
      <c r="D667" s="109"/>
      <c r="E667" s="109"/>
      <c r="F667" s="97"/>
      <c r="G667" s="109"/>
      <c r="H667" s="109"/>
      <c r="I667" s="97"/>
      <c r="J667" s="97"/>
      <c r="K667" s="83"/>
      <c r="L667" s="111"/>
      <c r="M667" s="111"/>
      <c r="N667" s="111"/>
      <c r="O667" s="111"/>
      <c r="P667" s="111"/>
      <c r="Q667" s="111"/>
      <c r="R667" s="111"/>
    </row>
    <row r="668" spans="2:18" s="108" customFormat="1">
      <c r="B668" s="109"/>
      <c r="C668" s="110"/>
      <c r="D668" s="109"/>
      <c r="E668" s="109"/>
      <c r="F668" s="97"/>
      <c r="G668" s="109"/>
      <c r="H668" s="109"/>
      <c r="I668" s="97"/>
      <c r="J668" s="97"/>
      <c r="K668" s="83"/>
      <c r="L668" s="111"/>
      <c r="M668" s="111"/>
      <c r="N668" s="111"/>
      <c r="O668" s="111"/>
      <c r="P668" s="111"/>
      <c r="Q668" s="111"/>
      <c r="R668" s="111"/>
    </row>
    <row r="669" spans="2:18" s="108" customFormat="1">
      <c r="B669" s="109"/>
      <c r="C669" s="110"/>
      <c r="D669" s="109"/>
      <c r="E669" s="109"/>
      <c r="F669" s="97"/>
      <c r="G669" s="109"/>
      <c r="H669" s="109"/>
      <c r="I669" s="97"/>
      <c r="J669" s="97"/>
      <c r="K669" s="83"/>
      <c r="L669" s="111"/>
      <c r="M669" s="111"/>
      <c r="N669" s="111"/>
      <c r="O669" s="111"/>
      <c r="P669" s="111"/>
      <c r="Q669" s="111"/>
      <c r="R669" s="111"/>
    </row>
    <row r="670" spans="2:18" s="108" customFormat="1">
      <c r="B670" s="109"/>
      <c r="C670" s="110"/>
      <c r="D670" s="109"/>
      <c r="E670" s="109"/>
      <c r="F670" s="97"/>
      <c r="G670" s="109"/>
      <c r="H670" s="109"/>
      <c r="I670" s="97"/>
      <c r="J670" s="97"/>
      <c r="K670" s="83"/>
      <c r="L670" s="111"/>
      <c r="M670" s="111"/>
      <c r="N670" s="111"/>
      <c r="O670" s="111"/>
      <c r="P670" s="111"/>
      <c r="Q670" s="111"/>
      <c r="R670" s="111"/>
    </row>
    <row r="671" spans="2:18" s="108" customFormat="1">
      <c r="B671" s="109"/>
      <c r="C671" s="110"/>
      <c r="D671" s="109"/>
      <c r="E671" s="109"/>
      <c r="F671" s="97"/>
      <c r="G671" s="109"/>
      <c r="H671" s="109"/>
      <c r="I671" s="97"/>
      <c r="J671" s="97"/>
      <c r="K671" s="83"/>
      <c r="L671" s="111"/>
      <c r="M671" s="111"/>
      <c r="N671" s="111"/>
      <c r="O671" s="111"/>
      <c r="P671" s="111"/>
      <c r="Q671" s="111"/>
      <c r="R671" s="111"/>
    </row>
    <row r="672" spans="2:18" s="108" customFormat="1">
      <c r="B672" s="109"/>
      <c r="C672" s="110"/>
      <c r="D672" s="109"/>
      <c r="E672" s="109"/>
      <c r="F672" s="97"/>
      <c r="G672" s="109"/>
      <c r="H672" s="109"/>
      <c r="I672" s="97"/>
      <c r="J672" s="97"/>
      <c r="K672" s="83"/>
      <c r="L672" s="111"/>
      <c r="M672" s="111"/>
      <c r="N672" s="111"/>
      <c r="O672" s="111"/>
      <c r="P672" s="111"/>
      <c r="Q672" s="111"/>
      <c r="R672" s="111"/>
    </row>
    <row r="673" spans="2:18" s="108" customFormat="1">
      <c r="B673" s="109"/>
      <c r="C673" s="110"/>
      <c r="D673" s="109"/>
      <c r="E673" s="109"/>
      <c r="F673" s="97"/>
      <c r="G673" s="109"/>
      <c r="H673" s="109"/>
      <c r="I673" s="97"/>
      <c r="J673" s="97"/>
      <c r="K673" s="83"/>
      <c r="L673" s="111"/>
      <c r="M673" s="111"/>
      <c r="N673" s="111"/>
      <c r="O673" s="111"/>
      <c r="P673" s="111"/>
      <c r="Q673" s="111"/>
      <c r="R673" s="111"/>
    </row>
    <row r="674" spans="2:18" s="108" customFormat="1">
      <c r="B674" s="109"/>
      <c r="C674" s="110"/>
      <c r="D674" s="109"/>
      <c r="E674" s="109"/>
      <c r="F674" s="97"/>
      <c r="G674" s="109"/>
      <c r="H674" s="109"/>
      <c r="I674" s="97"/>
      <c r="J674" s="97"/>
      <c r="K674" s="83"/>
      <c r="L674" s="111"/>
      <c r="M674" s="111"/>
      <c r="N674" s="111"/>
      <c r="O674" s="111"/>
      <c r="P674" s="111"/>
      <c r="Q674" s="111"/>
      <c r="R674" s="111"/>
    </row>
    <row r="675" spans="2:18" s="108" customFormat="1">
      <c r="B675" s="109"/>
      <c r="C675" s="110"/>
      <c r="D675" s="109"/>
      <c r="E675" s="109"/>
      <c r="F675" s="97"/>
      <c r="G675" s="109"/>
      <c r="H675" s="109"/>
      <c r="I675" s="97"/>
      <c r="J675" s="97"/>
      <c r="K675" s="83"/>
      <c r="L675" s="111"/>
      <c r="M675" s="111"/>
      <c r="N675" s="111"/>
      <c r="O675" s="111"/>
      <c r="P675" s="111"/>
      <c r="Q675" s="111"/>
      <c r="R675" s="111"/>
    </row>
    <row r="676" spans="2:18" s="108" customFormat="1">
      <c r="B676" s="109"/>
      <c r="C676" s="110"/>
      <c r="D676" s="109"/>
      <c r="E676" s="109"/>
      <c r="F676" s="97"/>
      <c r="G676" s="109"/>
      <c r="H676" s="109"/>
      <c r="I676" s="97"/>
      <c r="J676" s="97"/>
      <c r="K676" s="83"/>
      <c r="L676" s="111"/>
      <c r="M676" s="111"/>
      <c r="N676" s="111"/>
      <c r="O676" s="111"/>
      <c r="P676" s="111"/>
      <c r="Q676" s="111"/>
      <c r="R676" s="111"/>
    </row>
    <row r="677" spans="2:18" s="108" customFormat="1">
      <c r="B677" s="109"/>
      <c r="C677" s="110"/>
      <c r="D677" s="109"/>
      <c r="E677" s="109"/>
      <c r="F677" s="97"/>
      <c r="G677" s="109"/>
      <c r="H677" s="109"/>
      <c r="I677" s="97"/>
      <c r="J677" s="97"/>
      <c r="K677" s="83"/>
      <c r="L677" s="111"/>
      <c r="M677" s="111"/>
      <c r="N677" s="111"/>
      <c r="O677" s="111"/>
      <c r="P677" s="111"/>
      <c r="Q677" s="111"/>
      <c r="R677" s="111"/>
    </row>
    <row r="678" spans="2:18" s="108" customFormat="1">
      <c r="B678" s="109"/>
      <c r="C678" s="110"/>
      <c r="D678" s="109"/>
      <c r="E678" s="109"/>
      <c r="F678" s="97"/>
      <c r="G678" s="109"/>
      <c r="H678" s="109"/>
      <c r="I678" s="97"/>
      <c r="J678" s="97"/>
      <c r="K678" s="83"/>
      <c r="L678" s="111"/>
      <c r="M678" s="111"/>
      <c r="N678" s="111"/>
      <c r="O678" s="111"/>
      <c r="P678" s="111"/>
      <c r="Q678" s="111"/>
      <c r="R678" s="111"/>
    </row>
    <row r="679" spans="2:18" s="108" customFormat="1">
      <c r="B679" s="109"/>
      <c r="C679" s="110"/>
      <c r="D679" s="109"/>
      <c r="E679" s="109"/>
      <c r="F679" s="97"/>
      <c r="G679" s="109"/>
      <c r="H679" s="109"/>
      <c r="I679" s="97"/>
      <c r="J679" s="97"/>
      <c r="K679" s="83"/>
      <c r="L679" s="111"/>
      <c r="M679" s="111"/>
      <c r="N679" s="111"/>
      <c r="O679" s="111"/>
      <c r="P679" s="111"/>
      <c r="Q679" s="111"/>
      <c r="R679" s="111"/>
    </row>
    <row r="680" spans="2:18" s="108" customFormat="1">
      <c r="B680" s="109"/>
      <c r="C680" s="110"/>
      <c r="D680" s="109"/>
      <c r="E680" s="109"/>
      <c r="F680" s="97"/>
      <c r="G680" s="109"/>
      <c r="H680" s="109"/>
      <c r="I680" s="97"/>
      <c r="J680" s="97"/>
      <c r="K680" s="83"/>
      <c r="L680" s="111"/>
      <c r="M680" s="111"/>
      <c r="N680" s="111"/>
      <c r="O680" s="111"/>
      <c r="P680" s="111"/>
      <c r="Q680" s="111"/>
      <c r="R680" s="111"/>
    </row>
    <row r="681" spans="2:18" s="108" customFormat="1">
      <c r="B681" s="109"/>
      <c r="C681" s="110"/>
      <c r="D681" s="109"/>
      <c r="E681" s="109"/>
      <c r="F681" s="97"/>
      <c r="G681" s="109"/>
      <c r="H681" s="109"/>
      <c r="I681" s="97"/>
      <c r="J681" s="97"/>
      <c r="K681" s="83"/>
      <c r="L681" s="111"/>
      <c r="M681" s="111"/>
      <c r="N681" s="111"/>
      <c r="O681" s="111"/>
      <c r="P681" s="111"/>
      <c r="Q681" s="111"/>
      <c r="R681" s="111"/>
    </row>
    <row r="682" spans="2:18" s="108" customFormat="1">
      <c r="B682" s="109"/>
      <c r="C682" s="110"/>
      <c r="D682" s="109"/>
      <c r="E682" s="109"/>
      <c r="F682" s="97"/>
      <c r="G682" s="109"/>
      <c r="H682" s="109"/>
      <c r="I682" s="97"/>
      <c r="J682" s="97"/>
      <c r="K682" s="83"/>
      <c r="L682" s="111"/>
      <c r="M682" s="111"/>
      <c r="N682" s="111"/>
      <c r="O682" s="111"/>
      <c r="P682" s="111"/>
      <c r="Q682" s="111"/>
      <c r="R682" s="111"/>
    </row>
    <row r="683" spans="2:18" s="108" customFormat="1">
      <c r="B683" s="109"/>
      <c r="C683" s="110"/>
      <c r="D683" s="109"/>
      <c r="E683" s="109"/>
      <c r="F683" s="97"/>
      <c r="G683" s="109"/>
      <c r="H683" s="109"/>
      <c r="I683" s="97"/>
      <c r="J683" s="97"/>
      <c r="K683" s="83"/>
      <c r="L683" s="111"/>
      <c r="M683" s="111"/>
      <c r="N683" s="111"/>
      <c r="O683" s="111"/>
      <c r="P683" s="111"/>
      <c r="Q683" s="111"/>
      <c r="R683" s="111"/>
    </row>
    <row r="684" spans="2:18" s="108" customFormat="1">
      <c r="B684" s="109"/>
      <c r="C684" s="110"/>
      <c r="D684" s="109"/>
      <c r="E684" s="109"/>
      <c r="F684" s="97"/>
      <c r="G684" s="109"/>
      <c r="H684" s="109"/>
      <c r="I684" s="97"/>
      <c r="J684" s="97"/>
      <c r="K684" s="83"/>
      <c r="L684" s="111"/>
      <c r="M684" s="111"/>
      <c r="N684" s="111"/>
      <c r="O684" s="111"/>
      <c r="P684" s="111"/>
      <c r="Q684" s="111"/>
      <c r="R684" s="111"/>
    </row>
    <row r="685" spans="2:18" s="108" customFormat="1">
      <c r="B685" s="109"/>
      <c r="C685" s="110"/>
      <c r="D685" s="109"/>
      <c r="E685" s="109"/>
      <c r="F685" s="97"/>
      <c r="G685" s="109"/>
      <c r="H685" s="109"/>
      <c r="I685" s="97"/>
      <c r="J685" s="97"/>
      <c r="K685" s="83"/>
      <c r="L685" s="111"/>
      <c r="M685" s="111"/>
      <c r="N685" s="111"/>
      <c r="O685" s="111"/>
      <c r="P685" s="111"/>
      <c r="Q685" s="111"/>
      <c r="R685" s="111"/>
    </row>
    <row r="686" spans="2:18" s="108" customFormat="1">
      <c r="B686" s="109"/>
      <c r="C686" s="110"/>
      <c r="D686" s="109"/>
      <c r="E686" s="109"/>
      <c r="F686" s="97"/>
      <c r="G686" s="109"/>
      <c r="H686" s="109"/>
      <c r="I686" s="97"/>
      <c r="J686" s="97"/>
      <c r="K686" s="83"/>
      <c r="L686" s="111"/>
      <c r="M686" s="111"/>
      <c r="N686" s="111"/>
      <c r="O686" s="111"/>
      <c r="P686" s="111"/>
      <c r="Q686" s="111"/>
      <c r="R686" s="111"/>
    </row>
    <row r="687" spans="2:18" s="108" customFormat="1">
      <c r="B687" s="109"/>
      <c r="C687" s="110"/>
      <c r="D687" s="109"/>
      <c r="E687" s="109"/>
      <c r="F687" s="97"/>
      <c r="G687" s="109"/>
      <c r="H687" s="109"/>
      <c r="I687" s="97"/>
      <c r="J687" s="97"/>
      <c r="K687" s="83"/>
      <c r="L687" s="111"/>
      <c r="M687" s="111"/>
      <c r="N687" s="111"/>
      <c r="O687" s="111"/>
      <c r="P687" s="111"/>
      <c r="Q687" s="111"/>
      <c r="R687" s="111"/>
    </row>
    <row r="688" spans="2:18" s="108" customFormat="1">
      <c r="B688" s="109"/>
      <c r="C688" s="110"/>
      <c r="D688" s="109"/>
      <c r="E688" s="109"/>
      <c r="F688" s="97"/>
      <c r="G688" s="109"/>
      <c r="H688" s="109"/>
      <c r="I688" s="97"/>
      <c r="J688" s="97"/>
      <c r="K688" s="83"/>
      <c r="L688" s="111"/>
      <c r="M688" s="111"/>
      <c r="N688" s="111"/>
      <c r="O688" s="111"/>
      <c r="P688" s="111"/>
      <c r="Q688" s="111"/>
      <c r="R688" s="111"/>
    </row>
    <row r="689" spans="2:18" s="108" customFormat="1">
      <c r="B689" s="109"/>
      <c r="C689" s="110"/>
      <c r="D689" s="109"/>
      <c r="E689" s="109"/>
      <c r="F689" s="97"/>
      <c r="G689" s="109"/>
      <c r="H689" s="109"/>
      <c r="I689" s="97"/>
      <c r="J689" s="97"/>
      <c r="K689" s="83"/>
      <c r="L689" s="111"/>
      <c r="M689" s="111"/>
      <c r="N689" s="111"/>
      <c r="O689" s="111"/>
      <c r="P689" s="111"/>
      <c r="Q689" s="111"/>
      <c r="R689" s="111"/>
    </row>
    <row r="690" spans="2:18" s="108" customFormat="1">
      <c r="B690" s="109"/>
      <c r="C690" s="110"/>
      <c r="D690" s="109"/>
      <c r="E690" s="109"/>
      <c r="F690" s="97"/>
      <c r="G690" s="109"/>
      <c r="H690" s="109"/>
      <c r="I690" s="97"/>
      <c r="J690" s="97"/>
      <c r="K690" s="83"/>
      <c r="L690" s="111"/>
      <c r="M690" s="111"/>
      <c r="N690" s="111"/>
      <c r="O690" s="111"/>
      <c r="P690" s="111"/>
      <c r="Q690" s="111"/>
      <c r="R690" s="111"/>
    </row>
    <row r="691" spans="2:18" s="108" customFormat="1">
      <c r="B691" s="109"/>
      <c r="C691" s="110"/>
      <c r="D691" s="109"/>
      <c r="E691" s="109"/>
      <c r="F691" s="97"/>
      <c r="G691" s="109"/>
      <c r="H691" s="109"/>
      <c r="I691" s="97"/>
      <c r="J691" s="97"/>
      <c r="K691" s="83"/>
      <c r="L691" s="111"/>
      <c r="M691" s="111"/>
      <c r="N691" s="111"/>
      <c r="O691" s="111"/>
      <c r="P691" s="111"/>
      <c r="Q691" s="111"/>
      <c r="R691" s="111"/>
    </row>
    <row r="692" spans="2:18" s="108" customFormat="1">
      <c r="B692" s="109"/>
      <c r="C692" s="110"/>
      <c r="D692" s="109"/>
      <c r="E692" s="109"/>
      <c r="F692" s="97"/>
      <c r="G692" s="109"/>
      <c r="H692" s="109"/>
      <c r="I692" s="97"/>
      <c r="J692" s="97"/>
      <c r="K692" s="83"/>
      <c r="L692" s="111"/>
      <c r="M692" s="111"/>
      <c r="N692" s="111"/>
      <c r="O692" s="111"/>
      <c r="P692" s="111"/>
      <c r="Q692" s="111"/>
      <c r="R692" s="111"/>
    </row>
    <row r="693" spans="2:18" s="108" customFormat="1">
      <c r="B693" s="109"/>
      <c r="C693" s="110"/>
      <c r="D693" s="109"/>
      <c r="E693" s="109"/>
      <c r="F693" s="97"/>
      <c r="G693" s="109"/>
      <c r="H693" s="109"/>
      <c r="I693" s="97"/>
      <c r="J693" s="97"/>
      <c r="K693" s="83"/>
      <c r="L693" s="111"/>
      <c r="M693" s="111"/>
      <c r="N693" s="111"/>
      <c r="O693" s="111"/>
      <c r="P693" s="111"/>
      <c r="Q693" s="111"/>
      <c r="R693" s="111"/>
    </row>
    <row r="694" spans="2:18" s="108" customFormat="1">
      <c r="B694" s="109"/>
      <c r="C694" s="110"/>
      <c r="D694" s="109"/>
      <c r="E694" s="109"/>
      <c r="F694" s="97"/>
      <c r="G694" s="109"/>
      <c r="H694" s="109"/>
      <c r="I694" s="97"/>
      <c r="J694" s="97"/>
      <c r="K694" s="83"/>
      <c r="L694" s="111"/>
      <c r="M694" s="111"/>
      <c r="N694" s="111"/>
      <c r="O694" s="111"/>
      <c r="P694" s="111"/>
      <c r="Q694" s="111"/>
      <c r="R694" s="111"/>
    </row>
    <row r="695" spans="2:18" s="108" customFormat="1">
      <c r="B695" s="109"/>
      <c r="C695" s="110"/>
      <c r="D695" s="109"/>
      <c r="E695" s="109"/>
      <c r="F695" s="97"/>
      <c r="G695" s="109"/>
      <c r="H695" s="109"/>
      <c r="I695" s="97"/>
      <c r="J695" s="97"/>
      <c r="K695" s="83"/>
      <c r="L695" s="111"/>
      <c r="M695" s="111"/>
      <c r="N695" s="111"/>
      <c r="O695" s="111"/>
      <c r="P695" s="111"/>
      <c r="Q695" s="111"/>
      <c r="R695" s="111"/>
    </row>
    <row r="696" spans="2:18" s="108" customFormat="1">
      <c r="B696" s="109"/>
      <c r="C696" s="110"/>
      <c r="D696" s="109"/>
      <c r="E696" s="109"/>
      <c r="F696" s="97"/>
      <c r="G696" s="109"/>
      <c r="H696" s="109"/>
      <c r="I696" s="97"/>
      <c r="J696" s="97"/>
      <c r="K696" s="83"/>
      <c r="L696" s="111"/>
      <c r="M696" s="111"/>
      <c r="N696" s="111"/>
      <c r="O696" s="111"/>
      <c r="P696" s="111"/>
      <c r="Q696" s="111"/>
      <c r="R696" s="111"/>
    </row>
    <row r="697" spans="2:18" s="108" customFormat="1">
      <c r="B697" s="109"/>
      <c r="C697" s="110"/>
      <c r="D697" s="109"/>
      <c r="E697" s="109"/>
      <c r="F697" s="97"/>
      <c r="G697" s="109"/>
      <c r="H697" s="109"/>
      <c r="I697" s="97"/>
      <c r="J697" s="97"/>
      <c r="K697" s="83"/>
      <c r="L697" s="111"/>
      <c r="M697" s="111"/>
      <c r="N697" s="111"/>
      <c r="O697" s="111"/>
      <c r="P697" s="111"/>
      <c r="Q697" s="111"/>
      <c r="R697" s="111"/>
    </row>
    <row r="698" spans="2:18" s="108" customFormat="1">
      <c r="B698" s="109"/>
      <c r="C698" s="110"/>
      <c r="D698" s="109"/>
      <c r="E698" s="109"/>
      <c r="F698" s="97"/>
      <c r="G698" s="109"/>
      <c r="H698" s="109"/>
      <c r="I698" s="97"/>
      <c r="J698" s="97"/>
      <c r="K698" s="83"/>
      <c r="L698" s="111"/>
      <c r="M698" s="111"/>
      <c r="N698" s="111"/>
      <c r="O698" s="111"/>
      <c r="P698" s="111"/>
      <c r="Q698" s="111"/>
      <c r="R698" s="111"/>
    </row>
    <row r="699" spans="2:18" s="108" customFormat="1">
      <c r="B699" s="109"/>
      <c r="C699" s="110"/>
      <c r="D699" s="109"/>
      <c r="E699" s="109"/>
      <c r="F699" s="97"/>
      <c r="G699" s="109"/>
      <c r="H699" s="109"/>
      <c r="I699" s="97"/>
      <c r="J699" s="97"/>
      <c r="K699" s="83"/>
      <c r="L699" s="111"/>
      <c r="M699" s="111"/>
      <c r="N699" s="111"/>
      <c r="O699" s="111"/>
      <c r="P699" s="111"/>
      <c r="Q699" s="111"/>
      <c r="R699" s="111"/>
    </row>
    <row r="700" spans="2:18" s="108" customFormat="1">
      <c r="B700" s="109"/>
      <c r="C700" s="110"/>
      <c r="D700" s="109"/>
      <c r="E700" s="109"/>
      <c r="F700" s="97"/>
      <c r="G700" s="109"/>
      <c r="H700" s="109"/>
      <c r="I700" s="97"/>
      <c r="J700" s="97"/>
      <c r="K700" s="83"/>
      <c r="L700" s="111"/>
      <c r="M700" s="111"/>
      <c r="N700" s="111"/>
      <c r="O700" s="111"/>
      <c r="P700" s="111"/>
      <c r="Q700" s="111"/>
      <c r="R700" s="111"/>
    </row>
    <row r="701" spans="2:18" s="108" customFormat="1">
      <c r="B701" s="109"/>
      <c r="C701" s="110"/>
      <c r="D701" s="109"/>
      <c r="E701" s="109"/>
      <c r="F701" s="97"/>
      <c r="G701" s="109"/>
      <c r="H701" s="109"/>
      <c r="I701" s="97"/>
      <c r="J701" s="97"/>
      <c r="K701" s="83"/>
      <c r="L701" s="111"/>
      <c r="M701" s="111"/>
      <c r="N701" s="111"/>
      <c r="O701" s="111"/>
      <c r="P701" s="111"/>
      <c r="Q701" s="111"/>
      <c r="R701" s="111"/>
    </row>
    <row r="702" spans="2:18" s="108" customFormat="1">
      <c r="B702" s="109"/>
      <c r="C702" s="110"/>
      <c r="D702" s="109"/>
      <c r="E702" s="109"/>
      <c r="F702" s="97"/>
      <c r="G702" s="109"/>
      <c r="H702" s="109"/>
      <c r="I702" s="97"/>
      <c r="J702" s="97"/>
      <c r="K702" s="83"/>
      <c r="L702" s="111"/>
      <c r="M702" s="111"/>
      <c r="N702" s="111"/>
      <c r="O702" s="111"/>
      <c r="P702" s="111"/>
      <c r="Q702" s="111"/>
      <c r="R702" s="111"/>
    </row>
    <row r="703" spans="2:18" s="108" customFormat="1">
      <c r="B703" s="109"/>
      <c r="C703" s="110"/>
      <c r="D703" s="109"/>
      <c r="E703" s="109"/>
      <c r="F703" s="97"/>
      <c r="G703" s="109"/>
      <c r="H703" s="109"/>
      <c r="I703" s="97"/>
      <c r="J703" s="97"/>
      <c r="K703" s="83"/>
      <c r="L703" s="111"/>
      <c r="M703" s="111"/>
      <c r="N703" s="111"/>
      <c r="O703" s="111"/>
      <c r="P703" s="111"/>
      <c r="Q703" s="111"/>
      <c r="R703" s="111"/>
    </row>
    <row r="704" spans="2:18" s="108" customFormat="1">
      <c r="B704" s="109"/>
      <c r="C704" s="110"/>
      <c r="D704" s="109"/>
      <c r="E704" s="109"/>
      <c r="F704" s="97"/>
      <c r="G704" s="109"/>
      <c r="H704" s="109"/>
      <c r="I704" s="97"/>
      <c r="J704" s="97"/>
      <c r="K704" s="83"/>
      <c r="L704" s="111"/>
      <c r="M704" s="111"/>
      <c r="N704" s="111"/>
      <c r="O704" s="111"/>
      <c r="P704" s="111"/>
      <c r="Q704" s="111"/>
      <c r="R704" s="111"/>
    </row>
    <row r="705" spans="2:18" s="108" customFormat="1">
      <c r="B705" s="109"/>
      <c r="C705" s="110"/>
      <c r="D705" s="109"/>
      <c r="E705" s="109"/>
      <c r="F705" s="97"/>
      <c r="G705" s="109"/>
      <c r="H705" s="109"/>
      <c r="I705" s="97"/>
      <c r="J705" s="97"/>
      <c r="K705" s="83"/>
      <c r="L705" s="111"/>
      <c r="M705" s="111"/>
      <c r="N705" s="111"/>
      <c r="O705" s="111"/>
      <c r="P705" s="111"/>
      <c r="Q705" s="111"/>
      <c r="R705" s="111"/>
    </row>
    <row r="706" spans="2:18" s="108" customFormat="1">
      <c r="B706" s="109"/>
      <c r="C706" s="110"/>
      <c r="D706" s="109"/>
      <c r="E706" s="109"/>
      <c r="F706" s="97"/>
      <c r="G706" s="109"/>
      <c r="H706" s="109"/>
      <c r="I706" s="97"/>
      <c r="J706" s="97"/>
      <c r="K706" s="83"/>
      <c r="L706" s="111"/>
      <c r="M706" s="111"/>
      <c r="N706" s="111"/>
      <c r="O706" s="111"/>
      <c r="P706" s="111"/>
      <c r="Q706" s="111"/>
      <c r="R706" s="111"/>
    </row>
    <row r="707" spans="2:18" s="108" customFormat="1">
      <c r="B707" s="109"/>
      <c r="C707" s="110"/>
      <c r="D707" s="109"/>
      <c r="E707" s="109"/>
      <c r="F707" s="97"/>
      <c r="G707" s="109"/>
      <c r="H707" s="109"/>
      <c r="I707" s="97"/>
      <c r="J707" s="97"/>
      <c r="K707" s="83"/>
      <c r="L707" s="111"/>
      <c r="M707" s="111"/>
      <c r="N707" s="111"/>
      <c r="O707" s="111"/>
      <c r="P707" s="111"/>
      <c r="Q707" s="111"/>
      <c r="R707" s="111"/>
    </row>
    <row r="708" spans="2:18" s="108" customFormat="1">
      <c r="B708" s="109"/>
      <c r="C708" s="110"/>
      <c r="D708" s="109"/>
      <c r="E708" s="109"/>
      <c r="F708" s="97"/>
      <c r="G708" s="109"/>
      <c r="H708" s="109"/>
      <c r="I708" s="97"/>
      <c r="J708" s="97"/>
      <c r="K708" s="83"/>
      <c r="L708" s="111"/>
      <c r="M708" s="111"/>
      <c r="N708" s="111"/>
      <c r="O708" s="111"/>
      <c r="P708" s="111"/>
      <c r="Q708" s="111"/>
      <c r="R708" s="111"/>
    </row>
    <row r="709" spans="2:18" s="108" customFormat="1">
      <c r="B709" s="109"/>
      <c r="C709" s="110"/>
      <c r="D709" s="109"/>
      <c r="E709" s="109"/>
      <c r="F709" s="97"/>
      <c r="G709" s="109"/>
      <c r="H709" s="109"/>
      <c r="I709" s="97"/>
      <c r="J709" s="97"/>
      <c r="K709" s="83"/>
      <c r="L709" s="111"/>
      <c r="M709" s="111"/>
      <c r="N709" s="111"/>
      <c r="O709" s="111"/>
      <c r="P709" s="111"/>
      <c r="Q709" s="111"/>
      <c r="R709" s="111"/>
    </row>
    <row r="710" spans="2:18" s="108" customFormat="1">
      <c r="B710" s="109"/>
      <c r="C710" s="110"/>
      <c r="D710" s="109"/>
      <c r="E710" s="109"/>
      <c r="F710" s="97"/>
      <c r="G710" s="109"/>
      <c r="H710" s="109"/>
      <c r="I710" s="97"/>
      <c r="J710" s="97"/>
      <c r="K710" s="83"/>
      <c r="L710" s="111"/>
      <c r="M710" s="111"/>
      <c r="N710" s="111"/>
      <c r="O710" s="111"/>
      <c r="P710" s="111"/>
      <c r="Q710" s="111"/>
      <c r="R710" s="111"/>
    </row>
    <row r="711" spans="2:18" s="108" customFormat="1">
      <c r="B711" s="109"/>
      <c r="C711" s="110"/>
      <c r="D711" s="109"/>
      <c r="E711" s="109"/>
      <c r="F711" s="97"/>
      <c r="G711" s="109"/>
      <c r="H711" s="109"/>
      <c r="I711" s="97"/>
      <c r="J711" s="97"/>
      <c r="K711" s="83"/>
      <c r="L711" s="111"/>
      <c r="M711" s="111"/>
      <c r="N711" s="111"/>
      <c r="O711" s="111"/>
      <c r="P711" s="111"/>
      <c r="Q711" s="111"/>
      <c r="R711" s="111"/>
    </row>
    <row r="712" spans="2:18" s="108" customFormat="1">
      <c r="B712" s="109"/>
      <c r="C712" s="110"/>
      <c r="D712" s="109"/>
      <c r="E712" s="109"/>
      <c r="F712" s="97"/>
      <c r="G712" s="109"/>
      <c r="H712" s="109"/>
      <c r="I712" s="97"/>
      <c r="J712" s="97"/>
      <c r="K712" s="83"/>
      <c r="L712" s="111"/>
      <c r="M712" s="111"/>
      <c r="N712" s="111"/>
      <c r="O712" s="111"/>
      <c r="P712" s="111"/>
      <c r="Q712" s="111"/>
      <c r="R712" s="111"/>
    </row>
    <row r="713" spans="2:18" s="108" customFormat="1">
      <c r="B713" s="109"/>
      <c r="C713" s="110"/>
      <c r="D713" s="109"/>
      <c r="E713" s="109"/>
      <c r="F713" s="97"/>
      <c r="G713" s="109"/>
      <c r="H713" s="109"/>
      <c r="I713" s="97"/>
      <c r="J713" s="97"/>
      <c r="K713" s="83"/>
      <c r="L713" s="111"/>
      <c r="M713" s="111"/>
      <c r="N713" s="111"/>
      <c r="O713" s="111"/>
      <c r="P713" s="111"/>
      <c r="Q713" s="111"/>
      <c r="R713" s="111"/>
    </row>
    <row r="714" spans="2:18" s="108" customFormat="1">
      <c r="B714" s="109"/>
      <c r="C714" s="110"/>
      <c r="D714" s="109"/>
      <c r="E714" s="109"/>
      <c r="F714" s="97"/>
      <c r="G714" s="109"/>
      <c r="H714" s="109"/>
      <c r="I714" s="97"/>
      <c r="J714" s="97"/>
      <c r="K714" s="83"/>
      <c r="L714" s="111"/>
      <c r="M714" s="111"/>
      <c r="N714" s="111"/>
      <c r="O714" s="111"/>
      <c r="P714" s="111"/>
      <c r="Q714" s="111"/>
      <c r="R714" s="111"/>
    </row>
    <row r="715" spans="2:18" s="108" customFormat="1">
      <c r="B715" s="109"/>
      <c r="C715" s="110"/>
      <c r="D715" s="109"/>
      <c r="E715" s="109"/>
      <c r="F715" s="97"/>
      <c r="G715" s="109"/>
      <c r="H715" s="109"/>
      <c r="I715" s="97"/>
      <c r="J715" s="97"/>
      <c r="K715" s="83"/>
      <c r="L715" s="111"/>
      <c r="M715" s="111"/>
      <c r="N715" s="111"/>
      <c r="O715" s="111"/>
      <c r="P715" s="111"/>
      <c r="Q715" s="111"/>
      <c r="R715" s="111"/>
    </row>
    <row r="716" spans="2:18" s="108" customFormat="1">
      <c r="B716" s="109"/>
      <c r="C716" s="110"/>
      <c r="D716" s="109"/>
      <c r="E716" s="109"/>
      <c r="F716" s="97"/>
      <c r="G716" s="109"/>
      <c r="H716" s="109"/>
      <c r="I716" s="97"/>
      <c r="J716" s="97"/>
      <c r="K716" s="83"/>
      <c r="L716" s="111"/>
      <c r="M716" s="111"/>
      <c r="N716" s="111"/>
      <c r="O716" s="111"/>
      <c r="P716" s="111"/>
      <c r="Q716" s="111"/>
      <c r="R716" s="111"/>
    </row>
    <row r="717" spans="2:18" s="108" customFormat="1">
      <c r="B717" s="109"/>
      <c r="C717" s="110"/>
      <c r="D717" s="109"/>
      <c r="E717" s="109"/>
      <c r="F717" s="97"/>
      <c r="G717" s="109"/>
      <c r="H717" s="109"/>
      <c r="I717" s="97"/>
      <c r="J717" s="97"/>
      <c r="K717" s="83"/>
      <c r="L717" s="111"/>
      <c r="M717" s="111"/>
      <c r="N717" s="111"/>
      <c r="O717" s="111"/>
      <c r="P717" s="111"/>
      <c r="Q717" s="111"/>
      <c r="R717" s="111"/>
    </row>
    <row r="718" spans="2:18" s="108" customFormat="1">
      <c r="B718" s="109"/>
      <c r="C718" s="110"/>
      <c r="D718" s="109"/>
      <c r="E718" s="109"/>
      <c r="F718" s="97"/>
      <c r="G718" s="109"/>
      <c r="H718" s="109"/>
      <c r="I718" s="97"/>
      <c r="J718" s="97"/>
      <c r="K718" s="83"/>
      <c r="L718" s="111"/>
      <c r="M718" s="111"/>
      <c r="N718" s="111"/>
      <c r="O718" s="111"/>
      <c r="P718" s="111"/>
      <c r="Q718" s="111"/>
      <c r="R718" s="111"/>
    </row>
    <row r="719" spans="2:18" s="108" customFormat="1">
      <c r="B719" s="109"/>
      <c r="C719" s="110"/>
      <c r="D719" s="109"/>
      <c r="E719" s="109"/>
      <c r="F719" s="97"/>
      <c r="G719" s="109"/>
      <c r="H719" s="109"/>
      <c r="I719" s="97"/>
      <c r="J719" s="97"/>
      <c r="K719" s="83"/>
      <c r="L719" s="111"/>
      <c r="M719" s="111"/>
      <c r="N719" s="111"/>
      <c r="O719" s="111"/>
      <c r="P719" s="111"/>
      <c r="Q719" s="111"/>
      <c r="R719" s="111"/>
    </row>
    <row r="720" spans="2:18" s="108" customFormat="1">
      <c r="B720" s="109"/>
      <c r="C720" s="110"/>
      <c r="D720" s="109"/>
      <c r="E720" s="109"/>
      <c r="F720" s="97"/>
      <c r="G720" s="109"/>
      <c r="H720" s="109"/>
      <c r="I720" s="97"/>
      <c r="J720" s="97"/>
      <c r="K720" s="83"/>
      <c r="L720" s="111"/>
      <c r="M720" s="111"/>
      <c r="N720" s="111"/>
      <c r="O720" s="111"/>
      <c r="P720" s="111"/>
      <c r="Q720" s="111"/>
      <c r="R720" s="111"/>
    </row>
    <row r="721" spans="2:18" s="108" customFormat="1">
      <c r="B721" s="109"/>
      <c r="C721" s="110"/>
      <c r="D721" s="109"/>
      <c r="E721" s="109"/>
      <c r="F721" s="97"/>
      <c r="G721" s="109"/>
      <c r="H721" s="109"/>
      <c r="I721" s="97"/>
      <c r="J721" s="97"/>
      <c r="K721" s="83"/>
      <c r="L721" s="111"/>
      <c r="M721" s="111"/>
      <c r="N721" s="111"/>
      <c r="O721" s="111"/>
      <c r="P721" s="111"/>
      <c r="Q721" s="111"/>
      <c r="R721" s="111"/>
    </row>
    <row r="722" spans="2:18" s="108" customFormat="1">
      <c r="B722" s="109"/>
      <c r="C722" s="110"/>
      <c r="D722" s="109"/>
      <c r="E722" s="109"/>
      <c r="F722" s="97"/>
      <c r="G722" s="109"/>
      <c r="H722" s="109"/>
      <c r="I722" s="97"/>
      <c r="J722" s="97"/>
      <c r="K722" s="83"/>
      <c r="L722" s="111"/>
      <c r="M722" s="111"/>
      <c r="N722" s="111"/>
      <c r="O722" s="111"/>
      <c r="P722" s="111"/>
      <c r="Q722" s="111"/>
      <c r="R722" s="111"/>
    </row>
    <row r="723" spans="2:18" s="108" customFormat="1">
      <c r="B723" s="109"/>
      <c r="C723" s="110"/>
      <c r="D723" s="109"/>
      <c r="E723" s="109"/>
      <c r="F723" s="97"/>
      <c r="G723" s="109"/>
      <c r="H723" s="109"/>
      <c r="I723" s="97"/>
      <c r="J723" s="97"/>
      <c r="K723" s="83"/>
      <c r="L723" s="111"/>
      <c r="M723" s="111"/>
      <c r="N723" s="111"/>
      <c r="O723" s="111"/>
      <c r="P723" s="111"/>
      <c r="Q723" s="111"/>
      <c r="R723" s="111"/>
    </row>
    <row r="724" spans="2:18" s="108" customFormat="1">
      <c r="B724" s="109"/>
      <c r="C724" s="110"/>
      <c r="D724" s="109"/>
      <c r="E724" s="109"/>
      <c r="F724" s="97"/>
      <c r="G724" s="109"/>
      <c r="H724" s="109"/>
      <c r="I724" s="97"/>
      <c r="J724" s="97"/>
      <c r="K724" s="83"/>
      <c r="L724" s="111"/>
      <c r="M724" s="111"/>
      <c r="N724" s="111"/>
      <c r="O724" s="111"/>
      <c r="P724" s="111"/>
      <c r="Q724" s="111"/>
      <c r="R724" s="111"/>
    </row>
    <row r="725" spans="2:18" s="108" customFormat="1">
      <c r="B725" s="109"/>
      <c r="C725" s="110"/>
      <c r="D725" s="109"/>
      <c r="E725" s="109"/>
      <c r="F725" s="97"/>
      <c r="G725" s="109"/>
      <c r="H725" s="109"/>
      <c r="I725" s="97"/>
      <c r="J725" s="97"/>
      <c r="K725" s="83"/>
      <c r="L725" s="111"/>
      <c r="M725" s="111"/>
      <c r="N725" s="111"/>
      <c r="O725" s="111"/>
      <c r="P725" s="111"/>
      <c r="Q725" s="111"/>
      <c r="R725" s="111"/>
    </row>
    <row r="726" spans="2:18" s="108" customFormat="1">
      <c r="B726" s="109"/>
      <c r="C726" s="110"/>
      <c r="D726" s="109"/>
      <c r="E726" s="109"/>
      <c r="F726" s="97"/>
      <c r="G726" s="109"/>
      <c r="H726" s="109"/>
      <c r="I726" s="97"/>
      <c r="J726" s="97"/>
      <c r="K726" s="83"/>
      <c r="L726" s="111"/>
      <c r="M726" s="111"/>
      <c r="N726" s="111"/>
      <c r="O726" s="111"/>
      <c r="P726" s="111"/>
      <c r="Q726" s="111"/>
      <c r="R726" s="111"/>
    </row>
    <row r="727" spans="2:18" s="108" customFormat="1">
      <c r="B727" s="109"/>
      <c r="C727" s="110"/>
      <c r="D727" s="109"/>
      <c r="E727" s="109"/>
      <c r="F727" s="97"/>
      <c r="G727" s="109"/>
      <c r="H727" s="109"/>
      <c r="I727" s="97"/>
      <c r="J727" s="97"/>
      <c r="K727" s="83"/>
      <c r="L727" s="111"/>
      <c r="M727" s="111"/>
      <c r="N727" s="111"/>
      <c r="O727" s="111"/>
      <c r="P727" s="111"/>
      <c r="Q727" s="111"/>
      <c r="R727" s="111"/>
    </row>
    <row r="728" spans="2:18" s="108" customFormat="1">
      <c r="B728" s="109"/>
      <c r="C728" s="110"/>
      <c r="D728" s="109"/>
      <c r="E728" s="109"/>
      <c r="F728" s="97"/>
      <c r="G728" s="109"/>
      <c r="H728" s="109"/>
      <c r="I728" s="97"/>
      <c r="J728" s="97"/>
      <c r="K728" s="83"/>
      <c r="L728" s="111"/>
      <c r="M728" s="111"/>
      <c r="N728" s="111"/>
      <c r="O728" s="111"/>
      <c r="P728" s="111"/>
      <c r="Q728" s="111"/>
      <c r="R728" s="111"/>
    </row>
    <row r="729" spans="2:18" s="108" customFormat="1">
      <c r="B729" s="109"/>
      <c r="C729" s="110"/>
      <c r="D729" s="109"/>
      <c r="E729" s="109"/>
      <c r="F729" s="97"/>
      <c r="G729" s="109"/>
      <c r="H729" s="109"/>
      <c r="I729" s="97"/>
      <c r="J729" s="97"/>
      <c r="K729" s="83"/>
      <c r="L729" s="111"/>
      <c r="M729" s="111"/>
      <c r="N729" s="111"/>
      <c r="O729" s="111"/>
      <c r="P729" s="111"/>
      <c r="Q729" s="111"/>
      <c r="R729" s="111"/>
    </row>
    <row r="730" spans="2:18" s="108" customFormat="1">
      <c r="B730" s="109"/>
      <c r="C730" s="110"/>
      <c r="D730" s="109"/>
      <c r="E730" s="109"/>
      <c r="F730" s="97"/>
      <c r="G730" s="109"/>
      <c r="H730" s="109"/>
      <c r="I730" s="97"/>
      <c r="J730" s="97"/>
      <c r="K730" s="83"/>
      <c r="L730" s="111"/>
      <c r="M730" s="111"/>
      <c r="N730" s="111"/>
      <c r="O730" s="111"/>
      <c r="P730" s="111"/>
      <c r="Q730" s="111"/>
      <c r="R730" s="111"/>
    </row>
    <row r="731" spans="2:18" s="108" customFormat="1">
      <c r="B731" s="109"/>
      <c r="C731" s="110"/>
      <c r="D731" s="109"/>
      <c r="E731" s="109"/>
      <c r="F731" s="97"/>
      <c r="G731" s="109"/>
      <c r="H731" s="109"/>
      <c r="I731" s="97"/>
      <c r="J731" s="97"/>
      <c r="K731" s="83"/>
      <c r="L731" s="111"/>
      <c r="M731" s="111"/>
      <c r="N731" s="111"/>
      <c r="O731" s="111"/>
      <c r="P731" s="111"/>
      <c r="Q731" s="111"/>
      <c r="R731" s="111"/>
    </row>
    <row r="732" spans="2:18" s="108" customFormat="1">
      <c r="B732" s="109"/>
      <c r="C732" s="110"/>
      <c r="D732" s="109"/>
      <c r="E732" s="109"/>
      <c r="F732" s="97"/>
      <c r="G732" s="109"/>
      <c r="H732" s="109"/>
      <c r="I732" s="97"/>
      <c r="J732" s="97"/>
      <c r="K732" s="83"/>
      <c r="L732" s="111"/>
      <c r="M732" s="111"/>
      <c r="N732" s="111"/>
      <c r="O732" s="111"/>
      <c r="P732" s="111"/>
      <c r="Q732" s="111"/>
      <c r="R732" s="111"/>
    </row>
    <row r="733" spans="2:18" s="108" customFormat="1">
      <c r="B733" s="109"/>
      <c r="C733" s="110"/>
      <c r="D733" s="109"/>
      <c r="E733" s="109"/>
      <c r="F733" s="97"/>
      <c r="G733" s="109"/>
      <c r="H733" s="109"/>
      <c r="I733" s="97"/>
      <c r="J733" s="97"/>
      <c r="K733" s="83"/>
      <c r="L733" s="111"/>
      <c r="M733" s="111"/>
      <c r="N733" s="111"/>
      <c r="O733" s="111"/>
      <c r="P733" s="111"/>
      <c r="Q733" s="111"/>
      <c r="R733" s="111"/>
    </row>
    <row r="734" spans="2:18" s="108" customFormat="1">
      <c r="B734" s="109"/>
      <c r="C734" s="110"/>
      <c r="D734" s="109"/>
      <c r="E734" s="109"/>
      <c r="F734" s="97"/>
      <c r="G734" s="109"/>
      <c r="H734" s="109"/>
      <c r="I734" s="97"/>
      <c r="J734" s="97"/>
      <c r="K734" s="83"/>
      <c r="L734" s="111"/>
      <c r="M734" s="111"/>
      <c r="N734" s="111"/>
      <c r="O734" s="111"/>
      <c r="P734" s="111"/>
      <c r="Q734" s="111"/>
      <c r="R734" s="111"/>
    </row>
    <row r="735" spans="2:18" s="108" customFormat="1">
      <c r="B735" s="109"/>
      <c r="C735" s="110"/>
      <c r="D735" s="109"/>
      <c r="E735" s="109"/>
      <c r="F735" s="97"/>
      <c r="G735" s="109"/>
      <c r="H735" s="109"/>
      <c r="I735" s="97"/>
      <c r="J735" s="97"/>
      <c r="K735" s="83"/>
      <c r="L735" s="111"/>
      <c r="M735" s="111"/>
      <c r="N735" s="111"/>
      <c r="O735" s="111"/>
      <c r="P735" s="111"/>
      <c r="Q735" s="111"/>
      <c r="R735" s="111"/>
    </row>
    <row r="736" spans="2:18" s="108" customFormat="1">
      <c r="B736" s="109"/>
      <c r="C736" s="110"/>
      <c r="D736" s="109"/>
      <c r="E736" s="109"/>
      <c r="F736" s="97"/>
      <c r="G736" s="109"/>
      <c r="H736" s="109"/>
      <c r="I736" s="97"/>
      <c r="J736" s="97"/>
      <c r="K736" s="83"/>
      <c r="L736" s="111"/>
      <c r="M736" s="111"/>
      <c r="N736" s="111"/>
      <c r="O736" s="111"/>
      <c r="P736" s="111"/>
      <c r="Q736" s="111"/>
      <c r="R736" s="111"/>
    </row>
    <row r="737" spans="2:18" s="108" customFormat="1">
      <c r="B737" s="109"/>
      <c r="C737" s="110"/>
      <c r="D737" s="109"/>
      <c r="E737" s="109"/>
      <c r="F737" s="97"/>
      <c r="G737" s="109"/>
      <c r="H737" s="109"/>
      <c r="I737" s="97"/>
      <c r="J737" s="97"/>
      <c r="K737" s="83"/>
      <c r="L737" s="111"/>
      <c r="M737" s="111"/>
      <c r="N737" s="111"/>
      <c r="O737" s="111"/>
      <c r="P737" s="111"/>
      <c r="Q737" s="111"/>
      <c r="R737" s="111"/>
    </row>
    <row r="738" spans="2:18" s="108" customFormat="1">
      <c r="B738" s="109"/>
      <c r="C738" s="110"/>
      <c r="D738" s="109"/>
      <c r="E738" s="109"/>
      <c r="F738" s="97"/>
      <c r="G738" s="109"/>
      <c r="H738" s="109"/>
      <c r="I738" s="97"/>
      <c r="J738" s="97"/>
      <c r="K738" s="83"/>
      <c r="L738" s="111"/>
      <c r="M738" s="111"/>
      <c r="N738" s="111"/>
      <c r="O738" s="111"/>
      <c r="P738" s="111"/>
      <c r="Q738" s="111"/>
      <c r="R738" s="111"/>
    </row>
    <row r="739" spans="2:18" s="108" customFormat="1">
      <c r="B739" s="109"/>
      <c r="C739" s="110"/>
      <c r="D739" s="109"/>
      <c r="E739" s="109"/>
      <c r="F739" s="97"/>
      <c r="G739" s="109"/>
      <c r="H739" s="109"/>
      <c r="I739" s="97"/>
      <c r="J739" s="97"/>
      <c r="K739" s="83"/>
      <c r="L739" s="111"/>
      <c r="M739" s="111"/>
      <c r="N739" s="111"/>
      <c r="O739" s="111"/>
      <c r="P739" s="111"/>
      <c r="Q739" s="111"/>
      <c r="R739" s="111"/>
    </row>
    <row r="740" spans="2:18" s="108" customFormat="1">
      <c r="B740" s="109"/>
      <c r="C740" s="110"/>
      <c r="D740" s="109"/>
      <c r="E740" s="109"/>
      <c r="F740" s="97"/>
      <c r="G740" s="109"/>
      <c r="H740" s="109"/>
      <c r="I740" s="97"/>
      <c r="J740" s="97"/>
      <c r="K740" s="83"/>
      <c r="L740" s="111"/>
      <c r="M740" s="111"/>
      <c r="N740" s="111"/>
      <c r="O740" s="111"/>
      <c r="P740" s="111"/>
      <c r="Q740" s="111"/>
      <c r="R740" s="111"/>
    </row>
    <row r="741" spans="2:18" s="108" customFormat="1">
      <c r="B741" s="109"/>
      <c r="C741" s="110"/>
      <c r="D741" s="109"/>
      <c r="E741" s="109"/>
      <c r="F741" s="97"/>
      <c r="G741" s="109"/>
      <c r="H741" s="109"/>
      <c r="I741" s="97"/>
      <c r="J741" s="97"/>
      <c r="K741" s="83"/>
      <c r="L741" s="111"/>
      <c r="M741" s="111"/>
      <c r="N741" s="111"/>
      <c r="O741" s="111"/>
      <c r="P741" s="111"/>
      <c r="Q741" s="111"/>
      <c r="R741" s="111"/>
    </row>
    <row r="742" spans="2:18" s="108" customFormat="1">
      <c r="B742" s="109"/>
      <c r="C742" s="110"/>
      <c r="D742" s="109"/>
      <c r="E742" s="109"/>
      <c r="F742" s="97"/>
      <c r="G742" s="109"/>
      <c r="H742" s="109"/>
      <c r="I742" s="97"/>
      <c r="J742" s="97"/>
      <c r="K742" s="83"/>
      <c r="L742" s="111"/>
      <c r="M742" s="111"/>
      <c r="N742" s="111"/>
      <c r="O742" s="111"/>
      <c r="P742" s="111"/>
      <c r="Q742" s="111"/>
      <c r="R742" s="111"/>
    </row>
    <row r="743" spans="2:18" s="108" customFormat="1">
      <c r="B743" s="109"/>
      <c r="C743" s="110"/>
      <c r="D743" s="109"/>
      <c r="E743" s="109"/>
      <c r="F743" s="97"/>
      <c r="G743" s="109"/>
      <c r="H743" s="109"/>
      <c r="I743" s="97"/>
      <c r="J743" s="97"/>
      <c r="K743" s="83"/>
      <c r="L743" s="111"/>
      <c r="M743" s="111"/>
      <c r="N743" s="111"/>
      <c r="O743" s="111"/>
      <c r="P743" s="111"/>
      <c r="Q743" s="111"/>
      <c r="R743" s="111"/>
    </row>
    <row r="744" spans="2:18" s="108" customFormat="1">
      <c r="B744" s="109"/>
      <c r="C744" s="110"/>
      <c r="D744" s="109"/>
      <c r="E744" s="109"/>
      <c r="F744" s="97"/>
      <c r="G744" s="109"/>
      <c r="H744" s="109"/>
      <c r="I744" s="97"/>
      <c r="J744" s="97"/>
      <c r="K744" s="83"/>
      <c r="L744" s="111"/>
      <c r="M744" s="111"/>
      <c r="N744" s="111"/>
      <c r="O744" s="111"/>
      <c r="P744" s="111"/>
      <c r="Q744" s="111"/>
      <c r="R744" s="111"/>
    </row>
    <row r="745" spans="2:18" s="108" customFormat="1">
      <c r="B745" s="109"/>
      <c r="C745" s="110"/>
      <c r="D745" s="109"/>
      <c r="E745" s="109"/>
      <c r="F745" s="97"/>
      <c r="G745" s="109"/>
      <c r="H745" s="109"/>
      <c r="I745" s="97"/>
      <c r="J745" s="97"/>
      <c r="K745" s="83"/>
      <c r="L745" s="111"/>
      <c r="M745" s="111"/>
      <c r="N745" s="111"/>
      <c r="O745" s="111"/>
      <c r="P745" s="111"/>
      <c r="Q745" s="111"/>
      <c r="R745" s="111"/>
    </row>
    <row r="746" spans="2:18" s="108" customFormat="1">
      <c r="B746" s="109"/>
      <c r="C746" s="110"/>
      <c r="D746" s="109"/>
      <c r="E746" s="109"/>
      <c r="F746" s="97"/>
      <c r="G746" s="109"/>
      <c r="H746" s="109"/>
      <c r="I746" s="97"/>
      <c r="J746" s="97"/>
      <c r="K746" s="83"/>
      <c r="L746" s="111"/>
      <c r="M746" s="111"/>
      <c r="N746" s="111"/>
      <c r="O746" s="111"/>
      <c r="P746" s="111"/>
      <c r="Q746" s="111"/>
      <c r="R746" s="111"/>
    </row>
    <row r="747" spans="2:18" s="108" customFormat="1">
      <c r="B747" s="109"/>
      <c r="C747" s="110"/>
      <c r="D747" s="109"/>
      <c r="E747" s="109"/>
      <c r="F747" s="97"/>
      <c r="G747" s="109"/>
      <c r="H747" s="109"/>
      <c r="I747" s="97"/>
      <c r="J747" s="97"/>
      <c r="K747" s="83"/>
      <c r="L747" s="111"/>
      <c r="M747" s="111"/>
      <c r="N747" s="111"/>
      <c r="O747" s="111"/>
      <c r="P747" s="111"/>
      <c r="Q747" s="111"/>
      <c r="R747" s="111"/>
    </row>
    <row r="748" spans="2:18" s="108" customFormat="1">
      <c r="B748" s="109"/>
      <c r="C748" s="110"/>
      <c r="D748" s="109"/>
      <c r="E748" s="109"/>
      <c r="F748" s="97"/>
      <c r="G748" s="109"/>
      <c r="H748" s="109"/>
      <c r="I748" s="97"/>
      <c r="J748" s="97"/>
      <c r="K748" s="83"/>
      <c r="L748" s="111"/>
      <c r="M748" s="111"/>
      <c r="N748" s="111"/>
      <c r="O748" s="111"/>
      <c r="P748" s="111"/>
      <c r="Q748" s="111"/>
      <c r="R748" s="111"/>
    </row>
    <row r="749" spans="2:18" s="108" customFormat="1">
      <c r="B749" s="109"/>
      <c r="C749" s="110"/>
      <c r="D749" s="109"/>
      <c r="E749" s="109"/>
      <c r="F749" s="97"/>
      <c r="G749" s="109"/>
      <c r="H749" s="109"/>
      <c r="I749" s="97"/>
      <c r="J749" s="97"/>
      <c r="K749" s="83"/>
      <c r="L749" s="111"/>
      <c r="M749" s="111"/>
      <c r="N749" s="111"/>
      <c r="O749" s="111"/>
      <c r="P749" s="111"/>
      <c r="Q749" s="111"/>
      <c r="R749" s="111"/>
    </row>
    <row r="750" spans="2:18" s="108" customFormat="1">
      <c r="B750" s="109"/>
      <c r="C750" s="110"/>
      <c r="D750" s="109"/>
      <c r="E750" s="109"/>
      <c r="F750" s="97"/>
      <c r="G750" s="109"/>
      <c r="H750" s="109"/>
      <c r="I750" s="97"/>
      <c r="J750" s="97"/>
      <c r="K750" s="83"/>
      <c r="L750" s="111"/>
      <c r="M750" s="111"/>
      <c r="N750" s="111"/>
      <c r="O750" s="111"/>
      <c r="P750" s="111"/>
      <c r="Q750" s="111"/>
      <c r="R750" s="111"/>
    </row>
    <row r="751" spans="2:18" s="108" customFormat="1">
      <c r="B751" s="109"/>
      <c r="C751" s="110"/>
      <c r="D751" s="109"/>
      <c r="E751" s="109"/>
      <c r="F751" s="97"/>
      <c r="G751" s="109"/>
      <c r="H751" s="109"/>
      <c r="I751" s="97"/>
      <c r="J751" s="97"/>
      <c r="K751" s="83"/>
      <c r="L751" s="111"/>
      <c r="M751" s="111"/>
      <c r="N751" s="111"/>
      <c r="O751" s="111"/>
      <c r="P751" s="111"/>
      <c r="Q751" s="111"/>
      <c r="R751" s="111"/>
    </row>
    <row r="752" spans="2:18" s="108" customFormat="1">
      <c r="B752" s="109"/>
      <c r="C752" s="110"/>
      <c r="D752" s="109"/>
      <c r="E752" s="109"/>
      <c r="F752" s="97"/>
      <c r="G752" s="109"/>
      <c r="H752" s="109"/>
      <c r="I752" s="97"/>
      <c r="J752" s="97"/>
      <c r="K752" s="83"/>
      <c r="L752" s="111"/>
      <c r="M752" s="111"/>
      <c r="N752" s="111"/>
      <c r="O752" s="111"/>
      <c r="P752" s="111"/>
      <c r="Q752" s="111"/>
      <c r="R752" s="111"/>
    </row>
    <row r="753" spans="2:18" s="108" customFormat="1">
      <c r="B753" s="109"/>
      <c r="C753" s="110"/>
      <c r="D753" s="109"/>
      <c r="E753" s="109"/>
      <c r="F753" s="97"/>
      <c r="G753" s="109"/>
      <c r="H753" s="109"/>
      <c r="I753" s="97"/>
      <c r="J753" s="97"/>
      <c r="K753" s="83"/>
      <c r="L753" s="111"/>
      <c r="M753" s="111"/>
      <c r="N753" s="111"/>
      <c r="O753" s="111"/>
      <c r="P753" s="111"/>
      <c r="Q753" s="111"/>
      <c r="R753" s="111"/>
    </row>
    <row r="754" spans="2:18" s="108" customFormat="1">
      <c r="B754" s="109"/>
      <c r="C754" s="110"/>
      <c r="D754" s="109"/>
      <c r="E754" s="109"/>
      <c r="F754" s="97"/>
      <c r="G754" s="109"/>
      <c r="H754" s="109"/>
      <c r="I754" s="97"/>
      <c r="J754" s="97"/>
      <c r="K754" s="83"/>
      <c r="L754" s="111"/>
      <c r="M754" s="111"/>
      <c r="N754" s="111"/>
      <c r="O754" s="111"/>
      <c r="P754" s="111"/>
      <c r="Q754" s="111"/>
      <c r="R754" s="111"/>
    </row>
    <row r="755" spans="2:18" s="108" customFormat="1">
      <c r="B755" s="109"/>
      <c r="C755" s="110"/>
      <c r="D755" s="109"/>
      <c r="E755" s="109"/>
      <c r="F755" s="97"/>
      <c r="G755" s="109"/>
      <c r="H755" s="109"/>
      <c r="I755" s="97"/>
      <c r="J755" s="97"/>
      <c r="K755" s="83"/>
      <c r="L755" s="111"/>
      <c r="M755" s="111"/>
      <c r="N755" s="111"/>
      <c r="O755" s="111"/>
      <c r="P755" s="111"/>
      <c r="Q755" s="111"/>
      <c r="R755" s="111"/>
    </row>
    <row r="756" spans="2:18" s="108" customFormat="1">
      <c r="B756" s="109"/>
      <c r="C756" s="110"/>
      <c r="D756" s="109"/>
      <c r="E756" s="109"/>
      <c r="F756" s="97"/>
      <c r="G756" s="109"/>
      <c r="H756" s="109"/>
      <c r="I756" s="97"/>
      <c r="J756" s="97"/>
      <c r="K756" s="83"/>
      <c r="L756" s="111"/>
      <c r="M756" s="111"/>
      <c r="N756" s="111"/>
      <c r="O756" s="111"/>
      <c r="P756" s="111"/>
      <c r="Q756" s="111"/>
      <c r="R756" s="111"/>
    </row>
    <row r="757" spans="2:18" s="108" customFormat="1">
      <c r="B757" s="109"/>
      <c r="C757" s="110"/>
      <c r="D757" s="109"/>
      <c r="E757" s="109"/>
      <c r="F757" s="97"/>
      <c r="G757" s="109"/>
      <c r="H757" s="109"/>
      <c r="I757" s="97"/>
      <c r="J757" s="97"/>
      <c r="K757" s="83"/>
      <c r="L757" s="111"/>
      <c r="M757" s="111"/>
      <c r="N757" s="111"/>
      <c r="O757" s="111"/>
      <c r="P757" s="111"/>
      <c r="Q757" s="111"/>
      <c r="R757" s="111"/>
    </row>
    <row r="758" spans="2:18" s="108" customFormat="1">
      <c r="B758" s="109"/>
      <c r="C758" s="110"/>
      <c r="D758" s="109"/>
      <c r="E758" s="109"/>
      <c r="F758" s="97"/>
      <c r="G758" s="109"/>
      <c r="H758" s="109"/>
      <c r="I758" s="97"/>
      <c r="J758" s="97"/>
      <c r="K758" s="83"/>
      <c r="L758" s="111"/>
      <c r="M758" s="111"/>
      <c r="N758" s="111"/>
      <c r="O758" s="111"/>
      <c r="P758" s="111"/>
      <c r="Q758" s="111"/>
      <c r="R758" s="111"/>
    </row>
    <row r="759" spans="2:18" s="108" customFormat="1">
      <c r="B759" s="109"/>
      <c r="C759" s="110"/>
      <c r="D759" s="109"/>
      <c r="E759" s="109"/>
      <c r="F759" s="97"/>
      <c r="G759" s="109"/>
      <c r="H759" s="109"/>
      <c r="I759" s="97"/>
      <c r="J759" s="97"/>
      <c r="K759" s="83"/>
      <c r="L759" s="111"/>
      <c r="M759" s="111"/>
      <c r="N759" s="111"/>
      <c r="O759" s="111"/>
      <c r="P759" s="111"/>
      <c r="Q759" s="111"/>
      <c r="R759" s="111"/>
    </row>
    <row r="760" spans="2:18" s="108" customFormat="1">
      <c r="B760" s="109"/>
      <c r="C760" s="110"/>
      <c r="D760" s="109"/>
      <c r="E760" s="109"/>
      <c r="F760" s="97"/>
      <c r="G760" s="109"/>
      <c r="H760" s="109"/>
      <c r="I760" s="97"/>
      <c r="J760" s="97"/>
      <c r="K760" s="83"/>
      <c r="L760" s="111"/>
      <c r="M760" s="111"/>
      <c r="N760" s="111"/>
      <c r="O760" s="111"/>
      <c r="P760" s="111"/>
      <c r="Q760" s="111"/>
      <c r="R760" s="111"/>
    </row>
    <row r="761" spans="2:18" s="108" customFormat="1">
      <c r="B761" s="109"/>
      <c r="C761" s="110"/>
      <c r="D761" s="109"/>
      <c r="E761" s="109"/>
      <c r="F761" s="97"/>
      <c r="G761" s="109"/>
      <c r="H761" s="109"/>
      <c r="I761" s="97"/>
      <c r="J761" s="97"/>
      <c r="K761" s="83"/>
      <c r="L761" s="111"/>
      <c r="M761" s="111"/>
      <c r="N761" s="111"/>
      <c r="O761" s="111"/>
      <c r="P761" s="111"/>
      <c r="Q761" s="111"/>
      <c r="R761" s="111"/>
    </row>
    <row r="762" spans="2:18" s="108" customFormat="1">
      <c r="B762" s="109"/>
      <c r="C762" s="110"/>
      <c r="D762" s="109"/>
      <c r="E762" s="109"/>
      <c r="F762" s="97"/>
      <c r="G762" s="109"/>
      <c r="H762" s="109"/>
      <c r="I762" s="97"/>
      <c r="J762" s="97"/>
      <c r="K762" s="83"/>
      <c r="L762" s="111"/>
      <c r="M762" s="111"/>
      <c r="N762" s="111"/>
      <c r="O762" s="111"/>
      <c r="P762" s="111"/>
      <c r="Q762" s="111"/>
      <c r="R762" s="111"/>
    </row>
    <row r="763" spans="2:18" s="108" customFormat="1">
      <c r="B763" s="109"/>
      <c r="C763" s="110"/>
      <c r="D763" s="109"/>
      <c r="E763" s="109"/>
      <c r="F763" s="97"/>
      <c r="G763" s="109"/>
      <c r="H763" s="109"/>
      <c r="I763" s="97"/>
      <c r="J763" s="97"/>
      <c r="K763" s="83"/>
      <c r="L763" s="111"/>
      <c r="M763" s="111"/>
      <c r="N763" s="111"/>
      <c r="O763" s="111"/>
      <c r="P763" s="111"/>
      <c r="Q763" s="111"/>
      <c r="R763" s="111"/>
    </row>
    <row r="764" spans="2:18" s="108" customFormat="1">
      <c r="B764" s="109"/>
      <c r="C764" s="110"/>
      <c r="D764" s="109"/>
      <c r="E764" s="109"/>
      <c r="F764" s="97"/>
      <c r="G764" s="109"/>
      <c r="H764" s="109"/>
      <c r="I764" s="97"/>
      <c r="J764" s="97"/>
      <c r="K764" s="83"/>
      <c r="L764" s="111"/>
      <c r="M764" s="111"/>
      <c r="N764" s="111"/>
      <c r="O764" s="111"/>
      <c r="P764" s="111"/>
      <c r="Q764" s="111"/>
      <c r="R764" s="111"/>
    </row>
    <row r="765" spans="2:18" s="108" customFormat="1">
      <c r="B765" s="109"/>
      <c r="C765" s="110"/>
      <c r="D765" s="109"/>
      <c r="E765" s="109"/>
      <c r="F765" s="97"/>
      <c r="G765" s="109"/>
      <c r="H765" s="109"/>
      <c r="I765" s="97"/>
      <c r="J765" s="97"/>
      <c r="K765" s="83"/>
      <c r="L765" s="111"/>
      <c r="M765" s="111"/>
      <c r="N765" s="111"/>
      <c r="O765" s="111"/>
      <c r="P765" s="111"/>
      <c r="Q765" s="111"/>
      <c r="R765" s="111"/>
    </row>
    <row r="766" spans="2:18" s="108" customFormat="1">
      <c r="B766" s="109"/>
      <c r="C766" s="110"/>
      <c r="D766" s="109"/>
      <c r="E766" s="109"/>
      <c r="F766" s="97"/>
      <c r="G766" s="109"/>
      <c r="H766" s="109"/>
      <c r="I766" s="97"/>
      <c r="J766" s="97"/>
      <c r="K766" s="83"/>
      <c r="L766" s="111"/>
      <c r="M766" s="111"/>
      <c r="N766" s="111"/>
      <c r="O766" s="111"/>
      <c r="P766" s="111"/>
      <c r="Q766" s="111"/>
      <c r="R766" s="111"/>
    </row>
    <row r="767" spans="2:18" s="108" customFormat="1">
      <c r="B767" s="109"/>
      <c r="C767" s="110"/>
      <c r="D767" s="109"/>
      <c r="E767" s="109"/>
      <c r="F767" s="97"/>
      <c r="G767" s="109"/>
      <c r="H767" s="109"/>
      <c r="I767" s="97"/>
      <c r="J767" s="97"/>
      <c r="K767" s="83"/>
      <c r="L767" s="111"/>
      <c r="M767" s="111"/>
      <c r="N767" s="111"/>
      <c r="O767" s="111"/>
      <c r="P767" s="111"/>
      <c r="Q767" s="111"/>
      <c r="R767" s="111"/>
    </row>
    <row r="768" spans="2:18" s="108" customFormat="1">
      <c r="B768" s="109"/>
      <c r="C768" s="110"/>
      <c r="D768" s="109"/>
      <c r="E768" s="109"/>
      <c r="F768" s="97"/>
      <c r="G768" s="109"/>
      <c r="H768" s="109"/>
      <c r="I768" s="97"/>
      <c r="J768" s="97"/>
      <c r="K768" s="83"/>
      <c r="L768" s="111"/>
      <c r="M768" s="111"/>
      <c r="N768" s="111"/>
      <c r="O768" s="111"/>
      <c r="P768" s="111"/>
      <c r="Q768" s="111"/>
      <c r="R768" s="111"/>
    </row>
    <row r="769" spans="2:18" s="108" customFormat="1">
      <c r="B769" s="109"/>
      <c r="C769" s="110"/>
      <c r="D769" s="109"/>
      <c r="E769" s="109"/>
      <c r="F769" s="97"/>
      <c r="G769" s="109"/>
      <c r="H769" s="109"/>
      <c r="I769" s="97"/>
      <c r="J769" s="97"/>
      <c r="K769" s="83"/>
      <c r="L769" s="111"/>
      <c r="M769" s="111"/>
      <c r="N769" s="111"/>
      <c r="O769" s="111"/>
      <c r="P769" s="111"/>
      <c r="Q769" s="111"/>
      <c r="R769" s="111"/>
    </row>
    <row r="770" spans="2:18" s="108" customFormat="1">
      <c r="B770" s="109"/>
      <c r="C770" s="110"/>
      <c r="D770" s="109"/>
      <c r="E770" s="109"/>
      <c r="F770" s="97"/>
      <c r="G770" s="109"/>
      <c r="H770" s="109"/>
      <c r="I770" s="97"/>
      <c r="J770" s="97"/>
      <c r="K770" s="83"/>
      <c r="L770" s="111"/>
      <c r="M770" s="111"/>
      <c r="N770" s="111"/>
      <c r="O770" s="111"/>
      <c r="P770" s="111"/>
      <c r="Q770" s="111"/>
      <c r="R770" s="111"/>
    </row>
    <row r="771" spans="2:18" s="108" customFormat="1">
      <c r="B771" s="109"/>
      <c r="C771" s="110"/>
      <c r="D771" s="109"/>
      <c r="E771" s="109"/>
      <c r="F771" s="97"/>
      <c r="G771" s="109"/>
      <c r="H771" s="109"/>
      <c r="I771" s="97"/>
      <c r="J771" s="97"/>
      <c r="K771" s="83"/>
      <c r="L771" s="111"/>
      <c r="M771" s="111"/>
      <c r="N771" s="111"/>
      <c r="O771" s="111"/>
      <c r="P771" s="111"/>
      <c r="Q771" s="111"/>
      <c r="R771" s="111"/>
    </row>
    <row r="772" spans="2:18" s="108" customFormat="1">
      <c r="B772" s="109"/>
      <c r="C772" s="110"/>
      <c r="D772" s="109"/>
      <c r="E772" s="109"/>
      <c r="F772" s="97"/>
      <c r="G772" s="109"/>
      <c r="H772" s="109"/>
      <c r="I772" s="97"/>
      <c r="J772" s="97"/>
      <c r="K772" s="83"/>
      <c r="L772" s="111"/>
      <c r="M772" s="111"/>
      <c r="N772" s="111"/>
      <c r="O772" s="111"/>
      <c r="P772" s="111"/>
      <c r="Q772" s="111"/>
      <c r="R772" s="111"/>
    </row>
    <row r="773" spans="2:18" s="108" customFormat="1">
      <c r="B773" s="109"/>
      <c r="C773" s="110"/>
      <c r="D773" s="109"/>
      <c r="E773" s="109"/>
      <c r="F773" s="97"/>
      <c r="G773" s="109"/>
      <c r="H773" s="109"/>
      <c r="I773" s="97"/>
      <c r="J773" s="97"/>
      <c r="K773" s="83"/>
      <c r="L773" s="111"/>
      <c r="M773" s="111"/>
      <c r="N773" s="111"/>
      <c r="O773" s="111"/>
      <c r="P773" s="111"/>
      <c r="Q773" s="111"/>
      <c r="R773" s="111"/>
    </row>
    <row r="774" spans="2:18" s="108" customFormat="1">
      <c r="B774" s="109"/>
      <c r="C774" s="110"/>
      <c r="D774" s="109"/>
      <c r="E774" s="109"/>
      <c r="F774" s="97"/>
      <c r="G774" s="109"/>
      <c r="H774" s="109"/>
      <c r="I774" s="97"/>
      <c r="J774" s="97"/>
      <c r="K774" s="83"/>
      <c r="L774" s="111"/>
      <c r="M774" s="111"/>
      <c r="N774" s="111"/>
      <c r="O774" s="111"/>
      <c r="P774" s="111"/>
      <c r="Q774" s="111"/>
      <c r="R774" s="111"/>
    </row>
    <row r="775" spans="2:18" s="108" customFormat="1">
      <c r="B775" s="109"/>
      <c r="C775" s="110"/>
      <c r="D775" s="109"/>
      <c r="E775" s="109"/>
      <c r="F775" s="97"/>
      <c r="G775" s="109"/>
      <c r="H775" s="109"/>
      <c r="I775" s="97"/>
      <c r="J775" s="97"/>
      <c r="K775" s="83"/>
      <c r="L775" s="111"/>
      <c r="M775" s="111"/>
      <c r="N775" s="111"/>
      <c r="O775" s="111"/>
      <c r="P775" s="111"/>
      <c r="Q775" s="111"/>
      <c r="R775" s="111"/>
    </row>
    <row r="776" spans="2:18" s="108" customFormat="1">
      <c r="B776" s="109"/>
      <c r="C776" s="110"/>
      <c r="D776" s="109"/>
      <c r="E776" s="109"/>
      <c r="F776" s="97"/>
      <c r="G776" s="109"/>
      <c r="H776" s="109"/>
      <c r="I776" s="97"/>
      <c r="J776" s="97"/>
      <c r="K776" s="83"/>
      <c r="L776" s="111"/>
      <c r="M776" s="111"/>
      <c r="N776" s="111"/>
      <c r="O776" s="111"/>
      <c r="P776" s="111"/>
      <c r="Q776" s="111"/>
      <c r="R776" s="111"/>
    </row>
    <row r="777" spans="2:18" s="108" customFormat="1">
      <c r="B777" s="109"/>
      <c r="C777" s="110"/>
      <c r="D777" s="109"/>
      <c r="E777" s="109"/>
      <c r="F777" s="97"/>
      <c r="G777" s="109"/>
      <c r="H777" s="109"/>
      <c r="I777" s="97"/>
      <c r="J777" s="97"/>
      <c r="K777" s="83"/>
      <c r="L777" s="111"/>
      <c r="M777" s="111"/>
      <c r="N777" s="111"/>
      <c r="O777" s="111"/>
      <c r="P777" s="111"/>
      <c r="Q777" s="111"/>
      <c r="R777" s="111"/>
    </row>
    <row r="778" spans="2:18" s="108" customFormat="1">
      <c r="B778" s="109"/>
      <c r="C778" s="110"/>
      <c r="D778" s="109"/>
      <c r="E778" s="109"/>
      <c r="F778" s="97"/>
      <c r="G778" s="109"/>
      <c r="H778" s="109"/>
      <c r="I778" s="97"/>
      <c r="J778" s="97"/>
      <c r="K778" s="83"/>
      <c r="L778" s="111"/>
      <c r="M778" s="111"/>
      <c r="N778" s="111"/>
      <c r="O778" s="111"/>
      <c r="P778" s="111"/>
      <c r="Q778" s="111"/>
      <c r="R778" s="111"/>
    </row>
    <row r="779" spans="2:18" s="108" customFormat="1">
      <c r="B779" s="109"/>
      <c r="C779" s="110"/>
      <c r="D779" s="109"/>
      <c r="E779" s="109"/>
      <c r="F779" s="97"/>
      <c r="G779" s="109"/>
      <c r="H779" s="109"/>
      <c r="I779" s="97"/>
      <c r="J779" s="97"/>
      <c r="K779" s="83"/>
      <c r="L779" s="111"/>
      <c r="M779" s="111"/>
      <c r="N779" s="111"/>
      <c r="O779" s="111"/>
      <c r="P779" s="111"/>
      <c r="Q779" s="111"/>
      <c r="R779" s="111"/>
    </row>
    <row r="780" spans="2:18" s="108" customFormat="1">
      <c r="B780" s="109"/>
      <c r="C780" s="110"/>
      <c r="D780" s="109"/>
      <c r="E780" s="109"/>
      <c r="F780" s="97"/>
      <c r="G780" s="109"/>
      <c r="H780" s="109"/>
      <c r="I780" s="97"/>
      <c r="J780" s="97"/>
      <c r="K780" s="83"/>
      <c r="L780" s="111"/>
      <c r="M780" s="111"/>
      <c r="N780" s="111"/>
      <c r="O780" s="111"/>
      <c r="P780" s="111"/>
      <c r="Q780" s="111"/>
      <c r="R780" s="111"/>
    </row>
    <row r="781" spans="2:18" s="108" customFormat="1">
      <c r="B781" s="109"/>
      <c r="C781" s="110"/>
      <c r="D781" s="109"/>
      <c r="E781" s="109"/>
      <c r="F781" s="97"/>
      <c r="G781" s="109"/>
      <c r="H781" s="109"/>
      <c r="I781" s="97"/>
      <c r="J781" s="97"/>
      <c r="K781" s="83"/>
      <c r="L781" s="111"/>
      <c r="M781" s="111"/>
      <c r="N781" s="111"/>
      <c r="O781" s="111"/>
      <c r="P781" s="111"/>
      <c r="Q781" s="111"/>
      <c r="R781" s="111"/>
    </row>
    <row r="782" spans="2:18" s="108" customFormat="1">
      <c r="B782" s="109"/>
      <c r="C782" s="110"/>
      <c r="D782" s="109"/>
      <c r="E782" s="109"/>
      <c r="F782" s="97"/>
      <c r="G782" s="109"/>
      <c r="H782" s="109"/>
      <c r="I782" s="97"/>
      <c r="J782" s="97"/>
      <c r="K782" s="83"/>
      <c r="L782" s="111"/>
      <c r="M782" s="111"/>
      <c r="N782" s="111"/>
      <c r="O782" s="111"/>
      <c r="P782" s="111"/>
      <c r="Q782" s="111"/>
      <c r="R782" s="111"/>
    </row>
    <row r="783" spans="2:18" s="108" customFormat="1">
      <c r="B783" s="109"/>
      <c r="C783" s="110"/>
      <c r="D783" s="109"/>
      <c r="E783" s="109"/>
      <c r="F783" s="97"/>
      <c r="G783" s="109"/>
      <c r="H783" s="109"/>
      <c r="I783" s="97"/>
      <c r="J783" s="97"/>
      <c r="K783" s="83"/>
      <c r="L783" s="111"/>
      <c r="M783" s="111"/>
      <c r="N783" s="111"/>
      <c r="O783" s="111"/>
      <c r="P783" s="111"/>
      <c r="Q783" s="111"/>
      <c r="R783" s="111"/>
    </row>
    <row r="784" spans="2:18" s="108" customFormat="1">
      <c r="B784" s="109"/>
      <c r="C784" s="110"/>
      <c r="D784" s="109"/>
      <c r="E784" s="109"/>
      <c r="F784" s="97"/>
      <c r="G784" s="109"/>
      <c r="H784" s="109"/>
      <c r="I784" s="97"/>
      <c r="J784" s="97"/>
      <c r="K784" s="83"/>
      <c r="L784" s="111"/>
      <c r="M784" s="111"/>
      <c r="N784" s="111"/>
      <c r="O784" s="111"/>
      <c r="P784" s="111"/>
      <c r="Q784" s="111"/>
      <c r="R784" s="111"/>
    </row>
    <row r="785" spans="2:18" s="108" customFormat="1">
      <c r="B785" s="109"/>
      <c r="C785" s="110"/>
      <c r="D785" s="109"/>
      <c r="E785" s="109"/>
      <c r="F785" s="97"/>
      <c r="G785" s="109"/>
      <c r="H785" s="109"/>
      <c r="I785" s="97"/>
      <c r="J785" s="97"/>
      <c r="K785" s="83"/>
      <c r="L785" s="111"/>
      <c r="M785" s="111"/>
      <c r="N785" s="111"/>
      <c r="O785" s="111"/>
      <c r="P785" s="111"/>
      <c r="Q785" s="111"/>
      <c r="R785" s="111"/>
    </row>
    <row r="786" spans="2:18" s="108" customFormat="1">
      <c r="B786" s="109"/>
      <c r="C786" s="110"/>
      <c r="D786" s="109"/>
      <c r="E786" s="109"/>
      <c r="F786" s="97"/>
      <c r="G786" s="109"/>
      <c r="H786" s="109"/>
      <c r="I786" s="97"/>
      <c r="J786" s="97"/>
      <c r="K786" s="83"/>
      <c r="L786" s="111"/>
      <c r="M786" s="111"/>
      <c r="N786" s="111"/>
      <c r="O786" s="111"/>
      <c r="P786" s="111"/>
      <c r="Q786" s="111"/>
      <c r="R786" s="111"/>
    </row>
    <row r="787" spans="2:18" s="108" customFormat="1">
      <c r="B787" s="109"/>
      <c r="C787" s="110"/>
      <c r="D787" s="109"/>
      <c r="E787" s="109"/>
      <c r="F787" s="97"/>
      <c r="G787" s="109"/>
      <c r="H787" s="109"/>
      <c r="I787" s="97"/>
      <c r="J787" s="97"/>
      <c r="K787" s="83"/>
      <c r="L787" s="111"/>
      <c r="M787" s="111"/>
      <c r="N787" s="111"/>
      <c r="O787" s="111"/>
      <c r="P787" s="111"/>
      <c r="Q787" s="111"/>
      <c r="R787" s="111"/>
    </row>
    <row r="788" spans="2:18" s="108" customFormat="1">
      <c r="B788" s="109"/>
      <c r="C788" s="110"/>
      <c r="D788" s="109"/>
      <c r="E788" s="109"/>
      <c r="F788" s="97"/>
      <c r="G788" s="109"/>
      <c r="H788" s="109"/>
      <c r="I788" s="97"/>
      <c r="J788" s="97"/>
      <c r="K788" s="83"/>
      <c r="L788" s="111"/>
      <c r="M788" s="111"/>
      <c r="N788" s="111"/>
      <c r="O788" s="111"/>
      <c r="P788" s="111"/>
      <c r="Q788" s="111"/>
      <c r="R788" s="111"/>
    </row>
    <row r="789" spans="2:18" s="108" customFormat="1">
      <c r="B789" s="109"/>
      <c r="C789" s="110"/>
      <c r="D789" s="109"/>
      <c r="E789" s="109"/>
      <c r="F789" s="97"/>
      <c r="G789" s="109"/>
      <c r="H789" s="109"/>
      <c r="I789" s="97"/>
      <c r="J789" s="97"/>
      <c r="K789" s="83"/>
      <c r="L789" s="111"/>
      <c r="M789" s="111"/>
      <c r="N789" s="111"/>
      <c r="O789" s="111"/>
      <c r="P789" s="111"/>
      <c r="Q789" s="111"/>
      <c r="R789" s="111"/>
    </row>
    <row r="790" spans="2:18" s="108" customFormat="1">
      <c r="B790" s="109"/>
      <c r="C790" s="110"/>
      <c r="D790" s="109"/>
      <c r="E790" s="109"/>
      <c r="F790" s="97"/>
      <c r="G790" s="109"/>
      <c r="H790" s="109"/>
      <c r="I790" s="97"/>
      <c r="J790" s="97"/>
      <c r="K790" s="83"/>
      <c r="L790" s="111"/>
      <c r="M790" s="111"/>
      <c r="N790" s="111"/>
      <c r="O790" s="111"/>
      <c r="P790" s="111"/>
      <c r="Q790" s="111"/>
      <c r="R790" s="111"/>
    </row>
    <row r="791" spans="2:18" s="108" customFormat="1">
      <c r="B791" s="109"/>
      <c r="C791" s="110"/>
      <c r="D791" s="109"/>
      <c r="E791" s="109"/>
      <c r="F791" s="97"/>
      <c r="G791" s="109"/>
      <c r="H791" s="109"/>
      <c r="I791" s="97"/>
      <c r="J791" s="97"/>
      <c r="K791" s="83"/>
      <c r="L791" s="111"/>
      <c r="M791" s="111"/>
      <c r="N791" s="111"/>
      <c r="O791" s="111"/>
      <c r="P791" s="111"/>
      <c r="Q791" s="111"/>
      <c r="R791" s="111"/>
    </row>
    <row r="792" spans="2:18" s="108" customFormat="1">
      <c r="B792" s="109"/>
      <c r="C792" s="110"/>
      <c r="D792" s="109"/>
      <c r="E792" s="109"/>
      <c r="F792" s="97"/>
      <c r="G792" s="109"/>
      <c r="H792" s="109"/>
      <c r="I792" s="97"/>
      <c r="J792" s="97"/>
      <c r="K792" s="83"/>
      <c r="L792" s="111"/>
      <c r="M792" s="111"/>
      <c r="N792" s="111"/>
      <c r="O792" s="111"/>
      <c r="P792" s="111"/>
      <c r="Q792" s="111"/>
      <c r="R792" s="111"/>
    </row>
    <row r="793" spans="2:18" s="108" customFormat="1">
      <c r="B793" s="109"/>
      <c r="C793" s="110"/>
      <c r="D793" s="109"/>
      <c r="E793" s="109"/>
      <c r="F793" s="97"/>
      <c r="G793" s="109"/>
      <c r="H793" s="109"/>
      <c r="I793" s="97"/>
      <c r="J793" s="97"/>
      <c r="K793" s="83"/>
      <c r="L793" s="111"/>
      <c r="M793" s="111"/>
      <c r="N793" s="111"/>
      <c r="O793" s="111"/>
      <c r="P793" s="111"/>
      <c r="Q793" s="111"/>
      <c r="R793" s="111"/>
    </row>
    <row r="794" spans="2:18" s="108" customFormat="1">
      <c r="B794" s="109"/>
      <c r="C794" s="110"/>
      <c r="D794" s="109"/>
      <c r="E794" s="109"/>
      <c r="F794" s="97"/>
      <c r="G794" s="109"/>
      <c r="H794" s="109"/>
      <c r="I794" s="97"/>
      <c r="J794" s="97"/>
      <c r="K794" s="83"/>
      <c r="L794" s="111"/>
      <c r="M794" s="111"/>
      <c r="N794" s="111"/>
      <c r="O794" s="111"/>
      <c r="P794" s="111"/>
      <c r="Q794" s="111"/>
      <c r="R794" s="111"/>
    </row>
    <row r="795" spans="2:18" s="108" customFormat="1">
      <c r="B795" s="109"/>
      <c r="C795" s="110"/>
      <c r="D795" s="109"/>
      <c r="E795" s="109"/>
      <c r="F795" s="97"/>
      <c r="G795" s="109"/>
      <c r="H795" s="109"/>
      <c r="I795" s="97"/>
      <c r="J795" s="97"/>
      <c r="K795" s="83"/>
      <c r="L795" s="111"/>
      <c r="M795" s="111"/>
      <c r="N795" s="111"/>
      <c r="O795" s="111"/>
      <c r="P795" s="111"/>
      <c r="Q795" s="111"/>
      <c r="R795" s="111"/>
    </row>
    <row r="796" spans="2:18" s="108" customFormat="1">
      <c r="B796" s="109"/>
      <c r="C796" s="110"/>
      <c r="D796" s="109"/>
      <c r="E796" s="109"/>
      <c r="F796" s="97"/>
      <c r="G796" s="109"/>
      <c r="H796" s="109"/>
      <c r="I796" s="97"/>
      <c r="J796" s="97"/>
      <c r="K796" s="83"/>
      <c r="L796" s="111"/>
      <c r="M796" s="111"/>
      <c r="N796" s="111"/>
      <c r="O796" s="111"/>
      <c r="P796" s="111"/>
      <c r="Q796" s="111"/>
      <c r="R796" s="111"/>
    </row>
    <row r="797" spans="2:18" s="108" customFormat="1">
      <c r="B797" s="109"/>
      <c r="C797" s="110"/>
      <c r="D797" s="109"/>
      <c r="E797" s="109"/>
      <c r="F797" s="97"/>
      <c r="G797" s="109"/>
      <c r="H797" s="109"/>
      <c r="I797" s="97"/>
      <c r="J797" s="97"/>
      <c r="K797" s="83"/>
      <c r="L797" s="111"/>
      <c r="M797" s="111"/>
      <c r="N797" s="111"/>
      <c r="O797" s="111"/>
      <c r="P797" s="111"/>
      <c r="Q797" s="111"/>
      <c r="R797" s="111"/>
    </row>
    <row r="798" spans="2:18" s="108" customFormat="1">
      <c r="B798" s="109"/>
      <c r="C798" s="110"/>
      <c r="D798" s="109"/>
      <c r="E798" s="109"/>
      <c r="F798" s="97"/>
      <c r="G798" s="109"/>
      <c r="H798" s="109"/>
      <c r="I798" s="97"/>
      <c r="J798" s="97"/>
      <c r="K798" s="83"/>
      <c r="L798" s="111"/>
      <c r="M798" s="111"/>
      <c r="N798" s="111"/>
      <c r="O798" s="111"/>
      <c r="P798" s="111"/>
      <c r="Q798" s="111"/>
      <c r="R798" s="111"/>
    </row>
    <row r="799" spans="2:18" s="108" customFormat="1">
      <c r="B799" s="109"/>
      <c r="C799" s="110"/>
      <c r="D799" s="109"/>
      <c r="E799" s="109"/>
      <c r="F799" s="97"/>
      <c r="G799" s="109"/>
      <c r="H799" s="109"/>
      <c r="I799" s="97"/>
      <c r="J799" s="97"/>
      <c r="K799" s="83"/>
      <c r="L799" s="111"/>
      <c r="M799" s="111"/>
      <c r="N799" s="111"/>
      <c r="O799" s="111"/>
      <c r="P799" s="111"/>
      <c r="Q799" s="111"/>
      <c r="R799" s="111"/>
    </row>
    <row r="800" spans="2:18" s="108" customFormat="1">
      <c r="B800" s="109"/>
      <c r="C800" s="110"/>
      <c r="D800" s="109"/>
      <c r="E800" s="109"/>
      <c r="F800" s="97"/>
      <c r="G800" s="109"/>
      <c r="H800" s="109"/>
      <c r="I800" s="97"/>
      <c r="J800" s="97"/>
      <c r="K800" s="83"/>
      <c r="L800" s="111"/>
      <c r="M800" s="111"/>
      <c r="N800" s="111"/>
      <c r="O800" s="111"/>
      <c r="P800" s="111"/>
      <c r="Q800" s="111"/>
      <c r="R800" s="111"/>
    </row>
    <row r="801" spans="2:18" s="108" customFormat="1">
      <c r="B801" s="109"/>
      <c r="C801" s="110"/>
      <c r="D801" s="109"/>
      <c r="E801" s="109"/>
      <c r="F801" s="97"/>
      <c r="G801" s="109"/>
      <c r="H801" s="109"/>
      <c r="I801" s="97"/>
      <c r="J801" s="97"/>
      <c r="K801" s="83"/>
      <c r="L801" s="111"/>
      <c r="M801" s="111"/>
      <c r="N801" s="111"/>
      <c r="O801" s="111"/>
      <c r="P801" s="111"/>
      <c r="Q801" s="111"/>
      <c r="R801" s="111"/>
    </row>
    <row r="802" spans="2:18" s="108" customFormat="1">
      <c r="B802" s="109"/>
      <c r="C802" s="110"/>
      <c r="D802" s="109"/>
      <c r="E802" s="109"/>
      <c r="F802" s="97"/>
      <c r="G802" s="109"/>
      <c r="H802" s="109"/>
      <c r="I802" s="97"/>
      <c r="J802" s="97"/>
      <c r="K802" s="83"/>
      <c r="L802" s="111"/>
      <c r="M802" s="111"/>
      <c r="N802" s="111"/>
      <c r="O802" s="111"/>
      <c r="P802" s="111"/>
      <c r="Q802" s="111"/>
      <c r="R802" s="111"/>
    </row>
    <row r="803" spans="2:18" s="108" customFormat="1">
      <c r="B803" s="109"/>
      <c r="C803" s="110"/>
      <c r="D803" s="109"/>
      <c r="E803" s="109"/>
      <c r="F803" s="97"/>
      <c r="G803" s="109"/>
      <c r="H803" s="109"/>
      <c r="I803" s="97"/>
      <c r="J803" s="97"/>
      <c r="K803" s="83"/>
      <c r="L803" s="111"/>
      <c r="M803" s="111"/>
      <c r="N803" s="111"/>
      <c r="O803" s="111"/>
      <c r="P803" s="111"/>
      <c r="Q803" s="111"/>
      <c r="R803" s="111"/>
    </row>
    <row r="804" spans="2:18" s="108" customFormat="1">
      <c r="B804" s="109"/>
      <c r="C804" s="110"/>
      <c r="D804" s="109"/>
      <c r="E804" s="109"/>
      <c r="F804" s="97"/>
      <c r="G804" s="109"/>
      <c r="H804" s="109"/>
      <c r="I804" s="97"/>
      <c r="J804" s="97"/>
      <c r="K804" s="83"/>
      <c r="L804" s="111"/>
      <c r="M804" s="111"/>
      <c r="N804" s="111"/>
      <c r="O804" s="111"/>
      <c r="P804" s="111"/>
      <c r="Q804" s="111"/>
      <c r="R804" s="111"/>
    </row>
    <row r="805" spans="2:18" s="108" customFormat="1">
      <c r="B805" s="109"/>
      <c r="C805" s="110"/>
      <c r="D805" s="109"/>
      <c r="E805" s="109"/>
      <c r="F805" s="97"/>
      <c r="G805" s="109"/>
      <c r="H805" s="109"/>
      <c r="I805" s="97"/>
      <c r="J805" s="97"/>
      <c r="K805" s="83"/>
      <c r="L805" s="111"/>
      <c r="M805" s="111"/>
      <c r="N805" s="111"/>
      <c r="O805" s="111"/>
      <c r="P805" s="111"/>
      <c r="Q805" s="111"/>
      <c r="R805" s="111"/>
    </row>
    <row r="806" spans="2:18" s="108" customFormat="1">
      <c r="B806" s="109"/>
      <c r="C806" s="110"/>
      <c r="D806" s="109"/>
      <c r="E806" s="109"/>
      <c r="F806" s="97"/>
      <c r="G806" s="109"/>
      <c r="H806" s="109"/>
      <c r="I806" s="97"/>
      <c r="J806" s="97"/>
      <c r="K806" s="83"/>
      <c r="L806" s="111"/>
      <c r="M806" s="111"/>
      <c r="N806" s="111"/>
      <c r="O806" s="111"/>
      <c r="P806" s="111"/>
      <c r="Q806" s="111"/>
      <c r="R806" s="111"/>
    </row>
    <row r="807" spans="2:18" s="108" customFormat="1">
      <c r="B807" s="109"/>
      <c r="C807" s="110"/>
      <c r="D807" s="109"/>
      <c r="E807" s="109"/>
      <c r="F807" s="97"/>
      <c r="G807" s="109"/>
      <c r="H807" s="109"/>
      <c r="I807" s="97"/>
      <c r="J807" s="97"/>
      <c r="K807" s="83"/>
      <c r="L807" s="111"/>
      <c r="M807" s="111"/>
      <c r="N807" s="111"/>
      <c r="O807" s="111"/>
      <c r="P807" s="111"/>
      <c r="Q807" s="111"/>
      <c r="R807" s="111"/>
    </row>
    <row r="808" spans="2:18" s="108" customFormat="1">
      <c r="B808" s="109"/>
      <c r="C808" s="110"/>
      <c r="D808" s="109"/>
      <c r="E808" s="109"/>
      <c r="F808" s="97"/>
      <c r="G808" s="109"/>
      <c r="H808" s="109"/>
      <c r="I808" s="97"/>
      <c r="J808" s="97"/>
      <c r="K808" s="83"/>
      <c r="L808" s="111"/>
      <c r="M808" s="111"/>
      <c r="N808" s="111"/>
      <c r="O808" s="111"/>
      <c r="P808" s="111"/>
      <c r="Q808" s="111"/>
      <c r="R808" s="111"/>
    </row>
    <row r="809" spans="2:18" s="108" customFormat="1">
      <c r="B809" s="109"/>
      <c r="C809" s="110"/>
      <c r="D809" s="109"/>
      <c r="E809" s="109"/>
      <c r="F809" s="97"/>
      <c r="G809" s="109"/>
      <c r="H809" s="109"/>
      <c r="I809" s="97"/>
      <c r="J809" s="97"/>
      <c r="K809" s="83"/>
      <c r="L809" s="111"/>
      <c r="M809" s="111"/>
      <c r="N809" s="111"/>
      <c r="O809" s="111"/>
      <c r="P809" s="111"/>
      <c r="Q809" s="111"/>
      <c r="R809" s="111"/>
    </row>
    <row r="810" spans="2:18" s="108" customFormat="1">
      <c r="B810" s="109"/>
      <c r="C810" s="110"/>
      <c r="D810" s="109"/>
      <c r="E810" s="109"/>
      <c r="F810" s="97"/>
      <c r="G810" s="109"/>
      <c r="H810" s="109"/>
      <c r="I810" s="97"/>
      <c r="J810" s="97"/>
      <c r="K810" s="83"/>
      <c r="L810" s="111"/>
      <c r="M810" s="111"/>
      <c r="N810" s="111"/>
      <c r="O810" s="111"/>
      <c r="P810" s="111"/>
      <c r="Q810" s="111"/>
      <c r="R810" s="111"/>
    </row>
    <row r="811" spans="2:18" s="108" customFormat="1">
      <c r="B811" s="109"/>
      <c r="C811" s="110"/>
      <c r="D811" s="109"/>
      <c r="E811" s="109"/>
      <c r="F811" s="97"/>
      <c r="G811" s="109"/>
      <c r="H811" s="109"/>
      <c r="I811" s="97"/>
      <c r="J811" s="97"/>
      <c r="K811" s="83"/>
      <c r="L811" s="111"/>
      <c r="M811" s="111"/>
      <c r="N811" s="111"/>
      <c r="O811" s="111"/>
      <c r="P811" s="111"/>
      <c r="Q811" s="111"/>
      <c r="R811" s="111"/>
    </row>
    <row r="812" spans="2:18" s="108" customFormat="1">
      <c r="B812" s="109"/>
      <c r="C812" s="110"/>
      <c r="D812" s="109"/>
      <c r="E812" s="109"/>
      <c r="F812" s="97"/>
      <c r="G812" s="109"/>
      <c r="H812" s="109"/>
      <c r="I812" s="97"/>
      <c r="J812" s="97"/>
      <c r="K812" s="83"/>
      <c r="L812" s="111"/>
      <c r="M812" s="111"/>
      <c r="N812" s="111"/>
      <c r="O812" s="111"/>
      <c r="P812" s="111"/>
      <c r="Q812" s="111"/>
      <c r="R812" s="111"/>
    </row>
    <row r="813" spans="2:18" s="108" customFormat="1">
      <c r="B813" s="109"/>
      <c r="C813" s="110"/>
      <c r="D813" s="109"/>
      <c r="E813" s="109"/>
      <c r="F813" s="97"/>
      <c r="G813" s="109"/>
      <c r="H813" s="109"/>
      <c r="I813" s="97"/>
      <c r="J813" s="97"/>
      <c r="K813" s="83"/>
      <c r="L813" s="111"/>
      <c r="M813" s="111"/>
      <c r="N813" s="111"/>
      <c r="O813" s="111"/>
      <c r="P813" s="111"/>
      <c r="Q813" s="111"/>
      <c r="R813" s="111"/>
    </row>
    <row r="814" spans="2:18" s="108" customFormat="1">
      <c r="B814" s="109"/>
      <c r="C814" s="110"/>
      <c r="D814" s="109"/>
      <c r="E814" s="109"/>
      <c r="F814" s="97"/>
      <c r="G814" s="109"/>
      <c r="H814" s="109"/>
      <c r="I814" s="97"/>
      <c r="J814" s="97"/>
      <c r="K814" s="83"/>
      <c r="L814" s="111"/>
      <c r="M814" s="111"/>
      <c r="N814" s="111"/>
      <c r="O814" s="111"/>
      <c r="P814" s="111"/>
      <c r="Q814" s="111"/>
      <c r="R814" s="111"/>
    </row>
    <row r="815" spans="2:18" s="108" customFormat="1">
      <c r="B815" s="109"/>
      <c r="C815" s="110"/>
      <c r="D815" s="109"/>
      <c r="E815" s="109"/>
      <c r="F815" s="97"/>
      <c r="G815" s="109"/>
      <c r="H815" s="109"/>
      <c r="I815" s="97"/>
      <c r="J815" s="97"/>
      <c r="K815" s="83"/>
      <c r="L815" s="111"/>
      <c r="M815" s="111"/>
      <c r="N815" s="111"/>
      <c r="O815" s="111"/>
      <c r="P815" s="111"/>
      <c r="Q815" s="111"/>
      <c r="R815" s="111"/>
    </row>
    <row r="816" spans="2:18" s="108" customFormat="1">
      <c r="B816" s="109"/>
      <c r="C816" s="110"/>
      <c r="D816" s="109"/>
      <c r="E816" s="109"/>
      <c r="F816" s="97"/>
      <c r="G816" s="109"/>
      <c r="H816" s="109"/>
      <c r="I816" s="97"/>
      <c r="J816" s="97"/>
      <c r="K816" s="83"/>
      <c r="L816" s="111"/>
      <c r="M816" s="111"/>
      <c r="N816" s="111"/>
      <c r="O816" s="111"/>
      <c r="P816" s="111"/>
      <c r="Q816" s="111"/>
      <c r="R816" s="111"/>
    </row>
    <row r="817" spans="2:18" s="108" customFormat="1">
      <c r="B817" s="109"/>
      <c r="C817" s="110"/>
      <c r="D817" s="109"/>
      <c r="E817" s="109"/>
      <c r="F817" s="97"/>
      <c r="G817" s="109"/>
      <c r="H817" s="109"/>
      <c r="I817" s="97"/>
      <c r="J817" s="97"/>
      <c r="K817" s="83"/>
      <c r="L817" s="111"/>
      <c r="M817" s="111"/>
      <c r="N817" s="111"/>
      <c r="O817" s="111"/>
      <c r="P817" s="111"/>
      <c r="Q817" s="111"/>
      <c r="R817" s="111"/>
    </row>
    <row r="818" spans="2:18" s="108" customFormat="1">
      <c r="B818" s="109"/>
      <c r="C818" s="110"/>
      <c r="D818" s="109"/>
      <c r="E818" s="109"/>
      <c r="F818" s="97"/>
      <c r="G818" s="109"/>
      <c r="H818" s="109"/>
      <c r="I818" s="97"/>
      <c r="J818" s="97"/>
      <c r="K818" s="83"/>
      <c r="L818" s="111"/>
      <c r="M818" s="111"/>
      <c r="N818" s="111"/>
      <c r="O818" s="111"/>
      <c r="P818" s="111"/>
      <c r="Q818" s="111"/>
      <c r="R818" s="111"/>
    </row>
    <row r="819" spans="2:18" s="108" customFormat="1">
      <c r="B819" s="109"/>
      <c r="C819" s="110"/>
      <c r="D819" s="109"/>
      <c r="E819" s="109"/>
      <c r="F819" s="97"/>
      <c r="G819" s="109"/>
      <c r="H819" s="109"/>
      <c r="I819" s="97"/>
      <c r="J819" s="97"/>
      <c r="K819" s="83"/>
      <c r="L819" s="111"/>
      <c r="M819" s="111"/>
      <c r="N819" s="111"/>
      <c r="O819" s="111"/>
      <c r="P819" s="111"/>
      <c r="Q819" s="111"/>
      <c r="R819" s="111"/>
    </row>
    <row r="820" spans="2:18" s="108" customFormat="1">
      <c r="B820" s="109"/>
      <c r="C820" s="110"/>
      <c r="D820" s="109"/>
      <c r="E820" s="109"/>
      <c r="F820" s="97"/>
      <c r="G820" s="109"/>
      <c r="H820" s="109"/>
      <c r="I820" s="97"/>
      <c r="J820" s="97"/>
      <c r="K820" s="83"/>
      <c r="L820" s="111"/>
      <c r="M820" s="111"/>
      <c r="N820" s="111"/>
      <c r="O820" s="111"/>
      <c r="P820" s="111"/>
      <c r="Q820" s="111"/>
      <c r="R820" s="111"/>
    </row>
    <row r="821" spans="2:18" s="108" customFormat="1">
      <c r="B821" s="109"/>
      <c r="C821" s="110"/>
      <c r="D821" s="109"/>
      <c r="E821" s="109"/>
      <c r="F821" s="97"/>
      <c r="G821" s="109"/>
      <c r="H821" s="109"/>
      <c r="I821" s="97"/>
      <c r="J821" s="97"/>
      <c r="K821" s="83"/>
      <c r="L821" s="111"/>
      <c r="M821" s="111"/>
      <c r="N821" s="111"/>
      <c r="O821" s="111"/>
      <c r="P821" s="111"/>
      <c r="Q821" s="111"/>
      <c r="R821" s="111"/>
    </row>
    <row r="822" spans="2:18" s="108" customFormat="1">
      <c r="B822" s="109"/>
      <c r="C822" s="110"/>
      <c r="D822" s="109"/>
      <c r="E822" s="109"/>
      <c r="F822" s="97"/>
      <c r="G822" s="109"/>
      <c r="H822" s="109"/>
      <c r="I822" s="97"/>
      <c r="J822" s="97"/>
      <c r="K822" s="83"/>
      <c r="L822" s="111"/>
      <c r="M822" s="111"/>
      <c r="N822" s="111"/>
      <c r="O822" s="111"/>
      <c r="P822" s="111"/>
      <c r="Q822" s="111"/>
      <c r="R822" s="111"/>
    </row>
    <row r="823" spans="2:18" s="108" customFormat="1">
      <c r="B823" s="109"/>
      <c r="C823" s="110"/>
      <c r="D823" s="109"/>
      <c r="E823" s="109"/>
      <c r="F823" s="97"/>
      <c r="G823" s="109"/>
      <c r="H823" s="109"/>
      <c r="I823" s="97"/>
      <c r="J823" s="97"/>
      <c r="K823" s="83"/>
      <c r="L823" s="111"/>
      <c r="M823" s="111"/>
      <c r="N823" s="111"/>
      <c r="O823" s="111"/>
      <c r="P823" s="111"/>
      <c r="Q823" s="111"/>
      <c r="R823" s="111"/>
    </row>
    <row r="824" spans="2:18" s="108" customFormat="1">
      <c r="B824" s="109"/>
      <c r="C824" s="110"/>
      <c r="D824" s="109"/>
      <c r="E824" s="109"/>
      <c r="F824" s="97"/>
      <c r="G824" s="109"/>
      <c r="H824" s="109"/>
      <c r="I824" s="97"/>
      <c r="J824" s="97"/>
      <c r="K824" s="83"/>
      <c r="L824" s="111"/>
      <c r="M824" s="111"/>
      <c r="N824" s="111"/>
      <c r="O824" s="111"/>
      <c r="P824" s="111"/>
      <c r="Q824" s="111"/>
      <c r="R824" s="111"/>
    </row>
    <row r="825" spans="2:18" s="108" customFormat="1">
      <c r="B825" s="109"/>
      <c r="C825" s="110"/>
      <c r="D825" s="109"/>
      <c r="E825" s="109"/>
      <c r="F825" s="97"/>
      <c r="G825" s="109"/>
      <c r="H825" s="109"/>
      <c r="I825" s="97"/>
      <c r="J825" s="97"/>
      <c r="K825" s="83"/>
      <c r="L825" s="111"/>
      <c r="M825" s="111"/>
      <c r="N825" s="111"/>
      <c r="O825" s="111"/>
      <c r="P825" s="111"/>
      <c r="Q825" s="111"/>
      <c r="R825" s="111"/>
    </row>
    <row r="826" spans="2:18" s="108" customFormat="1">
      <c r="B826" s="109"/>
      <c r="C826" s="110"/>
      <c r="D826" s="109"/>
      <c r="E826" s="109"/>
      <c r="F826" s="97"/>
      <c r="G826" s="109"/>
      <c r="H826" s="109"/>
      <c r="I826" s="97"/>
      <c r="J826" s="97"/>
      <c r="K826" s="83"/>
      <c r="L826" s="111"/>
      <c r="M826" s="111"/>
      <c r="N826" s="111"/>
      <c r="O826" s="111"/>
      <c r="P826" s="111"/>
      <c r="Q826" s="111"/>
      <c r="R826" s="111"/>
    </row>
    <row r="827" spans="2:18" s="108" customFormat="1">
      <c r="B827" s="109"/>
      <c r="C827" s="110"/>
      <c r="D827" s="109"/>
      <c r="E827" s="109"/>
      <c r="F827" s="97"/>
      <c r="G827" s="109"/>
      <c r="H827" s="109"/>
      <c r="I827" s="97"/>
      <c r="J827" s="97"/>
      <c r="K827" s="83"/>
      <c r="L827" s="111"/>
      <c r="M827" s="111"/>
      <c r="N827" s="111"/>
      <c r="O827" s="111"/>
      <c r="P827" s="111"/>
      <c r="Q827" s="111"/>
      <c r="R827" s="111"/>
    </row>
    <row r="828" spans="2:18" s="108" customFormat="1">
      <c r="B828" s="109"/>
      <c r="C828" s="110"/>
      <c r="D828" s="109"/>
      <c r="E828" s="109"/>
      <c r="F828" s="97"/>
      <c r="G828" s="109"/>
      <c r="H828" s="109"/>
      <c r="I828" s="97"/>
      <c r="J828" s="97"/>
      <c r="K828" s="83"/>
      <c r="L828" s="111"/>
      <c r="M828" s="111"/>
      <c r="N828" s="111"/>
      <c r="O828" s="111"/>
      <c r="P828" s="111"/>
      <c r="Q828" s="111"/>
      <c r="R828" s="111"/>
    </row>
    <row r="829" spans="2:18" s="108" customFormat="1">
      <c r="B829" s="109"/>
      <c r="C829" s="110"/>
      <c r="D829" s="109"/>
      <c r="E829" s="109"/>
      <c r="F829" s="97"/>
      <c r="G829" s="109"/>
      <c r="H829" s="109"/>
      <c r="I829" s="97"/>
      <c r="J829" s="97"/>
      <c r="K829" s="83"/>
      <c r="L829" s="111"/>
      <c r="M829" s="111"/>
      <c r="N829" s="111"/>
      <c r="O829" s="111"/>
      <c r="P829" s="111"/>
      <c r="Q829" s="111"/>
      <c r="R829" s="111"/>
    </row>
    <row r="830" spans="2:18" s="108" customFormat="1">
      <c r="B830" s="109"/>
      <c r="C830" s="110"/>
      <c r="D830" s="109"/>
      <c r="E830" s="109"/>
      <c r="F830" s="97"/>
      <c r="G830" s="109"/>
      <c r="H830" s="109"/>
      <c r="I830" s="97"/>
      <c r="J830" s="97"/>
      <c r="K830" s="83"/>
      <c r="L830" s="111"/>
      <c r="M830" s="111"/>
      <c r="N830" s="111"/>
      <c r="O830" s="111"/>
      <c r="P830" s="111"/>
      <c r="Q830" s="111"/>
      <c r="R830" s="111"/>
    </row>
    <row r="831" spans="2:18" s="108" customFormat="1">
      <c r="B831" s="109"/>
      <c r="C831" s="110"/>
      <c r="D831" s="109"/>
      <c r="E831" s="109"/>
      <c r="F831" s="97"/>
      <c r="G831" s="109"/>
      <c r="H831" s="109"/>
      <c r="I831" s="97"/>
      <c r="J831" s="97"/>
      <c r="K831" s="83"/>
      <c r="L831" s="111"/>
      <c r="M831" s="111"/>
      <c r="N831" s="111"/>
      <c r="O831" s="111"/>
      <c r="P831" s="111"/>
      <c r="Q831" s="111"/>
      <c r="R831" s="111"/>
    </row>
    <row r="832" spans="2:18" s="108" customFormat="1">
      <c r="B832" s="109"/>
      <c r="C832" s="110"/>
      <c r="D832" s="109"/>
      <c r="E832" s="109"/>
      <c r="F832" s="97"/>
      <c r="G832" s="109"/>
      <c r="H832" s="109"/>
      <c r="I832" s="97"/>
      <c r="J832" s="97"/>
      <c r="K832" s="83"/>
      <c r="L832" s="111"/>
      <c r="M832" s="111"/>
      <c r="N832" s="111"/>
      <c r="O832" s="111"/>
      <c r="P832" s="111"/>
      <c r="Q832" s="111"/>
      <c r="R832" s="111"/>
    </row>
    <row r="833" spans="2:18" s="108" customFormat="1">
      <c r="B833" s="109"/>
      <c r="C833" s="110"/>
      <c r="D833" s="109"/>
      <c r="E833" s="109"/>
      <c r="F833" s="97"/>
      <c r="G833" s="109"/>
      <c r="H833" s="109"/>
      <c r="I833" s="97"/>
      <c r="J833" s="97"/>
      <c r="K833" s="83"/>
      <c r="L833" s="111"/>
      <c r="M833" s="111"/>
      <c r="N833" s="111"/>
      <c r="O833" s="111"/>
      <c r="P833" s="111"/>
      <c r="Q833" s="111"/>
      <c r="R833" s="111"/>
    </row>
    <row r="834" spans="2:18" s="108" customFormat="1">
      <c r="B834" s="109"/>
      <c r="C834" s="110"/>
      <c r="D834" s="109"/>
      <c r="E834" s="109"/>
      <c r="F834" s="97"/>
      <c r="G834" s="109"/>
      <c r="H834" s="109"/>
      <c r="I834" s="97"/>
      <c r="J834" s="97"/>
      <c r="K834" s="83"/>
      <c r="L834" s="111"/>
      <c r="M834" s="111"/>
      <c r="N834" s="111"/>
      <c r="O834" s="111"/>
      <c r="P834" s="111"/>
      <c r="Q834" s="111"/>
      <c r="R834" s="111"/>
    </row>
    <row r="835" spans="2:18" s="108" customFormat="1">
      <c r="B835" s="109"/>
      <c r="C835" s="110"/>
      <c r="D835" s="109"/>
      <c r="E835" s="109"/>
      <c r="F835" s="97"/>
      <c r="G835" s="109"/>
      <c r="H835" s="109"/>
      <c r="I835" s="97"/>
      <c r="J835" s="97"/>
      <c r="K835" s="83"/>
      <c r="L835" s="111"/>
      <c r="M835" s="111"/>
      <c r="N835" s="111"/>
      <c r="O835" s="111"/>
      <c r="P835" s="111"/>
      <c r="Q835" s="111"/>
      <c r="R835" s="111"/>
    </row>
    <row r="836" spans="2:18" s="108" customFormat="1">
      <c r="B836" s="109"/>
      <c r="C836" s="110"/>
      <c r="D836" s="109"/>
      <c r="E836" s="109"/>
      <c r="F836" s="97"/>
      <c r="G836" s="109"/>
      <c r="H836" s="109"/>
      <c r="I836" s="97"/>
      <c r="J836" s="97"/>
      <c r="K836" s="83"/>
      <c r="L836" s="111"/>
      <c r="M836" s="111"/>
      <c r="N836" s="111"/>
      <c r="O836" s="111"/>
      <c r="P836" s="111"/>
      <c r="Q836" s="111"/>
      <c r="R836" s="111"/>
    </row>
    <row r="837" spans="2:18" s="108" customFormat="1">
      <c r="B837" s="109"/>
      <c r="C837" s="110"/>
      <c r="D837" s="109"/>
      <c r="E837" s="109"/>
      <c r="F837" s="97"/>
      <c r="G837" s="109"/>
      <c r="H837" s="109"/>
      <c r="I837" s="97"/>
      <c r="J837" s="97"/>
      <c r="K837" s="83"/>
      <c r="L837" s="111"/>
      <c r="M837" s="111"/>
      <c r="N837" s="111"/>
      <c r="O837" s="111"/>
      <c r="P837" s="111"/>
      <c r="Q837" s="111"/>
      <c r="R837" s="111"/>
    </row>
    <row r="838" spans="2:18" s="108" customFormat="1">
      <c r="B838" s="109"/>
      <c r="C838" s="110"/>
      <c r="D838" s="109"/>
      <c r="E838" s="109"/>
      <c r="F838" s="97"/>
      <c r="G838" s="109"/>
      <c r="H838" s="109"/>
      <c r="I838" s="97"/>
      <c r="J838" s="97"/>
      <c r="K838" s="83"/>
      <c r="L838" s="111"/>
      <c r="M838" s="111"/>
      <c r="N838" s="111"/>
      <c r="O838" s="111"/>
      <c r="P838" s="111"/>
      <c r="Q838" s="111"/>
      <c r="R838" s="111"/>
    </row>
    <row r="839" spans="2:18" s="108" customFormat="1">
      <c r="B839" s="109"/>
      <c r="C839" s="110"/>
      <c r="D839" s="109"/>
      <c r="E839" s="109"/>
      <c r="F839" s="97"/>
      <c r="G839" s="109"/>
      <c r="H839" s="109"/>
      <c r="I839" s="97"/>
      <c r="J839" s="97"/>
      <c r="K839" s="83"/>
      <c r="L839" s="111"/>
      <c r="M839" s="111"/>
      <c r="N839" s="111"/>
      <c r="O839" s="111"/>
      <c r="P839" s="111"/>
      <c r="Q839" s="111"/>
      <c r="R839" s="111"/>
    </row>
    <row r="840" spans="2:18" s="108" customFormat="1">
      <c r="B840" s="109"/>
      <c r="C840" s="110"/>
      <c r="D840" s="109"/>
      <c r="E840" s="109"/>
      <c r="F840" s="97"/>
      <c r="G840" s="109"/>
      <c r="H840" s="109"/>
      <c r="I840" s="97"/>
      <c r="J840" s="97"/>
      <c r="K840" s="83"/>
      <c r="L840" s="111"/>
      <c r="M840" s="111"/>
      <c r="N840" s="111"/>
      <c r="O840" s="111"/>
      <c r="P840" s="111"/>
      <c r="Q840" s="111"/>
      <c r="R840" s="111"/>
    </row>
    <row r="841" spans="2:18" s="108" customFormat="1">
      <c r="B841" s="109"/>
      <c r="C841" s="110"/>
      <c r="D841" s="109"/>
      <c r="E841" s="109"/>
      <c r="F841" s="97"/>
      <c r="G841" s="109"/>
      <c r="H841" s="109"/>
      <c r="I841" s="97"/>
      <c r="J841" s="97"/>
      <c r="K841" s="83"/>
      <c r="L841" s="111"/>
      <c r="M841" s="111"/>
      <c r="N841" s="111"/>
      <c r="O841" s="111"/>
      <c r="P841" s="111"/>
      <c r="Q841" s="111"/>
      <c r="R841" s="111"/>
    </row>
    <row r="842" spans="2:18" s="108" customFormat="1">
      <c r="B842" s="109"/>
      <c r="C842" s="110"/>
      <c r="D842" s="109"/>
      <c r="E842" s="109"/>
      <c r="F842" s="97"/>
      <c r="G842" s="109"/>
      <c r="H842" s="109"/>
      <c r="I842" s="97"/>
      <c r="J842" s="97"/>
      <c r="K842" s="83"/>
      <c r="L842" s="111"/>
      <c r="M842" s="111"/>
      <c r="N842" s="111"/>
      <c r="O842" s="111"/>
      <c r="P842" s="111"/>
      <c r="Q842" s="111"/>
      <c r="R842" s="111"/>
    </row>
    <row r="843" spans="2:18" s="108" customFormat="1">
      <c r="B843" s="109"/>
      <c r="C843" s="110"/>
      <c r="D843" s="109"/>
      <c r="E843" s="109"/>
      <c r="F843" s="97"/>
      <c r="G843" s="109"/>
      <c r="H843" s="109"/>
      <c r="I843" s="97"/>
      <c r="J843" s="97"/>
      <c r="K843" s="83"/>
      <c r="L843" s="111"/>
      <c r="M843" s="111"/>
      <c r="N843" s="111"/>
      <c r="O843" s="111"/>
      <c r="P843" s="111"/>
      <c r="Q843" s="111"/>
      <c r="R843" s="111"/>
    </row>
    <row r="844" spans="2:18" s="108" customFormat="1">
      <c r="B844" s="109"/>
      <c r="C844" s="110"/>
      <c r="D844" s="109"/>
      <c r="E844" s="109"/>
      <c r="F844" s="97"/>
      <c r="G844" s="109"/>
      <c r="H844" s="109"/>
      <c r="I844" s="97"/>
      <c r="J844" s="97"/>
      <c r="K844" s="83"/>
      <c r="L844" s="111"/>
      <c r="M844" s="111"/>
      <c r="N844" s="111"/>
      <c r="O844" s="111"/>
      <c r="P844" s="111"/>
      <c r="Q844" s="111"/>
      <c r="R844" s="111"/>
    </row>
    <row r="845" spans="2:18" s="108" customFormat="1">
      <c r="B845" s="109"/>
      <c r="C845" s="110"/>
      <c r="D845" s="109"/>
      <c r="E845" s="109"/>
      <c r="F845" s="97"/>
      <c r="G845" s="109"/>
      <c r="H845" s="109"/>
      <c r="I845" s="97"/>
      <c r="J845" s="97"/>
      <c r="K845" s="83"/>
      <c r="L845" s="111"/>
      <c r="M845" s="111"/>
      <c r="N845" s="111"/>
      <c r="O845" s="111"/>
      <c r="P845" s="111"/>
      <c r="Q845" s="111"/>
      <c r="R845" s="111"/>
    </row>
    <row r="846" spans="2:18" s="108" customFormat="1">
      <c r="B846" s="109"/>
      <c r="C846" s="110"/>
      <c r="D846" s="109"/>
      <c r="E846" s="109"/>
      <c r="F846" s="97"/>
      <c r="G846" s="109"/>
      <c r="H846" s="109"/>
      <c r="I846" s="97"/>
      <c r="J846" s="97"/>
      <c r="K846" s="83"/>
      <c r="L846" s="111"/>
      <c r="M846" s="111"/>
      <c r="N846" s="111"/>
      <c r="O846" s="111"/>
      <c r="P846" s="111"/>
      <c r="Q846" s="111"/>
      <c r="R846" s="111"/>
    </row>
    <row r="847" spans="2:18" s="108" customFormat="1">
      <c r="B847" s="109"/>
      <c r="C847" s="110"/>
      <c r="D847" s="109"/>
      <c r="E847" s="109"/>
      <c r="F847" s="97"/>
      <c r="G847" s="109"/>
      <c r="H847" s="109"/>
      <c r="I847" s="97"/>
      <c r="J847" s="97"/>
      <c r="K847" s="83"/>
      <c r="L847" s="111"/>
      <c r="M847" s="111"/>
      <c r="N847" s="111"/>
      <c r="O847" s="111"/>
      <c r="P847" s="111"/>
      <c r="Q847" s="111"/>
      <c r="R847" s="111"/>
    </row>
    <row r="848" spans="2:18" s="108" customFormat="1">
      <c r="B848" s="109"/>
      <c r="C848" s="110"/>
      <c r="D848" s="109"/>
      <c r="E848" s="109"/>
      <c r="F848" s="97"/>
      <c r="G848" s="109"/>
      <c r="H848" s="109"/>
      <c r="I848" s="97"/>
      <c r="J848" s="97"/>
      <c r="K848" s="83"/>
      <c r="L848" s="111"/>
      <c r="M848" s="111"/>
      <c r="N848" s="111"/>
      <c r="O848" s="111"/>
      <c r="P848" s="111"/>
      <c r="Q848" s="111"/>
      <c r="R848" s="111"/>
    </row>
    <row r="849" spans="2:18" s="108" customFormat="1">
      <c r="B849" s="109"/>
      <c r="C849" s="110"/>
      <c r="D849" s="109"/>
      <c r="E849" s="109"/>
      <c r="F849" s="97"/>
      <c r="G849" s="109"/>
      <c r="H849" s="109"/>
      <c r="I849" s="97"/>
      <c r="J849" s="97"/>
      <c r="K849" s="83"/>
      <c r="L849" s="111"/>
      <c r="M849" s="111"/>
      <c r="N849" s="111"/>
      <c r="O849" s="111"/>
      <c r="P849" s="111"/>
      <c r="Q849" s="111"/>
      <c r="R849" s="111"/>
    </row>
    <row r="850" spans="2:18" s="108" customFormat="1">
      <c r="B850" s="109"/>
      <c r="C850" s="110"/>
      <c r="D850" s="109"/>
      <c r="E850" s="109"/>
      <c r="F850" s="97"/>
      <c r="G850" s="109"/>
      <c r="H850" s="109"/>
      <c r="I850" s="97"/>
      <c r="J850" s="97"/>
      <c r="K850" s="83"/>
      <c r="L850" s="111"/>
      <c r="M850" s="111"/>
      <c r="N850" s="111"/>
      <c r="O850" s="111"/>
      <c r="P850" s="111"/>
      <c r="Q850" s="111"/>
      <c r="R850" s="111"/>
    </row>
    <row r="851" spans="2:18" s="108" customFormat="1">
      <c r="B851" s="109"/>
      <c r="C851" s="110"/>
      <c r="D851" s="109"/>
      <c r="E851" s="109"/>
      <c r="F851" s="97"/>
      <c r="G851" s="109"/>
      <c r="H851" s="109"/>
      <c r="I851" s="97"/>
      <c r="J851" s="97"/>
      <c r="K851" s="83"/>
      <c r="L851" s="111"/>
      <c r="M851" s="111"/>
      <c r="N851" s="111"/>
      <c r="O851" s="111"/>
      <c r="P851" s="111"/>
      <c r="Q851" s="111"/>
      <c r="R851" s="111"/>
    </row>
    <row r="852" spans="2:18" s="108" customFormat="1">
      <c r="B852" s="109"/>
      <c r="C852" s="110"/>
      <c r="D852" s="109"/>
      <c r="E852" s="109"/>
      <c r="F852" s="97"/>
      <c r="G852" s="109"/>
      <c r="H852" s="109"/>
      <c r="I852" s="97"/>
      <c r="J852" s="97"/>
      <c r="K852" s="83"/>
      <c r="L852" s="111"/>
      <c r="M852" s="111"/>
      <c r="N852" s="111"/>
      <c r="O852" s="111"/>
      <c r="P852" s="111"/>
      <c r="Q852" s="111"/>
      <c r="R852" s="111"/>
    </row>
    <row r="853" spans="2:18" s="108" customFormat="1">
      <c r="B853" s="109"/>
      <c r="C853" s="110"/>
      <c r="D853" s="109"/>
      <c r="E853" s="109"/>
      <c r="F853" s="97"/>
      <c r="G853" s="109"/>
      <c r="H853" s="109"/>
      <c r="I853" s="97"/>
      <c r="J853" s="97"/>
      <c r="K853" s="83"/>
      <c r="L853" s="111"/>
      <c r="M853" s="111"/>
      <c r="N853" s="111"/>
      <c r="O853" s="111"/>
      <c r="P853" s="111"/>
      <c r="Q853" s="111"/>
      <c r="R853" s="111"/>
    </row>
    <row r="854" spans="2:18" s="108" customFormat="1">
      <c r="B854" s="109"/>
      <c r="C854" s="110"/>
      <c r="D854" s="109"/>
      <c r="E854" s="109"/>
      <c r="F854" s="97"/>
      <c r="G854" s="109"/>
      <c r="H854" s="109"/>
      <c r="I854" s="97"/>
      <c r="J854" s="97"/>
      <c r="K854" s="83"/>
      <c r="L854" s="111"/>
      <c r="M854" s="111"/>
      <c r="N854" s="111"/>
      <c r="O854" s="111"/>
      <c r="P854" s="111"/>
      <c r="Q854" s="111"/>
      <c r="R854" s="111"/>
    </row>
    <row r="855" spans="2:18" s="108" customFormat="1">
      <c r="B855" s="109"/>
      <c r="C855" s="110"/>
      <c r="D855" s="109"/>
      <c r="E855" s="109"/>
      <c r="F855" s="97"/>
      <c r="G855" s="109"/>
      <c r="H855" s="109"/>
      <c r="I855" s="97"/>
      <c r="J855" s="97"/>
      <c r="K855" s="83"/>
      <c r="L855" s="111"/>
      <c r="M855" s="111"/>
      <c r="N855" s="111"/>
      <c r="O855" s="111"/>
      <c r="P855" s="111"/>
      <c r="Q855" s="111"/>
      <c r="R855" s="111"/>
    </row>
    <row r="856" spans="2:18" s="108" customFormat="1">
      <c r="B856" s="109"/>
      <c r="C856" s="110"/>
      <c r="D856" s="109"/>
      <c r="E856" s="109"/>
      <c r="F856" s="97"/>
      <c r="G856" s="109"/>
      <c r="H856" s="109"/>
      <c r="I856" s="97"/>
      <c r="J856" s="97"/>
      <c r="K856" s="83"/>
      <c r="L856" s="111"/>
      <c r="M856" s="111"/>
      <c r="N856" s="111"/>
      <c r="O856" s="111"/>
      <c r="P856" s="111"/>
      <c r="Q856" s="111"/>
      <c r="R856" s="111"/>
    </row>
    <row r="857" spans="2:18" s="108" customFormat="1">
      <c r="B857" s="109"/>
      <c r="C857" s="110"/>
      <c r="D857" s="109"/>
      <c r="E857" s="109"/>
      <c r="F857" s="97"/>
      <c r="G857" s="109"/>
      <c r="H857" s="109"/>
      <c r="I857" s="97"/>
      <c r="J857" s="97"/>
      <c r="K857" s="83"/>
      <c r="L857" s="111"/>
      <c r="M857" s="111"/>
      <c r="N857" s="111"/>
      <c r="O857" s="111"/>
      <c r="P857" s="111"/>
      <c r="Q857" s="111"/>
      <c r="R857" s="111"/>
    </row>
    <row r="858" spans="2:18" s="108" customFormat="1">
      <c r="B858" s="109"/>
      <c r="C858" s="110"/>
      <c r="D858" s="109"/>
      <c r="E858" s="109"/>
      <c r="F858" s="97"/>
      <c r="G858" s="109"/>
      <c r="H858" s="109"/>
      <c r="I858" s="97"/>
      <c r="J858" s="97"/>
      <c r="K858" s="83"/>
      <c r="L858" s="111"/>
      <c r="M858" s="111"/>
      <c r="N858" s="111"/>
      <c r="O858" s="111"/>
      <c r="P858" s="111"/>
      <c r="Q858" s="111"/>
      <c r="R858" s="111"/>
    </row>
    <row r="859" spans="2:18" s="108" customFormat="1">
      <c r="B859" s="109"/>
      <c r="C859" s="110"/>
      <c r="D859" s="109"/>
      <c r="E859" s="109"/>
      <c r="F859" s="97"/>
      <c r="G859" s="109"/>
      <c r="H859" s="109"/>
      <c r="I859" s="97"/>
      <c r="J859" s="97"/>
      <c r="K859" s="83"/>
      <c r="L859" s="111"/>
      <c r="M859" s="111"/>
      <c r="N859" s="111"/>
      <c r="O859" s="111"/>
      <c r="P859" s="111"/>
      <c r="Q859" s="111"/>
      <c r="R859" s="111"/>
    </row>
    <row r="860" spans="2:18" s="108" customFormat="1">
      <c r="B860" s="109"/>
      <c r="C860" s="110"/>
      <c r="D860" s="109"/>
      <c r="E860" s="109"/>
      <c r="F860" s="97"/>
      <c r="G860" s="109"/>
      <c r="H860" s="109"/>
      <c r="I860" s="97"/>
      <c r="J860" s="97"/>
      <c r="K860" s="83"/>
      <c r="L860" s="111"/>
      <c r="M860" s="111"/>
      <c r="N860" s="111"/>
      <c r="O860" s="111"/>
      <c r="P860" s="111"/>
      <c r="Q860" s="111"/>
      <c r="R860" s="111"/>
    </row>
    <row r="861" spans="2:18" s="108" customFormat="1">
      <c r="B861" s="109"/>
      <c r="C861" s="110"/>
      <c r="D861" s="109"/>
      <c r="E861" s="109"/>
      <c r="F861" s="97"/>
      <c r="G861" s="109"/>
      <c r="H861" s="109"/>
      <c r="I861" s="97"/>
      <c r="J861" s="97"/>
      <c r="K861" s="83"/>
      <c r="L861" s="111"/>
      <c r="M861" s="111"/>
      <c r="N861" s="111"/>
      <c r="O861" s="111"/>
      <c r="P861" s="111"/>
      <c r="Q861" s="111"/>
      <c r="R861" s="111"/>
    </row>
    <row r="862" spans="2:18" s="108" customFormat="1">
      <c r="B862" s="109"/>
      <c r="C862" s="110"/>
      <c r="D862" s="109"/>
      <c r="E862" s="109"/>
      <c r="F862" s="97"/>
      <c r="G862" s="109"/>
      <c r="H862" s="109"/>
      <c r="I862" s="97"/>
      <c r="J862" s="97"/>
      <c r="K862" s="83"/>
      <c r="L862" s="111"/>
      <c r="M862" s="111"/>
      <c r="N862" s="111"/>
      <c r="O862" s="111"/>
      <c r="P862" s="111"/>
      <c r="Q862" s="111"/>
      <c r="R862" s="111"/>
    </row>
    <row r="863" spans="2:18" s="108" customFormat="1">
      <c r="B863" s="109"/>
      <c r="C863" s="110"/>
      <c r="D863" s="109"/>
      <c r="E863" s="109"/>
      <c r="F863" s="97"/>
      <c r="G863" s="109"/>
      <c r="H863" s="109"/>
      <c r="I863" s="97"/>
      <c r="J863" s="97"/>
      <c r="K863" s="83"/>
      <c r="L863" s="111"/>
      <c r="M863" s="111"/>
      <c r="N863" s="111"/>
      <c r="O863" s="111"/>
      <c r="P863" s="111"/>
      <c r="Q863" s="111"/>
      <c r="R863" s="111"/>
    </row>
    <row r="864" spans="2:18" s="108" customFormat="1">
      <c r="B864" s="109"/>
      <c r="C864" s="110"/>
      <c r="D864" s="109"/>
      <c r="E864" s="109"/>
      <c r="F864" s="97"/>
      <c r="G864" s="109"/>
      <c r="H864" s="109"/>
      <c r="I864" s="97"/>
      <c r="J864" s="97"/>
      <c r="K864" s="83"/>
      <c r="L864" s="111"/>
      <c r="M864" s="111"/>
      <c r="N864" s="111"/>
      <c r="O864" s="111"/>
      <c r="P864" s="111"/>
      <c r="Q864" s="111"/>
      <c r="R864" s="111"/>
    </row>
    <row r="865" spans="2:18" s="108" customFormat="1">
      <c r="B865" s="109"/>
      <c r="C865" s="110"/>
      <c r="D865" s="109"/>
      <c r="E865" s="109"/>
      <c r="F865" s="97"/>
      <c r="G865" s="109"/>
      <c r="H865" s="109"/>
      <c r="I865" s="97"/>
      <c r="J865" s="97"/>
      <c r="K865" s="83"/>
      <c r="L865" s="111"/>
      <c r="M865" s="111"/>
      <c r="N865" s="111"/>
      <c r="O865" s="111"/>
      <c r="P865" s="111"/>
      <c r="Q865" s="111"/>
      <c r="R865" s="111"/>
    </row>
    <row r="866" spans="2:18" s="108" customFormat="1">
      <c r="B866" s="109"/>
      <c r="C866" s="110"/>
      <c r="D866" s="109"/>
      <c r="E866" s="109"/>
      <c r="F866" s="97"/>
      <c r="G866" s="109"/>
      <c r="H866" s="109"/>
      <c r="I866" s="97"/>
      <c r="J866" s="97"/>
      <c r="K866" s="83"/>
      <c r="L866" s="111"/>
      <c r="M866" s="111"/>
      <c r="N866" s="111"/>
      <c r="O866" s="111"/>
      <c r="P866" s="111"/>
      <c r="Q866" s="111"/>
      <c r="R866" s="111"/>
    </row>
    <row r="867" spans="2:18" s="108" customFormat="1">
      <c r="B867" s="109"/>
      <c r="C867" s="110"/>
      <c r="D867" s="109"/>
      <c r="E867" s="109"/>
      <c r="F867" s="97"/>
      <c r="G867" s="109"/>
      <c r="H867" s="109"/>
      <c r="I867" s="97"/>
      <c r="J867" s="97"/>
      <c r="K867" s="83"/>
      <c r="L867" s="111"/>
      <c r="M867" s="111"/>
      <c r="N867" s="111"/>
      <c r="O867" s="111"/>
      <c r="P867" s="111"/>
      <c r="Q867" s="111"/>
      <c r="R867" s="111"/>
    </row>
    <row r="868" spans="2:18" s="108" customFormat="1">
      <c r="B868" s="109"/>
      <c r="C868" s="110"/>
      <c r="D868" s="109"/>
      <c r="E868" s="109"/>
      <c r="F868" s="97"/>
      <c r="G868" s="109"/>
      <c r="H868" s="109"/>
      <c r="I868" s="97"/>
      <c r="J868" s="97"/>
      <c r="K868" s="83"/>
      <c r="L868" s="111"/>
      <c r="M868" s="111"/>
      <c r="N868" s="111"/>
      <c r="O868" s="111"/>
      <c r="P868" s="111"/>
      <c r="Q868" s="111"/>
      <c r="R868" s="111"/>
    </row>
    <row r="869" spans="2:18" s="108" customFormat="1">
      <c r="B869" s="109"/>
      <c r="C869" s="110"/>
      <c r="D869" s="109"/>
      <c r="E869" s="109"/>
      <c r="F869" s="97"/>
      <c r="G869" s="109"/>
      <c r="H869" s="109"/>
      <c r="I869" s="97"/>
      <c r="J869" s="97"/>
      <c r="K869" s="83"/>
      <c r="L869" s="111"/>
      <c r="M869" s="111"/>
      <c r="N869" s="111"/>
      <c r="O869" s="111"/>
      <c r="P869" s="111"/>
      <c r="Q869" s="111"/>
      <c r="R869" s="111"/>
    </row>
    <row r="870" spans="2:18" s="108" customFormat="1">
      <c r="B870" s="109"/>
      <c r="C870" s="110"/>
      <c r="D870" s="109"/>
      <c r="E870" s="109"/>
      <c r="F870" s="97"/>
      <c r="G870" s="109"/>
      <c r="H870" s="109"/>
      <c r="I870" s="97"/>
      <c r="J870" s="97"/>
      <c r="K870" s="83"/>
      <c r="L870" s="111"/>
      <c r="M870" s="111"/>
      <c r="N870" s="111"/>
      <c r="O870" s="111"/>
      <c r="P870" s="111"/>
      <c r="Q870" s="111"/>
      <c r="R870" s="111"/>
    </row>
    <row r="871" spans="2:18" s="108" customFormat="1">
      <c r="B871" s="109"/>
      <c r="C871" s="110"/>
      <c r="D871" s="109"/>
      <c r="E871" s="109"/>
      <c r="F871" s="97"/>
      <c r="G871" s="109"/>
      <c r="H871" s="109"/>
      <c r="I871" s="97"/>
      <c r="J871" s="97"/>
      <c r="K871" s="83"/>
      <c r="L871" s="111"/>
      <c r="M871" s="111"/>
      <c r="N871" s="111"/>
      <c r="O871" s="111"/>
      <c r="P871" s="111"/>
      <c r="Q871" s="111"/>
      <c r="R871" s="111"/>
    </row>
    <row r="872" spans="2:18" s="108" customFormat="1">
      <c r="B872" s="109"/>
      <c r="C872" s="110"/>
      <c r="D872" s="109"/>
      <c r="E872" s="109"/>
      <c r="F872" s="97"/>
      <c r="G872" s="109"/>
      <c r="H872" s="109"/>
      <c r="I872" s="97"/>
      <c r="J872" s="97"/>
      <c r="K872" s="83"/>
      <c r="L872" s="111"/>
      <c r="M872" s="111"/>
      <c r="N872" s="111"/>
      <c r="O872" s="111"/>
      <c r="P872" s="111"/>
      <c r="Q872" s="111"/>
      <c r="R872" s="111"/>
    </row>
    <row r="873" spans="2:18" s="108" customFormat="1">
      <c r="B873" s="109"/>
      <c r="C873" s="110"/>
      <c r="D873" s="109"/>
      <c r="E873" s="109"/>
      <c r="F873" s="97"/>
      <c r="G873" s="109"/>
      <c r="H873" s="109"/>
      <c r="I873" s="97"/>
      <c r="J873" s="97"/>
      <c r="K873" s="83"/>
      <c r="L873" s="111"/>
      <c r="M873" s="111"/>
      <c r="N873" s="111"/>
      <c r="O873" s="111"/>
      <c r="P873" s="111"/>
      <c r="Q873" s="111"/>
      <c r="R873" s="111"/>
    </row>
    <row r="874" spans="2:18" s="108" customFormat="1">
      <c r="B874" s="109"/>
      <c r="C874" s="110"/>
      <c r="D874" s="109"/>
      <c r="E874" s="109"/>
      <c r="F874" s="97"/>
      <c r="G874" s="109"/>
      <c r="H874" s="109"/>
      <c r="I874" s="97"/>
      <c r="J874" s="97"/>
      <c r="K874" s="83"/>
      <c r="L874" s="111"/>
      <c r="M874" s="111"/>
      <c r="N874" s="111"/>
      <c r="O874" s="111"/>
      <c r="P874" s="111"/>
      <c r="Q874" s="111"/>
      <c r="R874" s="111"/>
    </row>
    <row r="875" spans="2:18" s="108" customFormat="1">
      <c r="B875" s="109"/>
      <c r="C875" s="110"/>
      <c r="D875" s="109"/>
      <c r="E875" s="109"/>
      <c r="F875" s="97"/>
      <c r="G875" s="109"/>
      <c r="H875" s="109"/>
      <c r="I875" s="97"/>
      <c r="J875" s="97"/>
      <c r="K875" s="83"/>
      <c r="L875" s="111"/>
      <c r="M875" s="111"/>
      <c r="N875" s="111"/>
      <c r="O875" s="111"/>
      <c r="P875" s="111"/>
      <c r="Q875" s="111"/>
      <c r="R875" s="111"/>
    </row>
    <row r="876" spans="2:18" s="108" customFormat="1">
      <c r="B876" s="109"/>
      <c r="C876" s="110"/>
      <c r="D876" s="109"/>
      <c r="E876" s="109"/>
      <c r="F876" s="97"/>
      <c r="G876" s="109"/>
      <c r="H876" s="109"/>
      <c r="I876" s="97"/>
      <c r="J876" s="97"/>
      <c r="K876" s="83"/>
      <c r="L876" s="111"/>
      <c r="M876" s="111"/>
      <c r="N876" s="111"/>
      <c r="O876" s="111"/>
      <c r="P876" s="111"/>
      <c r="Q876" s="111"/>
      <c r="R876" s="111"/>
    </row>
    <row r="877" spans="2:18" s="108" customFormat="1">
      <c r="B877" s="109"/>
      <c r="C877" s="110"/>
      <c r="D877" s="109"/>
      <c r="E877" s="109"/>
      <c r="F877" s="97"/>
      <c r="G877" s="109"/>
      <c r="H877" s="109"/>
      <c r="I877" s="97"/>
      <c r="J877" s="97"/>
      <c r="K877" s="83"/>
      <c r="L877" s="111"/>
      <c r="M877" s="111"/>
      <c r="N877" s="111"/>
      <c r="O877" s="111"/>
      <c r="P877" s="111"/>
      <c r="Q877" s="111"/>
      <c r="R877" s="111"/>
    </row>
    <row r="878" spans="2:18" s="108" customFormat="1">
      <c r="B878" s="109"/>
      <c r="C878" s="110"/>
      <c r="D878" s="109"/>
      <c r="E878" s="109"/>
      <c r="F878" s="97"/>
      <c r="G878" s="109"/>
      <c r="H878" s="109"/>
      <c r="I878" s="97"/>
      <c r="J878" s="97"/>
      <c r="K878" s="83"/>
      <c r="L878" s="111"/>
      <c r="M878" s="111"/>
      <c r="N878" s="111"/>
      <c r="O878" s="111"/>
      <c r="P878" s="111"/>
      <c r="Q878" s="111"/>
      <c r="R878" s="111"/>
    </row>
    <row r="879" spans="2:18" s="108" customFormat="1">
      <c r="B879" s="109"/>
      <c r="C879" s="110"/>
      <c r="D879" s="109"/>
      <c r="E879" s="109"/>
      <c r="F879" s="97"/>
      <c r="G879" s="109"/>
      <c r="H879" s="109"/>
      <c r="I879" s="97"/>
      <c r="J879" s="97"/>
      <c r="K879" s="83"/>
      <c r="L879" s="111"/>
      <c r="M879" s="111"/>
      <c r="N879" s="111"/>
      <c r="O879" s="111"/>
      <c r="P879" s="111"/>
      <c r="Q879" s="111"/>
      <c r="R879" s="111"/>
    </row>
    <row r="880" spans="2:18" s="108" customFormat="1">
      <c r="B880" s="109"/>
      <c r="C880" s="110"/>
      <c r="D880" s="109"/>
      <c r="E880" s="109"/>
      <c r="F880" s="97"/>
      <c r="G880" s="109"/>
      <c r="H880" s="109"/>
      <c r="I880" s="97"/>
      <c r="J880" s="97"/>
      <c r="K880" s="83"/>
      <c r="L880" s="111"/>
      <c r="M880" s="111"/>
      <c r="N880" s="111"/>
      <c r="O880" s="111"/>
      <c r="P880" s="111"/>
      <c r="Q880" s="111"/>
      <c r="R880" s="111"/>
    </row>
    <row r="881" spans="2:18" s="108" customFormat="1">
      <c r="B881" s="109"/>
      <c r="C881" s="110"/>
      <c r="D881" s="109"/>
      <c r="E881" s="109"/>
      <c r="F881" s="97"/>
      <c r="G881" s="109"/>
      <c r="H881" s="109"/>
      <c r="I881" s="97"/>
      <c r="J881" s="97"/>
      <c r="K881" s="83"/>
      <c r="L881" s="111"/>
      <c r="M881" s="111"/>
      <c r="N881" s="111"/>
      <c r="O881" s="111"/>
      <c r="P881" s="111"/>
      <c r="Q881" s="111"/>
      <c r="R881" s="111"/>
    </row>
    <row r="882" spans="2:18" s="108" customFormat="1">
      <c r="B882" s="109"/>
      <c r="C882" s="110"/>
      <c r="D882" s="109"/>
      <c r="E882" s="109"/>
      <c r="F882" s="97"/>
      <c r="G882" s="109"/>
      <c r="H882" s="109"/>
      <c r="I882" s="97"/>
      <c r="J882" s="97"/>
      <c r="K882" s="83"/>
      <c r="L882" s="111"/>
      <c r="M882" s="111"/>
      <c r="N882" s="111"/>
      <c r="O882" s="111"/>
      <c r="P882" s="111"/>
      <c r="Q882" s="111"/>
      <c r="R882" s="111"/>
    </row>
    <row r="883" spans="2:18" s="108" customFormat="1">
      <c r="B883" s="109"/>
      <c r="C883" s="110"/>
      <c r="D883" s="109"/>
      <c r="E883" s="109"/>
      <c r="F883" s="97"/>
      <c r="G883" s="109"/>
      <c r="H883" s="109"/>
      <c r="I883" s="97"/>
      <c r="J883" s="97"/>
      <c r="K883" s="83"/>
      <c r="L883" s="111"/>
      <c r="M883" s="111"/>
      <c r="N883" s="111"/>
      <c r="O883" s="111"/>
      <c r="P883" s="111"/>
      <c r="Q883" s="111"/>
      <c r="R883" s="111"/>
    </row>
    <row r="884" spans="2:18" s="108" customFormat="1">
      <c r="B884" s="109"/>
      <c r="C884" s="110"/>
      <c r="D884" s="109"/>
      <c r="E884" s="109"/>
      <c r="F884" s="97"/>
      <c r="G884" s="109"/>
      <c r="H884" s="109"/>
      <c r="I884" s="97"/>
      <c r="J884" s="97"/>
      <c r="K884" s="83"/>
      <c r="L884" s="111"/>
      <c r="M884" s="111"/>
      <c r="N884" s="111"/>
      <c r="O884" s="111"/>
      <c r="P884" s="111"/>
      <c r="Q884" s="111"/>
      <c r="R884" s="111"/>
    </row>
    <row r="885" spans="2:18" s="108" customFormat="1">
      <c r="B885" s="109"/>
      <c r="C885" s="110"/>
      <c r="D885" s="109"/>
      <c r="E885" s="109"/>
      <c r="F885" s="97"/>
      <c r="G885" s="109"/>
      <c r="H885" s="109"/>
      <c r="I885" s="97"/>
      <c r="J885" s="97"/>
      <c r="K885" s="83"/>
      <c r="L885" s="111"/>
      <c r="M885" s="111"/>
      <c r="N885" s="111"/>
      <c r="O885" s="111"/>
      <c r="P885" s="111"/>
      <c r="Q885" s="111"/>
      <c r="R885" s="111"/>
    </row>
    <row r="886" spans="2:18" s="108" customFormat="1">
      <c r="B886" s="109"/>
      <c r="C886" s="110"/>
      <c r="D886" s="109"/>
      <c r="E886" s="109"/>
      <c r="F886" s="97"/>
      <c r="G886" s="109"/>
      <c r="H886" s="109"/>
      <c r="I886" s="97"/>
      <c r="J886" s="97"/>
      <c r="K886" s="83"/>
      <c r="L886" s="111"/>
      <c r="M886" s="111"/>
      <c r="N886" s="111"/>
      <c r="O886" s="111"/>
      <c r="P886" s="111"/>
      <c r="Q886" s="111"/>
      <c r="R886" s="111"/>
    </row>
    <row r="887" spans="2:18" s="108" customFormat="1">
      <c r="B887" s="109"/>
      <c r="C887" s="110"/>
      <c r="D887" s="109"/>
      <c r="E887" s="109"/>
      <c r="F887" s="97"/>
      <c r="G887" s="109"/>
      <c r="H887" s="109"/>
      <c r="I887" s="97"/>
      <c r="J887" s="97"/>
      <c r="K887" s="83"/>
      <c r="L887" s="111"/>
      <c r="M887" s="111"/>
      <c r="N887" s="111"/>
      <c r="O887" s="111"/>
      <c r="P887" s="111"/>
      <c r="Q887" s="111"/>
      <c r="R887" s="111"/>
    </row>
    <row r="888" spans="2:18" s="108" customFormat="1">
      <c r="B888" s="109"/>
      <c r="C888" s="110"/>
      <c r="D888" s="109"/>
      <c r="E888" s="109"/>
      <c r="F888" s="97"/>
      <c r="G888" s="109"/>
      <c r="H888" s="109"/>
      <c r="I888" s="97"/>
      <c r="J888" s="97"/>
      <c r="K888" s="83"/>
      <c r="L888" s="111"/>
      <c r="M888" s="111"/>
      <c r="N888" s="111"/>
      <c r="O888" s="111"/>
      <c r="P888" s="111"/>
      <c r="Q888" s="111"/>
      <c r="R888" s="111"/>
    </row>
    <row r="889" spans="2:18" s="108" customFormat="1">
      <c r="B889" s="109"/>
      <c r="C889" s="110"/>
      <c r="D889" s="109"/>
      <c r="E889" s="109"/>
      <c r="F889" s="97"/>
      <c r="G889" s="109"/>
      <c r="H889" s="109"/>
      <c r="I889" s="97"/>
      <c r="J889" s="97"/>
      <c r="K889" s="83"/>
      <c r="L889" s="111"/>
      <c r="M889" s="111"/>
      <c r="N889" s="111"/>
      <c r="O889" s="111"/>
      <c r="P889" s="111"/>
      <c r="Q889" s="111"/>
      <c r="R889" s="111"/>
    </row>
    <row r="890" spans="2:18" s="108" customFormat="1">
      <c r="B890" s="109"/>
      <c r="C890" s="110"/>
      <c r="D890" s="109"/>
      <c r="E890" s="109"/>
      <c r="F890" s="97"/>
      <c r="G890" s="109"/>
      <c r="H890" s="109"/>
      <c r="I890" s="97"/>
      <c r="J890" s="97"/>
      <c r="K890" s="83"/>
      <c r="L890" s="111"/>
      <c r="M890" s="111"/>
      <c r="N890" s="111"/>
      <c r="O890" s="111"/>
      <c r="P890" s="111"/>
      <c r="Q890" s="111"/>
      <c r="R890" s="111"/>
    </row>
    <row r="891" spans="2:18" s="108" customFormat="1">
      <c r="B891" s="109"/>
      <c r="C891" s="110"/>
      <c r="D891" s="109"/>
      <c r="E891" s="109"/>
      <c r="F891" s="97"/>
      <c r="G891" s="109"/>
      <c r="H891" s="109"/>
      <c r="I891" s="97"/>
      <c r="J891" s="97"/>
      <c r="K891" s="83"/>
      <c r="L891" s="111"/>
      <c r="M891" s="111"/>
      <c r="N891" s="111"/>
      <c r="O891" s="111"/>
      <c r="P891" s="111"/>
      <c r="Q891" s="111"/>
      <c r="R891" s="111"/>
    </row>
    <row r="892" spans="2:18" s="108" customFormat="1">
      <c r="B892" s="109"/>
      <c r="C892" s="110"/>
      <c r="D892" s="109"/>
      <c r="E892" s="109"/>
      <c r="F892" s="97"/>
      <c r="G892" s="109"/>
      <c r="H892" s="109"/>
      <c r="I892" s="97"/>
      <c r="J892" s="97"/>
      <c r="K892" s="83"/>
      <c r="L892" s="111"/>
      <c r="M892" s="111"/>
      <c r="N892" s="111"/>
      <c r="O892" s="111"/>
      <c r="P892" s="111"/>
      <c r="Q892" s="111"/>
      <c r="R892" s="111"/>
    </row>
    <row r="893" spans="2:18" s="108" customFormat="1">
      <c r="B893" s="109"/>
      <c r="C893" s="110"/>
      <c r="D893" s="109"/>
      <c r="E893" s="109"/>
      <c r="F893" s="97"/>
      <c r="G893" s="109"/>
      <c r="H893" s="109"/>
      <c r="I893" s="97"/>
      <c r="J893" s="97"/>
      <c r="K893" s="83"/>
      <c r="L893" s="111"/>
      <c r="M893" s="111"/>
      <c r="N893" s="111"/>
      <c r="O893" s="111"/>
      <c r="P893" s="111"/>
      <c r="Q893" s="111"/>
      <c r="R893" s="111"/>
    </row>
    <row r="894" spans="2:18" s="108" customFormat="1">
      <c r="B894" s="109"/>
      <c r="C894" s="110"/>
      <c r="D894" s="109"/>
      <c r="E894" s="109"/>
      <c r="F894" s="97"/>
      <c r="G894" s="109"/>
      <c r="H894" s="109"/>
      <c r="I894" s="97"/>
      <c r="J894" s="97"/>
      <c r="K894" s="83"/>
      <c r="L894" s="111"/>
      <c r="M894" s="111"/>
      <c r="N894" s="111"/>
      <c r="O894" s="111"/>
      <c r="P894" s="111"/>
      <c r="Q894" s="111"/>
      <c r="R894" s="111"/>
    </row>
    <row r="895" spans="2:18" s="108" customFormat="1">
      <c r="B895" s="109"/>
      <c r="C895" s="110"/>
      <c r="D895" s="109"/>
      <c r="E895" s="109"/>
      <c r="F895" s="97"/>
      <c r="G895" s="109"/>
      <c r="H895" s="109"/>
      <c r="I895" s="97"/>
      <c r="J895" s="97"/>
      <c r="K895" s="83"/>
      <c r="L895" s="111"/>
      <c r="M895" s="111"/>
      <c r="N895" s="111"/>
      <c r="O895" s="111"/>
      <c r="P895" s="111"/>
      <c r="Q895" s="111"/>
      <c r="R895" s="111"/>
    </row>
    <row r="896" spans="2:18" s="108" customFormat="1">
      <c r="B896" s="109"/>
      <c r="C896" s="110"/>
      <c r="D896" s="109"/>
      <c r="E896" s="109"/>
      <c r="F896" s="97"/>
      <c r="G896" s="109"/>
      <c r="H896" s="109"/>
      <c r="I896" s="97"/>
      <c r="J896" s="97"/>
      <c r="K896" s="83"/>
      <c r="L896" s="111"/>
      <c r="M896" s="111"/>
      <c r="N896" s="111"/>
      <c r="O896" s="111"/>
      <c r="P896" s="111"/>
      <c r="Q896" s="111"/>
      <c r="R896" s="111"/>
    </row>
    <row r="897" spans="2:18" s="108" customFormat="1">
      <c r="B897" s="109"/>
      <c r="C897" s="110"/>
      <c r="D897" s="109"/>
      <c r="E897" s="109"/>
      <c r="F897" s="97"/>
      <c r="G897" s="109"/>
      <c r="H897" s="109"/>
      <c r="I897" s="97"/>
      <c r="J897" s="97"/>
      <c r="K897" s="83"/>
      <c r="L897" s="111"/>
      <c r="M897" s="111"/>
      <c r="N897" s="111"/>
      <c r="O897" s="111"/>
      <c r="P897" s="111"/>
      <c r="Q897" s="111"/>
      <c r="R897" s="111"/>
    </row>
    <row r="898" spans="2:18" s="108" customFormat="1">
      <c r="B898" s="109"/>
      <c r="C898" s="110"/>
      <c r="D898" s="109"/>
      <c r="E898" s="109"/>
      <c r="F898" s="97"/>
      <c r="G898" s="109"/>
      <c r="H898" s="109"/>
      <c r="I898" s="97"/>
      <c r="J898" s="97"/>
      <c r="K898" s="83"/>
      <c r="L898" s="111"/>
      <c r="M898" s="111"/>
      <c r="N898" s="111"/>
      <c r="O898" s="111"/>
      <c r="P898" s="111"/>
      <c r="Q898" s="111"/>
      <c r="R898" s="111"/>
    </row>
    <row r="899" spans="2:18" s="108" customFormat="1">
      <c r="B899" s="109"/>
      <c r="C899" s="110"/>
      <c r="D899" s="109"/>
      <c r="E899" s="109"/>
      <c r="F899" s="97"/>
      <c r="G899" s="109"/>
      <c r="H899" s="109"/>
      <c r="I899" s="97"/>
      <c r="J899" s="97"/>
      <c r="K899" s="83"/>
      <c r="L899" s="111"/>
      <c r="M899" s="111"/>
      <c r="N899" s="111"/>
      <c r="O899" s="111"/>
      <c r="P899" s="111"/>
      <c r="Q899" s="111"/>
      <c r="R899" s="111"/>
    </row>
    <row r="900" spans="2:18" s="108" customFormat="1">
      <c r="B900" s="109"/>
      <c r="C900" s="110"/>
      <c r="D900" s="109"/>
      <c r="E900" s="109"/>
      <c r="F900" s="97"/>
      <c r="G900" s="109"/>
      <c r="H900" s="109"/>
      <c r="I900" s="97"/>
      <c r="J900" s="97"/>
      <c r="K900" s="83"/>
      <c r="L900" s="111"/>
      <c r="M900" s="111"/>
      <c r="N900" s="111"/>
      <c r="O900" s="111"/>
      <c r="P900" s="111"/>
      <c r="Q900" s="111"/>
      <c r="R900" s="111"/>
    </row>
    <row r="901" spans="2:18" s="108" customFormat="1">
      <c r="B901" s="109"/>
      <c r="C901" s="110"/>
      <c r="D901" s="109"/>
      <c r="E901" s="109"/>
      <c r="F901" s="97"/>
      <c r="G901" s="109"/>
      <c r="H901" s="109"/>
      <c r="I901" s="97"/>
      <c r="J901" s="97"/>
      <c r="K901" s="83"/>
      <c r="L901" s="111"/>
      <c r="M901" s="111"/>
      <c r="N901" s="111"/>
      <c r="O901" s="111"/>
      <c r="P901" s="111"/>
      <c r="Q901" s="111"/>
      <c r="R901" s="111"/>
    </row>
    <row r="902" spans="2:18" s="108" customFormat="1">
      <c r="B902" s="109"/>
      <c r="C902" s="110"/>
      <c r="D902" s="109"/>
      <c r="E902" s="109"/>
      <c r="F902" s="97"/>
      <c r="G902" s="109"/>
      <c r="H902" s="109"/>
      <c r="I902" s="97"/>
      <c r="J902" s="97"/>
      <c r="K902" s="83"/>
      <c r="L902" s="111"/>
      <c r="M902" s="111"/>
      <c r="N902" s="111"/>
      <c r="O902" s="111"/>
      <c r="P902" s="111"/>
      <c r="Q902" s="111"/>
      <c r="R902" s="111"/>
    </row>
    <row r="903" spans="2:18" s="108" customFormat="1">
      <c r="B903" s="109"/>
      <c r="C903" s="110"/>
      <c r="D903" s="109"/>
      <c r="E903" s="109"/>
      <c r="F903" s="97"/>
      <c r="G903" s="109"/>
      <c r="H903" s="109"/>
      <c r="I903" s="97"/>
      <c r="J903" s="97"/>
      <c r="K903" s="83"/>
      <c r="L903" s="111"/>
      <c r="M903" s="111"/>
      <c r="N903" s="111"/>
      <c r="O903" s="111"/>
      <c r="P903" s="111"/>
      <c r="Q903" s="111"/>
      <c r="R903" s="111"/>
    </row>
    <row r="904" spans="2:18" s="108" customFormat="1">
      <c r="B904" s="109"/>
      <c r="C904" s="110"/>
      <c r="D904" s="109"/>
      <c r="E904" s="109"/>
      <c r="F904" s="97"/>
      <c r="G904" s="109"/>
      <c r="H904" s="109"/>
      <c r="I904" s="97"/>
      <c r="J904" s="97"/>
      <c r="K904" s="83"/>
      <c r="L904" s="111"/>
      <c r="M904" s="111"/>
      <c r="N904" s="111"/>
      <c r="O904" s="111"/>
      <c r="P904" s="111"/>
      <c r="Q904" s="111"/>
      <c r="R904" s="111"/>
    </row>
    <row r="905" spans="2:18" s="108" customFormat="1">
      <c r="B905" s="109"/>
      <c r="C905" s="110"/>
      <c r="D905" s="109"/>
      <c r="E905" s="109"/>
      <c r="F905" s="97"/>
      <c r="G905" s="109"/>
      <c r="H905" s="109"/>
      <c r="I905" s="97"/>
      <c r="J905" s="97"/>
      <c r="K905" s="83"/>
      <c r="L905" s="111"/>
      <c r="M905" s="111"/>
      <c r="N905" s="111"/>
      <c r="O905" s="111"/>
      <c r="P905" s="111"/>
      <c r="Q905" s="111"/>
      <c r="R905" s="111"/>
    </row>
    <row r="906" spans="2:18" s="108" customFormat="1">
      <c r="B906" s="109"/>
      <c r="C906" s="110"/>
      <c r="D906" s="109"/>
      <c r="E906" s="109"/>
      <c r="F906" s="97"/>
      <c r="G906" s="109"/>
      <c r="H906" s="109"/>
      <c r="I906" s="97"/>
      <c r="J906" s="97"/>
      <c r="K906" s="83"/>
      <c r="L906" s="111"/>
      <c r="M906" s="111"/>
      <c r="N906" s="111"/>
      <c r="O906" s="111"/>
      <c r="P906" s="111"/>
      <c r="Q906" s="111"/>
      <c r="R906" s="111"/>
    </row>
    <row r="907" spans="2:18" s="108" customFormat="1">
      <c r="B907" s="109"/>
      <c r="C907" s="110"/>
      <c r="D907" s="109"/>
      <c r="E907" s="109"/>
      <c r="F907" s="97"/>
      <c r="G907" s="109"/>
      <c r="H907" s="109"/>
      <c r="I907" s="97"/>
      <c r="J907" s="97"/>
      <c r="K907" s="83"/>
      <c r="L907" s="111"/>
      <c r="M907" s="111"/>
      <c r="N907" s="111"/>
      <c r="O907" s="111"/>
      <c r="P907" s="111"/>
      <c r="Q907" s="111"/>
      <c r="R907" s="111"/>
    </row>
    <row r="908" spans="2:18" s="108" customFormat="1">
      <c r="B908" s="109"/>
      <c r="C908" s="110"/>
      <c r="D908" s="109"/>
      <c r="E908" s="109"/>
      <c r="F908" s="97"/>
      <c r="G908" s="109"/>
      <c r="H908" s="109"/>
      <c r="I908" s="97"/>
      <c r="J908" s="97"/>
      <c r="K908" s="83"/>
      <c r="L908" s="111"/>
      <c r="M908" s="111"/>
      <c r="N908" s="111"/>
      <c r="O908" s="111"/>
      <c r="P908" s="111"/>
      <c r="Q908" s="111"/>
      <c r="R908" s="111"/>
    </row>
    <row r="909" spans="2:18" s="108" customFormat="1">
      <c r="B909" s="109"/>
      <c r="C909" s="110"/>
      <c r="D909" s="109"/>
      <c r="E909" s="109"/>
      <c r="F909" s="97"/>
      <c r="G909" s="109"/>
      <c r="H909" s="109"/>
      <c r="I909" s="97"/>
      <c r="J909" s="97"/>
      <c r="K909" s="83"/>
      <c r="L909" s="111"/>
      <c r="M909" s="111"/>
      <c r="N909" s="111"/>
      <c r="O909" s="111"/>
      <c r="P909" s="111"/>
      <c r="Q909" s="111"/>
      <c r="R909" s="111"/>
    </row>
    <row r="910" spans="2:18" s="108" customFormat="1">
      <c r="B910" s="109"/>
      <c r="C910" s="110"/>
      <c r="D910" s="109"/>
      <c r="E910" s="109"/>
      <c r="F910" s="97"/>
      <c r="G910" s="109"/>
      <c r="H910" s="109"/>
      <c r="I910" s="97"/>
      <c r="J910" s="97"/>
      <c r="K910" s="83"/>
      <c r="L910" s="111"/>
      <c r="M910" s="111"/>
      <c r="N910" s="111"/>
      <c r="O910" s="111"/>
      <c r="P910" s="111"/>
      <c r="Q910" s="111"/>
      <c r="R910" s="111"/>
    </row>
    <row r="911" spans="2:18" s="108" customFormat="1">
      <c r="B911" s="109"/>
      <c r="C911" s="110"/>
      <c r="D911" s="109"/>
      <c r="E911" s="109"/>
      <c r="F911" s="97"/>
      <c r="G911" s="109"/>
      <c r="H911" s="109"/>
      <c r="I911" s="97"/>
      <c r="J911" s="97"/>
      <c r="K911" s="83"/>
      <c r="L911" s="111"/>
      <c r="M911" s="111"/>
      <c r="N911" s="111"/>
      <c r="O911" s="111"/>
      <c r="P911" s="111"/>
      <c r="Q911" s="111"/>
      <c r="R911" s="111"/>
    </row>
    <row r="912" spans="2:18" s="108" customFormat="1">
      <c r="B912" s="109"/>
      <c r="C912" s="110"/>
      <c r="D912" s="109"/>
      <c r="E912" s="109"/>
      <c r="F912" s="97"/>
      <c r="G912" s="109"/>
      <c r="H912" s="109"/>
      <c r="I912" s="97"/>
      <c r="J912" s="97"/>
      <c r="K912" s="83"/>
      <c r="L912" s="111"/>
      <c r="M912" s="111"/>
      <c r="N912" s="111"/>
      <c r="O912" s="111"/>
      <c r="P912" s="111"/>
      <c r="Q912" s="111"/>
      <c r="R912" s="111"/>
    </row>
    <row r="913" spans="2:18" s="108" customFormat="1">
      <c r="B913" s="109"/>
      <c r="C913" s="110"/>
      <c r="D913" s="109"/>
      <c r="E913" s="109"/>
      <c r="F913" s="97"/>
      <c r="G913" s="109"/>
      <c r="H913" s="109"/>
      <c r="I913" s="97"/>
      <c r="J913" s="97"/>
      <c r="K913" s="83"/>
      <c r="L913" s="111"/>
      <c r="M913" s="111"/>
      <c r="N913" s="111"/>
      <c r="O913" s="111"/>
      <c r="P913" s="111"/>
      <c r="Q913" s="111"/>
      <c r="R913" s="111"/>
    </row>
    <row r="914" spans="2:18" s="108" customFormat="1">
      <c r="B914" s="109"/>
      <c r="C914" s="110"/>
      <c r="D914" s="109"/>
      <c r="E914" s="109"/>
      <c r="F914" s="97"/>
      <c r="G914" s="109"/>
      <c r="H914" s="109"/>
      <c r="I914" s="97"/>
      <c r="J914" s="97"/>
      <c r="K914" s="83"/>
      <c r="L914" s="111"/>
      <c r="M914" s="111"/>
      <c r="N914" s="111"/>
      <c r="O914" s="111"/>
      <c r="P914" s="111"/>
      <c r="Q914" s="111"/>
      <c r="R914" s="111"/>
    </row>
    <row r="915" spans="2:18" s="108" customFormat="1">
      <c r="B915" s="109"/>
      <c r="C915" s="110"/>
      <c r="D915" s="109"/>
      <c r="E915" s="109"/>
      <c r="F915" s="97"/>
      <c r="G915" s="109"/>
      <c r="H915" s="109"/>
      <c r="I915" s="97"/>
      <c r="J915" s="97"/>
      <c r="K915" s="83"/>
      <c r="L915" s="111"/>
      <c r="M915" s="111"/>
      <c r="N915" s="111"/>
      <c r="O915" s="111"/>
      <c r="P915" s="111"/>
      <c r="Q915" s="111"/>
      <c r="R915" s="111"/>
    </row>
    <row r="916" spans="2:18" s="108" customFormat="1">
      <c r="B916" s="109"/>
      <c r="C916" s="110"/>
      <c r="D916" s="109"/>
      <c r="E916" s="109"/>
      <c r="F916" s="97"/>
      <c r="G916" s="109"/>
      <c r="H916" s="109"/>
      <c r="I916" s="97"/>
      <c r="J916" s="97"/>
      <c r="K916" s="83"/>
      <c r="L916" s="111"/>
      <c r="M916" s="111"/>
      <c r="N916" s="111"/>
      <c r="O916" s="111"/>
      <c r="P916" s="111"/>
      <c r="Q916" s="111"/>
      <c r="R916" s="111"/>
    </row>
    <row r="917" spans="2:18" s="108" customFormat="1">
      <c r="B917" s="109"/>
      <c r="C917" s="110"/>
      <c r="D917" s="109"/>
      <c r="E917" s="109"/>
      <c r="F917" s="97"/>
      <c r="G917" s="109"/>
      <c r="H917" s="109"/>
      <c r="I917" s="97"/>
      <c r="J917" s="97"/>
      <c r="K917" s="83"/>
      <c r="L917" s="111"/>
      <c r="M917" s="111"/>
      <c r="N917" s="111"/>
      <c r="O917" s="111"/>
      <c r="P917" s="111"/>
      <c r="Q917" s="111"/>
      <c r="R917" s="111"/>
    </row>
    <row r="918" spans="2:18" s="108" customFormat="1">
      <c r="B918" s="109"/>
      <c r="C918" s="110"/>
      <c r="D918" s="109"/>
      <c r="E918" s="109"/>
      <c r="F918" s="97"/>
      <c r="G918" s="109"/>
      <c r="H918" s="109"/>
      <c r="I918" s="97"/>
      <c r="J918" s="97"/>
      <c r="K918" s="83"/>
      <c r="L918" s="111"/>
      <c r="M918" s="111"/>
      <c r="N918" s="111"/>
      <c r="O918" s="111"/>
      <c r="P918" s="111"/>
      <c r="Q918" s="111"/>
      <c r="R918" s="111"/>
    </row>
    <row r="919" spans="2:18" s="108" customFormat="1">
      <c r="B919" s="109"/>
      <c r="C919" s="110"/>
      <c r="D919" s="109"/>
      <c r="E919" s="109"/>
      <c r="F919" s="97"/>
      <c r="G919" s="109"/>
      <c r="H919" s="109"/>
      <c r="I919" s="97"/>
      <c r="J919" s="97"/>
      <c r="K919" s="83"/>
      <c r="L919" s="111"/>
      <c r="M919" s="111"/>
      <c r="N919" s="111"/>
      <c r="O919" s="111"/>
      <c r="P919" s="111"/>
      <c r="Q919" s="111"/>
      <c r="R919" s="111"/>
    </row>
    <row r="920" spans="2:18" s="108" customFormat="1">
      <c r="B920" s="109"/>
      <c r="C920" s="110"/>
      <c r="D920" s="109"/>
      <c r="E920" s="109"/>
      <c r="F920" s="97"/>
      <c r="G920" s="109"/>
      <c r="H920" s="109"/>
      <c r="I920" s="97"/>
      <c r="J920" s="97"/>
      <c r="K920" s="83"/>
      <c r="L920" s="111"/>
      <c r="M920" s="111"/>
      <c r="N920" s="111"/>
      <c r="O920" s="111"/>
      <c r="P920" s="111"/>
      <c r="Q920" s="111"/>
      <c r="R920" s="111"/>
    </row>
    <row r="921" spans="2:18" s="108" customFormat="1">
      <c r="B921" s="109"/>
      <c r="C921" s="110"/>
      <c r="D921" s="109"/>
      <c r="E921" s="109"/>
      <c r="F921" s="97"/>
      <c r="G921" s="109"/>
      <c r="H921" s="109"/>
      <c r="I921" s="97"/>
      <c r="J921" s="97"/>
      <c r="K921" s="83"/>
      <c r="L921" s="111"/>
      <c r="M921" s="111"/>
      <c r="N921" s="111"/>
      <c r="O921" s="111"/>
      <c r="P921" s="111"/>
      <c r="Q921" s="111"/>
      <c r="R921" s="111"/>
    </row>
    <row r="922" spans="2:18" s="108" customFormat="1">
      <c r="B922" s="109"/>
      <c r="C922" s="110"/>
      <c r="D922" s="109"/>
      <c r="E922" s="109"/>
      <c r="F922" s="97"/>
      <c r="G922" s="109"/>
      <c r="H922" s="109"/>
      <c r="I922" s="97"/>
      <c r="J922" s="97"/>
      <c r="K922" s="83"/>
      <c r="L922" s="111"/>
      <c r="M922" s="111"/>
      <c r="N922" s="111"/>
      <c r="O922" s="111"/>
      <c r="P922" s="111"/>
      <c r="Q922" s="111"/>
      <c r="R922" s="111"/>
    </row>
    <row r="923" spans="2:18" s="108" customFormat="1">
      <c r="B923" s="109"/>
      <c r="C923" s="110"/>
      <c r="D923" s="109"/>
      <c r="E923" s="109"/>
      <c r="F923" s="97"/>
      <c r="G923" s="109"/>
      <c r="H923" s="109"/>
      <c r="I923" s="97"/>
      <c r="J923" s="97"/>
      <c r="K923" s="83"/>
      <c r="L923" s="111"/>
      <c r="M923" s="111"/>
      <c r="N923" s="111"/>
      <c r="O923" s="111"/>
      <c r="P923" s="111"/>
      <c r="Q923" s="111"/>
      <c r="R923" s="111"/>
    </row>
    <row r="924" spans="2:18" s="108" customFormat="1">
      <c r="B924" s="109"/>
      <c r="C924" s="110"/>
      <c r="D924" s="109"/>
      <c r="E924" s="109"/>
      <c r="F924" s="97"/>
      <c r="G924" s="109"/>
      <c r="H924" s="109"/>
      <c r="I924" s="97"/>
      <c r="J924" s="97"/>
      <c r="K924" s="83"/>
      <c r="L924" s="111"/>
      <c r="M924" s="111"/>
      <c r="N924" s="111"/>
      <c r="O924" s="111"/>
      <c r="P924" s="111"/>
      <c r="Q924" s="111"/>
      <c r="R924" s="111"/>
    </row>
    <row r="925" spans="2:18" s="108" customFormat="1">
      <c r="B925" s="109"/>
      <c r="C925" s="110"/>
      <c r="D925" s="109"/>
      <c r="E925" s="109"/>
      <c r="F925" s="97"/>
      <c r="G925" s="109"/>
      <c r="H925" s="109"/>
      <c r="I925" s="97"/>
      <c r="J925" s="97"/>
      <c r="K925" s="83"/>
      <c r="L925" s="111"/>
      <c r="M925" s="111"/>
      <c r="N925" s="111"/>
      <c r="O925" s="111"/>
      <c r="P925" s="111"/>
      <c r="Q925" s="111"/>
      <c r="R925" s="111"/>
    </row>
    <row r="926" spans="2:18" s="108" customFormat="1">
      <c r="B926" s="109"/>
      <c r="C926" s="110"/>
      <c r="D926" s="109"/>
      <c r="E926" s="109"/>
      <c r="F926" s="97"/>
      <c r="G926" s="109"/>
      <c r="H926" s="109"/>
      <c r="I926" s="97"/>
      <c r="J926" s="97"/>
      <c r="K926" s="83"/>
      <c r="L926" s="111"/>
      <c r="M926" s="111"/>
      <c r="N926" s="111"/>
      <c r="O926" s="111"/>
      <c r="P926" s="111"/>
      <c r="Q926" s="111"/>
      <c r="R926" s="111"/>
    </row>
    <row r="927" spans="2:18" s="108" customFormat="1">
      <c r="B927" s="109"/>
      <c r="C927" s="110"/>
      <c r="D927" s="109"/>
      <c r="E927" s="109"/>
      <c r="F927" s="97"/>
      <c r="G927" s="109"/>
      <c r="H927" s="109"/>
      <c r="I927" s="97"/>
      <c r="J927" s="97"/>
      <c r="K927" s="83"/>
      <c r="L927" s="111"/>
      <c r="M927" s="111"/>
      <c r="N927" s="111"/>
      <c r="O927" s="111"/>
      <c r="P927" s="111"/>
      <c r="Q927" s="111"/>
      <c r="R927" s="111"/>
    </row>
    <row r="928" spans="2:18" s="108" customFormat="1">
      <c r="B928" s="109"/>
      <c r="C928" s="110"/>
      <c r="D928" s="109"/>
      <c r="E928" s="109"/>
      <c r="F928" s="97"/>
      <c r="G928" s="109"/>
      <c r="H928" s="109"/>
      <c r="I928" s="97"/>
      <c r="J928" s="97"/>
      <c r="K928" s="83"/>
      <c r="L928" s="111"/>
      <c r="M928" s="111"/>
      <c r="N928" s="111"/>
      <c r="O928" s="111"/>
      <c r="P928" s="111"/>
      <c r="Q928" s="111"/>
      <c r="R928" s="111"/>
    </row>
    <row r="929" spans="2:18" s="108" customFormat="1">
      <c r="B929" s="109"/>
      <c r="C929" s="110"/>
      <c r="D929" s="109"/>
      <c r="E929" s="109"/>
      <c r="F929" s="97"/>
      <c r="G929" s="109"/>
      <c r="H929" s="109"/>
      <c r="I929" s="97"/>
      <c r="J929" s="97"/>
      <c r="K929" s="83"/>
      <c r="L929" s="111"/>
      <c r="M929" s="111"/>
      <c r="N929" s="111"/>
      <c r="O929" s="111"/>
      <c r="P929" s="111"/>
      <c r="Q929" s="111"/>
      <c r="R929" s="111"/>
    </row>
    <row r="930" spans="2:18" s="108" customFormat="1">
      <c r="B930" s="109"/>
      <c r="C930" s="110"/>
      <c r="D930" s="109"/>
      <c r="E930" s="109"/>
      <c r="F930" s="97"/>
      <c r="G930" s="109"/>
      <c r="H930" s="109"/>
      <c r="I930" s="97"/>
      <c r="J930" s="97"/>
      <c r="K930" s="83"/>
      <c r="L930" s="111"/>
      <c r="M930" s="111"/>
      <c r="N930" s="111"/>
      <c r="O930" s="111"/>
      <c r="P930" s="111"/>
      <c r="Q930" s="111"/>
      <c r="R930" s="111"/>
    </row>
    <row r="931" spans="2:18" s="108" customFormat="1">
      <c r="B931" s="109"/>
      <c r="C931" s="110"/>
      <c r="D931" s="109"/>
      <c r="E931" s="109"/>
      <c r="F931" s="97"/>
      <c r="G931" s="109"/>
      <c r="H931" s="109"/>
      <c r="I931" s="97"/>
      <c r="J931" s="97"/>
      <c r="K931" s="83"/>
      <c r="L931" s="111"/>
      <c r="M931" s="111"/>
      <c r="N931" s="111"/>
      <c r="O931" s="111"/>
      <c r="P931" s="111"/>
      <c r="Q931" s="111"/>
      <c r="R931" s="111"/>
    </row>
    <row r="932" spans="2:18" s="108" customFormat="1">
      <c r="B932" s="109"/>
      <c r="C932" s="110"/>
      <c r="D932" s="109"/>
      <c r="E932" s="109"/>
      <c r="F932" s="97"/>
      <c r="G932" s="109"/>
      <c r="H932" s="109"/>
      <c r="I932" s="97"/>
      <c r="J932" s="97"/>
      <c r="K932" s="83"/>
      <c r="L932" s="111"/>
      <c r="M932" s="111"/>
      <c r="N932" s="111"/>
      <c r="O932" s="111"/>
      <c r="P932" s="111"/>
      <c r="Q932" s="111"/>
      <c r="R932" s="111"/>
    </row>
    <row r="933" spans="2:18" s="108" customFormat="1">
      <c r="B933" s="109"/>
      <c r="C933" s="110"/>
      <c r="D933" s="109"/>
      <c r="E933" s="109"/>
      <c r="F933" s="97"/>
      <c r="G933" s="109"/>
      <c r="H933" s="109"/>
      <c r="I933" s="97"/>
      <c r="J933" s="97"/>
      <c r="K933" s="83"/>
      <c r="L933" s="111"/>
      <c r="M933" s="111"/>
      <c r="N933" s="111"/>
      <c r="O933" s="111"/>
      <c r="P933" s="111"/>
      <c r="Q933" s="111"/>
      <c r="R933" s="111"/>
    </row>
    <row r="934" spans="2:18" s="108" customFormat="1">
      <c r="B934" s="109"/>
      <c r="C934" s="110"/>
      <c r="D934" s="109"/>
      <c r="E934" s="109"/>
      <c r="F934" s="97"/>
      <c r="G934" s="109"/>
      <c r="H934" s="109"/>
      <c r="I934" s="97"/>
      <c r="J934" s="97"/>
      <c r="K934" s="83"/>
      <c r="L934" s="111"/>
      <c r="M934" s="111"/>
      <c r="N934" s="111"/>
      <c r="O934" s="111"/>
      <c r="P934" s="111"/>
      <c r="Q934" s="111"/>
      <c r="R934" s="111"/>
    </row>
    <row r="935" spans="2:18" s="108" customFormat="1">
      <c r="B935" s="109"/>
      <c r="C935" s="110"/>
      <c r="D935" s="109"/>
      <c r="E935" s="109"/>
      <c r="F935" s="97"/>
      <c r="G935" s="109"/>
      <c r="H935" s="109"/>
      <c r="I935" s="97"/>
      <c r="J935" s="97"/>
      <c r="K935" s="83"/>
      <c r="L935" s="111"/>
      <c r="M935" s="111"/>
      <c r="N935" s="111"/>
      <c r="O935" s="111"/>
      <c r="P935" s="111"/>
      <c r="Q935" s="111"/>
      <c r="R935" s="111"/>
    </row>
    <row r="936" spans="2:18" s="108" customFormat="1">
      <c r="B936" s="109"/>
      <c r="C936" s="110"/>
      <c r="D936" s="109"/>
      <c r="E936" s="109"/>
      <c r="F936" s="97"/>
      <c r="G936" s="109"/>
      <c r="H936" s="109"/>
      <c r="I936" s="97"/>
      <c r="J936" s="97"/>
      <c r="K936" s="83"/>
      <c r="L936" s="111"/>
      <c r="M936" s="111"/>
      <c r="N936" s="111"/>
      <c r="O936" s="111"/>
      <c r="P936" s="111"/>
      <c r="Q936" s="111"/>
      <c r="R936" s="111"/>
    </row>
    <row r="937" spans="2:18" s="108" customFormat="1">
      <c r="B937" s="109"/>
      <c r="C937" s="110"/>
      <c r="D937" s="109"/>
      <c r="E937" s="109"/>
      <c r="F937" s="97"/>
      <c r="G937" s="109"/>
      <c r="H937" s="109"/>
      <c r="I937" s="97"/>
      <c r="J937" s="97"/>
      <c r="K937" s="83"/>
      <c r="L937" s="111"/>
      <c r="M937" s="111"/>
      <c r="N937" s="111"/>
      <c r="O937" s="111"/>
      <c r="P937" s="111"/>
      <c r="Q937" s="111"/>
      <c r="R937" s="111"/>
    </row>
    <row r="938" spans="2:18" s="108" customFormat="1">
      <c r="B938" s="109"/>
      <c r="C938" s="110"/>
      <c r="D938" s="109"/>
      <c r="E938" s="109"/>
      <c r="F938" s="97"/>
      <c r="G938" s="109"/>
      <c r="H938" s="109"/>
      <c r="I938" s="97"/>
      <c r="J938" s="97"/>
      <c r="K938" s="83"/>
      <c r="L938" s="111"/>
      <c r="M938" s="111"/>
      <c r="N938" s="111"/>
      <c r="O938" s="111"/>
      <c r="P938" s="111"/>
      <c r="Q938" s="111"/>
      <c r="R938" s="111"/>
    </row>
    <row r="939" spans="2:18" s="108" customFormat="1">
      <c r="B939" s="109"/>
      <c r="C939" s="110"/>
      <c r="D939" s="109"/>
      <c r="E939" s="109"/>
      <c r="F939" s="97"/>
      <c r="G939" s="109"/>
      <c r="H939" s="109"/>
      <c r="I939" s="97"/>
      <c r="J939" s="97"/>
      <c r="K939" s="83"/>
      <c r="L939" s="111"/>
      <c r="M939" s="111"/>
      <c r="N939" s="111"/>
      <c r="O939" s="111"/>
      <c r="P939" s="111"/>
      <c r="Q939" s="111"/>
      <c r="R939" s="111"/>
    </row>
    <row r="940" spans="2:18" s="108" customFormat="1">
      <c r="B940" s="109"/>
      <c r="C940" s="110"/>
      <c r="D940" s="109"/>
      <c r="E940" s="109"/>
      <c r="F940" s="97"/>
      <c r="G940" s="109"/>
      <c r="H940" s="109"/>
      <c r="I940" s="97"/>
      <c r="J940" s="97"/>
      <c r="K940" s="83"/>
      <c r="L940" s="111"/>
      <c r="M940" s="111"/>
      <c r="N940" s="111"/>
      <c r="O940" s="111"/>
      <c r="P940" s="111"/>
      <c r="Q940" s="111"/>
      <c r="R940" s="111"/>
    </row>
    <row r="941" spans="2:18" s="108" customFormat="1">
      <c r="B941" s="109"/>
      <c r="C941" s="110"/>
      <c r="D941" s="109"/>
      <c r="E941" s="109"/>
      <c r="F941" s="97"/>
      <c r="G941" s="109"/>
      <c r="H941" s="109"/>
      <c r="I941" s="97"/>
      <c r="J941" s="97"/>
      <c r="K941" s="83"/>
      <c r="L941" s="111"/>
      <c r="M941" s="111"/>
      <c r="N941" s="111"/>
      <c r="O941" s="111"/>
      <c r="P941" s="111"/>
      <c r="Q941" s="111"/>
      <c r="R941" s="111"/>
    </row>
    <row r="942" spans="2:18" s="108" customFormat="1">
      <c r="B942" s="109"/>
      <c r="C942" s="110"/>
      <c r="D942" s="109"/>
      <c r="E942" s="109"/>
      <c r="F942" s="97"/>
      <c r="G942" s="109"/>
      <c r="H942" s="109"/>
      <c r="I942" s="97"/>
      <c r="J942" s="97"/>
      <c r="K942" s="83"/>
      <c r="L942" s="111"/>
      <c r="M942" s="111"/>
      <c r="N942" s="111"/>
      <c r="O942" s="111"/>
      <c r="P942" s="111"/>
      <c r="Q942" s="111"/>
      <c r="R942" s="111"/>
    </row>
    <row r="943" spans="2:18" s="108" customFormat="1">
      <c r="B943" s="109"/>
      <c r="C943" s="110"/>
      <c r="D943" s="109"/>
      <c r="E943" s="109"/>
      <c r="F943" s="97"/>
      <c r="G943" s="109"/>
      <c r="H943" s="109"/>
      <c r="I943" s="97"/>
      <c r="J943" s="97"/>
      <c r="K943" s="83"/>
      <c r="L943" s="111"/>
      <c r="M943" s="111"/>
      <c r="N943" s="111"/>
      <c r="O943" s="111"/>
      <c r="P943" s="111"/>
      <c r="Q943" s="111"/>
      <c r="R943" s="111"/>
    </row>
    <row r="944" spans="2:18" s="108" customFormat="1">
      <c r="B944" s="109"/>
      <c r="C944" s="110"/>
      <c r="D944" s="109"/>
      <c r="E944" s="109"/>
      <c r="F944" s="97"/>
      <c r="G944" s="109"/>
      <c r="H944" s="109"/>
      <c r="I944" s="97"/>
      <c r="J944" s="97"/>
      <c r="K944" s="83"/>
      <c r="L944" s="111"/>
      <c r="M944" s="111"/>
      <c r="N944" s="111"/>
      <c r="O944" s="111"/>
      <c r="P944" s="111"/>
      <c r="Q944" s="111"/>
      <c r="R944" s="111"/>
    </row>
    <row r="945" spans="2:18" s="108" customFormat="1">
      <c r="B945" s="109"/>
      <c r="C945" s="110"/>
      <c r="D945" s="109"/>
      <c r="E945" s="109"/>
      <c r="F945" s="97"/>
      <c r="G945" s="109"/>
      <c r="H945" s="109"/>
      <c r="I945" s="97"/>
      <c r="J945" s="97"/>
      <c r="K945" s="83"/>
      <c r="L945" s="111"/>
      <c r="M945" s="111"/>
      <c r="N945" s="111"/>
      <c r="O945" s="111"/>
      <c r="P945" s="111"/>
      <c r="Q945" s="111"/>
      <c r="R945" s="111"/>
    </row>
    <row r="946" spans="2:18" s="108" customFormat="1">
      <c r="B946" s="109"/>
      <c r="C946" s="110"/>
      <c r="D946" s="109"/>
      <c r="E946" s="109"/>
      <c r="F946" s="97"/>
      <c r="G946" s="109"/>
      <c r="H946" s="109"/>
      <c r="I946" s="97"/>
      <c r="J946" s="97"/>
      <c r="K946" s="83"/>
      <c r="L946" s="111"/>
      <c r="M946" s="111"/>
      <c r="N946" s="111"/>
      <c r="O946" s="111"/>
      <c r="P946" s="111"/>
      <c r="Q946" s="111"/>
      <c r="R946" s="111"/>
    </row>
    <row r="947" spans="2:18" s="108" customFormat="1">
      <c r="B947" s="109"/>
      <c r="C947" s="110"/>
      <c r="D947" s="109"/>
      <c r="E947" s="109"/>
      <c r="F947" s="97"/>
      <c r="G947" s="109"/>
      <c r="H947" s="109"/>
      <c r="I947" s="97"/>
      <c r="J947" s="97"/>
      <c r="K947" s="83"/>
      <c r="L947" s="111"/>
      <c r="M947" s="111"/>
      <c r="N947" s="111"/>
      <c r="O947" s="111"/>
      <c r="P947" s="111"/>
      <c r="Q947" s="111"/>
      <c r="R947" s="111"/>
    </row>
    <row r="948" spans="2:18" s="108" customFormat="1">
      <c r="B948" s="109"/>
      <c r="C948" s="110"/>
      <c r="D948" s="109"/>
      <c r="E948" s="109"/>
      <c r="F948" s="97"/>
      <c r="G948" s="109"/>
      <c r="H948" s="109"/>
      <c r="I948" s="97"/>
      <c r="J948" s="97"/>
      <c r="K948" s="83"/>
      <c r="L948" s="111"/>
      <c r="M948" s="111"/>
      <c r="N948" s="111"/>
      <c r="O948" s="111"/>
      <c r="P948" s="111"/>
      <c r="Q948" s="111"/>
      <c r="R948" s="111"/>
    </row>
    <row r="949" spans="2:18" s="108" customFormat="1">
      <c r="B949" s="109"/>
      <c r="C949" s="110"/>
      <c r="D949" s="109"/>
      <c r="E949" s="109"/>
      <c r="F949" s="97"/>
      <c r="G949" s="109"/>
      <c r="H949" s="109"/>
      <c r="I949" s="97"/>
      <c r="J949" s="97"/>
      <c r="K949" s="83"/>
      <c r="L949" s="111"/>
      <c r="M949" s="111"/>
      <c r="N949" s="111"/>
      <c r="O949" s="111"/>
      <c r="P949" s="111"/>
      <c r="Q949" s="111"/>
      <c r="R949" s="111"/>
    </row>
    <row r="950" spans="2:18" s="108" customFormat="1">
      <c r="B950" s="109"/>
      <c r="C950" s="110"/>
      <c r="D950" s="109"/>
      <c r="E950" s="109"/>
      <c r="F950" s="97"/>
      <c r="G950" s="109"/>
      <c r="H950" s="109"/>
      <c r="I950" s="97"/>
      <c r="J950" s="97"/>
      <c r="K950" s="83"/>
      <c r="L950" s="111"/>
      <c r="M950" s="111"/>
      <c r="N950" s="111"/>
      <c r="O950" s="111"/>
      <c r="P950" s="111"/>
      <c r="Q950" s="111"/>
      <c r="R950" s="111"/>
    </row>
    <row r="951" spans="2:18" s="108" customFormat="1">
      <c r="B951" s="109"/>
      <c r="C951" s="110"/>
      <c r="D951" s="109"/>
      <c r="E951" s="109"/>
      <c r="F951" s="97"/>
      <c r="G951" s="109"/>
      <c r="H951" s="109"/>
      <c r="I951" s="97"/>
      <c r="J951" s="97"/>
      <c r="K951" s="83"/>
      <c r="L951" s="111"/>
      <c r="M951" s="111"/>
      <c r="N951" s="111"/>
      <c r="O951" s="111"/>
      <c r="P951" s="111"/>
      <c r="Q951" s="111"/>
      <c r="R951" s="111"/>
    </row>
    <row r="952" spans="2:18" s="108" customFormat="1">
      <c r="B952" s="109"/>
      <c r="C952" s="110"/>
      <c r="D952" s="109"/>
      <c r="E952" s="109"/>
      <c r="F952" s="97"/>
      <c r="G952" s="109"/>
      <c r="H952" s="109"/>
      <c r="I952" s="97"/>
      <c r="J952" s="97"/>
      <c r="K952" s="83"/>
      <c r="L952" s="111"/>
      <c r="M952" s="111"/>
      <c r="N952" s="111"/>
      <c r="O952" s="111"/>
      <c r="P952" s="111"/>
      <c r="Q952" s="111"/>
      <c r="R952" s="111"/>
    </row>
    <row r="953" spans="2:18" s="108" customFormat="1">
      <c r="B953" s="109"/>
      <c r="C953" s="110"/>
      <c r="D953" s="109"/>
      <c r="E953" s="109"/>
      <c r="F953" s="97"/>
      <c r="G953" s="109"/>
      <c r="H953" s="109"/>
      <c r="I953" s="97"/>
      <c r="J953" s="97"/>
      <c r="K953" s="83"/>
      <c r="L953" s="111"/>
      <c r="M953" s="111"/>
      <c r="N953" s="111"/>
      <c r="O953" s="111"/>
      <c r="P953" s="111"/>
      <c r="Q953" s="111"/>
      <c r="R953" s="111"/>
    </row>
    <row r="954" spans="2:18" s="108" customFormat="1">
      <c r="B954" s="109"/>
      <c r="C954" s="110"/>
      <c r="D954" s="109"/>
      <c r="E954" s="109"/>
      <c r="F954" s="97"/>
      <c r="G954" s="109"/>
      <c r="H954" s="109"/>
      <c r="I954" s="97"/>
      <c r="J954" s="97"/>
      <c r="K954" s="83"/>
      <c r="L954" s="111"/>
      <c r="M954" s="111"/>
      <c r="N954" s="111"/>
      <c r="O954" s="111"/>
      <c r="P954" s="111"/>
      <c r="Q954" s="111"/>
      <c r="R954" s="111"/>
    </row>
    <row r="955" spans="2:18" s="108" customFormat="1">
      <c r="B955" s="109"/>
      <c r="C955" s="110"/>
      <c r="D955" s="109"/>
      <c r="E955" s="109"/>
      <c r="F955" s="97"/>
      <c r="G955" s="109"/>
      <c r="H955" s="109"/>
      <c r="I955" s="97"/>
      <c r="J955" s="97"/>
      <c r="K955" s="83"/>
      <c r="L955" s="111"/>
      <c r="M955" s="111"/>
      <c r="N955" s="111"/>
      <c r="O955" s="111"/>
      <c r="P955" s="111"/>
      <c r="Q955" s="111"/>
      <c r="R955" s="111"/>
    </row>
    <row r="956" spans="2:18" s="108" customFormat="1">
      <c r="B956" s="109"/>
      <c r="C956" s="110"/>
      <c r="D956" s="109"/>
      <c r="E956" s="109"/>
      <c r="F956" s="97"/>
      <c r="G956" s="109"/>
      <c r="H956" s="109"/>
      <c r="I956" s="97"/>
      <c r="J956" s="97"/>
      <c r="K956" s="83"/>
      <c r="L956" s="111"/>
      <c r="M956" s="111"/>
      <c r="N956" s="111"/>
      <c r="O956" s="111"/>
      <c r="P956" s="111"/>
      <c r="Q956" s="111"/>
      <c r="R956" s="111"/>
    </row>
    <row r="957" spans="2:18" s="108" customFormat="1">
      <c r="B957" s="109"/>
      <c r="C957" s="110"/>
      <c r="D957" s="109"/>
      <c r="E957" s="109"/>
      <c r="F957" s="97"/>
      <c r="G957" s="109"/>
      <c r="H957" s="109"/>
      <c r="I957" s="97"/>
      <c r="J957" s="97"/>
      <c r="K957" s="83"/>
      <c r="L957" s="111"/>
      <c r="M957" s="111"/>
      <c r="N957" s="111"/>
      <c r="O957" s="111"/>
      <c r="P957" s="111"/>
      <c r="Q957" s="111"/>
      <c r="R957" s="111"/>
    </row>
    <row r="958" spans="2:18" s="108" customFormat="1">
      <c r="B958" s="109"/>
      <c r="C958" s="110"/>
      <c r="D958" s="109"/>
      <c r="E958" s="109"/>
      <c r="F958" s="97"/>
      <c r="G958" s="109"/>
      <c r="H958" s="109"/>
      <c r="I958" s="97"/>
      <c r="J958" s="97"/>
      <c r="K958" s="83"/>
      <c r="L958" s="111"/>
      <c r="M958" s="111"/>
      <c r="N958" s="111"/>
      <c r="O958" s="111"/>
      <c r="P958" s="111"/>
      <c r="Q958" s="111"/>
      <c r="R958" s="111"/>
    </row>
    <row r="959" spans="2:18" s="108" customFormat="1">
      <c r="B959" s="109"/>
      <c r="C959" s="110"/>
      <c r="D959" s="109"/>
      <c r="E959" s="109"/>
      <c r="F959" s="97"/>
      <c r="G959" s="109"/>
      <c r="H959" s="109"/>
      <c r="I959" s="97"/>
      <c r="J959" s="97"/>
      <c r="K959" s="83"/>
      <c r="L959" s="111"/>
      <c r="M959" s="111"/>
      <c r="N959" s="111"/>
      <c r="O959" s="111"/>
      <c r="P959" s="111"/>
      <c r="Q959" s="111"/>
      <c r="R959" s="111"/>
    </row>
    <row r="960" spans="2:18" s="108" customFormat="1">
      <c r="B960" s="109"/>
      <c r="C960" s="110"/>
      <c r="D960" s="109"/>
      <c r="E960" s="109"/>
      <c r="F960" s="97"/>
      <c r="G960" s="109"/>
      <c r="H960" s="109"/>
      <c r="I960" s="97"/>
      <c r="J960" s="97"/>
      <c r="K960" s="83"/>
      <c r="L960" s="111"/>
      <c r="M960" s="111"/>
      <c r="N960" s="111"/>
      <c r="O960" s="111"/>
      <c r="P960" s="111"/>
      <c r="Q960" s="111"/>
      <c r="R960" s="111"/>
    </row>
    <row r="961" spans="2:18" s="108" customFormat="1">
      <c r="B961" s="109"/>
      <c r="C961" s="110"/>
      <c r="D961" s="109"/>
      <c r="E961" s="109"/>
      <c r="F961" s="97"/>
      <c r="G961" s="109"/>
      <c r="H961" s="109"/>
      <c r="I961" s="97"/>
      <c r="J961" s="97"/>
      <c r="K961" s="83"/>
      <c r="L961" s="111"/>
      <c r="M961" s="111"/>
      <c r="N961" s="111"/>
      <c r="O961" s="111"/>
      <c r="P961" s="111"/>
      <c r="Q961" s="111"/>
      <c r="R961" s="111"/>
    </row>
    <row r="962" spans="2:18" s="108" customFormat="1">
      <c r="B962" s="109"/>
      <c r="C962" s="110"/>
      <c r="D962" s="109"/>
      <c r="E962" s="109"/>
      <c r="F962" s="97"/>
      <c r="G962" s="109"/>
      <c r="H962" s="109"/>
      <c r="I962" s="97"/>
      <c r="J962" s="97"/>
      <c r="K962" s="83"/>
      <c r="L962" s="111"/>
      <c r="M962" s="111"/>
      <c r="N962" s="111"/>
      <c r="O962" s="111"/>
      <c r="P962" s="111"/>
      <c r="Q962" s="111"/>
      <c r="R962" s="111"/>
    </row>
    <row r="963" spans="2:18" s="108" customFormat="1">
      <c r="B963" s="109"/>
      <c r="C963" s="110"/>
      <c r="D963" s="109"/>
      <c r="E963" s="109"/>
      <c r="F963" s="97"/>
      <c r="G963" s="109"/>
      <c r="H963" s="109"/>
      <c r="I963" s="97"/>
      <c r="J963" s="97"/>
      <c r="K963" s="83"/>
      <c r="L963" s="111"/>
      <c r="M963" s="111"/>
      <c r="N963" s="111"/>
      <c r="O963" s="111"/>
      <c r="P963" s="111"/>
      <c r="Q963" s="111"/>
      <c r="R963" s="111"/>
    </row>
    <row r="964" spans="2:18" s="108" customFormat="1">
      <c r="B964" s="109"/>
      <c r="C964" s="110"/>
      <c r="D964" s="109"/>
      <c r="E964" s="109"/>
      <c r="F964" s="97"/>
      <c r="G964" s="109"/>
      <c r="H964" s="109"/>
      <c r="I964" s="97"/>
      <c r="J964" s="97"/>
      <c r="K964" s="83"/>
      <c r="L964" s="111"/>
      <c r="M964" s="111"/>
      <c r="N964" s="111"/>
      <c r="O964" s="111"/>
      <c r="P964" s="111"/>
      <c r="Q964" s="111"/>
      <c r="R964" s="111"/>
    </row>
    <row r="965" spans="2:18" s="108" customFormat="1">
      <c r="B965" s="109"/>
      <c r="C965" s="110"/>
      <c r="D965" s="109"/>
      <c r="E965" s="109"/>
      <c r="F965" s="97"/>
      <c r="G965" s="109"/>
      <c r="H965" s="109"/>
      <c r="I965" s="97"/>
      <c r="J965" s="97"/>
      <c r="K965" s="83"/>
      <c r="L965" s="111"/>
      <c r="M965" s="111"/>
      <c r="N965" s="111"/>
      <c r="O965" s="111"/>
      <c r="P965" s="111"/>
      <c r="Q965" s="111"/>
      <c r="R965" s="111"/>
    </row>
    <row r="966" spans="2:18" s="108" customFormat="1">
      <c r="B966" s="109"/>
      <c r="C966" s="110"/>
      <c r="D966" s="109"/>
      <c r="E966" s="109"/>
      <c r="F966" s="97"/>
      <c r="G966" s="109"/>
      <c r="H966" s="109"/>
      <c r="I966" s="97"/>
      <c r="J966" s="97"/>
      <c r="K966" s="83"/>
      <c r="L966" s="111"/>
      <c r="M966" s="111"/>
      <c r="N966" s="111"/>
      <c r="O966" s="111"/>
      <c r="P966" s="111"/>
      <c r="Q966" s="111"/>
      <c r="R966" s="111"/>
    </row>
    <row r="967" spans="2:18" s="108" customFormat="1">
      <c r="B967" s="109"/>
      <c r="C967" s="110"/>
      <c r="D967" s="109"/>
      <c r="E967" s="109"/>
      <c r="F967" s="97"/>
      <c r="G967" s="109"/>
      <c r="H967" s="109"/>
      <c r="I967" s="97"/>
      <c r="J967" s="97"/>
      <c r="K967" s="83"/>
      <c r="L967" s="111"/>
      <c r="M967" s="111"/>
      <c r="N967" s="111"/>
      <c r="O967" s="111"/>
      <c r="P967" s="111"/>
      <c r="Q967" s="111"/>
      <c r="R967" s="111"/>
    </row>
    <row r="968" spans="2:18" s="108" customFormat="1">
      <c r="B968" s="109"/>
      <c r="C968" s="110"/>
      <c r="D968" s="109"/>
      <c r="E968" s="109"/>
      <c r="F968" s="97"/>
      <c r="G968" s="109"/>
      <c r="H968" s="109"/>
      <c r="I968" s="97"/>
      <c r="J968" s="97"/>
      <c r="K968" s="83"/>
      <c r="L968" s="111"/>
      <c r="M968" s="111"/>
      <c r="N968" s="111"/>
      <c r="O968" s="111"/>
      <c r="P968" s="111"/>
      <c r="Q968" s="111"/>
      <c r="R968" s="111"/>
    </row>
    <row r="969" spans="2:18" s="108" customFormat="1">
      <c r="B969" s="109"/>
      <c r="C969" s="110"/>
      <c r="D969" s="109"/>
      <c r="E969" s="109"/>
      <c r="F969" s="97"/>
      <c r="G969" s="109"/>
      <c r="H969" s="109"/>
      <c r="I969" s="97"/>
      <c r="J969" s="97"/>
      <c r="K969" s="83"/>
      <c r="L969" s="111"/>
      <c r="M969" s="111"/>
      <c r="N969" s="111"/>
      <c r="O969" s="111"/>
      <c r="P969" s="111"/>
      <c r="Q969" s="111"/>
      <c r="R969" s="111"/>
    </row>
    <row r="970" spans="2:18" s="108" customFormat="1">
      <c r="B970" s="109"/>
      <c r="C970" s="110"/>
      <c r="D970" s="109"/>
      <c r="E970" s="109"/>
      <c r="F970" s="97"/>
      <c r="G970" s="109"/>
      <c r="H970" s="109"/>
      <c r="I970" s="97"/>
      <c r="J970" s="97"/>
      <c r="K970" s="83"/>
      <c r="L970" s="111"/>
      <c r="M970" s="111"/>
      <c r="N970" s="111"/>
      <c r="O970" s="111"/>
      <c r="P970" s="111"/>
      <c r="Q970" s="111"/>
      <c r="R970" s="111"/>
    </row>
    <row r="971" spans="2:18" s="108" customFormat="1">
      <c r="B971" s="109"/>
      <c r="C971" s="110"/>
      <c r="D971" s="109"/>
      <c r="E971" s="109"/>
      <c r="F971" s="97"/>
      <c r="G971" s="109"/>
      <c r="H971" s="109"/>
      <c r="I971" s="97"/>
      <c r="J971" s="97"/>
      <c r="K971" s="83"/>
      <c r="L971" s="111"/>
      <c r="M971" s="111"/>
      <c r="N971" s="111"/>
      <c r="O971" s="111"/>
      <c r="P971" s="111"/>
      <c r="Q971" s="111"/>
      <c r="R971" s="111"/>
    </row>
    <row r="972" spans="2:18" s="108" customFormat="1">
      <c r="B972" s="109"/>
      <c r="C972" s="110"/>
      <c r="D972" s="109"/>
      <c r="E972" s="109"/>
      <c r="F972" s="97"/>
      <c r="G972" s="109"/>
      <c r="H972" s="109"/>
      <c r="I972" s="97"/>
      <c r="J972" s="97"/>
      <c r="K972" s="83"/>
      <c r="L972" s="111"/>
      <c r="M972" s="111"/>
      <c r="N972" s="111"/>
      <c r="O972" s="111"/>
      <c r="P972" s="111"/>
      <c r="Q972" s="111"/>
      <c r="R972" s="111"/>
    </row>
    <row r="973" spans="2:18" s="108" customFormat="1">
      <c r="B973" s="109"/>
      <c r="C973" s="110"/>
      <c r="D973" s="109"/>
      <c r="E973" s="109"/>
      <c r="F973" s="97"/>
      <c r="G973" s="109"/>
      <c r="H973" s="109"/>
      <c r="I973" s="97"/>
      <c r="J973" s="97"/>
      <c r="K973" s="83"/>
      <c r="L973" s="111"/>
      <c r="M973" s="111"/>
      <c r="N973" s="111"/>
      <c r="O973" s="111"/>
      <c r="P973" s="111"/>
      <c r="Q973" s="111"/>
      <c r="R973" s="111"/>
    </row>
    <row r="974" spans="2:18" s="108" customFormat="1">
      <c r="B974" s="109"/>
      <c r="C974" s="110"/>
      <c r="D974" s="109"/>
      <c r="E974" s="109"/>
      <c r="F974" s="97"/>
      <c r="G974" s="109"/>
      <c r="H974" s="109"/>
      <c r="I974" s="97"/>
      <c r="J974" s="97"/>
      <c r="K974" s="83"/>
      <c r="L974" s="111"/>
      <c r="M974" s="111"/>
      <c r="N974" s="111"/>
      <c r="O974" s="111"/>
      <c r="P974" s="111"/>
      <c r="Q974" s="111"/>
      <c r="R974" s="111"/>
    </row>
    <row r="975" spans="2:18" s="108" customFormat="1">
      <c r="B975" s="109"/>
      <c r="C975" s="110"/>
      <c r="D975" s="109"/>
      <c r="E975" s="109"/>
      <c r="F975" s="97"/>
      <c r="G975" s="109"/>
      <c r="H975" s="109"/>
      <c r="I975" s="97"/>
      <c r="J975" s="97"/>
      <c r="K975" s="83"/>
      <c r="L975" s="111"/>
      <c r="M975" s="111"/>
      <c r="N975" s="111"/>
      <c r="O975" s="111"/>
      <c r="P975" s="111"/>
      <c r="Q975" s="111"/>
      <c r="R975" s="111"/>
    </row>
    <row r="976" spans="2:18" s="108" customFormat="1">
      <c r="B976" s="109"/>
      <c r="C976" s="110"/>
      <c r="D976" s="109"/>
      <c r="E976" s="109"/>
      <c r="F976" s="97"/>
      <c r="G976" s="109"/>
      <c r="H976" s="109"/>
      <c r="I976" s="97"/>
      <c r="J976" s="97"/>
      <c r="K976" s="83"/>
      <c r="L976" s="111"/>
      <c r="M976" s="111"/>
      <c r="N976" s="111"/>
      <c r="O976" s="111"/>
      <c r="P976" s="111"/>
      <c r="Q976" s="111"/>
      <c r="R976" s="111"/>
    </row>
    <row r="977" spans="2:18" s="108" customFormat="1">
      <c r="B977" s="109"/>
      <c r="C977" s="110"/>
      <c r="D977" s="109"/>
      <c r="E977" s="109"/>
      <c r="F977" s="97"/>
      <c r="G977" s="109"/>
      <c r="H977" s="109"/>
      <c r="I977" s="97"/>
      <c r="J977" s="97"/>
      <c r="K977" s="83"/>
      <c r="L977" s="111"/>
      <c r="M977" s="111"/>
      <c r="N977" s="111"/>
      <c r="O977" s="111"/>
      <c r="P977" s="111"/>
      <c r="Q977" s="111"/>
      <c r="R977" s="111"/>
    </row>
    <row r="978" spans="2:18" s="108" customFormat="1">
      <c r="B978" s="109"/>
      <c r="C978" s="110"/>
      <c r="D978" s="109"/>
      <c r="E978" s="109"/>
      <c r="F978" s="97"/>
      <c r="G978" s="109"/>
      <c r="H978" s="109"/>
      <c r="I978" s="97"/>
      <c r="J978" s="97"/>
      <c r="K978" s="83"/>
      <c r="L978" s="111"/>
      <c r="M978" s="111"/>
      <c r="N978" s="111"/>
      <c r="O978" s="111"/>
      <c r="P978" s="111"/>
      <c r="Q978" s="111"/>
      <c r="R978" s="111"/>
    </row>
    <row r="979" spans="2:18" s="108" customFormat="1">
      <c r="B979" s="109"/>
      <c r="C979" s="110"/>
      <c r="D979" s="109"/>
      <c r="E979" s="109"/>
      <c r="F979" s="97"/>
      <c r="G979" s="109"/>
      <c r="H979" s="109"/>
      <c r="I979" s="97"/>
      <c r="J979" s="97"/>
      <c r="K979" s="83"/>
      <c r="L979" s="111"/>
      <c r="M979" s="111"/>
      <c r="N979" s="111"/>
      <c r="O979" s="111"/>
      <c r="P979" s="111"/>
      <c r="Q979" s="111"/>
      <c r="R979" s="111"/>
    </row>
    <row r="980" spans="2:18" s="108" customFormat="1">
      <c r="B980" s="109"/>
      <c r="C980" s="110"/>
      <c r="D980" s="109"/>
      <c r="E980" s="109"/>
      <c r="F980" s="97"/>
      <c r="G980" s="109"/>
      <c r="H980" s="109"/>
      <c r="I980" s="97"/>
      <c r="J980" s="97"/>
      <c r="K980" s="83"/>
      <c r="L980" s="111"/>
      <c r="M980" s="111"/>
      <c r="N980" s="111"/>
      <c r="O980" s="111"/>
      <c r="P980" s="111"/>
      <c r="Q980" s="111"/>
      <c r="R980" s="111"/>
    </row>
    <row r="981" spans="2:18" s="108" customFormat="1">
      <c r="B981" s="109"/>
      <c r="C981" s="110"/>
      <c r="D981" s="109"/>
      <c r="E981" s="109"/>
      <c r="F981" s="97"/>
      <c r="G981" s="109"/>
      <c r="H981" s="109"/>
      <c r="I981" s="97"/>
      <c r="J981" s="97"/>
      <c r="K981" s="83"/>
      <c r="L981" s="111"/>
      <c r="M981" s="111"/>
      <c r="N981" s="111"/>
      <c r="O981" s="111"/>
      <c r="P981" s="111"/>
      <c r="Q981" s="111"/>
      <c r="R981" s="111"/>
    </row>
    <row r="982" spans="2:18" s="108" customFormat="1">
      <c r="B982" s="109"/>
      <c r="C982" s="110"/>
      <c r="D982" s="109"/>
      <c r="E982" s="109"/>
      <c r="F982" s="97"/>
      <c r="G982" s="109"/>
      <c r="H982" s="109"/>
      <c r="I982" s="97"/>
      <c r="J982" s="97"/>
      <c r="K982" s="83"/>
      <c r="L982" s="111"/>
      <c r="M982" s="111"/>
      <c r="N982" s="111"/>
      <c r="O982" s="111"/>
      <c r="P982" s="111"/>
      <c r="Q982" s="111"/>
      <c r="R982" s="111"/>
    </row>
    <row r="983" spans="2:18" s="108" customFormat="1">
      <c r="B983" s="109"/>
      <c r="C983" s="110"/>
      <c r="D983" s="109"/>
      <c r="E983" s="109"/>
      <c r="F983" s="97"/>
      <c r="G983" s="109"/>
      <c r="H983" s="109"/>
      <c r="I983" s="97"/>
      <c r="J983" s="97"/>
      <c r="K983" s="83"/>
      <c r="L983" s="111"/>
      <c r="M983" s="111"/>
      <c r="N983" s="111"/>
      <c r="O983" s="111"/>
      <c r="P983" s="111"/>
      <c r="Q983" s="111"/>
      <c r="R983" s="111"/>
    </row>
    <row r="984" spans="2:18" s="108" customFormat="1">
      <c r="B984" s="109"/>
      <c r="C984" s="110"/>
      <c r="D984" s="109"/>
      <c r="E984" s="109"/>
      <c r="F984" s="97"/>
      <c r="G984" s="109"/>
      <c r="H984" s="109"/>
      <c r="I984" s="97"/>
      <c r="J984" s="97"/>
      <c r="K984" s="83"/>
      <c r="L984" s="111"/>
      <c r="M984" s="111"/>
      <c r="N984" s="111"/>
      <c r="O984" s="111"/>
      <c r="P984" s="111"/>
      <c r="Q984" s="111"/>
      <c r="R984" s="111"/>
    </row>
    <row r="985" spans="2:18" s="108" customFormat="1">
      <c r="B985" s="109"/>
      <c r="C985" s="110"/>
      <c r="D985" s="109"/>
      <c r="E985" s="109"/>
      <c r="F985" s="97"/>
      <c r="G985" s="109"/>
      <c r="H985" s="109"/>
      <c r="I985" s="97"/>
      <c r="J985" s="97"/>
      <c r="K985" s="83"/>
      <c r="L985" s="111"/>
      <c r="M985" s="111"/>
      <c r="N985" s="111"/>
      <c r="O985" s="111"/>
      <c r="P985" s="111"/>
      <c r="Q985" s="111"/>
      <c r="R985" s="111"/>
    </row>
    <row r="986" spans="2:18" s="108" customFormat="1">
      <c r="B986" s="109"/>
      <c r="C986" s="110"/>
      <c r="D986" s="109"/>
      <c r="E986" s="109"/>
      <c r="F986" s="97"/>
      <c r="G986" s="109"/>
      <c r="H986" s="109"/>
      <c r="I986" s="97"/>
      <c r="J986" s="97"/>
      <c r="K986" s="83"/>
      <c r="L986" s="111"/>
      <c r="M986" s="111"/>
      <c r="N986" s="111"/>
      <c r="O986" s="111"/>
      <c r="P986" s="111"/>
      <c r="Q986" s="111"/>
      <c r="R986" s="111"/>
    </row>
    <row r="987" spans="2:18" s="108" customFormat="1">
      <c r="B987" s="109"/>
      <c r="C987" s="110"/>
      <c r="D987" s="109"/>
      <c r="E987" s="109"/>
      <c r="F987" s="97"/>
      <c r="G987" s="109"/>
      <c r="H987" s="109"/>
      <c r="I987" s="97"/>
      <c r="J987" s="97"/>
      <c r="K987" s="83"/>
      <c r="L987" s="111"/>
      <c r="M987" s="111"/>
      <c r="N987" s="111"/>
      <c r="O987" s="111"/>
      <c r="P987" s="111"/>
      <c r="Q987" s="111"/>
      <c r="R987" s="111"/>
    </row>
    <row r="988" spans="2:18" s="108" customFormat="1">
      <c r="B988" s="109"/>
      <c r="C988" s="110"/>
      <c r="D988" s="109"/>
      <c r="E988" s="109"/>
      <c r="F988" s="97"/>
      <c r="G988" s="109"/>
      <c r="H988" s="109"/>
      <c r="I988" s="97"/>
      <c r="J988" s="97"/>
      <c r="K988" s="83"/>
      <c r="L988" s="111"/>
      <c r="M988" s="111"/>
      <c r="N988" s="111"/>
      <c r="O988" s="111"/>
      <c r="P988" s="111"/>
      <c r="Q988" s="111"/>
      <c r="R988" s="111"/>
    </row>
    <row r="989" spans="2:18" s="108" customFormat="1">
      <c r="B989" s="109"/>
      <c r="C989" s="110"/>
      <c r="D989" s="109"/>
      <c r="E989" s="109"/>
      <c r="F989" s="97"/>
      <c r="G989" s="109"/>
      <c r="H989" s="109"/>
      <c r="I989" s="97"/>
      <c r="J989" s="97"/>
      <c r="K989" s="83"/>
      <c r="L989" s="111"/>
      <c r="M989" s="111"/>
      <c r="N989" s="111"/>
      <c r="O989" s="111"/>
      <c r="P989" s="111"/>
      <c r="Q989" s="111"/>
      <c r="R989" s="111"/>
    </row>
    <row r="990" spans="2:18" s="108" customFormat="1">
      <c r="B990" s="109"/>
      <c r="C990" s="110"/>
      <c r="D990" s="109"/>
      <c r="E990" s="109"/>
      <c r="F990" s="97"/>
      <c r="G990" s="109"/>
      <c r="H990" s="109"/>
      <c r="I990" s="97"/>
      <c r="J990" s="97"/>
      <c r="K990" s="83"/>
      <c r="L990" s="111"/>
      <c r="M990" s="111"/>
      <c r="N990" s="111"/>
      <c r="O990" s="111"/>
      <c r="P990" s="111"/>
      <c r="Q990" s="111"/>
      <c r="R990" s="111"/>
    </row>
    <row r="991" spans="2:18" s="108" customFormat="1">
      <c r="B991" s="109"/>
      <c r="C991" s="110"/>
      <c r="D991" s="109"/>
      <c r="E991" s="109"/>
      <c r="F991" s="97"/>
      <c r="G991" s="109"/>
      <c r="H991" s="109"/>
      <c r="I991" s="97"/>
      <c r="J991" s="97"/>
      <c r="K991" s="83"/>
      <c r="L991" s="111"/>
      <c r="M991" s="111"/>
      <c r="N991" s="111"/>
      <c r="O991" s="111"/>
      <c r="P991" s="111"/>
      <c r="Q991" s="111"/>
      <c r="R991" s="111"/>
    </row>
    <row r="992" spans="2:18" s="108" customFormat="1">
      <c r="B992" s="109"/>
      <c r="C992" s="110"/>
      <c r="D992" s="109"/>
      <c r="E992" s="109"/>
      <c r="F992" s="97"/>
      <c r="G992" s="109"/>
      <c r="H992" s="109"/>
      <c r="I992" s="97"/>
      <c r="J992" s="97"/>
      <c r="K992" s="83"/>
      <c r="L992" s="111"/>
      <c r="M992" s="111"/>
      <c r="N992" s="111"/>
      <c r="O992" s="111"/>
      <c r="P992" s="111"/>
      <c r="Q992" s="111"/>
      <c r="R992" s="111"/>
    </row>
    <row r="993" spans="2:18" s="108" customFormat="1">
      <c r="B993" s="109"/>
      <c r="C993" s="110"/>
      <c r="D993" s="109"/>
      <c r="E993" s="109"/>
      <c r="F993" s="97"/>
      <c r="G993" s="109"/>
      <c r="H993" s="109"/>
      <c r="I993" s="97"/>
      <c r="J993" s="97"/>
      <c r="K993" s="83"/>
      <c r="L993" s="111"/>
      <c r="M993" s="111"/>
      <c r="N993" s="111"/>
      <c r="O993" s="111"/>
      <c r="P993" s="111"/>
      <c r="Q993" s="111"/>
      <c r="R993" s="111"/>
    </row>
    <row r="994" spans="2:18" s="108" customFormat="1">
      <c r="B994" s="109"/>
      <c r="C994" s="110"/>
      <c r="D994" s="109"/>
      <c r="E994" s="109"/>
      <c r="F994" s="97"/>
      <c r="G994" s="109"/>
      <c r="H994" s="109"/>
      <c r="I994" s="97"/>
      <c r="J994" s="97"/>
      <c r="K994" s="83"/>
      <c r="L994" s="111"/>
      <c r="M994" s="111"/>
      <c r="N994" s="111"/>
      <c r="O994" s="111"/>
      <c r="P994" s="111"/>
      <c r="Q994" s="111"/>
      <c r="R994" s="111"/>
    </row>
    <row r="995" spans="2:18" s="108" customFormat="1">
      <c r="B995" s="109"/>
      <c r="C995" s="110"/>
      <c r="D995" s="109"/>
      <c r="E995" s="109"/>
      <c r="F995" s="97"/>
      <c r="G995" s="109"/>
      <c r="H995" s="109"/>
      <c r="I995" s="97"/>
      <c r="J995" s="97"/>
      <c r="K995" s="83"/>
      <c r="L995" s="111"/>
      <c r="M995" s="111"/>
      <c r="N995" s="111"/>
      <c r="O995" s="111"/>
      <c r="P995" s="111"/>
      <c r="Q995" s="111"/>
      <c r="R995" s="111"/>
    </row>
    <row r="996" spans="2:18" s="108" customFormat="1">
      <c r="B996" s="109"/>
      <c r="C996" s="110"/>
      <c r="D996" s="109"/>
      <c r="E996" s="109"/>
      <c r="F996" s="97"/>
      <c r="G996" s="109"/>
      <c r="H996" s="109"/>
      <c r="I996" s="97"/>
      <c r="J996" s="97"/>
      <c r="K996" s="83"/>
      <c r="L996" s="111"/>
      <c r="M996" s="111"/>
      <c r="N996" s="111"/>
      <c r="O996" s="111"/>
      <c r="P996" s="111"/>
      <c r="Q996" s="111"/>
      <c r="R996" s="111"/>
    </row>
    <row r="997" spans="2:18" s="108" customFormat="1">
      <c r="B997" s="109"/>
      <c r="C997" s="110"/>
      <c r="D997" s="109"/>
      <c r="E997" s="109"/>
      <c r="F997" s="97"/>
      <c r="G997" s="109"/>
      <c r="H997" s="109"/>
      <c r="I997" s="97"/>
      <c r="J997" s="97"/>
      <c r="K997" s="83"/>
      <c r="L997" s="111"/>
      <c r="M997" s="111"/>
      <c r="N997" s="111"/>
      <c r="O997" s="111"/>
      <c r="P997" s="111"/>
      <c r="Q997" s="111"/>
      <c r="R997" s="111"/>
    </row>
    <row r="998" spans="2:18" s="108" customFormat="1">
      <c r="B998" s="109"/>
      <c r="C998" s="110"/>
      <c r="D998" s="109"/>
      <c r="E998" s="109"/>
      <c r="F998" s="97"/>
      <c r="G998" s="109"/>
      <c r="H998" s="109"/>
      <c r="I998" s="97"/>
      <c r="J998" s="97"/>
      <c r="K998" s="83"/>
      <c r="L998" s="111"/>
      <c r="M998" s="111"/>
      <c r="N998" s="111"/>
      <c r="O998" s="111"/>
      <c r="P998" s="111"/>
      <c r="Q998" s="111"/>
      <c r="R998" s="111"/>
    </row>
    <row r="999" spans="2:18" s="108" customFormat="1">
      <c r="B999" s="109"/>
      <c r="C999" s="110"/>
      <c r="D999" s="109"/>
      <c r="E999" s="109"/>
      <c r="F999" s="97"/>
      <c r="G999" s="109"/>
      <c r="H999" s="109"/>
      <c r="I999" s="97"/>
      <c r="J999" s="97"/>
      <c r="K999" s="83"/>
      <c r="L999" s="111"/>
      <c r="M999" s="111"/>
      <c r="N999" s="111"/>
      <c r="O999" s="111"/>
      <c r="P999" s="111"/>
      <c r="Q999" s="111"/>
      <c r="R999" s="111"/>
    </row>
    <row r="1000" spans="2:18" s="108" customFormat="1">
      <c r="B1000" s="109"/>
      <c r="C1000" s="110"/>
      <c r="D1000" s="109"/>
      <c r="E1000" s="109"/>
      <c r="F1000" s="97"/>
      <c r="G1000" s="109"/>
      <c r="H1000" s="109"/>
      <c r="I1000" s="97"/>
      <c r="J1000" s="97"/>
      <c r="K1000" s="83"/>
      <c r="L1000" s="111"/>
      <c r="M1000" s="111"/>
      <c r="N1000" s="111"/>
      <c r="O1000" s="111"/>
      <c r="P1000" s="111"/>
      <c r="Q1000" s="111"/>
      <c r="R1000" s="111"/>
    </row>
    <row r="1001" spans="2:18" s="108" customFormat="1">
      <c r="B1001" s="109"/>
      <c r="C1001" s="110"/>
      <c r="D1001" s="109"/>
      <c r="E1001" s="109"/>
      <c r="F1001" s="97"/>
      <c r="G1001" s="109"/>
      <c r="H1001" s="109"/>
      <c r="I1001" s="97"/>
      <c r="J1001" s="97"/>
      <c r="K1001" s="83"/>
      <c r="L1001" s="111"/>
      <c r="M1001" s="111"/>
      <c r="N1001" s="111"/>
      <c r="O1001" s="111"/>
      <c r="P1001" s="111"/>
      <c r="Q1001" s="111"/>
      <c r="R1001" s="111"/>
    </row>
    <row r="1002" spans="2:18" s="108" customFormat="1">
      <c r="B1002" s="109"/>
      <c r="C1002" s="110"/>
      <c r="D1002" s="109"/>
      <c r="E1002" s="109"/>
      <c r="F1002" s="97"/>
      <c r="G1002" s="109"/>
      <c r="H1002" s="109"/>
      <c r="I1002" s="97"/>
      <c r="J1002" s="97"/>
      <c r="K1002" s="83"/>
      <c r="L1002" s="111"/>
      <c r="M1002" s="111"/>
      <c r="N1002" s="111"/>
      <c r="O1002" s="111"/>
      <c r="P1002" s="111"/>
      <c r="Q1002" s="111"/>
      <c r="R1002" s="111"/>
    </row>
    <row r="1003" spans="2:18" s="108" customFormat="1">
      <c r="B1003" s="109"/>
      <c r="C1003" s="110"/>
      <c r="D1003" s="109"/>
      <c r="E1003" s="109"/>
      <c r="F1003" s="97"/>
      <c r="G1003" s="109"/>
      <c r="H1003" s="109"/>
      <c r="I1003" s="97"/>
      <c r="J1003" s="97"/>
      <c r="K1003" s="83"/>
      <c r="L1003" s="111"/>
      <c r="M1003" s="111"/>
      <c r="N1003" s="111"/>
      <c r="O1003" s="111"/>
      <c r="P1003" s="111"/>
      <c r="Q1003" s="111"/>
      <c r="R1003" s="111"/>
    </row>
    <row r="1004" spans="2:18" s="108" customFormat="1">
      <c r="B1004" s="109"/>
      <c r="C1004" s="110"/>
      <c r="D1004" s="109"/>
      <c r="E1004" s="109"/>
      <c r="F1004" s="97"/>
      <c r="G1004" s="109"/>
      <c r="H1004" s="109"/>
      <c r="I1004" s="97"/>
      <c r="J1004" s="97"/>
      <c r="K1004" s="83"/>
      <c r="L1004" s="111"/>
      <c r="M1004" s="111"/>
      <c r="N1004" s="111"/>
      <c r="O1004" s="111"/>
      <c r="P1004" s="111"/>
      <c r="Q1004" s="111"/>
      <c r="R1004" s="111"/>
    </row>
    <row r="1005" spans="2:18" s="108" customFormat="1">
      <c r="B1005" s="109"/>
      <c r="C1005" s="110"/>
      <c r="D1005" s="109"/>
      <c r="E1005" s="109"/>
      <c r="F1005" s="97"/>
      <c r="G1005" s="109"/>
      <c r="H1005" s="109"/>
      <c r="I1005" s="97"/>
      <c r="J1005" s="97"/>
      <c r="K1005" s="83"/>
      <c r="L1005" s="111"/>
      <c r="M1005" s="111"/>
      <c r="N1005" s="111"/>
      <c r="O1005" s="111"/>
      <c r="P1005" s="111"/>
      <c r="Q1005" s="111"/>
      <c r="R1005" s="111"/>
    </row>
    <row r="1006" spans="2:18" s="108" customFormat="1">
      <c r="B1006" s="109"/>
      <c r="C1006" s="110"/>
      <c r="D1006" s="109"/>
      <c r="E1006" s="109"/>
      <c r="F1006" s="97"/>
      <c r="G1006" s="109"/>
      <c r="H1006" s="109"/>
      <c r="I1006" s="97"/>
      <c r="J1006" s="97"/>
      <c r="K1006" s="83"/>
      <c r="L1006" s="111"/>
      <c r="M1006" s="111"/>
      <c r="N1006" s="111"/>
      <c r="O1006" s="111"/>
      <c r="P1006" s="111"/>
      <c r="Q1006" s="111"/>
      <c r="R1006" s="111"/>
    </row>
    <row r="1007" spans="2:18" s="108" customFormat="1">
      <c r="B1007" s="109"/>
      <c r="C1007" s="110"/>
      <c r="D1007" s="109"/>
      <c r="E1007" s="109"/>
      <c r="F1007" s="97"/>
      <c r="G1007" s="109"/>
      <c r="H1007" s="109"/>
      <c r="I1007" s="97"/>
      <c r="J1007" s="97"/>
      <c r="K1007" s="83"/>
      <c r="L1007" s="111"/>
      <c r="M1007" s="111"/>
      <c r="N1007" s="111"/>
      <c r="O1007" s="111"/>
      <c r="P1007" s="111"/>
      <c r="Q1007" s="111"/>
      <c r="R1007" s="111"/>
    </row>
    <row r="1008" spans="2:18" s="108" customFormat="1">
      <c r="B1008" s="109"/>
      <c r="C1008" s="110"/>
      <c r="D1008" s="109"/>
      <c r="E1008" s="109"/>
      <c r="F1008" s="97"/>
      <c r="G1008" s="109"/>
      <c r="H1008" s="109"/>
      <c r="I1008" s="97"/>
      <c r="J1008" s="97"/>
      <c r="K1008" s="83"/>
      <c r="L1008" s="111"/>
      <c r="M1008" s="111"/>
      <c r="N1008" s="111"/>
      <c r="O1008" s="111"/>
      <c r="P1008" s="111"/>
      <c r="Q1008" s="111"/>
      <c r="R1008" s="111"/>
    </row>
    <row r="1009" spans="2:18" s="108" customFormat="1">
      <c r="B1009" s="109"/>
      <c r="C1009" s="110"/>
      <c r="D1009" s="109"/>
      <c r="E1009" s="109"/>
      <c r="F1009" s="97"/>
      <c r="G1009" s="109"/>
      <c r="H1009" s="109"/>
      <c r="I1009" s="97"/>
      <c r="J1009" s="97"/>
      <c r="K1009" s="83"/>
      <c r="L1009" s="111"/>
      <c r="M1009" s="111"/>
      <c r="N1009" s="111"/>
      <c r="O1009" s="111"/>
      <c r="P1009" s="111"/>
      <c r="Q1009" s="111"/>
      <c r="R1009" s="111"/>
    </row>
    <row r="1010" spans="2:18" s="108" customFormat="1">
      <c r="B1010" s="109"/>
      <c r="C1010" s="110"/>
      <c r="D1010" s="109"/>
      <c r="E1010" s="109"/>
      <c r="F1010" s="97"/>
      <c r="G1010" s="109"/>
      <c r="H1010" s="109"/>
      <c r="I1010" s="97"/>
      <c r="J1010" s="97"/>
      <c r="K1010" s="83"/>
      <c r="L1010" s="111"/>
      <c r="M1010" s="111"/>
      <c r="N1010" s="111"/>
      <c r="O1010" s="111"/>
      <c r="P1010" s="111"/>
      <c r="Q1010" s="111"/>
      <c r="R1010" s="111"/>
    </row>
    <row r="1011" spans="2:18" s="108" customFormat="1">
      <c r="B1011" s="109"/>
      <c r="C1011" s="110"/>
      <c r="D1011" s="109"/>
      <c r="E1011" s="109"/>
      <c r="F1011" s="97"/>
      <c r="G1011" s="109"/>
      <c r="H1011" s="109"/>
      <c r="I1011" s="97"/>
      <c r="J1011" s="97"/>
      <c r="K1011" s="83"/>
      <c r="L1011" s="111"/>
      <c r="M1011" s="111"/>
      <c r="N1011" s="111"/>
      <c r="O1011" s="111"/>
      <c r="P1011" s="111"/>
      <c r="Q1011" s="111"/>
      <c r="R1011" s="111"/>
    </row>
    <row r="1012" spans="2:18" s="108" customFormat="1">
      <c r="B1012" s="109"/>
      <c r="C1012" s="110"/>
      <c r="D1012" s="109"/>
      <c r="E1012" s="109"/>
      <c r="F1012" s="97"/>
      <c r="G1012" s="109"/>
      <c r="H1012" s="109"/>
      <c r="I1012" s="97"/>
      <c r="J1012" s="97"/>
      <c r="K1012" s="83"/>
      <c r="L1012" s="111"/>
      <c r="M1012" s="111"/>
      <c r="N1012" s="111"/>
      <c r="O1012" s="111"/>
      <c r="P1012" s="111"/>
      <c r="Q1012" s="111"/>
      <c r="R1012" s="111"/>
    </row>
    <row r="1013" spans="2:18" s="108" customFormat="1">
      <c r="B1013" s="109"/>
      <c r="C1013" s="110"/>
      <c r="D1013" s="109"/>
      <c r="E1013" s="109"/>
      <c r="F1013" s="97"/>
      <c r="G1013" s="109"/>
      <c r="H1013" s="109"/>
      <c r="I1013" s="97"/>
      <c r="J1013" s="97"/>
      <c r="K1013" s="83"/>
      <c r="L1013" s="111"/>
      <c r="M1013" s="111"/>
      <c r="N1013" s="111"/>
      <c r="O1013" s="111"/>
      <c r="P1013" s="111"/>
      <c r="Q1013" s="111"/>
      <c r="R1013" s="111"/>
    </row>
    <row r="1014" spans="2:18" s="108" customFormat="1">
      <c r="B1014" s="109"/>
      <c r="C1014" s="110"/>
      <c r="D1014" s="109"/>
      <c r="E1014" s="109"/>
      <c r="F1014" s="97"/>
      <c r="G1014" s="109"/>
      <c r="H1014" s="109"/>
      <c r="I1014" s="97"/>
      <c r="J1014" s="97"/>
      <c r="K1014" s="83"/>
      <c r="L1014" s="111"/>
      <c r="M1014" s="111"/>
      <c r="N1014" s="111"/>
      <c r="O1014" s="111"/>
      <c r="P1014" s="111"/>
      <c r="Q1014" s="111"/>
      <c r="R1014" s="111"/>
    </row>
    <row r="1015" spans="2:18" s="108" customFormat="1">
      <c r="B1015" s="109"/>
      <c r="C1015" s="110"/>
      <c r="D1015" s="109"/>
      <c r="E1015" s="109"/>
      <c r="F1015" s="97"/>
      <c r="G1015" s="109"/>
      <c r="H1015" s="109"/>
      <c r="I1015" s="97"/>
      <c r="J1015" s="97"/>
      <c r="K1015" s="83"/>
      <c r="L1015" s="111"/>
      <c r="M1015" s="111"/>
      <c r="N1015" s="111"/>
      <c r="O1015" s="111"/>
      <c r="P1015" s="111"/>
      <c r="Q1015" s="111"/>
      <c r="R1015" s="111"/>
    </row>
    <row r="1016" spans="2:18" s="108" customFormat="1">
      <c r="B1016" s="109"/>
      <c r="C1016" s="110"/>
      <c r="D1016" s="109"/>
      <c r="E1016" s="109"/>
      <c r="F1016" s="97"/>
      <c r="G1016" s="109"/>
      <c r="H1016" s="109"/>
      <c r="I1016" s="97"/>
      <c r="J1016" s="97"/>
      <c r="K1016" s="83"/>
      <c r="L1016" s="111"/>
      <c r="M1016" s="111"/>
      <c r="N1016" s="111"/>
      <c r="O1016" s="111"/>
      <c r="P1016" s="111"/>
      <c r="Q1016" s="111"/>
      <c r="R1016" s="111"/>
    </row>
    <row r="1017" spans="2:18" s="108" customFormat="1">
      <c r="B1017" s="109"/>
      <c r="C1017" s="110"/>
      <c r="D1017" s="109"/>
      <c r="E1017" s="109"/>
      <c r="F1017" s="97"/>
      <c r="G1017" s="109"/>
      <c r="H1017" s="109"/>
      <c r="I1017" s="97"/>
      <c r="J1017" s="97"/>
      <c r="K1017" s="83"/>
      <c r="L1017" s="111"/>
      <c r="M1017" s="111"/>
      <c r="N1017" s="111"/>
      <c r="O1017" s="111"/>
      <c r="P1017" s="111"/>
      <c r="Q1017" s="111"/>
      <c r="R1017" s="111"/>
    </row>
    <row r="1018" spans="2:18" s="108" customFormat="1">
      <c r="B1018" s="109"/>
      <c r="C1018" s="110"/>
      <c r="D1018" s="109"/>
      <c r="E1018" s="109"/>
      <c r="F1018" s="97"/>
      <c r="G1018" s="109"/>
      <c r="H1018" s="109"/>
      <c r="I1018" s="97"/>
      <c r="J1018" s="97"/>
      <c r="K1018" s="83"/>
      <c r="L1018" s="111"/>
      <c r="M1018" s="111"/>
      <c r="N1018" s="111"/>
      <c r="O1018" s="111"/>
      <c r="P1018" s="111"/>
      <c r="Q1018" s="111"/>
      <c r="R1018" s="111"/>
    </row>
    <row r="1019" spans="2:18" s="108" customFormat="1">
      <c r="B1019" s="109"/>
      <c r="C1019" s="110"/>
      <c r="D1019" s="109"/>
      <c r="E1019" s="109"/>
      <c r="F1019" s="97"/>
      <c r="G1019" s="109"/>
      <c r="H1019" s="109"/>
      <c r="I1019" s="97"/>
      <c r="J1019" s="97"/>
      <c r="K1019" s="83"/>
      <c r="L1019" s="111"/>
      <c r="M1019" s="111"/>
      <c r="N1019" s="111"/>
      <c r="O1019" s="111"/>
      <c r="P1019" s="111"/>
      <c r="Q1019" s="111"/>
      <c r="R1019" s="111"/>
    </row>
    <row r="1020" spans="2:18" s="108" customFormat="1">
      <c r="B1020" s="109"/>
      <c r="C1020" s="110"/>
      <c r="D1020" s="109"/>
      <c r="E1020" s="109"/>
      <c r="F1020" s="97"/>
      <c r="G1020" s="109"/>
      <c r="H1020" s="109"/>
      <c r="I1020" s="97"/>
      <c r="J1020" s="97"/>
      <c r="K1020" s="83"/>
      <c r="L1020" s="111"/>
      <c r="M1020" s="111"/>
      <c r="N1020" s="111"/>
      <c r="O1020" s="111"/>
      <c r="P1020" s="111"/>
      <c r="Q1020" s="111"/>
      <c r="R1020" s="111"/>
    </row>
    <row r="1021" spans="2:18" s="108" customFormat="1">
      <c r="B1021" s="109"/>
      <c r="C1021" s="110"/>
      <c r="D1021" s="109"/>
      <c r="E1021" s="109"/>
      <c r="F1021" s="97"/>
      <c r="G1021" s="109"/>
      <c r="H1021" s="109"/>
      <c r="I1021" s="97"/>
      <c r="J1021" s="97"/>
      <c r="K1021" s="83"/>
      <c r="L1021" s="111"/>
      <c r="M1021" s="111"/>
      <c r="N1021" s="111"/>
      <c r="O1021" s="111"/>
      <c r="P1021" s="111"/>
      <c r="Q1021" s="111"/>
      <c r="R1021" s="111"/>
    </row>
    <row r="1022" spans="2:18" s="108" customFormat="1">
      <c r="B1022" s="109"/>
      <c r="C1022" s="110"/>
      <c r="D1022" s="109"/>
      <c r="E1022" s="109"/>
      <c r="F1022" s="97"/>
      <c r="G1022" s="109"/>
      <c r="H1022" s="109"/>
      <c r="I1022" s="97"/>
      <c r="J1022" s="97"/>
      <c r="K1022" s="83"/>
      <c r="L1022" s="111"/>
      <c r="M1022" s="111"/>
      <c r="N1022" s="111"/>
      <c r="O1022" s="111"/>
      <c r="P1022" s="111"/>
      <c r="Q1022" s="111"/>
      <c r="R1022" s="111"/>
    </row>
    <row r="1023" spans="2:18" s="108" customFormat="1">
      <c r="B1023" s="109"/>
      <c r="C1023" s="110"/>
      <c r="D1023" s="109"/>
      <c r="E1023" s="109"/>
      <c r="F1023" s="97"/>
      <c r="G1023" s="109"/>
      <c r="H1023" s="109"/>
      <c r="I1023" s="97"/>
      <c r="J1023" s="97"/>
      <c r="K1023" s="83"/>
      <c r="L1023" s="111"/>
      <c r="M1023" s="111"/>
      <c r="N1023" s="111"/>
      <c r="O1023" s="111"/>
      <c r="P1023" s="111"/>
      <c r="Q1023" s="111"/>
      <c r="R1023" s="111"/>
    </row>
    <row r="1024" spans="2:18" s="108" customFormat="1">
      <c r="B1024" s="109"/>
      <c r="C1024" s="110"/>
      <c r="D1024" s="109"/>
      <c r="E1024" s="109"/>
      <c r="F1024" s="97"/>
      <c r="G1024" s="109"/>
      <c r="H1024" s="109"/>
      <c r="I1024" s="97"/>
      <c r="J1024" s="97"/>
      <c r="K1024" s="83"/>
      <c r="L1024" s="111"/>
      <c r="M1024" s="111"/>
      <c r="N1024" s="111"/>
      <c r="O1024" s="111"/>
      <c r="P1024" s="111"/>
      <c r="Q1024" s="111"/>
      <c r="R1024" s="111"/>
    </row>
    <row r="1025" spans="2:18" s="108" customFormat="1">
      <c r="B1025" s="109"/>
      <c r="C1025" s="110"/>
      <c r="D1025" s="109"/>
      <c r="E1025" s="109"/>
      <c r="F1025" s="97"/>
      <c r="G1025" s="109"/>
      <c r="H1025" s="109"/>
      <c r="I1025" s="97"/>
      <c r="J1025" s="97"/>
      <c r="K1025" s="83"/>
      <c r="L1025" s="111"/>
      <c r="M1025" s="111"/>
      <c r="N1025" s="111"/>
      <c r="O1025" s="111"/>
      <c r="P1025" s="111"/>
      <c r="Q1025" s="111"/>
      <c r="R1025" s="111"/>
    </row>
    <row r="1026" spans="2:18" s="108" customFormat="1">
      <c r="B1026" s="109"/>
      <c r="C1026" s="110"/>
      <c r="D1026" s="109"/>
      <c r="E1026" s="109"/>
      <c r="F1026" s="97"/>
      <c r="G1026" s="109"/>
      <c r="H1026" s="109"/>
      <c r="I1026" s="97"/>
      <c r="J1026" s="97"/>
      <c r="K1026" s="83"/>
      <c r="L1026" s="111"/>
      <c r="M1026" s="111"/>
      <c r="N1026" s="111"/>
      <c r="O1026" s="111"/>
      <c r="P1026" s="111"/>
      <c r="Q1026" s="111"/>
      <c r="R1026" s="111"/>
    </row>
    <row r="1027" spans="2:18" s="108" customFormat="1">
      <c r="B1027" s="109"/>
      <c r="C1027" s="110"/>
      <c r="D1027" s="109"/>
      <c r="E1027" s="109"/>
      <c r="F1027" s="97"/>
      <c r="G1027" s="109"/>
      <c r="H1027" s="109"/>
      <c r="I1027" s="97"/>
      <c r="J1027" s="97"/>
      <c r="K1027" s="83"/>
      <c r="L1027" s="111"/>
      <c r="M1027" s="111"/>
      <c r="N1027" s="111"/>
      <c r="O1027" s="111"/>
      <c r="P1027" s="111"/>
      <c r="Q1027" s="111"/>
      <c r="R1027" s="111"/>
    </row>
    <row r="1028" spans="2:18" s="108" customFormat="1">
      <c r="B1028" s="109"/>
      <c r="C1028" s="110"/>
      <c r="D1028" s="109"/>
      <c r="E1028" s="109"/>
      <c r="F1028" s="97"/>
      <c r="G1028" s="109"/>
      <c r="H1028" s="109"/>
      <c r="I1028" s="97"/>
      <c r="J1028" s="97"/>
      <c r="K1028" s="83"/>
      <c r="L1028" s="111"/>
      <c r="M1028" s="111"/>
      <c r="N1028" s="111"/>
      <c r="O1028" s="111"/>
      <c r="P1028" s="111"/>
      <c r="Q1028" s="111"/>
      <c r="R1028" s="111"/>
    </row>
    <row r="1029" spans="2:18" s="108" customFormat="1">
      <c r="B1029" s="109"/>
      <c r="C1029" s="110"/>
      <c r="D1029" s="109"/>
      <c r="E1029" s="109"/>
      <c r="F1029" s="97"/>
      <c r="G1029" s="109"/>
      <c r="H1029" s="109"/>
      <c r="I1029" s="97"/>
      <c r="J1029" s="97"/>
      <c r="K1029" s="83"/>
      <c r="L1029" s="111"/>
      <c r="M1029" s="111"/>
      <c r="N1029" s="111"/>
      <c r="O1029" s="111"/>
      <c r="P1029" s="111"/>
      <c r="Q1029" s="111"/>
      <c r="R1029" s="111"/>
    </row>
    <row r="1030" spans="2:18" s="108" customFormat="1">
      <c r="B1030" s="109"/>
      <c r="C1030" s="110"/>
      <c r="D1030" s="109"/>
      <c r="E1030" s="109"/>
      <c r="F1030" s="97"/>
      <c r="G1030" s="109"/>
      <c r="H1030" s="109"/>
      <c r="I1030" s="97"/>
      <c r="J1030" s="97"/>
      <c r="K1030" s="83"/>
      <c r="L1030" s="111"/>
      <c r="M1030" s="111"/>
      <c r="N1030" s="111"/>
      <c r="O1030" s="111"/>
      <c r="P1030" s="111"/>
      <c r="Q1030" s="111"/>
      <c r="R1030" s="111"/>
    </row>
    <row r="1031" spans="2:18" s="108" customFormat="1">
      <c r="B1031" s="109"/>
      <c r="C1031" s="110"/>
      <c r="D1031" s="109"/>
      <c r="E1031" s="109"/>
      <c r="F1031" s="97"/>
      <c r="G1031" s="109"/>
      <c r="H1031" s="109"/>
      <c r="I1031" s="97"/>
      <c r="J1031" s="97"/>
      <c r="K1031" s="83"/>
      <c r="L1031" s="111"/>
      <c r="M1031" s="111"/>
      <c r="N1031" s="111"/>
      <c r="O1031" s="111"/>
      <c r="P1031" s="111"/>
      <c r="Q1031" s="111"/>
      <c r="R1031" s="111"/>
    </row>
    <row r="1032" spans="2:18" s="108" customFormat="1">
      <c r="B1032" s="109"/>
      <c r="C1032" s="110"/>
      <c r="D1032" s="109"/>
      <c r="E1032" s="109"/>
      <c r="F1032" s="97"/>
      <c r="G1032" s="109"/>
      <c r="H1032" s="109"/>
      <c r="I1032" s="97"/>
      <c r="J1032" s="97"/>
      <c r="K1032" s="83"/>
      <c r="L1032" s="111"/>
      <c r="M1032" s="111"/>
      <c r="N1032" s="111"/>
      <c r="O1032" s="111"/>
      <c r="P1032" s="111"/>
      <c r="Q1032" s="111"/>
      <c r="R1032" s="111"/>
    </row>
    <row r="1033" spans="2:18" s="108" customFormat="1">
      <c r="B1033" s="109"/>
      <c r="C1033" s="110"/>
      <c r="D1033" s="109"/>
      <c r="E1033" s="109"/>
      <c r="F1033" s="97"/>
      <c r="G1033" s="109"/>
      <c r="H1033" s="109"/>
      <c r="I1033" s="97"/>
      <c r="J1033" s="97"/>
      <c r="K1033" s="83"/>
      <c r="L1033" s="111"/>
      <c r="M1033" s="111"/>
      <c r="N1033" s="111"/>
      <c r="O1033" s="111"/>
      <c r="P1033" s="111"/>
      <c r="Q1033" s="111"/>
      <c r="R1033" s="111"/>
    </row>
    <row r="1034" spans="2:18" s="108" customFormat="1">
      <c r="B1034" s="109"/>
      <c r="C1034" s="110"/>
      <c r="D1034" s="109"/>
      <c r="E1034" s="109"/>
      <c r="F1034" s="97"/>
      <c r="G1034" s="109"/>
      <c r="H1034" s="109"/>
      <c r="I1034" s="97"/>
      <c r="J1034" s="97"/>
      <c r="K1034" s="83"/>
      <c r="L1034" s="111"/>
      <c r="M1034" s="111"/>
      <c r="N1034" s="111"/>
      <c r="O1034" s="111"/>
      <c r="P1034" s="111"/>
      <c r="Q1034" s="111"/>
      <c r="R1034" s="111"/>
    </row>
    <row r="1035" spans="2:18" s="108" customFormat="1">
      <c r="B1035" s="109"/>
      <c r="C1035" s="110"/>
      <c r="D1035" s="109"/>
      <c r="E1035" s="109"/>
      <c r="F1035" s="97"/>
      <c r="G1035" s="109"/>
      <c r="H1035" s="109"/>
      <c r="I1035" s="97"/>
      <c r="J1035" s="97"/>
      <c r="K1035" s="83"/>
      <c r="L1035" s="111"/>
      <c r="M1035" s="111"/>
      <c r="N1035" s="111"/>
      <c r="O1035" s="111"/>
      <c r="P1035" s="111"/>
      <c r="Q1035" s="111"/>
      <c r="R1035" s="111"/>
    </row>
    <row r="1036" spans="2:18" s="108" customFormat="1">
      <c r="B1036" s="109"/>
      <c r="C1036" s="110"/>
      <c r="D1036" s="109"/>
      <c r="E1036" s="109"/>
      <c r="F1036" s="97"/>
      <c r="G1036" s="109"/>
      <c r="H1036" s="109"/>
      <c r="I1036" s="97"/>
      <c r="J1036" s="97"/>
      <c r="K1036" s="83"/>
      <c r="L1036" s="111"/>
      <c r="M1036" s="111"/>
      <c r="N1036" s="111"/>
      <c r="O1036" s="111"/>
      <c r="P1036" s="111"/>
      <c r="Q1036" s="111"/>
      <c r="R1036" s="111"/>
    </row>
    <row r="1037" spans="2:18" s="108" customFormat="1">
      <c r="B1037" s="109"/>
      <c r="C1037" s="110"/>
      <c r="D1037" s="109"/>
      <c r="E1037" s="109"/>
      <c r="F1037" s="97"/>
      <c r="G1037" s="109"/>
      <c r="H1037" s="109"/>
      <c r="I1037" s="97"/>
      <c r="J1037" s="97"/>
      <c r="K1037" s="83"/>
      <c r="L1037" s="111"/>
      <c r="M1037" s="111"/>
      <c r="N1037" s="111"/>
      <c r="O1037" s="111"/>
      <c r="P1037" s="111"/>
      <c r="Q1037" s="111"/>
      <c r="R1037" s="111"/>
    </row>
    <row r="1038" spans="2:18" s="108" customFormat="1">
      <c r="B1038" s="109"/>
      <c r="C1038" s="110"/>
      <c r="D1038" s="109"/>
      <c r="E1038" s="109"/>
      <c r="F1038" s="97"/>
      <c r="G1038" s="109"/>
      <c r="H1038" s="109"/>
      <c r="I1038" s="97"/>
      <c r="J1038" s="97"/>
      <c r="K1038" s="83"/>
      <c r="L1038" s="111"/>
      <c r="M1038" s="111"/>
      <c r="N1038" s="111"/>
      <c r="O1038" s="111"/>
      <c r="P1038" s="111"/>
      <c r="Q1038" s="111"/>
      <c r="R1038" s="111"/>
    </row>
    <row r="1039" spans="2:18" s="108" customFormat="1">
      <c r="B1039" s="109"/>
      <c r="C1039" s="110"/>
      <c r="D1039" s="109"/>
      <c r="E1039" s="109"/>
      <c r="F1039" s="97"/>
      <c r="G1039" s="109"/>
      <c r="H1039" s="109"/>
      <c r="I1039" s="97"/>
      <c r="J1039" s="97"/>
      <c r="K1039" s="83"/>
      <c r="L1039" s="111"/>
      <c r="M1039" s="111"/>
      <c r="N1039" s="111"/>
      <c r="O1039" s="111"/>
      <c r="P1039" s="111"/>
      <c r="Q1039" s="111"/>
      <c r="R1039" s="111"/>
    </row>
    <row r="1040" spans="2:18" s="108" customFormat="1">
      <c r="B1040" s="109"/>
      <c r="C1040" s="110"/>
      <c r="D1040" s="109"/>
      <c r="E1040" s="109"/>
      <c r="F1040" s="97"/>
      <c r="G1040" s="109"/>
      <c r="H1040" s="109"/>
      <c r="I1040" s="97"/>
      <c r="J1040" s="97"/>
      <c r="K1040" s="83"/>
      <c r="L1040" s="111"/>
      <c r="M1040" s="111"/>
      <c r="N1040" s="111"/>
      <c r="O1040" s="111"/>
      <c r="P1040" s="111"/>
      <c r="Q1040" s="111"/>
      <c r="R1040" s="111"/>
    </row>
    <row r="1041" spans="2:18" s="108" customFormat="1">
      <c r="B1041" s="109"/>
      <c r="C1041" s="110"/>
      <c r="D1041" s="109"/>
      <c r="E1041" s="109"/>
      <c r="F1041" s="97"/>
      <c r="G1041" s="109"/>
      <c r="H1041" s="109"/>
      <c r="I1041" s="97"/>
      <c r="J1041" s="97"/>
      <c r="K1041" s="83"/>
      <c r="L1041" s="111"/>
      <c r="M1041" s="111"/>
      <c r="N1041" s="111"/>
      <c r="O1041" s="111"/>
      <c r="P1041" s="111"/>
      <c r="Q1041" s="111"/>
      <c r="R1041" s="111"/>
    </row>
    <row r="1042" spans="2:18" s="108" customFormat="1">
      <c r="B1042" s="109"/>
      <c r="C1042" s="110"/>
      <c r="D1042" s="109"/>
      <c r="E1042" s="109"/>
      <c r="F1042" s="97"/>
      <c r="G1042" s="109"/>
      <c r="H1042" s="109"/>
      <c r="I1042" s="97"/>
      <c r="J1042" s="97"/>
      <c r="K1042" s="83"/>
      <c r="L1042" s="111"/>
      <c r="M1042" s="111"/>
      <c r="N1042" s="111"/>
      <c r="O1042" s="111"/>
      <c r="P1042" s="111"/>
      <c r="Q1042" s="111"/>
      <c r="R1042" s="111"/>
    </row>
    <row r="1043" spans="2:18" s="108" customFormat="1">
      <c r="B1043" s="109"/>
      <c r="C1043" s="110"/>
      <c r="D1043" s="109"/>
      <c r="E1043" s="109"/>
      <c r="F1043" s="97"/>
      <c r="G1043" s="109"/>
      <c r="H1043" s="109"/>
      <c r="I1043" s="97"/>
      <c r="J1043" s="97"/>
      <c r="K1043" s="83"/>
      <c r="L1043" s="111"/>
      <c r="M1043" s="111"/>
      <c r="N1043" s="111"/>
      <c r="O1043" s="111"/>
      <c r="P1043" s="111"/>
      <c r="Q1043" s="111"/>
      <c r="R1043" s="111"/>
    </row>
    <row r="1044" spans="2:18" s="108" customFormat="1">
      <c r="B1044" s="109"/>
      <c r="C1044" s="110"/>
      <c r="D1044" s="109"/>
      <c r="E1044" s="109"/>
      <c r="F1044" s="97"/>
      <c r="G1044" s="109"/>
      <c r="H1044" s="109"/>
      <c r="I1044" s="97"/>
      <c r="J1044" s="97"/>
      <c r="K1044" s="83"/>
      <c r="L1044" s="111"/>
      <c r="M1044" s="111"/>
      <c r="N1044" s="111"/>
      <c r="O1044" s="111"/>
      <c r="P1044" s="111"/>
      <c r="Q1044" s="111"/>
      <c r="R1044" s="111"/>
    </row>
    <row r="1045" spans="2:18" s="108" customFormat="1">
      <c r="B1045" s="109"/>
      <c r="C1045" s="110"/>
      <c r="D1045" s="109"/>
      <c r="E1045" s="109"/>
      <c r="F1045" s="97"/>
      <c r="G1045" s="109"/>
      <c r="H1045" s="109"/>
      <c r="I1045" s="97"/>
      <c r="J1045" s="97"/>
      <c r="K1045" s="83"/>
      <c r="L1045" s="111"/>
      <c r="M1045" s="111"/>
      <c r="N1045" s="111"/>
      <c r="O1045" s="111"/>
      <c r="P1045" s="111"/>
      <c r="Q1045" s="111"/>
      <c r="R1045" s="111"/>
    </row>
    <row r="1046" spans="2:18" s="108" customFormat="1">
      <c r="B1046" s="109"/>
      <c r="C1046" s="110"/>
      <c r="D1046" s="109"/>
      <c r="E1046" s="109"/>
      <c r="F1046" s="97"/>
      <c r="G1046" s="109"/>
      <c r="H1046" s="109"/>
      <c r="I1046" s="97"/>
      <c r="J1046" s="97"/>
      <c r="K1046" s="83"/>
      <c r="L1046" s="111"/>
      <c r="M1046" s="111"/>
      <c r="N1046" s="111"/>
      <c r="O1046" s="111"/>
      <c r="P1046" s="111"/>
      <c r="Q1046" s="111"/>
      <c r="R1046" s="111"/>
    </row>
    <row r="1047" spans="2:18" s="108" customFormat="1">
      <c r="B1047" s="109"/>
      <c r="C1047" s="110"/>
      <c r="D1047" s="109"/>
      <c r="E1047" s="109"/>
      <c r="F1047" s="97"/>
      <c r="G1047" s="109"/>
      <c r="H1047" s="109"/>
      <c r="I1047" s="97"/>
      <c r="J1047" s="97"/>
      <c r="K1047" s="83"/>
      <c r="L1047" s="111"/>
      <c r="M1047" s="111"/>
      <c r="N1047" s="111"/>
      <c r="O1047" s="111"/>
      <c r="P1047" s="111"/>
      <c r="Q1047" s="111"/>
      <c r="R1047" s="111"/>
    </row>
    <row r="1048" spans="2:18" s="108" customFormat="1">
      <c r="B1048" s="109"/>
      <c r="C1048" s="110"/>
      <c r="D1048" s="109"/>
      <c r="E1048" s="109"/>
      <c r="F1048" s="97"/>
      <c r="G1048" s="109"/>
      <c r="H1048" s="109"/>
      <c r="I1048" s="97"/>
      <c r="J1048" s="97"/>
      <c r="K1048" s="83"/>
      <c r="L1048" s="111"/>
      <c r="M1048" s="111"/>
      <c r="N1048" s="111"/>
      <c r="O1048" s="111"/>
      <c r="P1048" s="111"/>
      <c r="Q1048" s="111"/>
      <c r="R1048" s="111"/>
    </row>
    <row r="1049" spans="2:18" s="108" customFormat="1">
      <c r="B1049" s="109"/>
      <c r="C1049" s="110"/>
      <c r="D1049" s="109"/>
      <c r="E1049" s="109"/>
      <c r="F1049" s="97"/>
      <c r="G1049" s="109"/>
      <c r="H1049" s="109"/>
      <c r="I1049" s="97"/>
      <c r="J1049" s="97"/>
      <c r="K1049" s="83"/>
      <c r="L1049" s="111"/>
      <c r="M1049" s="111"/>
      <c r="N1049" s="111"/>
      <c r="O1049" s="111"/>
      <c r="P1049" s="111"/>
      <c r="Q1049" s="111"/>
      <c r="R1049" s="111"/>
    </row>
    <row r="1050" spans="2:18" s="108" customFormat="1">
      <c r="B1050" s="109"/>
      <c r="C1050" s="110"/>
      <c r="D1050" s="109"/>
      <c r="E1050" s="109"/>
      <c r="F1050" s="97"/>
      <c r="G1050" s="109"/>
      <c r="H1050" s="109"/>
      <c r="I1050" s="97"/>
      <c r="J1050" s="97"/>
      <c r="K1050" s="83"/>
      <c r="L1050" s="111"/>
      <c r="M1050" s="111"/>
      <c r="N1050" s="111"/>
      <c r="O1050" s="111"/>
      <c r="P1050" s="111"/>
      <c r="Q1050" s="111"/>
      <c r="R1050" s="111"/>
    </row>
    <row r="1051" spans="2:18" s="108" customFormat="1">
      <c r="B1051" s="109"/>
      <c r="C1051" s="110"/>
      <c r="D1051" s="109"/>
      <c r="E1051" s="109"/>
      <c r="F1051" s="97"/>
      <c r="G1051" s="109"/>
      <c r="H1051" s="109"/>
      <c r="I1051" s="97"/>
      <c r="J1051" s="97"/>
      <c r="K1051" s="83"/>
      <c r="L1051" s="111"/>
      <c r="M1051" s="111"/>
      <c r="N1051" s="111"/>
      <c r="O1051" s="111"/>
      <c r="P1051" s="111"/>
      <c r="Q1051" s="111"/>
      <c r="R1051" s="111"/>
    </row>
    <row r="1052" spans="2:18" s="108" customFormat="1">
      <c r="B1052" s="109"/>
      <c r="C1052" s="110"/>
      <c r="D1052" s="109"/>
      <c r="E1052" s="109"/>
      <c r="F1052" s="97"/>
      <c r="G1052" s="109"/>
      <c r="H1052" s="109"/>
      <c r="I1052" s="97"/>
      <c r="J1052" s="97"/>
      <c r="K1052" s="83"/>
      <c r="L1052" s="111"/>
      <c r="M1052" s="111"/>
      <c r="N1052" s="111"/>
      <c r="O1052" s="111"/>
      <c r="P1052" s="111"/>
      <c r="Q1052" s="111"/>
      <c r="R1052" s="111"/>
    </row>
    <row r="1053" spans="2:18" s="108" customFormat="1">
      <c r="B1053" s="109"/>
      <c r="C1053" s="110"/>
      <c r="D1053" s="109"/>
      <c r="E1053" s="109"/>
      <c r="F1053" s="97"/>
      <c r="G1053" s="109"/>
      <c r="H1053" s="109"/>
      <c r="I1053" s="97"/>
      <c r="J1053" s="97"/>
      <c r="K1053" s="83"/>
      <c r="L1053" s="111"/>
      <c r="M1053" s="111"/>
      <c r="N1053" s="111"/>
      <c r="O1053" s="111"/>
      <c r="P1053" s="111"/>
      <c r="Q1053" s="111"/>
      <c r="R1053" s="111"/>
    </row>
    <row r="1054" spans="2:18" s="108" customFormat="1">
      <c r="B1054" s="109"/>
      <c r="C1054" s="110"/>
      <c r="D1054" s="109"/>
      <c r="E1054" s="109"/>
      <c r="F1054" s="97"/>
      <c r="G1054" s="109"/>
      <c r="H1054" s="109"/>
      <c r="I1054" s="97"/>
      <c r="J1054" s="97"/>
      <c r="K1054" s="83"/>
      <c r="L1054" s="111"/>
      <c r="M1054" s="111"/>
      <c r="N1054" s="111"/>
      <c r="O1054" s="111"/>
      <c r="P1054" s="111"/>
      <c r="Q1054" s="111"/>
      <c r="R1054" s="111"/>
    </row>
    <row r="1055" spans="2:18" s="108" customFormat="1">
      <c r="B1055" s="109"/>
      <c r="C1055" s="110"/>
      <c r="D1055" s="109"/>
      <c r="E1055" s="109"/>
      <c r="F1055" s="97"/>
      <c r="G1055" s="109"/>
      <c r="H1055" s="109"/>
      <c r="I1055" s="97"/>
      <c r="J1055" s="97"/>
      <c r="K1055" s="83"/>
      <c r="L1055" s="111"/>
      <c r="M1055" s="111"/>
      <c r="N1055" s="111"/>
      <c r="O1055" s="111"/>
      <c r="P1055" s="111"/>
      <c r="Q1055" s="111"/>
      <c r="R1055" s="111"/>
    </row>
    <row r="1056" spans="2:18" s="108" customFormat="1">
      <c r="B1056" s="109"/>
      <c r="C1056" s="110"/>
      <c r="D1056" s="109"/>
      <c r="E1056" s="109"/>
      <c r="F1056" s="97"/>
      <c r="G1056" s="109"/>
      <c r="H1056" s="109"/>
      <c r="I1056" s="97"/>
      <c r="J1056" s="97"/>
      <c r="K1056" s="83"/>
      <c r="L1056" s="111"/>
      <c r="M1056" s="111"/>
      <c r="N1056" s="111"/>
      <c r="O1056" s="111"/>
      <c r="P1056" s="111"/>
      <c r="Q1056" s="111"/>
      <c r="R1056" s="111"/>
    </row>
    <row r="1057" spans="2:18" s="108" customFormat="1">
      <c r="B1057" s="109"/>
      <c r="C1057" s="110"/>
      <c r="D1057" s="109"/>
      <c r="E1057" s="109"/>
      <c r="F1057" s="97"/>
      <c r="G1057" s="109"/>
      <c r="H1057" s="109"/>
      <c r="I1057" s="97"/>
      <c r="J1057" s="97"/>
      <c r="K1057" s="83"/>
      <c r="L1057" s="111"/>
      <c r="M1057" s="111"/>
      <c r="N1057" s="111"/>
      <c r="O1057" s="111"/>
      <c r="P1057" s="111"/>
      <c r="Q1057" s="111"/>
      <c r="R1057" s="111"/>
    </row>
    <row r="1058" spans="2:18" s="108" customFormat="1">
      <c r="B1058" s="109"/>
      <c r="C1058" s="110"/>
      <c r="D1058" s="109"/>
      <c r="E1058" s="109"/>
      <c r="F1058" s="97"/>
      <c r="G1058" s="109"/>
      <c r="H1058" s="109"/>
      <c r="I1058" s="97"/>
      <c r="J1058" s="97"/>
      <c r="K1058" s="83"/>
      <c r="L1058" s="111"/>
      <c r="M1058" s="111"/>
      <c r="N1058" s="111"/>
      <c r="O1058" s="111"/>
      <c r="P1058" s="111"/>
      <c r="Q1058" s="111"/>
      <c r="R1058" s="111"/>
    </row>
    <row r="1059" spans="2:18" s="108" customFormat="1">
      <c r="B1059" s="109"/>
      <c r="C1059" s="110"/>
      <c r="D1059" s="109"/>
      <c r="E1059" s="109"/>
      <c r="F1059" s="97"/>
      <c r="G1059" s="109"/>
      <c r="H1059" s="109"/>
      <c r="I1059" s="97"/>
      <c r="J1059" s="97"/>
      <c r="K1059" s="83"/>
      <c r="L1059" s="111"/>
      <c r="M1059" s="111"/>
      <c r="N1059" s="111"/>
      <c r="O1059" s="111"/>
      <c r="P1059" s="111"/>
      <c r="Q1059" s="111"/>
      <c r="R1059" s="111"/>
    </row>
    <row r="1060" spans="2:18" s="108" customFormat="1">
      <c r="B1060" s="109"/>
      <c r="C1060" s="110"/>
      <c r="D1060" s="109"/>
      <c r="E1060" s="109"/>
      <c r="F1060" s="97"/>
      <c r="G1060" s="109"/>
      <c r="H1060" s="109"/>
      <c r="I1060" s="97"/>
      <c r="J1060" s="97"/>
      <c r="K1060" s="83"/>
      <c r="L1060" s="111"/>
      <c r="M1060" s="111"/>
      <c r="N1060" s="111"/>
      <c r="O1060" s="111"/>
      <c r="P1060" s="111"/>
      <c r="Q1060" s="111"/>
      <c r="R1060" s="111"/>
    </row>
    <row r="1061" spans="2:18" s="108" customFormat="1">
      <c r="B1061" s="109"/>
      <c r="C1061" s="110"/>
      <c r="D1061" s="109"/>
      <c r="E1061" s="109"/>
      <c r="F1061" s="97"/>
      <c r="G1061" s="109"/>
      <c r="H1061" s="109"/>
      <c r="I1061" s="97"/>
      <c r="J1061" s="97"/>
      <c r="K1061" s="83"/>
      <c r="L1061" s="111"/>
      <c r="M1061" s="111"/>
      <c r="N1061" s="111"/>
      <c r="O1061" s="111"/>
      <c r="P1061" s="111"/>
      <c r="Q1061" s="111"/>
      <c r="R1061" s="111"/>
    </row>
    <row r="1062" spans="2:18" s="108" customFormat="1">
      <c r="B1062" s="109"/>
      <c r="C1062" s="110"/>
      <c r="D1062" s="109"/>
      <c r="E1062" s="109"/>
      <c r="F1062" s="97"/>
      <c r="G1062" s="109"/>
      <c r="H1062" s="109"/>
      <c r="I1062" s="97"/>
      <c r="J1062" s="97"/>
      <c r="K1062" s="83"/>
      <c r="L1062" s="111"/>
      <c r="M1062" s="111"/>
      <c r="N1062" s="111"/>
      <c r="O1062" s="111"/>
      <c r="P1062" s="111"/>
      <c r="Q1062" s="111"/>
      <c r="R1062" s="111"/>
    </row>
    <row r="1063" spans="2:18" s="108" customFormat="1">
      <c r="B1063" s="109"/>
      <c r="C1063" s="110"/>
      <c r="D1063" s="109"/>
      <c r="E1063" s="109"/>
      <c r="F1063" s="97"/>
      <c r="G1063" s="109"/>
      <c r="H1063" s="109"/>
      <c r="I1063" s="97"/>
      <c r="J1063" s="97"/>
      <c r="K1063" s="83"/>
      <c r="L1063" s="111"/>
      <c r="M1063" s="111"/>
      <c r="N1063" s="111"/>
      <c r="O1063" s="111"/>
      <c r="P1063" s="111"/>
      <c r="Q1063" s="111"/>
      <c r="R1063" s="111"/>
    </row>
    <row r="1064" spans="2:18" s="108" customFormat="1">
      <c r="B1064" s="109"/>
      <c r="C1064" s="110"/>
      <c r="D1064" s="109"/>
      <c r="E1064" s="109"/>
      <c r="F1064" s="97"/>
      <c r="G1064" s="109"/>
      <c r="H1064" s="109"/>
      <c r="I1064" s="97"/>
      <c r="J1064" s="97"/>
      <c r="K1064" s="83"/>
      <c r="L1064" s="111"/>
      <c r="M1064" s="111"/>
      <c r="N1064" s="111"/>
      <c r="O1064" s="111"/>
      <c r="P1064" s="111"/>
      <c r="Q1064" s="111"/>
      <c r="R1064" s="111"/>
    </row>
    <row r="1065" spans="2:18" s="108" customFormat="1">
      <c r="B1065" s="109"/>
      <c r="C1065" s="110"/>
      <c r="D1065" s="109"/>
      <c r="E1065" s="109"/>
      <c r="F1065" s="97"/>
      <c r="G1065" s="109"/>
      <c r="H1065" s="109"/>
      <c r="I1065" s="97"/>
      <c r="J1065" s="97"/>
      <c r="K1065" s="83"/>
      <c r="L1065" s="111"/>
      <c r="M1065" s="111"/>
      <c r="N1065" s="111"/>
      <c r="O1065" s="111"/>
      <c r="P1065" s="111"/>
      <c r="Q1065" s="111"/>
      <c r="R1065" s="111"/>
    </row>
    <row r="1066" spans="2:18" s="108" customFormat="1">
      <c r="B1066" s="109"/>
      <c r="C1066" s="110"/>
      <c r="D1066" s="109"/>
      <c r="E1066" s="109"/>
      <c r="F1066" s="97"/>
      <c r="G1066" s="109"/>
      <c r="H1066" s="109"/>
      <c r="I1066" s="97"/>
      <c r="J1066" s="97"/>
      <c r="K1066" s="83"/>
      <c r="L1066" s="111"/>
      <c r="M1066" s="111"/>
      <c r="N1066" s="111"/>
      <c r="O1066" s="111"/>
      <c r="P1066" s="111"/>
      <c r="Q1066" s="111"/>
      <c r="R1066" s="111"/>
    </row>
    <row r="1067" spans="2:18" s="108" customFormat="1">
      <c r="B1067" s="109"/>
      <c r="C1067" s="110"/>
      <c r="D1067" s="109"/>
      <c r="E1067" s="109"/>
      <c r="F1067" s="97"/>
      <c r="G1067" s="109"/>
      <c r="H1067" s="109"/>
      <c r="I1067" s="97"/>
      <c r="J1067" s="97"/>
      <c r="K1067" s="83"/>
      <c r="L1067" s="111"/>
      <c r="M1067" s="111"/>
      <c r="N1067" s="111"/>
      <c r="O1067" s="111"/>
      <c r="P1067" s="111"/>
      <c r="Q1067" s="111"/>
      <c r="R1067" s="111"/>
    </row>
    <row r="1068" spans="2:18" s="108" customFormat="1">
      <c r="B1068" s="109"/>
      <c r="C1068" s="110"/>
      <c r="D1068" s="109"/>
      <c r="E1068" s="109"/>
      <c r="F1068" s="97"/>
      <c r="G1068" s="109"/>
      <c r="H1068" s="109"/>
      <c r="I1068" s="97"/>
      <c r="J1068" s="97"/>
      <c r="K1068" s="83"/>
      <c r="L1068" s="111"/>
      <c r="M1068" s="111"/>
      <c r="N1068" s="111"/>
      <c r="O1068" s="111"/>
      <c r="P1068" s="111"/>
      <c r="Q1068" s="111"/>
      <c r="R1068" s="111"/>
    </row>
    <row r="1069" spans="2:18" s="108" customFormat="1">
      <c r="B1069" s="109"/>
      <c r="C1069" s="110"/>
      <c r="D1069" s="109"/>
      <c r="E1069" s="109"/>
      <c r="F1069" s="97"/>
      <c r="G1069" s="109"/>
      <c r="H1069" s="109"/>
      <c r="I1069" s="97"/>
      <c r="J1069" s="97"/>
      <c r="K1069" s="83"/>
      <c r="L1069" s="111"/>
      <c r="M1069" s="111"/>
      <c r="N1069" s="111"/>
      <c r="O1069" s="111"/>
      <c r="P1069" s="111"/>
      <c r="Q1069" s="111"/>
      <c r="R1069" s="111"/>
    </row>
    <row r="1070" spans="2:18" s="108" customFormat="1">
      <c r="B1070" s="109"/>
      <c r="C1070" s="110"/>
      <c r="D1070" s="109"/>
      <c r="E1070" s="109"/>
      <c r="F1070" s="97"/>
      <c r="G1070" s="109"/>
      <c r="H1070" s="109"/>
      <c r="I1070" s="97"/>
      <c r="J1070" s="97"/>
      <c r="K1070" s="83"/>
      <c r="L1070" s="111"/>
      <c r="M1070" s="111"/>
      <c r="N1070" s="111"/>
      <c r="O1070" s="111"/>
      <c r="P1070" s="111"/>
      <c r="Q1070" s="111"/>
      <c r="R1070" s="111"/>
    </row>
    <row r="1071" spans="2:18" s="108" customFormat="1">
      <c r="B1071" s="109"/>
      <c r="C1071" s="110"/>
      <c r="D1071" s="109"/>
      <c r="E1071" s="109"/>
      <c r="F1071" s="97"/>
      <c r="G1071" s="109"/>
      <c r="H1071" s="109"/>
      <c r="I1071" s="97"/>
      <c r="J1071" s="97"/>
      <c r="K1071" s="83"/>
      <c r="L1071" s="111"/>
      <c r="M1071" s="111"/>
      <c r="N1071" s="111"/>
      <c r="O1071" s="111"/>
      <c r="P1071" s="111"/>
      <c r="Q1071" s="111"/>
      <c r="R1071" s="111"/>
    </row>
    <row r="1072" spans="2:18" s="108" customFormat="1">
      <c r="B1072" s="109"/>
      <c r="C1072" s="110"/>
      <c r="D1072" s="109"/>
      <c r="E1072" s="109"/>
      <c r="F1072" s="97"/>
      <c r="G1072" s="109"/>
      <c r="H1072" s="109"/>
      <c r="I1072" s="97"/>
      <c r="J1072" s="97"/>
      <c r="K1072" s="83"/>
      <c r="L1072" s="111"/>
      <c r="M1072" s="111"/>
      <c r="N1072" s="111"/>
      <c r="O1072" s="111"/>
      <c r="P1072" s="111"/>
      <c r="Q1072" s="111"/>
      <c r="R1072" s="111"/>
    </row>
    <row r="1073" spans="2:18" s="108" customFormat="1">
      <c r="B1073" s="109"/>
      <c r="C1073" s="110"/>
      <c r="D1073" s="109"/>
      <c r="E1073" s="109"/>
      <c r="F1073" s="97"/>
      <c r="G1073" s="109"/>
      <c r="H1073" s="109"/>
      <c r="I1073" s="97"/>
      <c r="J1073" s="97"/>
      <c r="K1073" s="83"/>
      <c r="L1073" s="111"/>
      <c r="M1073" s="111"/>
      <c r="N1073" s="111"/>
      <c r="O1073" s="111"/>
      <c r="P1073" s="111"/>
      <c r="Q1073" s="111"/>
      <c r="R1073" s="111"/>
    </row>
    <row r="1074" spans="2:18" s="108" customFormat="1">
      <c r="B1074" s="109"/>
      <c r="C1074" s="110"/>
      <c r="D1074" s="109"/>
      <c r="E1074" s="109"/>
      <c r="F1074" s="97"/>
      <c r="G1074" s="109"/>
      <c r="H1074" s="109"/>
      <c r="I1074" s="97"/>
      <c r="J1074" s="97"/>
      <c r="K1074" s="83"/>
      <c r="L1074" s="111"/>
      <c r="M1074" s="111"/>
      <c r="N1074" s="111"/>
      <c r="O1074" s="111"/>
      <c r="P1074" s="111"/>
      <c r="Q1074" s="111"/>
      <c r="R1074" s="111"/>
    </row>
    <row r="1075" spans="2:18" s="108" customFormat="1">
      <c r="B1075" s="109"/>
      <c r="C1075" s="110"/>
      <c r="D1075" s="109"/>
      <c r="E1075" s="109"/>
      <c r="F1075" s="97"/>
      <c r="G1075" s="109"/>
      <c r="H1075" s="109"/>
      <c r="I1075" s="97"/>
      <c r="J1075" s="97"/>
      <c r="K1075" s="83"/>
      <c r="L1075" s="111"/>
      <c r="M1075" s="111"/>
      <c r="N1075" s="111"/>
      <c r="O1075" s="111"/>
      <c r="P1075" s="111"/>
      <c r="Q1075" s="111"/>
      <c r="R1075" s="111"/>
    </row>
    <row r="1076" spans="2:18" s="108" customFormat="1">
      <c r="B1076" s="109"/>
      <c r="C1076" s="110"/>
      <c r="D1076" s="109"/>
      <c r="E1076" s="109"/>
      <c r="F1076" s="97"/>
      <c r="G1076" s="109"/>
      <c r="H1076" s="109"/>
      <c r="I1076" s="97"/>
      <c r="J1076" s="97"/>
      <c r="K1076" s="83"/>
      <c r="L1076" s="111"/>
      <c r="M1076" s="111"/>
      <c r="N1076" s="111"/>
      <c r="O1076" s="111"/>
      <c r="P1076" s="111"/>
      <c r="Q1076" s="111"/>
      <c r="R1076" s="111"/>
    </row>
    <row r="1077" spans="2:18" s="108" customFormat="1">
      <c r="B1077" s="109"/>
      <c r="C1077" s="110"/>
      <c r="D1077" s="109"/>
      <c r="E1077" s="109"/>
      <c r="F1077" s="97"/>
      <c r="G1077" s="109"/>
      <c r="H1077" s="109"/>
      <c r="I1077" s="97"/>
      <c r="J1077" s="97"/>
      <c r="K1077" s="83"/>
      <c r="L1077" s="111"/>
      <c r="M1077" s="111"/>
      <c r="N1077" s="111"/>
      <c r="O1077" s="111"/>
      <c r="P1077" s="111"/>
      <c r="Q1077" s="111"/>
      <c r="R1077" s="111"/>
    </row>
    <row r="1078" spans="2:18" s="108" customFormat="1">
      <c r="B1078" s="109"/>
      <c r="C1078" s="110"/>
      <c r="D1078" s="109"/>
      <c r="E1078" s="109"/>
      <c r="F1078" s="97"/>
      <c r="G1078" s="109"/>
      <c r="H1078" s="109"/>
      <c r="I1078" s="97"/>
      <c r="J1078" s="97"/>
      <c r="K1078" s="83"/>
      <c r="L1078" s="111"/>
      <c r="M1078" s="111"/>
      <c r="N1078" s="111"/>
      <c r="O1078" s="111"/>
      <c r="P1078" s="111"/>
      <c r="Q1078" s="111"/>
      <c r="R1078" s="111"/>
    </row>
    <row r="1079" spans="2:18" s="108" customFormat="1">
      <c r="B1079" s="109"/>
      <c r="C1079" s="110"/>
      <c r="D1079" s="109"/>
      <c r="E1079" s="109"/>
      <c r="F1079" s="97"/>
      <c r="G1079" s="109"/>
      <c r="H1079" s="109"/>
      <c r="I1079" s="97"/>
      <c r="J1079" s="97"/>
      <c r="K1079" s="83"/>
      <c r="L1079" s="111"/>
      <c r="M1079" s="111"/>
      <c r="N1079" s="111"/>
      <c r="O1079" s="111"/>
      <c r="P1079" s="111"/>
      <c r="Q1079" s="111"/>
      <c r="R1079" s="111"/>
    </row>
    <row r="1080" spans="2:18" s="108" customFormat="1">
      <c r="B1080" s="109"/>
      <c r="C1080" s="110"/>
      <c r="D1080" s="109"/>
      <c r="E1080" s="109"/>
      <c r="F1080" s="97"/>
      <c r="G1080" s="109"/>
      <c r="H1080" s="109"/>
      <c r="I1080" s="97"/>
      <c r="J1080" s="97"/>
      <c r="K1080" s="83"/>
      <c r="L1080" s="111"/>
      <c r="M1080" s="111"/>
      <c r="N1080" s="111"/>
      <c r="O1080" s="111"/>
      <c r="P1080" s="111"/>
      <c r="Q1080" s="111"/>
      <c r="R1080" s="111"/>
    </row>
    <row r="1081" spans="2:18" s="108" customFormat="1">
      <c r="B1081" s="109"/>
      <c r="C1081" s="110"/>
      <c r="D1081" s="109"/>
      <c r="E1081" s="109"/>
      <c r="F1081" s="97"/>
      <c r="G1081" s="109"/>
      <c r="H1081" s="109"/>
      <c r="I1081" s="97"/>
      <c r="J1081" s="97"/>
      <c r="K1081" s="83"/>
      <c r="L1081" s="111"/>
      <c r="M1081" s="111"/>
      <c r="N1081" s="111"/>
      <c r="O1081" s="111"/>
      <c r="P1081" s="111"/>
      <c r="Q1081" s="111"/>
      <c r="R1081" s="111"/>
    </row>
    <row r="1082" spans="2:18" s="108" customFormat="1">
      <c r="B1082" s="109"/>
      <c r="C1082" s="110"/>
      <c r="D1082" s="109"/>
      <c r="E1082" s="109"/>
      <c r="F1082" s="97"/>
      <c r="G1082" s="109"/>
      <c r="H1082" s="109"/>
      <c r="I1082" s="97"/>
      <c r="J1082" s="97"/>
      <c r="K1082" s="83"/>
      <c r="L1082" s="111"/>
      <c r="M1082" s="111"/>
      <c r="N1082" s="111"/>
      <c r="O1082" s="111"/>
      <c r="P1082" s="111"/>
      <c r="Q1082" s="111"/>
      <c r="R1082" s="111"/>
    </row>
    <row r="1083" spans="2:18" s="108" customFormat="1">
      <c r="B1083" s="109"/>
      <c r="C1083" s="110"/>
      <c r="D1083" s="109"/>
      <c r="E1083" s="109"/>
      <c r="F1083" s="97"/>
      <c r="G1083" s="109"/>
      <c r="H1083" s="109"/>
      <c r="I1083" s="97"/>
      <c r="J1083" s="97"/>
      <c r="K1083" s="83"/>
      <c r="L1083" s="111"/>
      <c r="M1083" s="111"/>
      <c r="N1083" s="111"/>
      <c r="O1083" s="111"/>
      <c r="P1083" s="111"/>
      <c r="Q1083" s="111"/>
      <c r="R1083" s="111"/>
    </row>
    <row r="1084" spans="2:18" s="108" customFormat="1">
      <c r="B1084" s="109"/>
      <c r="C1084" s="110"/>
      <c r="D1084" s="109"/>
      <c r="E1084" s="109"/>
      <c r="F1084" s="97"/>
      <c r="G1084" s="109"/>
      <c r="H1084" s="109"/>
      <c r="I1084" s="97"/>
      <c r="J1084" s="97"/>
      <c r="K1084" s="83"/>
      <c r="L1084" s="111"/>
      <c r="M1084" s="111"/>
      <c r="N1084" s="111"/>
      <c r="O1084" s="111"/>
      <c r="P1084" s="111"/>
      <c r="Q1084" s="111"/>
      <c r="R1084" s="111"/>
    </row>
    <row r="1085" spans="2:18" s="108" customFormat="1">
      <c r="B1085" s="109"/>
      <c r="C1085" s="110"/>
      <c r="D1085" s="109"/>
      <c r="E1085" s="109"/>
      <c r="F1085" s="97"/>
      <c r="G1085" s="109"/>
      <c r="H1085" s="109"/>
      <c r="I1085" s="97"/>
      <c r="J1085" s="97"/>
      <c r="K1085" s="83"/>
      <c r="L1085" s="111"/>
      <c r="M1085" s="111"/>
      <c r="N1085" s="111"/>
      <c r="O1085" s="111"/>
      <c r="P1085" s="111"/>
      <c r="Q1085" s="111"/>
      <c r="R1085" s="111"/>
    </row>
    <row r="1086" spans="2:18" s="108" customFormat="1">
      <c r="B1086" s="109"/>
      <c r="C1086" s="110"/>
      <c r="D1086" s="109"/>
      <c r="E1086" s="109"/>
      <c r="F1086" s="97"/>
      <c r="G1086" s="109"/>
      <c r="H1086" s="109"/>
      <c r="I1086" s="97"/>
      <c r="J1086" s="97"/>
      <c r="K1086" s="83"/>
      <c r="L1086" s="111"/>
      <c r="M1086" s="111"/>
      <c r="N1086" s="111"/>
      <c r="O1086" s="111"/>
      <c r="P1086" s="111"/>
      <c r="Q1086" s="111"/>
      <c r="R1086" s="111"/>
    </row>
    <row r="1087" spans="2:18" s="108" customFormat="1">
      <c r="B1087" s="109"/>
      <c r="C1087" s="110"/>
      <c r="D1087" s="109"/>
      <c r="E1087" s="109"/>
      <c r="F1087" s="97"/>
      <c r="G1087" s="109"/>
      <c r="H1087" s="109"/>
      <c r="I1087" s="97"/>
      <c r="J1087" s="97"/>
      <c r="K1087" s="83"/>
      <c r="L1087" s="111"/>
      <c r="M1087" s="111"/>
      <c r="N1087" s="111"/>
      <c r="O1087" s="111"/>
      <c r="P1087" s="111"/>
      <c r="Q1087" s="111"/>
      <c r="R1087" s="111"/>
    </row>
    <row r="1088" spans="2:18" s="108" customFormat="1">
      <c r="B1088" s="109"/>
      <c r="C1088" s="110"/>
      <c r="D1088" s="109"/>
      <c r="E1088" s="109"/>
      <c r="F1088" s="97"/>
      <c r="G1088" s="109"/>
      <c r="H1088" s="109"/>
      <c r="I1088" s="97"/>
      <c r="J1088" s="97"/>
      <c r="K1088" s="83"/>
      <c r="L1088" s="111"/>
      <c r="M1088" s="111"/>
      <c r="N1088" s="111"/>
      <c r="O1088" s="111"/>
      <c r="P1088" s="111"/>
      <c r="Q1088" s="111"/>
      <c r="R1088" s="111"/>
    </row>
    <row r="1089" spans="2:18" s="108" customFormat="1">
      <c r="B1089" s="109"/>
      <c r="C1089" s="110"/>
      <c r="D1089" s="109"/>
      <c r="E1089" s="109"/>
      <c r="F1089" s="97"/>
      <c r="G1089" s="109"/>
      <c r="H1089" s="109"/>
      <c r="I1089" s="97"/>
      <c r="J1089" s="97"/>
      <c r="K1089" s="83"/>
      <c r="L1089" s="111"/>
      <c r="M1089" s="111"/>
      <c r="N1089" s="111"/>
      <c r="O1089" s="111"/>
      <c r="P1089" s="111"/>
      <c r="Q1089" s="111"/>
      <c r="R1089" s="111"/>
    </row>
    <row r="1090" spans="2:18" s="108" customFormat="1">
      <c r="B1090" s="109"/>
      <c r="C1090" s="110"/>
      <c r="D1090" s="109"/>
      <c r="E1090" s="109"/>
      <c r="F1090" s="97"/>
      <c r="G1090" s="109"/>
      <c r="H1090" s="109"/>
      <c r="I1090" s="97"/>
      <c r="J1090" s="97"/>
      <c r="K1090" s="83"/>
      <c r="L1090" s="111"/>
      <c r="M1090" s="111"/>
      <c r="N1090" s="111"/>
      <c r="O1090" s="111"/>
      <c r="P1090" s="111"/>
      <c r="Q1090" s="111"/>
      <c r="R1090" s="111"/>
    </row>
    <row r="1091" spans="2:18" s="108" customFormat="1">
      <c r="B1091" s="109"/>
      <c r="C1091" s="110"/>
      <c r="D1091" s="109"/>
      <c r="E1091" s="109"/>
      <c r="F1091" s="97"/>
      <c r="G1091" s="109"/>
      <c r="H1091" s="109"/>
      <c r="I1091" s="97"/>
      <c r="J1091" s="97"/>
      <c r="K1091" s="83"/>
      <c r="L1091" s="111"/>
      <c r="M1091" s="111"/>
      <c r="N1091" s="111"/>
      <c r="O1091" s="111"/>
      <c r="P1091" s="111"/>
      <c r="Q1091" s="111"/>
      <c r="R1091" s="111"/>
    </row>
    <row r="1092" spans="2:18" s="108" customFormat="1">
      <c r="B1092" s="109"/>
      <c r="C1092" s="110"/>
      <c r="D1092" s="109"/>
      <c r="E1092" s="109"/>
      <c r="F1092" s="97"/>
      <c r="G1092" s="109"/>
      <c r="H1092" s="109"/>
      <c r="I1092" s="97"/>
      <c r="J1092" s="97"/>
      <c r="K1092" s="83"/>
      <c r="L1092" s="111"/>
      <c r="M1092" s="111"/>
      <c r="N1092" s="111"/>
      <c r="O1092" s="111"/>
      <c r="P1092" s="111"/>
      <c r="Q1092" s="111"/>
      <c r="R1092" s="111"/>
    </row>
    <row r="1093" spans="2:18" s="108" customFormat="1">
      <c r="B1093" s="109"/>
      <c r="C1093" s="110"/>
      <c r="D1093" s="109"/>
      <c r="E1093" s="109"/>
      <c r="F1093" s="97"/>
      <c r="G1093" s="109"/>
      <c r="H1093" s="109"/>
      <c r="I1093" s="97"/>
      <c r="J1093" s="97"/>
      <c r="K1093" s="83"/>
      <c r="L1093" s="111"/>
      <c r="M1093" s="111"/>
      <c r="N1093" s="111"/>
      <c r="O1093" s="111"/>
      <c r="P1093" s="111"/>
      <c r="Q1093" s="111"/>
      <c r="R1093" s="111"/>
    </row>
    <row r="1094" spans="2:18" s="108" customFormat="1">
      <c r="B1094" s="109"/>
      <c r="C1094" s="110"/>
      <c r="D1094" s="109"/>
      <c r="E1094" s="109"/>
      <c r="F1094" s="97"/>
      <c r="G1094" s="109"/>
      <c r="H1094" s="109"/>
      <c r="I1094" s="97"/>
      <c r="J1094" s="97"/>
      <c r="K1094" s="83"/>
      <c r="L1094" s="111"/>
      <c r="M1094" s="111"/>
      <c r="N1094" s="111"/>
      <c r="O1094" s="111"/>
      <c r="P1094" s="111"/>
      <c r="Q1094" s="111"/>
      <c r="R1094" s="111"/>
    </row>
    <row r="1095" spans="2:18" s="108" customFormat="1">
      <c r="B1095" s="109"/>
      <c r="C1095" s="110"/>
      <c r="D1095" s="109"/>
      <c r="E1095" s="109"/>
      <c r="F1095" s="97"/>
      <c r="G1095" s="109"/>
      <c r="H1095" s="109"/>
      <c r="I1095" s="97"/>
      <c r="J1095" s="97"/>
      <c r="K1095" s="83"/>
      <c r="L1095" s="111"/>
      <c r="M1095" s="111"/>
      <c r="N1095" s="111"/>
      <c r="O1095" s="111"/>
      <c r="P1095" s="111"/>
      <c r="Q1095" s="111"/>
      <c r="R1095" s="111"/>
    </row>
    <row r="1096" spans="2:18" s="108" customFormat="1">
      <c r="B1096" s="109"/>
      <c r="C1096" s="110"/>
      <c r="D1096" s="109"/>
      <c r="E1096" s="109"/>
      <c r="F1096" s="97"/>
      <c r="G1096" s="109"/>
      <c r="H1096" s="109"/>
      <c r="I1096" s="97"/>
      <c r="J1096" s="97"/>
      <c r="K1096" s="83"/>
      <c r="L1096" s="111"/>
      <c r="M1096" s="111"/>
      <c r="N1096" s="111"/>
      <c r="O1096" s="111"/>
      <c r="P1096" s="111"/>
      <c r="Q1096" s="111"/>
      <c r="R1096" s="111"/>
    </row>
    <row r="1097" spans="2:18" s="108" customFormat="1">
      <c r="B1097" s="109"/>
      <c r="C1097" s="110"/>
      <c r="D1097" s="109"/>
      <c r="E1097" s="109"/>
      <c r="F1097" s="97"/>
      <c r="G1097" s="109"/>
      <c r="H1097" s="109"/>
      <c r="I1097" s="97"/>
      <c r="J1097" s="97"/>
      <c r="K1097" s="83"/>
      <c r="L1097" s="111"/>
      <c r="M1097" s="111"/>
      <c r="N1097" s="111"/>
      <c r="O1097" s="111"/>
      <c r="P1097" s="111"/>
      <c r="Q1097" s="111"/>
      <c r="R1097" s="111"/>
    </row>
    <row r="1098" spans="2:18" s="108" customFormat="1">
      <c r="B1098" s="109"/>
      <c r="C1098" s="110"/>
      <c r="D1098" s="109"/>
      <c r="E1098" s="109"/>
      <c r="F1098" s="97"/>
      <c r="G1098" s="109"/>
      <c r="H1098" s="109"/>
      <c r="I1098" s="97"/>
      <c r="J1098" s="97"/>
      <c r="K1098" s="83"/>
      <c r="L1098" s="111"/>
      <c r="M1098" s="111"/>
      <c r="N1098" s="111"/>
      <c r="O1098" s="111"/>
      <c r="P1098" s="111"/>
      <c r="Q1098" s="111"/>
      <c r="R1098" s="111"/>
    </row>
    <row r="1099" spans="2:18" s="108" customFormat="1">
      <c r="B1099" s="109"/>
      <c r="C1099" s="110"/>
      <c r="D1099" s="109"/>
      <c r="E1099" s="109"/>
      <c r="F1099" s="97"/>
      <c r="G1099" s="109"/>
      <c r="H1099" s="109"/>
      <c r="I1099" s="97"/>
      <c r="J1099" s="97"/>
      <c r="K1099" s="83"/>
      <c r="L1099" s="111"/>
      <c r="M1099" s="111"/>
      <c r="N1099" s="111"/>
      <c r="O1099" s="111"/>
      <c r="P1099" s="111"/>
      <c r="Q1099" s="111"/>
      <c r="R1099" s="111"/>
    </row>
    <row r="1100" spans="2:18" s="108" customFormat="1">
      <c r="B1100" s="109"/>
      <c r="C1100" s="110"/>
      <c r="D1100" s="109"/>
      <c r="E1100" s="109"/>
      <c r="F1100" s="97"/>
      <c r="G1100" s="109"/>
      <c r="H1100" s="109"/>
      <c r="I1100" s="97"/>
      <c r="J1100" s="97"/>
      <c r="K1100" s="83"/>
      <c r="L1100" s="111"/>
      <c r="M1100" s="111"/>
      <c r="N1100" s="111"/>
      <c r="O1100" s="111"/>
      <c r="P1100" s="111"/>
      <c r="Q1100" s="111"/>
      <c r="R1100" s="111"/>
    </row>
    <row r="1101" spans="2:18" s="108" customFormat="1">
      <c r="B1101" s="109"/>
      <c r="C1101" s="110"/>
      <c r="D1101" s="109"/>
      <c r="E1101" s="109"/>
      <c r="F1101" s="97"/>
      <c r="G1101" s="109"/>
      <c r="H1101" s="109"/>
      <c r="I1101" s="97"/>
      <c r="J1101" s="97"/>
      <c r="K1101" s="83"/>
      <c r="L1101" s="111"/>
      <c r="M1101" s="111"/>
      <c r="N1101" s="111"/>
      <c r="O1101" s="111"/>
      <c r="P1101" s="111"/>
      <c r="Q1101" s="111"/>
      <c r="R1101" s="111"/>
    </row>
    <row r="1102" spans="2:18" s="108" customFormat="1">
      <c r="B1102" s="109"/>
      <c r="C1102" s="110"/>
      <c r="D1102" s="109"/>
      <c r="E1102" s="109"/>
      <c r="F1102" s="97"/>
      <c r="G1102" s="109"/>
      <c r="H1102" s="109"/>
      <c r="I1102" s="97"/>
      <c r="J1102" s="97"/>
      <c r="K1102" s="83"/>
      <c r="L1102" s="111"/>
      <c r="M1102" s="111"/>
      <c r="N1102" s="111"/>
      <c r="O1102" s="111"/>
      <c r="P1102" s="111"/>
      <c r="Q1102" s="111"/>
      <c r="R1102" s="111"/>
    </row>
    <row r="1103" spans="2:18" s="108" customFormat="1">
      <c r="B1103" s="109"/>
      <c r="C1103" s="110"/>
      <c r="D1103" s="109"/>
      <c r="E1103" s="109"/>
      <c r="F1103" s="97"/>
      <c r="G1103" s="109"/>
      <c r="H1103" s="109"/>
      <c r="I1103" s="97"/>
      <c r="J1103" s="97"/>
      <c r="K1103" s="83"/>
      <c r="L1103" s="111"/>
      <c r="M1103" s="111"/>
      <c r="N1103" s="111"/>
      <c r="O1103" s="111"/>
      <c r="P1103" s="111"/>
      <c r="Q1103" s="111"/>
      <c r="R1103" s="111"/>
    </row>
    <row r="1104" spans="2:18" s="108" customFormat="1">
      <c r="B1104" s="109"/>
      <c r="C1104" s="110"/>
      <c r="D1104" s="109"/>
      <c r="E1104" s="109"/>
      <c r="F1104" s="97"/>
      <c r="G1104" s="109"/>
      <c r="H1104" s="109"/>
      <c r="I1104" s="97"/>
      <c r="J1104" s="97"/>
      <c r="K1104" s="83"/>
      <c r="L1104" s="111"/>
      <c r="M1104" s="111"/>
      <c r="N1104" s="111"/>
      <c r="O1104" s="111"/>
      <c r="P1104" s="111"/>
      <c r="Q1104" s="111"/>
      <c r="R1104" s="111"/>
    </row>
    <row r="1105" spans="2:18" s="108" customFormat="1">
      <c r="B1105" s="109"/>
      <c r="C1105" s="110"/>
      <c r="D1105" s="109"/>
      <c r="E1105" s="109"/>
      <c r="F1105" s="97"/>
      <c r="G1105" s="109"/>
      <c r="H1105" s="109"/>
      <c r="I1105" s="97"/>
      <c r="J1105" s="97"/>
      <c r="K1105" s="83"/>
      <c r="L1105" s="111"/>
      <c r="M1105" s="111"/>
      <c r="N1105" s="111"/>
      <c r="O1105" s="111"/>
      <c r="P1105" s="111"/>
      <c r="Q1105" s="111"/>
      <c r="R1105" s="111"/>
    </row>
    <row r="1106" spans="2:18" s="108" customFormat="1">
      <c r="B1106" s="109"/>
      <c r="C1106" s="110"/>
      <c r="D1106" s="109"/>
      <c r="E1106" s="109"/>
      <c r="F1106" s="97"/>
      <c r="G1106" s="109"/>
      <c r="H1106" s="109"/>
      <c r="I1106" s="97"/>
      <c r="J1106" s="97"/>
      <c r="K1106" s="83"/>
      <c r="L1106" s="111"/>
      <c r="M1106" s="111"/>
      <c r="N1106" s="111"/>
      <c r="O1106" s="111"/>
      <c r="P1106" s="111"/>
      <c r="Q1106" s="111"/>
      <c r="R1106" s="111"/>
    </row>
    <row r="1107" spans="2:18" s="108" customFormat="1">
      <c r="B1107" s="109"/>
      <c r="C1107" s="110"/>
      <c r="D1107" s="109"/>
      <c r="E1107" s="109"/>
      <c r="F1107" s="97"/>
      <c r="G1107" s="109"/>
      <c r="H1107" s="109"/>
      <c r="I1107" s="97"/>
      <c r="J1107" s="97"/>
      <c r="K1107" s="83"/>
      <c r="L1107" s="111"/>
      <c r="M1107" s="111"/>
      <c r="N1107" s="111"/>
      <c r="O1107" s="111"/>
      <c r="P1107" s="111"/>
      <c r="Q1107" s="111"/>
      <c r="R1107" s="111"/>
    </row>
    <row r="1108" spans="2:18" s="108" customFormat="1">
      <c r="B1108" s="109"/>
      <c r="C1108" s="110"/>
      <c r="D1108" s="109"/>
      <c r="E1108" s="109"/>
      <c r="F1108" s="97"/>
      <c r="G1108" s="109"/>
      <c r="H1108" s="109"/>
      <c r="I1108" s="97"/>
      <c r="J1108" s="97"/>
      <c r="K1108" s="83"/>
      <c r="L1108" s="111"/>
      <c r="M1108" s="111"/>
      <c r="N1108" s="111"/>
      <c r="O1108" s="111"/>
      <c r="P1108" s="111"/>
      <c r="Q1108" s="111"/>
      <c r="R1108" s="111"/>
    </row>
    <row r="1109" spans="2:18" s="108" customFormat="1">
      <c r="B1109" s="109"/>
      <c r="C1109" s="110"/>
      <c r="D1109" s="109"/>
      <c r="E1109" s="109"/>
      <c r="F1109" s="97"/>
      <c r="G1109" s="109"/>
      <c r="H1109" s="109"/>
      <c r="I1109" s="97"/>
      <c r="J1109" s="97"/>
      <c r="K1109" s="83"/>
      <c r="L1109" s="111"/>
      <c r="M1109" s="111"/>
      <c r="N1109" s="111"/>
      <c r="O1109" s="111"/>
      <c r="P1109" s="111"/>
      <c r="Q1109" s="111"/>
      <c r="R1109" s="111"/>
    </row>
    <row r="1110" spans="2:18" s="108" customFormat="1">
      <c r="B1110" s="109"/>
      <c r="C1110" s="110"/>
      <c r="D1110" s="109"/>
      <c r="E1110" s="109"/>
      <c r="F1110" s="97"/>
      <c r="G1110" s="109"/>
      <c r="H1110" s="109"/>
      <c r="I1110" s="97"/>
      <c r="J1110" s="97"/>
      <c r="K1110" s="83"/>
      <c r="L1110" s="111"/>
      <c r="M1110" s="111"/>
      <c r="N1110" s="111"/>
      <c r="O1110" s="111"/>
      <c r="P1110" s="111"/>
      <c r="Q1110" s="111"/>
      <c r="R1110" s="111"/>
    </row>
    <row r="1111" spans="2:18" s="108" customFormat="1">
      <c r="B1111" s="109"/>
      <c r="C1111" s="110"/>
      <c r="D1111" s="109"/>
      <c r="E1111" s="109"/>
      <c r="F1111" s="97"/>
      <c r="G1111" s="109"/>
      <c r="H1111" s="109"/>
      <c r="I1111" s="97"/>
      <c r="J1111" s="97"/>
      <c r="K1111" s="83"/>
      <c r="L1111" s="111"/>
      <c r="M1111" s="111"/>
      <c r="N1111" s="111"/>
      <c r="O1111" s="111"/>
      <c r="P1111" s="111"/>
      <c r="Q1111" s="111"/>
      <c r="R1111" s="111"/>
    </row>
    <row r="1112" spans="2:18" s="108" customFormat="1">
      <c r="B1112" s="109"/>
      <c r="C1112" s="110"/>
      <c r="D1112" s="109"/>
      <c r="E1112" s="109"/>
      <c r="F1112" s="97"/>
      <c r="G1112" s="109"/>
      <c r="H1112" s="109"/>
      <c r="I1112" s="97"/>
      <c r="J1112" s="97"/>
      <c r="K1112" s="83"/>
      <c r="L1112" s="111"/>
      <c r="M1112" s="111"/>
      <c r="N1112" s="111"/>
      <c r="O1112" s="111"/>
      <c r="P1112" s="111"/>
      <c r="Q1112" s="111"/>
      <c r="R1112" s="111"/>
    </row>
    <row r="1113" spans="2:18" s="108" customFormat="1">
      <c r="B1113" s="109"/>
      <c r="C1113" s="110"/>
      <c r="D1113" s="109"/>
      <c r="E1113" s="109"/>
      <c r="F1113" s="97"/>
      <c r="G1113" s="109"/>
      <c r="H1113" s="109"/>
      <c r="I1113" s="97"/>
      <c r="J1113" s="97"/>
      <c r="K1113" s="83"/>
      <c r="L1113" s="111"/>
      <c r="M1113" s="111"/>
      <c r="N1113" s="111"/>
      <c r="O1113" s="111"/>
      <c r="P1113" s="111"/>
      <c r="Q1113" s="111"/>
      <c r="R1113" s="111"/>
    </row>
    <row r="1114" spans="2:18" s="108" customFormat="1">
      <c r="B1114" s="109"/>
      <c r="C1114" s="110"/>
      <c r="D1114" s="109"/>
      <c r="E1114" s="109"/>
      <c r="F1114" s="97"/>
      <c r="G1114" s="109"/>
      <c r="H1114" s="109"/>
      <c r="I1114" s="97"/>
      <c r="J1114" s="97"/>
      <c r="K1114" s="83"/>
      <c r="L1114" s="111"/>
      <c r="M1114" s="111"/>
      <c r="N1114" s="111"/>
      <c r="O1114" s="111"/>
      <c r="P1114" s="111"/>
      <c r="Q1114" s="111"/>
      <c r="R1114" s="111"/>
    </row>
    <row r="1115" spans="2:18" s="108" customFormat="1">
      <c r="B1115" s="109"/>
      <c r="C1115" s="110"/>
      <c r="D1115" s="109"/>
      <c r="E1115" s="109"/>
      <c r="F1115" s="97"/>
      <c r="G1115" s="109"/>
      <c r="H1115" s="109"/>
      <c r="I1115" s="97"/>
      <c r="J1115" s="97"/>
      <c r="K1115" s="83"/>
      <c r="L1115" s="111"/>
      <c r="M1115" s="111"/>
      <c r="N1115" s="111"/>
      <c r="O1115" s="111"/>
      <c r="P1115" s="111"/>
      <c r="Q1115" s="111"/>
      <c r="R1115" s="111"/>
    </row>
    <row r="1116" spans="2:18" s="108" customFormat="1">
      <c r="B1116" s="109"/>
      <c r="C1116" s="110"/>
      <c r="D1116" s="109"/>
      <c r="E1116" s="109"/>
      <c r="F1116" s="97"/>
      <c r="G1116" s="109"/>
      <c r="H1116" s="109"/>
      <c r="I1116" s="97"/>
      <c r="J1116" s="97"/>
      <c r="K1116" s="83"/>
      <c r="L1116" s="111"/>
      <c r="M1116" s="111"/>
      <c r="N1116" s="111"/>
      <c r="O1116" s="111"/>
      <c r="P1116" s="111"/>
      <c r="Q1116" s="111"/>
      <c r="R1116" s="111"/>
    </row>
    <row r="1117" spans="2:18" s="108" customFormat="1">
      <c r="B1117" s="109"/>
      <c r="C1117" s="110"/>
      <c r="D1117" s="109"/>
      <c r="E1117" s="109"/>
      <c r="F1117" s="97"/>
      <c r="G1117" s="109"/>
      <c r="H1117" s="109"/>
      <c r="I1117" s="97"/>
      <c r="J1117" s="97"/>
      <c r="K1117" s="83"/>
      <c r="L1117" s="111"/>
      <c r="M1117" s="111"/>
      <c r="N1117" s="111"/>
      <c r="O1117" s="111"/>
      <c r="P1117" s="111"/>
      <c r="Q1117" s="111"/>
      <c r="R1117" s="111"/>
    </row>
    <row r="1118" spans="2:18" s="108" customFormat="1">
      <c r="B1118" s="109"/>
      <c r="C1118" s="110"/>
      <c r="D1118" s="109"/>
      <c r="E1118" s="109"/>
      <c r="F1118" s="97"/>
      <c r="G1118" s="109"/>
      <c r="H1118" s="109"/>
      <c r="I1118" s="97"/>
      <c r="J1118" s="97"/>
      <c r="K1118" s="83"/>
      <c r="L1118" s="111"/>
      <c r="M1118" s="111"/>
      <c r="N1118" s="111"/>
      <c r="O1118" s="111"/>
      <c r="P1118" s="111"/>
      <c r="Q1118" s="111"/>
      <c r="R1118" s="111"/>
    </row>
    <row r="1119" spans="2:18" s="108" customFormat="1">
      <c r="B1119" s="109"/>
      <c r="C1119" s="110"/>
      <c r="D1119" s="109"/>
      <c r="E1119" s="109"/>
      <c r="F1119" s="97"/>
      <c r="G1119" s="109"/>
      <c r="H1119" s="109"/>
      <c r="I1119" s="97"/>
      <c r="J1119" s="97"/>
      <c r="K1119" s="83"/>
      <c r="L1119" s="111"/>
      <c r="M1119" s="111"/>
      <c r="N1119" s="111"/>
      <c r="O1119" s="111"/>
      <c r="P1119" s="111"/>
      <c r="Q1119" s="111"/>
      <c r="R1119" s="111"/>
    </row>
    <row r="1120" spans="2:18" s="108" customFormat="1">
      <c r="B1120" s="109"/>
      <c r="C1120" s="110"/>
      <c r="D1120" s="109"/>
      <c r="E1120" s="109"/>
      <c r="F1120" s="97"/>
      <c r="G1120" s="109"/>
      <c r="H1120" s="109"/>
      <c r="I1120" s="97"/>
      <c r="J1120" s="97"/>
      <c r="K1120" s="83"/>
      <c r="L1120" s="111"/>
      <c r="M1120" s="111"/>
      <c r="N1120" s="111"/>
      <c r="O1120" s="111"/>
      <c r="P1120" s="111"/>
      <c r="Q1120" s="111"/>
      <c r="R1120" s="111"/>
    </row>
    <row r="1121" spans="2:18" s="108" customFormat="1">
      <c r="B1121" s="109"/>
      <c r="C1121" s="110"/>
      <c r="D1121" s="109"/>
      <c r="E1121" s="109"/>
      <c r="F1121" s="97"/>
      <c r="G1121" s="109"/>
      <c r="H1121" s="109"/>
      <c r="I1121" s="97"/>
      <c r="J1121" s="97"/>
      <c r="K1121" s="83"/>
      <c r="L1121" s="111"/>
      <c r="M1121" s="111"/>
      <c r="N1121" s="111"/>
      <c r="O1121" s="111"/>
      <c r="P1121" s="111"/>
      <c r="Q1121" s="111"/>
      <c r="R1121" s="111"/>
    </row>
    <row r="1122" spans="2:18" s="108" customFormat="1">
      <c r="B1122" s="109"/>
      <c r="C1122" s="110"/>
      <c r="D1122" s="109"/>
      <c r="E1122" s="109"/>
      <c r="F1122" s="97"/>
      <c r="G1122" s="109"/>
      <c r="H1122" s="109"/>
      <c r="I1122" s="97"/>
      <c r="J1122" s="97"/>
      <c r="K1122" s="83"/>
      <c r="L1122" s="111"/>
      <c r="M1122" s="111"/>
      <c r="N1122" s="111"/>
      <c r="O1122" s="111"/>
      <c r="P1122" s="111"/>
      <c r="Q1122" s="111"/>
      <c r="R1122" s="111"/>
    </row>
    <row r="1123" spans="2:18" s="108" customFormat="1">
      <c r="B1123" s="109"/>
      <c r="C1123" s="110"/>
      <c r="D1123" s="109"/>
      <c r="E1123" s="109"/>
      <c r="F1123" s="97"/>
      <c r="G1123" s="109"/>
      <c r="H1123" s="109"/>
      <c r="I1123" s="97"/>
      <c r="J1123" s="97"/>
      <c r="K1123" s="83"/>
      <c r="L1123" s="111"/>
      <c r="M1123" s="111"/>
      <c r="N1123" s="111"/>
      <c r="O1123" s="111"/>
      <c r="P1123" s="111"/>
      <c r="Q1123" s="111"/>
      <c r="R1123" s="111"/>
    </row>
    <row r="1124" spans="2:18" s="108" customFormat="1">
      <c r="B1124" s="109"/>
      <c r="C1124" s="110"/>
      <c r="D1124" s="109"/>
      <c r="E1124" s="109"/>
      <c r="F1124" s="97"/>
      <c r="G1124" s="109"/>
      <c r="H1124" s="109"/>
      <c r="I1124" s="97"/>
      <c r="J1124" s="97"/>
      <c r="K1124" s="83"/>
      <c r="L1124" s="111"/>
      <c r="M1124" s="111"/>
      <c r="N1124" s="111"/>
      <c r="O1124" s="111"/>
      <c r="P1124" s="111"/>
      <c r="Q1124" s="111"/>
      <c r="R1124" s="111"/>
    </row>
    <row r="1125" spans="2:18" s="108" customFormat="1">
      <c r="B1125" s="109"/>
      <c r="C1125" s="110"/>
      <c r="D1125" s="109"/>
      <c r="E1125" s="109"/>
      <c r="F1125" s="97"/>
      <c r="G1125" s="109"/>
      <c r="H1125" s="109"/>
      <c r="I1125" s="97"/>
      <c r="J1125" s="97"/>
      <c r="K1125" s="83"/>
      <c r="L1125" s="111"/>
      <c r="M1125" s="111"/>
      <c r="N1125" s="111"/>
      <c r="O1125" s="111"/>
      <c r="P1125" s="111"/>
      <c r="Q1125" s="111"/>
      <c r="R1125" s="111"/>
    </row>
    <row r="1126" spans="2:18" s="108" customFormat="1">
      <c r="B1126" s="109"/>
      <c r="C1126" s="110"/>
      <c r="D1126" s="109"/>
      <c r="E1126" s="109"/>
      <c r="F1126" s="97"/>
      <c r="G1126" s="109"/>
      <c r="H1126" s="109"/>
      <c r="I1126" s="97"/>
      <c r="J1126" s="97"/>
      <c r="K1126" s="83"/>
      <c r="L1126" s="111"/>
      <c r="M1126" s="111"/>
      <c r="N1126" s="111"/>
      <c r="O1126" s="111"/>
      <c r="P1126" s="111"/>
      <c r="Q1126" s="111"/>
      <c r="R1126" s="111"/>
    </row>
    <row r="1127" spans="2:18" s="108" customFormat="1">
      <c r="B1127" s="109"/>
      <c r="C1127" s="110"/>
      <c r="D1127" s="109"/>
      <c r="E1127" s="109"/>
      <c r="F1127" s="97"/>
      <c r="G1127" s="109"/>
      <c r="H1127" s="109"/>
      <c r="I1127" s="97"/>
      <c r="J1127" s="97"/>
      <c r="K1127" s="83"/>
      <c r="L1127" s="111"/>
      <c r="M1127" s="111"/>
      <c r="N1127" s="111"/>
      <c r="O1127" s="111"/>
      <c r="P1127" s="111"/>
      <c r="Q1127" s="111"/>
      <c r="R1127" s="111"/>
    </row>
    <row r="1128" spans="2:18" s="108" customFormat="1">
      <c r="B1128" s="109"/>
      <c r="C1128" s="110"/>
      <c r="D1128" s="109"/>
      <c r="E1128" s="109"/>
      <c r="F1128" s="97"/>
      <c r="G1128" s="109"/>
      <c r="H1128" s="109"/>
      <c r="I1128" s="97"/>
      <c r="J1128" s="97"/>
      <c r="K1128" s="83"/>
      <c r="L1128" s="111"/>
      <c r="M1128" s="111"/>
      <c r="N1128" s="111"/>
      <c r="O1128" s="111"/>
      <c r="P1128" s="111"/>
      <c r="Q1128" s="111"/>
      <c r="R1128" s="111"/>
    </row>
    <row r="1129" spans="2:18" s="108" customFormat="1">
      <c r="B1129" s="109"/>
      <c r="C1129" s="110"/>
      <c r="D1129" s="109"/>
      <c r="E1129" s="109"/>
      <c r="F1129" s="97"/>
      <c r="G1129" s="109"/>
      <c r="H1129" s="109"/>
      <c r="I1129" s="97"/>
      <c r="J1129" s="97"/>
      <c r="K1129" s="83"/>
      <c r="L1129" s="111"/>
      <c r="M1129" s="111"/>
      <c r="N1129" s="111"/>
      <c r="O1129" s="111"/>
      <c r="P1129" s="111"/>
      <c r="Q1129" s="111"/>
      <c r="R1129" s="111"/>
    </row>
    <row r="1130" spans="2:18" s="108" customFormat="1">
      <c r="B1130" s="109"/>
      <c r="C1130" s="110"/>
      <c r="D1130" s="109"/>
      <c r="E1130" s="109"/>
      <c r="F1130" s="97"/>
      <c r="G1130" s="109"/>
      <c r="H1130" s="109"/>
      <c r="I1130" s="97"/>
      <c r="J1130" s="97"/>
      <c r="K1130" s="83"/>
      <c r="L1130" s="111"/>
      <c r="M1130" s="111"/>
      <c r="N1130" s="111"/>
      <c r="O1130" s="111"/>
      <c r="P1130" s="111"/>
      <c r="Q1130" s="111"/>
      <c r="R1130" s="111"/>
    </row>
    <row r="1131" spans="2:18" s="108" customFormat="1">
      <c r="B1131" s="109"/>
      <c r="C1131" s="110"/>
      <c r="D1131" s="109"/>
      <c r="E1131" s="109"/>
      <c r="F1131" s="97"/>
      <c r="G1131" s="109"/>
      <c r="H1131" s="109"/>
      <c r="I1131" s="97"/>
      <c r="J1131" s="97"/>
      <c r="K1131" s="83"/>
      <c r="L1131" s="111"/>
      <c r="M1131" s="111"/>
      <c r="N1131" s="111"/>
      <c r="O1131" s="111"/>
      <c r="P1131" s="111"/>
      <c r="Q1131" s="111"/>
      <c r="R1131" s="111"/>
    </row>
    <row r="1132" spans="2:18" s="108" customFormat="1">
      <c r="B1132" s="109"/>
      <c r="C1132" s="110"/>
      <c r="D1132" s="109"/>
      <c r="E1132" s="109"/>
      <c r="F1132" s="97"/>
      <c r="G1132" s="109"/>
      <c r="H1132" s="109"/>
      <c r="I1132" s="97"/>
      <c r="J1132" s="97"/>
      <c r="K1132" s="83"/>
      <c r="L1132" s="111"/>
      <c r="M1132" s="111"/>
      <c r="N1132" s="111"/>
      <c r="O1132" s="111"/>
      <c r="P1132" s="111"/>
      <c r="Q1132" s="111"/>
      <c r="R1132" s="111"/>
    </row>
    <row r="1133" spans="2:18" s="108" customFormat="1">
      <c r="B1133" s="109"/>
      <c r="C1133" s="110"/>
      <c r="D1133" s="109"/>
      <c r="E1133" s="109"/>
      <c r="F1133" s="97"/>
      <c r="G1133" s="109"/>
      <c r="H1133" s="109"/>
      <c r="I1133" s="97"/>
      <c r="J1133" s="97"/>
      <c r="K1133" s="83"/>
      <c r="L1133" s="111"/>
      <c r="M1133" s="111"/>
      <c r="N1133" s="111"/>
      <c r="O1133" s="111"/>
      <c r="P1133" s="111"/>
      <c r="Q1133" s="111"/>
      <c r="R1133" s="111"/>
    </row>
    <row r="1134" spans="2:18" s="108" customFormat="1">
      <c r="B1134" s="109"/>
      <c r="C1134" s="110"/>
      <c r="D1134" s="109"/>
      <c r="E1134" s="109"/>
      <c r="F1134" s="97"/>
      <c r="G1134" s="109"/>
      <c r="H1134" s="109"/>
      <c r="I1134" s="97"/>
      <c r="J1134" s="97"/>
      <c r="K1134" s="83"/>
      <c r="L1134" s="111"/>
      <c r="M1134" s="111"/>
      <c r="N1134" s="111"/>
      <c r="O1134" s="111"/>
      <c r="P1134" s="111"/>
      <c r="Q1134" s="111"/>
      <c r="R1134" s="111"/>
    </row>
    <row r="1135" spans="2:18" s="108" customFormat="1">
      <c r="B1135" s="109"/>
      <c r="C1135" s="110"/>
      <c r="D1135" s="109"/>
      <c r="E1135" s="109"/>
      <c r="F1135" s="97"/>
      <c r="G1135" s="109"/>
      <c r="H1135" s="109"/>
      <c r="I1135" s="97"/>
      <c r="J1135" s="97"/>
      <c r="K1135" s="83"/>
      <c r="L1135" s="111"/>
      <c r="M1135" s="111"/>
      <c r="N1135" s="111"/>
      <c r="O1135" s="111"/>
      <c r="P1135" s="111"/>
      <c r="Q1135" s="111"/>
      <c r="R1135" s="111"/>
    </row>
    <row r="1136" spans="2:18" s="108" customFormat="1">
      <c r="B1136" s="109"/>
      <c r="C1136" s="110"/>
      <c r="D1136" s="109"/>
      <c r="E1136" s="109"/>
      <c r="F1136" s="97"/>
      <c r="G1136" s="109"/>
      <c r="H1136" s="109"/>
      <c r="I1136" s="97"/>
      <c r="J1136" s="97"/>
      <c r="K1136" s="83"/>
      <c r="L1136" s="111"/>
      <c r="M1136" s="111"/>
      <c r="N1136" s="111"/>
      <c r="O1136" s="111"/>
      <c r="P1136" s="111"/>
      <c r="Q1136" s="111"/>
      <c r="R1136" s="111"/>
    </row>
    <row r="1137" spans="2:18" s="108" customFormat="1">
      <c r="B1137" s="109"/>
      <c r="C1137" s="110"/>
      <c r="D1137" s="109"/>
      <c r="E1137" s="109"/>
      <c r="F1137" s="97"/>
      <c r="G1137" s="109"/>
      <c r="H1137" s="109"/>
      <c r="I1137" s="97"/>
      <c r="J1137" s="97"/>
      <c r="K1137" s="83"/>
      <c r="L1137" s="111"/>
      <c r="M1137" s="111"/>
      <c r="N1137" s="111"/>
      <c r="O1137" s="111"/>
      <c r="P1137" s="111"/>
      <c r="Q1137" s="111"/>
      <c r="R1137" s="111"/>
    </row>
    <row r="1138" spans="2:18" s="108" customFormat="1">
      <c r="B1138" s="109"/>
      <c r="C1138" s="110"/>
      <c r="D1138" s="109"/>
      <c r="E1138" s="109"/>
      <c r="F1138" s="97"/>
      <c r="G1138" s="109"/>
      <c r="H1138" s="109"/>
      <c r="I1138" s="97"/>
      <c r="J1138" s="97"/>
      <c r="K1138" s="83"/>
      <c r="L1138" s="111"/>
      <c r="M1138" s="111"/>
      <c r="N1138" s="111"/>
      <c r="O1138" s="111"/>
      <c r="P1138" s="111"/>
      <c r="Q1138" s="111"/>
      <c r="R1138" s="111"/>
    </row>
    <row r="1139" spans="2:18" s="108" customFormat="1">
      <c r="B1139" s="109"/>
      <c r="C1139" s="110"/>
      <c r="D1139" s="109"/>
      <c r="E1139" s="109"/>
      <c r="F1139" s="97"/>
      <c r="G1139" s="109"/>
      <c r="H1139" s="109"/>
      <c r="I1139" s="97"/>
      <c r="J1139" s="97"/>
      <c r="K1139" s="83"/>
      <c r="L1139" s="111"/>
      <c r="M1139" s="111"/>
      <c r="N1139" s="111"/>
      <c r="O1139" s="111"/>
      <c r="P1139" s="111"/>
      <c r="Q1139" s="111"/>
      <c r="R1139" s="111"/>
    </row>
    <row r="1140" spans="2:18" s="108" customFormat="1">
      <c r="B1140" s="109"/>
      <c r="C1140" s="110"/>
      <c r="D1140" s="109"/>
      <c r="E1140" s="109"/>
      <c r="F1140" s="97"/>
      <c r="G1140" s="109"/>
      <c r="H1140" s="109"/>
      <c r="I1140" s="97"/>
      <c r="J1140" s="97"/>
      <c r="K1140" s="83"/>
      <c r="L1140" s="111"/>
      <c r="M1140" s="111"/>
      <c r="N1140" s="111"/>
      <c r="O1140" s="111"/>
      <c r="P1140" s="111"/>
      <c r="Q1140" s="111"/>
      <c r="R1140" s="111"/>
    </row>
    <row r="1141" spans="2:18" s="108" customFormat="1">
      <c r="B1141" s="109"/>
      <c r="C1141" s="110"/>
      <c r="D1141" s="109"/>
      <c r="E1141" s="109"/>
      <c r="F1141" s="97"/>
      <c r="G1141" s="109"/>
      <c r="H1141" s="109"/>
      <c r="I1141" s="97"/>
      <c r="J1141" s="97"/>
      <c r="K1141" s="83"/>
      <c r="L1141" s="111"/>
      <c r="M1141" s="111"/>
      <c r="N1141" s="111"/>
      <c r="O1141" s="111"/>
      <c r="P1141" s="111"/>
      <c r="Q1141" s="111"/>
      <c r="R1141" s="111"/>
    </row>
    <row r="1142" spans="2:18" s="108" customFormat="1">
      <c r="B1142" s="109"/>
      <c r="C1142" s="110"/>
      <c r="D1142" s="109"/>
      <c r="E1142" s="109"/>
      <c r="F1142" s="97"/>
      <c r="G1142" s="109"/>
      <c r="H1142" s="109"/>
      <c r="I1142" s="97"/>
      <c r="J1142" s="97"/>
      <c r="K1142" s="83"/>
      <c r="L1142" s="111"/>
      <c r="M1142" s="111"/>
      <c r="N1142" s="111"/>
      <c r="O1142" s="111"/>
      <c r="P1142" s="111"/>
      <c r="Q1142" s="111"/>
      <c r="R1142" s="111"/>
    </row>
    <row r="1143" spans="2:18" s="108" customFormat="1">
      <c r="B1143" s="109"/>
      <c r="C1143" s="110"/>
      <c r="D1143" s="109"/>
      <c r="E1143" s="109"/>
      <c r="F1143" s="97"/>
      <c r="G1143" s="109"/>
      <c r="H1143" s="109"/>
      <c r="I1143" s="97"/>
      <c r="J1143" s="97"/>
      <c r="K1143" s="83"/>
      <c r="L1143" s="111"/>
      <c r="M1143" s="111"/>
      <c r="N1143" s="111"/>
      <c r="O1143" s="111"/>
      <c r="P1143" s="111"/>
      <c r="Q1143" s="111"/>
      <c r="R1143" s="111"/>
    </row>
    <row r="1144" spans="2:18" s="108" customFormat="1">
      <c r="B1144" s="109"/>
      <c r="C1144" s="110"/>
      <c r="D1144" s="109"/>
      <c r="E1144" s="109"/>
      <c r="F1144" s="97"/>
      <c r="G1144" s="109"/>
      <c r="H1144" s="109"/>
      <c r="I1144" s="97"/>
      <c r="J1144" s="97"/>
      <c r="K1144" s="83"/>
      <c r="L1144" s="111"/>
      <c r="M1144" s="111"/>
      <c r="N1144" s="111"/>
      <c r="O1144" s="111"/>
      <c r="P1144" s="111"/>
      <c r="Q1144" s="111"/>
      <c r="R1144" s="111"/>
    </row>
    <row r="1145" spans="2:18" s="108" customFormat="1">
      <c r="B1145" s="109"/>
      <c r="C1145" s="110"/>
      <c r="D1145" s="109"/>
      <c r="E1145" s="109"/>
      <c r="F1145" s="97"/>
      <c r="G1145" s="109"/>
      <c r="H1145" s="109"/>
      <c r="I1145" s="97"/>
      <c r="J1145" s="97"/>
      <c r="K1145" s="83"/>
      <c r="L1145" s="111"/>
      <c r="M1145" s="111"/>
      <c r="N1145" s="111"/>
      <c r="O1145" s="111"/>
      <c r="P1145" s="111"/>
      <c r="Q1145" s="111"/>
      <c r="R1145" s="111"/>
    </row>
    <row r="1146" spans="2:18" s="108" customFormat="1">
      <c r="B1146" s="109"/>
      <c r="C1146" s="110"/>
      <c r="D1146" s="109"/>
      <c r="E1146" s="109"/>
      <c r="F1146" s="97"/>
      <c r="G1146" s="109"/>
      <c r="H1146" s="109"/>
      <c r="I1146" s="97"/>
      <c r="J1146" s="97"/>
      <c r="K1146" s="83"/>
      <c r="L1146" s="111"/>
      <c r="M1146" s="111"/>
      <c r="N1146" s="111"/>
      <c r="O1146" s="111"/>
      <c r="P1146" s="111"/>
      <c r="Q1146" s="111"/>
      <c r="R1146" s="111"/>
    </row>
    <row r="1147" spans="2:18" s="108" customFormat="1">
      <c r="B1147" s="109"/>
      <c r="C1147" s="110"/>
      <c r="D1147" s="109"/>
      <c r="E1147" s="109"/>
      <c r="F1147" s="97"/>
      <c r="G1147" s="109"/>
      <c r="H1147" s="109"/>
      <c r="I1147" s="97"/>
      <c r="J1147" s="97"/>
      <c r="K1147" s="83"/>
      <c r="L1147" s="111"/>
      <c r="M1147" s="111"/>
      <c r="N1147" s="111"/>
      <c r="O1147" s="111"/>
      <c r="P1147" s="111"/>
      <c r="Q1147" s="111"/>
      <c r="R1147" s="111"/>
    </row>
    <row r="1148" spans="2:18" s="108" customFormat="1">
      <c r="B1148" s="109"/>
      <c r="C1148" s="110"/>
      <c r="D1148" s="109"/>
      <c r="E1148" s="109"/>
      <c r="F1148" s="97"/>
      <c r="G1148" s="109"/>
      <c r="H1148" s="109"/>
      <c r="I1148" s="97"/>
      <c r="J1148" s="97"/>
      <c r="K1148" s="83"/>
      <c r="L1148" s="111"/>
      <c r="M1148" s="111"/>
      <c r="N1148" s="111"/>
      <c r="O1148" s="111"/>
      <c r="P1148" s="111"/>
      <c r="Q1148" s="111"/>
      <c r="R1148" s="111"/>
    </row>
    <row r="1149" spans="2:18" s="108" customFormat="1">
      <c r="B1149" s="109"/>
      <c r="C1149" s="110"/>
      <c r="D1149" s="109"/>
      <c r="E1149" s="109"/>
      <c r="F1149" s="97"/>
      <c r="G1149" s="109"/>
      <c r="H1149" s="109"/>
      <c r="I1149" s="97"/>
      <c r="J1149" s="97"/>
      <c r="K1149" s="83"/>
      <c r="L1149" s="111"/>
      <c r="M1149" s="111"/>
      <c r="N1149" s="111"/>
      <c r="O1149" s="111"/>
      <c r="P1149" s="111"/>
      <c r="Q1149" s="111"/>
      <c r="R1149" s="111"/>
    </row>
    <row r="1150" spans="2:18" s="108" customFormat="1">
      <c r="B1150" s="109"/>
      <c r="C1150" s="110"/>
      <c r="D1150" s="109"/>
      <c r="E1150" s="109"/>
      <c r="F1150" s="97"/>
      <c r="G1150" s="109"/>
      <c r="H1150" s="109"/>
      <c r="I1150" s="97"/>
      <c r="J1150" s="97"/>
      <c r="K1150" s="83"/>
      <c r="L1150" s="111"/>
      <c r="M1150" s="111"/>
      <c r="N1150" s="111"/>
      <c r="O1150" s="111"/>
      <c r="P1150" s="111"/>
      <c r="Q1150" s="111"/>
      <c r="R1150" s="111"/>
    </row>
    <row r="1151" spans="2:18" s="108" customFormat="1">
      <c r="B1151" s="109"/>
      <c r="C1151" s="110"/>
      <c r="D1151" s="109"/>
      <c r="E1151" s="109"/>
      <c r="F1151" s="97"/>
      <c r="G1151" s="109"/>
      <c r="H1151" s="109"/>
      <c r="I1151" s="97"/>
      <c r="J1151" s="97"/>
      <c r="K1151" s="83"/>
      <c r="L1151" s="111"/>
      <c r="M1151" s="111"/>
      <c r="N1151" s="111"/>
      <c r="O1151" s="111"/>
      <c r="P1151" s="111"/>
      <c r="Q1151" s="111"/>
      <c r="R1151" s="111"/>
    </row>
    <row r="1152" spans="2:18" s="108" customFormat="1">
      <c r="B1152" s="109"/>
      <c r="C1152" s="110"/>
      <c r="D1152" s="109"/>
      <c r="E1152" s="109"/>
      <c r="F1152" s="97"/>
      <c r="G1152" s="109"/>
      <c r="H1152" s="109"/>
      <c r="I1152" s="97"/>
      <c r="J1152" s="97"/>
      <c r="K1152" s="83"/>
      <c r="L1152" s="111"/>
      <c r="M1152" s="111"/>
      <c r="N1152" s="111"/>
      <c r="O1152" s="111"/>
      <c r="P1152" s="111"/>
      <c r="Q1152" s="111"/>
      <c r="R1152" s="111"/>
    </row>
    <row r="1153" spans="2:18" s="108" customFormat="1">
      <c r="B1153" s="109"/>
      <c r="C1153" s="110"/>
      <c r="D1153" s="109"/>
      <c r="E1153" s="109"/>
      <c r="F1153" s="97"/>
      <c r="G1153" s="109"/>
      <c r="H1153" s="109"/>
      <c r="I1153" s="97"/>
      <c r="J1153" s="97"/>
      <c r="K1153" s="83"/>
      <c r="L1153" s="111"/>
      <c r="M1153" s="111"/>
      <c r="N1153" s="111"/>
      <c r="O1153" s="111"/>
      <c r="P1153" s="111"/>
      <c r="Q1153" s="111"/>
      <c r="R1153" s="111"/>
    </row>
    <row r="1154" spans="2:18" s="108" customFormat="1">
      <c r="B1154" s="109"/>
      <c r="C1154" s="110"/>
      <c r="D1154" s="109"/>
      <c r="E1154" s="109"/>
      <c r="F1154" s="97"/>
      <c r="G1154" s="109"/>
      <c r="H1154" s="109"/>
      <c r="I1154" s="97"/>
      <c r="J1154" s="97"/>
      <c r="K1154" s="83"/>
      <c r="L1154" s="111"/>
      <c r="M1154" s="111"/>
      <c r="N1154" s="111"/>
      <c r="O1154" s="111"/>
      <c r="P1154" s="111"/>
      <c r="Q1154" s="111"/>
      <c r="R1154" s="111"/>
    </row>
    <row r="1155" spans="2:18" s="108" customFormat="1">
      <c r="B1155" s="109"/>
      <c r="C1155" s="110"/>
      <c r="D1155" s="109"/>
      <c r="E1155" s="109"/>
      <c r="F1155" s="97"/>
      <c r="G1155" s="109"/>
      <c r="H1155" s="109"/>
      <c r="I1155" s="97"/>
      <c r="J1155" s="97"/>
      <c r="K1155" s="83"/>
      <c r="L1155" s="111"/>
      <c r="M1155" s="111"/>
      <c r="N1155" s="111"/>
      <c r="O1155" s="111"/>
      <c r="P1155" s="111"/>
      <c r="Q1155" s="111"/>
      <c r="R1155" s="111"/>
    </row>
    <row r="1156" spans="2:18" s="108" customFormat="1">
      <c r="B1156" s="109"/>
      <c r="C1156" s="110"/>
      <c r="D1156" s="109"/>
      <c r="E1156" s="109"/>
      <c r="F1156" s="97"/>
      <c r="G1156" s="109"/>
      <c r="H1156" s="109"/>
      <c r="I1156" s="97"/>
      <c r="J1156" s="97"/>
      <c r="K1156" s="83"/>
      <c r="L1156" s="111"/>
      <c r="M1156" s="111"/>
      <c r="N1156" s="111"/>
      <c r="O1156" s="111"/>
      <c r="P1156" s="111"/>
      <c r="Q1156" s="111"/>
      <c r="R1156" s="111"/>
    </row>
    <row r="1157" spans="2:18" s="108" customFormat="1">
      <c r="B1157" s="109"/>
      <c r="C1157" s="110"/>
      <c r="D1157" s="109"/>
      <c r="E1157" s="109"/>
      <c r="F1157" s="97"/>
      <c r="G1157" s="109"/>
      <c r="H1157" s="109"/>
      <c r="I1157" s="97"/>
      <c r="J1157" s="97"/>
      <c r="K1157" s="83"/>
      <c r="L1157" s="111"/>
      <c r="M1157" s="111"/>
      <c r="N1157" s="111"/>
      <c r="O1157" s="111"/>
      <c r="P1157" s="111"/>
      <c r="Q1157" s="111"/>
      <c r="R1157" s="111"/>
    </row>
    <row r="1158" spans="2:18" s="108" customFormat="1">
      <c r="B1158" s="109"/>
      <c r="C1158" s="110"/>
      <c r="D1158" s="109"/>
      <c r="E1158" s="109"/>
      <c r="F1158" s="97"/>
      <c r="G1158" s="109"/>
      <c r="H1158" s="109"/>
      <c r="I1158" s="97"/>
      <c r="J1158" s="97"/>
      <c r="K1158" s="83"/>
      <c r="L1158" s="111"/>
      <c r="M1158" s="111"/>
      <c r="N1158" s="111"/>
      <c r="O1158" s="111"/>
      <c r="P1158" s="111"/>
      <c r="Q1158" s="111"/>
      <c r="R1158" s="111"/>
    </row>
    <row r="1159" spans="2:18" s="108" customFormat="1">
      <c r="B1159" s="109"/>
      <c r="C1159" s="110"/>
      <c r="D1159" s="109"/>
      <c r="E1159" s="109"/>
      <c r="F1159" s="97"/>
      <c r="G1159" s="109"/>
      <c r="H1159" s="109"/>
      <c r="I1159" s="97"/>
      <c r="J1159" s="97"/>
      <c r="K1159" s="83"/>
      <c r="L1159" s="111"/>
      <c r="M1159" s="111"/>
      <c r="N1159" s="111"/>
      <c r="O1159" s="111"/>
      <c r="P1159" s="111"/>
      <c r="Q1159" s="111"/>
      <c r="R1159" s="111"/>
    </row>
    <row r="1160" spans="2:18" s="108" customFormat="1">
      <c r="B1160" s="109"/>
      <c r="C1160" s="110"/>
      <c r="D1160" s="109"/>
      <c r="E1160" s="109"/>
      <c r="F1160" s="97"/>
      <c r="G1160" s="109"/>
      <c r="H1160" s="109"/>
      <c r="I1160" s="97"/>
      <c r="J1160" s="97"/>
      <c r="K1160" s="83"/>
      <c r="L1160" s="111"/>
      <c r="M1160" s="111"/>
      <c r="N1160" s="111"/>
      <c r="O1160" s="111"/>
      <c r="P1160" s="111"/>
      <c r="Q1160" s="111"/>
      <c r="R1160" s="111"/>
    </row>
    <row r="1161" spans="2:18" s="108" customFormat="1">
      <c r="B1161" s="109"/>
      <c r="C1161" s="110"/>
      <c r="D1161" s="109"/>
      <c r="E1161" s="109"/>
      <c r="F1161" s="97"/>
      <c r="G1161" s="109"/>
      <c r="H1161" s="109"/>
      <c r="I1161" s="97"/>
      <c r="J1161" s="97"/>
      <c r="K1161" s="83"/>
      <c r="L1161" s="111"/>
      <c r="M1161" s="111"/>
      <c r="N1161" s="111"/>
      <c r="O1161" s="111"/>
      <c r="P1161" s="111"/>
      <c r="Q1161" s="111"/>
      <c r="R1161" s="111"/>
    </row>
    <row r="1162" spans="2:18" s="108" customFormat="1">
      <c r="B1162" s="109"/>
      <c r="C1162" s="110"/>
      <c r="D1162" s="109"/>
      <c r="E1162" s="109"/>
      <c r="F1162" s="97"/>
      <c r="G1162" s="109"/>
      <c r="H1162" s="109"/>
      <c r="I1162" s="97"/>
      <c r="J1162" s="97"/>
      <c r="K1162" s="83"/>
      <c r="L1162" s="111"/>
      <c r="M1162" s="111"/>
      <c r="N1162" s="111"/>
      <c r="O1162" s="111"/>
      <c r="P1162" s="111"/>
      <c r="Q1162" s="111"/>
      <c r="R1162" s="111"/>
    </row>
    <row r="1163" spans="2:18" s="108" customFormat="1">
      <c r="B1163" s="109"/>
      <c r="C1163" s="110"/>
      <c r="D1163" s="109"/>
      <c r="E1163" s="109"/>
      <c r="F1163" s="97"/>
      <c r="G1163" s="109"/>
      <c r="H1163" s="109"/>
      <c r="I1163" s="97"/>
      <c r="J1163" s="97"/>
      <c r="K1163" s="83"/>
      <c r="L1163" s="111"/>
      <c r="M1163" s="111"/>
      <c r="N1163" s="111"/>
      <c r="O1163" s="111"/>
      <c r="P1163" s="111"/>
      <c r="Q1163" s="111"/>
      <c r="R1163" s="111"/>
    </row>
    <row r="1164" spans="2:18" s="108" customFormat="1">
      <c r="B1164" s="109"/>
      <c r="C1164" s="110"/>
      <c r="D1164" s="109"/>
      <c r="E1164" s="109"/>
      <c r="F1164" s="97"/>
      <c r="G1164" s="109"/>
      <c r="H1164" s="109"/>
      <c r="I1164" s="97"/>
      <c r="J1164" s="97"/>
      <c r="K1164" s="83"/>
      <c r="L1164" s="111"/>
      <c r="M1164" s="111"/>
      <c r="N1164" s="111"/>
      <c r="O1164" s="111"/>
      <c r="P1164" s="111"/>
      <c r="Q1164" s="111"/>
      <c r="R1164" s="111"/>
    </row>
    <row r="1165" spans="2:18" s="108" customFormat="1">
      <c r="B1165" s="109"/>
      <c r="C1165" s="110"/>
      <c r="D1165" s="109"/>
      <c r="E1165" s="109"/>
      <c r="F1165" s="97"/>
      <c r="G1165" s="109"/>
      <c r="H1165" s="109"/>
      <c r="I1165" s="97"/>
      <c r="J1165" s="97"/>
      <c r="K1165" s="83"/>
      <c r="L1165" s="111"/>
      <c r="M1165" s="111"/>
      <c r="N1165" s="111"/>
      <c r="O1165" s="111"/>
      <c r="P1165" s="111"/>
      <c r="Q1165" s="111"/>
      <c r="R1165" s="111"/>
    </row>
    <row r="1166" spans="2:18" s="108" customFormat="1">
      <c r="B1166" s="109"/>
      <c r="C1166" s="110"/>
      <c r="D1166" s="109"/>
      <c r="E1166" s="109"/>
      <c r="F1166" s="97"/>
      <c r="G1166" s="109"/>
      <c r="H1166" s="109"/>
      <c r="I1166" s="97"/>
      <c r="J1166" s="97"/>
      <c r="K1166" s="83"/>
      <c r="L1166" s="111"/>
      <c r="M1166" s="111"/>
      <c r="N1166" s="111"/>
      <c r="O1166" s="111"/>
      <c r="P1166" s="111"/>
      <c r="Q1166" s="111"/>
      <c r="R1166" s="111"/>
    </row>
    <row r="1167" spans="2:18" s="108" customFormat="1">
      <c r="B1167" s="109"/>
      <c r="C1167" s="110"/>
      <c r="D1167" s="109"/>
      <c r="E1167" s="109"/>
      <c r="F1167" s="97"/>
      <c r="G1167" s="109"/>
      <c r="H1167" s="109"/>
      <c r="I1167" s="97"/>
      <c r="J1167" s="97"/>
      <c r="K1167" s="83"/>
      <c r="L1167" s="111"/>
      <c r="M1167" s="111"/>
      <c r="N1167" s="111"/>
      <c r="O1167" s="111"/>
      <c r="P1167" s="111"/>
      <c r="Q1167" s="111"/>
      <c r="R1167" s="111"/>
    </row>
    <row r="1168" spans="2:18" s="108" customFormat="1">
      <c r="B1168" s="109"/>
      <c r="C1168" s="110"/>
      <c r="D1168" s="109"/>
      <c r="E1168" s="109"/>
      <c r="F1168" s="97"/>
      <c r="G1168" s="109"/>
      <c r="H1168" s="109"/>
      <c r="I1168" s="97"/>
      <c r="J1168" s="97"/>
      <c r="K1168" s="83"/>
      <c r="L1168" s="111"/>
      <c r="M1168" s="111"/>
      <c r="N1168" s="111"/>
      <c r="O1168" s="111"/>
      <c r="P1168" s="111"/>
      <c r="Q1168" s="111"/>
      <c r="R1168" s="111"/>
    </row>
    <row r="1169" spans="2:18" s="108" customFormat="1">
      <c r="B1169" s="109"/>
      <c r="C1169" s="110"/>
      <c r="D1169" s="109"/>
      <c r="E1169" s="109"/>
      <c r="F1169" s="97"/>
      <c r="G1169" s="109"/>
      <c r="H1169" s="109"/>
      <c r="I1169" s="97"/>
      <c r="J1169" s="97"/>
      <c r="K1169" s="83"/>
      <c r="L1169" s="111"/>
      <c r="M1169" s="111"/>
      <c r="N1169" s="111"/>
      <c r="O1169" s="111"/>
      <c r="P1169" s="111"/>
      <c r="Q1169" s="111"/>
      <c r="R1169" s="111"/>
    </row>
    <row r="1170" spans="2:18" s="108" customFormat="1">
      <c r="B1170" s="109"/>
      <c r="C1170" s="110"/>
      <c r="D1170" s="109"/>
      <c r="E1170" s="109"/>
      <c r="F1170" s="97"/>
      <c r="G1170" s="109"/>
      <c r="H1170" s="109"/>
      <c r="I1170" s="97"/>
      <c r="J1170" s="97"/>
      <c r="K1170" s="83"/>
      <c r="L1170" s="111"/>
      <c r="M1170" s="111"/>
      <c r="N1170" s="111"/>
      <c r="O1170" s="111"/>
      <c r="P1170" s="111"/>
      <c r="Q1170" s="111"/>
      <c r="R1170" s="111"/>
    </row>
    <row r="1171" spans="2:18" s="108" customFormat="1">
      <c r="B1171" s="109"/>
      <c r="C1171" s="110"/>
      <c r="D1171" s="109"/>
      <c r="E1171" s="109"/>
      <c r="F1171" s="97"/>
      <c r="G1171" s="109"/>
      <c r="H1171" s="109"/>
      <c r="I1171" s="97"/>
      <c r="J1171" s="97"/>
      <c r="K1171" s="83"/>
      <c r="L1171" s="111"/>
      <c r="M1171" s="111"/>
      <c r="N1171" s="111"/>
      <c r="O1171" s="111"/>
      <c r="P1171" s="111"/>
      <c r="Q1171" s="111"/>
      <c r="R1171" s="111"/>
    </row>
    <row r="1172" spans="2:18" s="108" customFormat="1">
      <c r="B1172" s="109"/>
      <c r="C1172" s="110"/>
      <c r="D1172" s="109"/>
      <c r="E1172" s="109"/>
      <c r="F1172" s="97"/>
      <c r="G1172" s="109"/>
      <c r="H1172" s="109"/>
      <c r="I1172" s="97"/>
      <c r="J1172" s="97"/>
      <c r="K1172" s="83"/>
      <c r="L1172" s="111"/>
      <c r="M1172" s="111"/>
      <c r="N1172" s="111"/>
      <c r="O1172" s="111"/>
      <c r="P1172" s="111"/>
      <c r="Q1172" s="111"/>
      <c r="R1172" s="111"/>
    </row>
    <row r="1173" spans="2:18" s="108" customFormat="1">
      <c r="B1173" s="109"/>
      <c r="C1173" s="110"/>
      <c r="D1173" s="109"/>
      <c r="E1173" s="109"/>
      <c r="F1173" s="97"/>
      <c r="G1173" s="109"/>
      <c r="H1173" s="109"/>
      <c r="I1173" s="97"/>
      <c r="J1173" s="97"/>
      <c r="K1173" s="83"/>
      <c r="L1173" s="111"/>
      <c r="M1173" s="111"/>
      <c r="N1173" s="111"/>
      <c r="O1173" s="111"/>
      <c r="P1173" s="111"/>
      <c r="Q1173" s="111"/>
      <c r="R1173" s="111"/>
    </row>
    <row r="1174" spans="2:18" s="108" customFormat="1">
      <c r="B1174" s="109"/>
      <c r="C1174" s="110"/>
      <c r="D1174" s="109"/>
      <c r="E1174" s="109"/>
      <c r="F1174" s="97"/>
      <c r="G1174" s="109"/>
      <c r="H1174" s="109"/>
      <c r="I1174" s="97"/>
      <c r="J1174" s="97"/>
      <c r="K1174" s="83"/>
      <c r="L1174" s="111"/>
      <c r="M1174" s="111"/>
      <c r="N1174" s="111"/>
      <c r="O1174" s="111"/>
      <c r="P1174" s="111"/>
      <c r="Q1174" s="111"/>
      <c r="R1174" s="111"/>
    </row>
    <row r="1175" spans="2:18" s="108" customFormat="1">
      <c r="B1175" s="109"/>
      <c r="C1175" s="110"/>
      <c r="D1175" s="109"/>
      <c r="E1175" s="109"/>
      <c r="F1175" s="97"/>
      <c r="G1175" s="109"/>
      <c r="H1175" s="109"/>
      <c r="I1175" s="97"/>
      <c r="J1175" s="97"/>
      <c r="K1175" s="83"/>
      <c r="L1175" s="111"/>
      <c r="M1175" s="111"/>
      <c r="N1175" s="111"/>
      <c r="O1175" s="111"/>
      <c r="P1175" s="111"/>
      <c r="Q1175" s="111"/>
      <c r="R1175" s="111"/>
    </row>
    <row r="1176" spans="2:18" s="108" customFormat="1">
      <c r="B1176" s="109"/>
      <c r="C1176" s="110"/>
      <c r="D1176" s="109"/>
      <c r="E1176" s="109"/>
      <c r="F1176" s="97"/>
      <c r="G1176" s="109"/>
      <c r="H1176" s="109"/>
      <c r="I1176" s="97"/>
      <c r="J1176" s="97"/>
      <c r="K1176" s="83"/>
      <c r="L1176" s="111"/>
      <c r="M1176" s="111"/>
      <c r="N1176" s="111"/>
      <c r="O1176" s="111"/>
      <c r="P1176" s="111"/>
      <c r="Q1176" s="111"/>
      <c r="R1176" s="111"/>
    </row>
    <row r="1177" spans="2:18" s="108" customFormat="1">
      <c r="B1177" s="109"/>
      <c r="C1177" s="110"/>
      <c r="D1177" s="109"/>
      <c r="E1177" s="109"/>
      <c r="F1177" s="97"/>
      <c r="G1177" s="109"/>
      <c r="H1177" s="109"/>
      <c r="I1177" s="97"/>
      <c r="J1177" s="97"/>
      <c r="K1177" s="83"/>
      <c r="L1177" s="111"/>
      <c r="M1177" s="111"/>
      <c r="N1177" s="111"/>
      <c r="O1177" s="111"/>
      <c r="P1177" s="111"/>
      <c r="Q1177" s="111"/>
      <c r="R1177" s="111"/>
    </row>
    <row r="1178" spans="2:18" s="108" customFormat="1">
      <c r="B1178" s="109"/>
      <c r="C1178" s="110"/>
      <c r="D1178" s="109"/>
      <c r="E1178" s="109"/>
      <c r="F1178" s="97"/>
      <c r="G1178" s="109"/>
      <c r="H1178" s="109"/>
      <c r="I1178" s="97"/>
      <c r="J1178" s="97"/>
      <c r="K1178" s="83"/>
      <c r="L1178" s="111"/>
      <c r="M1178" s="111"/>
      <c r="N1178" s="111"/>
      <c r="O1178" s="111"/>
      <c r="P1178" s="111"/>
      <c r="Q1178" s="111"/>
      <c r="R1178" s="111"/>
    </row>
    <row r="1179" spans="2:18" s="108" customFormat="1">
      <c r="B1179" s="109"/>
      <c r="C1179" s="110"/>
      <c r="D1179" s="109"/>
      <c r="E1179" s="109"/>
      <c r="F1179" s="97"/>
      <c r="G1179" s="109"/>
      <c r="H1179" s="109"/>
      <c r="I1179" s="97"/>
      <c r="J1179" s="97"/>
      <c r="K1179" s="83"/>
      <c r="L1179" s="111"/>
      <c r="M1179" s="111"/>
      <c r="N1179" s="111"/>
      <c r="O1179" s="111"/>
      <c r="P1179" s="111"/>
      <c r="Q1179" s="111"/>
      <c r="R1179" s="111"/>
    </row>
    <row r="1180" spans="2:18" s="108" customFormat="1">
      <c r="B1180" s="109"/>
      <c r="C1180" s="110"/>
      <c r="D1180" s="109"/>
      <c r="E1180" s="109"/>
      <c r="F1180" s="97"/>
      <c r="G1180" s="109"/>
      <c r="H1180" s="109"/>
      <c r="I1180" s="97"/>
      <c r="J1180" s="97"/>
      <c r="K1180" s="83"/>
      <c r="L1180" s="111"/>
      <c r="M1180" s="111"/>
      <c r="N1180" s="111"/>
      <c r="O1180" s="111"/>
      <c r="P1180" s="111"/>
      <c r="Q1180" s="111"/>
      <c r="R1180" s="111"/>
    </row>
    <row r="1181" spans="2:18" s="108" customFormat="1">
      <c r="B1181" s="109"/>
      <c r="C1181" s="110"/>
      <c r="D1181" s="109"/>
      <c r="E1181" s="109"/>
      <c r="F1181" s="97"/>
      <c r="G1181" s="109"/>
      <c r="H1181" s="109"/>
      <c r="I1181" s="97"/>
      <c r="J1181" s="97"/>
      <c r="K1181" s="83"/>
      <c r="L1181" s="111"/>
      <c r="M1181" s="111"/>
      <c r="N1181" s="111"/>
      <c r="O1181" s="111"/>
      <c r="P1181" s="111"/>
      <c r="Q1181" s="111"/>
      <c r="R1181" s="111"/>
    </row>
    <row r="1182" spans="2:18" s="108" customFormat="1">
      <c r="B1182" s="109"/>
      <c r="C1182" s="110"/>
      <c r="D1182" s="109"/>
      <c r="E1182" s="109"/>
      <c r="F1182" s="97"/>
      <c r="G1182" s="109"/>
      <c r="H1182" s="109"/>
      <c r="I1182" s="97"/>
      <c r="J1182" s="97"/>
      <c r="K1182" s="83"/>
      <c r="L1182" s="111"/>
      <c r="M1182" s="111"/>
      <c r="N1182" s="111"/>
      <c r="O1182" s="111"/>
      <c r="P1182" s="111"/>
      <c r="Q1182" s="111"/>
      <c r="R1182" s="111"/>
    </row>
    <row r="1183" spans="2:18" s="108" customFormat="1">
      <c r="B1183" s="109"/>
      <c r="C1183" s="110"/>
      <c r="D1183" s="109"/>
      <c r="E1183" s="109"/>
      <c r="F1183" s="97"/>
      <c r="G1183" s="109"/>
      <c r="H1183" s="109"/>
      <c r="I1183" s="97"/>
      <c r="J1183" s="97"/>
      <c r="K1183" s="83"/>
      <c r="L1183" s="111"/>
      <c r="M1183" s="111"/>
      <c r="N1183" s="111"/>
      <c r="O1183" s="111"/>
      <c r="P1183" s="111"/>
      <c r="Q1183" s="111"/>
      <c r="R1183" s="111"/>
    </row>
    <row r="1184" spans="2:18" s="108" customFormat="1">
      <c r="B1184" s="109"/>
      <c r="C1184" s="110"/>
      <c r="D1184" s="109"/>
      <c r="E1184" s="109"/>
      <c r="F1184" s="97"/>
      <c r="G1184" s="109"/>
      <c r="H1184" s="109"/>
      <c r="I1184" s="97"/>
      <c r="J1184" s="97"/>
      <c r="K1184" s="83"/>
      <c r="L1184" s="111"/>
      <c r="M1184" s="111"/>
      <c r="N1184" s="111"/>
      <c r="O1184" s="111"/>
      <c r="P1184" s="111"/>
      <c r="Q1184" s="111"/>
      <c r="R1184" s="111"/>
    </row>
    <row r="1185" spans="2:18" s="108" customFormat="1">
      <c r="B1185" s="109"/>
      <c r="C1185" s="110"/>
      <c r="D1185" s="109"/>
      <c r="E1185" s="109"/>
      <c r="F1185" s="97"/>
      <c r="G1185" s="109"/>
      <c r="H1185" s="109"/>
      <c r="I1185" s="97"/>
      <c r="J1185" s="97"/>
      <c r="K1185" s="83"/>
      <c r="L1185" s="111"/>
      <c r="M1185" s="111"/>
      <c r="N1185" s="111"/>
      <c r="O1185" s="111"/>
      <c r="P1185" s="111"/>
      <c r="Q1185" s="111"/>
      <c r="R1185" s="111"/>
    </row>
    <row r="1186" spans="2:18" s="108" customFormat="1">
      <c r="B1186" s="109"/>
      <c r="C1186" s="110"/>
      <c r="D1186" s="109"/>
      <c r="E1186" s="109"/>
      <c r="F1186" s="97"/>
      <c r="G1186" s="109"/>
      <c r="H1186" s="109"/>
      <c r="I1186" s="97"/>
      <c r="J1186" s="97"/>
      <c r="K1186" s="83"/>
      <c r="L1186" s="111"/>
      <c r="M1186" s="111"/>
      <c r="N1186" s="111"/>
      <c r="O1186" s="111"/>
      <c r="P1186" s="111"/>
      <c r="Q1186" s="111"/>
      <c r="R1186" s="111"/>
    </row>
    <row r="1187" spans="2:18" s="108" customFormat="1">
      <c r="B1187" s="109"/>
      <c r="C1187" s="110"/>
      <c r="D1187" s="109"/>
      <c r="E1187" s="109"/>
      <c r="F1187" s="97"/>
      <c r="G1187" s="109"/>
      <c r="H1187" s="109"/>
      <c r="I1187" s="97"/>
      <c r="J1187" s="97"/>
      <c r="K1187" s="83"/>
      <c r="L1187" s="111"/>
      <c r="M1187" s="111"/>
      <c r="N1187" s="111"/>
      <c r="O1187" s="111"/>
      <c r="P1187" s="111"/>
      <c r="Q1187" s="111"/>
      <c r="R1187" s="111"/>
    </row>
    <row r="1188" spans="2:18" s="108" customFormat="1">
      <c r="B1188" s="109"/>
      <c r="C1188" s="110"/>
      <c r="D1188" s="109"/>
      <c r="E1188" s="109"/>
      <c r="F1188" s="97"/>
      <c r="G1188" s="109"/>
      <c r="H1188" s="109"/>
      <c r="I1188" s="97"/>
      <c r="J1188" s="97"/>
      <c r="K1188" s="83"/>
      <c r="L1188" s="111"/>
      <c r="M1188" s="111"/>
      <c r="N1188" s="111"/>
      <c r="O1188" s="111"/>
      <c r="P1188" s="111"/>
      <c r="Q1188" s="111"/>
      <c r="R1188" s="111"/>
    </row>
    <row r="1189" spans="2:18" s="108" customFormat="1">
      <c r="B1189" s="109"/>
      <c r="C1189" s="110"/>
      <c r="D1189" s="109"/>
      <c r="E1189" s="109"/>
      <c r="F1189" s="97"/>
      <c r="G1189" s="109"/>
      <c r="H1189" s="109"/>
      <c r="I1189" s="97"/>
      <c r="J1189" s="97"/>
      <c r="K1189" s="83"/>
      <c r="L1189" s="111"/>
      <c r="M1189" s="111"/>
      <c r="N1189" s="111"/>
      <c r="O1189" s="111"/>
      <c r="P1189" s="111"/>
      <c r="Q1189" s="111"/>
      <c r="R1189" s="111"/>
    </row>
    <row r="1190" spans="2:18" s="108" customFormat="1">
      <c r="B1190" s="109"/>
      <c r="C1190" s="110"/>
      <c r="D1190" s="109"/>
      <c r="E1190" s="109"/>
      <c r="F1190" s="97"/>
      <c r="G1190" s="109"/>
      <c r="H1190" s="109"/>
      <c r="I1190" s="97"/>
      <c r="J1190" s="97"/>
      <c r="K1190" s="83"/>
      <c r="L1190" s="111"/>
      <c r="M1190" s="111"/>
      <c r="N1190" s="111"/>
      <c r="O1190" s="111"/>
      <c r="P1190" s="111"/>
      <c r="Q1190" s="111"/>
      <c r="R1190" s="111"/>
    </row>
    <row r="1191" spans="2:18" s="108" customFormat="1">
      <c r="B1191" s="109"/>
      <c r="C1191" s="110"/>
      <c r="D1191" s="109"/>
      <c r="E1191" s="109"/>
      <c r="F1191" s="97"/>
      <c r="G1191" s="109"/>
      <c r="H1191" s="109"/>
      <c r="I1191" s="97"/>
      <c r="J1191" s="97"/>
      <c r="K1191" s="83"/>
      <c r="L1191" s="111"/>
      <c r="M1191" s="111"/>
      <c r="N1191" s="111"/>
      <c r="O1191" s="111"/>
      <c r="P1191" s="111"/>
      <c r="Q1191" s="111"/>
      <c r="R1191" s="111"/>
    </row>
    <row r="1192" spans="2:18" s="108" customFormat="1">
      <c r="B1192" s="109"/>
      <c r="C1192" s="110"/>
      <c r="D1192" s="109"/>
      <c r="E1192" s="109"/>
      <c r="F1192" s="97"/>
      <c r="G1192" s="109"/>
      <c r="H1192" s="109"/>
      <c r="I1192" s="97"/>
      <c r="J1192" s="97"/>
      <c r="K1192" s="83"/>
      <c r="L1192" s="111"/>
      <c r="M1192" s="111"/>
      <c r="N1192" s="111"/>
      <c r="O1192" s="111"/>
      <c r="P1192" s="111"/>
      <c r="Q1192" s="111"/>
      <c r="R1192" s="111"/>
    </row>
    <row r="1193" spans="2:18" s="108" customFormat="1">
      <c r="B1193" s="109"/>
      <c r="C1193" s="110"/>
      <c r="D1193" s="109"/>
      <c r="E1193" s="109"/>
      <c r="F1193" s="97"/>
      <c r="G1193" s="109"/>
      <c r="H1193" s="109"/>
      <c r="I1193" s="97"/>
      <c r="J1193" s="97"/>
      <c r="K1193" s="83"/>
      <c r="L1193" s="111"/>
      <c r="M1193" s="111"/>
      <c r="N1193" s="111"/>
      <c r="O1193" s="111"/>
      <c r="P1193" s="111"/>
      <c r="Q1193" s="111"/>
      <c r="R1193" s="111"/>
    </row>
    <row r="1194" spans="2:18" s="108" customFormat="1">
      <c r="B1194" s="109"/>
      <c r="C1194" s="110"/>
      <c r="D1194" s="109"/>
      <c r="E1194" s="109"/>
      <c r="F1194" s="97"/>
      <c r="G1194" s="109"/>
      <c r="H1194" s="109"/>
      <c r="I1194" s="97"/>
      <c r="J1194" s="97"/>
      <c r="K1194" s="83"/>
      <c r="L1194" s="111"/>
      <c r="M1194" s="111"/>
      <c r="N1194" s="111"/>
      <c r="O1194" s="111"/>
      <c r="P1194" s="111"/>
      <c r="Q1194" s="111"/>
      <c r="R1194" s="111"/>
    </row>
    <row r="1195" spans="2:18" s="108" customFormat="1">
      <c r="B1195" s="109"/>
      <c r="C1195" s="110"/>
      <c r="D1195" s="109"/>
      <c r="E1195" s="109"/>
      <c r="F1195" s="97"/>
      <c r="G1195" s="109"/>
      <c r="H1195" s="109"/>
      <c r="I1195" s="97"/>
      <c r="J1195" s="97"/>
      <c r="K1195" s="83"/>
      <c r="L1195" s="111"/>
      <c r="M1195" s="111"/>
      <c r="N1195" s="111"/>
      <c r="O1195" s="111"/>
      <c r="P1195" s="111"/>
      <c r="Q1195" s="111"/>
      <c r="R1195" s="111"/>
    </row>
    <row r="1196" spans="2:18" s="108" customFormat="1">
      <c r="B1196" s="109"/>
      <c r="C1196" s="110"/>
      <c r="D1196" s="109"/>
      <c r="E1196" s="109"/>
      <c r="F1196" s="97"/>
      <c r="G1196" s="109"/>
      <c r="H1196" s="109"/>
      <c r="I1196" s="97"/>
      <c r="J1196" s="97"/>
      <c r="K1196" s="83"/>
      <c r="L1196" s="111"/>
      <c r="M1196" s="111"/>
      <c r="N1196" s="111"/>
      <c r="O1196" s="111"/>
      <c r="P1196" s="111"/>
      <c r="Q1196" s="111"/>
      <c r="R1196" s="111"/>
    </row>
    <row r="1197" spans="2:18" s="108" customFormat="1">
      <c r="B1197" s="109"/>
      <c r="C1197" s="110"/>
      <c r="D1197" s="109"/>
      <c r="E1197" s="109"/>
      <c r="F1197" s="97"/>
      <c r="G1197" s="109"/>
      <c r="H1197" s="109"/>
      <c r="I1197" s="97"/>
      <c r="J1197" s="97"/>
      <c r="K1197" s="83"/>
      <c r="L1197" s="111"/>
      <c r="M1197" s="111"/>
      <c r="N1197" s="111"/>
      <c r="O1197" s="111"/>
      <c r="P1197" s="111"/>
      <c r="Q1197" s="111"/>
      <c r="R1197" s="111"/>
    </row>
    <row r="1198" spans="2:18" s="108" customFormat="1">
      <c r="B1198" s="109"/>
      <c r="C1198" s="110"/>
      <c r="D1198" s="109"/>
      <c r="E1198" s="109"/>
      <c r="F1198" s="97"/>
      <c r="G1198" s="109"/>
      <c r="H1198" s="109"/>
      <c r="I1198" s="97"/>
      <c r="J1198" s="97"/>
      <c r="K1198" s="83"/>
      <c r="L1198" s="111"/>
      <c r="M1198" s="111"/>
      <c r="N1198" s="111"/>
      <c r="O1198" s="111"/>
      <c r="P1198" s="111"/>
      <c r="Q1198" s="111"/>
      <c r="R1198" s="111"/>
    </row>
    <row r="1199" spans="2:18" s="108" customFormat="1">
      <c r="B1199" s="109"/>
      <c r="C1199" s="110"/>
      <c r="D1199" s="109"/>
      <c r="E1199" s="109"/>
      <c r="F1199" s="97"/>
      <c r="G1199" s="109"/>
      <c r="H1199" s="109"/>
      <c r="I1199" s="97"/>
      <c r="J1199" s="97"/>
      <c r="K1199" s="83"/>
      <c r="L1199" s="111"/>
      <c r="M1199" s="111"/>
      <c r="N1199" s="111"/>
      <c r="O1199" s="111"/>
      <c r="P1199" s="111"/>
      <c r="Q1199" s="111"/>
      <c r="R1199" s="111"/>
    </row>
    <row r="1200" spans="2:18" s="108" customFormat="1">
      <c r="B1200" s="109"/>
      <c r="C1200" s="110"/>
      <c r="D1200" s="109"/>
      <c r="E1200" s="109"/>
      <c r="F1200" s="97"/>
      <c r="G1200" s="109"/>
      <c r="H1200" s="109"/>
      <c r="I1200" s="97"/>
      <c r="J1200" s="97"/>
      <c r="K1200" s="83"/>
      <c r="L1200" s="111"/>
      <c r="M1200" s="111"/>
      <c r="N1200" s="111"/>
      <c r="O1200" s="111"/>
      <c r="P1200" s="111"/>
      <c r="Q1200" s="111"/>
      <c r="R1200" s="111"/>
    </row>
    <row r="1201" spans="2:18" s="108" customFormat="1">
      <c r="B1201" s="109"/>
      <c r="C1201" s="110"/>
      <c r="D1201" s="109"/>
      <c r="E1201" s="109"/>
      <c r="F1201" s="97"/>
      <c r="G1201" s="109"/>
      <c r="H1201" s="109"/>
      <c r="I1201" s="97"/>
      <c r="J1201" s="97"/>
      <c r="K1201" s="83"/>
      <c r="L1201" s="111"/>
      <c r="M1201" s="111"/>
      <c r="N1201" s="111"/>
      <c r="O1201" s="111"/>
      <c r="P1201" s="111"/>
      <c r="Q1201" s="111"/>
      <c r="R1201" s="111"/>
    </row>
    <row r="1202" spans="2:18" s="108" customFormat="1">
      <c r="B1202" s="109"/>
      <c r="C1202" s="110"/>
      <c r="D1202" s="109"/>
      <c r="E1202" s="109"/>
      <c r="F1202" s="97"/>
      <c r="G1202" s="109"/>
      <c r="H1202" s="109"/>
      <c r="I1202" s="97"/>
      <c r="J1202" s="97"/>
      <c r="K1202" s="83"/>
      <c r="L1202" s="111"/>
      <c r="M1202" s="111"/>
      <c r="N1202" s="111"/>
      <c r="O1202" s="111"/>
      <c r="P1202" s="111"/>
      <c r="Q1202" s="111"/>
      <c r="R1202" s="111"/>
    </row>
    <row r="1203" spans="2:18" s="108" customFormat="1">
      <c r="B1203" s="109"/>
      <c r="C1203" s="110"/>
      <c r="D1203" s="109"/>
      <c r="E1203" s="109"/>
      <c r="F1203" s="97"/>
      <c r="G1203" s="109"/>
      <c r="H1203" s="109"/>
      <c r="I1203" s="97"/>
      <c r="J1203" s="97"/>
      <c r="K1203" s="83"/>
      <c r="L1203" s="111"/>
      <c r="M1203" s="111"/>
      <c r="N1203" s="111"/>
      <c r="O1203" s="111"/>
      <c r="P1203" s="111"/>
      <c r="Q1203" s="111"/>
      <c r="R1203" s="111"/>
    </row>
    <row r="1204" spans="2:18" s="108" customFormat="1">
      <c r="B1204" s="109"/>
      <c r="C1204" s="110"/>
      <c r="D1204" s="109"/>
      <c r="E1204" s="109"/>
      <c r="F1204" s="97"/>
      <c r="G1204" s="109"/>
      <c r="H1204" s="109"/>
      <c r="I1204" s="97"/>
      <c r="J1204" s="97"/>
      <c r="K1204" s="83"/>
      <c r="L1204" s="111"/>
      <c r="M1204" s="111"/>
      <c r="N1204" s="111"/>
      <c r="O1204" s="111"/>
      <c r="P1204" s="111"/>
      <c r="Q1204" s="111"/>
      <c r="R1204" s="111"/>
    </row>
    <row r="1205" spans="2:18" s="108" customFormat="1">
      <c r="B1205" s="109"/>
      <c r="C1205" s="110"/>
      <c r="D1205" s="109"/>
      <c r="E1205" s="109"/>
      <c r="F1205" s="97"/>
      <c r="G1205" s="109"/>
      <c r="H1205" s="109"/>
      <c r="I1205" s="97"/>
      <c r="J1205" s="97"/>
      <c r="K1205" s="83"/>
      <c r="L1205" s="111"/>
      <c r="M1205" s="111"/>
      <c r="N1205" s="111"/>
      <c r="O1205" s="111"/>
      <c r="P1205" s="111"/>
      <c r="Q1205" s="111"/>
      <c r="R1205" s="111"/>
    </row>
    <row r="1206" spans="2:18" s="108" customFormat="1">
      <c r="B1206" s="109"/>
      <c r="C1206" s="110"/>
      <c r="D1206" s="109"/>
      <c r="E1206" s="109"/>
      <c r="F1206" s="97"/>
      <c r="G1206" s="109"/>
      <c r="H1206" s="109"/>
      <c r="I1206" s="97"/>
      <c r="J1206" s="97"/>
      <c r="K1206" s="83"/>
      <c r="L1206" s="111"/>
      <c r="M1206" s="111"/>
      <c r="N1206" s="111"/>
      <c r="O1206" s="111"/>
      <c r="P1206" s="111"/>
      <c r="Q1206" s="111"/>
      <c r="R1206" s="111"/>
    </row>
    <row r="1207" spans="2:18" s="108" customFormat="1">
      <c r="B1207" s="109"/>
      <c r="C1207" s="110"/>
      <c r="D1207" s="109"/>
      <c r="E1207" s="109"/>
      <c r="F1207" s="97"/>
      <c r="G1207" s="109"/>
      <c r="H1207" s="109"/>
      <c r="I1207" s="97"/>
      <c r="J1207" s="97"/>
      <c r="K1207" s="83"/>
      <c r="L1207" s="111"/>
      <c r="M1207" s="111"/>
      <c r="N1207" s="111"/>
      <c r="O1207" s="111"/>
      <c r="P1207" s="111"/>
      <c r="Q1207" s="111"/>
      <c r="R1207" s="111"/>
    </row>
    <row r="1208" spans="2:18" s="108" customFormat="1">
      <c r="B1208" s="109"/>
      <c r="C1208" s="110"/>
      <c r="D1208" s="109"/>
      <c r="E1208" s="109"/>
      <c r="F1208" s="97"/>
      <c r="G1208" s="109"/>
      <c r="H1208" s="109"/>
      <c r="I1208" s="97"/>
      <c r="J1208" s="97"/>
      <c r="K1208" s="83"/>
      <c r="L1208" s="111"/>
      <c r="M1208" s="111"/>
      <c r="N1208" s="111"/>
      <c r="O1208" s="111"/>
      <c r="P1208" s="111"/>
      <c r="Q1208" s="111"/>
      <c r="R1208" s="111"/>
    </row>
    <row r="1209" spans="2:18" s="108" customFormat="1">
      <c r="B1209" s="109"/>
      <c r="C1209" s="110"/>
      <c r="D1209" s="109"/>
      <c r="E1209" s="109"/>
      <c r="F1209" s="97"/>
      <c r="G1209" s="109"/>
      <c r="H1209" s="109"/>
      <c r="I1209" s="97"/>
      <c r="J1209" s="97"/>
      <c r="K1209" s="83"/>
      <c r="L1209" s="111"/>
      <c r="M1209" s="111"/>
      <c r="N1209" s="111"/>
      <c r="O1209" s="111"/>
      <c r="P1209" s="111"/>
      <c r="Q1209" s="111"/>
      <c r="R1209" s="111"/>
    </row>
    <row r="1210" spans="2:18" s="108" customFormat="1">
      <c r="B1210" s="109"/>
      <c r="C1210" s="110"/>
      <c r="D1210" s="109"/>
      <c r="E1210" s="109"/>
      <c r="F1210" s="97"/>
      <c r="G1210" s="109"/>
      <c r="H1210" s="109"/>
      <c r="I1210" s="97"/>
      <c r="J1210" s="97"/>
      <c r="K1210" s="83"/>
      <c r="L1210" s="111"/>
      <c r="M1210" s="111"/>
      <c r="N1210" s="111"/>
      <c r="O1210" s="111"/>
      <c r="P1210" s="111"/>
      <c r="Q1210" s="111"/>
      <c r="R1210" s="111"/>
    </row>
    <row r="1211" spans="2:18" s="108" customFormat="1">
      <c r="B1211" s="109"/>
      <c r="C1211" s="110"/>
      <c r="D1211" s="109"/>
      <c r="E1211" s="109"/>
      <c r="F1211" s="97"/>
      <c r="G1211" s="109"/>
      <c r="H1211" s="109"/>
      <c r="I1211" s="97"/>
      <c r="J1211" s="97"/>
      <c r="K1211" s="83"/>
      <c r="L1211" s="111"/>
      <c r="M1211" s="111"/>
      <c r="N1211" s="111"/>
      <c r="O1211" s="111"/>
      <c r="P1211" s="111"/>
      <c r="Q1211" s="111"/>
      <c r="R1211" s="111"/>
    </row>
    <row r="1212" spans="2:18" s="108" customFormat="1">
      <c r="B1212" s="109"/>
      <c r="C1212" s="110"/>
      <c r="D1212" s="109"/>
      <c r="E1212" s="109"/>
      <c r="F1212" s="97"/>
      <c r="G1212" s="109"/>
      <c r="H1212" s="109"/>
      <c r="I1212" s="97"/>
      <c r="J1212" s="97"/>
      <c r="K1212" s="83"/>
      <c r="L1212" s="111"/>
      <c r="M1212" s="111"/>
      <c r="N1212" s="111"/>
      <c r="O1212" s="111"/>
      <c r="P1212" s="111"/>
      <c r="Q1212" s="111"/>
      <c r="R1212" s="111"/>
    </row>
    <row r="1213" spans="2:18" s="108" customFormat="1">
      <c r="B1213" s="109"/>
      <c r="C1213" s="110"/>
      <c r="D1213" s="109"/>
      <c r="E1213" s="109"/>
      <c r="F1213" s="97"/>
      <c r="G1213" s="109"/>
      <c r="H1213" s="109"/>
      <c r="I1213" s="97"/>
      <c r="J1213" s="97"/>
      <c r="K1213" s="83"/>
      <c r="L1213" s="111"/>
      <c r="M1213" s="111"/>
      <c r="N1213" s="111"/>
      <c r="O1213" s="111"/>
      <c r="P1213" s="111"/>
      <c r="Q1213" s="111"/>
      <c r="R1213" s="111"/>
    </row>
    <row r="1214" spans="2:18" s="108" customFormat="1">
      <c r="B1214" s="109"/>
      <c r="C1214" s="110"/>
      <c r="D1214" s="109"/>
      <c r="E1214" s="109"/>
      <c r="F1214" s="97"/>
      <c r="G1214" s="109"/>
      <c r="H1214" s="109"/>
      <c r="I1214" s="97"/>
      <c r="J1214" s="97"/>
      <c r="K1214" s="83"/>
      <c r="L1214" s="111"/>
      <c r="M1214" s="111"/>
      <c r="N1214" s="111"/>
      <c r="O1214" s="111"/>
      <c r="P1214" s="111"/>
      <c r="Q1214" s="111"/>
      <c r="R1214" s="111"/>
    </row>
    <row r="1215" spans="2:18" s="108" customFormat="1">
      <c r="B1215" s="109"/>
      <c r="C1215" s="110"/>
      <c r="D1215" s="109"/>
      <c r="E1215" s="109"/>
      <c r="F1215" s="97"/>
      <c r="G1215" s="109"/>
      <c r="H1215" s="109"/>
      <c r="I1215" s="97"/>
      <c r="J1215" s="97"/>
      <c r="K1215" s="83"/>
      <c r="L1215" s="111"/>
      <c r="M1215" s="111"/>
      <c r="N1215" s="111"/>
      <c r="O1215" s="111"/>
      <c r="P1215" s="111"/>
      <c r="Q1215" s="111"/>
      <c r="R1215" s="111"/>
    </row>
    <row r="1216" spans="2:18" s="108" customFormat="1">
      <c r="B1216" s="109"/>
      <c r="C1216" s="110"/>
      <c r="D1216" s="109"/>
      <c r="E1216" s="109"/>
      <c r="F1216" s="97"/>
      <c r="G1216" s="109"/>
      <c r="H1216" s="109"/>
      <c r="I1216" s="97"/>
      <c r="J1216" s="97"/>
      <c r="K1216" s="83"/>
      <c r="L1216" s="111"/>
      <c r="M1216" s="111"/>
      <c r="N1216" s="111"/>
      <c r="O1216" s="111"/>
      <c r="P1216" s="111"/>
      <c r="Q1216" s="111"/>
      <c r="R1216" s="111"/>
    </row>
    <row r="1217" spans="2:18" s="108" customFormat="1">
      <c r="B1217" s="109"/>
      <c r="C1217" s="110"/>
      <c r="D1217" s="109"/>
      <c r="E1217" s="109"/>
      <c r="F1217" s="97"/>
      <c r="G1217" s="109"/>
      <c r="H1217" s="109"/>
      <c r="I1217" s="97"/>
      <c r="J1217" s="97"/>
      <c r="K1217" s="83"/>
      <c r="L1217" s="111"/>
      <c r="M1217" s="111"/>
      <c r="N1217" s="111"/>
      <c r="O1217" s="111"/>
      <c r="P1217" s="111"/>
      <c r="Q1217" s="111"/>
      <c r="R1217" s="111"/>
    </row>
    <row r="1218" spans="2:18" s="108" customFormat="1">
      <c r="B1218" s="109"/>
      <c r="C1218" s="110"/>
      <c r="D1218" s="109"/>
      <c r="E1218" s="109"/>
      <c r="F1218" s="97"/>
      <c r="G1218" s="109"/>
      <c r="H1218" s="109"/>
      <c r="I1218" s="97"/>
      <c r="J1218" s="97"/>
      <c r="K1218" s="83"/>
      <c r="L1218" s="111"/>
      <c r="M1218" s="111"/>
      <c r="N1218" s="111"/>
      <c r="O1218" s="111"/>
      <c r="P1218" s="111"/>
      <c r="Q1218" s="111"/>
      <c r="R1218" s="111"/>
    </row>
    <row r="1219" spans="2:18" s="108" customFormat="1">
      <c r="B1219" s="109"/>
      <c r="C1219" s="110"/>
      <c r="D1219" s="109"/>
      <c r="E1219" s="109"/>
      <c r="F1219" s="97"/>
      <c r="G1219" s="109"/>
      <c r="H1219" s="109"/>
      <c r="I1219" s="97"/>
      <c r="J1219" s="97"/>
      <c r="K1219" s="83"/>
      <c r="L1219" s="111"/>
      <c r="M1219" s="111"/>
      <c r="N1219" s="111"/>
      <c r="O1219" s="111"/>
      <c r="P1219" s="111"/>
      <c r="Q1219" s="111"/>
      <c r="R1219" s="111"/>
    </row>
    <row r="1220" spans="2:18" s="108" customFormat="1">
      <c r="B1220" s="109"/>
      <c r="C1220" s="110"/>
      <c r="D1220" s="109"/>
      <c r="E1220" s="109"/>
      <c r="F1220" s="97"/>
      <c r="G1220" s="109"/>
      <c r="H1220" s="109"/>
      <c r="I1220" s="97"/>
      <c r="J1220" s="97"/>
      <c r="K1220" s="83"/>
      <c r="L1220" s="111"/>
      <c r="M1220" s="111"/>
      <c r="N1220" s="111"/>
      <c r="O1220" s="111"/>
      <c r="P1220" s="111"/>
      <c r="Q1220" s="111"/>
      <c r="R1220" s="111"/>
    </row>
    <row r="1221" spans="2:18" s="108" customFormat="1">
      <c r="B1221" s="109"/>
      <c r="C1221" s="110"/>
      <c r="D1221" s="109"/>
      <c r="E1221" s="109"/>
      <c r="F1221" s="97"/>
      <c r="G1221" s="109"/>
      <c r="H1221" s="109"/>
      <c r="I1221" s="97"/>
      <c r="J1221" s="97"/>
      <c r="K1221" s="83"/>
      <c r="L1221" s="111"/>
      <c r="M1221" s="111"/>
      <c r="N1221" s="111"/>
      <c r="O1221" s="111"/>
      <c r="P1221" s="111"/>
      <c r="Q1221" s="111"/>
      <c r="R1221" s="111"/>
    </row>
    <row r="1222" spans="2:18" s="108" customFormat="1">
      <c r="B1222" s="109"/>
      <c r="C1222" s="110"/>
      <c r="D1222" s="109"/>
      <c r="E1222" s="109"/>
      <c r="F1222" s="97"/>
      <c r="G1222" s="109"/>
      <c r="H1222" s="109"/>
      <c r="I1222" s="97"/>
      <c r="J1222" s="97"/>
      <c r="K1222" s="83"/>
      <c r="L1222" s="111"/>
      <c r="M1222" s="111"/>
      <c r="N1222" s="111"/>
      <c r="O1222" s="111"/>
      <c r="P1222" s="111"/>
      <c r="Q1222" s="111"/>
      <c r="R1222" s="111"/>
    </row>
    <row r="1223" spans="2:18" s="108" customFormat="1">
      <c r="B1223" s="109"/>
      <c r="C1223" s="110"/>
      <c r="D1223" s="109"/>
      <c r="E1223" s="109"/>
      <c r="F1223" s="97"/>
      <c r="G1223" s="109"/>
      <c r="H1223" s="109"/>
      <c r="I1223" s="97"/>
      <c r="J1223" s="97"/>
      <c r="K1223" s="83"/>
      <c r="L1223" s="111"/>
      <c r="M1223" s="111"/>
      <c r="N1223" s="111"/>
      <c r="O1223" s="111"/>
      <c r="P1223" s="111"/>
      <c r="Q1223" s="111"/>
      <c r="R1223" s="111"/>
    </row>
    <row r="1224" spans="2:18" s="108" customFormat="1">
      <c r="B1224" s="109"/>
      <c r="C1224" s="110"/>
      <c r="D1224" s="109"/>
      <c r="E1224" s="109"/>
      <c r="F1224" s="97"/>
      <c r="G1224" s="109"/>
      <c r="H1224" s="109"/>
      <c r="I1224" s="97"/>
      <c r="J1224" s="97"/>
      <c r="K1224" s="83"/>
      <c r="L1224" s="111"/>
      <c r="M1224" s="111"/>
      <c r="N1224" s="111"/>
      <c r="O1224" s="111"/>
      <c r="P1224" s="111"/>
      <c r="Q1224" s="111"/>
      <c r="R1224" s="111"/>
    </row>
    <row r="1225" spans="2:18" s="108" customFormat="1">
      <c r="B1225" s="109"/>
      <c r="C1225" s="110"/>
      <c r="D1225" s="109"/>
      <c r="E1225" s="109"/>
      <c r="F1225" s="97"/>
      <c r="G1225" s="109"/>
      <c r="H1225" s="109"/>
      <c r="I1225" s="97"/>
      <c r="J1225" s="97"/>
      <c r="K1225" s="83"/>
      <c r="L1225" s="111"/>
      <c r="M1225" s="111"/>
      <c r="N1225" s="111"/>
      <c r="O1225" s="111"/>
      <c r="P1225" s="111"/>
      <c r="Q1225" s="111"/>
      <c r="R1225" s="111"/>
    </row>
    <row r="1226" spans="2:18" s="108" customFormat="1">
      <c r="B1226" s="109"/>
      <c r="C1226" s="110"/>
      <c r="D1226" s="109"/>
      <c r="E1226" s="109"/>
      <c r="F1226" s="97"/>
      <c r="G1226" s="109"/>
      <c r="H1226" s="109"/>
      <c r="I1226" s="97"/>
      <c r="J1226" s="97"/>
      <c r="K1226" s="83"/>
      <c r="L1226" s="111"/>
      <c r="M1226" s="111"/>
      <c r="N1226" s="111"/>
      <c r="O1226" s="111"/>
      <c r="P1226" s="111"/>
      <c r="Q1226" s="111"/>
      <c r="R1226" s="111"/>
    </row>
    <row r="1227" spans="2:18" s="108" customFormat="1">
      <c r="B1227" s="109"/>
      <c r="C1227" s="110"/>
      <c r="D1227" s="109"/>
      <c r="E1227" s="109"/>
      <c r="F1227" s="97"/>
      <c r="G1227" s="109"/>
      <c r="H1227" s="109"/>
      <c r="I1227" s="97"/>
      <c r="J1227" s="97"/>
      <c r="K1227" s="83"/>
      <c r="L1227" s="111"/>
      <c r="M1227" s="111"/>
      <c r="N1227" s="111"/>
      <c r="O1227" s="111"/>
      <c r="P1227" s="111"/>
      <c r="Q1227" s="111"/>
      <c r="R1227" s="111"/>
    </row>
    <row r="1228" spans="2:18" s="108" customFormat="1">
      <c r="B1228" s="109"/>
      <c r="C1228" s="110"/>
      <c r="D1228" s="109"/>
      <c r="E1228" s="109"/>
      <c r="F1228" s="97"/>
      <c r="G1228" s="109"/>
      <c r="H1228" s="109"/>
      <c r="I1228" s="97"/>
      <c r="J1228" s="97"/>
      <c r="K1228" s="83"/>
      <c r="L1228" s="111"/>
      <c r="M1228" s="111"/>
      <c r="N1228" s="111"/>
      <c r="O1228" s="111"/>
      <c r="P1228" s="111"/>
      <c r="Q1228" s="111"/>
      <c r="R1228" s="111"/>
    </row>
    <row r="1229" spans="2:18" s="108" customFormat="1">
      <c r="B1229" s="109"/>
      <c r="C1229" s="110"/>
      <c r="D1229" s="109"/>
      <c r="E1229" s="109"/>
      <c r="F1229" s="97"/>
      <c r="G1229" s="109"/>
      <c r="H1229" s="109"/>
      <c r="I1229" s="97"/>
      <c r="J1229" s="97"/>
      <c r="K1229" s="83"/>
      <c r="L1229" s="111"/>
      <c r="M1229" s="111"/>
      <c r="N1229" s="111"/>
      <c r="O1229" s="111"/>
      <c r="P1229" s="111"/>
      <c r="Q1229" s="111"/>
      <c r="R1229" s="111"/>
    </row>
    <row r="1230" spans="2:18" s="108" customFormat="1">
      <c r="B1230" s="109"/>
      <c r="C1230" s="110"/>
      <c r="D1230" s="109"/>
      <c r="E1230" s="109"/>
      <c r="F1230" s="97"/>
      <c r="G1230" s="109"/>
      <c r="H1230" s="109"/>
      <c r="I1230" s="97"/>
      <c r="J1230" s="97"/>
      <c r="K1230" s="83"/>
      <c r="L1230" s="111"/>
      <c r="M1230" s="111"/>
      <c r="N1230" s="111"/>
      <c r="O1230" s="111"/>
      <c r="P1230" s="111"/>
      <c r="Q1230" s="111"/>
      <c r="R1230" s="111"/>
    </row>
    <row r="1231" spans="2:18" s="108" customFormat="1">
      <c r="B1231" s="109"/>
      <c r="C1231" s="110"/>
      <c r="D1231" s="109"/>
      <c r="E1231" s="109"/>
      <c r="F1231" s="97"/>
      <c r="G1231" s="109"/>
      <c r="H1231" s="109"/>
      <c r="I1231" s="97"/>
      <c r="J1231" s="97"/>
      <c r="K1231" s="83"/>
      <c r="L1231" s="111"/>
      <c r="M1231" s="111"/>
      <c r="N1231" s="111"/>
      <c r="O1231" s="111"/>
      <c r="P1231" s="111"/>
      <c r="Q1231" s="111"/>
      <c r="R1231" s="111"/>
    </row>
    <row r="1232" spans="2:18" s="108" customFormat="1">
      <c r="B1232" s="109"/>
      <c r="C1232" s="110"/>
      <c r="D1232" s="109"/>
      <c r="E1232" s="109"/>
      <c r="F1232" s="97"/>
      <c r="G1232" s="109"/>
      <c r="H1232" s="109"/>
      <c r="I1232" s="97"/>
      <c r="J1232" s="97"/>
      <c r="K1232" s="83"/>
      <c r="L1232" s="111"/>
      <c r="M1232" s="111"/>
      <c r="N1232" s="111"/>
      <c r="O1232" s="111"/>
      <c r="P1232" s="111"/>
      <c r="Q1232" s="111"/>
      <c r="R1232" s="111"/>
    </row>
    <row r="1233" spans="2:18" s="108" customFormat="1">
      <c r="B1233" s="109"/>
      <c r="C1233" s="110"/>
      <c r="D1233" s="109"/>
      <c r="E1233" s="109"/>
      <c r="F1233" s="97"/>
      <c r="G1233" s="109"/>
      <c r="H1233" s="109"/>
      <c r="I1233" s="97"/>
      <c r="J1233" s="97"/>
      <c r="K1233" s="83"/>
      <c r="L1233" s="111"/>
      <c r="M1233" s="111"/>
      <c r="N1233" s="111"/>
      <c r="O1233" s="111"/>
      <c r="P1233" s="111"/>
      <c r="Q1233" s="111"/>
      <c r="R1233" s="111"/>
    </row>
    <row r="1234" spans="2:18" s="108" customFormat="1">
      <c r="B1234" s="109"/>
      <c r="C1234" s="110"/>
      <c r="D1234" s="109"/>
      <c r="E1234" s="109"/>
      <c r="F1234" s="97"/>
      <c r="G1234" s="109"/>
      <c r="H1234" s="109"/>
      <c r="I1234" s="97"/>
      <c r="J1234" s="97"/>
      <c r="K1234" s="83"/>
      <c r="L1234" s="111"/>
      <c r="M1234" s="111"/>
      <c r="N1234" s="111"/>
      <c r="O1234" s="111"/>
      <c r="P1234" s="111"/>
      <c r="Q1234" s="111"/>
      <c r="R1234" s="111"/>
    </row>
    <row r="1235" spans="2:18" s="108" customFormat="1">
      <c r="B1235" s="109"/>
      <c r="C1235" s="110"/>
      <c r="D1235" s="109"/>
      <c r="E1235" s="109"/>
      <c r="F1235" s="97"/>
      <c r="G1235" s="109"/>
      <c r="H1235" s="109"/>
      <c r="I1235" s="97"/>
      <c r="J1235" s="97"/>
      <c r="K1235" s="83"/>
      <c r="L1235" s="111"/>
      <c r="M1235" s="111"/>
      <c r="N1235" s="111"/>
      <c r="O1235" s="111"/>
      <c r="P1235" s="111"/>
      <c r="Q1235" s="111"/>
      <c r="R1235" s="111"/>
    </row>
    <row r="1236" spans="2:18" s="108" customFormat="1">
      <c r="B1236" s="109"/>
      <c r="C1236" s="110"/>
      <c r="D1236" s="109"/>
      <c r="E1236" s="109"/>
      <c r="F1236" s="97"/>
      <c r="G1236" s="109"/>
      <c r="H1236" s="109"/>
      <c r="I1236" s="97"/>
      <c r="J1236" s="97"/>
      <c r="K1236" s="83"/>
      <c r="L1236" s="111"/>
      <c r="M1236" s="111"/>
      <c r="N1236" s="111"/>
      <c r="O1236" s="111"/>
      <c r="P1236" s="111"/>
      <c r="Q1236" s="111"/>
      <c r="R1236" s="111"/>
    </row>
    <row r="1237" spans="2:18" s="108" customFormat="1">
      <c r="B1237" s="109"/>
      <c r="C1237" s="110"/>
      <c r="D1237" s="109"/>
      <c r="E1237" s="109"/>
      <c r="F1237" s="97"/>
      <c r="G1237" s="109"/>
      <c r="H1237" s="109"/>
      <c r="I1237" s="97"/>
      <c r="J1237" s="97"/>
      <c r="K1237" s="83"/>
      <c r="L1237" s="111"/>
      <c r="M1237" s="111"/>
      <c r="N1237" s="111"/>
      <c r="O1237" s="111"/>
      <c r="P1237" s="111"/>
      <c r="Q1237" s="111"/>
      <c r="R1237" s="111"/>
    </row>
    <row r="1238" spans="2:18" s="108" customFormat="1">
      <c r="B1238" s="109"/>
      <c r="C1238" s="110"/>
      <c r="D1238" s="109"/>
      <c r="E1238" s="109"/>
      <c r="F1238" s="97"/>
      <c r="G1238" s="109"/>
      <c r="H1238" s="109"/>
      <c r="I1238" s="97"/>
      <c r="J1238" s="97"/>
      <c r="K1238" s="83"/>
      <c r="L1238" s="111"/>
      <c r="M1238" s="111"/>
      <c r="N1238" s="111"/>
      <c r="O1238" s="111"/>
      <c r="P1238" s="111"/>
      <c r="Q1238" s="111"/>
      <c r="R1238" s="111"/>
    </row>
    <row r="1239" spans="2:18" s="108" customFormat="1">
      <c r="B1239" s="109"/>
      <c r="C1239" s="110"/>
      <c r="D1239" s="109"/>
      <c r="E1239" s="109"/>
      <c r="F1239" s="97"/>
      <c r="G1239" s="109"/>
      <c r="H1239" s="109"/>
      <c r="I1239" s="97"/>
      <c r="J1239" s="97"/>
      <c r="K1239" s="83"/>
      <c r="L1239" s="111"/>
      <c r="M1239" s="111"/>
      <c r="N1239" s="111"/>
      <c r="O1239" s="111"/>
      <c r="P1239" s="111"/>
      <c r="Q1239" s="111"/>
      <c r="R1239" s="111"/>
    </row>
    <row r="1240" spans="2:18" s="108" customFormat="1">
      <c r="B1240" s="109"/>
      <c r="C1240" s="110"/>
      <c r="D1240" s="109"/>
      <c r="E1240" s="109"/>
      <c r="F1240" s="97"/>
      <c r="G1240" s="109"/>
      <c r="H1240" s="109"/>
      <c r="I1240" s="97"/>
      <c r="J1240" s="97"/>
      <c r="K1240" s="83"/>
      <c r="L1240" s="111"/>
      <c r="M1240" s="111"/>
      <c r="N1240" s="111"/>
      <c r="O1240" s="111"/>
      <c r="P1240" s="111"/>
      <c r="Q1240" s="111"/>
      <c r="R1240" s="111"/>
    </row>
    <row r="1241" spans="2:18" s="108" customFormat="1">
      <c r="B1241" s="109"/>
      <c r="C1241" s="110"/>
      <c r="D1241" s="109"/>
      <c r="E1241" s="109"/>
      <c r="F1241" s="97"/>
      <c r="G1241" s="109"/>
      <c r="H1241" s="109"/>
      <c r="I1241" s="97"/>
      <c r="J1241" s="97"/>
      <c r="K1241" s="83"/>
      <c r="L1241" s="111"/>
      <c r="M1241" s="111"/>
      <c r="N1241" s="111"/>
      <c r="O1241" s="111"/>
      <c r="P1241" s="111"/>
      <c r="Q1241" s="111"/>
      <c r="R1241" s="111"/>
    </row>
    <row r="1242" spans="2:18" s="108" customFormat="1">
      <c r="B1242" s="109"/>
      <c r="C1242" s="110"/>
      <c r="D1242" s="109"/>
      <c r="E1242" s="109"/>
      <c r="F1242" s="97"/>
      <c r="G1242" s="109"/>
      <c r="H1242" s="109"/>
      <c r="I1242" s="97"/>
      <c r="J1242" s="97"/>
      <c r="K1242" s="83"/>
      <c r="L1242" s="111"/>
      <c r="M1242" s="111"/>
      <c r="N1242" s="111"/>
      <c r="O1242" s="111"/>
      <c r="P1242" s="111"/>
      <c r="Q1242" s="111"/>
      <c r="R1242" s="111"/>
    </row>
    <row r="1243" spans="2:18" s="108" customFormat="1">
      <c r="B1243" s="109"/>
      <c r="C1243" s="110"/>
      <c r="D1243" s="109"/>
      <c r="E1243" s="109"/>
      <c r="F1243" s="97"/>
      <c r="G1243" s="109"/>
      <c r="H1243" s="109"/>
      <c r="I1243" s="97"/>
      <c r="J1243" s="97"/>
      <c r="K1243" s="83"/>
      <c r="L1243" s="111"/>
      <c r="M1243" s="111"/>
      <c r="N1243" s="111"/>
      <c r="O1243" s="111"/>
      <c r="P1243" s="111"/>
      <c r="Q1243" s="111"/>
      <c r="R1243" s="111"/>
    </row>
    <row r="1244" spans="2:18" s="108" customFormat="1">
      <c r="B1244" s="109"/>
      <c r="C1244" s="110"/>
      <c r="D1244" s="109"/>
      <c r="E1244" s="109"/>
      <c r="F1244" s="97"/>
      <c r="G1244" s="109"/>
      <c r="H1244" s="109"/>
      <c r="I1244" s="97"/>
      <c r="J1244" s="97"/>
      <c r="K1244" s="83"/>
      <c r="L1244" s="111"/>
      <c r="M1244" s="111"/>
      <c r="N1244" s="111"/>
      <c r="O1244" s="111"/>
      <c r="P1244" s="111"/>
      <c r="Q1244" s="111"/>
      <c r="R1244" s="111"/>
    </row>
    <row r="1245" spans="2:18" s="108" customFormat="1">
      <c r="B1245" s="109"/>
      <c r="C1245" s="110"/>
      <c r="D1245" s="109"/>
      <c r="E1245" s="109"/>
      <c r="F1245" s="97"/>
      <c r="G1245" s="109"/>
      <c r="H1245" s="109"/>
      <c r="I1245" s="97"/>
      <c r="J1245" s="97"/>
      <c r="K1245" s="83"/>
      <c r="L1245" s="111"/>
      <c r="M1245" s="111"/>
      <c r="N1245" s="111"/>
      <c r="O1245" s="111"/>
      <c r="P1245" s="111"/>
      <c r="Q1245" s="111"/>
      <c r="R1245" s="111"/>
    </row>
    <row r="1246" spans="2:18" s="108" customFormat="1">
      <c r="B1246" s="109"/>
      <c r="C1246" s="110"/>
      <c r="D1246" s="109"/>
      <c r="E1246" s="109"/>
      <c r="F1246" s="97"/>
      <c r="G1246" s="109"/>
      <c r="H1246" s="109"/>
      <c r="I1246" s="97"/>
      <c r="J1246" s="97"/>
      <c r="K1246" s="83"/>
      <c r="L1246" s="111"/>
      <c r="M1246" s="111"/>
      <c r="N1246" s="111"/>
      <c r="O1246" s="111"/>
      <c r="P1246" s="111"/>
      <c r="Q1246" s="111"/>
      <c r="R1246" s="111"/>
    </row>
    <row r="1247" spans="2:18" s="108" customFormat="1">
      <c r="B1247" s="109"/>
      <c r="C1247" s="110"/>
      <c r="D1247" s="109"/>
      <c r="E1247" s="109"/>
      <c r="F1247" s="97"/>
      <c r="G1247" s="109"/>
      <c r="H1247" s="109"/>
      <c r="I1247" s="97"/>
      <c r="J1247" s="97"/>
      <c r="K1247" s="83"/>
      <c r="L1247" s="111"/>
      <c r="M1247" s="111"/>
      <c r="N1247" s="111"/>
      <c r="O1247" s="111"/>
      <c r="P1247" s="111"/>
      <c r="Q1247" s="111"/>
      <c r="R1247" s="111"/>
    </row>
    <row r="1248" spans="2:18" s="108" customFormat="1">
      <c r="B1248" s="109"/>
      <c r="C1248" s="110"/>
      <c r="D1248" s="109"/>
      <c r="E1248" s="109"/>
      <c r="F1248" s="97"/>
      <c r="G1248" s="109"/>
      <c r="H1248" s="109"/>
      <c r="I1248" s="97"/>
      <c r="J1248" s="97"/>
      <c r="K1248" s="83"/>
      <c r="L1248" s="111"/>
      <c r="M1248" s="111"/>
      <c r="N1248" s="111"/>
      <c r="O1248" s="111"/>
      <c r="P1248" s="111"/>
      <c r="Q1248" s="111"/>
      <c r="R1248" s="111"/>
    </row>
    <row r="1249" spans="2:18" s="108" customFormat="1">
      <c r="B1249" s="109"/>
      <c r="C1249" s="110"/>
      <c r="D1249" s="109"/>
      <c r="E1249" s="109"/>
      <c r="F1249" s="97"/>
      <c r="G1249" s="109"/>
      <c r="H1249" s="109"/>
      <c r="I1249" s="97"/>
      <c r="J1249" s="97"/>
      <c r="K1249" s="83"/>
      <c r="L1249" s="111"/>
      <c r="M1249" s="111"/>
      <c r="N1249" s="111"/>
      <c r="O1249" s="111"/>
      <c r="P1249" s="111"/>
      <c r="Q1249" s="111"/>
      <c r="R1249" s="111"/>
    </row>
    <row r="1250" spans="2:18" s="108" customFormat="1">
      <c r="B1250" s="109"/>
      <c r="C1250" s="110"/>
      <c r="D1250" s="109"/>
      <c r="E1250" s="109"/>
      <c r="F1250" s="97"/>
      <c r="G1250" s="109"/>
      <c r="H1250" s="109"/>
      <c r="I1250" s="97"/>
      <c r="J1250" s="97"/>
      <c r="K1250" s="83"/>
      <c r="L1250" s="111"/>
      <c r="M1250" s="111"/>
      <c r="N1250" s="111"/>
      <c r="O1250" s="111"/>
      <c r="P1250" s="111"/>
      <c r="Q1250" s="111"/>
      <c r="R1250" s="111"/>
    </row>
    <row r="1251" spans="2:18" s="108" customFormat="1">
      <c r="B1251" s="109"/>
      <c r="C1251" s="110"/>
      <c r="D1251" s="109"/>
      <c r="E1251" s="109"/>
      <c r="F1251" s="97"/>
      <c r="G1251" s="109"/>
      <c r="H1251" s="109"/>
      <c r="I1251" s="97"/>
      <c r="J1251" s="97"/>
      <c r="K1251" s="83"/>
      <c r="L1251" s="111"/>
      <c r="M1251" s="111"/>
      <c r="N1251" s="111"/>
      <c r="O1251" s="111"/>
      <c r="P1251" s="111"/>
      <c r="Q1251" s="111"/>
      <c r="R1251" s="111"/>
    </row>
    <row r="1252" spans="2:18" s="108" customFormat="1">
      <c r="B1252" s="109"/>
      <c r="C1252" s="110"/>
      <c r="D1252" s="109"/>
      <c r="E1252" s="109"/>
      <c r="F1252" s="97"/>
      <c r="G1252" s="109"/>
      <c r="H1252" s="109"/>
      <c r="I1252" s="97"/>
      <c r="J1252" s="97"/>
      <c r="K1252" s="83"/>
      <c r="L1252" s="111"/>
      <c r="M1252" s="111"/>
      <c r="N1252" s="111"/>
      <c r="O1252" s="111"/>
      <c r="P1252" s="111"/>
      <c r="Q1252" s="111"/>
      <c r="R1252" s="111"/>
    </row>
    <row r="1253" spans="2:18" s="108" customFormat="1">
      <c r="B1253" s="109"/>
      <c r="C1253" s="110"/>
      <c r="D1253" s="109"/>
      <c r="E1253" s="109"/>
      <c r="F1253" s="97"/>
      <c r="G1253" s="109"/>
      <c r="H1253" s="109"/>
      <c r="I1253" s="97"/>
      <c r="J1253" s="97"/>
      <c r="K1253" s="83"/>
      <c r="L1253" s="111"/>
      <c r="M1253" s="111"/>
      <c r="N1253" s="111"/>
      <c r="O1253" s="111"/>
      <c r="P1253" s="111"/>
      <c r="Q1253" s="111"/>
      <c r="R1253" s="111"/>
    </row>
    <row r="1254" spans="2:18" s="108" customFormat="1">
      <c r="B1254" s="109"/>
      <c r="C1254" s="110"/>
      <c r="D1254" s="109"/>
      <c r="E1254" s="109"/>
      <c r="F1254" s="97"/>
      <c r="G1254" s="109"/>
      <c r="H1254" s="109"/>
      <c r="I1254" s="97"/>
      <c r="J1254" s="97"/>
      <c r="K1254" s="83"/>
      <c r="L1254" s="111"/>
      <c r="M1254" s="111"/>
      <c r="N1254" s="111"/>
      <c r="O1254" s="111"/>
      <c r="P1254" s="111"/>
      <c r="Q1254" s="111"/>
      <c r="R1254" s="111"/>
    </row>
    <row r="1255" spans="2:18" s="108" customFormat="1">
      <c r="B1255" s="109"/>
      <c r="C1255" s="110"/>
      <c r="D1255" s="109"/>
      <c r="E1255" s="109"/>
      <c r="F1255" s="97"/>
      <c r="G1255" s="109"/>
      <c r="H1255" s="109"/>
      <c r="I1255" s="97"/>
      <c r="J1255" s="97"/>
      <c r="K1255" s="83"/>
      <c r="L1255" s="111"/>
      <c r="M1255" s="111"/>
      <c r="N1255" s="111"/>
      <c r="O1255" s="111"/>
      <c r="P1255" s="111"/>
      <c r="Q1255" s="111"/>
      <c r="R1255" s="111"/>
    </row>
    <row r="1256" spans="2:18" s="108" customFormat="1">
      <c r="B1256" s="109"/>
      <c r="C1256" s="110"/>
      <c r="D1256" s="109"/>
      <c r="E1256" s="109"/>
      <c r="F1256" s="97"/>
      <c r="G1256" s="109"/>
      <c r="H1256" s="109"/>
      <c r="I1256" s="97"/>
      <c r="J1256" s="97"/>
      <c r="K1256" s="83"/>
      <c r="L1256" s="111"/>
      <c r="M1256" s="111"/>
      <c r="N1256" s="111"/>
      <c r="O1256" s="111"/>
      <c r="P1256" s="111"/>
      <c r="Q1256" s="111"/>
      <c r="R1256" s="111"/>
    </row>
    <row r="1257" spans="2:18" s="108" customFormat="1">
      <c r="B1257" s="109"/>
      <c r="C1257" s="110"/>
      <c r="D1257" s="109"/>
      <c r="E1257" s="109"/>
      <c r="F1257" s="97"/>
      <c r="G1257" s="109"/>
      <c r="H1257" s="109"/>
      <c r="I1257" s="97"/>
      <c r="J1257" s="97"/>
      <c r="K1257" s="83"/>
      <c r="L1257" s="111"/>
      <c r="M1257" s="111"/>
      <c r="N1257" s="111"/>
      <c r="O1257" s="111"/>
      <c r="P1257" s="111"/>
      <c r="Q1257" s="111"/>
      <c r="R1257" s="111"/>
    </row>
    <row r="1258" spans="2:18" s="108" customFormat="1">
      <c r="B1258" s="109"/>
      <c r="C1258" s="110"/>
      <c r="D1258" s="109"/>
      <c r="E1258" s="109"/>
      <c r="F1258" s="97"/>
      <c r="G1258" s="109"/>
      <c r="H1258" s="109"/>
      <c r="I1258" s="97"/>
      <c r="J1258" s="97"/>
      <c r="K1258" s="83"/>
      <c r="L1258" s="111"/>
      <c r="M1258" s="111"/>
      <c r="N1258" s="111"/>
      <c r="O1258" s="111"/>
      <c r="P1258" s="111"/>
      <c r="Q1258" s="111"/>
      <c r="R1258" s="111"/>
    </row>
    <row r="1259" spans="2:18" s="108" customFormat="1">
      <c r="B1259" s="109"/>
      <c r="C1259" s="110"/>
      <c r="D1259" s="109"/>
      <c r="E1259" s="109"/>
      <c r="F1259" s="97"/>
      <c r="G1259" s="109"/>
      <c r="H1259" s="109"/>
      <c r="I1259" s="97"/>
      <c r="J1259" s="97"/>
      <c r="K1259" s="83"/>
      <c r="L1259" s="111"/>
      <c r="M1259" s="111"/>
      <c r="N1259" s="111"/>
      <c r="O1259" s="111"/>
      <c r="P1259" s="111"/>
      <c r="Q1259" s="111"/>
      <c r="R1259" s="111"/>
    </row>
    <row r="1260" spans="2:18" s="108" customFormat="1">
      <c r="B1260" s="109"/>
      <c r="C1260" s="110"/>
      <c r="D1260" s="109"/>
      <c r="E1260" s="109"/>
      <c r="F1260" s="97"/>
      <c r="G1260" s="109"/>
      <c r="H1260" s="109"/>
      <c r="I1260" s="97"/>
      <c r="J1260" s="97"/>
      <c r="K1260" s="83"/>
      <c r="L1260" s="111"/>
      <c r="M1260" s="111"/>
      <c r="N1260" s="111"/>
      <c r="O1260" s="111"/>
      <c r="P1260" s="111"/>
      <c r="Q1260" s="111"/>
      <c r="R1260" s="111"/>
    </row>
    <row r="1261" spans="2:18" s="108" customFormat="1">
      <c r="B1261" s="109"/>
      <c r="C1261" s="110"/>
      <c r="D1261" s="109"/>
      <c r="E1261" s="109"/>
      <c r="F1261" s="97"/>
      <c r="G1261" s="109"/>
      <c r="H1261" s="109"/>
      <c r="I1261" s="97"/>
      <c r="J1261" s="97"/>
      <c r="K1261" s="83"/>
      <c r="L1261" s="111"/>
      <c r="M1261" s="111"/>
      <c r="N1261" s="111"/>
      <c r="O1261" s="111"/>
      <c r="P1261" s="111"/>
      <c r="Q1261" s="111"/>
      <c r="R1261" s="111"/>
    </row>
    <row r="1262" spans="2:18" s="108" customFormat="1">
      <c r="B1262" s="109"/>
      <c r="C1262" s="110"/>
      <c r="D1262" s="109"/>
      <c r="E1262" s="109"/>
      <c r="F1262" s="97"/>
      <c r="G1262" s="109"/>
      <c r="H1262" s="109"/>
      <c r="I1262" s="97"/>
      <c r="J1262" s="97"/>
      <c r="K1262" s="83"/>
      <c r="L1262" s="111"/>
      <c r="M1262" s="111"/>
      <c r="N1262" s="111"/>
      <c r="O1262" s="111"/>
      <c r="P1262" s="111"/>
      <c r="Q1262" s="111"/>
      <c r="R1262" s="111"/>
    </row>
    <row r="1263" spans="2:18" s="108" customFormat="1">
      <c r="B1263" s="109"/>
      <c r="C1263" s="110"/>
      <c r="D1263" s="109"/>
      <c r="E1263" s="109"/>
      <c r="F1263" s="97"/>
      <c r="G1263" s="109"/>
      <c r="H1263" s="109"/>
      <c r="I1263" s="97"/>
      <c r="J1263" s="97"/>
      <c r="K1263" s="83"/>
      <c r="L1263" s="111"/>
      <c r="M1263" s="111"/>
      <c r="N1263" s="111"/>
      <c r="O1263" s="111"/>
      <c r="P1263" s="111"/>
      <c r="Q1263" s="111"/>
      <c r="R1263" s="111"/>
    </row>
    <row r="1264" spans="2:18" s="108" customFormat="1">
      <c r="B1264" s="109"/>
      <c r="C1264" s="110"/>
      <c r="D1264" s="109"/>
      <c r="E1264" s="109"/>
      <c r="F1264" s="97"/>
      <c r="G1264" s="109"/>
      <c r="H1264" s="109"/>
      <c r="I1264" s="97"/>
      <c r="J1264" s="97"/>
      <c r="K1264" s="83"/>
      <c r="L1264" s="111"/>
      <c r="M1264" s="111"/>
      <c r="N1264" s="111"/>
      <c r="O1264" s="111"/>
      <c r="P1264" s="111"/>
      <c r="Q1264" s="111"/>
      <c r="R1264" s="111"/>
    </row>
    <row r="1265" spans="2:18" s="108" customFormat="1">
      <c r="B1265" s="109"/>
      <c r="C1265" s="110"/>
      <c r="D1265" s="109"/>
      <c r="E1265" s="109"/>
      <c r="F1265" s="97"/>
      <c r="G1265" s="109"/>
      <c r="H1265" s="109"/>
      <c r="I1265" s="97"/>
      <c r="J1265" s="97"/>
      <c r="K1265" s="83"/>
      <c r="L1265" s="111"/>
      <c r="M1265" s="111"/>
      <c r="N1265" s="111"/>
      <c r="O1265" s="111"/>
      <c r="P1265" s="111"/>
      <c r="Q1265" s="111"/>
      <c r="R1265" s="111"/>
    </row>
    <row r="1266" spans="2:18" s="108" customFormat="1">
      <c r="B1266" s="109"/>
      <c r="C1266" s="110"/>
      <c r="D1266" s="109"/>
      <c r="E1266" s="109"/>
      <c r="F1266" s="97"/>
      <c r="G1266" s="109"/>
      <c r="H1266" s="109"/>
      <c r="I1266" s="97"/>
      <c r="J1266" s="97"/>
      <c r="K1266" s="83"/>
      <c r="L1266" s="111"/>
      <c r="M1266" s="111"/>
      <c r="N1266" s="111"/>
      <c r="O1266" s="111"/>
      <c r="P1266" s="111"/>
      <c r="Q1266" s="111"/>
      <c r="R1266" s="111"/>
    </row>
    <row r="1267" spans="2:18" s="108" customFormat="1">
      <c r="B1267" s="109"/>
      <c r="C1267" s="110"/>
      <c r="D1267" s="109"/>
      <c r="E1267" s="109"/>
      <c r="F1267" s="97"/>
      <c r="G1267" s="109"/>
      <c r="H1267" s="109"/>
      <c r="I1267" s="97"/>
      <c r="J1267" s="97"/>
      <c r="K1267" s="83"/>
      <c r="L1267" s="111"/>
      <c r="M1267" s="111"/>
      <c r="N1267" s="111"/>
      <c r="O1267" s="111"/>
      <c r="P1267" s="111"/>
      <c r="Q1267" s="111"/>
      <c r="R1267" s="111"/>
    </row>
    <row r="1268" spans="2:18" s="108" customFormat="1">
      <c r="B1268" s="109"/>
      <c r="C1268" s="110"/>
      <c r="D1268" s="109"/>
      <c r="E1268" s="109"/>
      <c r="F1268" s="97"/>
      <c r="G1268" s="109"/>
      <c r="H1268" s="109"/>
      <c r="I1268" s="97"/>
      <c r="J1268" s="97"/>
      <c r="K1268" s="83"/>
      <c r="L1268" s="111"/>
      <c r="M1268" s="111"/>
      <c r="N1268" s="111"/>
      <c r="O1268" s="111"/>
      <c r="P1268" s="111"/>
      <c r="Q1268" s="111"/>
      <c r="R1268" s="111"/>
    </row>
    <row r="1269" spans="2:18" s="108" customFormat="1">
      <c r="B1269" s="109"/>
      <c r="C1269" s="110"/>
      <c r="D1269" s="109"/>
      <c r="E1269" s="109"/>
      <c r="F1269" s="97"/>
      <c r="G1269" s="109"/>
      <c r="H1269" s="109"/>
      <c r="I1269" s="97"/>
      <c r="J1269" s="97"/>
      <c r="K1269" s="83"/>
      <c r="L1269" s="111"/>
      <c r="M1269" s="111"/>
      <c r="N1269" s="111"/>
      <c r="O1269" s="111"/>
      <c r="P1269" s="111"/>
      <c r="Q1269" s="111"/>
      <c r="R1269" s="111"/>
    </row>
    <row r="1270" spans="2:18" s="108" customFormat="1">
      <c r="B1270" s="109"/>
      <c r="C1270" s="110"/>
      <c r="D1270" s="109"/>
      <c r="E1270" s="109"/>
      <c r="F1270" s="97"/>
      <c r="G1270" s="109"/>
      <c r="H1270" s="109"/>
      <c r="I1270" s="97"/>
      <c r="J1270" s="97"/>
      <c r="K1270" s="83"/>
      <c r="L1270" s="111"/>
      <c r="M1270" s="111"/>
      <c r="N1270" s="111"/>
      <c r="O1270" s="111"/>
      <c r="P1270" s="111"/>
      <c r="Q1270" s="111"/>
      <c r="R1270" s="111"/>
    </row>
    <row r="1271" spans="2:18" s="108" customFormat="1">
      <c r="B1271" s="109"/>
      <c r="C1271" s="110"/>
      <c r="D1271" s="109"/>
      <c r="E1271" s="109"/>
      <c r="F1271" s="97"/>
      <c r="G1271" s="109"/>
      <c r="H1271" s="109"/>
      <c r="I1271" s="97"/>
      <c r="J1271" s="97"/>
      <c r="K1271" s="83"/>
      <c r="L1271" s="111"/>
      <c r="M1271" s="111"/>
      <c r="N1271" s="111"/>
      <c r="O1271" s="111"/>
      <c r="P1271" s="111"/>
      <c r="Q1271" s="111"/>
      <c r="R1271" s="111"/>
    </row>
    <row r="1272" spans="2:18" s="108" customFormat="1">
      <c r="B1272" s="109"/>
      <c r="C1272" s="110"/>
      <c r="D1272" s="109"/>
      <c r="E1272" s="109"/>
      <c r="F1272" s="97"/>
      <c r="G1272" s="109"/>
      <c r="H1272" s="109"/>
      <c r="I1272" s="97"/>
      <c r="J1272" s="97"/>
      <c r="K1272" s="83"/>
      <c r="L1272" s="111"/>
      <c r="M1272" s="111"/>
      <c r="N1272" s="111"/>
      <c r="O1272" s="111"/>
      <c r="P1272" s="111"/>
      <c r="Q1272" s="111"/>
      <c r="R1272" s="111"/>
    </row>
    <row r="1273" spans="2:18" s="108" customFormat="1">
      <c r="B1273" s="109"/>
      <c r="C1273" s="110"/>
      <c r="D1273" s="109"/>
      <c r="E1273" s="109"/>
      <c r="F1273" s="97"/>
      <c r="G1273" s="109"/>
      <c r="H1273" s="109"/>
      <c r="I1273" s="97"/>
      <c r="J1273" s="97"/>
      <c r="K1273" s="83"/>
      <c r="L1273" s="111"/>
      <c r="M1273" s="111"/>
      <c r="N1273" s="111"/>
      <c r="O1273" s="111"/>
      <c r="P1273" s="111"/>
      <c r="Q1273" s="111"/>
      <c r="R1273" s="111"/>
    </row>
    <row r="1274" spans="2:18" s="108" customFormat="1">
      <c r="B1274" s="109"/>
      <c r="C1274" s="110"/>
      <c r="D1274" s="109"/>
      <c r="E1274" s="109"/>
      <c r="F1274" s="97"/>
      <c r="G1274" s="109"/>
      <c r="H1274" s="109"/>
      <c r="I1274" s="97"/>
      <c r="J1274" s="97"/>
      <c r="K1274" s="83"/>
      <c r="L1274" s="111"/>
      <c r="M1274" s="111"/>
      <c r="N1274" s="111"/>
      <c r="O1274" s="111"/>
      <c r="P1274" s="111"/>
      <c r="Q1274" s="111"/>
      <c r="R1274" s="111"/>
    </row>
    <row r="1275" spans="2:18" s="108" customFormat="1">
      <c r="B1275" s="109"/>
      <c r="C1275" s="110"/>
      <c r="D1275" s="109"/>
      <c r="E1275" s="109"/>
      <c r="F1275" s="97"/>
      <c r="G1275" s="109"/>
      <c r="H1275" s="109"/>
      <c r="I1275" s="97"/>
      <c r="J1275" s="97"/>
      <c r="K1275" s="83"/>
      <c r="L1275" s="111"/>
      <c r="M1275" s="111"/>
      <c r="N1275" s="111"/>
      <c r="O1275" s="111"/>
      <c r="P1275" s="111"/>
      <c r="Q1275" s="111"/>
      <c r="R1275" s="111"/>
    </row>
    <row r="1276" spans="2:18" s="108" customFormat="1">
      <c r="B1276" s="109"/>
      <c r="C1276" s="110"/>
      <c r="D1276" s="109"/>
      <c r="E1276" s="109"/>
      <c r="F1276" s="97"/>
      <c r="G1276" s="109"/>
      <c r="H1276" s="109"/>
      <c r="I1276" s="97"/>
      <c r="J1276" s="97"/>
      <c r="K1276" s="83"/>
      <c r="L1276" s="111"/>
      <c r="M1276" s="111"/>
      <c r="N1276" s="111"/>
      <c r="O1276" s="111"/>
      <c r="P1276" s="111"/>
      <c r="Q1276" s="111"/>
      <c r="R1276" s="111"/>
    </row>
    <row r="1277" spans="2:18" s="108" customFormat="1">
      <c r="B1277" s="109"/>
      <c r="C1277" s="110"/>
      <c r="D1277" s="109"/>
      <c r="E1277" s="109"/>
      <c r="F1277" s="97"/>
      <c r="G1277" s="109"/>
      <c r="H1277" s="109"/>
      <c r="I1277" s="97"/>
      <c r="J1277" s="97"/>
      <c r="K1277" s="83"/>
      <c r="L1277" s="111"/>
      <c r="M1277" s="111"/>
      <c r="N1277" s="111"/>
      <c r="O1277" s="111"/>
      <c r="P1277" s="111"/>
      <c r="Q1277" s="111"/>
      <c r="R1277" s="111"/>
    </row>
    <row r="1278" spans="2:18" s="108" customFormat="1">
      <c r="B1278" s="109"/>
      <c r="C1278" s="110"/>
      <c r="D1278" s="109"/>
      <c r="E1278" s="109"/>
      <c r="F1278" s="97"/>
      <c r="G1278" s="109"/>
      <c r="H1278" s="109"/>
      <c r="I1278" s="97"/>
      <c r="J1278" s="97"/>
      <c r="K1278" s="83"/>
      <c r="L1278" s="111"/>
      <c r="M1278" s="111"/>
      <c r="N1278" s="111"/>
      <c r="O1278" s="111"/>
      <c r="P1278" s="111"/>
      <c r="Q1278" s="111"/>
      <c r="R1278" s="111"/>
    </row>
    <row r="1279" spans="2:18" s="108" customFormat="1">
      <c r="B1279" s="109"/>
      <c r="C1279" s="110"/>
      <c r="D1279" s="109"/>
      <c r="E1279" s="109"/>
      <c r="F1279" s="97"/>
      <c r="G1279" s="109"/>
      <c r="H1279" s="109"/>
      <c r="I1279" s="97"/>
      <c r="J1279" s="97"/>
      <c r="K1279" s="83"/>
      <c r="L1279" s="111"/>
      <c r="M1279" s="111"/>
      <c r="N1279" s="111"/>
      <c r="O1279" s="111"/>
      <c r="P1279" s="111"/>
      <c r="Q1279" s="111"/>
      <c r="R1279" s="111"/>
    </row>
    <row r="1280" spans="2:18" s="108" customFormat="1">
      <c r="B1280" s="109"/>
      <c r="C1280" s="110"/>
      <c r="D1280" s="109"/>
      <c r="E1280" s="109"/>
      <c r="F1280" s="97"/>
      <c r="G1280" s="109"/>
      <c r="H1280" s="109"/>
      <c r="I1280" s="97"/>
      <c r="J1280" s="97"/>
      <c r="K1280" s="83"/>
      <c r="L1280" s="111"/>
      <c r="M1280" s="111"/>
      <c r="N1280" s="111"/>
      <c r="O1280" s="111"/>
      <c r="P1280" s="111"/>
      <c r="Q1280" s="111"/>
      <c r="R1280" s="111"/>
    </row>
    <row r="1281" spans="2:18" s="108" customFormat="1">
      <c r="B1281" s="109"/>
      <c r="C1281" s="110"/>
      <c r="D1281" s="109"/>
      <c r="E1281" s="109"/>
      <c r="F1281" s="97"/>
      <c r="G1281" s="109"/>
      <c r="H1281" s="109"/>
      <c r="I1281" s="97"/>
      <c r="J1281" s="97"/>
      <c r="K1281" s="83"/>
      <c r="L1281" s="111"/>
      <c r="M1281" s="111"/>
      <c r="N1281" s="111"/>
      <c r="O1281" s="111"/>
      <c r="P1281" s="111"/>
      <c r="Q1281" s="111"/>
      <c r="R1281" s="111"/>
    </row>
    <row r="1282" spans="2:18" s="108" customFormat="1">
      <c r="B1282" s="109"/>
      <c r="C1282" s="110"/>
      <c r="D1282" s="109"/>
      <c r="E1282" s="109"/>
      <c r="F1282" s="97"/>
      <c r="G1282" s="109"/>
      <c r="H1282" s="109"/>
      <c r="I1282" s="97"/>
      <c r="J1282" s="97"/>
      <c r="K1282" s="83"/>
      <c r="L1282" s="111"/>
      <c r="M1282" s="111"/>
      <c r="N1282" s="111"/>
      <c r="O1282" s="111"/>
      <c r="P1282" s="111"/>
      <c r="Q1282" s="111"/>
      <c r="R1282" s="111"/>
    </row>
    <row r="1283" spans="2:18" s="108" customFormat="1">
      <c r="B1283" s="109"/>
      <c r="C1283" s="110"/>
      <c r="D1283" s="109"/>
      <c r="E1283" s="109"/>
      <c r="F1283" s="97"/>
      <c r="G1283" s="109"/>
      <c r="H1283" s="109"/>
      <c r="I1283" s="97"/>
      <c r="J1283" s="97"/>
      <c r="K1283" s="83"/>
      <c r="L1283" s="111"/>
      <c r="M1283" s="111"/>
      <c r="N1283" s="111"/>
      <c r="O1283" s="111"/>
      <c r="P1283" s="111"/>
      <c r="Q1283" s="111"/>
      <c r="R1283" s="111"/>
    </row>
    <row r="1284" spans="2:18" s="108" customFormat="1">
      <c r="B1284" s="109"/>
      <c r="C1284" s="110"/>
      <c r="D1284" s="109"/>
      <c r="E1284" s="109"/>
      <c r="F1284" s="97"/>
      <c r="G1284" s="109"/>
      <c r="H1284" s="109"/>
      <c r="I1284" s="97"/>
      <c r="J1284" s="97"/>
      <c r="K1284" s="83"/>
      <c r="L1284" s="111"/>
      <c r="M1284" s="111"/>
      <c r="N1284" s="111"/>
      <c r="O1284" s="111"/>
      <c r="P1284" s="111"/>
      <c r="Q1284" s="111"/>
      <c r="R1284" s="111"/>
    </row>
    <row r="1285" spans="2:18" s="108" customFormat="1">
      <c r="B1285" s="109"/>
      <c r="C1285" s="110"/>
      <c r="D1285" s="109"/>
      <c r="E1285" s="109"/>
      <c r="F1285" s="97"/>
      <c r="G1285" s="109"/>
      <c r="H1285" s="109"/>
      <c r="I1285" s="97"/>
      <c r="J1285" s="97"/>
      <c r="K1285" s="83"/>
      <c r="L1285" s="111"/>
      <c r="M1285" s="111"/>
      <c r="N1285" s="111"/>
      <c r="O1285" s="111"/>
      <c r="P1285" s="111"/>
      <c r="Q1285" s="111"/>
      <c r="R1285" s="111"/>
    </row>
    <row r="1286" spans="2:18" s="108" customFormat="1">
      <c r="B1286" s="109"/>
      <c r="C1286" s="110"/>
      <c r="D1286" s="109"/>
      <c r="E1286" s="109"/>
      <c r="F1286" s="97"/>
      <c r="G1286" s="109"/>
      <c r="H1286" s="109"/>
      <c r="I1286" s="97"/>
      <c r="J1286" s="97"/>
      <c r="K1286" s="83"/>
      <c r="L1286" s="111"/>
      <c r="M1286" s="111"/>
      <c r="N1286" s="111"/>
      <c r="O1286" s="111"/>
      <c r="P1286" s="111"/>
      <c r="Q1286" s="111"/>
      <c r="R1286" s="111"/>
    </row>
    <row r="1287" spans="2:18" s="108" customFormat="1">
      <c r="B1287" s="109"/>
      <c r="C1287" s="110"/>
      <c r="D1287" s="109"/>
      <c r="E1287" s="109"/>
      <c r="F1287" s="97"/>
      <c r="G1287" s="109"/>
      <c r="H1287" s="109"/>
      <c r="I1287" s="97"/>
      <c r="J1287" s="97"/>
      <c r="K1287" s="83"/>
      <c r="L1287" s="111"/>
      <c r="M1287" s="111"/>
      <c r="N1287" s="111"/>
      <c r="O1287" s="111"/>
      <c r="P1287" s="111"/>
      <c r="Q1287" s="111"/>
      <c r="R1287" s="111"/>
    </row>
    <row r="1288" spans="2:18" s="108" customFormat="1">
      <c r="B1288" s="109"/>
      <c r="C1288" s="110"/>
      <c r="D1288" s="109"/>
      <c r="E1288" s="109"/>
      <c r="F1288" s="97"/>
      <c r="G1288" s="109"/>
      <c r="H1288" s="109"/>
      <c r="I1288" s="97"/>
      <c r="J1288" s="97"/>
      <c r="K1288" s="83"/>
      <c r="L1288" s="111"/>
      <c r="M1288" s="111"/>
      <c r="N1288" s="111"/>
      <c r="O1288" s="111"/>
      <c r="P1288" s="111"/>
      <c r="Q1288" s="111"/>
      <c r="R1288" s="111"/>
    </row>
    <row r="1289" spans="2:18" s="108" customFormat="1">
      <c r="B1289" s="109"/>
      <c r="C1289" s="110"/>
      <c r="D1289" s="109"/>
      <c r="E1289" s="109"/>
      <c r="F1289" s="97"/>
      <c r="G1289" s="109"/>
      <c r="H1289" s="109"/>
      <c r="I1289" s="97"/>
      <c r="J1289" s="97"/>
      <c r="K1289" s="83"/>
      <c r="L1289" s="111"/>
      <c r="M1289" s="111"/>
      <c r="N1289" s="111"/>
      <c r="O1289" s="111"/>
      <c r="P1289" s="111"/>
      <c r="Q1289" s="111"/>
      <c r="R1289" s="111"/>
    </row>
    <row r="1290" spans="2:18" s="108" customFormat="1">
      <c r="B1290" s="109"/>
      <c r="C1290" s="110"/>
      <c r="D1290" s="109"/>
      <c r="E1290" s="109"/>
      <c r="F1290" s="97"/>
      <c r="G1290" s="109"/>
      <c r="H1290" s="109"/>
      <c r="I1290" s="97"/>
      <c r="J1290" s="97"/>
      <c r="K1290" s="83"/>
      <c r="L1290" s="111"/>
      <c r="M1290" s="111"/>
      <c r="N1290" s="111"/>
      <c r="O1290" s="111"/>
      <c r="P1290" s="111"/>
      <c r="Q1290" s="111"/>
      <c r="R1290" s="111"/>
    </row>
    <row r="1291" spans="2:18" s="108" customFormat="1">
      <c r="B1291" s="109"/>
      <c r="C1291" s="110"/>
      <c r="D1291" s="109"/>
      <c r="E1291" s="109"/>
      <c r="F1291" s="97"/>
      <c r="G1291" s="109"/>
      <c r="H1291" s="109"/>
      <c r="I1291" s="97"/>
      <c r="J1291" s="97"/>
      <c r="K1291" s="83"/>
      <c r="L1291" s="111"/>
      <c r="M1291" s="111"/>
      <c r="N1291" s="111"/>
      <c r="O1291" s="111"/>
      <c r="P1291" s="111"/>
      <c r="Q1291" s="111"/>
      <c r="R1291" s="111"/>
    </row>
    <row r="1292" spans="2:18" s="108" customFormat="1">
      <c r="B1292" s="109"/>
      <c r="C1292" s="110"/>
      <c r="D1292" s="109"/>
      <c r="E1292" s="109"/>
      <c r="F1292" s="97"/>
      <c r="G1292" s="109"/>
      <c r="H1292" s="109"/>
      <c r="I1292" s="97"/>
      <c r="J1292" s="97"/>
      <c r="K1292" s="83"/>
      <c r="L1292" s="111"/>
      <c r="M1292" s="111"/>
      <c r="N1292" s="111"/>
      <c r="O1292" s="111"/>
      <c r="P1292" s="111"/>
      <c r="Q1292" s="111"/>
      <c r="R1292" s="111"/>
    </row>
    <row r="1293" spans="2:18" s="108" customFormat="1">
      <c r="B1293" s="109"/>
      <c r="C1293" s="110"/>
      <c r="D1293" s="109"/>
      <c r="E1293" s="109"/>
      <c r="F1293" s="97"/>
      <c r="G1293" s="109"/>
      <c r="H1293" s="109"/>
      <c r="I1293" s="97"/>
      <c r="J1293" s="97"/>
      <c r="K1293" s="83"/>
      <c r="L1293" s="111"/>
      <c r="M1293" s="111"/>
      <c r="N1293" s="111"/>
      <c r="O1293" s="111"/>
      <c r="P1293" s="111"/>
      <c r="Q1293" s="111"/>
      <c r="R1293" s="111"/>
    </row>
    <row r="1294" spans="2:18" s="108" customFormat="1">
      <c r="B1294" s="109"/>
      <c r="C1294" s="110"/>
      <c r="D1294" s="109"/>
      <c r="E1294" s="109"/>
      <c r="F1294" s="97"/>
      <c r="G1294" s="109"/>
      <c r="H1294" s="109"/>
      <c r="I1294" s="97"/>
      <c r="J1294" s="97"/>
      <c r="K1294" s="83"/>
      <c r="L1294" s="111"/>
      <c r="M1294" s="111"/>
      <c r="N1294" s="111"/>
      <c r="O1294" s="111"/>
      <c r="P1294" s="111"/>
      <c r="Q1294" s="111"/>
      <c r="R1294" s="111"/>
    </row>
    <row r="1295" spans="2:18" s="108" customFormat="1">
      <c r="B1295" s="109"/>
      <c r="C1295" s="110"/>
      <c r="D1295" s="109"/>
      <c r="E1295" s="109"/>
      <c r="F1295" s="97"/>
      <c r="G1295" s="109"/>
      <c r="H1295" s="109"/>
      <c r="I1295" s="97"/>
      <c r="J1295" s="97"/>
      <c r="K1295" s="83"/>
      <c r="L1295" s="111"/>
      <c r="M1295" s="111"/>
      <c r="N1295" s="111"/>
      <c r="O1295" s="111"/>
      <c r="P1295" s="111"/>
      <c r="Q1295" s="111"/>
      <c r="R1295" s="111"/>
    </row>
    <row r="1296" spans="2:18" s="108" customFormat="1">
      <c r="B1296" s="109"/>
      <c r="C1296" s="110"/>
      <c r="D1296" s="109"/>
      <c r="E1296" s="109"/>
      <c r="F1296" s="97"/>
      <c r="G1296" s="109"/>
      <c r="H1296" s="109"/>
      <c r="I1296" s="97"/>
      <c r="J1296" s="97"/>
      <c r="K1296" s="83"/>
      <c r="L1296" s="111"/>
      <c r="M1296" s="111"/>
      <c r="N1296" s="111"/>
      <c r="O1296" s="111"/>
      <c r="P1296" s="111"/>
      <c r="Q1296" s="111"/>
      <c r="R1296" s="111"/>
    </row>
    <row r="1297" spans="2:18" s="108" customFormat="1">
      <c r="B1297" s="109"/>
      <c r="C1297" s="110"/>
      <c r="D1297" s="109"/>
      <c r="E1297" s="109"/>
      <c r="F1297" s="97"/>
      <c r="G1297" s="109"/>
      <c r="H1297" s="109"/>
      <c r="I1297" s="97"/>
      <c r="J1297" s="97"/>
      <c r="K1297" s="83"/>
      <c r="L1297" s="111"/>
      <c r="M1297" s="111"/>
      <c r="N1297" s="111"/>
      <c r="O1297" s="111"/>
      <c r="P1297" s="111"/>
      <c r="Q1297" s="111"/>
      <c r="R1297" s="111"/>
    </row>
    <row r="1298" spans="2:18" s="108" customFormat="1">
      <c r="B1298" s="109"/>
      <c r="C1298" s="110"/>
      <c r="D1298" s="109"/>
      <c r="E1298" s="109"/>
      <c r="F1298" s="97"/>
      <c r="G1298" s="109"/>
      <c r="H1298" s="109"/>
      <c r="I1298" s="97"/>
      <c r="J1298" s="97"/>
      <c r="K1298" s="83"/>
      <c r="L1298" s="111"/>
      <c r="M1298" s="111"/>
      <c r="N1298" s="111"/>
      <c r="O1298" s="111"/>
      <c r="P1298" s="111"/>
      <c r="Q1298" s="111"/>
      <c r="R1298" s="111"/>
    </row>
    <row r="1299" spans="2:18" s="108" customFormat="1">
      <c r="B1299" s="109"/>
      <c r="C1299" s="110"/>
      <c r="D1299" s="109"/>
      <c r="E1299" s="109"/>
      <c r="F1299" s="97"/>
      <c r="G1299" s="109"/>
      <c r="H1299" s="109"/>
      <c r="I1299" s="97"/>
      <c r="J1299" s="97"/>
      <c r="K1299" s="83"/>
      <c r="L1299" s="111"/>
      <c r="M1299" s="111"/>
      <c r="N1299" s="111"/>
      <c r="O1299" s="111"/>
      <c r="P1299" s="111"/>
      <c r="Q1299" s="111"/>
      <c r="R1299" s="111"/>
    </row>
    <row r="1300" spans="2:18" s="108" customFormat="1">
      <c r="B1300" s="109"/>
      <c r="C1300" s="110"/>
      <c r="D1300" s="109"/>
      <c r="E1300" s="109"/>
      <c r="F1300" s="97"/>
      <c r="G1300" s="109"/>
      <c r="H1300" s="109"/>
      <c r="I1300" s="97"/>
      <c r="J1300" s="97"/>
      <c r="K1300" s="83"/>
      <c r="L1300" s="111"/>
      <c r="M1300" s="111"/>
      <c r="N1300" s="111"/>
      <c r="O1300" s="111"/>
      <c r="P1300" s="111"/>
      <c r="Q1300" s="111"/>
      <c r="R1300" s="111"/>
    </row>
    <row r="1301" spans="2:18" s="108" customFormat="1">
      <c r="B1301" s="109"/>
      <c r="C1301" s="110"/>
      <c r="D1301" s="109"/>
      <c r="E1301" s="109"/>
      <c r="F1301" s="97"/>
      <c r="G1301" s="109"/>
      <c r="H1301" s="109"/>
      <c r="I1301" s="97"/>
      <c r="J1301" s="97"/>
      <c r="K1301" s="83"/>
      <c r="L1301" s="111"/>
      <c r="M1301" s="111"/>
      <c r="N1301" s="111"/>
      <c r="O1301" s="111"/>
      <c r="P1301" s="111"/>
      <c r="Q1301" s="111"/>
      <c r="R1301" s="111"/>
    </row>
    <row r="1302" spans="2:18" s="108" customFormat="1">
      <c r="B1302" s="109"/>
      <c r="C1302" s="110"/>
      <c r="D1302" s="109"/>
      <c r="E1302" s="109"/>
      <c r="F1302" s="97"/>
      <c r="G1302" s="109"/>
      <c r="H1302" s="109"/>
      <c r="I1302" s="97"/>
      <c r="J1302" s="97"/>
      <c r="K1302" s="83"/>
      <c r="L1302" s="111"/>
      <c r="M1302" s="111"/>
      <c r="N1302" s="111"/>
      <c r="O1302" s="111"/>
      <c r="P1302" s="111"/>
      <c r="Q1302" s="111"/>
      <c r="R1302" s="111"/>
    </row>
    <row r="1303" spans="2:18" s="108" customFormat="1">
      <c r="B1303" s="109"/>
      <c r="C1303" s="110"/>
      <c r="D1303" s="109"/>
      <c r="E1303" s="109"/>
      <c r="F1303" s="97"/>
      <c r="G1303" s="109"/>
      <c r="H1303" s="109"/>
      <c r="I1303" s="97"/>
      <c r="J1303" s="97"/>
      <c r="K1303" s="83"/>
      <c r="L1303" s="111"/>
      <c r="M1303" s="111"/>
      <c r="N1303" s="111"/>
      <c r="O1303" s="111"/>
      <c r="P1303" s="111"/>
      <c r="Q1303" s="111"/>
      <c r="R1303" s="111"/>
    </row>
    <row r="1304" spans="2:18" s="108" customFormat="1">
      <c r="B1304" s="109"/>
      <c r="C1304" s="110"/>
      <c r="D1304" s="109"/>
      <c r="E1304" s="109"/>
      <c r="F1304" s="97"/>
      <c r="G1304" s="109"/>
      <c r="H1304" s="109"/>
      <c r="I1304" s="97"/>
      <c r="J1304" s="97"/>
      <c r="K1304" s="83"/>
      <c r="L1304" s="111"/>
      <c r="M1304" s="111"/>
      <c r="N1304" s="111"/>
      <c r="O1304" s="111"/>
      <c r="P1304" s="111"/>
      <c r="Q1304" s="111"/>
      <c r="R1304" s="111"/>
    </row>
    <row r="1305" spans="2:18" s="108" customFormat="1">
      <c r="B1305" s="109"/>
      <c r="C1305" s="110"/>
      <c r="D1305" s="109"/>
      <c r="E1305" s="109"/>
      <c r="F1305" s="97"/>
      <c r="G1305" s="109"/>
      <c r="H1305" s="109"/>
      <c r="I1305" s="97"/>
      <c r="J1305" s="97"/>
      <c r="K1305" s="83"/>
      <c r="L1305" s="111"/>
      <c r="M1305" s="111"/>
      <c r="N1305" s="111"/>
      <c r="O1305" s="111"/>
      <c r="P1305" s="111"/>
      <c r="Q1305" s="111"/>
      <c r="R1305" s="111"/>
    </row>
    <row r="1306" spans="2:18" s="108" customFormat="1">
      <c r="B1306" s="109"/>
      <c r="C1306" s="110"/>
      <c r="D1306" s="109"/>
      <c r="E1306" s="109"/>
      <c r="F1306" s="97"/>
      <c r="G1306" s="109"/>
      <c r="H1306" s="109"/>
      <c r="I1306" s="97"/>
      <c r="J1306" s="97"/>
      <c r="K1306" s="83"/>
      <c r="L1306" s="111"/>
      <c r="M1306" s="111"/>
      <c r="N1306" s="111"/>
      <c r="O1306" s="111"/>
      <c r="P1306" s="111"/>
      <c r="Q1306" s="111"/>
      <c r="R1306" s="111"/>
    </row>
    <row r="1307" spans="2:18" s="108" customFormat="1">
      <c r="B1307" s="109"/>
      <c r="C1307" s="110"/>
      <c r="D1307" s="109"/>
      <c r="E1307" s="109"/>
      <c r="F1307" s="97"/>
      <c r="G1307" s="109"/>
      <c r="H1307" s="109"/>
      <c r="I1307" s="97"/>
      <c r="J1307" s="97"/>
      <c r="K1307" s="83"/>
      <c r="L1307" s="111"/>
      <c r="M1307" s="111"/>
      <c r="N1307" s="111"/>
      <c r="O1307" s="111"/>
      <c r="P1307" s="111"/>
      <c r="Q1307" s="111"/>
      <c r="R1307" s="111"/>
    </row>
    <row r="1308" spans="2:18" s="108" customFormat="1">
      <c r="B1308" s="109"/>
      <c r="C1308" s="110"/>
      <c r="D1308" s="109"/>
      <c r="E1308" s="109"/>
      <c r="F1308" s="97"/>
      <c r="G1308" s="109"/>
      <c r="H1308" s="109"/>
      <c r="I1308" s="97"/>
      <c r="J1308" s="97"/>
      <c r="K1308" s="83"/>
      <c r="L1308" s="111"/>
      <c r="M1308" s="111"/>
      <c r="N1308" s="111"/>
      <c r="O1308" s="111"/>
      <c r="P1308" s="111"/>
      <c r="Q1308" s="111"/>
      <c r="R1308" s="111"/>
    </row>
    <row r="1309" spans="2:18" s="108" customFormat="1">
      <c r="B1309" s="109"/>
      <c r="C1309" s="110"/>
      <c r="D1309" s="109"/>
      <c r="E1309" s="109"/>
      <c r="F1309" s="97"/>
      <c r="G1309" s="109"/>
      <c r="H1309" s="109"/>
      <c r="I1309" s="97"/>
      <c r="J1309" s="97"/>
      <c r="K1309" s="83"/>
      <c r="L1309" s="111"/>
      <c r="M1309" s="111"/>
      <c r="N1309" s="111"/>
      <c r="O1309" s="111"/>
      <c r="P1309" s="111"/>
      <c r="Q1309" s="111"/>
      <c r="R1309" s="111"/>
    </row>
    <row r="1310" spans="2:18" s="108" customFormat="1">
      <c r="B1310" s="109"/>
      <c r="C1310" s="110"/>
      <c r="D1310" s="109"/>
      <c r="E1310" s="109"/>
      <c r="F1310" s="97"/>
      <c r="G1310" s="109"/>
      <c r="H1310" s="109"/>
      <c r="I1310" s="97"/>
      <c r="J1310" s="97"/>
      <c r="K1310" s="83"/>
      <c r="L1310" s="111"/>
      <c r="M1310" s="111"/>
      <c r="N1310" s="111"/>
      <c r="O1310" s="111"/>
      <c r="P1310" s="111"/>
      <c r="Q1310" s="111"/>
      <c r="R1310" s="111"/>
    </row>
    <row r="1311" spans="2:18" s="108" customFormat="1">
      <c r="B1311" s="109"/>
      <c r="C1311" s="110"/>
      <c r="D1311" s="109"/>
      <c r="E1311" s="109"/>
      <c r="F1311" s="97"/>
      <c r="G1311" s="109"/>
      <c r="H1311" s="109"/>
      <c r="I1311" s="97"/>
      <c r="J1311" s="97"/>
      <c r="K1311" s="83"/>
      <c r="L1311" s="111"/>
      <c r="M1311" s="111"/>
      <c r="N1311" s="111"/>
      <c r="O1311" s="111"/>
      <c r="P1311" s="111"/>
      <c r="Q1311" s="111"/>
      <c r="R1311" s="111"/>
    </row>
    <row r="1312" spans="2:18" s="108" customFormat="1">
      <c r="B1312" s="109"/>
      <c r="C1312" s="110"/>
      <c r="D1312" s="109"/>
      <c r="E1312" s="109"/>
      <c r="F1312" s="97"/>
      <c r="G1312" s="109"/>
      <c r="H1312" s="109"/>
      <c r="I1312" s="97"/>
      <c r="J1312" s="97"/>
      <c r="K1312" s="83"/>
      <c r="L1312" s="111"/>
      <c r="M1312" s="111"/>
      <c r="N1312" s="111"/>
      <c r="O1312" s="111"/>
      <c r="P1312" s="111"/>
      <c r="Q1312" s="111"/>
      <c r="R1312" s="111"/>
    </row>
    <row r="1313" spans="2:18" s="108" customFormat="1">
      <c r="B1313" s="109"/>
      <c r="C1313" s="110"/>
      <c r="D1313" s="109"/>
      <c r="E1313" s="109"/>
      <c r="F1313" s="97"/>
      <c r="G1313" s="109"/>
      <c r="H1313" s="109"/>
      <c r="I1313" s="97"/>
      <c r="J1313" s="97"/>
      <c r="K1313" s="83"/>
      <c r="L1313" s="111"/>
      <c r="M1313" s="111"/>
      <c r="N1313" s="111"/>
      <c r="O1313" s="111"/>
      <c r="P1313" s="111"/>
      <c r="Q1313" s="111"/>
      <c r="R1313" s="111"/>
    </row>
    <row r="1314" spans="2:18" s="108" customFormat="1">
      <c r="B1314" s="109"/>
      <c r="C1314" s="110"/>
      <c r="D1314" s="109"/>
      <c r="E1314" s="109"/>
      <c r="F1314" s="97"/>
      <c r="G1314" s="109"/>
      <c r="H1314" s="109"/>
      <c r="I1314" s="97"/>
      <c r="J1314" s="97"/>
      <c r="K1314" s="83"/>
      <c r="L1314" s="111"/>
      <c r="M1314" s="111"/>
      <c r="N1314" s="111"/>
      <c r="O1314" s="111"/>
      <c r="P1314" s="111"/>
      <c r="Q1314" s="111"/>
      <c r="R1314" s="111"/>
    </row>
    <row r="1315" spans="2:18" s="108" customFormat="1">
      <c r="B1315" s="109"/>
      <c r="C1315" s="110"/>
      <c r="D1315" s="109"/>
      <c r="E1315" s="109"/>
      <c r="F1315" s="97"/>
      <c r="G1315" s="109"/>
      <c r="H1315" s="109"/>
      <c r="I1315" s="97"/>
      <c r="J1315" s="97"/>
      <c r="K1315" s="83"/>
      <c r="L1315" s="111"/>
      <c r="M1315" s="111"/>
      <c r="N1315" s="111"/>
      <c r="O1315" s="111"/>
      <c r="P1315" s="111"/>
      <c r="Q1315" s="111"/>
      <c r="R1315" s="111"/>
    </row>
    <row r="1316" spans="2:18" s="108" customFormat="1">
      <c r="B1316" s="109"/>
      <c r="C1316" s="110"/>
      <c r="D1316" s="109"/>
      <c r="E1316" s="109"/>
      <c r="F1316" s="97"/>
      <c r="G1316" s="109"/>
      <c r="H1316" s="109"/>
      <c r="I1316" s="97"/>
      <c r="J1316" s="97"/>
      <c r="K1316" s="83"/>
      <c r="L1316" s="111"/>
      <c r="M1316" s="111"/>
      <c r="N1316" s="111"/>
      <c r="O1316" s="111"/>
      <c r="P1316" s="111"/>
      <c r="Q1316" s="111"/>
      <c r="R1316" s="111"/>
    </row>
    <row r="1317" spans="2:18" s="108" customFormat="1">
      <c r="B1317" s="109"/>
      <c r="C1317" s="110"/>
      <c r="D1317" s="109"/>
      <c r="E1317" s="109"/>
      <c r="F1317" s="97"/>
      <c r="G1317" s="109"/>
      <c r="H1317" s="109"/>
      <c r="I1317" s="97"/>
      <c r="J1317" s="97"/>
      <c r="K1317" s="83"/>
      <c r="L1317" s="111"/>
      <c r="M1317" s="111"/>
      <c r="N1317" s="111"/>
      <c r="O1317" s="111"/>
      <c r="P1317" s="111"/>
      <c r="Q1317" s="111"/>
      <c r="R1317" s="111"/>
    </row>
    <row r="1318" spans="2:18" s="108" customFormat="1">
      <c r="B1318" s="109"/>
      <c r="C1318" s="110"/>
      <c r="D1318" s="109"/>
      <c r="E1318" s="109"/>
      <c r="F1318" s="97"/>
      <c r="G1318" s="109"/>
      <c r="H1318" s="109"/>
      <c r="I1318" s="97"/>
      <c r="J1318" s="97"/>
      <c r="K1318" s="83"/>
      <c r="L1318" s="111"/>
      <c r="M1318" s="111"/>
      <c r="N1318" s="111"/>
      <c r="O1318" s="111"/>
      <c r="P1318" s="111"/>
      <c r="Q1318" s="111"/>
      <c r="R1318" s="111"/>
    </row>
    <row r="1319" spans="2:18" s="108" customFormat="1">
      <c r="B1319" s="109"/>
      <c r="C1319" s="110"/>
      <c r="D1319" s="109"/>
      <c r="E1319" s="109"/>
      <c r="F1319" s="97"/>
      <c r="G1319" s="109"/>
      <c r="H1319" s="109"/>
      <c r="I1319" s="97"/>
      <c r="J1319" s="97"/>
      <c r="K1319" s="83"/>
      <c r="L1319" s="111"/>
      <c r="M1319" s="111"/>
      <c r="N1319" s="111"/>
      <c r="O1319" s="111"/>
      <c r="P1319" s="111"/>
      <c r="Q1319" s="111"/>
      <c r="R1319" s="111"/>
    </row>
    <row r="1320" spans="2:18" s="108" customFormat="1">
      <c r="B1320" s="109"/>
      <c r="C1320" s="110"/>
      <c r="D1320" s="109"/>
      <c r="E1320" s="109"/>
      <c r="F1320" s="97"/>
      <c r="G1320" s="109"/>
      <c r="H1320" s="109"/>
      <c r="I1320" s="97"/>
      <c r="J1320" s="97"/>
      <c r="K1320" s="83"/>
      <c r="L1320" s="111"/>
      <c r="M1320" s="111"/>
      <c r="N1320" s="111"/>
      <c r="O1320" s="111"/>
      <c r="P1320" s="111"/>
      <c r="Q1320" s="111"/>
      <c r="R1320" s="111"/>
    </row>
    <row r="1321" spans="2:18" s="108" customFormat="1">
      <c r="B1321" s="109"/>
      <c r="C1321" s="110"/>
      <c r="D1321" s="109"/>
      <c r="E1321" s="109"/>
      <c r="F1321" s="97"/>
      <c r="G1321" s="109"/>
      <c r="H1321" s="109"/>
      <c r="I1321" s="97"/>
      <c r="J1321" s="97"/>
      <c r="K1321" s="83"/>
      <c r="L1321" s="111"/>
      <c r="M1321" s="111"/>
      <c r="N1321" s="111"/>
      <c r="O1321" s="111"/>
      <c r="P1321" s="111"/>
      <c r="Q1321" s="111"/>
      <c r="R1321" s="111"/>
    </row>
    <row r="1322" spans="2:18" s="108" customFormat="1">
      <c r="B1322" s="109"/>
      <c r="C1322" s="110"/>
      <c r="D1322" s="109"/>
      <c r="E1322" s="109"/>
      <c r="F1322" s="97"/>
      <c r="G1322" s="109"/>
      <c r="H1322" s="109"/>
      <c r="I1322" s="97"/>
      <c r="J1322" s="97"/>
      <c r="K1322" s="83"/>
      <c r="L1322" s="111"/>
      <c r="M1322" s="111"/>
      <c r="N1322" s="111"/>
      <c r="O1322" s="111"/>
      <c r="P1322" s="111"/>
      <c r="Q1322" s="111"/>
      <c r="R1322" s="111"/>
    </row>
    <row r="1323" spans="2:18" s="108" customFormat="1">
      <c r="B1323" s="109"/>
      <c r="C1323" s="110"/>
      <c r="D1323" s="109"/>
      <c r="E1323" s="109"/>
      <c r="F1323" s="97"/>
      <c r="G1323" s="109"/>
      <c r="H1323" s="109"/>
      <c r="I1323" s="97"/>
      <c r="J1323" s="97"/>
      <c r="K1323" s="83"/>
      <c r="L1323" s="111"/>
      <c r="M1323" s="111"/>
      <c r="N1323" s="111"/>
      <c r="O1323" s="111"/>
      <c r="P1323" s="111"/>
      <c r="Q1323" s="111"/>
      <c r="R1323" s="111"/>
    </row>
    <row r="1324" spans="2:18" s="108" customFormat="1">
      <c r="B1324" s="109"/>
      <c r="C1324" s="110"/>
      <c r="D1324" s="109"/>
      <c r="E1324" s="109"/>
      <c r="F1324" s="97"/>
      <c r="G1324" s="109"/>
      <c r="H1324" s="109"/>
      <c r="I1324" s="97"/>
      <c r="J1324" s="97"/>
      <c r="K1324" s="83"/>
      <c r="L1324" s="111"/>
      <c r="M1324" s="111"/>
      <c r="N1324" s="111"/>
      <c r="O1324" s="111"/>
      <c r="P1324" s="111"/>
      <c r="Q1324" s="111"/>
      <c r="R1324" s="111"/>
    </row>
    <row r="1325" spans="2:18" s="108" customFormat="1">
      <c r="B1325" s="109"/>
      <c r="C1325" s="110"/>
      <c r="D1325" s="109"/>
      <c r="E1325" s="109"/>
      <c r="F1325" s="97"/>
      <c r="G1325" s="109"/>
      <c r="H1325" s="109"/>
      <c r="I1325" s="97"/>
      <c r="J1325" s="97"/>
      <c r="K1325" s="83"/>
      <c r="L1325" s="111"/>
      <c r="M1325" s="111"/>
      <c r="N1325" s="111"/>
      <c r="O1325" s="111"/>
      <c r="P1325" s="111"/>
      <c r="Q1325" s="111"/>
      <c r="R1325" s="111"/>
    </row>
    <row r="1326" spans="2:18" s="108" customFormat="1">
      <c r="B1326" s="109"/>
      <c r="C1326" s="110"/>
      <c r="D1326" s="109"/>
      <c r="E1326" s="109"/>
      <c r="F1326" s="97"/>
      <c r="G1326" s="109"/>
      <c r="H1326" s="109"/>
      <c r="I1326" s="97"/>
      <c r="J1326" s="97"/>
      <c r="K1326" s="83"/>
      <c r="L1326" s="111"/>
      <c r="M1326" s="111"/>
      <c r="N1326" s="111"/>
      <c r="O1326" s="111"/>
      <c r="P1326" s="111"/>
      <c r="Q1326" s="111"/>
      <c r="R1326" s="111"/>
    </row>
    <row r="1327" spans="2:18" s="108" customFormat="1">
      <c r="B1327" s="109"/>
      <c r="C1327" s="110"/>
      <c r="D1327" s="109"/>
      <c r="E1327" s="109"/>
      <c r="F1327" s="97"/>
      <c r="G1327" s="109"/>
      <c r="H1327" s="109"/>
      <c r="I1327" s="97"/>
      <c r="J1327" s="97"/>
      <c r="K1327" s="83"/>
      <c r="L1327" s="111"/>
      <c r="M1327" s="111"/>
      <c r="N1327" s="111"/>
      <c r="O1327" s="111"/>
      <c r="P1327" s="111"/>
      <c r="Q1327" s="111"/>
      <c r="R1327" s="111"/>
    </row>
    <row r="1328" spans="2:18" s="108" customFormat="1">
      <c r="B1328" s="109"/>
      <c r="C1328" s="110"/>
      <c r="D1328" s="109"/>
      <c r="E1328" s="109"/>
      <c r="F1328" s="97"/>
      <c r="G1328" s="109"/>
      <c r="H1328" s="109"/>
      <c r="I1328" s="97"/>
      <c r="J1328" s="97"/>
      <c r="K1328" s="83"/>
      <c r="L1328" s="111"/>
      <c r="M1328" s="111"/>
      <c r="N1328" s="111"/>
      <c r="O1328" s="111"/>
      <c r="P1328" s="111"/>
      <c r="Q1328" s="111"/>
      <c r="R1328" s="111"/>
    </row>
    <row r="1329" spans="2:18" s="108" customFormat="1">
      <c r="B1329" s="109"/>
      <c r="C1329" s="110"/>
      <c r="D1329" s="109"/>
      <c r="E1329" s="109"/>
      <c r="F1329" s="97"/>
      <c r="G1329" s="109"/>
      <c r="H1329" s="109"/>
      <c r="I1329" s="97"/>
      <c r="J1329" s="97"/>
      <c r="K1329" s="83"/>
      <c r="L1329" s="111"/>
      <c r="M1329" s="111"/>
      <c r="N1329" s="111"/>
      <c r="O1329" s="111"/>
      <c r="P1329" s="111"/>
      <c r="Q1329" s="111"/>
      <c r="R1329" s="111"/>
    </row>
    <row r="1330" spans="2:18" s="108" customFormat="1">
      <c r="B1330" s="109"/>
      <c r="C1330" s="110"/>
      <c r="D1330" s="109"/>
      <c r="E1330" s="109"/>
      <c r="F1330" s="97"/>
      <c r="G1330" s="109"/>
      <c r="H1330" s="109"/>
      <c r="I1330" s="97"/>
      <c r="J1330" s="97"/>
      <c r="K1330" s="83"/>
      <c r="L1330" s="111"/>
      <c r="M1330" s="111"/>
      <c r="N1330" s="111"/>
      <c r="O1330" s="111"/>
      <c r="P1330" s="111"/>
      <c r="Q1330" s="111"/>
      <c r="R1330" s="111"/>
    </row>
    <row r="1331" spans="2:18" s="108" customFormat="1">
      <c r="B1331" s="109"/>
      <c r="C1331" s="110"/>
      <c r="D1331" s="109"/>
      <c r="E1331" s="109"/>
      <c r="F1331" s="97"/>
      <c r="G1331" s="109"/>
      <c r="H1331" s="109"/>
      <c r="I1331" s="97"/>
      <c r="J1331" s="97"/>
      <c r="K1331" s="83"/>
      <c r="L1331" s="111"/>
      <c r="M1331" s="111"/>
      <c r="N1331" s="111"/>
      <c r="O1331" s="111"/>
      <c r="P1331" s="111"/>
      <c r="Q1331" s="111"/>
      <c r="R1331" s="111"/>
    </row>
    <row r="1332" spans="2:18" s="108" customFormat="1">
      <c r="B1332" s="109"/>
      <c r="C1332" s="110"/>
      <c r="D1332" s="109"/>
      <c r="E1332" s="109"/>
      <c r="F1332" s="97"/>
      <c r="G1332" s="109"/>
      <c r="H1332" s="109"/>
      <c r="I1332" s="97"/>
      <c r="J1332" s="97"/>
      <c r="K1332" s="83"/>
      <c r="L1332" s="111"/>
      <c r="M1332" s="111"/>
      <c r="N1332" s="111"/>
      <c r="O1332" s="111"/>
      <c r="P1332" s="111"/>
      <c r="Q1332" s="111"/>
      <c r="R1332" s="111"/>
    </row>
    <row r="1333" spans="2:18" s="108" customFormat="1">
      <c r="B1333" s="109"/>
      <c r="C1333" s="110"/>
      <c r="D1333" s="109"/>
      <c r="E1333" s="109"/>
      <c r="F1333" s="97"/>
      <c r="G1333" s="109"/>
      <c r="H1333" s="109"/>
      <c r="I1333" s="97"/>
      <c r="J1333" s="97"/>
      <c r="K1333" s="83"/>
      <c r="L1333" s="111"/>
      <c r="M1333" s="111"/>
      <c r="N1333" s="111"/>
      <c r="O1333" s="111"/>
      <c r="P1333" s="111"/>
      <c r="Q1333" s="111"/>
      <c r="R1333" s="111"/>
    </row>
    <row r="1334" spans="2:18" s="108" customFormat="1">
      <c r="B1334" s="109"/>
      <c r="C1334" s="110"/>
      <c r="D1334" s="109"/>
      <c r="E1334" s="109"/>
      <c r="F1334" s="97"/>
      <c r="G1334" s="109"/>
      <c r="H1334" s="109"/>
      <c r="I1334" s="97"/>
      <c r="J1334" s="97"/>
      <c r="K1334" s="83"/>
      <c r="L1334" s="111"/>
      <c r="M1334" s="111"/>
      <c r="N1334" s="111"/>
      <c r="O1334" s="111"/>
      <c r="P1334" s="111"/>
      <c r="Q1334" s="111"/>
      <c r="R1334" s="111"/>
    </row>
    <row r="1335" spans="2:18" s="108" customFormat="1">
      <c r="B1335" s="109"/>
      <c r="C1335" s="110"/>
      <c r="D1335" s="109"/>
      <c r="E1335" s="109"/>
      <c r="F1335" s="97"/>
      <c r="G1335" s="109"/>
      <c r="H1335" s="109"/>
      <c r="I1335" s="97"/>
      <c r="J1335" s="97"/>
      <c r="K1335" s="83"/>
      <c r="L1335" s="111"/>
      <c r="M1335" s="111"/>
      <c r="N1335" s="111"/>
      <c r="O1335" s="111"/>
      <c r="P1335" s="111"/>
      <c r="Q1335" s="111"/>
      <c r="R1335" s="111"/>
    </row>
    <row r="1336" spans="2:18" s="108" customFormat="1">
      <c r="B1336" s="109"/>
      <c r="C1336" s="110"/>
      <c r="D1336" s="109"/>
      <c r="E1336" s="109"/>
      <c r="F1336" s="97"/>
      <c r="G1336" s="109"/>
      <c r="H1336" s="109"/>
      <c r="I1336" s="97"/>
      <c r="J1336" s="97"/>
      <c r="K1336" s="83"/>
      <c r="L1336" s="111"/>
      <c r="M1336" s="111"/>
      <c r="N1336" s="111"/>
      <c r="O1336" s="111"/>
      <c r="P1336" s="111"/>
      <c r="Q1336" s="111"/>
      <c r="R1336" s="111"/>
    </row>
    <row r="1337" spans="2:18" s="108" customFormat="1">
      <c r="B1337" s="109"/>
      <c r="C1337" s="110"/>
      <c r="D1337" s="109"/>
      <c r="E1337" s="109"/>
      <c r="F1337" s="97"/>
      <c r="G1337" s="109"/>
      <c r="H1337" s="109"/>
      <c r="I1337" s="97"/>
      <c r="J1337" s="97"/>
      <c r="K1337" s="83"/>
      <c r="L1337" s="111"/>
      <c r="M1337" s="111"/>
      <c r="N1337" s="111"/>
      <c r="O1337" s="111"/>
      <c r="P1337" s="111"/>
      <c r="Q1337" s="111"/>
      <c r="R1337" s="111"/>
    </row>
    <row r="1338" spans="2:18" s="108" customFormat="1">
      <c r="B1338" s="109"/>
      <c r="C1338" s="110"/>
      <c r="D1338" s="109"/>
      <c r="E1338" s="109"/>
      <c r="F1338" s="97"/>
      <c r="G1338" s="109"/>
      <c r="H1338" s="109"/>
      <c r="I1338" s="97"/>
      <c r="J1338" s="97"/>
      <c r="K1338" s="83"/>
      <c r="L1338" s="111"/>
      <c r="M1338" s="111"/>
      <c r="N1338" s="111"/>
      <c r="O1338" s="111"/>
      <c r="P1338" s="111"/>
      <c r="Q1338" s="111"/>
      <c r="R1338" s="111"/>
    </row>
    <row r="1339" spans="2:18" s="108" customFormat="1">
      <c r="B1339" s="109"/>
      <c r="C1339" s="110"/>
      <c r="D1339" s="109"/>
      <c r="E1339" s="109"/>
      <c r="F1339" s="97"/>
      <c r="G1339" s="109"/>
      <c r="H1339" s="109"/>
      <c r="I1339" s="97"/>
      <c r="J1339" s="97"/>
      <c r="K1339" s="83"/>
      <c r="L1339" s="111"/>
      <c r="M1339" s="111"/>
      <c r="N1339" s="111"/>
      <c r="O1339" s="111"/>
      <c r="P1339" s="111"/>
      <c r="Q1339" s="111"/>
      <c r="R1339" s="111"/>
    </row>
    <row r="1340" spans="2:18" s="108" customFormat="1">
      <c r="B1340" s="109"/>
      <c r="C1340" s="110"/>
      <c r="D1340" s="109"/>
      <c r="E1340" s="109"/>
      <c r="F1340" s="97"/>
      <c r="G1340" s="109"/>
      <c r="H1340" s="109"/>
      <c r="I1340" s="97"/>
      <c r="J1340" s="97"/>
      <c r="K1340" s="83"/>
      <c r="L1340" s="111"/>
      <c r="M1340" s="111"/>
      <c r="N1340" s="111"/>
      <c r="O1340" s="111"/>
      <c r="P1340" s="111"/>
      <c r="Q1340" s="111"/>
      <c r="R1340" s="111"/>
    </row>
    <row r="1341" spans="2:18" s="108" customFormat="1">
      <c r="B1341" s="109"/>
      <c r="C1341" s="110"/>
      <c r="D1341" s="109"/>
      <c r="E1341" s="109"/>
      <c r="F1341" s="97"/>
      <c r="G1341" s="109"/>
      <c r="H1341" s="109"/>
      <c r="I1341" s="97"/>
      <c r="J1341" s="97"/>
      <c r="K1341" s="83"/>
      <c r="L1341" s="111"/>
      <c r="M1341" s="111"/>
      <c r="N1341" s="111"/>
      <c r="O1341" s="111"/>
      <c r="P1341" s="111"/>
      <c r="Q1341" s="111"/>
      <c r="R1341" s="111"/>
    </row>
    <row r="1342" spans="2:18" s="108" customFormat="1">
      <c r="B1342" s="109"/>
      <c r="C1342" s="110"/>
      <c r="D1342" s="109"/>
      <c r="E1342" s="109"/>
      <c r="F1342" s="97"/>
      <c r="G1342" s="109"/>
      <c r="H1342" s="109"/>
      <c r="I1342" s="97"/>
      <c r="J1342" s="97"/>
      <c r="K1342" s="83"/>
      <c r="L1342" s="111"/>
      <c r="M1342" s="111"/>
      <c r="N1342" s="111"/>
      <c r="O1342" s="111"/>
      <c r="P1342" s="111"/>
      <c r="Q1342" s="111"/>
      <c r="R1342" s="111"/>
    </row>
    <row r="1343" spans="2:18" s="108" customFormat="1">
      <c r="B1343" s="109"/>
      <c r="C1343" s="110"/>
      <c r="D1343" s="109"/>
      <c r="E1343" s="109"/>
      <c r="F1343" s="97"/>
      <c r="G1343" s="109"/>
      <c r="H1343" s="109"/>
      <c r="I1343" s="97"/>
      <c r="J1343" s="97"/>
      <c r="K1343" s="83"/>
      <c r="L1343" s="111"/>
      <c r="M1343" s="111"/>
      <c r="N1343" s="111"/>
      <c r="O1343" s="111"/>
      <c r="P1343" s="111"/>
      <c r="Q1343" s="111"/>
      <c r="R1343" s="111"/>
    </row>
    <row r="1344" spans="2:18" s="108" customFormat="1">
      <c r="B1344" s="109"/>
      <c r="C1344" s="110"/>
      <c r="D1344" s="109"/>
      <c r="E1344" s="109"/>
      <c r="F1344" s="97"/>
      <c r="G1344" s="109"/>
      <c r="H1344" s="109"/>
      <c r="I1344" s="97"/>
      <c r="J1344" s="97"/>
      <c r="K1344" s="83"/>
      <c r="L1344" s="111"/>
      <c r="M1344" s="111"/>
      <c r="N1344" s="111"/>
      <c r="O1344" s="111"/>
      <c r="P1344" s="111"/>
      <c r="Q1344" s="111"/>
      <c r="R1344" s="111"/>
    </row>
    <row r="1345" spans="2:18" s="108" customFormat="1">
      <c r="B1345" s="109"/>
      <c r="C1345" s="110"/>
      <c r="D1345" s="109"/>
      <c r="E1345" s="109"/>
      <c r="F1345" s="97"/>
      <c r="G1345" s="109"/>
      <c r="H1345" s="109"/>
      <c r="I1345" s="97"/>
      <c r="J1345" s="97"/>
      <c r="K1345" s="83"/>
      <c r="L1345" s="111"/>
      <c r="M1345" s="111"/>
      <c r="N1345" s="111"/>
      <c r="O1345" s="111"/>
      <c r="P1345" s="111"/>
      <c r="Q1345" s="111"/>
      <c r="R1345" s="111"/>
    </row>
    <row r="1346" spans="2:18" s="108" customFormat="1">
      <c r="B1346" s="109"/>
      <c r="C1346" s="110"/>
      <c r="D1346" s="109"/>
      <c r="E1346" s="109"/>
      <c r="F1346" s="97"/>
      <c r="G1346" s="109"/>
      <c r="H1346" s="109"/>
      <c r="I1346" s="97"/>
      <c r="J1346" s="97"/>
      <c r="K1346" s="83"/>
      <c r="L1346" s="111"/>
      <c r="M1346" s="111"/>
      <c r="N1346" s="111"/>
      <c r="O1346" s="111"/>
      <c r="P1346" s="111"/>
      <c r="Q1346" s="111"/>
      <c r="R1346" s="111"/>
    </row>
    <row r="1347" spans="2:18" s="108" customFormat="1">
      <c r="B1347" s="109"/>
      <c r="C1347" s="110"/>
      <c r="D1347" s="109"/>
      <c r="E1347" s="109"/>
      <c r="F1347" s="97"/>
      <c r="G1347" s="109"/>
      <c r="H1347" s="109"/>
      <c r="I1347" s="97"/>
      <c r="J1347" s="97"/>
      <c r="K1347" s="83"/>
      <c r="L1347" s="111"/>
      <c r="M1347" s="111"/>
      <c r="N1347" s="111"/>
      <c r="O1347" s="111"/>
      <c r="P1347" s="111"/>
      <c r="Q1347" s="111"/>
      <c r="R1347" s="111"/>
    </row>
    <row r="1348" spans="2:18" s="108" customFormat="1">
      <c r="B1348" s="109"/>
      <c r="C1348" s="110"/>
      <c r="D1348" s="109"/>
      <c r="E1348" s="109"/>
      <c r="F1348" s="97"/>
      <c r="G1348" s="109"/>
      <c r="H1348" s="109"/>
      <c r="I1348" s="97"/>
      <c r="J1348" s="97"/>
      <c r="K1348" s="83"/>
      <c r="L1348" s="111"/>
      <c r="M1348" s="111"/>
      <c r="N1348" s="111"/>
      <c r="O1348" s="111"/>
      <c r="P1348" s="111"/>
      <c r="Q1348" s="111"/>
      <c r="R1348" s="111"/>
    </row>
    <row r="1349" spans="2:18" s="108" customFormat="1">
      <c r="B1349" s="109"/>
      <c r="C1349" s="110"/>
      <c r="D1349" s="109"/>
      <c r="E1349" s="109"/>
      <c r="F1349" s="97"/>
      <c r="G1349" s="109"/>
      <c r="H1349" s="109"/>
      <c r="I1349" s="97"/>
      <c r="J1349" s="97"/>
      <c r="K1349" s="83"/>
      <c r="L1349" s="111"/>
      <c r="M1349" s="111"/>
      <c r="N1349" s="111"/>
      <c r="O1349" s="111"/>
      <c r="P1349" s="111"/>
      <c r="Q1349" s="111"/>
      <c r="R1349" s="111"/>
    </row>
    <row r="1350" spans="2:18" s="108" customFormat="1">
      <c r="B1350" s="109"/>
      <c r="C1350" s="110"/>
      <c r="D1350" s="109"/>
      <c r="E1350" s="109"/>
      <c r="F1350" s="97"/>
      <c r="G1350" s="109"/>
      <c r="H1350" s="109"/>
      <c r="I1350" s="97"/>
      <c r="J1350" s="97"/>
      <c r="K1350" s="83"/>
      <c r="L1350" s="111"/>
      <c r="M1350" s="111"/>
      <c r="N1350" s="111"/>
      <c r="O1350" s="111"/>
      <c r="P1350" s="111"/>
      <c r="Q1350" s="111"/>
      <c r="R1350" s="111"/>
    </row>
    <row r="1351" spans="2:18" s="108" customFormat="1">
      <c r="B1351" s="109"/>
      <c r="C1351" s="110"/>
      <c r="D1351" s="109"/>
      <c r="E1351" s="109"/>
      <c r="F1351" s="97"/>
      <c r="G1351" s="109"/>
      <c r="H1351" s="109"/>
      <c r="I1351" s="97"/>
      <c r="J1351" s="97"/>
      <c r="K1351" s="83"/>
      <c r="L1351" s="111"/>
      <c r="M1351" s="111"/>
      <c r="N1351" s="111"/>
      <c r="O1351" s="111"/>
      <c r="P1351" s="111"/>
      <c r="Q1351" s="111"/>
      <c r="R1351" s="111"/>
    </row>
    <row r="1352" spans="2:18" s="108" customFormat="1">
      <c r="B1352" s="109"/>
      <c r="C1352" s="110"/>
      <c r="D1352" s="109"/>
      <c r="E1352" s="109"/>
      <c r="F1352" s="97"/>
      <c r="G1352" s="109"/>
      <c r="H1352" s="109"/>
      <c r="I1352" s="97"/>
      <c r="J1352" s="97"/>
      <c r="K1352" s="83"/>
      <c r="L1352" s="111"/>
      <c r="M1352" s="111"/>
      <c r="N1352" s="111"/>
      <c r="O1352" s="111"/>
      <c r="P1352" s="111"/>
      <c r="Q1352" s="111"/>
      <c r="R1352" s="111"/>
    </row>
    <row r="1353" spans="2:18" s="108" customFormat="1">
      <c r="B1353" s="109"/>
      <c r="C1353" s="110"/>
      <c r="D1353" s="109"/>
      <c r="E1353" s="109"/>
      <c r="F1353" s="97"/>
      <c r="G1353" s="109"/>
      <c r="H1353" s="109"/>
      <c r="I1353" s="97"/>
      <c r="J1353" s="97"/>
      <c r="K1353" s="83"/>
      <c r="L1353" s="111"/>
      <c r="M1353" s="111"/>
      <c r="N1353" s="111"/>
      <c r="O1353" s="111"/>
      <c r="P1353" s="111"/>
      <c r="Q1353" s="111"/>
      <c r="R1353" s="111"/>
    </row>
    <row r="1354" spans="2:18" s="108" customFormat="1">
      <c r="B1354" s="109"/>
      <c r="C1354" s="110"/>
      <c r="D1354" s="109"/>
      <c r="E1354" s="109"/>
      <c r="F1354" s="97"/>
      <c r="G1354" s="109"/>
      <c r="H1354" s="109"/>
      <c r="I1354" s="97"/>
      <c r="J1354" s="97"/>
      <c r="K1354" s="83"/>
      <c r="L1354" s="111"/>
      <c r="M1354" s="111"/>
      <c r="N1354" s="111"/>
      <c r="O1354" s="111"/>
      <c r="P1354" s="111"/>
      <c r="Q1354" s="111"/>
      <c r="R1354" s="111"/>
    </row>
    <row r="1355" spans="2:18" s="108" customFormat="1">
      <c r="B1355" s="109"/>
      <c r="C1355" s="110"/>
      <c r="D1355" s="109"/>
      <c r="E1355" s="109"/>
      <c r="F1355" s="97"/>
      <c r="G1355" s="109"/>
      <c r="H1355" s="109"/>
      <c r="I1355" s="97"/>
      <c r="J1355" s="97"/>
      <c r="K1355" s="83"/>
      <c r="L1355" s="111"/>
      <c r="M1355" s="111"/>
      <c r="N1355" s="111"/>
      <c r="O1355" s="111"/>
      <c r="P1355" s="111"/>
      <c r="Q1355" s="111"/>
      <c r="R1355" s="111"/>
    </row>
    <row r="1356" spans="2:18" s="108" customFormat="1">
      <c r="B1356" s="109"/>
      <c r="C1356" s="110"/>
      <c r="D1356" s="109"/>
      <c r="E1356" s="109"/>
      <c r="F1356" s="97"/>
      <c r="G1356" s="109"/>
      <c r="H1356" s="109"/>
      <c r="I1356" s="97"/>
      <c r="J1356" s="97"/>
      <c r="K1356" s="83"/>
      <c r="L1356" s="111"/>
      <c r="M1356" s="111"/>
      <c r="N1356" s="111"/>
      <c r="O1356" s="111"/>
      <c r="P1356" s="111"/>
      <c r="Q1356" s="111"/>
      <c r="R1356" s="111"/>
    </row>
    <row r="1357" spans="2:18" s="108" customFormat="1">
      <c r="B1357" s="109"/>
      <c r="C1357" s="110"/>
      <c r="D1357" s="109"/>
      <c r="E1357" s="109"/>
      <c r="F1357" s="97"/>
      <c r="G1357" s="109"/>
      <c r="H1357" s="109"/>
      <c r="I1357" s="97"/>
      <c r="J1357" s="97"/>
      <c r="K1357" s="83"/>
      <c r="L1357" s="111"/>
      <c r="M1357" s="111"/>
      <c r="N1357" s="111"/>
      <c r="O1357" s="111"/>
      <c r="P1357" s="111"/>
      <c r="Q1357" s="111"/>
      <c r="R1357" s="111"/>
    </row>
    <row r="1358" spans="2:18" s="108" customFormat="1">
      <c r="B1358" s="109"/>
      <c r="C1358" s="110"/>
      <c r="D1358" s="109"/>
      <c r="E1358" s="109"/>
      <c r="F1358" s="97"/>
      <c r="G1358" s="109"/>
      <c r="H1358" s="109"/>
      <c r="I1358" s="97"/>
      <c r="J1358" s="97"/>
      <c r="K1358" s="83"/>
      <c r="L1358" s="111"/>
      <c r="M1358" s="111"/>
      <c r="N1358" s="111"/>
      <c r="O1358" s="111"/>
      <c r="P1358" s="111"/>
      <c r="Q1358" s="111"/>
      <c r="R1358" s="111"/>
    </row>
    <row r="1359" spans="2:18" s="108" customFormat="1">
      <c r="B1359" s="109"/>
      <c r="C1359" s="110"/>
      <c r="D1359" s="109"/>
      <c r="E1359" s="109"/>
      <c r="F1359" s="97"/>
      <c r="G1359" s="109"/>
      <c r="H1359" s="109"/>
      <c r="I1359" s="97"/>
      <c r="J1359" s="97"/>
      <c r="K1359" s="83"/>
      <c r="L1359" s="111"/>
      <c r="M1359" s="111"/>
      <c r="N1359" s="111"/>
      <c r="O1359" s="111"/>
      <c r="P1359" s="111"/>
      <c r="Q1359" s="111"/>
      <c r="R1359" s="111"/>
    </row>
    <row r="1360" spans="2:18" s="108" customFormat="1">
      <c r="B1360" s="109"/>
      <c r="C1360" s="110"/>
      <c r="D1360" s="109"/>
      <c r="E1360" s="109"/>
      <c r="F1360" s="97"/>
      <c r="G1360" s="109"/>
      <c r="H1360" s="109"/>
      <c r="I1360" s="97"/>
      <c r="J1360" s="97"/>
      <c r="K1360" s="83"/>
      <c r="L1360" s="111"/>
      <c r="M1360" s="111"/>
      <c r="N1360" s="111"/>
      <c r="O1360" s="111"/>
      <c r="P1360" s="111"/>
      <c r="Q1360" s="111"/>
      <c r="R1360" s="111"/>
    </row>
    <row r="1361" spans="2:18" s="108" customFormat="1">
      <c r="B1361" s="109"/>
      <c r="C1361" s="110"/>
      <c r="D1361" s="109"/>
      <c r="E1361" s="109"/>
      <c r="F1361" s="97"/>
      <c r="G1361" s="109"/>
      <c r="H1361" s="109"/>
      <c r="I1361" s="97"/>
      <c r="J1361" s="97"/>
      <c r="K1361" s="83"/>
      <c r="L1361" s="111"/>
      <c r="M1361" s="111"/>
      <c r="N1361" s="111"/>
      <c r="O1361" s="111"/>
      <c r="P1361" s="111"/>
      <c r="Q1361" s="111"/>
      <c r="R1361" s="111"/>
    </row>
    <row r="1362" spans="2:18" s="108" customFormat="1">
      <c r="B1362" s="109"/>
      <c r="C1362" s="110"/>
      <c r="D1362" s="109"/>
      <c r="E1362" s="109"/>
      <c r="F1362" s="97"/>
      <c r="G1362" s="109"/>
      <c r="H1362" s="109"/>
      <c r="I1362" s="97"/>
      <c r="J1362" s="97"/>
      <c r="K1362" s="83"/>
      <c r="L1362" s="111"/>
      <c r="M1362" s="111"/>
      <c r="N1362" s="111"/>
      <c r="O1362" s="111"/>
      <c r="P1362" s="111"/>
      <c r="Q1362" s="111"/>
      <c r="R1362" s="111"/>
    </row>
    <row r="1363" spans="2:18" s="108" customFormat="1">
      <c r="B1363" s="109"/>
      <c r="C1363" s="110"/>
      <c r="D1363" s="109"/>
      <c r="E1363" s="109"/>
      <c r="F1363" s="97"/>
      <c r="G1363" s="109"/>
      <c r="H1363" s="109"/>
      <c r="I1363" s="97"/>
      <c r="J1363" s="97"/>
      <c r="K1363" s="83"/>
      <c r="L1363" s="111"/>
      <c r="M1363" s="111"/>
      <c r="N1363" s="111"/>
      <c r="O1363" s="111"/>
      <c r="P1363" s="111"/>
      <c r="Q1363" s="111"/>
      <c r="R1363" s="111"/>
    </row>
    <row r="1364" spans="2:18" s="108" customFormat="1">
      <c r="B1364" s="109"/>
      <c r="C1364" s="110"/>
      <c r="D1364" s="109"/>
      <c r="E1364" s="109"/>
      <c r="F1364" s="97"/>
      <c r="G1364" s="109"/>
      <c r="H1364" s="109"/>
      <c r="I1364" s="97"/>
      <c r="J1364" s="97"/>
      <c r="K1364" s="83"/>
      <c r="L1364" s="111"/>
      <c r="M1364" s="111"/>
      <c r="N1364" s="111"/>
      <c r="O1364" s="111"/>
      <c r="P1364" s="111"/>
      <c r="Q1364" s="111"/>
      <c r="R1364" s="111"/>
    </row>
    <row r="1365" spans="2:18" s="108" customFormat="1">
      <c r="B1365" s="109"/>
      <c r="C1365" s="110"/>
      <c r="D1365" s="109"/>
      <c r="E1365" s="109"/>
      <c r="F1365" s="97"/>
      <c r="G1365" s="109"/>
      <c r="H1365" s="109"/>
      <c r="I1365" s="97"/>
      <c r="J1365" s="97"/>
      <c r="K1365" s="83"/>
      <c r="L1365" s="111"/>
      <c r="M1365" s="111"/>
      <c r="N1365" s="111"/>
      <c r="O1365" s="111"/>
      <c r="P1365" s="111"/>
      <c r="Q1365" s="111"/>
      <c r="R1365" s="111"/>
    </row>
    <row r="1366" spans="2:18" s="108" customFormat="1">
      <c r="B1366" s="109"/>
      <c r="C1366" s="110"/>
      <c r="D1366" s="109"/>
      <c r="E1366" s="109"/>
      <c r="F1366" s="97"/>
      <c r="G1366" s="109"/>
      <c r="H1366" s="109"/>
      <c r="I1366" s="97"/>
      <c r="J1366" s="97"/>
      <c r="K1366" s="83"/>
      <c r="L1366" s="111"/>
      <c r="M1366" s="111"/>
      <c r="N1366" s="111"/>
      <c r="O1366" s="111"/>
      <c r="P1366" s="111"/>
      <c r="Q1366" s="111"/>
      <c r="R1366" s="111"/>
    </row>
    <row r="1367" spans="2:18" s="108" customFormat="1">
      <c r="B1367" s="109"/>
      <c r="C1367" s="110"/>
      <c r="D1367" s="109"/>
      <c r="E1367" s="109"/>
      <c r="F1367" s="97"/>
      <c r="G1367" s="109"/>
      <c r="H1367" s="109"/>
      <c r="I1367" s="97"/>
      <c r="J1367" s="97"/>
      <c r="K1367" s="83"/>
      <c r="L1367" s="111"/>
      <c r="M1367" s="111"/>
      <c r="N1367" s="111"/>
      <c r="O1367" s="111"/>
      <c r="P1367" s="111"/>
      <c r="Q1367" s="111"/>
      <c r="R1367" s="111"/>
    </row>
    <row r="1368" spans="2:18" s="108" customFormat="1">
      <c r="B1368" s="109"/>
      <c r="C1368" s="110"/>
      <c r="D1368" s="109"/>
      <c r="E1368" s="109"/>
      <c r="F1368" s="97"/>
      <c r="G1368" s="109"/>
      <c r="H1368" s="109"/>
      <c r="I1368" s="97"/>
      <c r="J1368" s="97"/>
      <c r="K1368" s="83"/>
      <c r="L1368" s="111"/>
      <c r="M1368" s="111"/>
      <c r="N1368" s="111"/>
      <c r="O1368" s="111"/>
      <c r="P1368" s="111"/>
      <c r="Q1368" s="111"/>
      <c r="R1368" s="111"/>
    </row>
    <row r="1369" spans="2:18" s="108" customFormat="1">
      <c r="B1369" s="109"/>
      <c r="C1369" s="110"/>
      <c r="D1369" s="109"/>
      <c r="E1369" s="109"/>
      <c r="F1369" s="97"/>
      <c r="G1369" s="109"/>
      <c r="H1369" s="109"/>
      <c r="I1369" s="97"/>
      <c r="J1369" s="97"/>
      <c r="K1369" s="83"/>
      <c r="L1369" s="111"/>
      <c r="M1369" s="111"/>
      <c r="N1369" s="111"/>
      <c r="O1369" s="111"/>
      <c r="P1369" s="111"/>
      <c r="Q1369" s="111"/>
      <c r="R1369" s="111"/>
    </row>
    <row r="1370" spans="2:18" s="108" customFormat="1">
      <c r="B1370" s="109"/>
      <c r="C1370" s="110"/>
      <c r="D1370" s="109"/>
      <c r="E1370" s="109"/>
      <c r="F1370" s="97"/>
      <c r="G1370" s="109"/>
      <c r="H1370" s="109"/>
      <c r="I1370" s="97"/>
      <c r="J1370" s="97"/>
      <c r="K1370" s="83"/>
      <c r="L1370" s="111"/>
      <c r="M1370" s="111"/>
      <c r="N1370" s="111"/>
      <c r="O1370" s="111"/>
      <c r="P1370" s="111"/>
      <c r="Q1370" s="111"/>
      <c r="R1370" s="111"/>
    </row>
    <row r="1371" spans="2:18" s="108" customFormat="1">
      <c r="B1371" s="109"/>
      <c r="C1371" s="110"/>
      <c r="D1371" s="109"/>
      <c r="E1371" s="109"/>
      <c r="F1371" s="97"/>
      <c r="G1371" s="109"/>
      <c r="H1371" s="109"/>
      <c r="I1371" s="97"/>
      <c r="J1371" s="97"/>
      <c r="K1371" s="83"/>
      <c r="L1371" s="111"/>
      <c r="M1371" s="111"/>
      <c r="N1371" s="111"/>
      <c r="O1371" s="111"/>
      <c r="P1371" s="111"/>
      <c r="Q1371" s="111"/>
      <c r="R1371" s="111"/>
    </row>
    <row r="1372" spans="2:18" s="108" customFormat="1">
      <c r="B1372" s="109"/>
      <c r="C1372" s="110"/>
      <c r="D1372" s="109"/>
      <c r="E1372" s="109"/>
      <c r="F1372" s="97"/>
      <c r="G1372" s="109"/>
      <c r="H1372" s="109"/>
      <c r="I1372" s="97"/>
      <c r="J1372" s="97"/>
      <c r="K1372" s="83"/>
      <c r="L1372" s="111"/>
      <c r="M1372" s="111"/>
      <c r="N1372" s="111"/>
      <c r="O1372" s="111"/>
      <c r="P1372" s="111"/>
      <c r="Q1372" s="111"/>
      <c r="R1372" s="111"/>
    </row>
    <row r="1373" spans="2:18" s="108" customFormat="1">
      <c r="B1373" s="109"/>
      <c r="C1373" s="110"/>
      <c r="D1373" s="109"/>
      <c r="E1373" s="109"/>
      <c r="F1373" s="97"/>
      <c r="G1373" s="109"/>
      <c r="H1373" s="109"/>
      <c r="I1373" s="97"/>
      <c r="J1373" s="97"/>
      <c r="K1373" s="83"/>
      <c r="L1373" s="111"/>
      <c r="M1373" s="111"/>
      <c r="N1373" s="111"/>
      <c r="O1373" s="111"/>
      <c r="P1373" s="111"/>
      <c r="Q1373" s="111"/>
      <c r="R1373" s="111"/>
    </row>
    <row r="1374" spans="2:18" s="108" customFormat="1">
      <c r="B1374" s="109"/>
      <c r="C1374" s="110"/>
      <c r="D1374" s="109"/>
      <c r="E1374" s="109"/>
      <c r="F1374" s="97"/>
      <c r="G1374" s="109"/>
      <c r="H1374" s="109"/>
      <c r="I1374" s="97"/>
      <c r="J1374" s="97"/>
      <c r="K1374" s="83"/>
      <c r="L1374" s="111"/>
      <c r="M1374" s="111"/>
      <c r="N1374" s="111"/>
      <c r="O1374" s="111"/>
      <c r="P1374" s="111"/>
      <c r="Q1374" s="111"/>
      <c r="R1374" s="111"/>
    </row>
    <row r="1375" spans="2:18" s="108" customFormat="1">
      <c r="B1375" s="109"/>
      <c r="C1375" s="110"/>
      <c r="D1375" s="109"/>
      <c r="E1375" s="109"/>
      <c r="F1375" s="97"/>
      <c r="G1375" s="109"/>
      <c r="H1375" s="109"/>
      <c r="I1375" s="97"/>
      <c r="J1375" s="97"/>
      <c r="K1375" s="83"/>
      <c r="L1375" s="111"/>
      <c r="M1375" s="111"/>
      <c r="N1375" s="111"/>
      <c r="O1375" s="111"/>
      <c r="P1375" s="111"/>
      <c r="Q1375" s="111"/>
      <c r="R1375" s="111"/>
    </row>
    <row r="1376" spans="2:18" s="108" customFormat="1">
      <c r="B1376" s="109"/>
      <c r="C1376" s="110"/>
      <c r="D1376" s="109"/>
      <c r="E1376" s="109"/>
      <c r="F1376" s="97"/>
      <c r="G1376" s="109"/>
      <c r="H1376" s="109"/>
      <c r="I1376" s="97"/>
      <c r="J1376" s="97"/>
      <c r="K1376" s="83"/>
      <c r="L1376" s="111"/>
      <c r="M1376" s="111"/>
      <c r="N1376" s="111"/>
      <c r="O1376" s="111"/>
      <c r="P1376" s="111"/>
      <c r="Q1376" s="111"/>
      <c r="R1376" s="111"/>
    </row>
    <row r="1377" spans="2:18" s="108" customFormat="1">
      <c r="B1377" s="109"/>
      <c r="C1377" s="110"/>
      <c r="D1377" s="109"/>
      <c r="E1377" s="109"/>
      <c r="F1377" s="97"/>
      <c r="G1377" s="109"/>
      <c r="H1377" s="109"/>
      <c r="I1377" s="97"/>
      <c r="J1377" s="97"/>
      <c r="K1377" s="83"/>
      <c r="L1377" s="111"/>
      <c r="M1377" s="111"/>
      <c r="N1377" s="111"/>
      <c r="O1377" s="111"/>
      <c r="P1377" s="111"/>
      <c r="Q1377" s="111"/>
      <c r="R1377" s="111"/>
    </row>
    <row r="1378" spans="2:18" s="108" customFormat="1">
      <c r="B1378" s="109"/>
      <c r="C1378" s="110"/>
      <c r="D1378" s="109"/>
      <c r="E1378" s="109"/>
      <c r="F1378" s="97"/>
      <c r="G1378" s="109"/>
      <c r="H1378" s="109"/>
      <c r="I1378" s="97"/>
      <c r="J1378" s="97"/>
      <c r="K1378" s="83"/>
      <c r="L1378" s="111"/>
      <c r="M1378" s="111"/>
      <c r="N1378" s="111"/>
      <c r="O1378" s="111"/>
      <c r="P1378" s="111"/>
      <c r="Q1378" s="111"/>
      <c r="R1378" s="111"/>
    </row>
    <row r="1379" spans="2:18" s="108" customFormat="1">
      <c r="B1379" s="109"/>
      <c r="C1379" s="110"/>
      <c r="D1379" s="109"/>
      <c r="E1379" s="109"/>
      <c r="F1379" s="97"/>
      <c r="G1379" s="109"/>
      <c r="H1379" s="109"/>
      <c r="I1379" s="97"/>
      <c r="J1379" s="97"/>
      <c r="K1379" s="83"/>
      <c r="L1379" s="111"/>
      <c r="M1379" s="111"/>
      <c r="N1379" s="111"/>
      <c r="O1379" s="111"/>
      <c r="P1379" s="111"/>
      <c r="Q1379" s="111"/>
      <c r="R1379" s="111"/>
    </row>
    <row r="1380" spans="2:18" s="108" customFormat="1">
      <c r="B1380" s="109"/>
      <c r="C1380" s="110"/>
      <c r="D1380" s="109"/>
      <c r="E1380" s="109"/>
      <c r="F1380" s="97"/>
      <c r="G1380" s="109"/>
      <c r="H1380" s="109"/>
      <c r="I1380" s="97"/>
      <c r="J1380" s="97"/>
      <c r="K1380" s="83"/>
      <c r="L1380" s="111"/>
      <c r="M1380" s="111"/>
      <c r="N1380" s="111"/>
      <c r="O1380" s="111"/>
      <c r="P1380" s="111"/>
      <c r="Q1380" s="111"/>
      <c r="R1380" s="111"/>
    </row>
    <row r="1381" spans="2:18" s="108" customFormat="1">
      <c r="B1381" s="109"/>
      <c r="C1381" s="110"/>
      <c r="D1381" s="109"/>
      <c r="E1381" s="109"/>
      <c r="F1381" s="97"/>
      <c r="G1381" s="109"/>
      <c r="H1381" s="109"/>
      <c r="I1381" s="97"/>
      <c r="J1381" s="97"/>
      <c r="K1381" s="83"/>
      <c r="L1381" s="111"/>
      <c r="M1381" s="111"/>
      <c r="N1381" s="111"/>
      <c r="O1381" s="111"/>
      <c r="P1381" s="111"/>
      <c r="Q1381" s="111"/>
      <c r="R1381" s="111"/>
    </row>
    <row r="1382" spans="2:18" s="108" customFormat="1">
      <c r="B1382" s="109"/>
      <c r="C1382" s="110"/>
      <c r="D1382" s="109"/>
      <c r="E1382" s="109"/>
      <c r="F1382" s="97"/>
      <c r="G1382" s="109"/>
      <c r="H1382" s="109"/>
      <c r="I1382" s="97"/>
      <c r="J1382" s="97"/>
      <c r="K1382" s="83"/>
      <c r="L1382" s="111"/>
      <c r="M1382" s="111"/>
      <c r="N1382" s="111"/>
      <c r="O1382" s="111"/>
      <c r="P1382" s="111"/>
      <c r="Q1382" s="111"/>
      <c r="R1382" s="111"/>
    </row>
    <row r="1383" spans="2:18" s="108" customFormat="1">
      <c r="B1383" s="109"/>
      <c r="C1383" s="110"/>
      <c r="D1383" s="109"/>
      <c r="E1383" s="109"/>
      <c r="F1383" s="97"/>
      <c r="G1383" s="109"/>
      <c r="H1383" s="109"/>
      <c r="I1383" s="97"/>
      <c r="J1383" s="97"/>
      <c r="K1383" s="83"/>
      <c r="L1383" s="111"/>
      <c r="M1383" s="111"/>
      <c r="N1383" s="111"/>
      <c r="O1383" s="111"/>
      <c r="P1383" s="111"/>
      <c r="Q1383" s="111"/>
      <c r="R1383" s="111"/>
    </row>
    <row r="1384" spans="2:18" s="108" customFormat="1">
      <c r="B1384" s="109"/>
      <c r="C1384" s="110"/>
      <c r="D1384" s="109"/>
      <c r="E1384" s="109"/>
      <c r="F1384" s="97"/>
      <c r="G1384" s="109"/>
      <c r="H1384" s="109"/>
      <c r="I1384" s="97"/>
      <c r="J1384" s="97"/>
      <c r="K1384" s="83"/>
      <c r="L1384" s="111"/>
      <c r="M1384" s="111"/>
      <c r="N1384" s="111"/>
      <c r="O1384" s="111"/>
      <c r="P1384" s="111"/>
      <c r="Q1384" s="111"/>
      <c r="R1384" s="111"/>
    </row>
    <row r="1385" spans="2:18" s="108" customFormat="1">
      <c r="B1385" s="109"/>
      <c r="C1385" s="110"/>
      <c r="D1385" s="109"/>
      <c r="E1385" s="109"/>
      <c r="F1385" s="97"/>
      <c r="G1385" s="109"/>
      <c r="H1385" s="109"/>
      <c r="I1385" s="97"/>
      <c r="J1385" s="97"/>
      <c r="K1385" s="83"/>
      <c r="L1385" s="111"/>
      <c r="M1385" s="111"/>
      <c r="N1385" s="111"/>
      <c r="O1385" s="111"/>
      <c r="P1385" s="111"/>
      <c r="Q1385" s="111"/>
      <c r="R1385" s="111"/>
    </row>
    <row r="1386" spans="2:18" s="108" customFormat="1">
      <c r="B1386" s="109"/>
      <c r="C1386" s="110"/>
      <c r="D1386" s="109"/>
      <c r="E1386" s="109"/>
      <c r="F1386" s="97"/>
      <c r="G1386" s="109"/>
      <c r="H1386" s="109"/>
      <c r="I1386" s="97"/>
      <c r="J1386" s="97"/>
      <c r="K1386" s="83"/>
      <c r="L1386" s="111"/>
      <c r="M1386" s="111"/>
      <c r="N1386" s="111"/>
      <c r="O1386" s="111"/>
      <c r="P1386" s="111"/>
      <c r="Q1386" s="111"/>
      <c r="R1386" s="111"/>
    </row>
    <row r="1387" spans="2:18" s="108" customFormat="1">
      <c r="B1387" s="109"/>
      <c r="C1387" s="110"/>
      <c r="D1387" s="109"/>
      <c r="E1387" s="109"/>
      <c r="F1387" s="97"/>
      <c r="G1387" s="109"/>
      <c r="H1387" s="109"/>
      <c r="I1387" s="97"/>
      <c r="J1387" s="97"/>
      <c r="K1387" s="83"/>
      <c r="L1387" s="111"/>
      <c r="M1387" s="111"/>
      <c r="N1387" s="111"/>
      <c r="O1387" s="111"/>
      <c r="P1387" s="111"/>
      <c r="Q1387" s="111"/>
      <c r="R1387" s="111"/>
    </row>
    <row r="1388" spans="2:18" s="108" customFormat="1">
      <c r="B1388" s="109"/>
      <c r="C1388" s="110"/>
      <c r="D1388" s="109"/>
      <c r="E1388" s="109"/>
      <c r="F1388" s="97"/>
      <c r="G1388" s="109"/>
      <c r="H1388" s="109"/>
      <c r="I1388" s="97"/>
      <c r="J1388" s="97"/>
      <c r="K1388" s="83"/>
      <c r="L1388" s="111"/>
      <c r="M1388" s="111"/>
      <c r="N1388" s="111"/>
      <c r="O1388" s="111"/>
      <c r="P1388" s="111"/>
      <c r="Q1388" s="111"/>
      <c r="R1388" s="111"/>
    </row>
    <row r="1389" spans="2:18" s="108" customFormat="1">
      <c r="B1389" s="109"/>
      <c r="C1389" s="110"/>
      <c r="D1389" s="109"/>
      <c r="E1389" s="109"/>
      <c r="F1389" s="97"/>
      <c r="G1389" s="109"/>
      <c r="H1389" s="109"/>
      <c r="I1389" s="97"/>
      <c r="J1389" s="97"/>
      <c r="K1389" s="83"/>
      <c r="L1389" s="111"/>
      <c r="M1389" s="111"/>
      <c r="N1389" s="111"/>
      <c r="O1389" s="111"/>
      <c r="P1389" s="111"/>
      <c r="Q1389" s="111"/>
      <c r="R1389" s="111"/>
    </row>
    <row r="1390" spans="2:18" s="108" customFormat="1">
      <c r="B1390" s="109"/>
      <c r="C1390" s="110"/>
      <c r="D1390" s="109"/>
      <c r="E1390" s="109"/>
      <c r="F1390" s="97"/>
      <c r="G1390" s="109"/>
      <c r="H1390" s="109"/>
      <c r="I1390" s="97"/>
      <c r="J1390" s="97"/>
      <c r="K1390" s="83"/>
      <c r="L1390" s="111"/>
      <c r="M1390" s="111"/>
      <c r="N1390" s="111"/>
      <c r="O1390" s="111"/>
      <c r="P1390" s="111"/>
      <c r="Q1390" s="111"/>
      <c r="R1390" s="111"/>
    </row>
    <row r="1391" spans="2:18" s="108" customFormat="1">
      <c r="B1391" s="109"/>
      <c r="C1391" s="110"/>
      <c r="D1391" s="109"/>
      <c r="E1391" s="109"/>
      <c r="F1391" s="97"/>
      <c r="G1391" s="109"/>
      <c r="H1391" s="109"/>
      <c r="I1391" s="97"/>
      <c r="J1391" s="97"/>
      <c r="K1391" s="83"/>
      <c r="L1391" s="111"/>
      <c r="M1391" s="111"/>
      <c r="N1391" s="111"/>
      <c r="O1391" s="111"/>
      <c r="P1391" s="111"/>
      <c r="Q1391" s="111"/>
      <c r="R1391" s="111"/>
    </row>
    <row r="1392" spans="2:18" s="108" customFormat="1">
      <c r="B1392" s="109"/>
      <c r="C1392" s="110"/>
      <c r="D1392" s="109"/>
      <c r="E1392" s="109"/>
      <c r="F1392" s="97"/>
      <c r="G1392" s="109"/>
      <c r="H1392" s="109"/>
      <c r="I1392" s="97"/>
      <c r="J1392" s="97"/>
      <c r="K1392" s="83"/>
      <c r="L1392" s="111"/>
      <c r="M1392" s="111"/>
      <c r="N1392" s="111"/>
      <c r="O1392" s="111"/>
      <c r="P1392" s="111"/>
      <c r="Q1392" s="111"/>
      <c r="R1392" s="111"/>
    </row>
    <row r="1393" spans="2:18" s="108" customFormat="1">
      <c r="B1393" s="109"/>
      <c r="C1393" s="110"/>
      <c r="D1393" s="109"/>
      <c r="E1393" s="109"/>
      <c r="F1393" s="97"/>
      <c r="G1393" s="109"/>
      <c r="H1393" s="109"/>
      <c r="I1393" s="97"/>
      <c r="J1393" s="97"/>
      <c r="K1393" s="83"/>
      <c r="L1393" s="111"/>
      <c r="M1393" s="111"/>
      <c r="N1393" s="111"/>
      <c r="O1393" s="111"/>
      <c r="P1393" s="111"/>
      <c r="Q1393" s="111"/>
      <c r="R1393" s="111"/>
    </row>
    <row r="1394" spans="2:18" s="108" customFormat="1">
      <c r="B1394" s="109"/>
      <c r="C1394" s="110"/>
      <c r="D1394" s="109"/>
      <c r="E1394" s="109"/>
      <c r="F1394" s="97"/>
      <c r="G1394" s="109"/>
      <c r="H1394" s="109"/>
      <c r="I1394" s="97"/>
      <c r="J1394" s="97"/>
      <c r="K1394" s="83"/>
      <c r="L1394" s="111"/>
      <c r="M1394" s="111"/>
      <c r="N1394" s="111"/>
      <c r="O1394" s="111"/>
      <c r="P1394" s="111"/>
      <c r="Q1394" s="111"/>
      <c r="R1394" s="111"/>
    </row>
    <row r="1395" spans="2:18" s="108" customFormat="1">
      <c r="B1395" s="109"/>
      <c r="C1395" s="110"/>
      <c r="D1395" s="109"/>
      <c r="E1395" s="109"/>
      <c r="F1395" s="97"/>
      <c r="G1395" s="109"/>
      <c r="H1395" s="109"/>
      <c r="I1395" s="97"/>
      <c r="J1395" s="97"/>
      <c r="K1395" s="83"/>
      <c r="L1395" s="111"/>
      <c r="M1395" s="111"/>
      <c r="N1395" s="111"/>
      <c r="O1395" s="111"/>
      <c r="P1395" s="111"/>
      <c r="Q1395" s="111"/>
      <c r="R1395" s="111"/>
    </row>
    <row r="1396" spans="2:18" s="108" customFormat="1">
      <c r="B1396" s="109"/>
      <c r="C1396" s="110"/>
      <c r="D1396" s="109"/>
      <c r="E1396" s="109"/>
      <c r="F1396" s="97"/>
      <c r="G1396" s="109"/>
      <c r="H1396" s="109"/>
      <c r="I1396" s="97"/>
      <c r="J1396" s="97"/>
      <c r="K1396" s="83"/>
      <c r="L1396" s="111"/>
      <c r="M1396" s="111"/>
      <c r="N1396" s="111"/>
      <c r="O1396" s="111"/>
      <c r="P1396" s="111"/>
      <c r="Q1396" s="111"/>
      <c r="R1396" s="111"/>
    </row>
    <row r="1397" spans="2:18" s="108" customFormat="1">
      <c r="B1397" s="109"/>
      <c r="C1397" s="110"/>
      <c r="D1397" s="109"/>
      <c r="E1397" s="109"/>
      <c r="F1397" s="97"/>
      <c r="G1397" s="109"/>
      <c r="H1397" s="109"/>
      <c r="I1397" s="97"/>
      <c r="J1397" s="97"/>
      <c r="K1397" s="83"/>
      <c r="L1397" s="111"/>
      <c r="M1397" s="111"/>
      <c r="N1397" s="111"/>
      <c r="O1397" s="111"/>
      <c r="P1397" s="111"/>
      <c r="Q1397" s="111"/>
      <c r="R1397" s="111"/>
    </row>
    <row r="1398" spans="2:18" s="108" customFormat="1">
      <c r="B1398" s="109"/>
      <c r="C1398" s="110"/>
      <c r="D1398" s="109"/>
      <c r="E1398" s="109"/>
      <c r="F1398" s="97"/>
      <c r="G1398" s="109"/>
      <c r="H1398" s="109"/>
      <c r="I1398" s="97"/>
      <c r="J1398" s="97"/>
      <c r="K1398" s="83"/>
      <c r="L1398" s="111"/>
      <c r="M1398" s="111"/>
      <c r="N1398" s="111"/>
      <c r="O1398" s="111"/>
      <c r="P1398" s="111"/>
      <c r="Q1398" s="111"/>
      <c r="R1398" s="111"/>
    </row>
    <row r="1399" spans="2:18" s="108" customFormat="1">
      <c r="B1399" s="109"/>
      <c r="C1399" s="110"/>
      <c r="D1399" s="109"/>
      <c r="E1399" s="109"/>
      <c r="F1399" s="97"/>
      <c r="G1399" s="109"/>
      <c r="H1399" s="109"/>
      <c r="I1399" s="97"/>
      <c r="J1399" s="97"/>
      <c r="K1399" s="83"/>
      <c r="L1399" s="111"/>
      <c r="M1399" s="111"/>
      <c r="N1399" s="111"/>
      <c r="O1399" s="111"/>
      <c r="P1399" s="111"/>
      <c r="Q1399" s="111"/>
      <c r="R1399" s="111"/>
    </row>
    <row r="1400" spans="2:18" s="108" customFormat="1">
      <c r="B1400" s="109"/>
      <c r="C1400" s="110"/>
      <c r="D1400" s="109"/>
      <c r="E1400" s="109"/>
      <c r="F1400" s="97"/>
      <c r="G1400" s="109"/>
      <c r="H1400" s="109"/>
      <c r="I1400" s="97"/>
      <c r="J1400" s="97"/>
      <c r="K1400" s="83"/>
      <c r="L1400" s="111"/>
      <c r="M1400" s="111"/>
      <c r="N1400" s="111"/>
      <c r="O1400" s="111"/>
      <c r="P1400" s="111"/>
      <c r="Q1400" s="111"/>
      <c r="R1400" s="111"/>
    </row>
    <row r="1401" spans="2:18" s="108" customFormat="1">
      <c r="B1401" s="109"/>
      <c r="C1401" s="110"/>
      <c r="D1401" s="109"/>
      <c r="E1401" s="109"/>
      <c r="F1401" s="97"/>
      <c r="G1401" s="109"/>
      <c r="H1401" s="109"/>
      <c r="I1401" s="97"/>
      <c r="J1401" s="97"/>
      <c r="K1401" s="83"/>
      <c r="L1401" s="111"/>
      <c r="M1401" s="111"/>
      <c r="N1401" s="111"/>
      <c r="O1401" s="111"/>
      <c r="P1401" s="111"/>
      <c r="Q1401" s="111"/>
      <c r="R1401" s="111"/>
    </row>
    <row r="1402" spans="2:18" s="108" customFormat="1">
      <c r="B1402" s="109"/>
      <c r="C1402" s="110"/>
      <c r="D1402" s="109"/>
      <c r="E1402" s="109"/>
      <c r="F1402" s="97"/>
      <c r="G1402" s="109"/>
      <c r="H1402" s="109"/>
      <c r="I1402" s="97"/>
      <c r="J1402" s="97"/>
      <c r="K1402" s="83"/>
      <c r="L1402" s="111"/>
      <c r="M1402" s="111"/>
      <c r="N1402" s="111"/>
      <c r="O1402" s="111"/>
      <c r="P1402" s="111"/>
      <c r="Q1402" s="111"/>
      <c r="R1402" s="111"/>
    </row>
    <row r="1403" spans="2:18" s="108" customFormat="1">
      <c r="B1403" s="109"/>
      <c r="C1403" s="110"/>
      <c r="D1403" s="109"/>
      <c r="E1403" s="109"/>
      <c r="F1403" s="97"/>
      <c r="G1403" s="109"/>
      <c r="H1403" s="109"/>
      <c r="I1403" s="97"/>
      <c r="J1403" s="97"/>
      <c r="K1403" s="83"/>
      <c r="L1403" s="111"/>
      <c r="M1403" s="111"/>
      <c r="N1403" s="111"/>
      <c r="O1403" s="111"/>
      <c r="P1403" s="111"/>
      <c r="Q1403" s="111"/>
      <c r="R1403" s="111"/>
    </row>
    <row r="1404" spans="2:18" s="108" customFormat="1">
      <c r="B1404" s="109"/>
      <c r="C1404" s="110"/>
      <c r="D1404" s="109"/>
      <c r="E1404" s="109"/>
      <c r="F1404" s="97"/>
      <c r="G1404" s="109"/>
      <c r="H1404" s="109"/>
      <c r="I1404" s="97"/>
      <c r="J1404" s="97"/>
      <c r="K1404" s="83"/>
      <c r="L1404" s="111"/>
      <c r="M1404" s="111"/>
      <c r="N1404" s="111"/>
      <c r="O1404" s="111"/>
      <c r="P1404" s="111"/>
      <c r="Q1404" s="111"/>
      <c r="R1404" s="111"/>
    </row>
    <row r="1405" spans="2:18" s="108" customFormat="1">
      <c r="B1405" s="109"/>
      <c r="C1405" s="110"/>
      <c r="D1405" s="109"/>
      <c r="E1405" s="109"/>
      <c r="F1405" s="97"/>
      <c r="G1405" s="109"/>
      <c r="H1405" s="109"/>
      <c r="I1405" s="97"/>
      <c r="J1405" s="97"/>
      <c r="K1405" s="83"/>
      <c r="L1405" s="111"/>
      <c r="M1405" s="111"/>
      <c r="N1405" s="111"/>
      <c r="O1405" s="111"/>
      <c r="P1405" s="111"/>
      <c r="Q1405" s="111"/>
      <c r="R1405" s="111"/>
    </row>
    <row r="1406" spans="2:18" s="108" customFormat="1">
      <c r="B1406" s="109"/>
      <c r="C1406" s="110"/>
      <c r="D1406" s="109"/>
      <c r="E1406" s="109"/>
      <c r="F1406" s="97"/>
      <c r="G1406" s="109"/>
      <c r="H1406" s="109"/>
      <c r="I1406" s="97"/>
      <c r="J1406" s="97"/>
      <c r="K1406" s="83"/>
      <c r="L1406" s="111"/>
      <c r="M1406" s="111"/>
      <c r="N1406" s="111"/>
      <c r="O1406" s="111"/>
      <c r="P1406" s="111"/>
      <c r="Q1406" s="111"/>
      <c r="R1406" s="111"/>
    </row>
    <row r="1407" spans="2:18" s="108" customFormat="1">
      <c r="B1407" s="109"/>
      <c r="C1407" s="110"/>
      <c r="D1407" s="109"/>
      <c r="E1407" s="109"/>
      <c r="F1407" s="97"/>
      <c r="G1407" s="109"/>
      <c r="H1407" s="109"/>
      <c r="I1407" s="97"/>
      <c r="J1407" s="97"/>
      <c r="K1407" s="83"/>
      <c r="L1407" s="111"/>
      <c r="M1407" s="111"/>
      <c r="N1407" s="111"/>
      <c r="O1407" s="111"/>
      <c r="P1407" s="111"/>
      <c r="Q1407" s="111"/>
      <c r="R1407" s="111"/>
    </row>
    <row r="1408" spans="2:18" s="108" customFormat="1">
      <c r="B1408" s="109"/>
      <c r="C1408" s="110"/>
      <c r="D1408" s="109"/>
      <c r="E1408" s="109"/>
      <c r="F1408" s="97"/>
      <c r="G1408" s="109"/>
      <c r="H1408" s="109"/>
      <c r="I1408" s="97"/>
      <c r="J1408" s="97"/>
      <c r="K1408" s="83"/>
      <c r="L1408" s="111"/>
      <c r="M1408" s="111"/>
      <c r="N1408" s="111"/>
      <c r="O1408" s="111"/>
      <c r="P1408" s="111"/>
      <c r="Q1408" s="111"/>
      <c r="R1408" s="111"/>
    </row>
    <row r="1409" spans="2:18" s="108" customFormat="1">
      <c r="B1409" s="109"/>
      <c r="C1409" s="110"/>
      <c r="D1409" s="109"/>
      <c r="E1409" s="109"/>
      <c r="F1409" s="97"/>
      <c r="G1409" s="109"/>
      <c r="H1409" s="109"/>
      <c r="I1409" s="97"/>
      <c r="J1409" s="97"/>
      <c r="K1409" s="83"/>
      <c r="L1409" s="111"/>
      <c r="M1409" s="111"/>
      <c r="N1409" s="111"/>
      <c r="O1409" s="111"/>
      <c r="P1409" s="111"/>
      <c r="Q1409" s="111"/>
      <c r="R1409" s="111"/>
    </row>
    <row r="1410" spans="2:18" s="108" customFormat="1">
      <c r="B1410" s="109"/>
      <c r="C1410" s="110"/>
      <c r="D1410" s="109"/>
      <c r="E1410" s="109"/>
      <c r="F1410" s="97"/>
      <c r="G1410" s="109"/>
      <c r="H1410" s="109"/>
      <c r="I1410" s="97"/>
      <c r="J1410" s="97"/>
      <c r="K1410" s="83"/>
      <c r="L1410" s="111"/>
      <c r="M1410" s="111"/>
      <c r="N1410" s="111"/>
      <c r="O1410" s="111"/>
      <c r="P1410" s="111"/>
      <c r="Q1410" s="111"/>
      <c r="R1410" s="111"/>
    </row>
    <row r="1411" spans="2:18" s="108" customFormat="1">
      <c r="B1411" s="109"/>
      <c r="C1411" s="110"/>
      <c r="D1411" s="109"/>
      <c r="E1411" s="109"/>
      <c r="F1411" s="97"/>
      <c r="G1411" s="109"/>
      <c r="H1411" s="109"/>
      <c r="I1411" s="97"/>
      <c r="J1411" s="97"/>
      <c r="K1411" s="83"/>
      <c r="L1411" s="111"/>
      <c r="M1411" s="111"/>
      <c r="N1411" s="111"/>
      <c r="O1411" s="111"/>
      <c r="P1411" s="111"/>
      <c r="Q1411" s="111"/>
      <c r="R1411" s="111"/>
    </row>
    <row r="1412" spans="2:18" s="108" customFormat="1">
      <c r="B1412" s="109"/>
      <c r="C1412" s="110"/>
      <c r="D1412" s="109"/>
      <c r="E1412" s="109"/>
      <c r="F1412" s="97"/>
      <c r="G1412" s="109"/>
      <c r="H1412" s="109"/>
      <c r="I1412" s="97"/>
      <c r="J1412" s="97"/>
      <c r="K1412" s="83"/>
      <c r="L1412" s="111"/>
      <c r="M1412" s="111"/>
      <c r="N1412" s="111"/>
      <c r="O1412" s="111"/>
      <c r="P1412" s="111"/>
      <c r="Q1412" s="111"/>
      <c r="R1412" s="111"/>
    </row>
    <row r="1413" spans="2:18" s="108" customFormat="1">
      <c r="B1413" s="109"/>
      <c r="C1413" s="110"/>
      <c r="D1413" s="109"/>
      <c r="E1413" s="109"/>
      <c r="F1413" s="97"/>
      <c r="G1413" s="109"/>
      <c r="H1413" s="109"/>
      <c r="I1413" s="97"/>
      <c r="J1413" s="97"/>
      <c r="K1413" s="83"/>
      <c r="L1413" s="111"/>
      <c r="M1413" s="111"/>
      <c r="N1413" s="111"/>
      <c r="O1413" s="111"/>
      <c r="P1413" s="111"/>
      <c r="Q1413" s="111"/>
      <c r="R1413" s="111"/>
    </row>
    <row r="1414" spans="2:18" s="108" customFormat="1">
      <c r="B1414" s="109"/>
      <c r="C1414" s="110"/>
      <c r="D1414" s="109"/>
      <c r="E1414" s="109"/>
      <c r="F1414" s="97"/>
      <c r="G1414" s="109"/>
      <c r="H1414" s="109"/>
      <c r="I1414" s="97"/>
      <c r="J1414" s="97"/>
      <c r="K1414" s="83"/>
      <c r="L1414" s="111"/>
      <c r="M1414" s="111"/>
      <c r="N1414" s="111"/>
      <c r="O1414" s="111"/>
      <c r="P1414" s="111"/>
      <c r="Q1414" s="111"/>
      <c r="R1414" s="111"/>
    </row>
    <row r="1415" spans="2:18" s="108" customFormat="1">
      <c r="B1415" s="109"/>
      <c r="C1415" s="110"/>
      <c r="D1415" s="109"/>
      <c r="E1415" s="109"/>
      <c r="F1415" s="97"/>
      <c r="G1415" s="109"/>
      <c r="H1415" s="109"/>
      <c r="I1415" s="97"/>
      <c r="J1415" s="97"/>
      <c r="K1415" s="83"/>
      <c r="L1415" s="111"/>
      <c r="M1415" s="111"/>
      <c r="N1415" s="111"/>
      <c r="O1415" s="111"/>
      <c r="P1415" s="111"/>
      <c r="Q1415" s="111"/>
      <c r="R1415" s="111"/>
    </row>
    <row r="1416" spans="2:18" s="108" customFormat="1">
      <c r="B1416" s="109"/>
      <c r="C1416" s="110"/>
      <c r="D1416" s="109"/>
      <c r="E1416" s="109"/>
      <c r="F1416" s="97"/>
      <c r="G1416" s="109"/>
      <c r="H1416" s="109"/>
      <c r="I1416" s="97"/>
      <c r="J1416" s="97"/>
      <c r="K1416" s="83"/>
      <c r="L1416" s="111"/>
      <c r="M1416" s="111"/>
      <c r="N1416" s="111"/>
      <c r="O1416" s="111"/>
      <c r="P1416" s="111"/>
      <c r="Q1416" s="111"/>
      <c r="R1416" s="111"/>
    </row>
    <row r="1417" spans="2:18" s="108" customFormat="1">
      <c r="B1417" s="109"/>
      <c r="C1417" s="110"/>
      <c r="D1417" s="109"/>
      <c r="E1417" s="109"/>
      <c r="F1417" s="97"/>
      <c r="G1417" s="109"/>
      <c r="H1417" s="109"/>
      <c r="I1417" s="97"/>
      <c r="J1417" s="97"/>
      <c r="K1417" s="83"/>
      <c r="L1417" s="111"/>
      <c r="M1417" s="111"/>
      <c r="N1417" s="111"/>
      <c r="O1417" s="111"/>
      <c r="P1417" s="111"/>
      <c r="Q1417" s="111"/>
      <c r="R1417" s="111"/>
    </row>
    <row r="1418" spans="2:18" s="108" customFormat="1">
      <c r="B1418" s="109"/>
      <c r="C1418" s="110"/>
      <c r="D1418" s="109"/>
      <c r="E1418" s="109"/>
      <c r="F1418" s="97"/>
      <c r="G1418" s="109"/>
      <c r="H1418" s="109"/>
      <c r="I1418" s="97"/>
      <c r="J1418" s="97"/>
      <c r="K1418" s="83"/>
      <c r="L1418" s="111"/>
      <c r="M1418" s="111"/>
      <c r="N1418" s="111"/>
      <c r="O1418" s="111"/>
      <c r="P1418" s="111"/>
      <c r="Q1418" s="111"/>
      <c r="R1418" s="111"/>
    </row>
    <row r="1419" spans="2:18" s="108" customFormat="1">
      <c r="B1419" s="109"/>
      <c r="C1419" s="110"/>
      <c r="D1419" s="109"/>
      <c r="E1419" s="109"/>
      <c r="F1419" s="97"/>
      <c r="G1419" s="109"/>
      <c r="H1419" s="109"/>
      <c r="I1419" s="97"/>
      <c r="J1419" s="97"/>
      <c r="K1419" s="83"/>
      <c r="L1419" s="111"/>
      <c r="M1419" s="111"/>
      <c r="N1419" s="111"/>
      <c r="O1419" s="111"/>
      <c r="P1419" s="111"/>
      <c r="Q1419" s="111"/>
      <c r="R1419" s="111"/>
    </row>
    <row r="1420" spans="2:18" s="108" customFormat="1">
      <c r="B1420" s="109"/>
      <c r="C1420" s="110"/>
      <c r="D1420" s="109"/>
      <c r="E1420" s="109"/>
      <c r="F1420" s="97"/>
      <c r="G1420" s="109"/>
      <c r="H1420" s="109"/>
      <c r="I1420" s="97"/>
      <c r="J1420" s="97"/>
      <c r="K1420" s="83"/>
      <c r="L1420" s="111"/>
      <c r="M1420" s="111"/>
      <c r="N1420" s="111"/>
      <c r="O1420" s="111"/>
      <c r="P1420" s="111"/>
      <c r="Q1420" s="111"/>
      <c r="R1420" s="111"/>
    </row>
    <row r="1421" spans="2:18" s="108" customFormat="1">
      <c r="B1421" s="109"/>
      <c r="C1421" s="110"/>
      <c r="D1421" s="109"/>
      <c r="E1421" s="109"/>
      <c r="F1421" s="97"/>
      <c r="G1421" s="109"/>
      <c r="H1421" s="109"/>
      <c r="I1421" s="97"/>
      <c r="J1421" s="97"/>
      <c r="K1421" s="83"/>
      <c r="L1421" s="111"/>
      <c r="M1421" s="111"/>
      <c r="N1421" s="111"/>
      <c r="O1421" s="111"/>
      <c r="P1421" s="111"/>
      <c r="Q1421" s="111"/>
      <c r="R1421" s="111"/>
    </row>
    <row r="1422" spans="2:18" s="108" customFormat="1">
      <c r="B1422" s="109"/>
      <c r="C1422" s="110"/>
      <c r="D1422" s="109"/>
      <c r="E1422" s="109"/>
      <c r="F1422" s="97"/>
      <c r="G1422" s="109"/>
      <c r="H1422" s="109"/>
      <c r="I1422" s="97"/>
      <c r="J1422" s="97"/>
      <c r="K1422" s="83"/>
      <c r="L1422" s="111"/>
      <c r="M1422" s="111"/>
      <c r="N1422" s="111"/>
      <c r="O1422" s="111"/>
      <c r="P1422" s="111"/>
      <c r="Q1422" s="111"/>
      <c r="R1422" s="111"/>
    </row>
    <row r="1423" spans="2:18" s="108" customFormat="1">
      <c r="B1423" s="109"/>
      <c r="C1423" s="110"/>
      <c r="D1423" s="109"/>
      <c r="E1423" s="109"/>
      <c r="F1423" s="97"/>
      <c r="G1423" s="109"/>
      <c r="H1423" s="109"/>
      <c r="I1423" s="97"/>
      <c r="J1423" s="97"/>
      <c r="K1423" s="83"/>
      <c r="L1423" s="111"/>
      <c r="M1423" s="111"/>
      <c r="N1423" s="111"/>
      <c r="O1423" s="111"/>
      <c r="P1423" s="111"/>
      <c r="Q1423" s="111"/>
      <c r="R1423" s="111"/>
    </row>
    <row r="1424" spans="2:18" s="108" customFormat="1">
      <c r="B1424" s="109"/>
      <c r="C1424" s="110"/>
      <c r="D1424" s="109"/>
      <c r="E1424" s="109"/>
      <c r="F1424" s="97"/>
      <c r="G1424" s="109"/>
      <c r="H1424" s="109"/>
      <c r="I1424" s="97"/>
      <c r="J1424" s="97"/>
      <c r="K1424" s="83"/>
      <c r="L1424" s="111"/>
      <c r="M1424" s="111"/>
      <c r="N1424" s="111"/>
      <c r="O1424" s="111"/>
      <c r="P1424" s="111"/>
      <c r="Q1424" s="111"/>
      <c r="R1424" s="111"/>
    </row>
    <row r="1425" spans="2:18" s="108" customFormat="1">
      <c r="B1425" s="109"/>
      <c r="C1425" s="110"/>
      <c r="D1425" s="109"/>
      <c r="E1425" s="109"/>
      <c r="F1425" s="97"/>
      <c r="G1425" s="109"/>
      <c r="H1425" s="109"/>
      <c r="I1425" s="97"/>
      <c r="J1425" s="97"/>
      <c r="K1425" s="83"/>
      <c r="L1425" s="111"/>
      <c r="M1425" s="111"/>
      <c r="N1425" s="111"/>
      <c r="O1425" s="111"/>
      <c r="P1425" s="111"/>
      <c r="Q1425" s="111"/>
      <c r="R1425" s="111"/>
    </row>
    <row r="1426" spans="2:18" s="108" customFormat="1">
      <c r="B1426" s="109"/>
      <c r="C1426" s="110"/>
      <c r="D1426" s="109"/>
      <c r="E1426" s="109"/>
      <c r="F1426" s="97"/>
      <c r="G1426" s="109"/>
      <c r="H1426" s="109"/>
      <c r="I1426" s="97"/>
      <c r="J1426" s="97"/>
      <c r="K1426" s="83"/>
      <c r="L1426" s="111"/>
      <c r="M1426" s="111"/>
      <c r="N1426" s="111"/>
      <c r="O1426" s="111"/>
      <c r="P1426" s="111"/>
      <c r="Q1426" s="111"/>
      <c r="R1426" s="111"/>
    </row>
    <row r="1427" spans="2:18" s="108" customFormat="1">
      <c r="B1427" s="109"/>
      <c r="C1427" s="110"/>
      <c r="D1427" s="109"/>
      <c r="E1427" s="109"/>
      <c r="F1427" s="97"/>
      <c r="G1427" s="109"/>
      <c r="H1427" s="109"/>
      <c r="I1427" s="97"/>
      <c r="J1427" s="97"/>
      <c r="K1427" s="83"/>
      <c r="L1427" s="111"/>
      <c r="M1427" s="111"/>
      <c r="N1427" s="111"/>
      <c r="O1427" s="111"/>
      <c r="P1427" s="111"/>
      <c r="Q1427" s="111"/>
      <c r="R1427" s="111"/>
    </row>
    <row r="1428" spans="2:18" s="108" customFormat="1">
      <c r="B1428" s="109"/>
      <c r="C1428" s="110"/>
      <c r="D1428" s="109"/>
      <c r="E1428" s="109"/>
      <c r="F1428" s="97"/>
      <c r="G1428" s="109"/>
      <c r="H1428" s="109"/>
      <c r="I1428" s="97"/>
      <c r="J1428" s="97"/>
      <c r="K1428" s="83"/>
      <c r="L1428" s="111"/>
      <c r="M1428" s="111"/>
      <c r="N1428" s="111"/>
      <c r="O1428" s="111"/>
      <c r="P1428" s="111"/>
      <c r="Q1428" s="111"/>
      <c r="R1428" s="111"/>
    </row>
    <row r="1429" spans="2:18" s="108" customFormat="1">
      <c r="B1429" s="109"/>
      <c r="C1429" s="110"/>
      <c r="D1429" s="109"/>
      <c r="E1429" s="109"/>
      <c r="F1429" s="97"/>
      <c r="G1429" s="109"/>
      <c r="H1429" s="109"/>
      <c r="I1429" s="97"/>
      <c r="J1429" s="97"/>
      <c r="K1429" s="83"/>
      <c r="L1429" s="111"/>
      <c r="M1429" s="111"/>
      <c r="N1429" s="111"/>
      <c r="O1429" s="111"/>
      <c r="P1429" s="111"/>
      <c r="Q1429" s="111"/>
      <c r="R1429" s="111"/>
    </row>
    <row r="1430" spans="2:18" s="108" customFormat="1">
      <c r="B1430" s="109"/>
      <c r="C1430" s="110"/>
      <c r="D1430" s="109"/>
      <c r="E1430" s="109"/>
      <c r="F1430" s="97"/>
      <c r="G1430" s="109"/>
      <c r="H1430" s="109"/>
      <c r="I1430" s="97"/>
      <c r="J1430" s="97"/>
      <c r="K1430" s="83"/>
      <c r="L1430" s="111"/>
      <c r="M1430" s="111"/>
      <c r="N1430" s="111"/>
      <c r="O1430" s="111"/>
      <c r="P1430" s="111"/>
      <c r="Q1430" s="111"/>
      <c r="R1430" s="111"/>
    </row>
    <row r="1431" spans="2:18" s="108" customFormat="1">
      <c r="B1431" s="109"/>
      <c r="C1431" s="110"/>
      <c r="D1431" s="109"/>
      <c r="E1431" s="109"/>
      <c r="F1431" s="97"/>
      <c r="G1431" s="109"/>
      <c r="H1431" s="109"/>
      <c r="I1431" s="97"/>
      <c r="J1431" s="97"/>
      <c r="K1431" s="83"/>
      <c r="L1431" s="111"/>
      <c r="M1431" s="111"/>
      <c r="N1431" s="111"/>
      <c r="O1431" s="111"/>
      <c r="P1431" s="111"/>
      <c r="Q1431" s="111"/>
      <c r="R1431" s="111"/>
    </row>
    <row r="1432" spans="2:18" s="108" customFormat="1">
      <c r="B1432" s="109"/>
      <c r="C1432" s="110"/>
      <c r="D1432" s="109"/>
      <c r="E1432" s="109"/>
      <c r="F1432" s="97"/>
      <c r="G1432" s="109"/>
      <c r="H1432" s="109"/>
      <c r="I1432" s="97"/>
      <c r="J1432" s="97"/>
      <c r="K1432" s="83"/>
      <c r="L1432" s="111"/>
      <c r="M1432" s="111"/>
      <c r="N1432" s="111"/>
      <c r="O1432" s="111"/>
      <c r="P1432" s="111"/>
      <c r="Q1432" s="111"/>
      <c r="R1432" s="111"/>
    </row>
    <row r="1433" spans="2:18" s="108" customFormat="1">
      <c r="B1433" s="109"/>
      <c r="C1433" s="110"/>
      <c r="D1433" s="109"/>
      <c r="E1433" s="109"/>
      <c r="F1433" s="97"/>
      <c r="G1433" s="109"/>
      <c r="H1433" s="109"/>
      <c r="I1433" s="97"/>
      <c r="J1433" s="97"/>
      <c r="K1433" s="83"/>
      <c r="L1433" s="111"/>
      <c r="M1433" s="111"/>
      <c r="N1433" s="111"/>
      <c r="O1433" s="111"/>
      <c r="P1433" s="111"/>
      <c r="Q1433" s="111"/>
      <c r="R1433" s="111"/>
    </row>
    <row r="1434" spans="2:18" s="108" customFormat="1">
      <c r="B1434" s="109"/>
      <c r="C1434" s="110"/>
      <c r="D1434" s="109"/>
      <c r="E1434" s="109"/>
      <c r="F1434" s="97"/>
      <c r="G1434" s="109"/>
      <c r="H1434" s="109"/>
      <c r="I1434" s="97"/>
      <c r="J1434" s="97"/>
      <c r="K1434" s="83"/>
      <c r="L1434" s="111"/>
      <c r="M1434" s="111"/>
      <c r="N1434" s="111"/>
      <c r="O1434" s="111"/>
      <c r="P1434" s="111"/>
      <c r="Q1434" s="111"/>
      <c r="R1434" s="111"/>
    </row>
    <row r="1435" spans="2:18" s="108" customFormat="1">
      <c r="B1435" s="109"/>
      <c r="C1435" s="110"/>
      <c r="D1435" s="109"/>
      <c r="E1435" s="109"/>
      <c r="F1435" s="97"/>
      <c r="G1435" s="109"/>
      <c r="H1435" s="109"/>
      <c r="I1435" s="97"/>
      <c r="J1435" s="97"/>
      <c r="K1435" s="83"/>
      <c r="L1435" s="111"/>
      <c r="M1435" s="111"/>
      <c r="N1435" s="111"/>
      <c r="O1435" s="111"/>
      <c r="P1435" s="111"/>
      <c r="Q1435" s="111"/>
      <c r="R1435" s="111"/>
    </row>
    <row r="1436" spans="2:18" s="108" customFormat="1">
      <c r="B1436" s="109"/>
      <c r="C1436" s="110"/>
      <c r="D1436" s="109"/>
      <c r="E1436" s="109"/>
      <c r="F1436" s="97"/>
      <c r="G1436" s="109"/>
      <c r="H1436" s="109"/>
      <c r="I1436" s="97"/>
      <c r="J1436" s="97"/>
      <c r="K1436" s="83"/>
      <c r="L1436" s="111"/>
      <c r="M1436" s="111"/>
      <c r="N1436" s="111"/>
      <c r="O1436" s="111"/>
      <c r="P1436" s="111"/>
      <c r="Q1436" s="111"/>
      <c r="R1436" s="111"/>
    </row>
    <row r="1437" spans="2:18" s="108" customFormat="1">
      <c r="B1437" s="109"/>
      <c r="C1437" s="110"/>
      <c r="D1437" s="109"/>
      <c r="E1437" s="109"/>
      <c r="F1437" s="97"/>
      <c r="G1437" s="109"/>
      <c r="H1437" s="109"/>
      <c r="I1437" s="97"/>
      <c r="J1437" s="97"/>
      <c r="K1437" s="83"/>
      <c r="L1437" s="111"/>
      <c r="M1437" s="111"/>
      <c r="N1437" s="111"/>
      <c r="O1437" s="111"/>
      <c r="P1437" s="111"/>
      <c r="Q1437" s="111"/>
      <c r="R1437" s="111"/>
    </row>
    <row r="1438" spans="2:18" s="108" customFormat="1">
      <c r="B1438" s="109"/>
      <c r="C1438" s="110"/>
      <c r="D1438" s="109"/>
      <c r="E1438" s="109"/>
      <c r="F1438" s="97"/>
      <c r="G1438" s="109"/>
      <c r="H1438" s="109"/>
      <c r="I1438" s="97"/>
      <c r="J1438" s="97"/>
      <c r="K1438" s="83"/>
      <c r="L1438" s="111"/>
      <c r="M1438" s="111"/>
      <c r="N1438" s="111"/>
      <c r="O1438" s="111"/>
      <c r="P1438" s="111"/>
      <c r="Q1438" s="111"/>
      <c r="R1438" s="111"/>
    </row>
    <row r="1439" spans="2:18" s="108" customFormat="1">
      <c r="B1439" s="109"/>
      <c r="C1439" s="110"/>
      <c r="D1439" s="109"/>
      <c r="E1439" s="109"/>
      <c r="F1439" s="97"/>
      <c r="G1439" s="109"/>
      <c r="H1439" s="109"/>
      <c r="I1439" s="97"/>
      <c r="J1439" s="97"/>
      <c r="K1439" s="83"/>
      <c r="L1439" s="111"/>
      <c r="M1439" s="111"/>
      <c r="N1439" s="111"/>
      <c r="O1439" s="111"/>
      <c r="P1439" s="111"/>
      <c r="Q1439" s="111"/>
      <c r="R1439" s="111"/>
    </row>
    <row r="1440" spans="2:18" s="108" customFormat="1">
      <c r="B1440" s="109"/>
      <c r="C1440" s="110"/>
      <c r="D1440" s="109"/>
      <c r="E1440" s="109"/>
      <c r="F1440" s="97"/>
      <c r="G1440" s="109"/>
      <c r="H1440" s="109"/>
      <c r="I1440" s="97"/>
      <c r="J1440" s="97"/>
      <c r="K1440" s="83"/>
      <c r="L1440" s="111"/>
      <c r="M1440" s="111"/>
      <c r="N1440" s="111"/>
      <c r="O1440" s="111"/>
      <c r="P1440" s="111"/>
      <c r="Q1440" s="111"/>
      <c r="R1440" s="111"/>
    </row>
    <row r="1441" spans="2:18" s="108" customFormat="1">
      <c r="B1441" s="109"/>
      <c r="C1441" s="110"/>
      <c r="D1441" s="109"/>
      <c r="E1441" s="109"/>
      <c r="F1441" s="97"/>
      <c r="G1441" s="109"/>
      <c r="H1441" s="109"/>
      <c r="I1441" s="97"/>
      <c r="J1441" s="97"/>
      <c r="K1441" s="83"/>
      <c r="L1441" s="111"/>
      <c r="M1441" s="111"/>
      <c r="N1441" s="111"/>
      <c r="O1441" s="111"/>
      <c r="P1441" s="111"/>
      <c r="Q1441" s="111"/>
      <c r="R1441" s="111"/>
    </row>
    <row r="1442" spans="2:18" s="108" customFormat="1">
      <c r="B1442" s="109"/>
      <c r="C1442" s="110"/>
      <c r="D1442" s="109"/>
      <c r="E1442" s="109"/>
      <c r="F1442" s="97"/>
      <c r="G1442" s="109"/>
      <c r="H1442" s="109"/>
      <c r="I1442" s="97"/>
      <c r="J1442" s="97"/>
      <c r="K1442" s="83"/>
      <c r="L1442" s="111"/>
      <c r="M1442" s="111"/>
      <c r="N1442" s="111"/>
      <c r="O1442" s="111"/>
      <c r="P1442" s="111"/>
      <c r="Q1442" s="111"/>
      <c r="R1442" s="111"/>
    </row>
    <row r="1443" spans="2:18" s="108" customFormat="1">
      <c r="B1443" s="109"/>
      <c r="C1443" s="110"/>
      <c r="D1443" s="109"/>
      <c r="E1443" s="109"/>
      <c r="F1443" s="97"/>
      <c r="G1443" s="109"/>
      <c r="H1443" s="109"/>
      <c r="I1443" s="97"/>
      <c r="J1443" s="97"/>
      <c r="K1443" s="83"/>
      <c r="L1443" s="111"/>
      <c r="M1443" s="111"/>
      <c r="N1443" s="111"/>
      <c r="O1443" s="111"/>
      <c r="P1443" s="111"/>
      <c r="Q1443" s="111"/>
      <c r="R1443" s="111"/>
    </row>
    <row r="1444" spans="2:18" s="108" customFormat="1">
      <c r="B1444" s="109"/>
      <c r="C1444" s="110"/>
      <c r="D1444" s="109"/>
      <c r="E1444" s="109"/>
      <c r="F1444" s="97"/>
      <c r="G1444" s="109"/>
      <c r="H1444" s="109"/>
      <c r="I1444" s="97"/>
      <c r="J1444" s="97"/>
      <c r="K1444" s="83"/>
      <c r="L1444" s="111"/>
      <c r="M1444" s="111"/>
      <c r="N1444" s="111"/>
      <c r="O1444" s="111"/>
      <c r="P1444" s="111"/>
      <c r="Q1444" s="111"/>
      <c r="R1444" s="111"/>
    </row>
    <row r="1445" spans="2:18" s="108" customFormat="1">
      <c r="B1445" s="109"/>
      <c r="C1445" s="110"/>
      <c r="D1445" s="109"/>
      <c r="E1445" s="109"/>
      <c r="F1445" s="97"/>
      <c r="G1445" s="109"/>
      <c r="H1445" s="109"/>
      <c r="I1445" s="97"/>
      <c r="J1445" s="97"/>
      <c r="K1445" s="83"/>
      <c r="L1445" s="111"/>
      <c r="M1445" s="111"/>
      <c r="N1445" s="111"/>
      <c r="O1445" s="111"/>
      <c r="P1445" s="111"/>
      <c r="Q1445" s="111"/>
      <c r="R1445" s="111"/>
    </row>
    <row r="1446" spans="2:18" s="108" customFormat="1">
      <c r="B1446" s="109"/>
      <c r="C1446" s="110"/>
      <c r="D1446" s="109"/>
      <c r="E1446" s="109"/>
      <c r="F1446" s="97"/>
      <c r="G1446" s="109"/>
      <c r="H1446" s="109"/>
      <c r="I1446" s="97"/>
      <c r="J1446" s="97"/>
      <c r="K1446" s="83"/>
      <c r="L1446" s="111"/>
      <c r="M1446" s="111"/>
      <c r="N1446" s="111"/>
      <c r="O1446" s="111"/>
      <c r="P1446" s="111"/>
      <c r="Q1446" s="111"/>
      <c r="R1446" s="111"/>
    </row>
    <row r="1447" spans="2:18" s="108" customFormat="1">
      <c r="B1447" s="109"/>
      <c r="C1447" s="110"/>
      <c r="D1447" s="109"/>
      <c r="E1447" s="109"/>
      <c r="F1447" s="97"/>
      <c r="G1447" s="109"/>
      <c r="H1447" s="109"/>
      <c r="I1447" s="97"/>
      <c r="J1447" s="97"/>
      <c r="K1447" s="83"/>
      <c r="L1447" s="111"/>
      <c r="M1447" s="111"/>
      <c r="N1447" s="111"/>
      <c r="O1447" s="111"/>
      <c r="P1447" s="111"/>
      <c r="Q1447" s="111"/>
      <c r="R1447" s="111"/>
    </row>
    <row r="1448" spans="2:18" s="108" customFormat="1">
      <c r="B1448" s="109"/>
      <c r="C1448" s="110"/>
      <c r="D1448" s="109"/>
      <c r="E1448" s="109"/>
      <c r="F1448" s="97"/>
      <c r="G1448" s="109"/>
      <c r="H1448" s="109"/>
      <c r="I1448" s="97"/>
      <c r="J1448" s="97"/>
      <c r="K1448" s="83"/>
      <c r="L1448" s="111"/>
      <c r="M1448" s="111"/>
      <c r="N1448" s="111"/>
      <c r="O1448" s="111"/>
      <c r="P1448" s="111"/>
      <c r="Q1448" s="111"/>
      <c r="R1448" s="111"/>
    </row>
    <row r="1449" spans="2:18" s="108" customFormat="1">
      <c r="B1449" s="109"/>
      <c r="C1449" s="110"/>
      <c r="D1449" s="109"/>
      <c r="E1449" s="109"/>
      <c r="F1449" s="97"/>
      <c r="G1449" s="109"/>
      <c r="H1449" s="109"/>
      <c r="I1449" s="97"/>
      <c r="J1449" s="97"/>
      <c r="K1449" s="83"/>
      <c r="L1449" s="111"/>
      <c r="M1449" s="111"/>
      <c r="N1449" s="111"/>
      <c r="O1449" s="111"/>
      <c r="P1449" s="111"/>
      <c r="Q1449" s="111"/>
      <c r="R1449" s="111"/>
    </row>
    <row r="1450" spans="2:18" s="108" customFormat="1">
      <c r="B1450" s="109"/>
      <c r="C1450" s="110"/>
      <c r="D1450" s="109"/>
      <c r="E1450" s="109"/>
      <c r="F1450" s="97"/>
      <c r="G1450" s="109"/>
      <c r="H1450" s="109"/>
      <c r="I1450" s="97"/>
      <c r="J1450" s="97"/>
      <c r="K1450" s="83"/>
      <c r="L1450" s="111"/>
      <c r="M1450" s="111"/>
      <c r="N1450" s="111"/>
      <c r="O1450" s="111"/>
      <c r="P1450" s="111"/>
      <c r="Q1450" s="111"/>
      <c r="R1450" s="111"/>
    </row>
    <row r="1451" spans="2:18" s="108" customFormat="1">
      <c r="B1451" s="109"/>
      <c r="C1451" s="110"/>
      <c r="D1451" s="109"/>
      <c r="E1451" s="109"/>
      <c r="F1451" s="97"/>
      <c r="G1451" s="109"/>
      <c r="H1451" s="109"/>
      <c r="I1451" s="97"/>
      <c r="J1451" s="97"/>
      <c r="K1451" s="83"/>
      <c r="L1451" s="111"/>
      <c r="M1451" s="111"/>
      <c r="N1451" s="111"/>
      <c r="O1451" s="111"/>
      <c r="P1451" s="111"/>
      <c r="Q1451" s="111"/>
      <c r="R1451" s="111"/>
    </row>
    <row r="1452" spans="2:18" s="108" customFormat="1">
      <c r="B1452" s="109"/>
      <c r="C1452" s="110"/>
      <c r="D1452" s="109"/>
      <c r="E1452" s="109"/>
      <c r="F1452" s="97"/>
      <c r="G1452" s="109"/>
      <c r="H1452" s="109"/>
      <c r="I1452" s="97"/>
      <c r="J1452" s="97"/>
      <c r="K1452" s="83"/>
      <c r="L1452" s="111"/>
      <c r="M1452" s="111"/>
      <c r="N1452" s="111"/>
      <c r="O1452" s="111"/>
      <c r="P1452" s="111"/>
      <c r="Q1452" s="111"/>
      <c r="R1452" s="111"/>
    </row>
    <row r="1453" spans="2:18" s="108" customFormat="1">
      <c r="B1453" s="109"/>
      <c r="C1453" s="110"/>
      <c r="D1453" s="109"/>
      <c r="E1453" s="109"/>
      <c r="F1453" s="97"/>
      <c r="G1453" s="109"/>
      <c r="H1453" s="109"/>
      <c r="I1453" s="97"/>
      <c r="J1453" s="97"/>
      <c r="K1453" s="83"/>
      <c r="L1453" s="111"/>
      <c r="M1453" s="111"/>
      <c r="N1453" s="111"/>
      <c r="O1453" s="111"/>
      <c r="P1453" s="111"/>
      <c r="Q1453" s="111"/>
      <c r="R1453" s="111"/>
    </row>
    <row r="1454" spans="2:18" s="108" customFormat="1">
      <c r="B1454" s="109"/>
      <c r="C1454" s="110"/>
      <c r="D1454" s="109"/>
      <c r="E1454" s="109"/>
      <c r="F1454" s="97"/>
      <c r="G1454" s="109"/>
      <c r="H1454" s="109"/>
      <c r="I1454" s="97"/>
      <c r="J1454" s="97"/>
      <c r="K1454" s="83"/>
      <c r="L1454" s="111"/>
      <c r="M1454" s="111"/>
      <c r="N1454" s="111"/>
      <c r="O1454" s="111"/>
      <c r="P1454" s="111"/>
      <c r="Q1454" s="111"/>
      <c r="R1454" s="111"/>
    </row>
    <row r="1455" spans="2:18" s="108" customFormat="1">
      <c r="B1455" s="109"/>
      <c r="C1455" s="110"/>
      <c r="D1455" s="109"/>
      <c r="E1455" s="109"/>
      <c r="F1455" s="97"/>
      <c r="G1455" s="109"/>
      <c r="H1455" s="109"/>
      <c r="I1455" s="97"/>
      <c r="J1455" s="97"/>
      <c r="K1455" s="83"/>
      <c r="L1455" s="111"/>
      <c r="M1455" s="111"/>
      <c r="N1455" s="111"/>
      <c r="O1455" s="111"/>
      <c r="P1455" s="111"/>
      <c r="Q1455" s="111"/>
      <c r="R1455" s="111"/>
    </row>
    <row r="1456" spans="2:18" s="108" customFormat="1">
      <c r="B1456" s="109"/>
      <c r="C1456" s="110"/>
      <c r="D1456" s="109"/>
      <c r="E1456" s="109"/>
      <c r="F1456" s="97"/>
      <c r="G1456" s="109"/>
      <c r="H1456" s="109"/>
      <c r="I1456" s="97"/>
      <c r="J1456" s="97"/>
      <c r="K1456" s="83"/>
      <c r="L1456" s="111"/>
      <c r="M1456" s="111"/>
      <c r="N1456" s="111"/>
      <c r="O1456" s="111"/>
      <c r="P1456" s="111"/>
      <c r="Q1456" s="111"/>
      <c r="R1456" s="111"/>
    </row>
    <row r="1457" spans="2:18" s="108" customFormat="1">
      <c r="B1457" s="109"/>
      <c r="C1457" s="110"/>
      <c r="D1457" s="109"/>
      <c r="E1457" s="109"/>
      <c r="F1457" s="97"/>
      <c r="G1457" s="109"/>
      <c r="H1457" s="109"/>
      <c r="I1457" s="97"/>
      <c r="J1457" s="97"/>
      <c r="K1457" s="83"/>
      <c r="L1457" s="111"/>
      <c r="M1457" s="111"/>
      <c r="N1457" s="111"/>
      <c r="O1457" s="111"/>
      <c r="P1457" s="111"/>
      <c r="Q1457" s="111"/>
      <c r="R1457" s="111"/>
    </row>
    <row r="1458" spans="2:18" s="108" customFormat="1">
      <c r="B1458" s="109"/>
      <c r="C1458" s="110"/>
      <c r="D1458" s="109"/>
      <c r="E1458" s="109"/>
      <c r="F1458" s="97"/>
      <c r="G1458" s="109"/>
      <c r="H1458" s="109"/>
      <c r="I1458" s="97"/>
      <c r="J1458" s="97"/>
      <c r="K1458" s="83"/>
      <c r="L1458" s="111"/>
      <c r="M1458" s="111"/>
      <c r="N1458" s="111"/>
      <c r="O1458" s="111"/>
      <c r="P1458" s="111"/>
      <c r="Q1458" s="111"/>
      <c r="R1458" s="111"/>
    </row>
    <row r="1459" spans="2:18" s="108" customFormat="1">
      <c r="B1459" s="109"/>
      <c r="C1459" s="110"/>
      <c r="D1459" s="109"/>
      <c r="E1459" s="109"/>
      <c r="F1459" s="97"/>
      <c r="G1459" s="109"/>
      <c r="H1459" s="109"/>
      <c r="I1459" s="97"/>
      <c r="J1459" s="97"/>
      <c r="K1459" s="83"/>
      <c r="L1459" s="111"/>
      <c r="M1459" s="111"/>
      <c r="N1459" s="111"/>
      <c r="O1459" s="111"/>
      <c r="P1459" s="111"/>
      <c r="Q1459" s="111"/>
      <c r="R1459" s="111"/>
    </row>
    <row r="1460" spans="2:18" s="108" customFormat="1">
      <c r="B1460" s="109"/>
      <c r="C1460" s="110"/>
      <c r="D1460" s="109"/>
      <c r="E1460" s="109"/>
      <c r="F1460" s="97"/>
      <c r="G1460" s="109"/>
      <c r="H1460" s="109"/>
      <c r="I1460" s="97"/>
      <c r="J1460" s="97"/>
      <c r="K1460" s="83"/>
      <c r="L1460" s="111"/>
      <c r="M1460" s="111"/>
      <c r="N1460" s="111"/>
      <c r="O1460" s="111"/>
      <c r="P1460" s="111"/>
      <c r="Q1460" s="111"/>
      <c r="R1460" s="111"/>
    </row>
    <row r="1461" spans="2:18" s="108" customFormat="1">
      <c r="B1461" s="109"/>
      <c r="C1461" s="110"/>
      <c r="D1461" s="109"/>
      <c r="E1461" s="109"/>
      <c r="F1461" s="97"/>
      <c r="G1461" s="109"/>
      <c r="H1461" s="109"/>
      <c r="I1461" s="97"/>
      <c r="J1461" s="97"/>
      <c r="K1461" s="83"/>
      <c r="L1461" s="111"/>
      <c r="M1461" s="111"/>
      <c r="N1461" s="111"/>
      <c r="O1461" s="111"/>
      <c r="P1461" s="111"/>
      <c r="Q1461" s="111"/>
      <c r="R1461" s="111"/>
    </row>
    <row r="1462" spans="2:18" s="108" customFormat="1">
      <c r="B1462" s="109"/>
      <c r="C1462" s="110"/>
      <c r="D1462" s="109"/>
      <c r="E1462" s="109"/>
      <c r="F1462" s="97"/>
      <c r="G1462" s="109"/>
      <c r="H1462" s="109"/>
      <c r="I1462" s="97"/>
      <c r="J1462" s="97"/>
      <c r="K1462" s="83"/>
      <c r="L1462" s="111"/>
      <c r="M1462" s="111"/>
      <c r="N1462" s="111"/>
      <c r="O1462" s="111"/>
      <c r="P1462" s="111"/>
      <c r="Q1462" s="111"/>
      <c r="R1462" s="111"/>
    </row>
    <row r="1463" spans="2:18" s="108" customFormat="1">
      <c r="B1463" s="109"/>
      <c r="C1463" s="110"/>
      <c r="D1463" s="109"/>
      <c r="E1463" s="109"/>
      <c r="F1463" s="97"/>
      <c r="G1463" s="109"/>
      <c r="H1463" s="109"/>
      <c r="I1463" s="97"/>
      <c r="J1463" s="97"/>
      <c r="K1463" s="83"/>
      <c r="L1463" s="111"/>
      <c r="M1463" s="111"/>
      <c r="N1463" s="111"/>
      <c r="O1463" s="111"/>
      <c r="P1463" s="111"/>
      <c r="Q1463" s="111"/>
      <c r="R1463" s="111"/>
    </row>
    <row r="1464" spans="2:18" s="108" customFormat="1">
      <c r="B1464" s="109"/>
      <c r="C1464" s="110"/>
      <c r="D1464" s="109"/>
      <c r="E1464" s="109"/>
      <c r="F1464" s="97"/>
      <c r="G1464" s="109"/>
      <c r="H1464" s="109"/>
      <c r="I1464" s="97"/>
      <c r="J1464" s="97"/>
      <c r="K1464" s="83"/>
      <c r="L1464" s="111"/>
      <c r="M1464" s="111"/>
      <c r="N1464" s="111"/>
      <c r="O1464" s="111"/>
      <c r="P1464" s="111"/>
      <c r="Q1464" s="111"/>
      <c r="R1464" s="111"/>
    </row>
    <row r="1465" spans="2:18" s="108" customFormat="1">
      <c r="B1465" s="109"/>
      <c r="C1465" s="110"/>
      <c r="D1465" s="109"/>
      <c r="E1465" s="109"/>
      <c r="F1465" s="97"/>
      <c r="G1465" s="109"/>
      <c r="H1465" s="109"/>
      <c r="I1465" s="97"/>
      <c r="J1465" s="97"/>
      <c r="K1465" s="83"/>
      <c r="L1465" s="111"/>
      <c r="M1465" s="111"/>
      <c r="N1465" s="111"/>
      <c r="O1465" s="111"/>
      <c r="P1465" s="111"/>
      <c r="Q1465" s="111"/>
      <c r="R1465" s="111"/>
    </row>
    <row r="1466" spans="2:18" s="108" customFormat="1">
      <c r="B1466" s="109"/>
      <c r="C1466" s="110"/>
      <c r="D1466" s="109"/>
      <c r="E1466" s="109"/>
      <c r="F1466" s="97"/>
      <c r="G1466" s="109"/>
      <c r="H1466" s="109"/>
      <c r="I1466" s="97"/>
      <c r="J1466" s="97"/>
      <c r="K1466" s="83"/>
      <c r="L1466" s="111"/>
      <c r="M1466" s="111"/>
      <c r="N1466" s="111"/>
      <c r="O1466" s="111"/>
      <c r="P1466" s="111"/>
      <c r="Q1466" s="111"/>
      <c r="R1466" s="111"/>
    </row>
    <row r="1467" spans="2:18" s="108" customFormat="1">
      <c r="B1467" s="109"/>
      <c r="C1467" s="110"/>
      <c r="D1467" s="109"/>
      <c r="E1467" s="109"/>
      <c r="F1467" s="97"/>
      <c r="G1467" s="109"/>
      <c r="H1467" s="109"/>
      <c r="I1467" s="97"/>
      <c r="J1467" s="97"/>
      <c r="K1467" s="83"/>
      <c r="L1467" s="111"/>
      <c r="M1467" s="111"/>
      <c r="N1467" s="111"/>
      <c r="O1467" s="111"/>
      <c r="P1467" s="111"/>
      <c r="Q1467" s="111"/>
      <c r="R1467" s="111"/>
    </row>
    <row r="1468" spans="2:18" s="108" customFormat="1">
      <c r="B1468" s="109"/>
      <c r="C1468" s="110"/>
      <c r="D1468" s="109"/>
      <c r="E1468" s="109"/>
      <c r="F1468" s="97"/>
      <c r="G1468" s="109"/>
      <c r="H1468" s="109"/>
      <c r="I1468" s="97"/>
      <c r="J1468" s="97"/>
      <c r="K1468" s="83"/>
      <c r="L1468" s="111"/>
      <c r="M1468" s="111"/>
      <c r="N1468" s="111"/>
      <c r="O1468" s="111"/>
      <c r="P1468" s="111"/>
      <c r="Q1468" s="111"/>
      <c r="R1468" s="111"/>
    </row>
    <row r="1469" spans="2:18" s="108" customFormat="1">
      <c r="B1469" s="109"/>
      <c r="C1469" s="110"/>
      <c r="D1469" s="109"/>
      <c r="E1469" s="109"/>
      <c r="F1469" s="97"/>
      <c r="G1469" s="109"/>
      <c r="H1469" s="109"/>
      <c r="I1469" s="97"/>
      <c r="J1469" s="97"/>
      <c r="K1469" s="83"/>
      <c r="L1469" s="111"/>
      <c r="M1469" s="111"/>
      <c r="N1469" s="111"/>
      <c r="O1469" s="111"/>
      <c r="P1469" s="111"/>
      <c r="Q1469" s="111"/>
      <c r="R1469" s="111"/>
    </row>
    <row r="1470" spans="2:18" s="108" customFormat="1">
      <c r="B1470" s="109"/>
      <c r="C1470" s="110"/>
      <c r="D1470" s="109"/>
      <c r="E1470" s="109"/>
      <c r="F1470" s="97"/>
      <c r="G1470" s="109"/>
      <c r="H1470" s="109"/>
      <c r="I1470" s="97"/>
      <c r="J1470" s="97"/>
      <c r="K1470" s="83"/>
      <c r="L1470" s="111"/>
      <c r="M1470" s="111"/>
      <c r="N1470" s="111"/>
      <c r="O1470" s="111"/>
      <c r="P1470" s="111"/>
      <c r="Q1470" s="111"/>
      <c r="R1470" s="111"/>
    </row>
    <row r="1471" spans="2:18" s="108" customFormat="1">
      <c r="B1471" s="109"/>
      <c r="C1471" s="110"/>
      <c r="D1471" s="109"/>
      <c r="E1471" s="109"/>
      <c r="F1471" s="97"/>
      <c r="G1471" s="109"/>
      <c r="H1471" s="109"/>
      <c r="I1471" s="97"/>
      <c r="J1471" s="97"/>
      <c r="K1471" s="83"/>
      <c r="L1471" s="111"/>
      <c r="M1471" s="111"/>
      <c r="N1471" s="111"/>
      <c r="O1471" s="111"/>
      <c r="P1471" s="111"/>
      <c r="Q1471" s="111"/>
      <c r="R1471" s="111"/>
    </row>
    <row r="1472" spans="2:18" s="108" customFormat="1">
      <c r="B1472" s="109"/>
      <c r="C1472" s="110"/>
      <c r="D1472" s="109"/>
      <c r="E1472" s="109"/>
      <c r="F1472" s="97"/>
      <c r="G1472" s="109"/>
      <c r="H1472" s="109"/>
      <c r="I1472" s="97"/>
      <c r="J1472" s="97"/>
      <c r="K1472" s="83"/>
      <c r="L1472" s="111"/>
      <c r="M1472" s="111"/>
      <c r="N1472" s="111"/>
      <c r="O1472" s="111"/>
      <c r="P1472" s="111"/>
      <c r="Q1472" s="111"/>
      <c r="R1472" s="111"/>
    </row>
    <row r="1473" spans="2:18" s="108" customFormat="1">
      <c r="B1473" s="109"/>
      <c r="C1473" s="110"/>
      <c r="D1473" s="109"/>
      <c r="E1473" s="109"/>
      <c r="F1473" s="97"/>
      <c r="G1473" s="109"/>
      <c r="H1473" s="109"/>
      <c r="I1473" s="97"/>
      <c r="J1473" s="97"/>
      <c r="K1473" s="83"/>
      <c r="L1473" s="111"/>
      <c r="M1473" s="111"/>
      <c r="N1473" s="111"/>
      <c r="O1473" s="111"/>
      <c r="P1473" s="111"/>
      <c r="Q1473" s="111"/>
      <c r="R1473" s="111"/>
    </row>
    <row r="1474" spans="2:18" s="108" customFormat="1">
      <c r="B1474" s="109"/>
      <c r="C1474" s="110"/>
      <c r="D1474" s="109"/>
      <c r="E1474" s="109"/>
      <c r="F1474" s="97"/>
      <c r="G1474" s="109"/>
      <c r="H1474" s="109"/>
      <c r="I1474" s="97"/>
      <c r="J1474" s="97"/>
      <c r="K1474" s="83"/>
      <c r="L1474" s="111"/>
      <c r="M1474" s="111"/>
      <c r="N1474" s="111"/>
      <c r="O1474" s="111"/>
      <c r="P1474" s="111"/>
      <c r="Q1474" s="111"/>
      <c r="R1474" s="111"/>
    </row>
    <row r="1475" spans="2:18" s="108" customFormat="1">
      <c r="B1475" s="109"/>
      <c r="C1475" s="110"/>
      <c r="D1475" s="109"/>
      <c r="E1475" s="109"/>
      <c r="F1475" s="97"/>
      <c r="G1475" s="109"/>
      <c r="H1475" s="109"/>
      <c r="I1475" s="97"/>
      <c r="J1475" s="97"/>
      <c r="K1475" s="83"/>
      <c r="L1475" s="111"/>
      <c r="M1475" s="111"/>
      <c r="N1475" s="111"/>
      <c r="O1475" s="111"/>
      <c r="P1475" s="111"/>
      <c r="Q1475" s="111"/>
      <c r="R1475" s="111"/>
    </row>
    <row r="1476" spans="2:18" s="108" customFormat="1">
      <c r="B1476" s="109"/>
      <c r="C1476" s="110"/>
      <c r="D1476" s="109"/>
      <c r="E1476" s="109"/>
      <c r="F1476" s="97"/>
      <c r="G1476" s="109"/>
      <c r="H1476" s="109"/>
      <c r="I1476" s="97"/>
      <c r="J1476" s="97"/>
      <c r="K1476" s="83"/>
      <c r="L1476" s="111"/>
      <c r="M1476" s="111"/>
      <c r="N1476" s="111"/>
      <c r="O1476" s="111"/>
      <c r="P1476" s="111"/>
      <c r="Q1476" s="111"/>
      <c r="R1476" s="111"/>
    </row>
    <row r="1477" spans="2:18" s="108" customFormat="1">
      <c r="B1477" s="109"/>
      <c r="C1477" s="110"/>
      <c r="D1477" s="109"/>
      <c r="E1477" s="109"/>
      <c r="F1477" s="97"/>
      <c r="G1477" s="109"/>
      <c r="H1477" s="109"/>
      <c r="I1477" s="97"/>
      <c r="J1477" s="97"/>
      <c r="K1477" s="83"/>
      <c r="L1477" s="111"/>
      <c r="M1477" s="111"/>
      <c r="N1477" s="111"/>
      <c r="O1477" s="111"/>
      <c r="P1477" s="111"/>
      <c r="Q1477" s="111"/>
      <c r="R1477" s="111"/>
    </row>
    <row r="1478" spans="2:18" s="108" customFormat="1">
      <c r="B1478" s="109"/>
      <c r="C1478" s="110"/>
      <c r="D1478" s="109"/>
      <c r="E1478" s="109"/>
      <c r="F1478" s="97"/>
      <c r="G1478" s="109"/>
      <c r="H1478" s="109"/>
      <c r="I1478" s="97"/>
      <c r="J1478" s="97"/>
      <c r="K1478" s="83"/>
      <c r="L1478" s="111"/>
      <c r="M1478" s="111"/>
      <c r="N1478" s="111"/>
      <c r="O1478" s="111"/>
      <c r="P1478" s="111"/>
      <c r="Q1478" s="111"/>
      <c r="R1478" s="111"/>
    </row>
    <row r="1479" spans="2:18" s="108" customFormat="1">
      <c r="B1479" s="109"/>
      <c r="C1479" s="110"/>
      <c r="D1479" s="109"/>
      <c r="E1479" s="109"/>
      <c r="F1479" s="97"/>
      <c r="G1479" s="109"/>
      <c r="H1479" s="109"/>
      <c r="I1479" s="97"/>
      <c r="J1479" s="97"/>
      <c r="K1479" s="83"/>
      <c r="L1479" s="111"/>
      <c r="M1479" s="111"/>
      <c r="N1479" s="111"/>
      <c r="O1479" s="111"/>
      <c r="P1479" s="111"/>
      <c r="Q1479" s="111"/>
      <c r="R1479" s="111"/>
    </row>
    <row r="1480" spans="2:18" s="108" customFormat="1">
      <c r="B1480" s="109"/>
      <c r="C1480" s="110"/>
      <c r="D1480" s="109"/>
      <c r="E1480" s="109"/>
      <c r="F1480" s="97"/>
      <c r="G1480" s="109"/>
      <c r="H1480" s="109"/>
      <c r="I1480" s="97"/>
      <c r="J1480" s="97"/>
      <c r="K1480" s="83"/>
      <c r="L1480" s="111"/>
      <c r="M1480" s="111"/>
      <c r="N1480" s="111"/>
      <c r="O1480" s="111"/>
      <c r="P1480" s="111"/>
      <c r="Q1480" s="111"/>
      <c r="R1480" s="111"/>
    </row>
    <row r="1481" spans="2:18" s="108" customFormat="1">
      <c r="B1481" s="109"/>
      <c r="C1481" s="110"/>
      <c r="D1481" s="109"/>
      <c r="E1481" s="109"/>
      <c r="F1481" s="97"/>
      <c r="G1481" s="109"/>
      <c r="H1481" s="109"/>
      <c r="I1481" s="97"/>
      <c r="J1481" s="97"/>
      <c r="K1481" s="83"/>
      <c r="L1481" s="111"/>
      <c r="M1481" s="111"/>
      <c r="N1481" s="111"/>
      <c r="O1481" s="111"/>
      <c r="P1481" s="111"/>
      <c r="Q1481" s="111"/>
      <c r="R1481" s="111"/>
    </row>
    <row r="1482" spans="2:18" s="108" customFormat="1">
      <c r="B1482" s="109"/>
      <c r="C1482" s="110"/>
      <c r="D1482" s="109"/>
      <c r="E1482" s="109"/>
      <c r="F1482" s="97"/>
      <c r="G1482" s="109"/>
      <c r="H1482" s="109"/>
      <c r="I1482" s="97"/>
      <c r="J1482" s="97"/>
      <c r="K1482" s="83"/>
      <c r="L1482" s="111"/>
      <c r="M1482" s="111"/>
      <c r="N1482" s="111"/>
      <c r="O1482" s="111"/>
      <c r="P1482" s="111"/>
      <c r="Q1482" s="111"/>
      <c r="R1482" s="111"/>
    </row>
    <row r="1483" spans="2:18" s="108" customFormat="1">
      <c r="B1483" s="109"/>
      <c r="C1483" s="110"/>
      <c r="D1483" s="109"/>
      <c r="E1483" s="109"/>
      <c r="F1483" s="97"/>
      <c r="G1483" s="109"/>
      <c r="H1483" s="109"/>
      <c r="I1483" s="97"/>
      <c r="J1483" s="97"/>
      <c r="K1483" s="83"/>
      <c r="L1483" s="111"/>
      <c r="M1483" s="111"/>
      <c r="N1483" s="111"/>
      <c r="O1483" s="111"/>
      <c r="P1483" s="111"/>
      <c r="Q1483" s="111"/>
      <c r="R1483" s="111"/>
    </row>
    <row r="1484" spans="2:18" s="108" customFormat="1">
      <c r="B1484" s="109"/>
      <c r="C1484" s="110"/>
      <c r="D1484" s="109"/>
      <c r="E1484" s="109"/>
      <c r="F1484" s="97"/>
      <c r="G1484" s="109"/>
      <c r="H1484" s="109"/>
      <c r="I1484" s="97"/>
      <c r="J1484" s="97"/>
      <c r="K1484" s="83"/>
      <c r="L1484" s="111"/>
      <c r="M1484" s="111"/>
      <c r="N1484" s="111"/>
      <c r="O1484" s="111"/>
      <c r="P1484" s="111"/>
      <c r="Q1484" s="111"/>
      <c r="R1484" s="111"/>
    </row>
    <row r="1485" spans="2:18" s="108" customFormat="1">
      <c r="B1485" s="109"/>
      <c r="C1485" s="110"/>
      <c r="D1485" s="109"/>
      <c r="E1485" s="109"/>
      <c r="F1485" s="97"/>
      <c r="G1485" s="109"/>
      <c r="H1485" s="109"/>
      <c r="I1485" s="97"/>
      <c r="J1485" s="97"/>
      <c r="K1485" s="83"/>
      <c r="L1485" s="111"/>
      <c r="M1485" s="111"/>
      <c r="N1485" s="111"/>
      <c r="O1485" s="111"/>
      <c r="P1485" s="111"/>
      <c r="Q1485" s="111"/>
      <c r="R1485" s="111"/>
    </row>
    <row r="1486" spans="2:18" s="108" customFormat="1">
      <c r="B1486" s="109"/>
      <c r="C1486" s="110"/>
      <c r="D1486" s="109"/>
      <c r="E1486" s="109"/>
      <c r="F1486" s="97"/>
      <c r="G1486" s="109"/>
      <c r="H1486" s="109"/>
      <c r="I1486" s="97"/>
      <c r="J1486" s="97"/>
      <c r="K1486" s="83"/>
      <c r="L1486" s="111"/>
      <c r="M1486" s="111"/>
      <c r="N1486" s="111"/>
      <c r="O1486" s="111"/>
      <c r="P1486" s="111"/>
      <c r="Q1486" s="111"/>
      <c r="R1486" s="111"/>
    </row>
    <row r="1487" spans="2:18" s="108" customFormat="1">
      <c r="B1487" s="109"/>
      <c r="C1487" s="110"/>
      <c r="D1487" s="109"/>
      <c r="E1487" s="109"/>
      <c r="F1487" s="97"/>
      <c r="G1487" s="109"/>
      <c r="H1487" s="109"/>
      <c r="I1487" s="97"/>
      <c r="J1487" s="97"/>
      <c r="K1487" s="83"/>
      <c r="L1487" s="111"/>
      <c r="M1487" s="111"/>
      <c r="N1487" s="111"/>
      <c r="O1487" s="111"/>
      <c r="P1487" s="111"/>
      <c r="Q1487" s="111"/>
      <c r="R1487" s="111"/>
    </row>
    <row r="1488" spans="2:18" s="108" customFormat="1">
      <c r="B1488" s="109"/>
      <c r="C1488" s="110"/>
      <c r="D1488" s="109"/>
      <c r="E1488" s="109"/>
      <c r="F1488" s="97"/>
      <c r="G1488" s="109"/>
      <c r="H1488" s="109"/>
      <c r="I1488" s="97"/>
      <c r="J1488" s="97"/>
      <c r="K1488" s="83"/>
      <c r="L1488" s="111"/>
      <c r="M1488" s="111"/>
      <c r="N1488" s="111"/>
      <c r="O1488" s="111"/>
      <c r="P1488" s="111"/>
      <c r="Q1488" s="111"/>
      <c r="R1488" s="111"/>
    </row>
    <row r="1489" spans="2:18" s="108" customFormat="1">
      <c r="B1489" s="109"/>
      <c r="C1489" s="110"/>
      <c r="D1489" s="109"/>
      <c r="E1489" s="109"/>
      <c r="F1489" s="97"/>
      <c r="G1489" s="109"/>
      <c r="H1489" s="109"/>
      <c r="I1489" s="97"/>
      <c r="J1489" s="97"/>
      <c r="K1489" s="83"/>
      <c r="L1489" s="111"/>
      <c r="M1489" s="111"/>
      <c r="N1489" s="111"/>
      <c r="O1489" s="111"/>
      <c r="P1489" s="111"/>
      <c r="Q1489" s="111"/>
      <c r="R1489" s="111"/>
    </row>
    <row r="1490" spans="2:18" s="108" customFormat="1">
      <c r="B1490" s="109"/>
      <c r="C1490" s="110"/>
      <c r="D1490" s="109"/>
      <c r="E1490" s="109"/>
      <c r="F1490" s="97"/>
      <c r="G1490" s="109"/>
      <c r="H1490" s="109"/>
      <c r="I1490" s="97"/>
      <c r="J1490" s="97"/>
      <c r="K1490" s="83"/>
      <c r="L1490" s="111"/>
      <c r="M1490" s="111"/>
      <c r="N1490" s="111"/>
      <c r="O1490" s="111"/>
      <c r="P1490" s="111"/>
      <c r="Q1490" s="111"/>
      <c r="R1490" s="111"/>
    </row>
    <row r="1491" spans="2:18" s="108" customFormat="1">
      <c r="B1491" s="109"/>
      <c r="C1491" s="110"/>
      <c r="D1491" s="109"/>
      <c r="E1491" s="109"/>
      <c r="F1491" s="97"/>
      <c r="G1491" s="109"/>
      <c r="H1491" s="109"/>
      <c r="I1491" s="97"/>
      <c r="J1491" s="97"/>
      <c r="K1491" s="83"/>
      <c r="L1491" s="111"/>
      <c r="M1491" s="111"/>
      <c r="N1491" s="111"/>
      <c r="O1491" s="111"/>
      <c r="P1491" s="111"/>
      <c r="Q1491" s="111"/>
      <c r="R1491" s="111"/>
    </row>
    <row r="1492" spans="2:18" s="108" customFormat="1">
      <c r="B1492" s="109"/>
      <c r="C1492" s="110"/>
      <c r="D1492" s="109"/>
      <c r="E1492" s="109"/>
      <c r="F1492" s="97"/>
      <c r="G1492" s="109"/>
      <c r="H1492" s="109"/>
      <c r="I1492" s="97"/>
      <c r="J1492" s="97"/>
      <c r="K1492" s="83"/>
      <c r="L1492" s="111"/>
      <c r="M1492" s="111"/>
      <c r="N1492" s="111"/>
      <c r="O1492" s="111"/>
      <c r="P1492" s="111"/>
      <c r="Q1492" s="111"/>
      <c r="R1492" s="111"/>
    </row>
    <row r="1493" spans="2:18" s="108" customFormat="1">
      <c r="B1493" s="109"/>
      <c r="C1493" s="110"/>
      <c r="D1493" s="109"/>
      <c r="E1493" s="109"/>
      <c r="F1493" s="97"/>
      <c r="G1493" s="109"/>
      <c r="H1493" s="109"/>
      <c r="I1493" s="97"/>
      <c r="J1493" s="97"/>
      <c r="K1493" s="83"/>
      <c r="L1493" s="111"/>
      <c r="M1493" s="111"/>
      <c r="N1493" s="111"/>
      <c r="O1493" s="111"/>
      <c r="P1493" s="111"/>
      <c r="Q1493" s="111"/>
      <c r="R1493" s="111"/>
    </row>
    <row r="1494" spans="2:18" s="108" customFormat="1">
      <c r="B1494" s="109"/>
      <c r="C1494" s="110"/>
      <c r="D1494" s="109"/>
      <c r="E1494" s="109"/>
      <c r="F1494" s="97"/>
      <c r="G1494" s="109"/>
      <c r="H1494" s="109"/>
      <c r="I1494" s="97"/>
      <c r="J1494" s="97"/>
      <c r="K1494" s="83"/>
      <c r="L1494" s="111"/>
      <c r="M1494" s="111"/>
      <c r="N1494" s="111"/>
      <c r="O1494" s="111"/>
      <c r="P1494" s="111"/>
      <c r="Q1494" s="111"/>
      <c r="R1494" s="111"/>
    </row>
    <row r="1495" spans="2:18" s="108" customFormat="1">
      <c r="B1495" s="109"/>
      <c r="C1495" s="110"/>
      <c r="D1495" s="109"/>
      <c r="E1495" s="109"/>
      <c r="F1495" s="97"/>
      <c r="G1495" s="109"/>
      <c r="H1495" s="109"/>
      <c r="I1495" s="97"/>
      <c r="J1495" s="97"/>
      <c r="K1495" s="83"/>
      <c r="L1495" s="111"/>
      <c r="M1495" s="111"/>
      <c r="N1495" s="111"/>
      <c r="O1495" s="111"/>
      <c r="P1495" s="111"/>
      <c r="Q1495" s="111"/>
      <c r="R1495" s="111"/>
    </row>
    <row r="1496" spans="2:18" s="108" customFormat="1">
      <c r="B1496" s="109"/>
      <c r="C1496" s="110"/>
      <c r="D1496" s="109"/>
      <c r="E1496" s="109"/>
      <c r="F1496" s="97"/>
      <c r="G1496" s="109"/>
      <c r="H1496" s="109"/>
      <c r="I1496" s="97"/>
      <c r="J1496" s="97"/>
      <c r="K1496" s="83"/>
      <c r="L1496" s="111"/>
      <c r="M1496" s="111"/>
      <c r="N1496" s="111"/>
      <c r="O1496" s="111"/>
      <c r="P1496" s="111"/>
      <c r="Q1496" s="111"/>
      <c r="R1496" s="111"/>
    </row>
    <row r="1497" spans="2:18" s="108" customFormat="1">
      <c r="B1497" s="109"/>
      <c r="C1497" s="110"/>
      <c r="D1497" s="109"/>
      <c r="E1497" s="109"/>
      <c r="F1497" s="97"/>
      <c r="G1497" s="109"/>
      <c r="H1497" s="109"/>
      <c r="I1497" s="97"/>
      <c r="J1497" s="97"/>
      <c r="K1497" s="83"/>
      <c r="L1497" s="111"/>
      <c r="M1497" s="111"/>
      <c r="N1497" s="111"/>
      <c r="O1497" s="111"/>
      <c r="P1497" s="111"/>
      <c r="Q1497" s="111"/>
      <c r="R1497" s="111"/>
    </row>
    <row r="1498" spans="2:18" s="108" customFormat="1">
      <c r="B1498" s="109"/>
      <c r="C1498" s="110"/>
      <c r="D1498" s="109"/>
      <c r="E1498" s="109"/>
      <c r="F1498" s="97"/>
      <c r="G1498" s="109"/>
      <c r="H1498" s="109"/>
      <c r="I1498" s="97"/>
      <c r="J1498" s="97"/>
      <c r="K1498" s="83"/>
      <c r="L1498" s="111"/>
      <c r="M1498" s="111"/>
      <c r="N1498" s="111"/>
      <c r="O1498" s="111"/>
      <c r="P1498" s="111"/>
      <c r="Q1498" s="111"/>
      <c r="R1498" s="111"/>
    </row>
    <row r="1499" spans="2:18" s="108" customFormat="1">
      <c r="B1499" s="109"/>
      <c r="C1499" s="110"/>
      <c r="D1499" s="109"/>
      <c r="E1499" s="109"/>
      <c r="F1499" s="97"/>
      <c r="G1499" s="109"/>
      <c r="H1499" s="109"/>
      <c r="I1499" s="97"/>
      <c r="J1499" s="97"/>
      <c r="K1499" s="83"/>
      <c r="L1499" s="111"/>
      <c r="M1499" s="111"/>
      <c r="N1499" s="111"/>
      <c r="O1499" s="111"/>
      <c r="P1499" s="111"/>
      <c r="Q1499" s="111"/>
      <c r="R1499" s="111"/>
    </row>
    <row r="1500" spans="2:18" s="108" customFormat="1">
      <c r="B1500" s="109"/>
      <c r="C1500" s="110"/>
      <c r="D1500" s="109"/>
      <c r="E1500" s="109"/>
      <c r="F1500" s="97"/>
      <c r="G1500" s="109"/>
      <c r="H1500" s="109"/>
      <c r="I1500" s="97"/>
      <c r="J1500" s="97"/>
      <c r="K1500" s="83"/>
      <c r="L1500" s="111"/>
      <c r="M1500" s="111"/>
      <c r="N1500" s="111"/>
      <c r="O1500" s="111"/>
      <c r="P1500" s="111"/>
      <c r="Q1500" s="111"/>
      <c r="R1500" s="111"/>
    </row>
    <row r="1501" spans="2:18" s="108" customFormat="1">
      <c r="B1501" s="109"/>
      <c r="C1501" s="110"/>
      <c r="D1501" s="109"/>
      <c r="E1501" s="109"/>
      <c r="F1501" s="97"/>
      <c r="G1501" s="109"/>
      <c r="H1501" s="109"/>
      <c r="I1501" s="97"/>
      <c r="J1501" s="97"/>
      <c r="K1501" s="83"/>
      <c r="L1501" s="111"/>
      <c r="M1501" s="111"/>
      <c r="N1501" s="111"/>
      <c r="O1501" s="111"/>
      <c r="P1501" s="111"/>
      <c r="Q1501" s="111"/>
      <c r="R1501" s="111"/>
    </row>
    <row r="1502" spans="2:18" s="108" customFormat="1">
      <c r="B1502" s="109"/>
      <c r="C1502" s="110"/>
      <c r="D1502" s="109"/>
      <c r="E1502" s="109"/>
      <c r="F1502" s="97"/>
      <c r="G1502" s="109"/>
      <c r="H1502" s="109"/>
      <c r="I1502" s="97"/>
      <c r="J1502" s="97"/>
      <c r="K1502" s="83"/>
      <c r="L1502" s="111"/>
      <c r="M1502" s="111"/>
      <c r="N1502" s="111"/>
      <c r="O1502" s="111"/>
      <c r="P1502" s="111"/>
      <c r="Q1502" s="111"/>
      <c r="R1502" s="111"/>
    </row>
    <row r="1503" spans="2:18" s="108" customFormat="1">
      <c r="B1503" s="109"/>
      <c r="C1503" s="110"/>
      <c r="D1503" s="109"/>
      <c r="E1503" s="109"/>
      <c r="F1503" s="97"/>
      <c r="G1503" s="109"/>
      <c r="H1503" s="109"/>
      <c r="I1503" s="97"/>
      <c r="J1503" s="97"/>
      <c r="K1503" s="83"/>
      <c r="L1503" s="111"/>
      <c r="M1503" s="111"/>
      <c r="N1503" s="111"/>
      <c r="O1503" s="111"/>
      <c r="P1503" s="111"/>
      <c r="Q1503" s="111"/>
      <c r="R1503" s="111"/>
    </row>
    <row r="1504" spans="2:18" s="108" customFormat="1">
      <c r="B1504" s="109"/>
      <c r="C1504" s="110"/>
      <c r="D1504" s="109"/>
      <c r="E1504" s="109"/>
      <c r="F1504" s="97"/>
      <c r="G1504" s="109"/>
      <c r="H1504" s="109"/>
      <c r="I1504" s="97"/>
      <c r="J1504" s="97"/>
      <c r="K1504" s="83"/>
      <c r="L1504" s="111"/>
      <c r="M1504" s="111"/>
      <c r="N1504" s="111"/>
      <c r="O1504" s="111"/>
      <c r="P1504" s="111"/>
      <c r="Q1504" s="111"/>
      <c r="R1504" s="111"/>
    </row>
    <row r="1505" spans="2:18" s="108" customFormat="1">
      <c r="B1505" s="109"/>
      <c r="C1505" s="110"/>
      <c r="D1505" s="109"/>
      <c r="E1505" s="109"/>
      <c r="F1505" s="97"/>
      <c r="G1505" s="109"/>
      <c r="H1505" s="109"/>
      <c r="I1505" s="97"/>
      <c r="J1505" s="97"/>
      <c r="K1505" s="83"/>
      <c r="L1505" s="111"/>
      <c r="M1505" s="111"/>
      <c r="N1505" s="111"/>
      <c r="O1505" s="111"/>
      <c r="P1505" s="111"/>
      <c r="Q1505" s="111"/>
      <c r="R1505" s="111"/>
    </row>
    <row r="1506" spans="2:18" s="108" customFormat="1">
      <c r="B1506" s="109"/>
      <c r="C1506" s="110"/>
      <c r="D1506" s="109"/>
      <c r="E1506" s="109"/>
      <c r="F1506" s="97"/>
      <c r="G1506" s="109"/>
      <c r="H1506" s="109"/>
      <c r="I1506" s="97"/>
      <c r="J1506" s="97"/>
      <c r="K1506" s="83"/>
      <c r="L1506" s="111"/>
      <c r="M1506" s="111"/>
      <c r="N1506" s="111"/>
      <c r="O1506" s="111"/>
      <c r="P1506" s="111"/>
      <c r="Q1506" s="111"/>
      <c r="R1506" s="111"/>
    </row>
    <row r="1507" spans="2:18" s="108" customFormat="1">
      <c r="B1507" s="109"/>
      <c r="C1507" s="110"/>
      <c r="D1507" s="109"/>
      <c r="E1507" s="109"/>
      <c r="F1507" s="97"/>
      <c r="G1507" s="109"/>
      <c r="H1507" s="109"/>
      <c r="I1507" s="97"/>
      <c r="J1507" s="97"/>
      <c r="K1507" s="83"/>
      <c r="L1507" s="111"/>
      <c r="M1507" s="111"/>
      <c r="N1507" s="111"/>
      <c r="O1507" s="111"/>
      <c r="P1507" s="111"/>
      <c r="Q1507" s="111"/>
      <c r="R1507" s="111"/>
    </row>
    <row r="1508" spans="2:18" s="108" customFormat="1">
      <c r="B1508" s="109"/>
      <c r="C1508" s="110"/>
      <c r="D1508" s="109"/>
      <c r="E1508" s="109"/>
      <c r="F1508" s="97"/>
      <c r="G1508" s="109"/>
      <c r="H1508" s="109"/>
      <c r="I1508" s="97"/>
      <c r="J1508" s="97"/>
      <c r="K1508" s="83"/>
      <c r="L1508" s="111"/>
      <c r="M1508" s="111"/>
      <c r="N1508" s="111"/>
      <c r="O1508" s="111"/>
      <c r="P1508" s="111"/>
      <c r="Q1508" s="111"/>
      <c r="R1508" s="111"/>
    </row>
    <row r="1509" spans="2:18" s="108" customFormat="1">
      <c r="B1509" s="109"/>
      <c r="C1509" s="110"/>
      <c r="D1509" s="109"/>
      <c r="E1509" s="109"/>
      <c r="F1509" s="97"/>
      <c r="G1509" s="109"/>
      <c r="H1509" s="109"/>
      <c r="I1509" s="97"/>
      <c r="J1509" s="97"/>
      <c r="K1509" s="83"/>
      <c r="L1509" s="111"/>
      <c r="M1509" s="111"/>
      <c r="N1509" s="111"/>
      <c r="O1509" s="111"/>
      <c r="P1509" s="111"/>
      <c r="Q1509" s="111"/>
      <c r="R1509" s="111"/>
    </row>
    <row r="1510" spans="2:18" s="108" customFormat="1">
      <c r="B1510" s="109"/>
      <c r="C1510" s="110"/>
      <c r="D1510" s="109"/>
      <c r="E1510" s="109"/>
      <c r="F1510" s="97"/>
      <c r="G1510" s="109"/>
      <c r="H1510" s="109"/>
      <c r="I1510" s="97"/>
      <c r="J1510" s="97"/>
      <c r="K1510" s="83"/>
      <c r="L1510" s="111"/>
      <c r="M1510" s="111"/>
      <c r="N1510" s="111"/>
      <c r="O1510" s="111"/>
      <c r="P1510" s="111"/>
      <c r="Q1510" s="111"/>
      <c r="R1510" s="111"/>
    </row>
    <row r="1511" spans="2:18" s="108" customFormat="1">
      <c r="B1511" s="109"/>
      <c r="C1511" s="110"/>
      <c r="D1511" s="109"/>
      <c r="E1511" s="109"/>
      <c r="F1511" s="97"/>
      <c r="G1511" s="109"/>
      <c r="H1511" s="109"/>
      <c r="I1511" s="97"/>
      <c r="J1511" s="97"/>
      <c r="K1511" s="83"/>
      <c r="L1511" s="111"/>
      <c r="M1511" s="111"/>
      <c r="N1511" s="111"/>
      <c r="O1511" s="111"/>
      <c r="P1511" s="111"/>
      <c r="Q1511" s="111"/>
      <c r="R1511" s="111"/>
    </row>
    <row r="1512" spans="2:18" s="108" customFormat="1">
      <c r="B1512" s="109"/>
      <c r="C1512" s="110"/>
      <c r="D1512" s="109"/>
      <c r="E1512" s="109"/>
      <c r="F1512" s="97"/>
      <c r="G1512" s="109"/>
      <c r="H1512" s="109"/>
      <c r="I1512" s="97"/>
      <c r="J1512" s="97"/>
      <c r="K1512" s="83"/>
      <c r="L1512" s="111"/>
      <c r="M1512" s="111"/>
      <c r="N1512" s="111"/>
      <c r="O1512" s="111"/>
      <c r="P1512" s="111"/>
      <c r="Q1512" s="111"/>
      <c r="R1512" s="111"/>
    </row>
    <row r="1513" spans="2:18" s="108" customFormat="1">
      <c r="B1513" s="109"/>
      <c r="C1513" s="110"/>
      <c r="D1513" s="109"/>
      <c r="E1513" s="109"/>
      <c r="F1513" s="97"/>
      <c r="G1513" s="109"/>
      <c r="H1513" s="109"/>
      <c r="I1513" s="97"/>
      <c r="J1513" s="97"/>
      <c r="K1513" s="83"/>
      <c r="L1513" s="111"/>
      <c r="M1513" s="111"/>
      <c r="N1513" s="111"/>
      <c r="O1513" s="111"/>
      <c r="P1513" s="111"/>
      <c r="Q1513" s="111"/>
      <c r="R1513" s="111"/>
    </row>
    <row r="1514" spans="2:18" s="108" customFormat="1">
      <c r="B1514" s="109"/>
      <c r="C1514" s="110"/>
      <c r="D1514" s="109"/>
      <c r="E1514" s="109"/>
      <c r="F1514" s="97"/>
      <c r="G1514" s="109"/>
      <c r="H1514" s="109"/>
      <c r="I1514" s="97"/>
      <c r="J1514" s="97"/>
      <c r="K1514" s="83"/>
      <c r="L1514" s="111"/>
      <c r="M1514" s="111"/>
      <c r="N1514" s="111"/>
      <c r="O1514" s="111"/>
      <c r="P1514" s="111"/>
      <c r="Q1514" s="111"/>
      <c r="R1514" s="111"/>
    </row>
    <row r="1515" spans="2:18" s="108" customFormat="1">
      <c r="B1515" s="109"/>
      <c r="C1515" s="110"/>
      <c r="D1515" s="109"/>
      <c r="E1515" s="109"/>
      <c r="F1515" s="97"/>
      <c r="G1515" s="109"/>
      <c r="H1515" s="109"/>
      <c r="I1515" s="97"/>
      <c r="J1515" s="97"/>
      <c r="K1515" s="83"/>
      <c r="L1515" s="111"/>
      <c r="M1515" s="111"/>
      <c r="N1515" s="111"/>
      <c r="O1515" s="111"/>
      <c r="P1515" s="111"/>
      <c r="Q1515" s="111"/>
      <c r="R1515" s="111"/>
    </row>
    <row r="1516" spans="2:18" s="108" customFormat="1">
      <c r="B1516" s="109"/>
      <c r="C1516" s="110"/>
      <c r="D1516" s="109"/>
      <c r="E1516" s="109"/>
      <c r="F1516" s="97"/>
      <c r="G1516" s="109"/>
      <c r="H1516" s="109"/>
      <c r="I1516" s="97"/>
      <c r="J1516" s="97"/>
      <c r="K1516" s="83"/>
      <c r="L1516" s="111"/>
      <c r="M1516" s="111"/>
      <c r="N1516" s="111"/>
      <c r="O1516" s="111"/>
      <c r="P1516" s="111"/>
      <c r="Q1516" s="111"/>
      <c r="R1516" s="111"/>
    </row>
    <row r="1517" spans="2:18" s="108" customFormat="1">
      <c r="B1517" s="109"/>
      <c r="C1517" s="110"/>
      <c r="D1517" s="109"/>
      <c r="E1517" s="109"/>
      <c r="F1517" s="97"/>
      <c r="G1517" s="109"/>
      <c r="H1517" s="109"/>
      <c r="I1517" s="97"/>
      <c r="J1517" s="97"/>
      <c r="K1517" s="83"/>
      <c r="L1517" s="111"/>
      <c r="M1517" s="111"/>
      <c r="N1517" s="111"/>
      <c r="O1517" s="111"/>
      <c r="P1517" s="111"/>
      <c r="Q1517" s="111"/>
      <c r="R1517" s="111"/>
    </row>
    <row r="1518" spans="2:18" s="108" customFormat="1">
      <c r="B1518" s="109"/>
      <c r="C1518" s="110"/>
      <c r="D1518" s="109"/>
      <c r="E1518" s="109"/>
      <c r="F1518" s="97"/>
      <c r="G1518" s="109"/>
      <c r="H1518" s="109"/>
      <c r="I1518" s="97"/>
      <c r="J1518" s="97"/>
      <c r="K1518" s="83"/>
      <c r="L1518" s="111"/>
      <c r="M1518" s="111"/>
      <c r="N1518" s="111"/>
      <c r="O1518" s="111"/>
      <c r="P1518" s="111"/>
      <c r="Q1518" s="111"/>
      <c r="R1518" s="111"/>
    </row>
    <row r="1519" spans="2:18" s="108" customFormat="1">
      <c r="B1519" s="109"/>
      <c r="C1519" s="110"/>
      <c r="D1519" s="109"/>
      <c r="E1519" s="109"/>
      <c r="F1519" s="97"/>
      <c r="G1519" s="109"/>
      <c r="H1519" s="109"/>
      <c r="I1519" s="97"/>
      <c r="J1519" s="97"/>
      <c r="K1519" s="83"/>
      <c r="L1519" s="111"/>
      <c r="M1519" s="111"/>
      <c r="N1519" s="111"/>
      <c r="O1519" s="111"/>
      <c r="P1519" s="111"/>
      <c r="Q1519" s="111"/>
      <c r="R1519" s="111"/>
    </row>
    <row r="1520" spans="2:18" s="108" customFormat="1">
      <c r="B1520" s="109"/>
      <c r="C1520" s="110"/>
      <c r="D1520" s="109"/>
      <c r="E1520" s="109"/>
      <c r="F1520" s="97"/>
      <c r="G1520" s="109"/>
      <c r="H1520" s="109"/>
      <c r="I1520" s="97"/>
      <c r="J1520" s="97"/>
      <c r="K1520" s="83"/>
      <c r="L1520" s="111"/>
      <c r="M1520" s="111"/>
      <c r="N1520" s="111"/>
      <c r="O1520" s="111"/>
      <c r="P1520" s="111"/>
      <c r="Q1520" s="111"/>
      <c r="R1520" s="111"/>
    </row>
    <row r="1521" spans="2:18" s="108" customFormat="1">
      <c r="B1521" s="109"/>
      <c r="C1521" s="110"/>
      <c r="D1521" s="109"/>
      <c r="E1521" s="109"/>
      <c r="F1521" s="97"/>
      <c r="G1521" s="109"/>
      <c r="H1521" s="109"/>
      <c r="I1521" s="97"/>
      <c r="J1521" s="97"/>
      <c r="K1521" s="83"/>
      <c r="L1521" s="111"/>
      <c r="M1521" s="111"/>
      <c r="N1521" s="111"/>
      <c r="O1521" s="111"/>
      <c r="P1521" s="111"/>
      <c r="Q1521" s="111"/>
      <c r="R1521" s="111"/>
    </row>
    <row r="1522" spans="2:18" s="108" customFormat="1">
      <c r="B1522" s="109"/>
      <c r="C1522" s="110"/>
      <c r="D1522" s="109"/>
      <c r="E1522" s="109"/>
      <c r="F1522" s="97"/>
      <c r="G1522" s="109"/>
      <c r="H1522" s="109"/>
      <c r="I1522" s="97"/>
      <c r="J1522" s="97"/>
      <c r="K1522" s="83"/>
      <c r="L1522" s="111"/>
      <c r="M1522" s="111"/>
      <c r="N1522" s="111"/>
      <c r="O1522" s="111"/>
      <c r="P1522" s="111"/>
      <c r="Q1522" s="111"/>
      <c r="R1522" s="111"/>
    </row>
    <row r="1523" spans="2:18" s="108" customFormat="1">
      <c r="B1523" s="109"/>
      <c r="C1523" s="110"/>
      <c r="D1523" s="109"/>
      <c r="E1523" s="109"/>
      <c r="F1523" s="97"/>
      <c r="G1523" s="109"/>
      <c r="H1523" s="109"/>
      <c r="I1523" s="97"/>
      <c r="J1523" s="97"/>
      <c r="K1523" s="83"/>
      <c r="L1523" s="111"/>
      <c r="M1523" s="111"/>
      <c r="N1523" s="111"/>
      <c r="O1523" s="111"/>
      <c r="P1523" s="111"/>
      <c r="Q1523" s="111"/>
      <c r="R1523" s="111"/>
    </row>
    <row r="1524" spans="2:18" s="108" customFormat="1">
      <c r="B1524" s="109"/>
      <c r="C1524" s="110"/>
      <c r="D1524" s="109"/>
      <c r="E1524" s="109"/>
      <c r="F1524" s="97"/>
      <c r="G1524" s="109"/>
      <c r="H1524" s="109"/>
      <c r="I1524" s="97"/>
      <c r="J1524" s="97"/>
      <c r="K1524" s="83"/>
      <c r="L1524" s="111"/>
      <c r="M1524" s="111"/>
      <c r="N1524" s="111"/>
      <c r="O1524" s="111"/>
      <c r="P1524" s="111"/>
      <c r="Q1524" s="111"/>
      <c r="R1524" s="111"/>
    </row>
    <row r="1525" spans="2:18" s="108" customFormat="1">
      <c r="B1525" s="109"/>
      <c r="C1525" s="110"/>
      <c r="D1525" s="109"/>
      <c r="E1525" s="109"/>
      <c r="F1525" s="97"/>
      <c r="G1525" s="109"/>
      <c r="H1525" s="109"/>
      <c r="I1525" s="97"/>
      <c r="J1525" s="97"/>
      <c r="K1525" s="83"/>
      <c r="L1525" s="111"/>
      <c r="M1525" s="111"/>
      <c r="N1525" s="111"/>
      <c r="O1525" s="111"/>
      <c r="P1525" s="111"/>
      <c r="Q1525" s="111"/>
      <c r="R1525" s="111"/>
    </row>
    <row r="1526" spans="2:18" s="108" customFormat="1">
      <c r="B1526" s="109"/>
      <c r="C1526" s="110"/>
      <c r="D1526" s="109"/>
      <c r="E1526" s="109"/>
      <c r="F1526" s="97"/>
      <c r="G1526" s="109"/>
      <c r="H1526" s="109"/>
      <c r="I1526" s="97"/>
      <c r="J1526" s="97"/>
      <c r="K1526" s="83"/>
      <c r="L1526" s="111"/>
      <c r="M1526" s="111"/>
      <c r="N1526" s="111"/>
      <c r="O1526" s="111"/>
      <c r="P1526" s="111"/>
      <c r="Q1526" s="111"/>
      <c r="R1526" s="111"/>
    </row>
    <row r="1527" spans="2:18" s="108" customFormat="1">
      <c r="B1527" s="109"/>
      <c r="C1527" s="110"/>
      <c r="D1527" s="109"/>
      <c r="E1527" s="109"/>
      <c r="F1527" s="97"/>
      <c r="G1527" s="109"/>
      <c r="H1527" s="109"/>
      <c r="I1527" s="97"/>
      <c r="J1527" s="97"/>
      <c r="K1527" s="83"/>
      <c r="L1527" s="111"/>
      <c r="M1527" s="111"/>
      <c r="N1527" s="111"/>
      <c r="O1527" s="111"/>
      <c r="P1527" s="111"/>
      <c r="Q1527" s="111"/>
      <c r="R1527" s="111"/>
    </row>
    <row r="1528" spans="2:18" s="108" customFormat="1">
      <c r="B1528" s="109"/>
      <c r="C1528" s="110"/>
      <c r="D1528" s="109"/>
      <c r="E1528" s="109"/>
      <c r="F1528" s="97"/>
      <c r="G1528" s="109"/>
      <c r="H1528" s="109"/>
      <c r="I1528" s="97"/>
      <c r="J1528" s="97"/>
      <c r="K1528" s="83"/>
      <c r="L1528" s="111"/>
      <c r="M1528" s="111"/>
      <c r="N1528" s="111"/>
      <c r="O1528" s="111"/>
      <c r="P1528" s="111"/>
      <c r="Q1528" s="111"/>
      <c r="R1528" s="111"/>
    </row>
    <row r="1529" spans="2:18" s="108" customFormat="1">
      <c r="B1529" s="109"/>
      <c r="C1529" s="110"/>
      <c r="D1529" s="109"/>
      <c r="E1529" s="109"/>
      <c r="F1529" s="97"/>
      <c r="G1529" s="109"/>
      <c r="H1529" s="109"/>
      <c r="I1529" s="97"/>
      <c r="J1529" s="97"/>
      <c r="K1529" s="83"/>
      <c r="L1529" s="111"/>
      <c r="M1529" s="111"/>
      <c r="N1529" s="111"/>
      <c r="O1529" s="111"/>
      <c r="P1529" s="111"/>
      <c r="Q1529" s="111"/>
      <c r="R1529" s="111"/>
    </row>
    <row r="1530" spans="2:18" s="108" customFormat="1">
      <c r="B1530" s="109"/>
      <c r="C1530" s="110"/>
      <c r="D1530" s="109"/>
      <c r="E1530" s="109"/>
      <c r="F1530" s="97"/>
      <c r="G1530" s="109"/>
      <c r="H1530" s="109"/>
      <c r="I1530" s="97"/>
      <c r="J1530" s="97"/>
      <c r="K1530" s="83"/>
      <c r="L1530" s="111"/>
      <c r="M1530" s="111"/>
      <c r="N1530" s="111"/>
      <c r="O1530" s="111"/>
      <c r="P1530" s="111"/>
      <c r="Q1530" s="111"/>
      <c r="R1530" s="111"/>
    </row>
    <row r="1531" spans="2:18" s="108" customFormat="1">
      <c r="B1531" s="109"/>
      <c r="C1531" s="110"/>
      <c r="D1531" s="109"/>
      <c r="E1531" s="109"/>
      <c r="F1531" s="97"/>
      <c r="G1531" s="109"/>
      <c r="H1531" s="109"/>
      <c r="I1531" s="97"/>
      <c r="J1531" s="97"/>
      <c r="K1531" s="83"/>
      <c r="L1531" s="111"/>
      <c r="M1531" s="111"/>
      <c r="N1531" s="111"/>
      <c r="O1531" s="111"/>
      <c r="P1531" s="111"/>
      <c r="Q1531" s="111"/>
      <c r="R1531" s="111"/>
    </row>
    <row r="1532" spans="2:18" s="108" customFormat="1">
      <c r="B1532" s="109"/>
      <c r="C1532" s="110"/>
      <c r="D1532" s="109"/>
      <c r="E1532" s="109"/>
      <c r="F1532" s="97"/>
      <c r="G1532" s="109"/>
      <c r="H1532" s="109"/>
      <c r="I1532" s="97"/>
      <c r="J1532" s="97"/>
      <c r="K1532" s="83"/>
      <c r="L1532" s="111"/>
      <c r="M1532" s="111"/>
      <c r="N1532" s="111"/>
      <c r="O1532" s="111"/>
      <c r="P1532" s="111"/>
      <c r="Q1532" s="111"/>
      <c r="R1532" s="111"/>
    </row>
    <row r="1533" spans="2:18" s="108" customFormat="1">
      <c r="B1533" s="109"/>
      <c r="C1533" s="110"/>
      <c r="D1533" s="109"/>
      <c r="E1533" s="109"/>
      <c r="F1533" s="97"/>
      <c r="G1533" s="109"/>
      <c r="H1533" s="109"/>
      <c r="I1533" s="97"/>
      <c r="J1533" s="97"/>
      <c r="K1533" s="83"/>
      <c r="L1533" s="111"/>
      <c r="M1533" s="111"/>
      <c r="N1533" s="111"/>
      <c r="O1533" s="111"/>
      <c r="P1533" s="111"/>
      <c r="Q1533" s="111"/>
      <c r="R1533" s="111"/>
    </row>
    <row r="1534" spans="2:18" s="108" customFormat="1">
      <c r="B1534" s="109"/>
      <c r="C1534" s="110"/>
      <c r="D1534" s="109"/>
      <c r="E1534" s="109"/>
      <c r="F1534" s="97"/>
      <c r="G1534" s="109"/>
      <c r="H1534" s="109"/>
      <c r="I1534" s="97"/>
      <c r="J1534" s="97"/>
      <c r="K1534" s="83"/>
      <c r="L1534" s="111"/>
      <c r="M1534" s="111"/>
      <c r="N1534" s="111"/>
      <c r="O1534" s="111"/>
      <c r="P1534" s="111"/>
      <c r="Q1534" s="111"/>
      <c r="R1534" s="111"/>
    </row>
    <row r="1535" spans="2:18" s="108" customFormat="1">
      <c r="B1535" s="109"/>
      <c r="C1535" s="110"/>
      <c r="D1535" s="109"/>
      <c r="E1535" s="109"/>
      <c r="F1535" s="97"/>
      <c r="G1535" s="109"/>
      <c r="H1535" s="109"/>
      <c r="I1535" s="97"/>
      <c r="J1535" s="97"/>
      <c r="K1535" s="83"/>
      <c r="L1535" s="111"/>
      <c r="M1535" s="111"/>
      <c r="N1535" s="111"/>
      <c r="O1535" s="111"/>
      <c r="P1535" s="111"/>
      <c r="Q1535" s="111"/>
      <c r="R1535" s="111"/>
    </row>
    <row r="1536" spans="2:18" s="108" customFormat="1">
      <c r="B1536" s="109"/>
      <c r="C1536" s="110"/>
      <c r="D1536" s="109"/>
      <c r="E1536" s="109"/>
      <c r="F1536" s="97"/>
      <c r="G1536" s="109"/>
      <c r="H1536" s="109"/>
      <c r="I1536" s="97"/>
      <c r="J1536" s="97"/>
      <c r="K1536" s="83"/>
      <c r="L1536" s="111"/>
      <c r="M1536" s="111"/>
      <c r="N1536" s="111"/>
      <c r="O1536" s="111"/>
      <c r="P1536" s="111"/>
      <c r="Q1536" s="111"/>
      <c r="R1536" s="111"/>
    </row>
    <row r="1537" spans="2:18" s="108" customFormat="1">
      <c r="B1537" s="109"/>
      <c r="C1537" s="110"/>
      <c r="D1537" s="109"/>
      <c r="E1537" s="109"/>
      <c r="F1537" s="97"/>
      <c r="G1537" s="109"/>
      <c r="H1537" s="109"/>
      <c r="I1537" s="97"/>
      <c r="J1537" s="97"/>
      <c r="K1537" s="83"/>
      <c r="L1537" s="111"/>
      <c r="M1537" s="111"/>
      <c r="N1537" s="111"/>
      <c r="O1537" s="111"/>
      <c r="P1537" s="111"/>
      <c r="Q1537" s="111"/>
      <c r="R1537" s="111"/>
    </row>
    <row r="1538" spans="2:18" s="108" customFormat="1">
      <c r="B1538" s="109"/>
      <c r="C1538" s="110"/>
      <c r="D1538" s="109"/>
      <c r="E1538" s="109"/>
      <c r="F1538" s="97"/>
      <c r="G1538" s="109"/>
      <c r="H1538" s="109"/>
      <c r="I1538" s="97"/>
      <c r="J1538" s="97"/>
      <c r="K1538" s="83"/>
      <c r="L1538" s="111"/>
      <c r="M1538" s="111"/>
      <c r="N1538" s="111"/>
      <c r="O1538" s="111"/>
      <c r="P1538" s="111"/>
      <c r="Q1538" s="111"/>
      <c r="R1538" s="111"/>
    </row>
    <row r="1539" spans="2:18" s="108" customFormat="1">
      <c r="B1539" s="109"/>
      <c r="C1539" s="110"/>
      <c r="D1539" s="109"/>
      <c r="E1539" s="109"/>
      <c r="F1539" s="97"/>
      <c r="G1539" s="109"/>
      <c r="H1539" s="109"/>
      <c r="I1539" s="97"/>
      <c r="J1539" s="97"/>
      <c r="K1539" s="83"/>
      <c r="L1539" s="111"/>
      <c r="M1539" s="111"/>
      <c r="N1539" s="111"/>
      <c r="O1539" s="111"/>
      <c r="P1539" s="111"/>
      <c r="Q1539" s="111"/>
      <c r="R1539" s="111"/>
    </row>
    <row r="1540" spans="2:18" s="108" customFormat="1">
      <c r="B1540" s="109"/>
      <c r="C1540" s="110"/>
      <c r="D1540" s="109"/>
      <c r="E1540" s="109"/>
      <c r="F1540" s="97"/>
      <c r="G1540" s="109"/>
      <c r="H1540" s="109"/>
      <c r="I1540" s="97"/>
      <c r="J1540" s="97"/>
      <c r="K1540" s="83"/>
      <c r="L1540" s="111"/>
      <c r="M1540" s="111"/>
      <c r="N1540" s="111"/>
      <c r="O1540" s="111"/>
      <c r="P1540" s="111"/>
      <c r="Q1540" s="111"/>
      <c r="R1540" s="111"/>
    </row>
    <row r="1541" spans="2:18" s="108" customFormat="1">
      <c r="B1541" s="109"/>
      <c r="C1541" s="110"/>
      <c r="D1541" s="109"/>
      <c r="E1541" s="109"/>
      <c r="F1541" s="97"/>
      <c r="G1541" s="109"/>
      <c r="H1541" s="109"/>
      <c r="I1541" s="97"/>
      <c r="J1541" s="97"/>
      <c r="K1541" s="83"/>
      <c r="L1541" s="111"/>
      <c r="M1541" s="111"/>
      <c r="N1541" s="111"/>
      <c r="O1541" s="111"/>
      <c r="P1541" s="111"/>
      <c r="Q1541" s="111"/>
      <c r="R1541" s="111"/>
    </row>
    <row r="1542" spans="2:18" s="108" customFormat="1">
      <c r="B1542" s="109"/>
      <c r="C1542" s="110"/>
      <c r="D1542" s="109"/>
      <c r="E1542" s="109"/>
      <c r="F1542" s="97"/>
      <c r="G1542" s="109"/>
      <c r="H1542" s="109"/>
      <c r="I1542" s="97"/>
      <c r="J1542" s="97"/>
      <c r="K1542" s="83"/>
      <c r="L1542" s="111"/>
      <c r="M1542" s="111"/>
      <c r="N1542" s="111"/>
      <c r="O1542" s="111"/>
      <c r="P1542" s="111"/>
      <c r="Q1542" s="111"/>
      <c r="R1542" s="111"/>
    </row>
    <row r="1543" spans="2:18" s="108" customFormat="1">
      <c r="B1543" s="109"/>
      <c r="C1543" s="110"/>
      <c r="D1543" s="109"/>
      <c r="E1543" s="109"/>
      <c r="F1543" s="97"/>
      <c r="G1543" s="109"/>
      <c r="H1543" s="109"/>
      <c r="I1543" s="97"/>
      <c r="J1543" s="97"/>
      <c r="K1543" s="83"/>
      <c r="L1543" s="111"/>
      <c r="M1543" s="111"/>
      <c r="N1543" s="111"/>
      <c r="O1543" s="111"/>
      <c r="P1543" s="111"/>
      <c r="Q1543" s="111"/>
      <c r="R1543" s="111"/>
    </row>
    <row r="1544" spans="2:18" s="108" customFormat="1">
      <c r="B1544" s="109"/>
      <c r="C1544" s="110"/>
      <c r="D1544" s="109"/>
      <c r="E1544" s="109"/>
      <c r="F1544" s="97"/>
      <c r="G1544" s="109"/>
      <c r="H1544" s="109"/>
      <c r="I1544" s="97"/>
      <c r="J1544" s="97"/>
      <c r="K1544" s="83"/>
      <c r="L1544" s="111"/>
      <c r="M1544" s="111"/>
      <c r="N1544" s="111"/>
      <c r="O1544" s="111"/>
      <c r="P1544" s="111"/>
      <c r="Q1544" s="111"/>
      <c r="R1544" s="111"/>
    </row>
    <row r="1545" spans="2:18" s="108" customFormat="1">
      <c r="B1545" s="109"/>
      <c r="C1545" s="110"/>
      <c r="D1545" s="109"/>
      <c r="E1545" s="109"/>
      <c r="F1545" s="97"/>
      <c r="G1545" s="109"/>
      <c r="H1545" s="109"/>
      <c r="I1545" s="97"/>
      <c r="J1545" s="97"/>
      <c r="K1545" s="83"/>
      <c r="L1545" s="111"/>
      <c r="M1545" s="111"/>
      <c r="N1545" s="111"/>
      <c r="O1545" s="111"/>
      <c r="P1545" s="111"/>
      <c r="Q1545" s="111"/>
      <c r="R1545" s="111"/>
    </row>
    <row r="1546" spans="2:18" s="108" customFormat="1">
      <c r="B1546" s="109"/>
      <c r="C1546" s="110"/>
      <c r="D1546" s="109"/>
      <c r="E1546" s="109"/>
      <c r="F1546" s="97"/>
      <c r="G1546" s="109"/>
      <c r="H1546" s="109"/>
      <c r="I1546" s="97"/>
      <c r="J1546" s="97"/>
      <c r="K1546" s="83"/>
      <c r="L1546" s="111"/>
      <c r="M1546" s="111"/>
      <c r="N1546" s="111"/>
      <c r="O1546" s="111"/>
      <c r="P1546" s="111"/>
      <c r="Q1546" s="111"/>
      <c r="R1546" s="111"/>
    </row>
    <row r="1547" spans="2:18" s="108" customFormat="1">
      <c r="B1547" s="109"/>
      <c r="C1547" s="110"/>
      <c r="D1547" s="109"/>
      <c r="E1547" s="109"/>
      <c r="F1547" s="97"/>
      <c r="G1547" s="109"/>
      <c r="H1547" s="109"/>
      <c r="I1547" s="97"/>
      <c r="J1547" s="97"/>
      <c r="K1547" s="83"/>
      <c r="L1547" s="111"/>
      <c r="M1547" s="111"/>
      <c r="N1547" s="111"/>
      <c r="O1547" s="111"/>
      <c r="P1547" s="111"/>
      <c r="Q1547" s="111"/>
      <c r="R1547" s="111"/>
    </row>
    <row r="1548" spans="2:18" s="108" customFormat="1">
      <c r="B1548" s="109"/>
      <c r="C1548" s="110"/>
      <c r="D1548" s="109"/>
      <c r="E1548" s="109"/>
      <c r="F1548" s="97"/>
      <c r="G1548" s="109"/>
      <c r="H1548" s="109"/>
      <c r="I1548" s="97"/>
      <c r="J1548" s="97"/>
      <c r="K1548" s="83"/>
      <c r="L1548" s="111"/>
      <c r="M1548" s="111"/>
      <c r="N1548" s="111"/>
      <c r="O1548" s="111"/>
      <c r="P1548" s="111"/>
      <c r="Q1548" s="111"/>
      <c r="R1548" s="111"/>
    </row>
    <row r="1549" spans="2:18" s="108" customFormat="1">
      <c r="B1549" s="109"/>
      <c r="C1549" s="110"/>
      <c r="D1549" s="109"/>
      <c r="E1549" s="109"/>
      <c r="F1549" s="97"/>
      <c r="G1549" s="109"/>
      <c r="H1549" s="109"/>
      <c r="I1549" s="97"/>
      <c r="J1549" s="97"/>
      <c r="K1549" s="83"/>
      <c r="L1549" s="111"/>
      <c r="M1549" s="111"/>
      <c r="N1549" s="111"/>
      <c r="O1549" s="111"/>
      <c r="P1549" s="111"/>
      <c r="Q1549" s="111"/>
      <c r="R1549" s="111"/>
    </row>
    <row r="1550" spans="2:18" s="108" customFormat="1">
      <c r="B1550" s="109"/>
      <c r="C1550" s="110"/>
      <c r="D1550" s="109"/>
      <c r="E1550" s="109"/>
      <c r="F1550" s="97"/>
      <c r="G1550" s="109"/>
      <c r="H1550" s="109"/>
      <c r="I1550" s="97"/>
      <c r="J1550" s="97"/>
      <c r="K1550" s="83"/>
      <c r="L1550" s="111"/>
      <c r="M1550" s="111"/>
      <c r="N1550" s="111"/>
      <c r="O1550" s="111"/>
      <c r="P1550" s="111"/>
      <c r="Q1550" s="111"/>
      <c r="R1550" s="111"/>
    </row>
    <row r="1551" spans="2:18" s="108" customFormat="1">
      <c r="B1551" s="109"/>
      <c r="C1551" s="110"/>
      <c r="D1551" s="109"/>
      <c r="E1551" s="109"/>
      <c r="F1551" s="97"/>
      <c r="G1551" s="109"/>
      <c r="H1551" s="109"/>
      <c r="I1551" s="97"/>
      <c r="J1551" s="97"/>
      <c r="K1551" s="83"/>
      <c r="L1551" s="111"/>
      <c r="M1551" s="111"/>
      <c r="N1551" s="111"/>
      <c r="O1551" s="111"/>
      <c r="P1551" s="111"/>
      <c r="Q1551" s="111"/>
      <c r="R1551" s="111"/>
    </row>
    <row r="1552" spans="2:18" s="108" customFormat="1">
      <c r="B1552" s="109"/>
      <c r="C1552" s="110"/>
      <c r="D1552" s="109"/>
      <c r="E1552" s="109"/>
      <c r="F1552" s="97"/>
      <c r="G1552" s="109"/>
      <c r="H1552" s="109"/>
      <c r="I1552" s="97"/>
      <c r="J1552" s="97"/>
      <c r="K1552" s="83"/>
      <c r="L1552" s="111"/>
      <c r="M1552" s="111"/>
      <c r="N1552" s="111"/>
      <c r="O1552" s="111"/>
      <c r="P1552" s="111"/>
      <c r="Q1552" s="111"/>
      <c r="R1552" s="111"/>
    </row>
    <row r="1553" spans="2:18" s="108" customFormat="1">
      <c r="B1553" s="109"/>
      <c r="C1553" s="110"/>
      <c r="D1553" s="109"/>
      <c r="E1553" s="109"/>
      <c r="F1553" s="97"/>
      <c r="G1553" s="109"/>
      <c r="H1553" s="109"/>
      <c r="I1553" s="97"/>
      <c r="J1553" s="97"/>
      <c r="K1553" s="83"/>
      <c r="L1553" s="111"/>
      <c r="M1553" s="111"/>
      <c r="N1553" s="111"/>
      <c r="O1553" s="111"/>
      <c r="P1553" s="111"/>
      <c r="Q1553" s="111"/>
      <c r="R1553" s="111"/>
    </row>
    <row r="1554" spans="2:18" s="108" customFormat="1">
      <c r="B1554" s="109"/>
      <c r="C1554" s="110"/>
      <c r="D1554" s="109"/>
      <c r="E1554" s="109"/>
      <c r="F1554" s="97"/>
      <c r="G1554" s="109"/>
      <c r="H1554" s="109"/>
      <c r="I1554" s="97"/>
      <c r="J1554" s="97"/>
      <c r="K1554" s="83"/>
      <c r="L1554" s="111"/>
      <c r="M1554" s="111"/>
      <c r="N1554" s="111"/>
      <c r="O1554" s="111"/>
      <c r="P1554" s="111"/>
      <c r="Q1554" s="111"/>
      <c r="R1554" s="111"/>
    </row>
    <row r="1555" spans="2:18" s="108" customFormat="1">
      <c r="B1555" s="109"/>
      <c r="C1555" s="110"/>
      <c r="D1555" s="109"/>
      <c r="E1555" s="109"/>
      <c r="F1555" s="97"/>
      <c r="G1555" s="109"/>
      <c r="H1555" s="109"/>
      <c r="I1555" s="97"/>
      <c r="J1555" s="97"/>
      <c r="K1555" s="83"/>
      <c r="L1555" s="111"/>
      <c r="M1555" s="111"/>
      <c r="N1555" s="111"/>
      <c r="O1555" s="111"/>
      <c r="P1555" s="111"/>
      <c r="Q1555" s="111"/>
      <c r="R1555" s="111"/>
    </row>
    <row r="1556" spans="2:18" s="108" customFormat="1">
      <c r="B1556" s="109"/>
      <c r="C1556" s="110"/>
      <c r="D1556" s="109"/>
      <c r="E1556" s="109"/>
      <c r="F1556" s="97"/>
      <c r="G1556" s="109"/>
      <c r="H1556" s="109"/>
      <c r="I1556" s="97"/>
      <c r="J1556" s="97"/>
      <c r="K1556" s="83"/>
      <c r="L1556" s="111"/>
      <c r="M1556" s="111"/>
      <c r="N1556" s="111"/>
      <c r="O1556" s="111"/>
      <c r="P1556" s="111"/>
      <c r="Q1556" s="111"/>
      <c r="R1556" s="111"/>
    </row>
    <row r="1557" spans="2:18" s="108" customFormat="1">
      <c r="B1557" s="109"/>
      <c r="C1557" s="110"/>
      <c r="D1557" s="109"/>
      <c r="E1557" s="109"/>
      <c r="F1557" s="97"/>
      <c r="G1557" s="109"/>
      <c r="H1557" s="109"/>
      <c r="I1557" s="97"/>
      <c r="J1557" s="97"/>
      <c r="K1557" s="83"/>
      <c r="L1557" s="111"/>
      <c r="M1557" s="111"/>
      <c r="N1557" s="111"/>
      <c r="O1557" s="111"/>
      <c r="P1557" s="111"/>
      <c r="Q1557" s="111"/>
      <c r="R1557" s="111"/>
    </row>
    <row r="1558" spans="2:18" s="108" customFormat="1">
      <c r="B1558" s="109"/>
      <c r="C1558" s="110"/>
      <c r="D1558" s="109"/>
      <c r="E1558" s="109"/>
      <c r="F1558" s="97"/>
      <c r="G1558" s="109"/>
      <c r="H1558" s="109"/>
      <c r="I1558" s="97"/>
      <c r="J1558" s="97"/>
      <c r="K1558" s="83"/>
      <c r="L1558" s="111"/>
      <c r="M1558" s="111"/>
      <c r="N1558" s="111"/>
      <c r="O1558" s="111"/>
      <c r="P1558" s="111"/>
      <c r="Q1558" s="111"/>
      <c r="R1558" s="111"/>
    </row>
    <row r="1559" spans="2:18" s="108" customFormat="1">
      <c r="B1559" s="109"/>
      <c r="C1559" s="110"/>
      <c r="D1559" s="109"/>
      <c r="E1559" s="109"/>
      <c r="F1559" s="97"/>
      <c r="G1559" s="109"/>
      <c r="H1559" s="109"/>
      <c r="I1559" s="97"/>
      <c r="J1559" s="97"/>
      <c r="K1559" s="83"/>
      <c r="L1559" s="111"/>
      <c r="M1559" s="111"/>
      <c r="N1559" s="111"/>
      <c r="O1559" s="111"/>
      <c r="P1559" s="111"/>
      <c r="Q1559" s="111"/>
      <c r="R1559" s="111"/>
    </row>
    <row r="1560" spans="2:18" s="108" customFormat="1">
      <c r="B1560" s="109"/>
      <c r="C1560" s="110"/>
      <c r="D1560" s="109"/>
      <c r="E1560" s="109"/>
      <c r="F1560" s="97"/>
      <c r="G1560" s="109"/>
      <c r="H1560" s="109"/>
      <c r="I1560" s="97"/>
      <c r="J1560" s="97"/>
      <c r="K1560" s="83"/>
      <c r="L1560" s="111"/>
      <c r="M1560" s="111"/>
      <c r="N1560" s="111"/>
      <c r="O1560" s="111"/>
      <c r="P1560" s="111"/>
      <c r="Q1560" s="111"/>
      <c r="R1560" s="111"/>
    </row>
    <row r="1561" spans="2:18" s="108" customFormat="1">
      <c r="B1561" s="109"/>
      <c r="C1561" s="110"/>
      <c r="D1561" s="109"/>
      <c r="E1561" s="109"/>
      <c r="F1561" s="97"/>
      <c r="G1561" s="109"/>
      <c r="H1561" s="109"/>
      <c r="I1561" s="97"/>
      <c r="J1561" s="97"/>
      <c r="K1561" s="83"/>
      <c r="L1561" s="111"/>
      <c r="M1561" s="111"/>
      <c r="N1561" s="111"/>
      <c r="O1561" s="111"/>
      <c r="P1561" s="111"/>
      <c r="Q1561" s="111"/>
      <c r="R1561" s="111"/>
    </row>
    <row r="1562" spans="2:18" s="108" customFormat="1">
      <c r="B1562" s="109"/>
      <c r="C1562" s="110"/>
      <c r="D1562" s="109"/>
      <c r="E1562" s="109"/>
      <c r="F1562" s="97"/>
      <c r="G1562" s="109"/>
      <c r="H1562" s="109"/>
      <c r="I1562" s="97"/>
      <c r="J1562" s="97"/>
      <c r="K1562" s="83"/>
      <c r="L1562" s="111"/>
      <c r="M1562" s="111"/>
      <c r="N1562" s="111"/>
      <c r="O1562" s="111"/>
      <c r="P1562" s="111"/>
      <c r="Q1562" s="111"/>
      <c r="R1562" s="111"/>
    </row>
    <row r="1563" spans="2:18" s="108" customFormat="1">
      <c r="B1563" s="109"/>
      <c r="C1563" s="110"/>
      <c r="D1563" s="109"/>
      <c r="E1563" s="109"/>
      <c r="F1563" s="97"/>
      <c r="G1563" s="109"/>
      <c r="H1563" s="109"/>
      <c r="I1563" s="97"/>
      <c r="J1563" s="97"/>
      <c r="K1563" s="83"/>
      <c r="L1563" s="111"/>
      <c r="M1563" s="111"/>
      <c r="N1563" s="111"/>
      <c r="O1563" s="111"/>
      <c r="P1563" s="111"/>
      <c r="Q1563" s="111"/>
      <c r="R1563" s="111"/>
    </row>
    <row r="1564" spans="2:18" s="108" customFormat="1">
      <c r="B1564" s="109"/>
      <c r="C1564" s="110"/>
      <c r="D1564" s="109"/>
      <c r="E1564" s="109"/>
      <c r="F1564" s="97"/>
      <c r="G1564" s="109"/>
      <c r="H1564" s="109"/>
      <c r="I1564" s="97"/>
      <c r="J1564" s="97"/>
      <c r="K1564" s="83"/>
      <c r="L1564" s="111"/>
      <c r="M1564" s="111"/>
      <c r="N1564" s="111"/>
      <c r="O1564" s="111"/>
      <c r="P1564" s="111"/>
      <c r="Q1564" s="111"/>
      <c r="R1564" s="111"/>
    </row>
    <row r="1565" spans="2:18" s="108" customFormat="1">
      <c r="B1565" s="109"/>
      <c r="C1565" s="110"/>
      <c r="D1565" s="109"/>
      <c r="E1565" s="109"/>
      <c r="F1565" s="97"/>
      <c r="G1565" s="109"/>
      <c r="H1565" s="109"/>
      <c r="I1565" s="97"/>
      <c r="J1565" s="97"/>
      <c r="K1565" s="83"/>
      <c r="L1565" s="111"/>
      <c r="M1565" s="111"/>
      <c r="N1565" s="111"/>
      <c r="O1565" s="111"/>
      <c r="P1565" s="111"/>
      <c r="Q1565" s="111"/>
      <c r="R1565" s="111"/>
    </row>
    <row r="1566" spans="2:18" s="108" customFormat="1">
      <c r="B1566" s="109"/>
      <c r="C1566" s="110"/>
      <c r="D1566" s="109"/>
      <c r="E1566" s="109"/>
      <c r="F1566" s="97"/>
      <c r="G1566" s="109"/>
      <c r="H1566" s="109"/>
      <c r="I1566" s="97"/>
      <c r="J1566" s="97"/>
      <c r="K1566" s="83"/>
      <c r="L1566" s="111"/>
      <c r="M1566" s="111"/>
      <c r="N1566" s="111"/>
      <c r="O1566" s="111"/>
      <c r="P1566" s="111"/>
      <c r="Q1566" s="111"/>
      <c r="R1566" s="111"/>
    </row>
    <row r="1567" spans="2:18" s="108" customFormat="1">
      <c r="B1567" s="109"/>
      <c r="C1567" s="110"/>
      <c r="D1567" s="109"/>
      <c r="E1567" s="109"/>
      <c r="F1567" s="97"/>
      <c r="G1567" s="109"/>
      <c r="H1567" s="109"/>
      <c r="I1567" s="97"/>
      <c r="J1567" s="97"/>
      <c r="K1567" s="83"/>
      <c r="L1567" s="111"/>
      <c r="M1567" s="111"/>
      <c r="N1567" s="111"/>
      <c r="O1567" s="111"/>
      <c r="P1567" s="111"/>
      <c r="Q1567" s="111"/>
      <c r="R1567" s="111"/>
    </row>
    <row r="1568" spans="2:18" s="108" customFormat="1">
      <c r="B1568" s="109"/>
      <c r="C1568" s="110"/>
      <c r="D1568" s="109"/>
      <c r="E1568" s="109"/>
      <c r="F1568" s="97"/>
      <c r="G1568" s="109"/>
      <c r="H1568" s="109"/>
      <c r="I1568" s="97"/>
      <c r="J1568" s="97"/>
      <c r="K1568" s="83"/>
      <c r="L1568" s="111"/>
      <c r="M1568" s="111"/>
      <c r="N1568" s="111"/>
      <c r="O1568" s="111"/>
      <c r="P1568" s="111"/>
      <c r="Q1568" s="111"/>
      <c r="R1568" s="111"/>
    </row>
    <row r="1569" spans="2:18" s="108" customFormat="1">
      <c r="B1569" s="109"/>
      <c r="C1569" s="110"/>
      <c r="D1569" s="109"/>
      <c r="E1569" s="109"/>
      <c r="F1569" s="97"/>
      <c r="G1569" s="109"/>
      <c r="H1569" s="109"/>
      <c r="I1569" s="97"/>
      <c r="J1569" s="97"/>
      <c r="K1569" s="83"/>
      <c r="L1569" s="111"/>
      <c r="M1569" s="111"/>
      <c r="N1569" s="111"/>
      <c r="O1569" s="111"/>
      <c r="P1569" s="111"/>
      <c r="Q1569" s="111"/>
      <c r="R1569" s="111"/>
    </row>
    <row r="1570" spans="2:18" s="108" customFormat="1">
      <c r="B1570" s="109"/>
      <c r="C1570" s="110"/>
      <c r="D1570" s="109"/>
      <c r="E1570" s="109"/>
      <c r="F1570" s="97"/>
      <c r="G1570" s="109"/>
      <c r="H1570" s="109"/>
      <c r="I1570" s="97"/>
      <c r="J1570" s="97"/>
      <c r="K1570" s="83"/>
      <c r="L1570" s="111"/>
      <c r="M1570" s="111"/>
      <c r="N1570" s="111"/>
      <c r="O1570" s="111"/>
      <c r="P1570" s="111"/>
      <c r="Q1570" s="111"/>
      <c r="R1570" s="111"/>
    </row>
    <row r="1571" spans="2:18" s="108" customFormat="1">
      <c r="B1571" s="109"/>
      <c r="C1571" s="110"/>
      <c r="D1571" s="109"/>
      <c r="E1571" s="109"/>
      <c r="F1571" s="97"/>
      <c r="G1571" s="109"/>
      <c r="H1571" s="109"/>
      <c r="I1571" s="97"/>
      <c r="J1571" s="97"/>
      <c r="K1571" s="83"/>
      <c r="L1571" s="111"/>
      <c r="M1571" s="111"/>
      <c r="N1571" s="111"/>
      <c r="O1571" s="111"/>
      <c r="P1571" s="111"/>
      <c r="Q1571" s="111"/>
      <c r="R1571" s="111"/>
    </row>
    <row r="1572" spans="2:18" s="108" customFormat="1">
      <c r="B1572" s="109"/>
      <c r="C1572" s="110"/>
      <c r="D1572" s="109"/>
      <c r="E1572" s="109"/>
      <c r="F1572" s="97"/>
      <c r="G1572" s="109"/>
      <c r="H1572" s="109"/>
      <c r="I1572" s="97"/>
      <c r="J1572" s="97"/>
      <c r="K1572" s="83"/>
      <c r="L1572" s="111"/>
      <c r="M1572" s="111"/>
      <c r="N1572" s="111"/>
      <c r="O1572" s="111"/>
      <c r="P1572" s="111"/>
      <c r="Q1572" s="111"/>
      <c r="R1572" s="111"/>
    </row>
    <row r="1573" spans="2:18" s="108" customFormat="1">
      <c r="B1573" s="109"/>
      <c r="C1573" s="110"/>
      <c r="D1573" s="109"/>
      <c r="E1573" s="109"/>
      <c r="F1573" s="97"/>
      <c r="G1573" s="109"/>
      <c r="H1573" s="109"/>
      <c r="I1573" s="97"/>
      <c r="J1573" s="97"/>
      <c r="K1573" s="83"/>
      <c r="L1573" s="111"/>
      <c r="M1573" s="111"/>
      <c r="N1573" s="111"/>
      <c r="O1573" s="111"/>
      <c r="P1573" s="111"/>
      <c r="Q1573" s="111"/>
      <c r="R1573" s="111"/>
    </row>
    <row r="1574" spans="2:18" s="108" customFormat="1">
      <c r="B1574" s="109"/>
      <c r="C1574" s="110"/>
      <c r="D1574" s="109"/>
      <c r="E1574" s="109"/>
      <c r="F1574" s="97"/>
      <c r="G1574" s="109"/>
      <c r="H1574" s="109"/>
      <c r="I1574" s="97"/>
      <c r="J1574" s="97"/>
      <c r="K1574" s="83"/>
      <c r="L1574" s="111"/>
      <c r="M1574" s="111"/>
      <c r="N1574" s="111"/>
      <c r="O1574" s="111"/>
      <c r="P1574" s="111"/>
      <c r="Q1574" s="111"/>
      <c r="R1574" s="111"/>
    </row>
    <row r="1575" spans="2:18" s="108" customFormat="1">
      <c r="B1575" s="109"/>
      <c r="C1575" s="110"/>
      <c r="D1575" s="109"/>
      <c r="E1575" s="109"/>
      <c r="F1575" s="97"/>
      <c r="G1575" s="109"/>
      <c r="H1575" s="109"/>
      <c r="I1575" s="97"/>
      <c r="J1575" s="97"/>
      <c r="K1575" s="83"/>
      <c r="L1575" s="111"/>
      <c r="M1575" s="111"/>
      <c r="N1575" s="111"/>
      <c r="O1575" s="111"/>
      <c r="P1575" s="111"/>
      <c r="Q1575" s="111"/>
      <c r="R1575" s="111"/>
    </row>
    <row r="1576" spans="2:18" s="108" customFormat="1">
      <c r="B1576" s="109"/>
      <c r="C1576" s="110"/>
      <c r="D1576" s="109"/>
      <c r="E1576" s="109"/>
      <c r="F1576" s="97"/>
      <c r="G1576" s="109"/>
      <c r="H1576" s="109"/>
      <c r="I1576" s="97"/>
      <c r="J1576" s="97"/>
      <c r="K1576" s="83"/>
      <c r="L1576" s="111"/>
      <c r="M1576" s="111"/>
      <c r="N1576" s="111"/>
      <c r="O1576" s="111"/>
      <c r="P1576" s="111"/>
      <c r="Q1576" s="111"/>
      <c r="R1576" s="111"/>
    </row>
    <row r="1577" spans="2:18" s="108" customFormat="1">
      <c r="B1577" s="109"/>
      <c r="C1577" s="110"/>
      <c r="D1577" s="109"/>
      <c r="E1577" s="109"/>
      <c r="F1577" s="97"/>
      <c r="G1577" s="109"/>
      <c r="H1577" s="109"/>
      <c r="I1577" s="97"/>
      <c r="J1577" s="97"/>
      <c r="K1577" s="83"/>
      <c r="L1577" s="111"/>
      <c r="M1577" s="111"/>
      <c r="N1577" s="111"/>
      <c r="O1577" s="111"/>
      <c r="P1577" s="111"/>
      <c r="Q1577" s="111"/>
      <c r="R1577" s="111"/>
    </row>
    <row r="1578" spans="2:18" s="108" customFormat="1">
      <c r="B1578" s="109"/>
      <c r="C1578" s="110"/>
      <c r="D1578" s="109"/>
      <c r="E1578" s="109"/>
      <c r="F1578" s="97"/>
      <c r="G1578" s="109"/>
      <c r="H1578" s="109"/>
      <c r="I1578" s="97"/>
      <c r="J1578" s="97"/>
      <c r="K1578" s="83"/>
      <c r="L1578" s="111"/>
      <c r="M1578" s="111"/>
      <c r="N1578" s="111"/>
      <c r="O1578" s="111"/>
      <c r="P1578" s="111"/>
      <c r="Q1578" s="111"/>
      <c r="R1578" s="111"/>
    </row>
    <row r="1579" spans="2:18" s="108" customFormat="1">
      <c r="B1579" s="109"/>
      <c r="C1579" s="110"/>
      <c r="D1579" s="109"/>
      <c r="E1579" s="109"/>
      <c r="F1579" s="97"/>
      <c r="G1579" s="109"/>
      <c r="H1579" s="109"/>
      <c r="I1579" s="97"/>
      <c r="J1579" s="97"/>
      <c r="K1579" s="83"/>
      <c r="L1579" s="111"/>
      <c r="M1579" s="111"/>
      <c r="N1579" s="111"/>
      <c r="O1579" s="111"/>
      <c r="P1579" s="111"/>
      <c r="Q1579" s="111"/>
      <c r="R1579" s="111"/>
    </row>
    <row r="1580" spans="2:18" s="108" customFormat="1">
      <c r="B1580" s="109"/>
      <c r="C1580" s="110"/>
      <c r="D1580" s="109"/>
      <c r="E1580" s="109"/>
      <c r="F1580" s="97"/>
      <c r="G1580" s="109"/>
      <c r="H1580" s="109"/>
      <c r="I1580" s="97"/>
      <c r="J1580" s="97"/>
      <c r="K1580" s="83"/>
      <c r="L1580" s="111"/>
      <c r="M1580" s="111"/>
      <c r="N1580" s="111"/>
      <c r="O1580" s="111"/>
      <c r="P1580" s="111"/>
      <c r="Q1580" s="111"/>
      <c r="R1580" s="111"/>
    </row>
    <row r="1581" spans="2:18" s="108" customFormat="1">
      <c r="B1581" s="109"/>
      <c r="C1581" s="110"/>
      <c r="D1581" s="109"/>
      <c r="E1581" s="109"/>
      <c r="F1581" s="97"/>
      <c r="G1581" s="109"/>
      <c r="H1581" s="109"/>
      <c r="I1581" s="97"/>
      <c r="J1581" s="97"/>
      <c r="K1581" s="83"/>
      <c r="L1581" s="111"/>
      <c r="M1581" s="111"/>
      <c r="N1581" s="111"/>
      <c r="O1581" s="111"/>
      <c r="P1581" s="111"/>
      <c r="Q1581" s="111"/>
      <c r="R1581" s="111"/>
    </row>
    <row r="1582" spans="2:18" s="108" customFormat="1">
      <c r="B1582" s="109"/>
      <c r="C1582" s="110"/>
      <c r="D1582" s="109"/>
      <c r="E1582" s="109"/>
      <c r="F1582" s="97"/>
      <c r="G1582" s="109"/>
      <c r="H1582" s="109"/>
      <c r="I1582" s="97"/>
      <c r="J1582" s="97"/>
      <c r="K1582" s="83"/>
      <c r="L1582" s="111"/>
      <c r="M1582" s="111"/>
      <c r="N1582" s="111"/>
      <c r="O1582" s="111"/>
      <c r="P1582" s="111"/>
      <c r="Q1582" s="111"/>
      <c r="R1582" s="111"/>
    </row>
    <row r="1583" spans="2:18" s="108" customFormat="1">
      <c r="B1583" s="109"/>
      <c r="C1583" s="110"/>
      <c r="D1583" s="109"/>
      <c r="E1583" s="109"/>
      <c r="F1583" s="97"/>
      <c r="G1583" s="109"/>
      <c r="H1583" s="109"/>
      <c r="I1583" s="97"/>
      <c r="J1583" s="97"/>
      <c r="K1583" s="83"/>
      <c r="L1583" s="111"/>
      <c r="M1583" s="111"/>
      <c r="N1583" s="111"/>
      <c r="O1583" s="111"/>
      <c r="P1583" s="111"/>
      <c r="Q1583" s="111"/>
      <c r="R1583" s="111"/>
    </row>
    <row r="1584" spans="2:18" s="108" customFormat="1">
      <c r="B1584" s="109"/>
      <c r="C1584" s="110"/>
      <c r="D1584" s="109"/>
      <c r="E1584" s="109"/>
      <c r="F1584" s="97"/>
      <c r="G1584" s="109"/>
      <c r="H1584" s="109"/>
      <c r="I1584" s="97"/>
      <c r="J1584" s="97"/>
      <c r="K1584" s="83"/>
      <c r="L1584" s="111"/>
      <c r="M1584" s="111"/>
      <c r="N1584" s="111"/>
      <c r="O1584" s="111"/>
      <c r="P1584" s="111"/>
      <c r="Q1584" s="111"/>
      <c r="R1584" s="111"/>
    </row>
    <row r="1585" spans="2:18" s="108" customFormat="1">
      <c r="B1585" s="109"/>
      <c r="C1585" s="110"/>
      <c r="D1585" s="109"/>
      <c r="E1585" s="109"/>
      <c r="F1585" s="97"/>
      <c r="G1585" s="109"/>
      <c r="H1585" s="109"/>
      <c r="I1585" s="97"/>
      <c r="J1585" s="97"/>
      <c r="K1585" s="83"/>
      <c r="L1585" s="111"/>
      <c r="M1585" s="111"/>
      <c r="N1585" s="111"/>
      <c r="O1585" s="111"/>
      <c r="P1585" s="111"/>
      <c r="Q1585" s="111"/>
      <c r="R1585" s="111"/>
    </row>
    <row r="1586" spans="2:18" s="108" customFormat="1">
      <c r="B1586" s="109"/>
      <c r="C1586" s="110"/>
      <c r="D1586" s="109"/>
      <c r="E1586" s="109"/>
      <c r="F1586" s="97"/>
      <c r="G1586" s="109"/>
      <c r="H1586" s="109"/>
      <c r="I1586" s="97"/>
      <c r="J1586" s="97"/>
      <c r="K1586" s="83"/>
      <c r="L1586" s="111"/>
      <c r="M1586" s="111"/>
      <c r="N1586" s="111"/>
      <c r="O1586" s="111"/>
      <c r="P1586" s="111"/>
      <c r="Q1586" s="111"/>
      <c r="R1586" s="111"/>
    </row>
    <row r="1587" spans="2:18" s="108" customFormat="1">
      <c r="B1587" s="109"/>
      <c r="C1587" s="110"/>
      <c r="D1587" s="109"/>
      <c r="E1587" s="109"/>
      <c r="F1587" s="97"/>
      <c r="G1587" s="109"/>
      <c r="H1587" s="109"/>
      <c r="I1587" s="97"/>
      <c r="J1587" s="97"/>
      <c r="K1587" s="83"/>
      <c r="L1587" s="111"/>
      <c r="M1587" s="111"/>
      <c r="N1587" s="111"/>
      <c r="O1587" s="111"/>
      <c r="P1587" s="111"/>
      <c r="Q1587" s="111"/>
      <c r="R1587" s="111"/>
    </row>
    <row r="1588" spans="2:18" s="108" customFormat="1">
      <c r="B1588" s="109"/>
      <c r="C1588" s="110"/>
      <c r="D1588" s="109"/>
      <c r="E1588" s="109"/>
      <c r="F1588" s="97"/>
      <c r="G1588" s="109"/>
      <c r="H1588" s="109"/>
      <c r="I1588" s="97"/>
      <c r="J1588" s="97"/>
      <c r="K1588" s="83"/>
      <c r="L1588" s="111"/>
      <c r="M1588" s="111"/>
      <c r="N1588" s="111"/>
      <c r="O1588" s="111"/>
      <c r="P1588" s="111"/>
      <c r="Q1588" s="111"/>
      <c r="R1588" s="111"/>
    </row>
    <row r="1589" spans="2:18" s="108" customFormat="1">
      <c r="B1589" s="109"/>
      <c r="C1589" s="110"/>
      <c r="D1589" s="109"/>
      <c r="E1589" s="109"/>
      <c r="F1589" s="97"/>
      <c r="G1589" s="109"/>
      <c r="H1589" s="109"/>
      <c r="I1589" s="97"/>
      <c r="J1589" s="97"/>
      <c r="K1589" s="83"/>
      <c r="L1589" s="111"/>
      <c r="M1589" s="111"/>
      <c r="N1589" s="111"/>
      <c r="O1589" s="111"/>
      <c r="P1589" s="111"/>
      <c r="Q1589" s="111"/>
      <c r="R1589" s="111"/>
    </row>
    <row r="1590" spans="2:18" s="108" customFormat="1">
      <c r="B1590" s="109"/>
      <c r="C1590" s="110"/>
      <c r="D1590" s="109"/>
      <c r="E1590" s="109"/>
      <c r="F1590" s="97"/>
      <c r="G1590" s="109"/>
      <c r="H1590" s="109"/>
      <c r="I1590" s="97"/>
      <c r="J1590" s="97"/>
      <c r="K1590" s="83"/>
      <c r="L1590" s="111"/>
      <c r="M1590" s="111"/>
      <c r="N1590" s="111"/>
      <c r="O1590" s="111"/>
      <c r="P1590" s="111"/>
      <c r="Q1590" s="111"/>
      <c r="R1590" s="111"/>
    </row>
    <row r="1591" spans="2:18" s="108" customFormat="1">
      <c r="B1591" s="109"/>
      <c r="C1591" s="110"/>
      <c r="D1591" s="109"/>
      <c r="E1591" s="109"/>
      <c r="F1591" s="97"/>
      <c r="G1591" s="109"/>
      <c r="H1591" s="109"/>
      <c r="I1591" s="97"/>
      <c r="J1591" s="97"/>
      <c r="K1591" s="83"/>
      <c r="L1591" s="111"/>
      <c r="M1591" s="111"/>
      <c r="N1591" s="111"/>
      <c r="O1591" s="111"/>
      <c r="P1591" s="111"/>
      <c r="Q1591" s="111"/>
      <c r="R1591" s="111"/>
    </row>
    <row r="1592" spans="2:18" s="108" customFormat="1">
      <c r="B1592" s="109"/>
      <c r="C1592" s="110"/>
      <c r="D1592" s="109"/>
      <c r="E1592" s="109"/>
      <c r="F1592" s="97"/>
      <c r="G1592" s="109"/>
      <c r="H1592" s="109"/>
      <c r="I1592" s="97"/>
      <c r="J1592" s="97"/>
      <c r="K1592" s="83"/>
      <c r="L1592" s="111"/>
      <c r="M1592" s="111"/>
      <c r="N1592" s="111"/>
      <c r="O1592" s="111"/>
      <c r="P1592" s="111"/>
      <c r="Q1592" s="111"/>
      <c r="R1592" s="111"/>
    </row>
    <row r="1593" spans="2:18" s="108" customFormat="1">
      <c r="B1593" s="109"/>
      <c r="C1593" s="110"/>
      <c r="D1593" s="109"/>
      <c r="E1593" s="109"/>
      <c r="F1593" s="97"/>
      <c r="G1593" s="109"/>
      <c r="H1593" s="109"/>
      <c r="I1593" s="97"/>
      <c r="J1593" s="97"/>
      <c r="K1593" s="83"/>
      <c r="L1593" s="111"/>
      <c r="M1593" s="111"/>
      <c r="N1593" s="111"/>
      <c r="O1593" s="111"/>
      <c r="P1593" s="111"/>
      <c r="Q1593" s="111"/>
      <c r="R1593" s="111"/>
    </row>
    <row r="1594" spans="2:18" s="108" customFormat="1">
      <c r="B1594" s="109"/>
      <c r="C1594" s="110"/>
      <c r="D1594" s="109"/>
      <c r="E1594" s="109"/>
      <c r="F1594" s="97"/>
      <c r="G1594" s="109"/>
      <c r="H1594" s="109"/>
      <c r="I1594" s="97"/>
      <c r="J1594" s="97"/>
      <c r="K1594" s="83"/>
      <c r="L1594" s="111"/>
      <c r="M1594" s="111"/>
      <c r="N1594" s="111"/>
      <c r="O1594" s="111"/>
      <c r="P1594" s="111"/>
      <c r="Q1594" s="111"/>
      <c r="R1594" s="111"/>
    </row>
    <row r="1595" spans="2:18" s="108" customFormat="1">
      <c r="B1595" s="109"/>
      <c r="C1595" s="110"/>
      <c r="D1595" s="109"/>
      <c r="E1595" s="109"/>
      <c r="F1595" s="97"/>
      <c r="G1595" s="109"/>
      <c r="H1595" s="109"/>
      <c r="I1595" s="97"/>
      <c r="J1595" s="97"/>
      <c r="K1595" s="83"/>
      <c r="L1595" s="111"/>
      <c r="M1595" s="111"/>
      <c r="N1595" s="111"/>
      <c r="O1595" s="111"/>
      <c r="P1595" s="111"/>
      <c r="Q1595" s="111"/>
      <c r="R1595" s="111"/>
    </row>
    <row r="1596" spans="2:18" s="108" customFormat="1">
      <c r="B1596" s="109"/>
      <c r="C1596" s="110"/>
      <c r="D1596" s="109"/>
      <c r="E1596" s="109"/>
      <c r="F1596" s="97"/>
      <c r="G1596" s="109"/>
      <c r="H1596" s="109"/>
      <c r="I1596" s="97"/>
      <c r="J1596" s="97"/>
      <c r="K1596" s="83"/>
      <c r="L1596" s="111"/>
      <c r="M1596" s="111"/>
      <c r="N1596" s="111"/>
      <c r="O1596" s="111"/>
      <c r="P1596" s="111"/>
      <c r="Q1596" s="111"/>
      <c r="R1596" s="111"/>
    </row>
    <row r="1597" spans="2:18" s="108" customFormat="1">
      <c r="B1597" s="109"/>
      <c r="C1597" s="110"/>
      <c r="D1597" s="109"/>
      <c r="E1597" s="109"/>
      <c r="F1597" s="97"/>
      <c r="G1597" s="109"/>
      <c r="H1597" s="109"/>
      <c r="I1597" s="97"/>
      <c r="J1597" s="97"/>
      <c r="K1597" s="83"/>
      <c r="L1597" s="111"/>
      <c r="M1597" s="111"/>
      <c r="N1597" s="111"/>
      <c r="O1597" s="111"/>
      <c r="P1597" s="111"/>
      <c r="Q1597" s="111"/>
      <c r="R1597" s="111"/>
    </row>
    <row r="1598" spans="2:18" s="108" customFormat="1">
      <c r="B1598" s="109"/>
      <c r="C1598" s="110"/>
      <c r="D1598" s="109"/>
      <c r="E1598" s="109"/>
      <c r="F1598" s="97"/>
      <c r="G1598" s="109"/>
      <c r="H1598" s="109"/>
      <c r="I1598" s="97"/>
      <c r="J1598" s="97"/>
      <c r="K1598" s="83"/>
      <c r="L1598" s="111"/>
      <c r="M1598" s="111"/>
      <c r="N1598" s="111"/>
      <c r="O1598" s="111"/>
      <c r="P1598" s="111"/>
      <c r="Q1598" s="111"/>
      <c r="R1598" s="111"/>
    </row>
    <row r="1599" spans="2:18" s="108" customFormat="1">
      <c r="B1599" s="109"/>
      <c r="C1599" s="110"/>
      <c r="D1599" s="109"/>
      <c r="E1599" s="109"/>
      <c r="F1599" s="97"/>
      <c r="G1599" s="109"/>
      <c r="H1599" s="109"/>
      <c r="I1599" s="97"/>
      <c r="J1599" s="97"/>
      <c r="K1599" s="83"/>
      <c r="L1599" s="111"/>
      <c r="M1599" s="111"/>
      <c r="N1599" s="111"/>
      <c r="O1599" s="111"/>
      <c r="P1599" s="111"/>
      <c r="Q1599" s="111"/>
      <c r="R1599" s="111"/>
    </row>
    <row r="1600" spans="2:18" s="108" customFormat="1">
      <c r="B1600" s="109"/>
      <c r="C1600" s="110"/>
      <c r="D1600" s="109"/>
      <c r="E1600" s="109"/>
      <c r="F1600" s="97"/>
      <c r="G1600" s="109"/>
      <c r="H1600" s="109"/>
      <c r="I1600" s="97"/>
      <c r="J1600" s="97"/>
      <c r="K1600" s="83"/>
      <c r="L1600" s="111"/>
      <c r="M1600" s="111"/>
      <c r="N1600" s="111"/>
      <c r="O1600" s="111"/>
      <c r="P1600" s="111"/>
      <c r="Q1600" s="111"/>
      <c r="R1600" s="111"/>
    </row>
    <row r="1601" spans="2:18" s="108" customFormat="1">
      <c r="B1601" s="109"/>
      <c r="C1601" s="110"/>
      <c r="D1601" s="109"/>
      <c r="E1601" s="109"/>
      <c r="F1601" s="97"/>
      <c r="G1601" s="109"/>
      <c r="H1601" s="109"/>
      <c r="I1601" s="97"/>
      <c r="J1601" s="97"/>
      <c r="K1601" s="83"/>
      <c r="L1601" s="111"/>
      <c r="M1601" s="111"/>
      <c r="N1601" s="111"/>
      <c r="O1601" s="111"/>
      <c r="P1601" s="111"/>
      <c r="Q1601" s="111"/>
      <c r="R1601" s="111"/>
    </row>
    <row r="1602" spans="2:18" s="108" customFormat="1">
      <c r="B1602" s="109"/>
      <c r="C1602" s="110"/>
      <c r="D1602" s="109"/>
      <c r="E1602" s="109"/>
      <c r="F1602" s="97"/>
      <c r="G1602" s="109"/>
      <c r="H1602" s="109"/>
      <c r="I1602" s="97"/>
      <c r="J1602" s="97"/>
      <c r="K1602" s="83"/>
      <c r="L1602" s="111"/>
      <c r="M1602" s="111"/>
      <c r="N1602" s="111"/>
      <c r="O1602" s="111"/>
      <c r="P1602" s="111"/>
      <c r="Q1602" s="111"/>
      <c r="R1602" s="111"/>
    </row>
    <row r="1603" spans="2:18" s="108" customFormat="1">
      <c r="B1603" s="109"/>
      <c r="C1603" s="110"/>
      <c r="D1603" s="109"/>
      <c r="E1603" s="109"/>
      <c r="F1603" s="97"/>
      <c r="G1603" s="109"/>
      <c r="H1603" s="109"/>
      <c r="I1603" s="97"/>
      <c r="J1603" s="97"/>
      <c r="K1603" s="83"/>
      <c r="L1603" s="111"/>
      <c r="M1603" s="111"/>
      <c r="N1603" s="111"/>
      <c r="O1603" s="111"/>
      <c r="P1603" s="111"/>
      <c r="Q1603" s="111"/>
      <c r="R1603" s="111"/>
    </row>
    <row r="1604" spans="2:18" s="108" customFormat="1">
      <c r="B1604" s="109"/>
      <c r="C1604" s="110"/>
      <c r="D1604" s="109"/>
      <c r="E1604" s="109"/>
      <c r="F1604" s="97"/>
      <c r="G1604" s="109"/>
      <c r="H1604" s="109"/>
      <c r="I1604" s="97"/>
      <c r="J1604" s="97"/>
      <c r="K1604" s="83"/>
      <c r="L1604" s="111"/>
      <c r="M1604" s="111"/>
      <c r="N1604" s="111"/>
      <c r="O1604" s="111"/>
      <c r="P1604" s="111"/>
      <c r="Q1604" s="111"/>
      <c r="R1604" s="111"/>
    </row>
    <row r="1605" spans="2:18" s="108" customFormat="1">
      <c r="B1605" s="109"/>
      <c r="C1605" s="110"/>
      <c r="D1605" s="109"/>
      <c r="E1605" s="109"/>
      <c r="F1605" s="97"/>
      <c r="G1605" s="109"/>
      <c r="H1605" s="109"/>
      <c r="I1605" s="97"/>
      <c r="J1605" s="97"/>
      <c r="K1605" s="83"/>
      <c r="L1605" s="111"/>
      <c r="M1605" s="111"/>
      <c r="N1605" s="111"/>
      <c r="O1605" s="111"/>
      <c r="P1605" s="111"/>
      <c r="Q1605" s="111"/>
      <c r="R1605" s="111"/>
    </row>
    <row r="1606" spans="2:18" s="108" customFormat="1">
      <c r="B1606" s="109"/>
      <c r="C1606" s="110"/>
      <c r="D1606" s="109"/>
      <c r="E1606" s="109"/>
      <c r="F1606" s="97"/>
      <c r="G1606" s="109"/>
      <c r="H1606" s="109"/>
      <c r="I1606" s="97"/>
      <c r="J1606" s="97"/>
      <c r="K1606" s="83"/>
      <c r="L1606" s="111"/>
      <c r="M1606" s="111"/>
      <c r="N1606" s="111"/>
      <c r="O1606" s="111"/>
      <c r="P1606" s="111"/>
      <c r="Q1606" s="111"/>
      <c r="R1606" s="111"/>
    </row>
    <row r="1607" spans="2:18" s="108" customFormat="1">
      <c r="B1607" s="109"/>
      <c r="C1607" s="110"/>
      <c r="D1607" s="109"/>
      <c r="E1607" s="109"/>
      <c r="F1607" s="97"/>
      <c r="G1607" s="109"/>
      <c r="H1607" s="109"/>
      <c r="I1607" s="97"/>
      <c r="J1607" s="97"/>
      <c r="K1607" s="83"/>
      <c r="L1607" s="111"/>
      <c r="M1607" s="111"/>
      <c r="N1607" s="111"/>
      <c r="O1607" s="111"/>
      <c r="P1607" s="111"/>
      <c r="Q1607" s="111"/>
      <c r="R1607" s="111"/>
    </row>
    <row r="1608" spans="2:18" s="108" customFormat="1">
      <c r="B1608" s="109"/>
      <c r="C1608" s="110"/>
      <c r="D1608" s="109"/>
      <c r="E1608" s="109"/>
      <c r="F1608" s="97"/>
      <c r="G1608" s="109"/>
      <c r="H1608" s="109"/>
      <c r="I1608" s="97"/>
      <c r="J1608" s="97"/>
      <c r="K1608" s="83"/>
      <c r="L1608" s="111"/>
      <c r="M1608" s="111"/>
      <c r="N1608" s="111"/>
      <c r="O1608" s="111"/>
      <c r="P1608" s="111"/>
      <c r="Q1608" s="111"/>
      <c r="R1608" s="111"/>
    </row>
    <row r="1609" spans="2:18" s="108" customFormat="1">
      <c r="B1609" s="109"/>
      <c r="C1609" s="110"/>
      <c r="D1609" s="109"/>
      <c r="E1609" s="109"/>
      <c r="F1609" s="97"/>
      <c r="G1609" s="109"/>
      <c r="H1609" s="109"/>
      <c r="I1609" s="97"/>
      <c r="J1609" s="97"/>
      <c r="K1609" s="83"/>
      <c r="L1609" s="111"/>
      <c r="M1609" s="111"/>
      <c r="N1609" s="111"/>
      <c r="O1609" s="111"/>
      <c r="P1609" s="111"/>
      <c r="Q1609" s="111"/>
      <c r="R1609" s="111"/>
    </row>
    <row r="1610" spans="2:18" s="108" customFormat="1">
      <c r="B1610" s="109"/>
      <c r="C1610" s="110"/>
      <c r="D1610" s="109"/>
      <c r="E1610" s="109"/>
      <c r="F1610" s="97"/>
      <c r="G1610" s="109"/>
      <c r="H1610" s="109"/>
      <c r="I1610" s="97"/>
      <c r="J1610" s="97"/>
      <c r="K1610" s="83"/>
      <c r="L1610" s="111"/>
      <c r="M1610" s="111"/>
      <c r="N1610" s="111"/>
      <c r="O1610" s="111"/>
      <c r="P1610" s="111"/>
      <c r="Q1610" s="111"/>
      <c r="R1610" s="111"/>
    </row>
    <row r="1611" spans="2:18" s="108" customFormat="1">
      <c r="B1611" s="109"/>
      <c r="C1611" s="110"/>
      <c r="D1611" s="109"/>
      <c r="E1611" s="109"/>
      <c r="F1611" s="97"/>
      <c r="G1611" s="109"/>
      <c r="H1611" s="109"/>
      <c r="I1611" s="97"/>
      <c r="J1611" s="97"/>
      <c r="K1611" s="83"/>
      <c r="L1611" s="111"/>
      <c r="M1611" s="111"/>
      <c r="N1611" s="111"/>
      <c r="O1611" s="111"/>
      <c r="P1611" s="111"/>
      <c r="Q1611" s="111"/>
      <c r="R1611" s="111"/>
    </row>
    <row r="1612" spans="2:18" s="108" customFormat="1">
      <c r="B1612" s="109"/>
      <c r="C1612" s="110"/>
      <c r="D1612" s="109"/>
      <c r="E1612" s="109"/>
      <c r="F1612" s="97"/>
      <c r="G1612" s="109"/>
      <c r="H1612" s="109"/>
      <c r="I1612" s="97"/>
      <c r="J1612" s="97"/>
      <c r="K1612" s="83"/>
      <c r="L1612" s="111"/>
      <c r="M1612" s="111"/>
      <c r="N1612" s="111"/>
      <c r="O1612" s="111"/>
      <c r="P1612" s="111"/>
      <c r="Q1612" s="111"/>
      <c r="R1612" s="111"/>
    </row>
    <row r="1613" spans="2:18" s="108" customFormat="1">
      <c r="B1613" s="109"/>
      <c r="C1613" s="110"/>
      <c r="D1613" s="109"/>
      <c r="E1613" s="109"/>
      <c r="F1613" s="97"/>
      <c r="G1613" s="109"/>
      <c r="H1613" s="109"/>
      <c r="I1613" s="97"/>
      <c r="J1613" s="97"/>
      <c r="K1613" s="83"/>
      <c r="L1613" s="111"/>
      <c r="M1613" s="111"/>
      <c r="N1613" s="111"/>
      <c r="O1613" s="111"/>
      <c r="P1613" s="111"/>
      <c r="Q1613" s="111"/>
      <c r="R1613" s="111"/>
    </row>
    <row r="1614" spans="2:18" s="108" customFormat="1">
      <c r="B1614" s="109"/>
      <c r="C1614" s="110"/>
      <c r="D1614" s="109"/>
      <c r="E1614" s="109"/>
      <c r="F1614" s="97"/>
      <c r="G1614" s="109"/>
      <c r="H1614" s="109"/>
      <c r="I1614" s="97"/>
      <c r="J1614" s="97"/>
      <c r="K1614" s="83"/>
      <c r="L1614" s="111"/>
      <c r="M1614" s="111"/>
      <c r="N1614" s="111"/>
      <c r="O1614" s="111"/>
      <c r="P1614" s="111"/>
      <c r="Q1614" s="111"/>
      <c r="R1614" s="111"/>
    </row>
    <row r="1615" spans="2:18" s="108" customFormat="1">
      <c r="B1615" s="109"/>
      <c r="C1615" s="110"/>
      <c r="D1615" s="109"/>
      <c r="E1615" s="109"/>
      <c r="F1615" s="97"/>
      <c r="G1615" s="109"/>
      <c r="H1615" s="109"/>
      <c r="I1615" s="97"/>
      <c r="J1615" s="97"/>
      <c r="K1615" s="83"/>
      <c r="L1615" s="111"/>
      <c r="M1615" s="111"/>
      <c r="N1615" s="111"/>
      <c r="O1615" s="111"/>
      <c r="P1615" s="111"/>
      <c r="Q1615" s="111"/>
      <c r="R1615" s="111"/>
    </row>
    <row r="1616" spans="2:18" s="108" customFormat="1">
      <c r="B1616" s="109"/>
      <c r="C1616" s="110"/>
      <c r="D1616" s="109"/>
      <c r="E1616" s="109"/>
      <c r="F1616" s="97"/>
      <c r="G1616" s="109"/>
      <c r="H1616" s="109"/>
      <c r="I1616" s="97"/>
      <c r="J1616" s="97"/>
      <c r="K1616" s="83"/>
      <c r="L1616" s="111"/>
      <c r="M1616" s="111"/>
      <c r="N1616" s="111"/>
      <c r="O1616" s="111"/>
      <c r="P1616" s="111"/>
      <c r="Q1616" s="111"/>
      <c r="R1616" s="111"/>
    </row>
    <row r="1617" spans="2:18" s="108" customFormat="1">
      <c r="B1617" s="109"/>
      <c r="C1617" s="110"/>
      <c r="D1617" s="109"/>
      <c r="E1617" s="109"/>
      <c r="F1617" s="97"/>
      <c r="G1617" s="109"/>
      <c r="H1617" s="109"/>
      <c r="I1617" s="97"/>
      <c r="J1617" s="97"/>
      <c r="K1617" s="83"/>
      <c r="L1617" s="111"/>
      <c r="M1617" s="111"/>
      <c r="N1617" s="111"/>
      <c r="O1617" s="111"/>
      <c r="P1617" s="111"/>
      <c r="Q1617" s="111"/>
      <c r="R1617" s="111"/>
    </row>
    <row r="1618" spans="2:18" s="108" customFormat="1">
      <c r="B1618" s="109"/>
      <c r="C1618" s="110"/>
      <c r="D1618" s="109"/>
      <c r="E1618" s="109"/>
      <c r="F1618" s="97"/>
      <c r="G1618" s="109"/>
      <c r="H1618" s="109"/>
      <c r="I1618" s="97"/>
      <c r="J1618" s="97"/>
      <c r="K1618" s="83"/>
      <c r="L1618" s="111"/>
      <c r="M1618" s="111"/>
      <c r="N1618" s="111"/>
      <c r="O1618" s="111"/>
      <c r="P1618" s="111"/>
      <c r="Q1618" s="111"/>
      <c r="R1618" s="111"/>
    </row>
    <row r="1619" spans="2:18" s="108" customFormat="1">
      <c r="B1619" s="109"/>
      <c r="C1619" s="110"/>
      <c r="D1619" s="109"/>
      <c r="E1619" s="109"/>
      <c r="F1619" s="97"/>
      <c r="G1619" s="109"/>
      <c r="H1619" s="109"/>
      <c r="I1619" s="97"/>
      <c r="J1619" s="97"/>
      <c r="K1619" s="83"/>
      <c r="L1619" s="111"/>
      <c r="M1619" s="111"/>
      <c r="N1619" s="111"/>
      <c r="O1619" s="111"/>
      <c r="P1619" s="111"/>
      <c r="Q1619" s="111"/>
      <c r="R1619" s="111"/>
    </row>
    <row r="1620" spans="2:18" s="108" customFormat="1">
      <c r="B1620" s="109"/>
      <c r="C1620" s="110"/>
      <c r="D1620" s="109"/>
      <c r="E1620" s="109"/>
      <c r="F1620" s="97"/>
      <c r="G1620" s="109"/>
      <c r="H1620" s="109"/>
      <c r="I1620" s="97"/>
      <c r="J1620" s="97"/>
      <c r="K1620" s="83"/>
      <c r="L1620" s="111"/>
      <c r="M1620" s="111"/>
      <c r="N1620" s="111"/>
      <c r="O1620" s="111"/>
      <c r="P1620" s="111"/>
      <c r="Q1620" s="111"/>
      <c r="R1620" s="111"/>
    </row>
    <row r="1621" spans="2:18" s="108" customFormat="1">
      <c r="B1621" s="109"/>
      <c r="C1621" s="110"/>
      <c r="D1621" s="109"/>
      <c r="E1621" s="109"/>
      <c r="F1621" s="97"/>
      <c r="G1621" s="109"/>
      <c r="H1621" s="109"/>
      <c r="I1621" s="97"/>
      <c r="J1621" s="97"/>
      <c r="K1621" s="83"/>
      <c r="L1621" s="111"/>
      <c r="M1621" s="111"/>
      <c r="N1621" s="111"/>
      <c r="O1621" s="111"/>
      <c r="P1621" s="111"/>
      <c r="Q1621" s="111"/>
      <c r="R1621" s="111"/>
    </row>
    <row r="1622" spans="2:18" s="108" customFormat="1">
      <c r="B1622" s="109"/>
      <c r="C1622" s="110"/>
      <c r="D1622" s="109"/>
      <c r="E1622" s="109"/>
      <c r="F1622" s="97"/>
      <c r="G1622" s="109"/>
      <c r="H1622" s="109"/>
      <c r="I1622" s="97"/>
      <c r="J1622" s="97"/>
      <c r="K1622" s="83"/>
      <c r="L1622" s="111"/>
      <c r="M1622" s="111"/>
      <c r="N1622" s="111"/>
      <c r="O1622" s="111"/>
      <c r="P1622" s="111"/>
      <c r="Q1622" s="111"/>
      <c r="R1622" s="111"/>
    </row>
    <row r="1623" spans="2:18" s="108" customFormat="1">
      <c r="B1623" s="109"/>
      <c r="C1623" s="110"/>
      <c r="D1623" s="109"/>
      <c r="E1623" s="109"/>
      <c r="F1623" s="97"/>
      <c r="G1623" s="109"/>
      <c r="H1623" s="109"/>
      <c r="I1623" s="97"/>
      <c r="J1623" s="97"/>
      <c r="K1623" s="83"/>
      <c r="L1623" s="111"/>
      <c r="M1623" s="111"/>
      <c r="N1623" s="111"/>
      <c r="O1623" s="111"/>
      <c r="P1623" s="111"/>
      <c r="Q1623" s="111"/>
      <c r="R1623" s="111"/>
    </row>
    <row r="1624" spans="2:18" s="108" customFormat="1">
      <c r="B1624" s="109"/>
      <c r="C1624" s="110"/>
      <c r="D1624" s="109"/>
      <c r="E1624" s="109"/>
      <c r="F1624" s="97"/>
      <c r="G1624" s="109"/>
      <c r="H1624" s="109"/>
      <c r="I1624" s="97"/>
      <c r="J1624" s="97"/>
      <c r="K1624" s="83"/>
      <c r="L1624" s="111"/>
      <c r="M1624" s="111"/>
      <c r="N1624" s="111"/>
      <c r="O1624" s="111"/>
      <c r="P1624" s="111"/>
      <c r="Q1624" s="111"/>
      <c r="R1624" s="111"/>
    </row>
    <row r="1625" spans="2:18" s="108" customFormat="1">
      <c r="B1625" s="109"/>
      <c r="C1625" s="110"/>
      <c r="D1625" s="109"/>
      <c r="E1625" s="109"/>
      <c r="F1625" s="97"/>
      <c r="G1625" s="109"/>
      <c r="H1625" s="109"/>
      <c r="I1625" s="97"/>
      <c r="J1625" s="97"/>
      <c r="K1625" s="83"/>
      <c r="L1625" s="111"/>
      <c r="M1625" s="111"/>
      <c r="N1625" s="111"/>
      <c r="O1625" s="111"/>
      <c r="P1625" s="111"/>
      <c r="Q1625" s="111"/>
      <c r="R1625" s="111"/>
    </row>
    <row r="1626" spans="2:18" s="108" customFormat="1">
      <c r="B1626" s="109"/>
      <c r="C1626" s="110"/>
      <c r="D1626" s="109"/>
      <c r="E1626" s="109"/>
      <c r="F1626" s="97"/>
      <c r="G1626" s="109"/>
      <c r="H1626" s="109"/>
      <c r="I1626" s="97"/>
      <c r="J1626" s="97"/>
      <c r="K1626" s="83"/>
      <c r="L1626" s="111"/>
      <c r="M1626" s="111"/>
      <c r="N1626" s="111"/>
      <c r="O1626" s="111"/>
      <c r="P1626" s="111"/>
      <c r="Q1626" s="111"/>
      <c r="R1626" s="111"/>
    </row>
    <row r="1627" spans="2:18" s="108" customFormat="1">
      <c r="B1627" s="109"/>
      <c r="C1627" s="110"/>
      <c r="D1627" s="109"/>
      <c r="E1627" s="109"/>
      <c r="F1627" s="97"/>
      <c r="G1627" s="109"/>
      <c r="H1627" s="109"/>
      <c r="I1627" s="97"/>
      <c r="J1627" s="97"/>
      <c r="K1627" s="83"/>
      <c r="L1627" s="111"/>
      <c r="M1627" s="111"/>
      <c r="N1627" s="111"/>
      <c r="O1627" s="111"/>
      <c r="P1627" s="111"/>
      <c r="Q1627" s="111"/>
      <c r="R1627" s="111"/>
    </row>
    <row r="1628" spans="2:18" s="108" customFormat="1">
      <c r="B1628" s="109"/>
      <c r="C1628" s="110"/>
      <c r="D1628" s="109"/>
      <c r="E1628" s="109"/>
      <c r="F1628" s="97"/>
      <c r="G1628" s="109"/>
      <c r="H1628" s="109"/>
      <c r="I1628" s="97"/>
      <c r="J1628" s="97"/>
      <c r="K1628" s="83"/>
      <c r="L1628" s="111"/>
      <c r="M1628" s="111"/>
      <c r="N1628" s="111"/>
      <c r="O1628" s="111"/>
      <c r="P1628" s="111"/>
      <c r="Q1628" s="111"/>
      <c r="R1628" s="111"/>
    </row>
    <row r="1629" spans="2:18" s="108" customFormat="1">
      <c r="B1629" s="109"/>
      <c r="C1629" s="110"/>
      <c r="D1629" s="109"/>
      <c r="E1629" s="109"/>
      <c r="F1629" s="97"/>
      <c r="G1629" s="109"/>
      <c r="H1629" s="109"/>
      <c r="I1629" s="97"/>
      <c r="J1629" s="97"/>
      <c r="K1629" s="83"/>
      <c r="L1629" s="111"/>
      <c r="M1629" s="111"/>
      <c r="N1629" s="111"/>
      <c r="O1629" s="111"/>
      <c r="P1629" s="111"/>
      <c r="Q1629" s="111"/>
      <c r="R1629" s="111"/>
    </row>
    <row r="1630" spans="2:18" s="108" customFormat="1">
      <c r="B1630" s="109"/>
      <c r="C1630" s="110"/>
      <c r="D1630" s="109"/>
      <c r="E1630" s="109"/>
      <c r="F1630" s="97"/>
      <c r="G1630" s="109"/>
      <c r="H1630" s="109"/>
      <c r="I1630" s="97"/>
      <c r="J1630" s="97"/>
      <c r="K1630" s="83"/>
      <c r="L1630" s="111"/>
      <c r="M1630" s="111"/>
      <c r="N1630" s="111"/>
      <c r="O1630" s="111"/>
      <c r="P1630" s="111"/>
      <c r="Q1630" s="111"/>
      <c r="R1630" s="111"/>
    </row>
    <row r="1631" spans="2:18" s="108" customFormat="1">
      <c r="B1631" s="109"/>
      <c r="C1631" s="110"/>
      <c r="D1631" s="109"/>
      <c r="E1631" s="109"/>
      <c r="F1631" s="97"/>
      <c r="G1631" s="109"/>
      <c r="H1631" s="109"/>
      <c r="I1631" s="97"/>
      <c r="J1631" s="97"/>
      <c r="K1631" s="83"/>
      <c r="L1631" s="111"/>
      <c r="M1631" s="111"/>
      <c r="N1631" s="111"/>
      <c r="O1631" s="111"/>
      <c r="P1631" s="111"/>
      <c r="Q1631" s="111"/>
      <c r="R1631" s="111"/>
    </row>
    <row r="1632" spans="2:18" s="108" customFormat="1">
      <c r="B1632" s="109"/>
      <c r="C1632" s="110"/>
      <c r="D1632" s="109"/>
      <c r="E1632" s="109"/>
      <c r="F1632" s="97"/>
      <c r="G1632" s="109"/>
      <c r="H1632" s="109"/>
      <c r="I1632" s="97"/>
      <c r="J1632" s="97"/>
      <c r="K1632" s="83"/>
      <c r="L1632" s="111"/>
      <c r="M1632" s="111"/>
      <c r="N1632" s="111"/>
      <c r="O1632" s="111"/>
      <c r="P1632" s="111"/>
      <c r="Q1632" s="111"/>
      <c r="R1632" s="111"/>
    </row>
    <row r="1633" spans="2:18" s="108" customFormat="1">
      <c r="B1633" s="109"/>
      <c r="C1633" s="110"/>
      <c r="D1633" s="109"/>
      <c r="E1633" s="109"/>
      <c r="F1633" s="97"/>
      <c r="G1633" s="109"/>
      <c r="H1633" s="109"/>
      <c r="I1633" s="97"/>
      <c r="J1633" s="97"/>
      <c r="K1633" s="83"/>
      <c r="L1633" s="111"/>
      <c r="M1633" s="111"/>
      <c r="N1633" s="111"/>
      <c r="O1633" s="111"/>
      <c r="P1633" s="111"/>
      <c r="Q1633" s="111"/>
      <c r="R1633" s="111"/>
    </row>
    <row r="1634" spans="2:18" s="108" customFormat="1">
      <c r="B1634" s="109"/>
      <c r="C1634" s="110"/>
      <c r="D1634" s="109"/>
      <c r="E1634" s="109"/>
      <c r="F1634" s="97"/>
      <c r="G1634" s="109"/>
      <c r="H1634" s="109"/>
      <c r="I1634" s="97"/>
      <c r="J1634" s="97"/>
      <c r="K1634" s="83"/>
      <c r="L1634" s="111"/>
      <c r="M1634" s="111"/>
      <c r="N1634" s="111"/>
      <c r="O1634" s="111"/>
      <c r="P1634" s="111"/>
      <c r="Q1634" s="111"/>
      <c r="R1634" s="111"/>
    </row>
    <row r="1635" spans="2:18" s="108" customFormat="1">
      <c r="B1635" s="109"/>
      <c r="C1635" s="110"/>
      <c r="D1635" s="109"/>
      <c r="E1635" s="109"/>
      <c r="F1635" s="97"/>
      <c r="G1635" s="109"/>
      <c r="H1635" s="109"/>
      <c r="I1635" s="97"/>
      <c r="J1635" s="97"/>
      <c r="K1635" s="83"/>
      <c r="L1635" s="111"/>
      <c r="M1635" s="111"/>
      <c r="N1635" s="111"/>
      <c r="O1635" s="111"/>
      <c r="P1635" s="111"/>
      <c r="Q1635" s="111"/>
      <c r="R1635" s="111"/>
    </row>
    <row r="1636" spans="2:18" s="108" customFormat="1">
      <c r="B1636" s="109"/>
      <c r="C1636" s="110"/>
      <c r="D1636" s="109"/>
      <c r="E1636" s="109"/>
      <c r="F1636" s="97"/>
      <c r="G1636" s="109"/>
      <c r="H1636" s="109"/>
      <c r="I1636" s="97"/>
      <c r="J1636" s="97"/>
      <c r="K1636" s="83"/>
      <c r="L1636" s="111"/>
      <c r="M1636" s="111"/>
      <c r="N1636" s="111"/>
      <c r="O1636" s="111"/>
      <c r="P1636" s="111"/>
      <c r="Q1636" s="111"/>
      <c r="R1636" s="111"/>
    </row>
    <row r="1637" spans="2:18" s="108" customFormat="1">
      <c r="B1637" s="109"/>
      <c r="C1637" s="110"/>
      <c r="D1637" s="109"/>
      <c r="E1637" s="109"/>
      <c r="F1637" s="97"/>
      <c r="G1637" s="109"/>
      <c r="H1637" s="109"/>
      <c r="I1637" s="97"/>
      <c r="J1637" s="97"/>
      <c r="K1637" s="83"/>
      <c r="L1637" s="111"/>
      <c r="M1637" s="111"/>
      <c r="N1637" s="111"/>
      <c r="O1637" s="111"/>
      <c r="P1637" s="111"/>
      <c r="Q1637" s="111"/>
      <c r="R1637" s="111"/>
    </row>
    <row r="1638" spans="2:18" s="108" customFormat="1">
      <c r="B1638" s="109"/>
      <c r="C1638" s="110"/>
      <c r="D1638" s="109"/>
      <c r="E1638" s="109"/>
      <c r="F1638" s="97"/>
      <c r="G1638" s="109"/>
      <c r="H1638" s="109"/>
      <c r="I1638" s="97"/>
      <c r="J1638" s="97"/>
      <c r="K1638" s="83"/>
      <c r="L1638" s="111"/>
      <c r="M1638" s="111"/>
      <c r="N1638" s="111"/>
      <c r="O1638" s="111"/>
      <c r="P1638" s="111"/>
      <c r="Q1638" s="111"/>
      <c r="R1638" s="111"/>
    </row>
    <row r="1639" spans="2:18" s="108" customFormat="1">
      <c r="B1639" s="109"/>
      <c r="C1639" s="110"/>
      <c r="D1639" s="109"/>
      <c r="E1639" s="109"/>
      <c r="F1639" s="97"/>
      <c r="G1639" s="109"/>
      <c r="H1639" s="109"/>
      <c r="I1639" s="97"/>
      <c r="J1639" s="97"/>
      <c r="K1639" s="83"/>
      <c r="L1639" s="111"/>
      <c r="M1639" s="111"/>
      <c r="N1639" s="111"/>
      <c r="O1639" s="111"/>
      <c r="P1639" s="111"/>
      <c r="Q1639" s="111"/>
      <c r="R1639" s="111"/>
    </row>
    <row r="1640" spans="2:18" s="108" customFormat="1">
      <c r="B1640" s="109"/>
      <c r="C1640" s="110"/>
      <c r="D1640" s="109"/>
      <c r="E1640" s="109"/>
      <c r="F1640" s="97"/>
      <c r="G1640" s="109"/>
      <c r="H1640" s="109"/>
      <c r="I1640" s="97"/>
      <c r="J1640" s="97"/>
      <c r="K1640" s="83"/>
      <c r="L1640" s="111"/>
      <c r="M1640" s="111"/>
      <c r="N1640" s="111"/>
      <c r="O1640" s="111"/>
      <c r="P1640" s="111"/>
      <c r="Q1640" s="111"/>
      <c r="R1640" s="111"/>
    </row>
    <row r="1641" spans="2:18" s="108" customFormat="1">
      <c r="B1641" s="109"/>
      <c r="C1641" s="110"/>
      <c r="D1641" s="109"/>
      <c r="E1641" s="109"/>
      <c r="F1641" s="97"/>
      <c r="G1641" s="109"/>
      <c r="H1641" s="109"/>
      <c r="I1641" s="97"/>
      <c r="J1641" s="97"/>
      <c r="K1641" s="83"/>
      <c r="L1641" s="111"/>
      <c r="M1641" s="111"/>
      <c r="N1641" s="111"/>
      <c r="O1641" s="111"/>
      <c r="P1641" s="111"/>
      <c r="Q1641" s="111"/>
      <c r="R1641" s="111"/>
    </row>
    <row r="1642" spans="2:18" s="108" customFormat="1">
      <c r="B1642" s="109"/>
      <c r="C1642" s="110"/>
      <c r="D1642" s="109"/>
      <c r="E1642" s="109"/>
      <c r="F1642" s="97"/>
      <c r="G1642" s="109"/>
      <c r="H1642" s="109"/>
      <c r="I1642" s="97"/>
      <c r="J1642" s="97"/>
      <c r="K1642" s="83"/>
      <c r="L1642" s="111"/>
      <c r="M1642" s="111"/>
      <c r="N1642" s="111"/>
      <c r="O1642" s="111"/>
      <c r="P1642" s="111"/>
      <c r="Q1642" s="111"/>
      <c r="R1642" s="111"/>
    </row>
    <row r="1643" spans="2:18" s="108" customFormat="1">
      <c r="B1643" s="109"/>
      <c r="C1643" s="110"/>
      <c r="D1643" s="109"/>
      <c r="E1643" s="109"/>
      <c r="F1643" s="97"/>
      <c r="G1643" s="109"/>
      <c r="H1643" s="109"/>
      <c r="I1643" s="97"/>
      <c r="J1643" s="97"/>
      <c r="K1643" s="83"/>
      <c r="L1643" s="111"/>
      <c r="M1643" s="111"/>
      <c r="N1643" s="111"/>
      <c r="O1643" s="111"/>
      <c r="P1643" s="111"/>
      <c r="Q1643" s="111"/>
      <c r="R1643" s="111"/>
    </row>
    <row r="1644" spans="2:18" s="108" customFormat="1">
      <c r="B1644" s="109"/>
      <c r="C1644" s="110"/>
      <c r="D1644" s="109"/>
      <c r="E1644" s="109"/>
      <c r="F1644" s="97"/>
      <c r="G1644" s="109"/>
      <c r="H1644" s="109"/>
      <c r="I1644" s="97"/>
      <c r="J1644" s="97"/>
      <c r="K1644" s="83"/>
      <c r="L1644" s="111"/>
      <c r="M1644" s="111"/>
      <c r="N1644" s="111"/>
      <c r="O1644" s="111"/>
      <c r="P1644" s="111"/>
      <c r="Q1644" s="111"/>
      <c r="R1644" s="111"/>
    </row>
    <row r="1645" spans="2:18" s="108" customFormat="1">
      <c r="B1645" s="109"/>
      <c r="C1645" s="110"/>
      <c r="D1645" s="109"/>
      <c r="E1645" s="109"/>
      <c r="F1645" s="97"/>
      <c r="G1645" s="109"/>
      <c r="H1645" s="109"/>
      <c r="I1645" s="97"/>
      <c r="J1645" s="97"/>
      <c r="K1645" s="83"/>
      <c r="L1645" s="111"/>
      <c r="M1645" s="111"/>
      <c r="N1645" s="111"/>
      <c r="O1645" s="111"/>
      <c r="P1645" s="111"/>
      <c r="Q1645" s="111"/>
      <c r="R1645" s="111"/>
    </row>
    <row r="1646" spans="2:18" s="108" customFormat="1">
      <c r="B1646" s="109"/>
      <c r="C1646" s="110"/>
      <c r="D1646" s="109"/>
      <c r="E1646" s="109"/>
      <c r="F1646" s="97"/>
      <c r="G1646" s="109"/>
      <c r="H1646" s="109"/>
      <c r="I1646" s="97"/>
      <c r="J1646" s="97"/>
      <c r="K1646" s="83"/>
      <c r="L1646" s="111"/>
      <c r="M1646" s="111"/>
      <c r="N1646" s="111"/>
      <c r="O1646" s="111"/>
      <c r="P1646" s="111"/>
      <c r="Q1646" s="111"/>
      <c r="R1646" s="111"/>
    </row>
    <row r="1647" spans="2:18" s="108" customFormat="1">
      <c r="B1647" s="109"/>
      <c r="C1647" s="110"/>
      <c r="D1647" s="109"/>
      <c r="E1647" s="109"/>
      <c r="F1647" s="97"/>
      <c r="G1647" s="109"/>
      <c r="H1647" s="109"/>
      <c r="I1647" s="97"/>
      <c r="J1647" s="97"/>
      <c r="K1647" s="83"/>
      <c r="L1647" s="111"/>
      <c r="M1647" s="111"/>
      <c r="N1647" s="111"/>
      <c r="O1647" s="111"/>
      <c r="P1647" s="111"/>
      <c r="Q1647" s="111"/>
      <c r="R1647" s="111"/>
    </row>
    <row r="1648" spans="2:18" s="108" customFormat="1">
      <c r="B1648" s="109"/>
      <c r="C1648" s="110"/>
      <c r="D1648" s="109"/>
      <c r="E1648" s="109"/>
      <c r="F1648" s="97"/>
      <c r="G1648" s="109"/>
      <c r="H1648" s="109"/>
      <c r="I1648" s="97"/>
      <c r="J1648" s="97"/>
      <c r="K1648" s="83"/>
      <c r="L1648" s="111"/>
      <c r="M1648" s="111"/>
      <c r="N1648" s="111"/>
      <c r="O1648" s="111"/>
      <c r="P1648" s="111"/>
      <c r="Q1648" s="111"/>
      <c r="R1648" s="111"/>
    </row>
    <row r="1649" spans="2:18" s="108" customFormat="1">
      <c r="B1649" s="109"/>
      <c r="C1649" s="110"/>
      <c r="D1649" s="109"/>
      <c r="E1649" s="109"/>
      <c r="F1649" s="97"/>
      <c r="G1649" s="109"/>
      <c r="H1649" s="109"/>
      <c r="I1649" s="97"/>
      <c r="J1649" s="97"/>
      <c r="K1649" s="83"/>
      <c r="L1649" s="111"/>
      <c r="M1649" s="111"/>
      <c r="N1649" s="111"/>
      <c r="O1649" s="111"/>
      <c r="P1649" s="111"/>
      <c r="Q1649" s="111"/>
      <c r="R1649" s="111"/>
    </row>
    <row r="1650" spans="2:18" s="108" customFormat="1">
      <c r="B1650" s="109"/>
      <c r="C1650" s="110"/>
      <c r="D1650" s="109"/>
      <c r="E1650" s="109"/>
      <c r="F1650" s="97"/>
      <c r="G1650" s="109"/>
      <c r="H1650" s="109"/>
      <c r="I1650" s="97"/>
      <c r="J1650" s="97"/>
      <c r="K1650" s="83"/>
      <c r="L1650" s="111"/>
      <c r="M1650" s="111"/>
      <c r="N1650" s="111"/>
      <c r="O1650" s="111"/>
      <c r="P1650" s="111"/>
      <c r="Q1650" s="111"/>
      <c r="R1650" s="111"/>
    </row>
    <row r="1651" spans="2:18" s="108" customFormat="1">
      <c r="B1651" s="109"/>
      <c r="C1651" s="110"/>
      <c r="D1651" s="109"/>
      <c r="E1651" s="109"/>
      <c r="F1651" s="97"/>
      <c r="G1651" s="109"/>
      <c r="H1651" s="109"/>
      <c r="I1651" s="97"/>
      <c r="J1651" s="97"/>
      <c r="K1651" s="83"/>
      <c r="L1651" s="111"/>
      <c r="M1651" s="111"/>
      <c r="N1651" s="111"/>
      <c r="O1651" s="111"/>
      <c r="P1651" s="111"/>
      <c r="Q1651" s="111"/>
      <c r="R1651" s="111"/>
    </row>
    <row r="1652" spans="2:18" s="108" customFormat="1">
      <c r="B1652" s="109"/>
      <c r="C1652" s="110"/>
      <c r="D1652" s="109"/>
      <c r="E1652" s="109"/>
      <c r="F1652" s="97"/>
      <c r="G1652" s="109"/>
      <c r="H1652" s="109"/>
      <c r="I1652" s="97"/>
      <c r="J1652" s="97"/>
      <c r="K1652" s="83"/>
      <c r="L1652" s="111"/>
      <c r="M1652" s="111"/>
      <c r="N1652" s="111"/>
      <c r="O1652" s="111"/>
      <c r="P1652" s="111"/>
      <c r="Q1652" s="111"/>
      <c r="R1652" s="111"/>
    </row>
    <row r="1653" spans="2:18" s="108" customFormat="1">
      <c r="B1653" s="109"/>
      <c r="C1653" s="110"/>
      <c r="D1653" s="109"/>
      <c r="E1653" s="109"/>
      <c r="F1653" s="97"/>
      <c r="G1653" s="109"/>
      <c r="H1653" s="109"/>
      <c r="I1653" s="97"/>
      <c r="J1653" s="97"/>
      <c r="K1653" s="83"/>
      <c r="L1653" s="111"/>
      <c r="M1653" s="111"/>
      <c r="N1653" s="111"/>
      <c r="O1653" s="111"/>
      <c r="P1653" s="111"/>
      <c r="Q1653" s="111"/>
      <c r="R1653" s="111"/>
    </row>
    <row r="1654" spans="2:18" s="108" customFormat="1">
      <c r="B1654" s="109"/>
      <c r="C1654" s="110"/>
      <c r="D1654" s="109"/>
      <c r="E1654" s="109"/>
      <c r="F1654" s="97"/>
      <c r="G1654" s="109"/>
      <c r="H1654" s="109"/>
      <c r="I1654" s="97"/>
      <c r="J1654" s="97"/>
      <c r="K1654" s="83"/>
      <c r="L1654" s="111"/>
      <c r="M1654" s="111"/>
      <c r="N1654" s="111"/>
      <c r="O1654" s="111"/>
      <c r="P1654" s="111"/>
      <c r="Q1654" s="111"/>
      <c r="R1654" s="111"/>
    </row>
    <row r="1655" spans="2:18" s="108" customFormat="1">
      <c r="B1655" s="109"/>
      <c r="C1655" s="110"/>
      <c r="D1655" s="109"/>
      <c r="E1655" s="109"/>
      <c r="F1655" s="97"/>
      <c r="G1655" s="109"/>
      <c r="H1655" s="109"/>
      <c r="I1655" s="97"/>
      <c r="J1655" s="97"/>
      <c r="K1655" s="83"/>
      <c r="L1655" s="111"/>
      <c r="M1655" s="111"/>
      <c r="N1655" s="111"/>
      <c r="O1655" s="111"/>
      <c r="P1655" s="111"/>
      <c r="Q1655" s="111"/>
      <c r="R1655" s="111"/>
    </row>
    <row r="1656" spans="2:18" s="108" customFormat="1">
      <c r="B1656" s="109"/>
      <c r="C1656" s="110"/>
      <c r="D1656" s="109"/>
      <c r="E1656" s="109"/>
      <c r="F1656" s="97"/>
      <c r="G1656" s="109"/>
      <c r="H1656" s="109"/>
      <c r="I1656" s="97"/>
      <c r="J1656" s="97"/>
      <c r="K1656" s="83"/>
      <c r="L1656" s="111"/>
      <c r="M1656" s="111"/>
      <c r="N1656" s="111"/>
      <c r="O1656" s="111"/>
      <c r="P1656" s="111"/>
      <c r="Q1656" s="111"/>
      <c r="R1656" s="111"/>
    </row>
    <row r="1657" spans="2:18" s="108" customFormat="1">
      <c r="B1657" s="109"/>
      <c r="C1657" s="110"/>
      <c r="D1657" s="109"/>
      <c r="E1657" s="109"/>
      <c r="F1657" s="97"/>
      <c r="G1657" s="109"/>
      <c r="H1657" s="109"/>
      <c r="I1657" s="97"/>
      <c r="J1657" s="97"/>
      <c r="K1657" s="83"/>
      <c r="L1657" s="111"/>
      <c r="M1657" s="111"/>
      <c r="N1657" s="111"/>
      <c r="O1657" s="111"/>
      <c r="P1657" s="111"/>
      <c r="Q1657" s="111"/>
      <c r="R1657" s="111"/>
    </row>
    <row r="1658" spans="2:18" s="108" customFormat="1">
      <c r="B1658" s="109"/>
      <c r="C1658" s="110"/>
      <c r="D1658" s="109"/>
      <c r="E1658" s="109"/>
      <c r="F1658" s="97"/>
      <c r="G1658" s="109"/>
      <c r="H1658" s="109"/>
      <c r="I1658" s="97"/>
      <c r="J1658" s="97"/>
      <c r="K1658" s="83"/>
      <c r="L1658" s="111"/>
      <c r="M1658" s="111"/>
      <c r="N1658" s="111"/>
      <c r="O1658" s="111"/>
      <c r="P1658" s="111"/>
      <c r="Q1658" s="111"/>
      <c r="R1658" s="111"/>
    </row>
    <row r="1659" spans="2:18" s="108" customFormat="1">
      <c r="B1659" s="109"/>
      <c r="C1659" s="110"/>
      <c r="D1659" s="109"/>
      <c r="E1659" s="109"/>
      <c r="F1659" s="97"/>
      <c r="G1659" s="109"/>
      <c r="H1659" s="109"/>
      <c r="I1659" s="97"/>
      <c r="J1659" s="97"/>
      <c r="K1659" s="83"/>
      <c r="L1659" s="111"/>
      <c r="M1659" s="111"/>
      <c r="N1659" s="111"/>
      <c r="O1659" s="111"/>
      <c r="P1659" s="111"/>
      <c r="Q1659" s="111"/>
      <c r="R1659" s="111"/>
    </row>
    <row r="1660" spans="2:18" s="108" customFormat="1">
      <c r="B1660" s="109"/>
      <c r="C1660" s="110"/>
      <c r="D1660" s="109"/>
      <c r="E1660" s="109"/>
      <c r="F1660" s="97"/>
      <c r="G1660" s="109"/>
      <c r="H1660" s="109"/>
      <c r="I1660" s="97"/>
      <c r="J1660" s="97"/>
      <c r="K1660" s="83"/>
      <c r="L1660" s="111"/>
      <c r="M1660" s="111"/>
      <c r="N1660" s="111"/>
      <c r="O1660" s="111"/>
      <c r="P1660" s="111"/>
      <c r="Q1660" s="111"/>
      <c r="R1660" s="111"/>
    </row>
    <row r="1661" spans="2:18" s="108" customFormat="1">
      <c r="B1661" s="109"/>
      <c r="C1661" s="110"/>
      <c r="D1661" s="109"/>
      <c r="E1661" s="109"/>
      <c r="F1661" s="97"/>
      <c r="G1661" s="109"/>
      <c r="H1661" s="109"/>
      <c r="I1661" s="97"/>
      <c r="J1661" s="97"/>
      <c r="K1661" s="83"/>
      <c r="L1661" s="111"/>
      <c r="M1661" s="111"/>
      <c r="N1661" s="111"/>
      <c r="O1661" s="111"/>
      <c r="P1661" s="111"/>
      <c r="Q1661" s="111"/>
      <c r="R1661" s="111"/>
    </row>
    <row r="1662" spans="2:18" s="108" customFormat="1">
      <c r="B1662" s="109"/>
      <c r="C1662" s="110"/>
      <c r="D1662" s="109"/>
      <c r="E1662" s="109"/>
      <c r="F1662" s="97"/>
      <c r="G1662" s="109"/>
      <c r="H1662" s="109"/>
      <c r="I1662" s="97"/>
      <c r="J1662" s="97"/>
      <c r="K1662" s="83"/>
      <c r="L1662" s="111"/>
      <c r="M1662" s="111"/>
      <c r="N1662" s="111"/>
      <c r="O1662" s="111"/>
      <c r="P1662" s="111"/>
      <c r="Q1662" s="111"/>
      <c r="R1662" s="111"/>
    </row>
    <row r="1663" spans="2:18" s="108" customFormat="1">
      <c r="B1663" s="109"/>
      <c r="C1663" s="110"/>
      <c r="D1663" s="109"/>
      <c r="E1663" s="109"/>
      <c r="F1663" s="97"/>
      <c r="G1663" s="109"/>
      <c r="H1663" s="109"/>
      <c r="I1663" s="97"/>
      <c r="J1663" s="97"/>
      <c r="K1663" s="83"/>
      <c r="L1663" s="111"/>
      <c r="M1663" s="111"/>
      <c r="N1663" s="111"/>
      <c r="O1663" s="111"/>
      <c r="P1663" s="111"/>
      <c r="Q1663" s="111"/>
      <c r="R1663" s="111"/>
    </row>
    <row r="1664" spans="2:18" s="108" customFormat="1">
      <c r="B1664" s="109"/>
      <c r="C1664" s="110"/>
      <c r="D1664" s="109"/>
      <c r="E1664" s="109"/>
      <c r="F1664" s="97"/>
      <c r="G1664" s="109"/>
      <c r="H1664" s="109"/>
      <c r="I1664" s="97"/>
      <c r="J1664" s="97"/>
      <c r="K1664" s="83"/>
      <c r="L1664" s="111"/>
      <c r="M1664" s="111"/>
      <c r="N1664" s="111"/>
      <c r="O1664" s="111"/>
      <c r="P1664" s="111"/>
      <c r="Q1664" s="111"/>
      <c r="R1664" s="111"/>
    </row>
    <row r="1665" spans="2:18" s="108" customFormat="1">
      <c r="B1665" s="109"/>
      <c r="C1665" s="110"/>
      <c r="D1665" s="109"/>
      <c r="E1665" s="109"/>
      <c r="F1665" s="97"/>
      <c r="G1665" s="109"/>
      <c r="H1665" s="109"/>
      <c r="I1665" s="97"/>
      <c r="J1665" s="97"/>
      <c r="K1665" s="83"/>
      <c r="L1665" s="111"/>
      <c r="M1665" s="111"/>
      <c r="N1665" s="111"/>
      <c r="O1665" s="111"/>
      <c r="P1665" s="111"/>
      <c r="Q1665" s="111"/>
      <c r="R1665" s="111"/>
    </row>
    <row r="1666" spans="2:18" s="108" customFormat="1">
      <c r="B1666" s="109"/>
      <c r="C1666" s="110"/>
      <c r="D1666" s="109"/>
      <c r="E1666" s="109"/>
      <c r="F1666" s="97"/>
      <c r="G1666" s="109"/>
      <c r="H1666" s="109"/>
      <c r="I1666" s="97"/>
      <c r="J1666" s="97"/>
      <c r="K1666" s="83"/>
      <c r="L1666" s="111"/>
      <c r="M1666" s="111"/>
      <c r="N1666" s="111"/>
      <c r="O1666" s="111"/>
      <c r="P1666" s="111"/>
      <c r="Q1666" s="111"/>
      <c r="R1666" s="111"/>
    </row>
    <row r="1667" spans="2:18" s="108" customFormat="1">
      <c r="B1667" s="109"/>
      <c r="C1667" s="110"/>
      <c r="D1667" s="109"/>
      <c r="E1667" s="109"/>
      <c r="F1667" s="97"/>
      <c r="G1667" s="109"/>
      <c r="H1667" s="109"/>
      <c r="I1667" s="97"/>
      <c r="J1667" s="97"/>
      <c r="K1667" s="83"/>
      <c r="L1667" s="111"/>
      <c r="M1667" s="111"/>
      <c r="N1667" s="111"/>
      <c r="O1667" s="111"/>
      <c r="P1667" s="111"/>
      <c r="Q1667" s="111"/>
      <c r="R1667" s="111"/>
    </row>
    <row r="1668" spans="2:18" s="108" customFormat="1">
      <c r="B1668" s="109"/>
      <c r="C1668" s="110"/>
      <c r="D1668" s="109"/>
      <c r="E1668" s="109"/>
      <c r="F1668" s="97"/>
      <c r="G1668" s="109"/>
      <c r="H1668" s="109"/>
      <c r="I1668" s="97"/>
      <c r="J1668" s="97"/>
      <c r="K1668" s="83"/>
      <c r="L1668" s="111"/>
      <c r="M1668" s="111"/>
      <c r="N1668" s="111"/>
      <c r="O1668" s="111"/>
      <c r="P1668" s="111"/>
      <c r="Q1668" s="111"/>
      <c r="R1668" s="111"/>
    </row>
    <row r="1669" spans="2:18" s="108" customFormat="1">
      <c r="B1669" s="109"/>
      <c r="C1669" s="110"/>
      <c r="D1669" s="109"/>
      <c r="E1669" s="109"/>
      <c r="F1669" s="97"/>
      <c r="G1669" s="109"/>
      <c r="H1669" s="109"/>
      <c r="I1669" s="97"/>
      <c r="J1669" s="97"/>
      <c r="K1669" s="83"/>
      <c r="L1669" s="111"/>
      <c r="M1669" s="111"/>
      <c r="N1669" s="111"/>
      <c r="O1669" s="111"/>
      <c r="P1669" s="111"/>
      <c r="Q1669" s="111"/>
      <c r="R1669" s="111"/>
    </row>
    <row r="1670" spans="2:18" s="108" customFormat="1">
      <c r="B1670" s="109"/>
      <c r="C1670" s="110"/>
      <c r="D1670" s="109"/>
      <c r="E1670" s="109"/>
      <c r="F1670" s="97"/>
      <c r="G1670" s="109"/>
      <c r="H1670" s="109"/>
      <c r="I1670" s="97"/>
      <c r="J1670" s="97"/>
      <c r="K1670" s="83"/>
      <c r="L1670" s="111"/>
      <c r="M1670" s="111"/>
      <c r="N1670" s="111"/>
      <c r="O1670" s="111"/>
      <c r="P1670" s="111"/>
      <c r="Q1670" s="111"/>
      <c r="R1670" s="111"/>
    </row>
    <row r="1671" spans="2:18" s="108" customFormat="1">
      <c r="B1671" s="109"/>
      <c r="C1671" s="110"/>
      <c r="D1671" s="109"/>
      <c r="E1671" s="109"/>
      <c r="F1671" s="97"/>
      <c r="G1671" s="109"/>
      <c r="H1671" s="109"/>
      <c r="I1671" s="97"/>
      <c r="J1671" s="97"/>
      <c r="K1671" s="83"/>
      <c r="L1671" s="111"/>
      <c r="M1671" s="111"/>
      <c r="N1671" s="111"/>
      <c r="O1671" s="111"/>
      <c r="P1671" s="111"/>
      <c r="Q1671" s="111"/>
      <c r="R1671" s="111"/>
    </row>
    <row r="1672" spans="2:18" s="108" customFormat="1">
      <c r="B1672" s="109"/>
      <c r="C1672" s="110"/>
      <c r="D1672" s="109"/>
      <c r="E1672" s="109"/>
      <c r="F1672" s="97"/>
      <c r="G1672" s="109"/>
      <c r="H1672" s="109"/>
      <c r="I1672" s="97"/>
      <c r="J1672" s="97"/>
      <c r="K1672" s="83"/>
      <c r="L1672" s="111"/>
      <c r="M1672" s="111"/>
      <c r="N1672" s="111"/>
      <c r="O1672" s="111"/>
      <c r="P1672" s="111"/>
      <c r="Q1672" s="111"/>
      <c r="R1672" s="111"/>
    </row>
    <row r="1673" spans="2:18" s="108" customFormat="1">
      <c r="B1673" s="109"/>
      <c r="C1673" s="110"/>
      <c r="D1673" s="109"/>
      <c r="E1673" s="109"/>
      <c r="F1673" s="97"/>
      <c r="G1673" s="109"/>
      <c r="H1673" s="109"/>
      <c r="I1673" s="97"/>
      <c r="J1673" s="97"/>
      <c r="K1673" s="83"/>
      <c r="L1673" s="111"/>
      <c r="M1673" s="111"/>
      <c r="N1673" s="111"/>
      <c r="O1673" s="111"/>
      <c r="P1673" s="111"/>
      <c r="Q1673" s="111"/>
      <c r="R1673" s="111"/>
    </row>
    <row r="1674" spans="2:18" s="108" customFormat="1">
      <c r="B1674" s="109"/>
      <c r="C1674" s="110"/>
      <c r="D1674" s="109"/>
      <c r="E1674" s="109"/>
      <c r="F1674" s="97"/>
      <c r="G1674" s="109"/>
      <c r="H1674" s="109"/>
      <c r="I1674" s="97"/>
      <c r="J1674" s="97"/>
      <c r="K1674" s="83"/>
      <c r="L1674" s="111"/>
      <c r="M1674" s="111"/>
      <c r="N1674" s="111"/>
      <c r="O1674" s="111"/>
      <c r="P1674" s="111"/>
      <c r="Q1674" s="111"/>
      <c r="R1674" s="111"/>
    </row>
    <row r="1675" spans="2:18" s="108" customFormat="1">
      <c r="B1675" s="109"/>
      <c r="C1675" s="110"/>
      <c r="D1675" s="109"/>
      <c r="E1675" s="109"/>
      <c r="F1675" s="97"/>
      <c r="G1675" s="109"/>
      <c r="H1675" s="109"/>
      <c r="I1675" s="97"/>
      <c r="J1675" s="97"/>
      <c r="K1675" s="83"/>
      <c r="L1675" s="111"/>
      <c r="M1675" s="111"/>
      <c r="N1675" s="111"/>
      <c r="O1675" s="111"/>
      <c r="P1675" s="111"/>
      <c r="Q1675" s="111"/>
      <c r="R1675" s="111"/>
    </row>
    <row r="1676" spans="2:18" s="108" customFormat="1">
      <c r="B1676" s="109"/>
      <c r="C1676" s="110"/>
      <c r="D1676" s="109"/>
      <c r="E1676" s="109"/>
      <c r="F1676" s="97"/>
      <c r="G1676" s="109"/>
      <c r="H1676" s="109"/>
      <c r="I1676" s="97"/>
      <c r="J1676" s="97"/>
      <c r="K1676" s="83"/>
      <c r="L1676" s="111"/>
      <c r="M1676" s="111"/>
      <c r="N1676" s="111"/>
      <c r="O1676" s="111"/>
      <c r="P1676" s="111"/>
      <c r="Q1676" s="111"/>
      <c r="R1676" s="111"/>
    </row>
    <row r="1677" spans="2:18" s="108" customFormat="1">
      <c r="B1677" s="109"/>
      <c r="C1677" s="110"/>
      <c r="D1677" s="109"/>
      <c r="E1677" s="109"/>
      <c r="F1677" s="97"/>
      <c r="G1677" s="109"/>
      <c r="H1677" s="109"/>
      <c r="I1677" s="97"/>
      <c r="J1677" s="97"/>
      <c r="K1677" s="83"/>
      <c r="L1677" s="111"/>
      <c r="M1677" s="111"/>
      <c r="N1677" s="111"/>
      <c r="O1677" s="111"/>
      <c r="P1677" s="111"/>
      <c r="Q1677" s="111"/>
      <c r="R1677" s="111"/>
    </row>
    <row r="1678" spans="2:18" s="108" customFormat="1">
      <c r="B1678" s="109"/>
      <c r="C1678" s="110"/>
      <c r="D1678" s="109"/>
      <c r="E1678" s="109"/>
      <c r="F1678" s="97"/>
      <c r="G1678" s="109"/>
      <c r="H1678" s="109"/>
      <c r="I1678" s="97"/>
      <c r="J1678" s="97"/>
      <c r="K1678" s="83"/>
      <c r="L1678" s="111"/>
      <c r="M1678" s="111"/>
      <c r="N1678" s="111"/>
      <c r="O1678" s="111"/>
      <c r="P1678" s="111"/>
      <c r="Q1678" s="111"/>
      <c r="R1678" s="111"/>
    </row>
    <row r="1679" spans="2:18" s="108" customFormat="1">
      <c r="B1679" s="109"/>
      <c r="C1679" s="110"/>
      <c r="D1679" s="109"/>
      <c r="E1679" s="109"/>
      <c r="F1679" s="97"/>
      <c r="G1679" s="109"/>
      <c r="H1679" s="109"/>
      <c r="I1679" s="97"/>
      <c r="J1679" s="97"/>
      <c r="K1679" s="83"/>
      <c r="L1679" s="111"/>
      <c r="M1679" s="111"/>
      <c r="N1679" s="111"/>
      <c r="O1679" s="111"/>
      <c r="P1679" s="111"/>
      <c r="Q1679" s="111"/>
      <c r="R1679" s="111"/>
    </row>
    <row r="1680" spans="2:18" s="108" customFormat="1">
      <c r="B1680" s="109"/>
      <c r="C1680" s="110"/>
      <c r="D1680" s="109"/>
      <c r="E1680" s="109"/>
      <c r="F1680" s="97"/>
      <c r="G1680" s="109"/>
      <c r="H1680" s="109"/>
      <c r="I1680" s="97"/>
      <c r="J1680" s="97"/>
      <c r="K1680" s="83"/>
      <c r="L1680" s="111"/>
      <c r="M1680" s="111"/>
      <c r="N1680" s="111"/>
      <c r="O1680" s="111"/>
      <c r="P1680" s="111"/>
      <c r="Q1680" s="111"/>
      <c r="R1680" s="111"/>
    </row>
    <row r="1681" spans="2:18" s="108" customFormat="1">
      <c r="B1681" s="109"/>
      <c r="C1681" s="110"/>
      <c r="D1681" s="109"/>
      <c r="E1681" s="109"/>
      <c r="F1681" s="97"/>
      <c r="G1681" s="109"/>
      <c r="H1681" s="109"/>
      <c r="I1681" s="97"/>
      <c r="J1681" s="97"/>
      <c r="K1681" s="83"/>
      <c r="L1681" s="111"/>
      <c r="M1681" s="111"/>
      <c r="N1681" s="111"/>
      <c r="O1681" s="111"/>
      <c r="P1681" s="111"/>
      <c r="Q1681" s="111"/>
      <c r="R1681" s="111"/>
    </row>
    <row r="1682" spans="2:18" s="108" customFormat="1">
      <c r="B1682" s="109"/>
      <c r="C1682" s="110"/>
      <c r="D1682" s="109"/>
      <c r="E1682" s="109"/>
      <c r="F1682" s="97"/>
      <c r="G1682" s="109"/>
      <c r="H1682" s="109"/>
      <c r="I1682" s="97"/>
      <c r="J1682" s="97"/>
      <c r="K1682" s="83"/>
      <c r="L1682" s="111"/>
      <c r="M1682" s="111"/>
      <c r="N1682" s="111"/>
      <c r="O1682" s="111"/>
      <c r="P1682" s="111"/>
      <c r="Q1682" s="111"/>
      <c r="R1682" s="111"/>
    </row>
    <row r="1683" spans="2:18" s="108" customFormat="1">
      <c r="B1683" s="109"/>
      <c r="C1683" s="110"/>
      <c r="D1683" s="109"/>
      <c r="E1683" s="109"/>
      <c r="F1683" s="97"/>
      <c r="G1683" s="109"/>
      <c r="H1683" s="109"/>
      <c r="I1683" s="97"/>
      <c r="J1683" s="97"/>
      <c r="K1683" s="83"/>
      <c r="L1683" s="111"/>
      <c r="M1683" s="111"/>
      <c r="N1683" s="111"/>
      <c r="O1683" s="111"/>
      <c r="P1683" s="111"/>
      <c r="Q1683" s="111"/>
      <c r="R1683" s="111"/>
    </row>
    <row r="1684" spans="2:18" s="108" customFormat="1">
      <c r="B1684" s="109"/>
      <c r="C1684" s="110"/>
      <c r="D1684" s="109"/>
      <c r="E1684" s="109"/>
      <c r="F1684" s="97"/>
      <c r="G1684" s="109"/>
      <c r="H1684" s="109"/>
      <c r="I1684" s="97"/>
      <c r="J1684" s="97"/>
      <c r="K1684" s="83"/>
      <c r="L1684" s="111"/>
      <c r="M1684" s="111"/>
      <c r="N1684" s="111"/>
      <c r="O1684" s="111"/>
      <c r="P1684" s="111"/>
      <c r="Q1684" s="111"/>
      <c r="R1684" s="111"/>
    </row>
    <row r="1685" spans="2:18" s="108" customFormat="1">
      <c r="B1685" s="109"/>
      <c r="C1685" s="110"/>
      <c r="D1685" s="109"/>
      <c r="E1685" s="109"/>
      <c r="F1685" s="97"/>
      <c r="G1685" s="109"/>
      <c r="H1685" s="109"/>
      <c r="I1685" s="97"/>
      <c r="J1685" s="97"/>
      <c r="K1685" s="83"/>
      <c r="L1685" s="111"/>
      <c r="M1685" s="111"/>
      <c r="N1685" s="111"/>
      <c r="O1685" s="111"/>
      <c r="P1685" s="111"/>
      <c r="Q1685" s="111"/>
      <c r="R1685" s="111"/>
    </row>
    <row r="1686" spans="2:18" s="108" customFormat="1">
      <c r="B1686" s="109"/>
      <c r="C1686" s="110"/>
      <c r="D1686" s="109"/>
      <c r="E1686" s="109"/>
      <c r="F1686" s="97"/>
      <c r="G1686" s="109"/>
      <c r="H1686" s="109"/>
      <c r="I1686" s="97"/>
      <c r="J1686" s="97"/>
      <c r="K1686" s="83"/>
      <c r="L1686" s="111"/>
      <c r="M1686" s="111"/>
      <c r="N1686" s="111"/>
      <c r="O1686" s="111"/>
      <c r="P1686" s="111"/>
      <c r="Q1686" s="111"/>
      <c r="R1686" s="111"/>
    </row>
    <row r="1687" spans="2:18" s="108" customFormat="1">
      <c r="B1687" s="109"/>
      <c r="C1687" s="110"/>
      <c r="D1687" s="109"/>
      <c r="E1687" s="109"/>
      <c r="F1687" s="97"/>
      <c r="G1687" s="109"/>
      <c r="H1687" s="109"/>
      <c r="I1687" s="97"/>
      <c r="J1687" s="97"/>
      <c r="K1687" s="83"/>
      <c r="L1687" s="111"/>
      <c r="M1687" s="111"/>
      <c r="N1687" s="111"/>
      <c r="O1687" s="111"/>
      <c r="P1687" s="111"/>
      <c r="Q1687" s="111"/>
      <c r="R1687" s="111"/>
    </row>
    <row r="1688" spans="2:18" s="108" customFormat="1">
      <c r="B1688" s="109"/>
      <c r="C1688" s="110"/>
      <c r="D1688" s="109"/>
      <c r="E1688" s="109"/>
      <c r="F1688" s="97"/>
      <c r="G1688" s="109"/>
      <c r="H1688" s="109"/>
      <c r="I1688" s="97"/>
      <c r="J1688" s="97"/>
      <c r="K1688" s="83"/>
      <c r="L1688" s="111"/>
      <c r="M1688" s="111"/>
      <c r="N1688" s="111"/>
      <c r="O1688" s="111"/>
      <c r="P1688" s="111"/>
      <c r="Q1688" s="111"/>
      <c r="R1688" s="111"/>
    </row>
    <row r="1689" spans="2:18" s="108" customFormat="1">
      <c r="B1689" s="109"/>
      <c r="C1689" s="110"/>
      <c r="D1689" s="109"/>
      <c r="E1689" s="109"/>
      <c r="F1689" s="97"/>
      <c r="G1689" s="109"/>
      <c r="H1689" s="109"/>
      <c r="I1689" s="97"/>
      <c r="J1689" s="97"/>
      <c r="K1689" s="83"/>
      <c r="L1689" s="111"/>
      <c r="M1689" s="111"/>
      <c r="N1689" s="111"/>
      <c r="O1689" s="111"/>
      <c r="P1689" s="111"/>
      <c r="Q1689" s="111"/>
      <c r="R1689" s="111"/>
    </row>
    <row r="1690" spans="2:18" s="108" customFormat="1">
      <c r="B1690" s="109"/>
      <c r="C1690" s="110"/>
      <c r="D1690" s="109"/>
      <c r="E1690" s="109"/>
      <c r="F1690" s="97"/>
      <c r="G1690" s="109"/>
      <c r="H1690" s="109"/>
      <c r="I1690" s="97"/>
      <c r="J1690" s="97"/>
      <c r="K1690" s="83"/>
      <c r="L1690" s="111"/>
      <c r="M1690" s="111"/>
      <c r="N1690" s="111"/>
      <c r="O1690" s="111"/>
      <c r="P1690" s="111"/>
      <c r="Q1690" s="111"/>
      <c r="R1690" s="111"/>
    </row>
    <row r="1691" spans="2:18" s="108" customFormat="1">
      <c r="B1691" s="109"/>
      <c r="C1691" s="110"/>
      <c r="D1691" s="109"/>
      <c r="E1691" s="109"/>
      <c r="F1691" s="97"/>
      <c r="G1691" s="109"/>
      <c r="H1691" s="109"/>
      <c r="I1691" s="97"/>
      <c r="J1691" s="97"/>
      <c r="K1691" s="83"/>
      <c r="L1691" s="111"/>
      <c r="M1691" s="111"/>
      <c r="N1691" s="111"/>
      <c r="O1691" s="111"/>
      <c r="P1691" s="111"/>
      <c r="Q1691" s="111"/>
      <c r="R1691" s="111"/>
    </row>
    <row r="1692" spans="2:18" s="108" customFormat="1">
      <c r="B1692" s="109"/>
      <c r="C1692" s="110"/>
      <c r="D1692" s="109"/>
      <c r="E1692" s="109"/>
      <c r="F1692" s="97"/>
      <c r="G1692" s="109"/>
      <c r="H1692" s="109"/>
      <c r="I1692" s="97"/>
      <c r="J1692" s="97"/>
      <c r="K1692" s="83"/>
      <c r="L1692" s="111"/>
      <c r="M1692" s="111"/>
      <c r="N1692" s="111"/>
      <c r="O1692" s="111"/>
      <c r="P1692" s="111"/>
      <c r="Q1692" s="111"/>
      <c r="R1692" s="111"/>
    </row>
    <row r="1693" spans="2:18" s="108" customFormat="1">
      <c r="B1693" s="109"/>
      <c r="C1693" s="110"/>
      <c r="D1693" s="109"/>
      <c r="E1693" s="109"/>
      <c r="F1693" s="97"/>
      <c r="G1693" s="109"/>
      <c r="H1693" s="109"/>
      <c r="I1693" s="97"/>
      <c r="J1693" s="97"/>
      <c r="K1693" s="83"/>
      <c r="L1693" s="111"/>
      <c r="M1693" s="111"/>
      <c r="N1693" s="111"/>
      <c r="O1693" s="111"/>
      <c r="P1693" s="111"/>
      <c r="Q1693" s="111"/>
      <c r="R1693" s="111"/>
    </row>
    <row r="1694" spans="2:18" s="108" customFormat="1">
      <c r="B1694" s="109"/>
      <c r="C1694" s="110"/>
      <c r="D1694" s="109"/>
      <c r="E1694" s="109"/>
      <c r="F1694" s="97"/>
      <c r="G1694" s="109"/>
      <c r="H1694" s="109"/>
      <c r="I1694" s="97"/>
      <c r="J1694" s="97"/>
      <c r="K1694" s="83"/>
      <c r="L1694" s="111"/>
      <c r="M1694" s="111"/>
      <c r="N1694" s="111"/>
      <c r="O1694" s="111"/>
      <c r="P1694" s="111"/>
      <c r="Q1694" s="111"/>
      <c r="R1694" s="111"/>
    </row>
    <row r="1695" spans="2:18" s="108" customFormat="1">
      <c r="B1695" s="109"/>
      <c r="C1695" s="110"/>
      <c r="D1695" s="109"/>
      <c r="E1695" s="109"/>
      <c r="F1695" s="97"/>
      <c r="G1695" s="109"/>
      <c r="H1695" s="109"/>
      <c r="I1695" s="97"/>
      <c r="J1695" s="97"/>
      <c r="K1695" s="83"/>
      <c r="L1695" s="111"/>
      <c r="M1695" s="111"/>
      <c r="N1695" s="111"/>
      <c r="O1695" s="111"/>
      <c r="P1695" s="111"/>
      <c r="Q1695" s="111"/>
      <c r="R1695" s="111"/>
    </row>
    <row r="1696" spans="2:18" s="108" customFormat="1">
      <c r="B1696" s="109"/>
      <c r="C1696" s="110"/>
      <c r="D1696" s="109"/>
      <c r="E1696" s="109"/>
      <c r="F1696" s="97"/>
      <c r="G1696" s="109"/>
      <c r="H1696" s="109"/>
      <c r="I1696" s="97"/>
      <c r="J1696" s="97"/>
      <c r="K1696" s="83"/>
      <c r="L1696" s="111"/>
      <c r="M1696" s="111"/>
      <c r="N1696" s="111"/>
      <c r="O1696" s="111"/>
      <c r="P1696" s="111"/>
      <c r="Q1696" s="111"/>
      <c r="R1696" s="111"/>
    </row>
    <row r="1697" spans="2:18" s="108" customFormat="1">
      <c r="B1697" s="109"/>
      <c r="C1697" s="110"/>
      <c r="D1697" s="109"/>
      <c r="E1697" s="109"/>
      <c r="F1697" s="97"/>
      <c r="G1697" s="109"/>
      <c r="H1697" s="109"/>
      <c r="I1697" s="97"/>
      <c r="J1697" s="97"/>
      <c r="K1697" s="83"/>
      <c r="L1697" s="111"/>
      <c r="M1697" s="111"/>
      <c r="N1697" s="111"/>
      <c r="O1697" s="111"/>
      <c r="P1697" s="111"/>
      <c r="Q1697" s="111"/>
      <c r="R1697" s="111"/>
    </row>
    <row r="1698" spans="2:18" s="108" customFormat="1">
      <c r="B1698" s="109"/>
      <c r="C1698" s="110"/>
      <c r="D1698" s="109"/>
      <c r="E1698" s="109"/>
      <c r="F1698" s="97"/>
      <c r="G1698" s="109"/>
      <c r="H1698" s="109"/>
      <c r="I1698" s="97"/>
      <c r="J1698" s="97"/>
      <c r="K1698" s="83"/>
      <c r="L1698" s="111"/>
      <c r="M1698" s="111"/>
      <c r="N1698" s="111"/>
      <c r="O1698" s="111"/>
      <c r="P1698" s="111"/>
      <c r="Q1698" s="111"/>
      <c r="R1698" s="111"/>
    </row>
    <row r="1699" spans="2:18" s="108" customFormat="1">
      <c r="B1699" s="109"/>
      <c r="C1699" s="110"/>
      <c r="D1699" s="109"/>
      <c r="E1699" s="109"/>
      <c r="F1699" s="97"/>
      <c r="G1699" s="109"/>
      <c r="H1699" s="109"/>
      <c r="I1699" s="97"/>
      <c r="J1699" s="97"/>
      <c r="K1699" s="83"/>
      <c r="L1699" s="111"/>
      <c r="M1699" s="111"/>
      <c r="N1699" s="111"/>
      <c r="O1699" s="111"/>
      <c r="P1699" s="111"/>
      <c r="Q1699" s="111"/>
      <c r="R1699" s="111"/>
    </row>
    <row r="1700" spans="2:18" s="108" customFormat="1">
      <c r="B1700" s="109"/>
      <c r="C1700" s="110"/>
      <c r="D1700" s="109"/>
      <c r="E1700" s="109"/>
      <c r="F1700" s="97"/>
      <c r="G1700" s="109"/>
      <c r="H1700" s="109"/>
      <c r="I1700" s="97"/>
      <c r="J1700" s="97"/>
      <c r="K1700" s="83"/>
      <c r="L1700" s="111"/>
      <c r="M1700" s="111"/>
      <c r="N1700" s="111"/>
      <c r="O1700" s="111"/>
      <c r="P1700" s="111"/>
      <c r="Q1700" s="111"/>
      <c r="R1700" s="111"/>
    </row>
    <row r="1701" spans="2:18" s="108" customFormat="1">
      <c r="B1701" s="109"/>
      <c r="C1701" s="110"/>
      <c r="D1701" s="109"/>
      <c r="E1701" s="109"/>
      <c r="F1701" s="97"/>
      <c r="G1701" s="109"/>
      <c r="H1701" s="109"/>
      <c r="I1701" s="97"/>
      <c r="J1701" s="97"/>
      <c r="K1701" s="83"/>
      <c r="L1701" s="111"/>
      <c r="M1701" s="111"/>
      <c r="N1701" s="111"/>
      <c r="O1701" s="111"/>
      <c r="P1701" s="111"/>
      <c r="Q1701" s="111"/>
      <c r="R1701" s="111"/>
    </row>
    <row r="1702" spans="2:18" s="108" customFormat="1">
      <c r="B1702" s="109"/>
      <c r="C1702" s="110"/>
      <c r="D1702" s="109"/>
      <c r="E1702" s="109"/>
      <c r="F1702" s="97"/>
      <c r="G1702" s="109"/>
      <c r="H1702" s="109"/>
      <c r="I1702" s="97"/>
      <c r="J1702" s="97"/>
      <c r="K1702" s="83"/>
      <c r="L1702" s="111"/>
      <c r="M1702" s="111"/>
      <c r="N1702" s="111"/>
      <c r="O1702" s="111"/>
      <c r="P1702" s="111"/>
      <c r="Q1702" s="111"/>
      <c r="R1702" s="111"/>
    </row>
    <row r="1703" spans="2:18" s="108" customFormat="1">
      <c r="B1703" s="109"/>
      <c r="C1703" s="110"/>
      <c r="D1703" s="109"/>
      <c r="E1703" s="109"/>
      <c r="F1703" s="97"/>
      <c r="G1703" s="109"/>
      <c r="H1703" s="109"/>
      <c r="I1703" s="97"/>
      <c r="J1703" s="97"/>
      <c r="K1703" s="83"/>
      <c r="L1703" s="111"/>
      <c r="M1703" s="111"/>
      <c r="N1703" s="111"/>
      <c r="O1703" s="111"/>
      <c r="P1703" s="111"/>
      <c r="Q1703" s="111"/>
      <c r="R1703" s="111"/>
    </row>
    <row r="1704" spans="2:18" s="108" customFormat="1">
      <c r="B1704" s="109"/>
      <c r="C1704" s="110"/>
      <c r="D1704" s="109"/>
      <c r="E1704" s="109"/>
      <c r="F1704" s="97"/>
      <c r="G1704" s="109"/>
      <c r="H1704" s="109"/>
      <c r="I1704" s="97"/>
      <c r="J1704" s="97"/>
      <c r="K1704" s="83"/>
      <c r="L1704" s="111"/>
      <c r="M1704" s="111"/>
      <c r="N1704" s="111"/>
      <c r="O1704" s="111"/>
      <c r="P1704" s="111"/>
      <c r="Q1704" s="111"/>
      <c r="R1704" s="111"/>
    </row>
    <row r="1705" spans="2:18" s="108" customFormat="1">
      <c r="B1705" s="109"/>
      <c r="C1705" s="110"/>
      <c r="D1705" s="109"/>
      <c r="E1705" s="109"/>
      <c r="F1705" s="97"/>
      <c r="G1705" s="109"/>
      <c r="H1705" s="109"/>
      <c r="I1705" s="97"/>
      <c r="J1705" s="97"/>
      <c r="K1705" s="83"/>
      <c r="L1705" s="111"/>
      <c r="M1705" s="111"/>
      <c r="N1705" s="111"/>
      <c r="O1705" s="111"/>
      <c r="P1705" s="111"/>
      <c r="Q1705" s="111"/>
      <c r="R1705" s="111"/>
    </row>
    <row r="1706" spans="2:18" s="108" customFormat="1">
      <c r="B1706" s="109"/>
      <c r="C1706" s="110"/>
      <c r="D1706" s="109"/>
      <c r="E1706" s="109"/>
      <c r="F1706" s="97"/>
      <c r="G1706" s="109"/>
      <c r="H1706" s="109"/>
      <c r="I1706" s="97"/>
      <c r="J1706" s="97"/>
      <c r="K1706" s="83"/>
      <c r="L1706" s="111"/>
      <c r="M1706" s="111"/>
      <c r="N1706" s="111"/>
      <c r="O1706" s="111"/>
      <c r="P1706" s="111"/>
      <c r="Q1706" s="111"/>
      <c r="R1706" s="111"/>
    </row>
    <row r="1707" spans="2:18" s="108" customFormat="1">
      <c r="B1707" s="109"/>
      <c r="C1707" s="110"/>
      <c r="D1707" s="109"/>
      <c r="E1707" s="109"/>
      <c r="F1707" s="97"/>
      <c r="G1707" s="109"/>
      <c r="H1707" s="109"/>
      <c r="I1707" s="97"/>
      <c r="J1707" s="97"/>
      <c r="K1707" s="83"/>
      <c r="L1707" s="111"/>
      <c r="M1707" s="111"/>
      <c r="N1707" s="111"/>
      <c r="O1707" s="111"/>
      <c r="P1707" s="111"/>
      <c r="Q1707" s="111"/>
      <c r="R1707" s="111"/>
    </row>
    <row r="1708" spans="2:18" s="108" customFormat="1">
      <c r="B1708" s="109"/>
      <c r="C1708" s="110"/>
      <c r="D1708" s="109"/>
      <c r="E1708" s="109"/>
      <c r="F1708" s="97"/>
      <c r="G1708" s="109"/>
      <c r="H1708" s="109"/>
      <c r="I1708" s="97"/>
      <c r="J1708" s="97"/>
      <c r="K1708" s="83"/>
      <c r="L1708" s="111"/>
      <c r="M1708" s="111"/>
      <c r="N1708" s="111"/>
      <c r="O1708" s="111"/>
      <c r="P1708" s="111"/>
      <c r="Q1708" s="111"/>
      <c r="R1708" s="111"/>
    </row>
    <row r="1709" spans="2:18" s="108" customFormat="1">
      <c r="B1709" s="109"/>
      <c r="C1709" s="110"/>
      <c r="D1709" s="109"/>
      <c r="E1709" s="109"/>
      <c r="F1709" s="97"/>
      <c r="G1709" s="109"/>
      <c r="H1709" s="109"/>
      <c r="I1709" s="97"/>
      <c r="J1709" s="97"/>
      <c r="K1709" s="83"/>
      <c r="L1709" s="111"/>
      <c r="M1709" s="111"/>
      <c r="N1709" s="111"/>
      <c r="O1709" s="111"/>
      <c r="P1709" s="111"/>
      <c r="Q1709" s="111"/>
      <c r="R1709" s="111"/>
    </row>
    <row r="1710" spans="2:18" s="108" customFormat="1">
      <c r="B1710" s="109"/>
      <c r="C1710" s="110"/>
      <c r="D1710" s="109"/>
      <c r="E1710" s="109"/>
      <c r="F1710" s="97"/>
      <c r="G1710" s="109"/>
      <c r="H1710" s="109"/>
      <c r="I1710" s="97"/>
      <c r="J1710" s="97"/>
      <c r="K1710" s="83"/>
      <c r="L1710" s="111"/>
      <c r="M1710" s="111"/>
      <c r="N1710" s="111"/>
      <c r="O1710" s="111"/>
      <c r="P1710" s="111"/>
      <c r="Q1710" s="111"/>
      <c r="R1710" s="111"/>
    </row>
    <row r="1711" spans="2:18" s="108" customFormat="1">
      <c r="B1711" s="109"/>
      <c r="C1711" s="110"/>
      <c r="D1711" s="109"/>
      <c r="E1711" s="109"/>
      <c r="F1711" s="97"/>
      <c r="G1711" s="109"/>
      <c r="H1711" s="109"/>
      <c r="I1711" s="97"/>
      <c r="J1711" s="97"/>
      <c r="K1711" s="83"/>
      <c r="L1711" s="111"/>
      <c r="M1711" s="111"/>
      <c r="N1711" s="111"/>
      <c r="O1711" s="111"/>
      <c r="P1711" s="111"/>
      <c r="Q1711" s="111"/>
      <c r="R1711" s="111"/>
    </row>
    <row r="1712" spans="2:18" s="108" customFormat="1">
      <c r="B1712" s="109"/>
      <c r="C1712" s="110"/>
      <c r="D1712" s="109"/>
      <c r="E1712" s="109"/>
      <c r="F1712" s="97"/>
      <c r="G1712" s="109"/>
      <c r="H1712" s="109"/>
      <c r="I1712" s="97"/>
      <c r="J1712" s="97"/>
      <c r="K1712" s="83"/>
      <c r="L1712" s="111"/>
      <c r="M1712" s="111"/>
      <c r="N1712" s="111"/>
      <c r="O1712" s="111"/>
      <c r="P1712" s="111"/>
      <c r="Q1712" s="111"/>
      <c r="R1712" s="111"/>
    </row>
    <row r="1713" spans="2:18" s="108" customFormat="1">
      <c r="B1713" s="109"/>
      <c r="C1713" s="110"/>
      <c r="D1713" s="109"/>
      <c r="E1713" s="109"/>
      <c r="F1713" s="97"/>
      <c r="G1713" s="109"/>
      <c r="H1713" s="109"/>
      <c r="I1713" s="97"/>
      <c r="J1713" s="97"/>
      <c r="K1713" s="83"/>
      <c r="L1713" s="111"/>
      <c r="M1713" s="111"/>
      <c r="N1713" s="111"/>
      <c r="O1713" s="111"/>
      <c r="P1713" s="111"/>
      <c r="Q1713" s="111"/>
      <c r="R1713" s="111"/>
    </row>
    <row r="1714" spans="2:18" s="108" customFormat="1">
      <c r="B1714" s="109"/>
      <c r="C1714" s="110"/>
      <c r="D1714" s="109"/>
      <c r="E1714" s="109"/>
      <c r="F1714" s="97"/>
      <c r="G1714" s="109"/>
      <c r="H1714" s="109"/>
      <c r="I1714" s="97"/>
      <c r="J1714" s="97"/>
      <c r="K1714" s="83"/>
      <c r="L1714" s="111"/>
      <c r="M1714" s="111"/>
      <c r="N1714" s="111"/>
      <c r="O1714" s="111"/>
      <c r="P1714" s="111"/>
      <c r="Q1714" s="111"/>
      <c r="R1714" s="111"/>
    </row>
    <row r="1715" spans="2:18" s="108" customFormat="1">
      <c r="B1715" s="109"/>
      <c r="C1715" s="110"/>
      <c r="D1715" s="109"/>
      <c r="E1715" s="109"/>
      <c r="F1715" s="97"/>
      <c r="G1715" s="109"/>
      <c r="H1715" s="109"/>
      <c r="I1715" s="97"/>
      <c r="J1715" s="97"/>
      <c r="K1715" s="83"/>
      <c r="L1715" s="111"/>
      <c r="M1715" s="111"/>
      <c r="N1715" s="111"/>
      <c r="O1715" s="111"/>
      <c r="P1715" s="111"/>
      <c r="Q1715" s="111"/>
      <c r="R1715" s="111"/>
    </row>
    <row r="1716" spans="2:18" s="108" customFormat="1">
      <c r="B1716" s="109"/>
      <c r="C1716" s="110"/>
      <c r="D1716" s="109"/>
      <c r="E1716" s="109"/>
      <c r="F1716" s="97"/>
      <c r="G1716" s="109"/>
      <c r="H1716" s="109"/>
      <c r="I1716" s="97"/>
      <c r="J1716" s="97"/>
      <c r="K1716" s="83"/>
      <c r="L1716" s="111"/>
      <c r="M1716" s="111"/>
      <c r="N1716" s="111"/>
      <c r="O1716" s="111"/>
      <c r="P1716" s="111"/>
      <c r="Q1716" s="111"/>
      <c r="R1716" s="111"/>
    </row>
    <row r="1717" spans="2:18" s="108" customFormat="1">
      <c r="B1717" s="109"/>
      <c r="C1717" s="110"/>
      <c r="D1717" s="109"/>
      <c r="E1717" s="109"/>
      <c r="F1717" s="97"/>
      <c r="G1717" s="109"/>
      <c r="H1717" s="109"/>
      <c r="I1717" s="97"/>
      <c r="J1717" s="97"/>
      <c r="K1717" s="83"/>
      <c r="L1717" s="111"/>
      <c r="M1717" s="111"/>
      <c r="N1717" s="111"/>
      <c r="O1717" s="111"/>
      <c r="P1717" s="111"/>
      <c r="Q1717" s="111"/>
      <c r="R1717" s="111"/>
    </row>
    <row r="1718" spans="2:18" s="108" customFormat="1">
      <c r="B1718" s="109"/>
      <c r="C1718" s="110"/>
      <c r="D1718" s="109"/>
      <c r="E1718" s="109"/>
      <c r="F1718" s="97"/>
      <c r="G1718" s="109"/>
      <c r="H1718" s="109"/>
      <c r="I1718" s="97"/>
      <c r="J1718" s="97"/>
      <c r="K1718" s="83"/>
      <c r="L1718" s="111"/>
      <c r="M1718" s="111"/>
      <c r="N1718" s="111"/>
      <c r="O1718" s="111"/>
      <c r="P1718" s="111"/>
      <c r="Q1718" s="111"/>
      <c r="R1718" s="111"/>
    </row>
    <row r="1719" spans="2:18" s="108" customFormat="1">
      <c r="B1719" s="109"/>
      <c r="C1719" s="110"/>
      <c r="D1719" s="109"/>
      <c r="E1719" s="109"/>
      <c r="F1719" s="97"/>
      <c r="G1719" s="109"/>
      <c r="H1719" s="109"/>
      <c r="I1719" s="97"/>
      <c r="J1719" s="97"/>
      <c r="K1719" s="83"/>
      <c r="L1719" s="111"/>
      <c r="M1719" s="111"/>
      <c r="N1719" s="111"/>
      <c r="O1719" s="111"/>
      <c r="P1719" s="111"/>
      <c r="Q1719" s="111"/>
      <c r="R1719" s="111"/>
    </row>
    <row r="1720" spans="2:18" s="108" customFormat="1">
      <c r="B1720" s="109"/>
      <c r="C1720" s="110"/>
      <c r="D1720" s="109"/>
      <c r="E1720" s="109"/>
      <c r="F1720" s="97"/>
      <c r="G1720" s="109"/>
      <c r="H1720" s="109"/>
      <c r="I1720" s="97"/>
      <c r="J1720" s="97"/>
      <c r="K1720" s="83"/>
      <c r="L1720" s="111"/>
      <c r="M1720" s="111"/>
      <c r="N1720" s="111"/>
      <c r="O1720" s="111"/>
      <c r="P1720" s="111"/>
      <c r="Q1720" s="111"/>
      <c r="R1720" s="111"/>
    </row>
    <row r="1721" spans="2:18" s="108" customFormat="1">
      <c r="B1721" s="109"/>
      <c r="C1721" s="110"/>
      <c r="D1721" s="109"/>
      <c r="E1721" s="109"/>
      <c r="F1721" s="97"/>
      <c r="G1721" s="109"/>
      <c r="H1721" s="109"/>
      <c r="I1721" s="97"/>
      <c r="J1721" s="97"/>
      <c r="K1721" s="83"/>
      <c r="L1721" s="111"/>
      <c r="M1721" s="111"/>
      <c r="N1721" s="111"/>
      <c r="O1721" s="111"/>
      <c r="P1721" s="111"/>
      <c r="Q1721" s="111"/>
      <c r="R1721" s="111"/>
    </row>
    <row r="1722" spans="2:18" s="108" customFormat="1">
      <c r="B1722" s="109"/>
      <c r="C1722" s="110"/>
      <c r="D1722" s="109"/>
      <c r="E1722" s="109"/>
      <c r="F1722" s="97"/>
      <c r="G1722" s="109"/>
      <c r="H1722" s="109"/>
      <c r="I1722" s="97"/>
      <c r="J1722" s="97"/>
      <c r="K1722" s="83"/>
      <c r="L1722" s="111"/>
      <c r="M1722" s="111"/>
      <c r="N1722" s="111"/>
      <c r="O1722" s="111"/>
      <c r="P1722" s="111"/>
      <c r="Q1722" s="111"/>
      <c r="R1722" s="111"/>
    </row>
    <row r="1723" spans="2:18" s="108" customFormat="1">
      <c r="B1723" s="109"/>
      <c r="C1723" s="110"/>
      <c r="D1723" s="109"/>
      <c r="E1723" s="109"/>
      <c r="F1723" s="97"/>
      <c r="G1723" s="109"/>
      <c r="H1723" s="109"/>
      <c r="I1723" s="97"/>
      <c r="J1723" s="97"/>
      <c r="K1723" s="83"/>
      <c r="L1723" s="111"/>
      <c r="M1723" s="111"/>
      <c r="N1723" s="111"/>
      <c r="O1723" s="111"/>
      <c r="P1723" s="111"/>
      <c r="Q1723" s="111"/>
      <c r="R1723" s="111"/>
    </row>
    <row r="1724" spans="2:18" s="108" customFormat="1">
      <c r="B1724" s="109"/>
      <c r="C1724" s="110"/>
      <c r="D1724" s="109"/>
      <c r="E1724" s="109"/>
      <c r="F1724" s="97"/>
      <c r="G1724" s="109"/>
      <c r="H1724" s="109"/>
      <c r="I1724" s="97"/>
      <c r="J1724" s="97"/>
      <c r="K1724" s="83"/>
      <c r="L1724" s="111"/>
      <c r="M1724" s="111"/>
      <c r="N1724" s="111"/>
      <c r="O1724" s="111"/>
      <c r="P1724" s="111"/>
      <c r="Q1724" s="111"/>
      <c r="R1724" s="111"/>
    </row>
    <row r="1725" spans="2:18" s="108" customFormat="1">
      <c r="B1725" s="109"/>
      <c r="C1725" s="110"/>
      <c r="D1725" s="109"/>
      <c r="E1725" s="109"/>
      <c r="F1725" s="97"/>
      <c r="G1725" s="109"/>
      <c r="H1725" s="109"/>
      <c r="I1725" s="97"/>
      <c r="J1725" s="97"/>
      <c r="K1725" s="83"/>
      <c r="L1725" s="111"/>
      <c r="M1725" s="111"/>
      <c r="N1725" s="111"/>
      <c r="O1725" s="111"/>
      <c r="P1725" s="111"/>
      <c r="Q1725" s="111"/>
      <c r="R1725" s="111"/>
    </row>
    <row r="1726" spans="2:18" s="108" customFormat="1">
      <c r="B1726" s="109"/>
      <c r="C1726" s="110"/>
      <c r="D1726" s="109"/>
      <c r="E1726" s="109"/>
      <c r="F1726" s="97"/>
      <c r="G1726" s="109"/>
      <c r="H1726" s="109"/>
      <c r="I1726" s="97"/>
      <c r="J1726" s="97"/>
      <c r="K1726" s="83"/>
      <c r="L1726" s="111"/>
      <c r="M1726" s="111"/>
      <c r="N1726" s="111"/>
      <c r="O1726" s="111"/>
      <c r="P1726" s="111"/>
      <c r="Q1726" s="111"/>
      <c r="R1726" s="111"/>
    </row>
    <row r="1727" spans="2:18" s="108" customFormat="1">
      <c r="B1727" s="109"/>
      <c r="C1727" s="110"/>
      <c r="D1727" s="109"/>
      <c r="E1727" s="109"/>
      <c r="F1727" s="97"/>
      <c r="G1727" s="109"/>
      <c r="H1727" s="109"/>
      <c r="I1727" s="97"/>
      <c r="J1727" s="97"/>
      <c r="K1727" s="83"/>
      <c r="L1727" s="111"/>
      <c r="M1727" s="111"/>
      <c r="N1727" s="111"/>
      <c r="O1727" s="111"/>
      <c r="P1727" s="111"/>
      <c r="Q1727" s="111"/>
      <c r="R1727" s="111"/>
    </row>
    <row r="1728" spans="2:18" s="108" customFormat="1">
      <c r="B1728" s="109"/>
      <c r="C1728" s="110"/>
      <c r="D1728" s="109"/>
      <c r="E1728" s="109"/>
      <c r="F1728" s="97"/>
      <c r="G1728" s="109"/>
      <c r="H1728" s="109"/>
      <c r="I1728" s="97"/>
      <c r="J1728" s="97"/>
      <c r="K1728" s="83"/>
      <c r="L1728" s="111"/>
      <c r="M1728" s="111"/>
      <c r="N1728" s="111"/>
      <c r="O1728" s="111"/>
      <c r="P1728" s="111"/>
      <c r="Q1728" s="111"/>
      <c r="R1728" s="111"/>
    </row>
    <row r="1729" spans="2:18" s="108" customFormat="1">
      <c r="B1729" s="109"/>
      <c r="C1729" s="110"/>
      <c r="D1729" s="109"/>
      <c r="E1729" s="109"/>
      <c r="F1729" s="97"/>
      <c r="G1729" s="109"/>
      <c r="H1729" s="109"/>
      <c r="I1729" s="97"/>
      <c r="J1729" s="97"/>
      <c r="K1729" s="83"/>
      <c r="L1729" s="111"/>
      <c r="M1729" s="111"/>
      <c r="N1729" s="111"/>
      <c r="O1729" s="111"/>
      <c r="P1729" s="111"/>
      <c r="Q1729" s="111"/>
      <c r="R1729" s="111"/>
    </row>
    <row r="1730" spans="2:18" s="108" customFormat="1">
      <c r="B1730" s="109"/>
      <c r="C1730" s="110"/>
      <c r="D1730" s="109"/>
      <c r="E1730" s="109"/>
      <c r="F1730" s="97"/>
      <c r="G1730" s="109"/>
      <c r="H1730" s="109"/>
      <c r="I1730" s="97"/>
      <c r="J1730" s="97"/>
      <c r="K1730" s="83"/>
      <c r="L1730" s="111"/>
      <c r="M1730" s="111"/>
      <c r="N1730" s="111"/>
      <c r="O1730" s="111"/>
      <c r="P1730" s="111"/>
      <c r="Q1730" s="111"/>
      <c r="R1730" s="111"/>
    </row>
    <row r="1731" spans="2:18" s="108" customFormat="1">
      <c r="B1731" s="109"/>
      <c r="C1731" s="110"/>
      <c r="D1731" s="109"/>
      <c r="E1731" s="109"/>
      <c r="F1731" s="97"/>
      <c r="G1731" s="109"/>
      <c r="H1731" s="109"/>
      <c r="I1731" s="97"/>
      <c r="J1731" s="97"/>
      <c r="K1731" s="83"/>
      <c r="L1731" s="111"/>
      <c r="M1731" s="111"/>
      <c r="N1731" s="111"/>
      <c r="O1731" s="111"/>
      <c r="P1731" s="111"/>
      <c r="Q1731" s="111"/>
      <c r="R1731" s="111"/>
    </row>
    <row r="1732" spans="2:18" s="108" customFormat="1">
      <c r="B1732" s="109"/>
      <c r="C1732" s="110"/>
      <c r="D1732" s="109"/>
      <c r="E1732" s="109"/>
      <c r="F1732" s="97"/>
      <c r="G1732" s="109"/>
      <c r="H1732" s="109"/>
      <c r="I1732" s="97"/>
      <c r="J1732" s="97"/>
      <c r="K1732" s="83"/>
      <c r="L1732" s="111"/>
      <c r="M1732" s="111"/>
      <c r="N1732" s="111"/>
      <c r="O1732" s="111"/>
      <c r="P1732" s="111"/>
      <c r="Q1732" s="111"/>
      <c r="R1732" s="111"/>
    </row>
    <row r="1733" spans="2:18" s="108" customFormat="1">
      <c r="B1733" s="109"/>
      <c r="C1733" s="110"/>
      <c r="D1733" s="109"/>
      <c r="E1733" s="109"/>
      <c r="F1733" s="97"/>
      <c r="G1733" s="109"/>
      <c r="H1733" s="109"/>
      <c r="I1733" s="97"/>
      <c r="J1733" s="97"/>
      <c r="K1733" s="83"/>
      <c r="L1733" s="111"/>
      <c r="M1733" s="111"/>
      <c r="N1733" s="111"/>
      <c r="O1733" s="111"/>
      <c r="P1733" s="111"/>
      <c r="Q1733" s="111"/>
      <c r="R1733" s="111"/>
    </row>
    <row r="1734" spans="2:18" s="108" customFormat="1">
      <c r="B1734" s="109"/>
      <c r="C1734" s="110"/>
      <c r="D1734" s="109"/>
      <c r="E1734" s="109"/>
      <c r="F1734" s="97"/>
      <c r="G1734" s="109"/>
      <c r="H1734" s="109"/>
      <c r="I1734" s="97"/>
      <c r="J1734" s="97"/>
      <c r="K1734" s="83"/>
      <c r="L1734" s="111"/>
      <c r="M1734" s="111"/>
      <c r="N1734" s="111"/>
      <c r="O1734" s="111"/>
      <c r="P1734" s="111"/>
      <c r="Q1734" s="111"/>
      <c r="R1734" s="111"/>
    </row>
    <row r="1735" spans="2:18" s="108" customFormat="1">
      <c r="B1735" s="109"/>
      <c r="C1735" s="110"/>
      <c r="D1735" s="109"/>
      <c r="E1735" s="109"/>
      <c r="F1735" s="97"/>
      <c r="G1735" s="109"/>
      <c r="H1735" s="109"/>
      <c r="I1735" s="97"/>
      <c r="J1735" s="97"/>
      <c r="K1735" s="83"/>
      <c r="L1735" s="111"/>
      <c r="M1735" s="111"/>
      <c r="N1735" s="111"/>
      <c r="O1735" s="111"/>
      <c r="P1735" s="111"/>
      <c r="Q1735" s="111"/>
      <c r="R1735" s="111"/>
    </row>
    <row r="1736" spans="2:18" s="108" customFormat="1">
      <c r="B1736" s="109"/>
      <c r="C1736" s="110"/>
      <c r="D1736" s="109"/>
      <c r="E1736" s="109"/>
      <c r="F1736" s="97"/>
      <c r="G1736" s="109"/>
      <c r="H1736" s="109"/>
      <c r="I1736" s="97"/>
      <c r="J1736" s="97"/>
      <c r="K1736" s="83"/>
      <c r="L1736" s="111"/>
      <c r="M1736" s="111"/>
      <c r="N1736" s="111"/>
      <c r="O1736" s="111"/>
      <c r="P1736" s="111"/>
      <c r="Q1736" s="111"/>
      <c r="R1736" s="111"/>
    </row>
    <row r="1737" spans="2:18" s="108" customFormat="1">
      <c r="B1737" s="109"/>
      <c r="C1737" s="110"/>
      <c r="D1737" s="109"/>
      <c r="E1737" s="109"/>
      <c r="F1737" s="97"/>
      <c r="G1737" s="109"/>
      <c r="H1737" s="109"/>
      <c r="I1737" s="97"/>
      <c r="J1737" s="97"/>
      <c r="K1737" s="83"/>
      <c r="L1737" s="111"/>
      <c r="M1737" s="111"/>
      <c r="N1737" s="111"/>
      <c r="O1737" s="111"/>
      <c r="P1737" s="111"/>
      <c r="Q1737" s="111"/>
      <c r="R1737" s="111"/>
    </row>
    <row r="1738" spans="2:18" s="108" customFormat="1">
      <c r="B1738" s="109"/>
      <c r="C1738" s="110"/>
      <c r="D1738" s="109"/>
      <c r="E1738" s="109"/>
      <c r="F1738" s="97"/>
      <c r="G1738" s="109"/>
      <c r="H1738" s="109"/>
      <c r="I1738" s="97"/>
      <c r="J1738" s="97"/>
      <c r="K1738" s="83"/>
      <c r="L1738" s="111"/>
      <c r="M1738" s="111"/>
      <c r="N1738" s="111"/>
      <c r="O1738" s="111"/>
      <c r="P1738" s="111"/>
      <c r="Q1738" s="111"/>
      <c r="R1738" s="111"/>
    </row>
    <row r="1739" spans="2:18" s="108" customFormat="1">
      <c r="B1739" s="109"/>
      <c r="C1739" s="110"/>
      <c r="D1739" s="109"/>
      <c r="E1739" s="109"/>
      <c r="F1739" s="97"/>
      <c r="G1739" s="109"/>
      <c r="H1739" s="109"/>
      <c r="I1739" s="97"/>
      <c r="J1739" s="97"/>
      <c r="K1739" s="83"/>
      <c r="L1739" s="111"/>
      <c r="M1739" s="111"/>
      <c r="N1739" s="111"/>
      <c r="O1739" s="111"/>
      <c r="P1739" s="111"/>
      <c r="Q1739" s="111"/>
      <c r="R1739" s="111"/>
    </row>
    <row r="1740" spans="2:18" s="108" customFormat="1">
      <c r="B1740" s="109"/>
      <c r="C1740" s="110"/>
      <c r="D1740" s="109"/>
      <c r="E1740" s="109"/>
      <c r="F1740" s="97"/>
      <c r="G1740" s="109"/>
      <c r="H1740" s="109"/>
      <c r="I1740" s="97"/>
      <c r="J1740" s="97"/>
      <c r="K1740" s="83"/>
      <c r="L1740" s="111"/>
      <c r="M1740" s="111"/>
      <c r="N1740" s="111"/>
      <c r="O1740" s="111"/>
      <c r="P1740" s="111"/>
      <c r="Q1740" s="111"/>
      <c r="R1740" s="111"/>
    </row>
    <row r="1741" spans="2:18" s="108" customFormat="1">
      <c r="B1741" s="109"/>
      <c r="C1741" s="110"/>
      <c r="D1741" s="109"/>
      <c r="E1741" s="109"/>
      <c r="F1741" s="97"/>
      <c r="G1741" s="109"/>
      <c r="H1741" s="109"/>
      <c r="I1741" s="97"/>
      <c r="J1741" s="97"/>
      <c r="K1741" s="83"/>
      <c r="L1741" s="111"/>
      <c r="M1741" s="111"/>
      <c r="N1741" s="111"/>
      <c r="O1741" s="111"/>
      <c r="P1741" s="111"/>
      <c r="Q1741" s="111"/>
      <c r="R1741" s="111"/>
    </row>
    <row r="1742" spans="2:18" s="108" customFormat="1">
      <c r="B1742" s="109"/>
      <c r="C1742" s="110"/>
      <c r="D1742" s="109"/>
      <c r="E1742" s="109"/>
      <c r="F1742" s="97"/>
      <c r="G1742" s="109"/>
      <c r="H1742" s="109"/>
      <c r="I1742" s="97"/>
      <c r="J1742" s="97"/>
      <c r="K1742" s="83"/>
      <c r="L1742" s="111"/>
      <c r="M1742" s="111"/>
      <c r="N1742" s="111"/>
      <c r="O1742" s="111"/>
      <c r="P1742" s="111"/>
      <c r="Q1742" s="111"/>
      <c r="R1742" s="111"/>
    </row>
    <row r="1743" spans="2:18" s="108" customFormat="1">
      <c r="B1743" s="109"/>
      <c r="C1743" s="110"/>
      <c r="D1743" s="109"/>
      <c r="E1743" s="109"/>
      <c r="F1743" s="97"/>
      <c r="G1743" s="109"/>
      <c r="H1743" s="109"/>
      <c r="I1743" s="97"/>
      <c r="J1743" s="97"/>
      <c r="K1743" s="83"/>
      <c r="L1743" s="111"/>
      <c r="M1743" s="111"/>
      <c r="N1743" s="111"/>
      <c r="O1743" s="111"/>
      <c r="P1743" s="111"/>
      <c r="Q1743" s="111"/>
      <c r="R1743" s="111"/>
    </row>
    <row r="1744" spans="2:18" s="108" customFormat="1">
      <c r="B1744" s="109"/>
      <c r="C1744" s="110"/>
      <c r="D1744" s="109"/>
      <c r="E1744" s="109"/>
      <c r="F1744" s="97"/>
      <c r="G1744" s="109"/>
      <c r="H1744" s="109"/>
      <c r="I1744" s="97"/>
      <c r="J1744" s="97"/>
      <c r="K1744" s="83"/>
      <c r="L1744" s="111"/>
      <c r="M1744" s="111"/>
      <c r="N1744" s="111"/>
      <c r="O1744" s="111"/>
      <c r="P1744" s="111"/>
      <c r="Q1744" s="111"/>
      <c r="R1744" s="111"/>
    </row>
    <row r="1745" spans="2:18" s="108" customFormat="1">
      <c r="B1745" s="109"/>
      <c r="C1745" s="110"/>
      <c r="D1745" s="109"/>
      <c r="E1745" s="109"/>
      <c r="F1745" s="97"/>
      <c r="G1745" s="109"/>
      <c r="H1745" s="109"/>
      <c r="I1745" s="97"/>
      <c r="J1745" s="97"/>
      <c r="K1745" s="83"/>
      <c r="L1745" s="111"/>
      <c r="M1745" s="111"/>
      <c r="N1745" s="111"/>
      <c r="O1745" s="111"/>
      <c r="P1745" s="111"/>
      <c r="Q1745" s="111"/>
      <c r="R1745" s="111"/>
    </row>
    <row r="1746" spans="2:18" s="108" customFormat="1">
      <c r="B1746" s="109"/>
      <c r="C1746" s="110"/>
      <c r="D1746" s="109"/>
      <c r="E1746" s="109"/>
      <c r="F1746" s="97"/>
      <c r="G1746" s="109"/>
      <c r="H1746" s="109"/>
      <c r="I1746" s="97"/>
      <c r="J1746" s="97"/>
      <c r="K1746" s="83"/>
      <c r="L1746" s="111"/>
      <c r="M1746" s="111"/>
      <c r="N1746" s="111"/>
      <c r="O1746" s="111"/>
      <c r="P1746" s="111"/>
      <c r="Q1746" s="111"/>
      <c r="R1746" s="111"/>
    </row>
    <row r="1747" spans="2:18" s="108" customFormat="1">
      <c r="B1747" s="109"/>
      <c r="C1747" s="110"/>
      <c r="D1747" s="109"/>
      <c r="E1747" s="109"/>
      <c r="F1747" s="97"/>
      <c r="G1747" s="109"/>
      <c r="H1747" s="109"/>
      <c r="I1747" s="97"/>
      <c r="J1747" s="97"/>
      <c r="K1747" s="83"/>
      <c r="L1747" s="111"/>
      <c r="M1747" s="111"/>
      <c r="N1747" s="111"/>
      <c r="O1747" s="111"/>
      <c r="P1747" s="111"/>
      <c r="Q1747" s="111"/>
      <c r="R1747" s="111"/>
    </row>
    <row r="1748" spans="2:18" s="108" customFormat="1">
      <c r="B1748" s="109"/>
      <c r="C1748" s="110"/>
      <c r="D1748" s="109"/>
      <c r="E1748" s="109"/>
      <c r="F1748" s="97"/>
      <c r="G1748" s="109"/>
      <c r="H1748" s="109"/>
      <c r="I1748" s="97"/>
      <c r="J1748" s="97"/>
      <c r="K1748" s="83"/>
      <c r="L1748" s="111"/>
      <c r="M1748" s="111"/>
      <c r="N1748" s="111"/>
      <c r="O1748" s="111"/>
      <c r="P1748" s="111"/>
      <c r="Q1748" s="111"/>
      <c r="R1748" s="111"/>
    </row>
    <row r="1749" spans="2:18" s="108" customFormat="1">
      <c r="B1749" s="109"/>
      <c r="C1749" s="110"/>
      <c r="D1749" s="109"/>
      <c r="E1749" s="109"/>
      <c r="F1749" s="97"/>
      <c r="G1749" s="109"/>
      <c r="H1749" s="109"/>
      <c r="I1749" s="97"/>
      <c r="J1749" s="97"/>
      <c r="K1749" s="83"/>
      <c r="L1749" s="111"/>
      <c r="M1749" s="111"/>
      <c r="N1749" s="111"/>
      <c r="O1749" s="111"/>
      <c r="P1749" s="111"/>
      <c r="Q1749" s="111"/>
      <c r="R1749" s="111"/>
    </row>
    <row r="1750" spans="2:18" s="108" customFormat="1">
      <c r="B1750" s="109"/>
      <c r="C1750" s="110"/>
      <c r="D1750" s="109"/>
      <c r="E1750" s="109"/>
      <c r="F1750" s="97"/>
      <c r="G1750" s="109"/>
      <c r="H1750" s="109"/>
      <c r="I1750" s="97"/>
      <c r="J1750" s="97"/>
      <c r="K1750" s="83"/>
      <c r="L1750" s="111"/>
      <c r="M1750" s="111"/>
      <c r="N1750" s="111"/>
      <c r="O1750" s="111"/>
      <c r="P1750" s="111"/>
      <c r="Q1750" s="111"/>
      <c r="R1750" s="111"/>
    </row>
    <row r="1751" spans="2:18" s="108" customFormat="1">
      <c r="B1751" s="109"/>
      <c r="C1751" s="110"/>
      <c r="D1751" s="109"/>
      <c r="E1751" s="109"/>
      <c r="F1751" s="97"/>
      <c r="G1751" s="109"/>
      <c r="H1751" s="109"/>
      <c r="I1751" s="97"/>
      <c r="J1751" s="97"/>
      <c r="K1751" s="83"/>
      <c r="L1751" s="111"/>
      <c r="M1751" s="111"/>
      <c r="N1751" s="111"/>
      <c r="O1751" s="111"/>
      <c r="P1751" s="111"/>
      <c r="Q1751" s="111"/>
      <c r="R1751" s="111"/>
    </row>
    <row r="1752" spans="2:18" s="108" customFormat="1">
      <c r="B1752" s="109"/>
      <c r="C1752" s="110"/>
      <c r="D1752" s="109"/>
      <c r="E1752" s="109"/>
      <c r="F1752" s="97"/>
      <c r="G1752" s="109"/>
      <c r="H1752" s="109"/>
      <c r="I1752" s="97"/>
      <c r="J1752" s="97"/>
      <c r="K1752" s="83"/>
      <c r="L1752" s="111"/>
      <c r="M1752" s="111"/>
      <c r="N1752" s="111"/>
      <c r="O1752" s="111"/>
      <c r="P1752" s="111"/>
      <c r="Q1752" s="111"/>
      <c r="R1752" s="111"/>
    </row>
    <row r="1753" spans="2:18" s="108" customFormat="1">
      <c r="B1753" s="109"/>
      <c r="C1753" s="110"/>
      <c r="D1753" s="109"/>
      <c r="E1753" s="109"/>
      <c r="F1753" s="97"/>
      <c r="G1753" s="109"/>
      <c r="H1753" s="109"/>
      <c r="I1753" s="97"/>
      <c r="J1753" s="97"/>
      <c r="K1753" s="83"/>
      <c r="L1753" s="111"/>
      <c r="M1753" s="111"/>
      <c r="N1753" s="111"/>
      <c r="O1753" s="111"/>
      <c r="P1753" s="111"/>
      <c r="Q1753" s="111"/>
      <c r="R1753" s="111"/>
    </row>
    <row r="1754" spans="2:18" s="108" customFormat="1">
      <c r="B1754" s="109"/>
      <c r="C1754" s="110"/>
      <c r="D1754" s="109"/>
      <c r="E1754" s="109"/>
      <c r="F1754" s="97"/>
      <c r="G1754" s="109"/>
      <c r="H1754" s="109"/>
      <c r="I1754" s="97"/>
      <c r="J1754" s="97"/>
      <c r="K1754" s="83"/>
      <c r="L1754" s="111"/>
      <c r="M1754" s="111"/>
      <c r="N1754" s="111"/>
      <c r="O1754" s="111"/>
      <c r="P1754" s="111"/>
      <c r="Q1754" s="111"/>
      <c r="R1754" s="111"/>
    </row>
    <row r="1755" spans="2:18" s="108" customFormat="1">
      <c r="B1755" s="109"/>
      <c r="C1755" s="110"/>
      <c r="D1755" s="109"/>
      <c r="E1755" s="109"/>
      <c r="F1755" s="97"/>
      <c r="G1755" s="109"/>
      <c r="H1755" s="109"/>
      <c r="I1755" s="97"/>
      <c r="J1755" s="97"/>
      <c r="K1755" s="83"/>
      <c r="L1755" s="111"/>
      <c r="M1755" s="111"/>
      <c r="N1755" s="111"/>
      <c r="O1755" s="111"/>
      <c r="P1755" s="111"/>
      <c r="Q1755" s="111"/>
      <c r="R1755" s="111"/>
    </row>
    <row r="1756" spans="2:18" s="108" customFormat="1">
      <c r="B1756" s="109"/>
      <c r="C1756" s="110"/>
      <c r="D1756" s="109"/>
      <c r="E1756" s="109"/>
      <c r="F1756" s="97"/>
      <c r="G1756" s="109"/>
      <c r="H1756" s="109"/>
      <c r="I1756" s="97"/>
      <c r="J1756" s="97"/>
      <c r="K1756" s="83"/>
      <c r="L1756" s="111"/>
      <c r="M1756" s="111"/>
      <c r="N1756" s="111"/>
      <c r="O1756" s="111"/>
      <c r="P1756" s="111"/>
      <c r="Q1756" s="111"/>
      <c r="R1756" s="111"/>
    </row>
    <row r="1757" spans="2:18" s="108" customFormat="1">
      <c r="B1757" s="109"/>
      <c r="C1757" s="110"/>
      <c r="D1757" s="109"/>
      <c r="E1757" s="109"/>
      <c r="F1757" s="97"/>
      <c r="G1757" s="109"/>
      <c r="H1757" s="109"/>
      <c r="I1757" s="97"/>
      <c r="J1757" s="97"/>
      <c r="K1757" s="83"/>
      <c r="L1757" s="111"/>
      <c r="M1757" s="111"/>
      <c r="N1757" s="111"/>
      <c r="O1757" s="111"/>
      <c r="P1757" s="111"/>
      <c r="Q1757" s="111"/>
      <c r="R1757" s="111"/>
    </row>
    <row r="1758" spans="2:18" s="108" customFormat="1">
      <c r="B1758" s="109"/>
      <c r="C1758" s="110"/>
      <c r="D1758" s="109"/>
      <c r="E1758" s="109"/>
      <c r="F1758" s="97"/>
      <c r="G1758" s="109"/>
      <c r="H1758" s="109"/>
      <c r="I1758" s="97"/>
      <c r="J1758" s="97"/>
      <c r="K1758" s="83"/>
      <c r="L1758" s="111"/>
      <c r="M1758" s="111"/>
      <c r="N1758" s="111"/>
      <c r="O1758" s="111"/>
      <c r="P1758" s="111"/>
      <c r="Q1758" s="111"/>
      <c r="R1758" s="111"/>
    </row>
    <row r="1759" spans="2:18" s="108" customFormat="1">
      <c r="B1759" s="109"/>
      <c r="C1759" s="110"/>
      <c r="D1759" s="109"/>
      <c r="E1759" s="109"/>
      <c r="F1759" s="97"/>
      <c r="G1759" s="109"/>
      <c r="H1759" s="109"/>
      <c r="I1759" s="97"/>
      <c r="J1759" s="97"/>
      <c r="K1759" s="83"/>
      <c r="L1759" s="111"/>
      <c r="M1759" s="111"/>
      <c r="N1759" s="111"/>
      <c r="O1759" s="111"/>
      <c r="P1759" s="111"/>
      <c r="Q1759" s="111"/>
      <c r="R1759" s="111"/>
    </row>
    <row r="1760" spans="2:18" s="108" customFormat="1">
      <c r="B1760" s="109"/>
      <c r="C1760" s="110"/>
      <c r="D1760" s="109"/>
      <c r="E1760" s="109"/>
      <c r="F1760" s="97"/>
      <c r="G1760" s="109"/>
      <c r="H1760" s="109"/>
      <c r="I1760" s="97"/>
      <c r="J1760" s="97"/>
      <c r="K1760" s="83"/>
      <c r="L1760" s="111"/>
      <c r="M1760" s="111"/>
      <c r="N1760" s="111"/>
      <c r="O1760" s="111"/>
      <c r="P1760" s="111"/>
      <c r="Q1760" s="111"/>
      <c r="R1760" s="111"/>
    </row>
    <row r="1761" spans="2:18" s="108" customFormat="1">
      <c r="B1761" s="109"/>
      <c r="C1761" s="110"/>
      <c r="D1761" s="109"/>
      <c r="E1761" s="109"/>
      <c r="F1761" s="97"/>
      <c r="G1761" s="109"/>
      <c r="H1761" s="109"/>
      <c r="I1761" s="97"/>
      <c r="J1761" s="97"/>
      <c r="K1761" s="83"/>
      <c r="L1761" s="111"/>
      <c r="M1761" s="111"/>
      <c r="N1761" s="111"/>
      <c r="O1761" s="111"/>
      <c r="P1761" s="111"/>
      <c r="Q1761" s="111"/>
      <c r="R1761" s="111"/>
    </row>
    <row r="1762" spans="2:18" s="108" customFormat="1">
      <c r="B1762" s="109"/>
      <c r="C1762" s="110"/>
      <c r="D1762" s="109"/>
      <c r="E1762" s="109"/>
      <c r="F1762" s="97"/>
      <c r="G1762" s="109"/>
      <c r="H1762" s="109"/>
      <c r="I1762" s="97"/>
      <c r="J1762" s="97"/>
      <c r="K1762" s="83"/>
      <c r="L1762" s="111"/>
      <c r="M1762" s="111"/>
      <c r="N1762" s="111"/>
      <c r="O1762" s="111"/>
      <c r="P1762" s="111"/>
      <c r="Q1762" s="111"/>
      <c r="R1762" s="111"/>
    </row>
    <row r="1763" spans="2:18" s="108" customFormat="1">
      <c r="B1763" s="109"/>
      <c r="C1763" s="110"/>
      <c r="D1763" s="109"/>
      <c r="E1763" s="109"/>
      <c r="F1763" s="97"/>
      <c r="G1763" s="109"/>
      <c r="H1763" s="109"/>
      <c r="I1763" s="97"/>
      <c r="J1763" s="97"/>
      <c r="K1763" s="83"/>
      <c r="L1763" s="111"/>
      <c r="M1763" s="111"/>
      <c r="N1763" s="111"/>
      <c r="O1763" s="111"/>
      <c r="P1763" s="111"/>
      <c r="Q1763" s="111"/>
      <c r="R1763" s="111"/>
    </row>
    <row r="1764" spans="2:18" s="108" customFormat="1">
      <c r="B1764" s="109"/>
      <c r="C1764" s="110"/>
      <c r="D1764" s="109"/>
      <c r="E1764" s="109"/>
      <c r="F1764" s="97"/>
      <c r="G1764" s="109"/>
      <c r="H1764" s="109"/>
      <c r="I1764" s="97"/>
      <c r="J1764" s="97"/>
      <c r="K1764" s="83"/>
      <c r="L1764" s="111"/>
      <c r="M1764" s="111"/>
      <c r="N1764" s="111"/>
      <c r="O1764" s="111"/>
      <c r="P1764" s="111"/>
      <c r="Q1764" s="111"/>
      <c r="R1764" s="111"/>
    </row>
    <row r="1765" spans="2:18" s="108" customFormat="1">
      <c r="B1765" s="109"/>
      <c r="C1765" s="110"/>
      <c r="D1765" s="109"/>
      <c r="E1765" s="109"/>
      <c r="F1765" s="97"/>
      <c r="G1765" s="109"/>
      <c r="H1765" s="109"/>
      <c r="I1765" s="97"/>
      <c r="J1765" s="97"/>
      <c r="K1765" s="83"/>
      <c r="L1765" s="111"/>
      <c r="M1765" s="111"/>
      <c r="N1765" s="111"/>
      <c r="O1765" s="111"/>
      <c r="P1765" s="111"/>
      <c r="Q1765" s="111"/>
      <c r="R1765" s="111"/>
    </row>
    <row r="1766" spans="2:18" s="108" customFormat="1">
      <c r="B1766" s="109"/>
      <c r="C1766" s="110"/>
      <c r="D1766" s="109"/>
      <c r="E1766" s="109"/>
      <c r="F1766" s="97"/>
      <c r="G1766" s="109"/>
      <c r="H1766" s="109"/>
      <c r="I1766" s="97"/>
      <c r="J1766" s="97"/>
      <c r="K1766" s="83"/>
      <c r="L1766" s="111"/>
      <c r="M1766" s="111"/>
      <c r="N1766" s="111"/>
      <c r="O1766" s="111"/>
      <c r="P1766" s="111"/>
      <c r="Q1766" s="111"/>
      <c r="R1766" s="111"/>
    </row>
    <row r="1767" spans="2:18" s="108" customFormat="1">
      <c r="B1767" s="109"/>
      <c r="C1767" s="110"/>
      <c r="D1767" s="109"/>
      <c r="E1767" s="109"/>
      <c r="F1767" s="97"/>
      <c r="G1767" s="109"/>
      <c r="H1767" s="109"/>
      <c r="I1767" s="97"/>
      <c r="J1767" s="97"/>
      <c r="K1767" s="83"/>
      <c r="L1767" s="111"/>
      <c r="M1767" s="111"/>
      <c r="N1767" s="111"/>
      <c r="O1767" s="111"/>
      <c r="P1767" s="111"/>
      <c r="Q1767" s="111"/>
      <c r="R1767" s="111"/>
    </row>
    <row r="1768" spans="2:18" s="108" customFormat="1">
      <c r="B1768" s="109"/>
      <c r="C1768" s="110"/>
      <c r="D1768" s="109"/>
      <c r="E1768" s="109"/>
      <c r="F1768" s="97"/>
      <c r="G1768" s="109"/>
      <c r="H1768" s="109"/>
      <c r="I1768" s="97"/>
      <c r="J1768" s="97"/>
      <c r="K1768" s="83"/>
      <c r="L1768" s="111"/>
      <c r="M1768" s="111"/>
      <c r="N1768" s="111"/>
      <c r="O1768" s="111"/>
      <c r="P1768" s="111"/>
      <c r="Q1768" s="111"/>
      <c r="R1768" s="111"/>
    </row>
    <row r="1769" spans="2:18" s="108" customFormat="1">
      <c r="B1769" s="109"/>
      <c r="C1769" s="110"/>
      <c r="D1769" s="109"/>
      <c r="E1769" s="109"/>
      <c r="F1769" s="97"/>
      <c r="G1769" s="109"/>
      <c r="H1769" s="109"/>
      <c r="I1769" s="97"/>
      <c r="J1769" s="97"/>
      <c r="K1769" s="83"/>
      <c r="L1769" s="111"/>
      <c r="M1769" s="111"/>
      <c r="N1769" s="111"/>
      <c r="O1769" s="111"/>
      <c r="P1769" s="111"/>
      <c r="Q1769" s="111"/>
      <c r="R1769" s="111"/>
    </row>
    <row r="1770" spans="2:18" s="108" customFormat="1">
      <c r="B1770" s="109"/>
      <c r="C1770" s="110"/>
      <c r="D1770" s="109"/>
      <c r="E1770" s="109"/>
      <c r="F1770" s="97"/>
      <c r="G1770" s="109"/>
      <c r="H1770" s="109"/>
      <c r="I1770" s="97"/>
      <c r="J1770" s="97"/>
      <c r="K1770" s="83"/>
      <c r="L1770" s="111"/>
      <c r="M1770" s="111"/>
      <c r="N1770" s="111"/>
      <c r="O1770" s="111"/>
      <c r="P1770" s="111"/>
      <c r="Q1770" s="111"/>
      <c r="R1770" s="111"/>
    </row>
    <row r="1771" spans="2:18" s="108" customFormat="1">
      <c r="B1771" s="109"/>
      <c r="C1771" s="110"/>
      <c r="D1771" s="109"/>
      <c r="E1771" s="109"/>
      <c r="F1771" s="97"/>
      <c r="G1771" s="109"/>
      <c r="H1771" s="109"/>
      <c r="I1771" s="97"/>
      <c r="J1771" s="97"/>
      <c r="K1771" s="83"/>
      <c r="L1771" s="111"/>
      <c r="M1771" s="111"/>
      <c r="N1771" s="111"/>
      <c r="O1771" s="111"/>
      <c r="P1771" s="111"/>
      <c r="Q1771" s="111"/>
      <c r="R1771" s="111"/>
    </row>
    <row r="1772" spans="2:18" s="108" customFormat="1">
      <c r="B1772" s="109"/>
      <c r="C1772" s="110"/>
      <c r="D1772" s="109"/>
      <c r="E1772" s="109"/>
      <c r="F1772" s="97"/>
      <c r="G1772" s="109"/>
      <c r="H1772" s="109"/>
      <c r="I1772" s="97"/>
      <c r="J1772" s="97"/>
      <c r="K1772" s="83"/>
      <c r="L1772" s="111"/>
      <c r="M1772" s="111"/>
      <c r="N1772" s="111"/>
      <c r="O1772" s="111"/>
      <c r="P1772" s="111"/>
      <c r="Q1772" s="111"/>
      <c r="R1772" s="111"/>
    </row>
    <row r="1773" spans="2:18" s="108" customFormat="1">
      <c r="B1773" s="109"/>
      <c r="C1773" s="110"/>
      <c r="D1773" s="109"/>
      <c r="E1773" s="109"/>
      <c r="F1773" s="97"/>
      <c r="G1773" s="109"/>
      <c r="H1773" s="109"/>
      <c r="I1773" s="97"/>
      <c r="J1773" s="97"/>
      <c r="K1773" s="83"/>
      <c r="L1773" s="111"/>
      <c r="M1773" s="111"/>
      <c r="N1773" s="111"/>
      <c r="O1773" s="111"/>
      <c r="P1773" s="111"/>
      <c r="Q1773" s="111"/>
      <c r="R1773" s="111"/>
    </row>
    <row r="1774" spans="2:18" s="108" customFormat="1">
      <c r="B1774" s="109"/>
      <c r="C1774" s="110"/>
      <c r="D1774" s="109"/>
      <c r="E1774" s="109"/>
      <c r="F1774" s="97"/>
      <c r="G1774" s="109"/>
      <c r="H1774" s="109"/>
      <c r="I1774" s="97"/>
      <c r="J1774" s="97"/>
      <c r="K1774" s="83"/>
      <c r="L1774" s="111"/>
      <c r="M1774" s="111"/>
      <c r="N1774" s="111"/>
      <c r="O1774" s="111"/>
      <c r="P1774" s="111"/>
      <c r="Q1774" s="111"/>
      <c r="R1774" s="111"/>
    </row>
    <row r="1775" spans="2:18" s="108" customFormat="1">
      <c r="B1775" s="109"/>
      <c r="C1775" s="110"/>
      <c r="D1775" s="109"/>
      <c r="E1775" s="109"/>
      <c r="F1775" s="97"/>
      <c r="G1775" s="109"/>
      <c r="H1775" s="109"/>
      <c r="I1775" s="97"/>
      <c r="J1775" s="97"/>
      <c r="K1775" s="83"/>
      <c r="L1775" s="111"/>
      <c r="M1775" s="111"/>
      <c r="N1775" s="111"/>
      <c r="O1775" s="111"/>
      <c r="P1775" s="111"/>
      <c r="Q1775" s="111"/>
      <c r="R1775" s="111"/>
    </row>
    <row r="1776" spans="2:18" s="108" customFormat="1">
      <c r="B1776" s="109"/>
      <c r="C1776" s="110"/>
      <c r="D1776" s="109"/>
      <c r="E1776" s="109"/>
      <c r="F1776" s="97"/>
      <c r="G1776" s="109"/>
      <c r="H1776" s="109"/>
      <c r="I1776" s="97"/>
      <c r="J1776" s="97"/>
      <c r="K1776" s="83"/>
      <c r="L1776" s="111"/>
      <c r="M1776" s="111"/>
      <c r="N1776" s="111"/>
      <c r="O1776" s="111"/>
      <c r="P1776" s="111"/>
      <c r="Q1776" s="111"/>
      <c r="R1776" s="111"/>
    </row>
    <row r="1777" spans="2:18" s="108" customFormat="1">
      <c r="B1777" s="109"/>
      <c r="C1777" s="110"/>
      <c r="D1777" s="109"/>
      <c r="E1777" s="109"/>
      <c r="F1777" s="97"/>
      <c r="G1777" s="109"/>
      <c r="H1777" s="109"/>
      <c r="I1777" s="97"/>
      <c r="J1777" s="97"/>
      <c r="K1777" s="83"/>
      <c r="L1777" s="111"/>
      <c r="M1777" s="111"/>
      <c r="N1777" s="111"/>
      <c r="O1777" s="111"/>
      <c r="P1777" s="111"/>
      <c r="Q1777" s="111"/>
      <c r="R1777" s="111"/>
    </row>
    <row r="1778" spans="2:18" s="108" customFormat="1">
      <c r="B1778" s="109"/>
      <c r="C1778" s="110"/>
      <c r="D1778" s="109"/>
      <c r="E1778" s="109"/>
      <c r="F1778" s="97"/>
      <c r="G1778" s="109"/>
      <c r="H1778" s="109"/>
      <c r="I1778" s="97"/>
      <c r="J1778" s="97"/>
      <c r="K1778" s="83"/>
      <c r="L1778" s="111"/>
      <c r="M1778" s="111"/>
      <c r="N1778" s="111"/>
      <c r="O1778" s="111"/>
      <c r="P1778" s="111"/>
      <c r="Q1778" s="111"/>
      <c r="R1778" s="111"/>
    </row>
    <row r="1779" spans="2:18" s="108" customFormat="1">
      <c r="B1779" s="109"/>
      <c r="C1779" s="110"/>
      <c r="D1779" s="109"/>
      <c r="E1779" s="109"/>
      <c r="F1779" s="97"/>
      <c r="G1779" s="109"/>
      <c r="H1779" s="109"/>
      <c r="I1779" s="97"/>
      <c r="J1779" s="97"/>
      <c r="K1779" s="83"/>
      <c r="L1779" s="111"/>
      <c r="M1779" s="111"/>
      <c r="N1779" s="111"/>
      <c r="O1779" s="111"/>
      <c r="P1779" s="111"/>
      <c r="Q1779" s="111"/>
      <c r="R1779" s="111"/>
    </row>
    <row r="1780" spans="2:18" s="108" customFormat="1">
      <c r="B1780" s="109"/>
      <c r="C1780" s="110"/>
      <c r="D1780" s="109"/>
      <c r="E1780" s="109"/>
      <c r="F1780" s="97"/>
      <c r="G1780" s="109"/>
      <c r="H1780" s="109"/>
      <c r="I1780" s="97"/>
      <c r="J1780" s="97"/>
      <c r="K1780" s="83"/>
      <c r="L1780" s="111"/>
      <c r="M1780" s="111"/>
      <c r="N1780" s="111"/>
      <c r="O1780" s="111"/>
      <c r="P1780" s="111"/>
      <c r="Q1780" s="111"/>
      <c r="R1780" s="111"/>
    </row>
    <row r="1781" spans="2:18" s="108" customFormat="1">
      <c r="B1781" s="109"/>
      <c r="C1781" s="110"/>
      <c r="D1781" s="109"/>
      <c r="E1781" s="109"/>
      <c r="F1781" s="97"/>
      <c r="G1781" s="109"/>
      <c r="H1781" s="109"/>
      <c r="I1781" s="97"/>
      <c r="J1781" s="97"/>
      <c r="K1781" s="83"/>
      <c r="L1781" s="111"/>
      <c r="M1781" s="111"/>
      <c r="N1781" s="111"/>
      <c r="O1781" s="111"/>
      <c r="P1781" s="111"/>
      <c r="Q1781" s="111"/>
      <c r="R1781" s="111"/>
    </row>
    <row r="1782" spans="2:18" s="108" customFormat="1">
      <c r="B1782" s="109"/>
      <c r="C1782" s="110"/>
      <c r="D1782" s="109"/>
      <c r="E1782" s="109"/>
      <c r="F1782" s="97"/>
      <c r="G1782" s="109"/>
      <c r="H1782" s="109"/>
      <c r="I1782" s="97"/>
      <c r="J1782" s="97"/>
      <c r="K1782" s="83"/>
      <c r="L1782" s="111"/>
      <c r="M1782" s="111"/>
      <c r="N1782" s="111"/>
      <c r="O1782" s="111"/>
      <c r="P1782" s="111"/>
      <c r="Q1782" s="111"/>
      <c r="R1782" s="111"/>
    </row>
    <row r="1783" spans="2:18" s="108" customFormat="1">
      <c r="B1783" s="109"/>
      <c r="C1783" s="110"/>
      <c r="D1783" s="109"/>
      <c r="E1783" s="109"/>
      <c r="F1783" s="97"/>
      <c r="G1783" s="109"/>
      <c r="H1783" s="109"/>
      <c r="I1783" s="97"/>
      <c r="J1783" s="97"/>
      <c r="K1783" s="83"/>
      <c r="L1783" s="111"/>
      <c r="M1783" s="111"/>
      <c r="N1783" s="111"/>
      <c r="O1783" s="111"/>
      <c r="P1783" s="111"/>
      <c r="Q1783" s="111"/>
      <c r="R1783" s="111"/>
    </row>
    <row r="1784" spans="2:18" s="108" customFormat="1">
      <c r="B1784" s="109"/>
      <c r="C1784" s="110"/>
      <c r="D1784" s="109"/>
      <c r="E1784" s="109"/>
      <c r="F1784" s="97"/>
      <c r="G1784" s="109"/>
      <c r="H1784" s="109"/>
      <c r="I1784" s="97"/>
      <c r="J1784" s="97"/>
      <c r="K1784" s="83"/>
      <c r="L1784" s="111"/>
      <c r="M1784" s="111"/>
      <c r="N1784" s="111"/>
      <c r="O1784" s="111"/>
      <c r="P1784" s="111"/>
      <c r="Q1784" s="111"/>
      <c r="R1784" s="111"/>
    </row>
    <row r="1785" spans="2:18" s="108" customFormat="1">
      <c r="B1785" s="109"/>
      <c r="C1785" s="110"/>
      <c r="D1785" s="109"/>
      <c r="E1785" s="109"/>
      <c r="F1785" s="97"/>
      <c r="G1785" s="109"/>
      <c r="H1785" s="109"/>
      <c r="I1785" s="97"/>
      <c r="J1785" s="97"/>
      <c r="K1785" s="83"/>
      <c r="L1785" s="111"/>
      <c r="M1785" s="111"/>
      <c r="N1785" s="111"/>
      <c r="O1785" s="111"/>
      <c r="P1785" s="111"/>
      <c r="Q1785" s="111"/>
      <c r="R1785" s="111"/>
    </row>
    <row r="1786" spans="2:18" s="108" customFormat="1">
      <c r="B1786" s="109"/>
      <c r="C1786" s="110"/>
      <c r="D1786" s="109"/>
      <c r="E1786" s="109"/>
      <c r="F1786" s="97"/>
      <c r="G1786" s="109"/>
      <c r="H1786" s="109"/>
      <c r="I1786" s="97"/>
      <c r="J1786" s="97"/>
      <c r="K1786" s="83"/>
      <c r="L1786" s="111"/>
      <c r="M1786" s="111"/>
      <c r="N1786" s="111"/>
      <c r="O1786" s="111"/>
      <c r="P1786" s="111"/>
      <c r="Q1786" s="111"/>
      <c r="R1786" s="111"/>
    </row>
    <row r="1787" spans="2:18" s="108" customFormat="1">
      <c r="B1787" s="109"/>
      <c r="C1787" s="110"/>
      <c r="D1787" s="109"/>
      <c r="E1787" s="109"/>
      <c r="F1787" s="97"/>
      <c r="G1787" s="109"/>
      <c r="H1787" s="109"/>
      <c r="I1787" s="97"/>
      <c r="J1787" s="97"/>
      <c r="K1787" s="83"/>
      <c r="L1787" s="111"/>
      <c r="M1787" s="111"/>
      <c r="N1787" s="111"/>
      <c r="O1787" s="111"/>
      <c r="P1787" s="111"/>
      <c r="Q1787" s="111"/>
      <c r="R1787" s="111"/>
    </row>
    <row r="1788" spans="2:18" s="108" customFormat="1">
      <c r="B1788" s="109"/>
      <c r="C1788" s="110"/>
      <c r="D1788" s="109"/>
      <c r="E1788" s="109"/>
      <c r="F1788" s="97"/>
      <c r="G1788" s="109"/>
      <c r="H1788" s="109"/>
      <c r="I1788" s="97"/>
      <c r="J1788" s="97"/>
      <c r="K1788" s="83"/>
      <c r="L1788" s="111"/>
      <c r="M1788" s="111"/>
      <c r="N1788" s="111"/>
      <c r="O1788" s="111"/>
      <c r="P1788" s="111"/>
      <c r="Q1788" s="111"/>
      <c r="R1788" s="111"/>
    </row>
    <row r="1789" spans="2:18" s="108" customFormat="1">
      <c r="B1789" s="109"/>
      <c r="C1789" s="110"/>
      <c r="D1789" s="109"/>
      <c r="E1789" s="109"/>
      <c r="F1789" s="97"/>
      <c r="G1789" s="109"/>
      <c r="H1789" s="109"/>
      <c r="I1789" s="97"/>
      <c r="J1789" s="97"/>
      <c r="K1789" s="83"/>
      <c r="L1789" s="111"/>
      <c r="M1789" s="111"/>
      <c r="N1789" s="111"/>
      <c r="O1789" s="111"/>
      <c r="P1789" s="111"/>
      <c r="Q1789" s="111"/>
      <c r="R1789" s="111"/>
    </row>
    <row r="1790" spans="2:18" s="108" customFormat="1">
      <c r="B1790" s="109"/>
      <c r="C1790" s="110"/>
      <c r="D1790" s="109"/>
      <c r="E1790" s="109"/>
      <c r="F1790" s="97"/>
      <c r="G1790" s="109"/>
      <c r="H1790" s="109"/>
      <c r="I1790" s="97"/>
      <c r="J1790" s="97"/>
      <c r="K1790" s="83"/>
      <c r="L1790" s="111"/>
      <c r="M1790" s="111"/>
      <c r="N1790" s="111"/>
      <c r="O1790" s="111"/>
      <c r="P1790" s="111"/>
      <c r="Q1790" s="111"/>
      <c r="R1790" s="111"/>
    </row>
    <row r="1791" spans="2:18" s="108" customFormat="1">
      <c r="B1791" s="109"/>
      <c r="C1791" s="110"/>
      <c r="D1791" s="109"/>
      <c r="E1791" s="109"/>
      <c r="F1791" s="97"/>
      <c r="G1791" s="109"/>
      <c r="H1791" s="109"/>
      <c r="I1791" s="97"/>
      <c r="J1791" s="97"/>
      <c r="K1791" s="83"/>
      <c r="L1791" s="111"/>
      <c r="M1791" s="111"/>
      <c r="N1791" s="111"/>
      <c r="O1791" s="111"/>
      <c r="P1791" s="111"/>
      <c r="Q1791" s="111"/>
      <c r="R1791" s="111"/>
    </row>
    <row r="1792" spans="2:18" s="108" customFormat="1">
      <c r="B1792" s="109"/>
      <c r="C1792" s="110"/>
      <c r="D1792" s="109"/>
      <c r="E1792" s="109"/>
      <c r="F1792" s="97"/>
      <c r="G1792" s="109"/>
      <c r="H1792" s="109"/>
      <c r="I1792" s="97"/>
      <c r="J1792" s="97"/>
      <c r="K1792" s="83"/>
      <c r="L1792" s="111"/>
      <c r="M1792" s="111"/>
      <c r="N1792" s="111"/>
      <c r="O1792" s="111"/>
      <c r="P1792" s="111"/>
      <c r="Q1792" s="111"/>
      <c r="R1792" s="111"/>
    </row>
    <row r="1793" spans="2:18" s="108" customFormat="1">
      <c r="B1793" s="109"/>
      <c r="C1793" s="110"/>
      <c r="D1793" s="109"/>
      <c r="E1793" s="109"/>
      <c r="F1793" s="97"/>
      <c r="G1793" s="109"/>
      <c r="H1793" s="109"/>
      <c r="I1793" s="97"/>
      <c r="J1793" s="97"/>
      <c r="K1793" s="83"/>
      <c r="L1793" s="111"/>
      <c r="M1793" s="111"/>
      <c r="N1793" s="111"/>
      <c r="O1793" s="111"/>
      <c r="P1793" s="111"/>
      <c r="Q1793" s="111"/>
      <c r="R1793" s="111"/>
    </row>
    <row r="1794" spans="2:18" s="108" customFormat="1">
      <c r="B1794" s="109"/>
      <c r="C1794" s="110"/>
      <c r="D1794" s="109"/>
      <c r="E1794" s="109"/>
      <c r="F1794" s="97"/>
      <c r="G1794" s="109"/>
      <c r="H1794" s="109"/>
      <c r="I1794" s="97"/>
      <c r="J1794" s="97"/>
      <c r="K1794" s="83"/>
      <c r="L1794" s="111"/>
      <c r="M1794" s="111"/>
      <c r="N1794" s="111"/>
      <c r="O1794" s="111"/>
      <c r="P1794" s="111"/>
      <c r="Q1794" s="111"/>
      <c r="R1794" s="111"/>
    </row>
    <row r="1795" spans="2:18" s="108" customFormat="1">
      <c r="B1795" s="109"/>
      <c r="C1795" s="110"/>
      <c r="D1795" s="109"/>
      <c r="E1795" s="109"/>
      <c r="F1795" s="97"/>
      <c r="G1795" s="109"/>
      <c r="H1795" s="109"/>
      <c r="I1795" s="97"/>
      <c r="J1795" s="97"/>
      <c r="K1795" s="83"/>
      <c r="L1795" s="111"/>
      <c r="M1795" s="111"/>
      <c r="N1795" s="111"/>
      <c r="O1795" s="111"/>
      <c r="P1795" s="111"/>
      <c r="Q1795" s="111"/>
      <c r="R1795" s="111"/>
    </row>
    <row r="1796" spans="2:18" s="108" customFormat="1">
      <c r="B1796" s="109"/>
      <c r="C1796" s="110"/>
      <c r="D1796" s="109"/>
      <c r="E1796" s="109"/>
      <c r="F1796" s="97"/>
      <c r="G1796" s="109"/>
      <c r="H1796" s="109"/>
      <c r="I1796" s="97"/>
      <c r="J1796" s="97"/>
      <c r="K1796" s="83"/>
      <c r="L1796" s="111"/>
      <c r="M1796" s="111"/>
      <c r="N1796" s="111"/>
      <c r="O1796" s="111"/>
      <c r="P1796" s="111"/>
      <c r="Q1796" s="111"/>
      <c r="R1796" s="111"/>
    </row>
    <row r="1797" spans="2:18" s="108" customFormat="1">
      <c r="B1797" s="109"/>
      <c r="C1797" s="110"/>
      <c r="D1797" s="109"/>
      <c r="E1797" s="109"/>
      <c r="F1797" s="97"/>
      <c r="G1797" s="109"/>
      <c r="H1797" s="109"/>
      <c r="I1797" s="97"/>
      <c r="J1797" s="97"/>
      <c r="K1797" s="83"/>
      <c r="L1797" s="111"/>
      <c r="M1797" s="111"/>
      <c r="N1797" s="111"/>
      <c r="O1797" s="111"/>
      <c r="P1797" s="111"/>
      <c r="Q1797" s="111"/>
      <c r="R1797" s="111"/>
    </row>
    <row r="1798" spans="2:18" s="108" customFormat="1">
      <c r="B1798" s="109"/>
      <c r="C1798" s="110"/>
      <c r="D1798" s="109"/>
      <c r="E1798" s="109"/>
      <c r="F1798" s="97"/>
      <c r="G1798" s="109"/>
      <c r="H1798" s="109"/>
      <c r="I1798" s="97"/>
      <c r="J1798" s="97"/>
      <c r="K1798" s="83"/>
      <c r="L1798" s="111"/>
      <c r="M1798" s="111"/>
      <c r="N1798" s="111"/>
      <c r="O1798" s="111"/>
      <c r="P1798" s="111"/>
      <c r="Q1798" s="111"/>
      <c r="R1798" s="111"/>
    </row>
    <row r="1799" spans="2:18" s="108" customFormat="1">
      <c r="B1799" s="109"/>
      <c r="C1799" s="110"/>
      <c r="D1799" s="109"/>
      <c r="E1799" s="109"/>
      <c r="F1799" s="97"/>
      <c r="G1799" s="109"/>
      <c r="H1799" s="109"/>
      <c r="I1799" s="97"/>
      <c r="J1799" s="97"/>
      <c r="K1799" s="83"/>
      <c r="L1799" s="111"/>
      <c r="M1799" s="111"/>
      <c r="N1799" s="111"/>
      <c r="O1799" s="111"/>
      <c r="P1799" s="111"/>
      <c r="Q1799" s="111"/>
      <c r="R1799" s="111"/>
    </row>
    <row r="1800" spans="2:18" s="108" customFormat="1">
      <c r="B1800" s="109"/>
      <c r="C1800" s="110"/>
      <c r="D1800" s="109"/>
      <c r="E1800" s="109"/>
      <c r="F1800" s="97"/>
      <c r="G1800" s="109"/>
      <c r="H1800" s="109"/>
      <c r="I1800" s="97"/>
      <c r="J1800" s="97"/>
      <c r="K1800" s="83"/>
      <c r="L1800" s="111"/>
      <c r="M1800" s="111"/>
      <c r="N1800" s="111"/>
      <c r="O1800" s="111"/>
      <c r="P1800" s="111"/>
      <c r="Q1800" s="111"/>
      <c r="R1800" s="111"/>
    </row>
    <row r="1801" spans="2:18" s="108" customFormat="1">
      <c r="B1801" s="109"/>
      <c r="C1801" s="110"/>
      <c r="D1801" s="109"/>
      <c r="E1801" s="109"/>
      <c r="F1801" s="97"/>
      <c r="G1801" s="109"/>
      <c r="H1801" s="109"/>
      <c r="I1801" s="97"/>
      <c r="J1801" s="97"/>
      <c r="K1801" s="83"/>
      <c r="L1801" s="111"/>
      <c r="M1801" s="111"/>
      <c r="N1801" s="111"/>
      <c r="O1801" s="111"/>
      <c r="P1801" s="111"/>
      <c r="Q1801" s="111"/>
      <c r="R1801" s="111"/>
    </row>
    <row r="1802" spans="2:18" s="108" customFormat="1">
      <c r="B1802" s="109"/>
      <c r="C1802" s="110"/>
      <c r="D1802" s="109"/>
      <c r="E1802" s="109"/>
      <c r="F1802" s="97"/>
      <c r="G1802" s="109"/>
      <c r="H1802" s="109"/>
      <c r="I1802" s="97"/>
      <c r="J1802" s="97"/>
      <c r="K1802" s="83"/>
      <c r="L1802" s="111"/>
      <c r="M1802" s="111"/>
      <c r="N1802" s="111"/>
      <c r="O1802" s="111"/>
      <c r="P1802" s="111"/>
      <c r="Q1802" s="111"/>
      <c r="R1802" s="111"/>
    </row>
    <row r="1803" spans="2:18" s="108" customFormat="1">
      <c r="B1803" s="109"/>
      <c r="C1803" s="110"/>
      <c r="D1803" s="109"/>
      <c r="E1803" s="109"/>
      <c r="F1803" s="97"/>
      <c r="G1803" s="109"/>
      <c r="H1803" s="109"/>
      <c r="I1803" s="97"/>
      <c r="J1803" s="97"/>
      <c r="K1803" s="83"/>
      <c r="L1803" s="111"/>
      <c r="M1803" s="111"/>
      <c r="N1803" s="111"/>
      <c r="O1803" s="111"/>
      <c r="P1803" s="111"/>
      <c r="Q1803" s="111"/>
      <c r="R1803" s="111"/>
    </row>
    <row r="1804" spans="2:18" s="108" customFormat="1">
      <c r="B1804" s="109"/>
      <c r="C1804" s="110"/>
      <c r="D1804" s="109"/>
      <c r="E1804" s="109"/>
      <c r="F1804" s="97"/>
      <c r="G1804" s="109"/>
      <c r="H1804" s="109"/>
      <c r="I1804" s="97"/>
      <c r="J1804" s="97"/>
      <c r="K1804" s="83"/>
      <c r="L1804" s="111"/>
      <c r="M1804" s="111"/>
      <c r="N1804" s="111"/>
      <c r="O1804" s="111"/>
      <c r="P1804" s="111"/>
      <c r="Q1804" s="111"/>
      <c r="R1804" s="111"/>
    </row>
    <row r="1805" spans="2:18" s="108" customFormat="1">
      <c r="B1805" s="109"/>
      <c r="C1805" s="110"/>
      <c r="D1805" s="109"/>
      <c r="E1805" s="109"/>
      <c r="F1805" s="97"/>
      <c r="G1805" s="109"/>
      <c r="H1805" s="109"/>
      <c r="I1805" s="97"/>
      <c r="J1805" s="97"/>
      <c r="K1805" s="83"/>
      <c r="L1805" s="111"/>
      <c r="M1805" s="111"/>
      <c r="N1805" s="111"/>
      <c r="O1805" s="111"/>
      <c r="P1805" s="111"/>
      <c r="Q1805" s="111"/>
      <c r="R1805" s="111"/>
    </row>
    <row r="1806" spans="2:18" s="108" customFormat="1">
      <c r="B1806" s="109"/>
      <c r="C1806" s="110"/>
      <c r="D1806" s="109"/>
      <c r="E1806" s="109"/>
      <c r="F1806" s="97"/>
      <c r="G1806" s="109"/>
      <c r="H1806" s="109"/>
      <c r="I1806" s="97"/>
      <c r="J1806" s="97"/>
      <c r="K1806" s="83"/>
      <c r="L1806" s="111"/>
      <c r="M1806" s="111"/>
      <c r="N1806" s="111"/>
      <c r="O1806" s="111"/>
      <c r="P1806" s="111"/>
      <c r="Q1806" s="111"/>
      <c r="R1806" s="111"/>
    </row>
    <row r="1807" spans="2:18" s="108" customFormat="1">
      <c r="B1807" s="109"/>
      <c r="C1807" s="110"/>
      <c r="D1807" s="109"/>
      <c r="E1807" s="109"/>
      <c r="F1807" s="97"/>
      <c r="G1807" s="109"/>
      <c r="H1807" s="109"/>
      <c r="I1807" s="97"/>
      <c r="J1807" s="97"/>
      <c r="K1807" s="83"/>
      <c r="L1807" s="111"/>
      <c r="M1807" s="111"/>
      <c r="N1807" s="111"/>
      <c r="O1807" s="111"/>
      <c r="P1807" s="111"/>
      <c r="Q1807" s="111"/>
      <c r="R1807" s="111"/>
    </row>
    <row r="1808" spans="2:18" s="108" customFormat="1">
      <c r="B1808" s="109"/>
      <c r="C1808" s="110"/>
      <c r="D1808" s="109"/>
      <c r="E1808" s="109"/>
      <c r="F1808" s="97"/>
      <c r="G1808" s="109"/>
      <c r="H1808" s="109"/>
      <c r="I1808" s="97"/>
      <c r="J1808" s="97"/>
      <c r="K1808" s="83"/>
      <c r="L1808" s="111"/>
      <c r="M1808" s="111"/>
      <c r="N1808" s="111"/>
      <c r="O1808" s="111"/>
      <c r="P1808" s="111"/>
      <c r="Q1808" s="111"/>
      <c r="R1808" s="111"/>
    </row>
    <row r="1809" spans="2:18" s="108" customFormat="1">
      <c r="B1809" s="109"/>
      <c r="C1809" s="110"/>
      <c r="D1809" s="109"/>
      <c r="E1809" s="109"/>
      <c r="F1809" s="97"/>
      <c r="G1809" s="109"/>
      <c r="H1809" s="109"/>
      <c r="I1809" s="97"/>
      <c r="J1809" s="97"/>
      <c r="K1809" s="83"/>
      <c r="L1809" s="111"/>
      <c r="M1809" s="111"/>
      <c r="N1809" s="111"/>
      <c r="O1809" s="111"/>
      <c r="P1809" s="111"/>
      <c r="Q1809" s="111"/>
      <c r="R1809" s="111"/>
    </row>
    <row r="1810" spans="2:18" s="108" customFormat="1">
      <c r="B1810" s="109"/>
      <c r="C1810" s="110"/>
      <c r="D1810" s="109"/>
      <c r="E1810" s="109"/>
      <c r="F1810" s="97"/>
      <c r="G1810" s="109"/>
      <c r="H1810" s="109"/>
      <c r="I1810" s="97"/>
      <c r="J1810" s="97"/>
      <c r="K1810" s="83"/>
      <c r="L1810" s="111"/>
      <c r="M1810" s="111"/>
      <c r="N1810" s="111"/>
      <c r="O1810" s="111"/>
      <c r="P1810" s="111"/>
      <c r="Q1810" s="111"/>
      <c r="R1810" s="111"/>
    </row>
    <row r="1811" spans="2:18" s="108" customFormat="1">
      <c r="B1811" s="109"/>
      <c r="C1811" s="110"/>
      <c r="D1811" s="109"/>
      <c r="E1811" s="109"/>
      <c r="F1811" s="97"/>
      <c r="G1811" s="109"/>
      <c r="H1811" s="109"/>
      <c r="I1811" s="97"/>
      <c r="J1811" s="97"/>
      <c r="K1811" s="83"/>
      <c r="L1811" s="111"/>
      <c r="M1811" s="111"/>
      <c r="N1811" s="111"/>
      <c r="O1811" s="111"/>
      <c r="P1811" s="111"/>
      <c r="Q1811" s="111"/>
      <c r="R1811" s="111"/>
    </row>
    <row r="1812" spans="2:18" s="108" customFormat="1">
      <c r="B1812" s="109"/>
      <c r="C1812" s="110"/>
      <c r="D1812" s="109"/>
      <c r="E1812" s="109"/>
      <c r="F1812" s="97"/>
      <c r="G1812" s="109"/>
      <c r="H1812" s="109"/>
      <c r="I1812" s="97"/>
      <c r="J1812" s="97"/>
      <c r="K1812" s="83"/>
      <c r="L1812" s="111"/>
      <c r="M1812" s="111"/>
      <c r="N1812" s="111"/>
      <c r="O1812" s="111"/>
      <c r="P1812" s="111"/>
      <c r="Q1812" s="111"/>
      <c r="R1812" s="111"/>
    </row>
    <row r="1813" spans="2:18" s="108" customFormat="1">
      <c r="B1813" s="109"/>
      <c r="C1813" s="110"/>
      <c r="D1813" s="109"/>
      <c r="E1813" s="109"/>
      <c r="F1813" s="97"/>
      <c r="G1813" s="109"/>
      <c r="H1813" s="109"/>
      <c r="I1813" s="97"/>
      <c r="J1813" s="97"/>
      <c r="K1813" s="83"/>
      <c r="L1813" s="111"/>
      <c r="M1813" s="111"/>
      <c r="N1813" s="111"/>
      <c r="O1813" s="111"/>
      <c r="P1813" s="111"/>
      <c r="Q1813" s="111"/>
      <c r="R1813" s="111"/>
    </row>
    <row r="1814" spans="2:18" s="108" customFormat="1">
      <c r="B1814" s="109"/>
      <c r="C1814" s="110"/>
      <c r="D1814" s="109"/>
      <c r="E1814" s="109"/>
      <c r="F1814" s="97"/>
      <c r="G1814" s="109"/>
      <c r="H1814" s="109"/>
      <c r="I1814" s="97"/>
      <c r="J1814" s="97"/>
      <c r="K1814" s="83"/>
      <c r="L1814" s="111"/>
      <c r="M1814" s="111"/>
      <c r="N1814" s="111"/>
      <c r="O1814" s="111"/>
      <c r="P1814" s="111"/>
      <c r="Q1814" s="111"/>
      <c r="R1814" s="111"/>
    </row>
    <row r="1815" spans="2:18" s="108" customFormat="1">
      <c r="B1815" s="109"/>
      <c r="C1815" s="110"/>
      <c r="D1815" s="109"/>
      <c r="E1815" s="109"/>
      <c r="F1815" s="97"/>
      <c r="G1815" s="109"/>
      <c r="H1815" s="109"/>
      <c r="I1815" s="97"/>
      <c r="J1815" s="97"/>
      <c r="K1815" s="83"/>
      <c r="L1815" s="111"/>
      <c r="M1815" s="111"/>
      <c r="N1815" s="111"/>
      <c r="O1815" s="111"/>
      <c r="P1815" s="111"/>
      <c r="Q1815" s="111"/>
      <c r="R1815" s="111"/>
    </row>
    <row r="1816" spans="2:18" s="108" customFormat="1">
      <c r="B1816" s="109"/>
      <c r="C1816" s="110"/>
      <c r="D1816" s="109"/>
      <c r="E1816" s="109"/>
      <c r="F1816" s="97"/>
      <c r="G1816" s="109"/>
      <c r="H1816" s="109"/>
      <c r="I1816" s="97"/>
      <c r="J1816" s="97"/>
      <c r="K1816" s="83"/>
      <c r="L1816" s="111"/>
      <c r="M1816" s="111"/>
      <c r="N1816" s="111"/>
      <c r="O1816" s="111"/>
      <c r="P1816" s="111"/>
      <c r="Q1816" s="111"/>
      <c r="R1816" s="111"/>
    </row>
    <row r="1817" spans="2:18" s="108" customFormat="1">
      <c r="B1817" s="109"/>
      <c r="C1817" s="110"/>
      <c r="D1817" s="109"/>
      <c r="E1817" s="109"/>
      <c r="F1817" s="97"/>
      <c r="G1817" s="109"/>
      <c r="H1817" s="109"/>
      <c r="I1817" s="97"/>
      <c r="J1817" s="97"/>
      <c r="K1817" s="83"/>
      <c r="L1817" s="111"/>
      <c r="M1817" s="111"/>
      <c r="N1817" s="111"/>
      <c r="O1817" s="111"/>
      <c r="P1817" s="111"/>
      <c r="Q1817" s="111"/>
      <c r="R1817" s="111"/>
    </row>
    <row r="1818" spans="2:18" s="108" customFormat="1">
      <c r="B1818" s="109"/>
      <c r="C1818" s="110"/>
      <c r="D1818" s="109"/>
      <c r="E1818" s="109"/>
      <c r="F1818" s="97"/>
      <c r="G1818" s="109"/>
      <c r="H1818" s="109"/>
      <c r="I1818" s="97"/>
      <c r="J1818" s="97"/>
      <c r="K1818" s="83"/>
      <c r="L1818" s="111"/>
      <c r="M1818" s="111"/>
      <c r="N1818" s="111"/>
      <c r="O1818" s="111"/>
      <c r="P1818" s="111"/>
      <c r="Q1818" s="111"/>
      <c r="R1818" s="111"/>
    </row>
    <row r="1819" spans="2:18" s="108" customFormat="1">
      <c r="B1819" s="109"/>
      <c r="C1819" s="110"/>
      <c r="D1819" s="109"/>
      <c r="E1819" s="109"/>
      <c r="F1819" s="97"/>
      <c r="G1819" s="109"/>
      <c r="H1819" s="109"/>
      <c r="I1819" s="97"/>
      <c r="J1819" s="97"/>
      <c r="K1819" s="83"/>
      <c r="L1819" s="111"/>
      <c r="M1819" s="111"/>
      <c r="N1819" s="111"/>
      <c r="O1819" s="111"/>
      <c r="P1819" s="111"/>
      <c r="Q1819" s="111"/>
      <c r="R1819" s="111"/>
    </row>
    <row r="1820" spans="2:18" s="108" customFormat="1">
      <c r="B1820" s="109"/>
      <c r="C1820" s="110"/>
      <c r="D1820" s="109"/>
      <c r="E1820" s="109"/>
      <c r="F1820" s="97"/>
      <c r="G1820" s="109"/>
      <c r="H1820" s="109"/>
      <c r="I1820" s="97"/>
      <c r="J1820" s="97"/>
      <c r="K1820" s="83"/>
      <c r="L1820" s="111"/>
      <c r="M1820" s="111"/>
      <c r="N1820" s="111"/>
      <c r="O1820" s="111"/>
      <c r="P1820" s="111"/>
      <c r="Q1820" s="111"/>
      <c r="R1820" s="111"/>
    </row>
    <row r="1821" spans="2:18" s="108" customFormat="1">
      <c r="B1821" s="109"/>
      <c r="C1821" s="110"/>
      <c r="D1821" s="109"/>
      <c r="E1821" s="109"/>
      <c r="F1821" s="97"/>
      <c r="G1821" s="109"/>
      <c r="H1821" s="109"/>
      <c r="I1821" s="97"/>
      <c r="J1821" s="97"/>
      <c r="K1821" s="83"/>
      <c r="L1821" s="111"/>
      <c r="M1821" s="111"/>
      <c r="N1821" s="111"/>
      <c r="O1821" s="111"/>
      <c r="P1821" s="111"/>
      <c r="Q1821" s="111"/>
      <c r="R1821" s="111"/>
    </row>
    <row r="1822" spans="2:18" s="108" customFormat="1">
      <c r="B1822" s="109"/>
      <c r="C1822" s="110"/>
      <c r="D1822" s="109"/>
      <c r="E1822" s="109"/>
      <c r="F1822" s="97"/>
      <c r="G1822" s="109"/>
      <c r="H1822" s="109"/>
      <c r="I1822" s="97"/>
      <c r="J1822" s="97"/>
      <c r="K1822" s="83"/>
      <c r="L1822" s="111"/>
      <c r="M1822" s="111"/>
      <c r="N1822" s="111"/>
      <c r="O1822" s="111"/>
      <c r="P1822" s="111"/>
      <c r="Q1822" s="111"/>
      <c r="R1822" s="111"/>
    </row>
    <row r="1823" spans="2:18" s="108" customFormat="1">
      <c r="B1823" s="109"/>
      <c r="C1823" s="110"/>
      <c r="D1823" s="109"/>
      <c r="E1823" s="109"/>
      <c r="F1823" s="97"/>
      <c r="G1823" s="109"/>
      <c r="H1823" s="109"/>
      <c r="I1823" s="97"/>
      <c r="J1823" s="97"/>
      <c r="K1823" s="83"/>
      <c r="L1823" s="111"/>
      <c r="M1823" s="111"/>
      <c r="N1823" s="111"/>
      <c r="O1823" s="111"/>
      <c r="P1823" s="111"/>
      <c r="Q1823" s="111"/>
      <c r="R1823" s="111"/>
    </row>
    <row r="1824" spans="2:18" s="108" customFormat="1">
      <c r="B1824" s="109"/>
      <c r="C1824" s="110"/>
      <c r="D1824" s="109"/>
      <c r="E1824" s="109"/>
      <c r="F1824" s="97"/>
      <c r="G1824" s="109"/>
      <c r="H1824" s="109"/>
      <c r="I1824" s="97"/>
      <c r="J1824" s="97"/>
      <c r="K1824" s="83"/>
      <c r="L1824" s="111"/>
      <c r="M1824" s="111"/>
      <c r="N1824" s="111"/>
      <c r="O1824" s="111"/>
      <c r="P1824" s="111"/>
      <c r="Q1824" s="111"/>
      <c r="R1824" s="111"/>
    </row>
    <row r="1825" spans="2:18" s="108" customFormat="1">
      <c r="B1825" s="109"/>
      <c r="C1825" s="110"/>
      <c r="D1825" s="109"/>
      <c r="E1825" s="109"/>
      <c r="F1825" s="97"/>
      <c r="G1825" s="109"/>
      <c r="H1825" s="109"/>
      <c r="I1825" s="97"/>
      <c r="J1825" s="97"/>
      <c r="K1825" s="83"/>
      <c r="L1825" s="111"/>
      <c r="M1825" s="111"/>
      <c r="N1825" s="111"/>
      <c r="O1825" s="111"/>
      <c r="P1825" s="111"/>
      <c r="Q1825" s="111"/>
      <c r="R1825" s="111"/>
    </row>
    <row r="1826" spans="2:18" s="108" customFormat="1">
      <c r="B1826" s="109"/>
      <c r="C1826" s="110"/>
      <c r="D1826" s="109"/>
      <c r="E1826" s="109"/>
      <c r="F1826" s="97"/>
      <c r="G1826" s="109"/>
      <c r="H1826" s="109"/>
      <c r="I1826" s="97"/>
      <c r="J1826" s="97"/>
      <c r="K1826" s="83"/>
      <c r="L1826" s="111"/>
      <c r="M1826" s="111"/>
      <c r="N1826" s="111"/>
      <c r="O1826" s="111"/>
      <c r="P1826" s="111"/>
      <c r="Q1826" s="111"/>
      <c r="R1826" s="111"/>
    </row>
    <row r="1827" spans="2:18" s="108" customFormat="1">
      <c r="B1827" s="109"/>
      <c r="C1827" s="110"/>
      <c r="D1827" s="109"/>
      <c r="E1827" s="109"/>
      <c r="F1827" s="97"/>
      <c r="G1827" s="109"/>
      <c r="H1827" s="109"/>
      <c r="I1827" s="97"/>
      <c r="J1827" s="97"/>
      <c r="K1827" s="83"/>
      <c r="L1827" s="111"/>
      <c r="M1827" s="111"/>
      <c r="N1827" s="111"/>
      <c r="O1827" s="111"/>
      <c r="P1827" s="111"/>
      <c r="Q1827" s="111"/>
      <c r="R1827" s="111"/>
    </row>
    <row r="1828" spans="2:18" s="108" customFormat="1">
      <c r="B1828" s="109"/>
      <c r="C1828" s="110"/>
      <c r="D1828" s="109"/>
      <c r="E1828" s="109"/>
      <c r="F1828" s="97"/>
      <c r="G1828" s="109"/>
      <c r="H1828" s="109"/>
      <c r="I1828" s="97"/>
      <c r="J1828" s="97"/>
      <c r="K1828" s="83"/>
      <c r="L1828" s="111"/>
      <c r="M1828" s="111"/>
      <c r="N1828" s="111"/>
      <c r="O1828" s="111"/>
      <c r="P1828" s="111"/>
      <c r="Q1828" s="111"/>
      <c r="R1828" s="111"/>
    </row>
    <row r="1829" spans="2:18" s="108" customFormat="1">
      <c r="B1829" s="109"/>
      <c r="C1829" s="110"/>
      <c r="D1829" s="109"/>
      <c r="E1829" s="109"/>
      <c r="F1829" s="97"/>
      <c r="G1829" s="109"/>
      <c r="H1829" s="109"/>
      <c r="I1829" s="97"/>
      <c r="J1829" s="97"/>
      <c r="K1829" s="83"/>
      <c r="L1829" s="111"/>
      <c r="M1829" s="111"/>
      <c r="N1829" s="111"/>
      <c r="O1829" s="111"/>
      <c r="P1829" s="111"/>
      <c r="Q1829" s="111"/>
      <c r="R1829" s="111"/>
    </row>
    <row r="1830" spans="2:18" s="108" customFormat="1">
      <c r="B1830" s="109"/>
      <c r="C1830" s="110"/>
      <c r="D1830" s="109"/>
      <c r="E1830" s="109"/>
      <c r="F1830" s="97"/>
      <c r="G1830" s="109"/>
      <c r="H1830" s="109"/>
      <c r="I1830" s="97"/>
      <c r="J1830" s="97"/>
      <c r="K1830" s="83"/>
      <c r="L1830" s="111"/>
      <c r="M1830" s="111"/>
      <c r="N1830" s="111"/>
      <c r="O1830" s="111"/>
      <c r="P1830" s="111"/>
      <c r="Q1830" s="111"/>
      <c r="R1830" s="111"/>
    </row>
    <row r="1831" spans="2:18" s="108" customFormat="1">
      <c r="B1831" s="109"/>
      <c r="C1831" s="110"/>
      <c r="D1831" s="109"/>
      <c r="E1831" s="109"/>
      <c r="F1831" s="97"/>
      <c r="G1831" s="109"/>
      <c r="H1831" s="109"/>
      <c r="I1831" s="97"/>
      <c r="J1831" s="97"/>
      <c r="K1831" s="83"/>
      <c r="L1831" s="111"/>
      <c r="M1831" s="111"/>
      <c r="N1831" s="111"/>
      <c r="O1831" s="111"/>
      <c r="P1831" s="111"/>
      <c r="Q1831" s="111"/>
      <c r="R1831" s="111"/>
    </row>
    <row r="1832" spans="2:18" s="108" customFormat="1">
      <c r="B1832" s="109"/>
      <c r="C1832" s="110"/>
      <c r="D1832" s="109"/>
      <c r="E1832" s="109"/>
      <c r="F1832" s="97"/>
      <c r="G1832" s="109"/>
      <c r="H1832" s="109"/>
      <c r="I1832" s="97"/>
      <c r="J1832" s="97"/>
      <c r="K1832" s="83"/>
      <c r="L1832" s="111"/>
      <c r="M1832" s="111"/>
      <c r="N1832" s="111"/>
      <c r="O1832" s="111"/>
      <c r="P1832" s="111"/>
      <c r="Q1832" s="111"/>
      <c r="R1832" s="111"/>
    </row>
    <row r="1833" spans="2:18" s="108" customFormat="1">
      <c r="B1833" s="109"/>
      <c r="C1833" s="110"/>
      <c r="D1833" s="109"/>
      <c r="E1833" s="109"/>
      <c r="F1833" s="97"/>
      <c r="G1833" s="109"/>
      <c r="H1833" s="109"/>
      <c r="I1833" s="97"/>
      <c r="J1833" s="97"/>
      <c r="K1833" s="83"/>
      <c r="L1833" s="111"/>
      <c r="M1833" s="111"/>
      <c r="N1833" s="111"/>
      <c r="O1833" s="111"/>
      <c r="P1833" s="111"/>
      <c r="Q1833" s="111"/>
      <c r="R1833" s="111"/>
    </row>
    <row r="1834" spans="2:18" s="108" customFormat="1">
      <c r="B1834" s="109"/>
      <c r="C1834" s="110"/>
      <c r="D1834" s="109"/>
      <c r="E1834" s="109"/>
      <c r="F1834" s="97"/>
      <c r="G1834" s="109"/>
      <c r="H1834" s="109"/>
      <c r="I1834" s="97"/>
      <c r="J1834" s="97"/>
      <c r="K1834" s="83"/>
      <c r="L1834" s="111"/>
      <c r="M1834" s="111"/>
      <c r="N1834" s="111"/>
      <c r="O1834" s="111"/>
      <c r="P1834" s="111"/>
      <c r="Q1834" s="111"/>
      <c r="R1834" s="111"/>
    </row>
    <row r="1835" spans="2:18" s="108" customFormat="1">
      <c r="B1835" s="109"/>
      <c r="C1835" s="110"/>
      <c r="D1835" s="109"/>
      <c r="E1835" s="109"/>
      <c r="F1835" s="97"/>
      <c r="G1835" s="109"/>
      <c r="H1835" s="109"/>
      <c r="I1835" s="97"/>
      <c r="J1835" s="97"/>
      <c r="K1835" s="83"/>
      <c r="L1835" s="111"/>
      <c r="M1835" s="111"/>
      <c r="N1835" s="111"/>
      <c r="O1835" s="111"/>
      <c r="P1835" s="111"/>
      <c r="Q1835" s="111"/>
      <c r="R1835" s="111"/>
    </row>
    <row r="1836" spans="2:18" s="108" customFormat="1">
      <c r="B1836" s="109"/>
      <c r="C1836" s="110"/>
      <c r="D1836" s="109"/>
      <c r="E1836" s="109"/>
      <c r="F1836" s="97"/>
      <c r="G1836" s="109"/>
      <c r="H1836" s="109"/>
      <c r="I1836" s="97"/>
      <c r="J1836" s="97"/>
      <c r="K1836" s="83"/>
      <c r="L1836" s="111"/>
      <c r="M1836" s="111"/>
      <c r="N1836" s="111"/>
      <c r="O1836" s="111"/>
      <c r="P1836" s="111"/>
      <c r="Q1836" s="111"/>
      <c r="R1836" s="111"/>
    </row>
    <row r="1837" spans="2:18" s="108" customFormat="1">
      <c r="B1837" s="109"/>
      <c r="C1837" s="110"/>
      <c r="D1837" s="109"/>
      <c r="E1837" s="109"/>
      <c r="F1837" s="97"/>
      <c r="G1837" s="109"/>
      <c r="H1837" s="109"/>
      <c r="I1837" s="97"/>
      <c r="J1837" s="97"/>
      <c r="K1837" s="83"/>
      <c r="L1837" s="111"/>
      <c r="M1837" s="111"/>
      <c r="N1837" s="111"/>
      <c r="O1837" s="111"/>
      <c r="P1837" s="111"/>
      <c r="Q1837" s="111"/>
      <c r="R1837" s="111"/>
    </row>
    <row r="1838" spans="2:18" s="108" customFormat="1">
      <c r="B1838" s="109"/>
      <c r="C1838" s="110"/>
      <c r="D1838" s="109"/>
      <c r="E1838" s="109"/>
      <c r="F1838" s="97"/>
      <c r="G1838" s="109"/>
      <c r="H1838" s="109"/>
      <c r="I1838" s="97"/>
      <c r="J1838" s="97"/>
      <c r="K1838" s="83"/>
      <c r="L1838" s="111"/>
      <c r="M1838" s="111"/>
      <c r="N1838" s="111"/>
      <c r="O1838" s="111"/>
      <c r="P1838" s="111"/>
      <c r="Q1838" s="111"/>
      <c r="R1838" s="111"/>
    </row>
    <row r="1839" spans="2:18" s="108" customFormat="1">
      <c r="B1839" s="109"/>
      <c r="C1839" s="110"/>
      <c r="D1839" s="109"/>
      <c r="E1839" s="109"/>
      <c r="F1839" s="97"/>
      <c r="G1839" s="109"/>
      <c r="H1839" s="109"/>
      <c r="I1839" s="97"/>
      <c r="J1839" s="97"/>
      <c r="K1839" s="83"/>
      <c r="L1839" s="111"/>
      <c r="M1839" s="111"/>
      <c r="N1839" s="111"/>
      <c r="O1839" s="111"/>
      <c r="P1839" s="111"/>
      <c r="Q1839" s="111"/>
      <c r="R1839" s="111"/>
    </row>
    <row r="1840" spans="2:18" s="108" customFormat="1">
      <c r="B1840" s="109"/>
      <c r="C1840" s="110"/>
      <c r="D1840" s="109"/>
      <c r="E1840" s="109"/>
      <c r="F1840" s="97"/>
      <c r="G1840" s="109"/>
      <c r="H1840" s="109"/>
      <c r="I1840" s="97"/>
      <c r="J1840" s="97"/>
      <c r="K1840" s="83"/>
      <c r="L1840" s="111"/>
      <c r="M1840" s="111"/>
      <c r="N1840" s="111"/>
      <c r="O1840" s="111"/>
      <c r="P1840" s="111"/>
      <c r="Q1840" s="111"/>
      <c r="R1840" s="111"/>
    </row>
    <row r="1841" spans="2:18" s="108" customFormat="1">
      <c r="B1841" s="109"/>
      <c r="C1841" s="110"/>
      <c r="D1841" s="109"/>
      <c r="E1841" s="109"/>
      <c r="F1841" s="97"/>
      <c r="G1841" s="109"/>
      <c r="H1841" s="109"/>
      <c r="I1841" s="97"/>
      <c r="J1841" s="97"/>
      <c r="K1841" s="83"/>
      <c r="L1841" s="111"/>
      <c r="M1841" s="111"/>
      <c r="N1841" s="111"/>
      <c r="O1841" s="111"/>
      <c r="P1841" s="111"/>
      <c r="Q1841" s="111"/>
      <c r="R1841" s="111"/>
    </row>
    <row r="1842" spans="2:18" s="108" customFormat="1">
      <c r="B1842" s="109"/>
      <c r="C1842" s="110"/>
      <c r="D1842" s="109"/>
      <c r="E1842" s="109"/>
      <c r="F1842" s="97"/>
      <c r="G1842" s="109"/>
      <c r="H1842" s="109"/>
      <c r="I1842" s="97"/>
      <c r="J1842" s="97"/>
      <c r="K1842" s="83"/>
      <c r="L1842" s="111"/>
      <c r="M1842" s="111"/>
      <c r="N1842" s="111"/>
      <c r="O1842" s="111"/>
      <c r="P1842" s="111"/>
      <c r="Q1842" s="111"/>
      <c r="R1842" s="111"/>
    </row>
    <row r="1843" spans="2:18" s="108" customFormat="1">
      <c r="B1843" s="109"/>
      <c r="C1843" s="110"/>
      <c r="D1843" s="109"/>
      <c r="E1843" s="109"/>
      <c r="F1843" s="97"/>
      <c r="G1843" s="109"/>
      <c r="H1843" s="109"/>
      <c r="I1843" s="97"/>
      <c r="J1843" s="97"/>
      <c r="K1843" s="83"/>
      <c r="L1843" s="111"/>
      <c r="M1843" s="111"/>
      <c r="N1843" s="111"/>
      <c r="O1843" s="111"/>
      <c r="P1843" s="111"/>
      <c r="Q1843" s="111"/>
      <c r="R1843" s="111"/>
    </row>
    <row r="1844" spans="2:18" s="108" customFormat="1">
      <c r="B1844" s="109"/>
      <c r="C1844" s="110"/>
      <c r="D1844" s="109"/>
      <c r="E1844" s="109"/>
      <c r="F1844" s="97"/>
      <c r="G1844" s="109"/>
      <c r="H1844" s="109"/>
      <c r="I1844" s="97"/>
      <c r="J1844" s="97"/>
      <c r="K1844" s="83"/>
      <c r="L1844" s="111"/>
      <c r="M1844" s="111"/>
      <c r="N1844" s="111"/>
      <c r="O1844" s="111"/>
      <c r="P1844" s="111"/>
      <c r="Q1844" s="111"/>
      <c r="R1844" s="111"/>
    </row>
    <row r="1845" spans="2:18" s="108" customFormat="1">
      <c r="B1845" s="109"/>
      <c r="C1845" s="110"/>
      <c r="D1845" s="109"/>
      <c r="E1845" s="109"/>
      <c r="F1845" s="97"/>
      <c r="G1845" s="109"/>
      <c r="H1845" s="109"/>
      <c r="I1845" s="97"/>
      <c r="J1845" s="97"/>
      <c r="K1845" s="83"/>
      <c r="L1845" s="111"/>
      <c r="M1845" s="111"/>
      <c r="N1845" s="111"/>
      <c r="O1845" s="111"/>
      <c r="P1845" s="111"/>
      <c r="Q1845" s="111"/>
      <c r="R1845" s="111"/>
    </row>
    <row r="1846" spans="2:18" s="108" customFormat="1">
      <c r="B1846" s="109"/>
      <c r="C1846" s="110"/>
      <c r="D1846" s="109"/>
      <c r="E1846" s="109"/>
      <c r="F1846" s="97"/>
      <c r="G1846" s="109"/>
      <c r="H1846" s="109"/>
      <c r="I1846" s="97"/>
      <c r="J1846" s="97"/>
      <c r="K1846" s="83"/>
      <c r="L1846" s="111"/>
      <c r="M1846" s="111"/>
      <c r="N1846" s="111"/>
      <c r="O1846" s="111"/>
      <c r="P1846" s="111"/>
      <c r="Q1846" s="111"/>
      <c r="R1846" s="111"/>
    </row>
    <row r="1847" spans="2:18" s="108" customFormat="1">
      <c r="B1847" s="109"/>
      <c r="C1847" s="110"/>
      <c r="D1847" s="109"/>
      <c r="E1847" s="109"/>
      <c r="F1847" s="97"/>
      <c r="G1847" s="109"/>
      <c r="H1847" s="109"/>
      <c r="I1847" s="97"/>
      <c r="J1847" s="97"/>
      <c r="K1847" s="83"/>
      <c r="L1847" s="111"/>
      <c r="M1847" s="111"/>
      <c r="N1847" s="111"/>
      <c r="O1847" s="111"/>
      <c r="P1847" s="111"/>
      <c r="Q1847" s="111"/>
      <c r="R1847" s="111"/>
    </row>
    <row r="1848" spans="2:18" s="108" customFormat="1">
      <c r="B1848" s="109"/>
      <c r="C1848" s="110"/>
      <c r="D1848" s="109"/>
      <c r="E1848" s="109"/>
      <c r="F1848" s="97"/>
      <c r="G1848" s="109"/>
      <c r="H1848" s="109"/>
      <c r="I1848" s="97"/>
      <c r="J1848" s="97"/>
      <c r="K1848" s="83"/>
      <c r="L1848" s="111"/>
      <c r="M1848" s="111"/>
      <c r="N1848" s="111"/>
      <c r="O1848" s="111"/>
      <c r="P1848" s="111"/>
      <c r="Q1848" s="111"/>
      <c r="R1848" s="111"/>
    </row>
    <row r="1849" spans="2:18" s="108" customFormat="1">
      <c r="B1849" s="109"/>
      <c r="C1849" s="110"/>
      <c r="D1849" s="109"/>
      <c r="E1849" s="109"/>
      <c r="F1849" s="97"/>
      <c r="G1849" s="109"/>
      <c r="H1849" s="109"/>
      <c r="I1849" s="97"/>
      <c r="J1849" s="97"/>
      <c r="K1849" s="83"/>
      <c r="L1849" s="111"/>
      <c r="M1849" s="111"/>
      <c r="N1849" s="111"/>
      <c r="O1849" s="111"/>
      <c r="P1849" s="111"/>
      <c r="Q1849" s="111"/>
      <c r="R1849" s="111"/>
    </row>
    <row r="1850" spans="2:18" s="108" customFormat="1">
      <c r="B1850" s="109"/>
      <c r="C1850" s="110"/>
      <c r="D1850" s="109"/>
      <c r="E1850" s="109"/>
      <c r="F1850" s="97"/>
      <c r="G1850" s="109"/>
      <c r="H1850" s="109"/>
      <c r="I1850" s="97"/>
      <c r="J1850" s="97"/>
      <c r="K1850" s="83"/>
      <c r="L1850" s="111"/>
      <c r="M1850" s="111"/>
      <c r="N1850" s="111"/>
      <c r="O1850" s="111"/>
      <c r="P1850" s="111"/>
      <c r="Q1850" s="111"/>
      <c r="R1850" s="111"/>
    </row>
    <row r="1851" spans="2:18" s="108" customFormat="1">
      <c r="B1851" s="109"/>
      <c r="C1851" s="110"/>
      <c r="D1851" s="109"/>
      <c r="E1851" s="109"/>
      <c r="F1851" s="97"/>
      <c r="G1851" s="109"/>
      <c r="H1851" s="109"/>
      <c r="I1851" s="97"/>
      <c r="J1851" s="97"/>
      <c r="K1851" s="83"/>
      <c r="L1851" s="111"/>
      <c r="M1851" s="111"/>
      <c r="N1851" s="111"/>
      <c r="O1851" s="111"/>
      <c r="P1851" s="111"/>
      <c r="Q1851" s="111"/>
      <c r="R1851" s="111"/>
    </row>
    <row r="1852" spans="2:18" s="108" customFormat="1">
      <c r="B1852" s="109"/>
      <c r="C1852" s="110"/>
      <c r="D1852" s="109"/>
      <c r="E1852" s="109"/>
      <c r="F1852" s="97"/>
      <c r="G1852" s="109"/>
      <c r="H1852" s="109"/>
      <c r="I1852" s="97"/>
      <c r="J1852" s="97"/>
      <c r="K1852" s="83"/>
      <c r="L1852" s="111"/>
      <c r="M1852" s="111"/>
      <c r="N1852" s="111"/>
      <c r="O1852" s="111"/>
      <c r="P1852" s="111"/>
      <c r="Q1852" s="111"/>
      <c r="R1852" s="111"/>
    </row>
    <row r="1853" spans="2:18" s="108" customFormat="1">
      <c r="B1853" s="109"/>
      <c r="C1853" s="110"/>
      <c r="D1853" s="109"/>
      <c r="E1853" s="109"/>
      <c r="F1853" s="97"/>
      <c r="G1853" s="109"/>
      <c r="H1853" s="109"/>
      <c r="I1853" s="97"/>
      <c r="J1853" s="97"/>
      <c r="K1853" s="83"/>
      <c r="L1853" s="111"/>
      <c r="M1853" s="111"/>
      <c r="N1853" s="111"/>
      <c r="O1853" s="111"/>
      <c r="P1853" s="111"/>
      <c r="Q1853" s="111"/>
      <c r="R1853" s="111"/>
    </row>
    <row r="1854" spans="2:18" s="108" customFormat="1">
      <c r="B1854" s="109"/>
      <c r="C1854" s="110"/>
      <c r="D1854" s="109"/>
      <c r="E1854" s="109"/>
      <c r="F1854" s="97"/>
      <c r="G1854" s="109"/>
      <c r="H1854" s="109"/>
      <c r="I1854" s="97"/>
      <c r="J1854" s="97"/>
      <c r="K1854" s="83"/>
      <c r="L1854" s="111"/>
      <c r="M1854" s="111"/>
      <c r="N1854" s="111"/>
      <c r="O1854" s="111"/>
      <c r="P1854" s="111"/>
      <c r="Q1854" s="111"/>
      <c r="R1854" s="111"/>
    </row>
    <row r="1855" spans="2:18" s="108" customFormat="1">
      <c r="B1855" s="109"/>
      <c r="C1855" s="110"/>
      <c r="D1855" s="109"/>
      <c r="E1855" s="109"/>
      <c r="F1855" s="97"/>
      <c r="G1855" s="109"/>
      <c r="H1855" s="109"/>
      <c r="I1855" s="97"/>
      <c r="J1855" s="97"/>
      <c r="K1855" s="83"/>
      <c r="L1855" s="111"/>
      <c r="M1855" s="111"/>
      <c r="N1855" s="111"/>
      <c r="O1855" s="111"/>
      <c r="P1855" s="111"/>
      <c r="Q1855" s="111"/>
      <c r="R1855" s="111"/>
    </row>
    <row r="1856" spans="2:18" s="108" customFormat="1">
      <c r="B1856" s="109"/>
      <c r="C1856" s="110"/>
      <c r="D1856" s="109"/>
      <c r="E1856" s="109"/>
      <c r="F1856" s="97"/>
      <c r="G1856" s="109"/>
      <c r="H1856" s="109"/>
      <c r="I1856" s="97"/>
      <c r="J1856" s="97"/>
      <c r="K1856" s="83"/>
      <c r="L1856" s="111"/>
      <c r="M1856" s="111"/>
      <c r="N1856" s="111"/>
      <c r="O1856" s="111"/>
      <c r="P1856" s="111"/>
      <c r="Q1856" s="111"/>
      <c r="R1856" s="111"/>
    </row>
    <row r="1857" spans="2:18" s="108" customFormat="1">
      <c r="B1857" s="109"/>
      <c r="C1857" s="110"/>
      <c r="D1857" s="109"/>
      <c r="E1857" s="109"/>
      <c r="F1857" s="97"/>
      <c r="G1857" s="109"/>
      <c r="H1857" s="109"/>
      <c r="I1857" s="97"/>
      <c r="J1857" s="97"/>
      <c r="K1857" s="83"/>
      <c r="L1857" s="111"/>
      <c r="M1857" s="111"/>
      <c r="N1857" s="111"/>
      <c r="O1857" s="111"/>
      <c r="P1857" s="111"/>
      <c r="Q1857" s="111"/>
      <c r="R1857" s="111"/>
    </row>
    <row r="1858" spans="2:18" s="108" customFormat="1">
      <c r="B1858" s="109"/>
      <c r="C1858" s="110"/>
      <c r="D1858" s="109"/>
      <c r="E1858" s="109"/>
      <c r="F1858" s="97"/>
      <c r="G1858" s="109"/>
      <c r="H1858" s="109"/>
      <c r="I1858" s="97"/>
      <c r="J1858" s="97"/>
      <c r="K1858" s="83"/>
      <c r="L1858" s="111"/>
      <c r="M1858" s="111"/>
      <c r="N1858" s="111"/>
      <c r="O1858" s="111"/>
      <c r="P1858" s="111"/>
      <c r="Q1858" s="111"/>
      <c r="R1858" s="111"/>
    </row>
    <row r="1859" spans="2:18" s="108" customFormat="1">
      <c r="B1859" s="109"/>
      <c r="C1859" s="110"/>
      <c r="D1859" s="109"/>
      <c r="E1859" s="109"/>
      <c r="F1859" s="97"/>
      <c r="G1859" s="109"/>
      <c r="H1859" s="109"/>
      <c r="I1859" s="97"/>
      <c r="J1859" s="97"/>
      <c r="K1859" s="83"/>
      <c r="L1859" s="111"/>
      <c r="M1859" s="111"/>
      <c r="N1859" s="111"/>
      <c r="O1859" s="111"/>
      <c r="P1859" s="111"/>
      <c r="Q1859" s="111"/>
      <c r="R1859" s="111"/>
    </row>
    <row r="1860" spans="2:18" s="108" customFormat="1">
      <c r="B1860" s="109"/>
      <c r="C1860" s="110"/>
      <c r="D1860" s="109"/>
      <c r="E1860" s="109"/>
      <c r="F1860" s="97"/>
      <c r="G1860" s="109"/>
      <c r="H1860" s="109"/>
      <c r="I1860" s="97"/>
      <c r="J1860" s="97"/>
      <c r="K1860" s="83"/>
      <c r="L1860" s="111"/>
      <c r="M1860" s="111"/>
      <c r="N1860" s="111"/>
      <c r="O1860" s="111"/>
      <c r="P1860" s="111"/>
      <c r="Q1860" s="111"/>
      <c r="R1860" s="111"/>
    </row>
    <row r="1861" spans="2:18" s="108" customFormat="1">
      <c r="B1861" s="109"/>
      <c r="C1861" s="110"/>
      <c r="D1861" s="109"/>
      <c r="E1861" s="109"/>
      <c r="F1861" s="97"/>
      <c r="G1861" s="109"/>
      <c r="H1861" s="109"/>
      <c r="I1861" s="97"/>
      <c r="J1861" s="97"/>
      <c r="K1861" s="83"/>
      <c r="L1861" s="111"/>
      <c r="M1861" s="111"/>
      <c r="N1861" s="111"/>
      <c r="O1861" s="111"/>
      <c r="P1861" s="111"/>
      <c r="Q1861" s="111"/>
      <c r="R1861" s="111"/>
    </row>
    <row r="1862" spans="2:18" s="108" customFormat="1">
      <c r="B1862" s="109"/>
      <c r="C1862" s="110"/>
      <c r="D1862" s="109"/>
      <c r="E1862" s="109"/>
      <c r="F1862" s="97"/>
      <c r="G1862" s="109"/>
      <c r="H1862" s="109"/>
      <c r="I1862" s="97"/>
      <c r="J1862" s="97"/>
      <c r="K1862" s="83"/>
      <c r="L1862" s="111"/>
      <c r="M1862" s="111"/>
      <c r="N1862" s="111"/>
      <c r="O1862" s="111"/>
      <c r="P1862" s="111"/>
      <c r="Q1862" s="111"/>
      <c r="R1862" s="111"/>
    </row>
    <row r="1863" spans="2:18" s="108" customFormat="1">
      <c r="B1863" s="109"/>
      <c r="C1863" s="110"/>
      <c r="D1863" s="109"/>
      <c r="E1863" s="109"/>
      <c r="F1863" s="97"/>
      <c r="G1863" s="109"/>
      <c r="H1863" s="109"/>
      <c r="I1863" s="97"/>
      <c r="J1863" s="97"/>
      <c r="K1863" s="83"/>
      <c r="L1863" s="111"/>
      <c r="M1863" s="111"/>
      <c r="N1863" s="111"/>
      <c r="O1863" s="111"/>
      <c r="P1863" s="111"/>
      <c r="Q1863" s="111"/>
      <c r="R1863" s="111"/>
    </row>
    <row r="1864" spans="2:18" s="108" customFormat="1">
      <c r="B1864" s="109"/>
      <c r="C1864" s="110"/>
      <c r="D1864" s="109"/>
      <c r="E1864" s="109"/>
      <c r="F1864" s="97"/>
      <c r="G1864" s="109"/>
      <c r="H1864" s="109"/>
      <c r="I1864" s="97"/>
      <c r="J1864" s="97"/>
      <c r="K1864" s="83"/>
      <c r="L1864" s="111"/>
      <c r="M1864" s="111"/>
      <c r="N1864" s="111"/>
      <c r="O1864" s="111"/>
      <c r="P1864" s="111"/>
      <c r="Q1864" s="111"/>
      <c r="R1864" s="111"/>
    </row>
    <row r="1865" spans="2:18" s="108" customFormat="1">
      <c r="B1865" s="109"/>
      <c r="C1865" s="110"/>
      <c r="D1865" s="109"/>
      <c r="E1865" s="109"/>
      <c r="F1865" s="97"/>
      <c r="G1865" s="109"/>
      <c r="H1865" s="109"/>
      <c r="I1865" s="97"/>
      <c r="J1865" s="97"/>
      <c r="K1865" s="83"/>
      <c r="L1865" s="111"/>
      <c r="M1865" s="111"/>
      <c r="N1865" s="111"/>
      <c r="O1865" s="111"/>
      <c r="P1865" s="111"/>
      <c r="Q1865" s="111"/>
      <c r="R1865" s="111"/>
    </row>
    <row r="1866" spans="2:18" s="108" customFormat="1">
      <c r="B1866" s="109"/>
      <c r="C1866" s="110"/>
      <c r="D1866" s="109"/>
      <c r="E1866" s="109"/>
      <c r="F1866" s="97"/>
      <c r="G1866" s="109"/>
      <c r="H1866" s="109"/>
      <c r="I1866" s="97"/>
      <c r="J1866" s="97"/>
      <c r="K1866" s="83"/>
      <c r="L1866" s="111"/>
      <c r="M1866" s="111"/>
      <c r="N1866" s="111"/>
      <c r="O1866" s="111"/>
      <c r="P1866" s="111"/>
      <c r="Q1866" s="111"/>
      <c r="R1866" s="111"/>
    </row>
    <row r="1867" spans="2:18" s="108" customFormat="1">
      <c r="B1867" s="109"/>
      <c r="C1867" s="110"/>
      <c r="D1867" s="109"/>
      <c r="E1867" s="109"/>
      <c r="F1867" s="97"/>
      <c r="G1867" s="109"/>
      <c r="H1867" s="109"/>
      <c r="I1867" s="97"/>
      <c r="J1867" s="97"/>
      <c r="K1867" s="83"/>
      <c r="L1867" s="111"/>
      <c r="M1867" s="111"/>
      <c r="N1867" s="111"/>
      <c r="O1867" s="111"/>
      <c r="P1867" s="111"/>
      <c r="Q1867" s="111"/>
      <c r="R1867" s="111"/>
    </row>
    <row r="1868" spans="2:18" s="108" customFormat="1">
      <c r="B1868" s="109"/>
      <c r="C1868" s="110"/>
      <c r="D1868" s="109"/>
      <c r="E1868" s="109"/>
      <c r="F1868" s="97"/>
      <c r="G1868" s="109"/>
      <c r="H1868" s="109"/>
      <c r="I1868" s="97"/>
      <c r="J1868" s="97"/>
      <c r="K1868" s="83"/>
      <c r="L1868" s="111"/>
      <c r="M1868" s="111"/>
      <c r="N1868" s="111"/>
      <c r="O1868" s="111"/>
      <c r="P1868" s="111"/>
      <c r="Q1868" s="111"/>
      <c r="R1868" s="111"/>
    </row>
    <row r="1869" spans="2:18" s="108" customFormat="1">
      <c r="B1869" s="109"/>
      <c r="C1869" s="110"/>
      <c r="D1869" s="109"/>
      <c r="E1869" s="109"/>
      <c r="F1869" s="97"/>
      <c r="G1869" s="109"/>
      <c r="H1869" s="109"/>
      <c r="I1869" s="97"/>
      <c r="J1869" s="97"/>
      <c r="K1869" s="83"/>
      <c r="L1869" s="111"/>
      <c r="M1869" s="111"/>
      <c r="N1869" s="111"/>
      <c r="O1869" s="111"/>
      <c r="P1869" s="111"/>
      <c r="Q1869" s="111"/>
      <c r="R1869" s="111"/>
    </row>
    <row r="1870" spans="2:18" s="108" customFormat="1">
      <c r="B1870" s="109"/>
      <c r="C1870" s="110"/>
      <c r="D1870" s="109"/>
      <c r="E1870" s="109"/>
      <c r="F1870" s="97"/>
      <c r="G1870" s="109"/>
      <c r="H1870" s="109"/>
      <c r="I1870" s="97"/>
      <c r="J1870" s="97"/>
      <c r="K1870" s="83"/>
      <c r="L1870" s="111"/>
      <c r="M1870" s="111"/>
      <c r="N1870" s="111"/>
      <c r="O1870" s="111"/>
      <c r="P1870" s="111"/>
      <c r="Q1870" s="111"/>
      <c r="R1870" s="111"/>
    </row>
    <row r="1871" spans="2:18" s="108" customFormat="1">
      <c r="B1871" s="109"/>
      <c r="C1871" s="110"/>
      <c r="D1871" s="109"/>
      <c r="E1871" s="109"/>
      <c r="F1871" s="97"/>
      <c r="G1871" s="109"/>
      <c r="H1871" s="109"/>
      <c r="I1871" s="97"/>
      <c r="J1871" s="97"/>
      <c r="K1871" s="83"/>
      <c r="L1871" s="111"/>
      <c r="M1871" s="111"/>
      <c r="N1871" s="111"/>
      <c r="O1871" s="111"/>
      <c r="P1871" s="111"/>
      <c r="Q1871" s="111"/>
      <c r="R1871" s="111"/>
    </row>
    <row r="1872" spans="2:18" s="108" customFormat="1">
      <c r="B1872" s="109"/>
      <c r="C1872" s="110"/>
      <c r="D1872" s="109"/>
      <c r="E1872" s="109"/>
      <c r="F1872" s="97"/>
      <c r="G1872" s="109"/>
      <c r="H1872" s="109"/>
      <c r="I1872" s="97"/>
      <c r="J1872" s="97"/>
      <c r="K1872" s="83"/>
      <c r="L1872" s="111"/>
      <c r="M1872" s="111"/>
      <c r="N1872" s="111"/>
      <c r="O1872" s="111"/>
      <c r="P1872" s="111"/>
      <c r="Q1872" s="111"/>
      <c r="R1872" s="111"/>
    </row>
    <row r="1873" spans="2:18" s="108" customFormat="1">
      <c r="B1873" s="109"/>
      <c r="C1873" s="110"/>
      <c r="D1873" s="109"/>
      <c r="E1873" s="109"/>
      <c r="F1873" s="97"/>
      <c r="G1873" s="109"/>
      <c r="H1873" s="109"/>
      <c r="I1873" s="97"/>
      <c r="J1873" s="97"/>
      <c r="K1873" s="83"/>
      <c r="L1873" s="111"/>
      <c r="M1873" s="111"/>
      <c r="N1873" s="111"/>
      <c r="O1873" s="111"/>
      <c r="P1873" s="111"/>
      <c r="Q1873" s="111"/>
      <c r="R1873" s="111"/>
    </row>
    <row r="1874" spans="2:18" s="108" customFormat="1">
      <c r="B1874" s="109"/>
      <c r="C1874" s="110"/>
      <c r="D1874" s="109"/>
      <c r="E1874" s="109"/>
      <c r="F1874" s="97"/>
      <c r="G1874" s="109"/>
      <c r="H1874" s="109"/>
      <c r="I1874" s="97"/>
      <c r="J1874" s="97"/>
      <c r="K1874" s="83"/>
      <c r="L1874" s="111"/>
      <c r="M1874" s="111"/>
      <c r="N1874" s="111"/>
      <c r="O1874" s="111"/>
      <c r="P1874" s="111"/>
      <c r="Q1874" s="111"/>
      <c r="R1874" s="111"/>
    </row>
    <row r="1875" spans="2:18" s="108" customFormat="1">
      <c r="B1875" s="109"/>
      <c r="C1875" s="110"/>
      <c r="D1875" s="109"/>
      <c r="E1875" s="109"/>
      <c r="F1875" s="97"/>
      <c r="G1875" s="109"/>
      <c r="H1875" s="109"/>
      <c r="I1875" s="97"/>
      <c r="J1875" s="97"/>
      <c r="K1875" s="83"/>
      <c r="L1875" s="111"/>
      <c r="M1875" s="111"/>
      <c r="N1875" s="111"/>
      <c r="O1875" s="111"/>
      <c r="P1875" s="111"/>
      <c r="Q1875" s="111"/>
      <c r="R1875" s="111"/>
    </row>
    <row r="1876" spans="2:18" s="108" customFormat="1">
      <c r="B1876" s="109"/>
      <c r="C1876" s="110"/>
      <c r="D1876" s="109"/>
      <c r="E1876" s="109"/>
      <c r="F1876" s="97"/>
      <c r="G1876" s="109"/>
      <c r="H1876" s="109"/>
      <c r="I1876" s="97"/>
      <c r="J1876" s="97"/>
      <c r="K1876" s="83"/>
      <c r="L1876" s="111"/>
      <c r="M1876" s="111"/>
      <c r="N1876" s="111"/>
      <c r="O1876" s="111"/>
      <c r="P1876" s="111"/>
      <c r="Q1876" s="111"/>
      <c r="R1876" s="111"/>
    </row>
    <row r="1877" spans="2:18" s="108" customFormat="1">
      <c r="B1877" s="109"/>
      <c r="C1877" s="110"/>
      <c r="D1877" s="109"/>
      <c r="E1877" s="109"/>
      <c r="F1877" s="97"/>
      <c r="G1877" s="109"/>
      <c r="H1877" s="109"/>
      <c r="I1877" s="97"/>
      <c r="J1877" s="97"/>
      <c r="K1877" s="83"/>
      <c r="L1877" s="111"/>
      <c r="M1877" s="111"/>
      <c r="N1877" s="111"/>
      <c r="O1877" s="111"/>
      <c r="P1877" s="111"/>
      <c r="Q1877" s="111"/>
      <c r="R1877" s="111"/>
    </row>
    <row r="1878" spans="2:18" s="108" customFormat="1">
      <c r="B1878" s="109"/>
      <c r="C1878" s="110"/>
      <c r="D1878" s="109"/>
      <c r="E1878" s="109"/>
      <c r="F1878" s="97"/>
      <c r="G1878" s="109"/>
      <c r="H1878" s="109"/>
      <c r="I1878" s="97"/>
      <c r="J1878" s="97"/>
      <c r="K1878" s="83"/>
      <c r="L1878" s="111"/>
      <c r="M1878" s="111"/>
      <c r="N1878" s="111"/>
      <c r="O1878" s="111"/>
      <c r="P1878" s="111"/>
      <c r="Q1878" s="111"/>
      <c r="R1878" s="111"/>
    </row>
    <row r="1879" spans="2:18" s="108" customFormat="1">
      <c r="B1879" s="109"/>
      <c r="C1879" s="110"/>
      <c r="D1879" s="109"/>
      <c r="E1879" s="109"/>
      <c r="F1879" s="97"/>
      <c r="G1879" s="109"/>
      <c r="H1879" s="109"/>
      <c r="I1879" s="97"/>
      <c r="J1879" s="97"/>
      <c r="K1879" s="83"/>
      <c r="L1879" s="111"/>
      <c r="M1879" s="111"/>
      <c r="N1879" s="111"/>
      <c r="O1879" s="111"/>
      <c r="P1879" s="111"/>
      <c r="Q1879" s="111"/>
      <c r="R1879" s="111"/>
    </row>
    <row r="1880" spans="2:18" s="108" customFormat="1">
      <c r="B1880" s="109"/>
      <c r="C1880" s="110"/>
      <c r="D1880" s="109"/>
      <c r="E1880" s="109"/>
      <c r="F1880" s="97"/>
      <c r="G1880" s="109"/>
      <c r="H1880" s="109"/>
      <c r="I1880" s="97"/>
      <c r="J1880" s="97"/>
      <c r="K1880" s="83"/>
      <c r="L1880" s="111"/>
      <c r="M1880" s="111"/>
      <c r="N1880" s="111"/>
      <c r="O1880" s="111"/>
      <c r="P1880" s="111"/>
      <c r="Q1880" s="111"/>
      <c r="R1880" s="111"/>
    </row>
    <row r="1881" spans="2:18" s="108" customFormat="1">
      <c r="B1881" s="109"/>
      <c r="C1881" s="110"/>
      <c r="D1881" s="109"/>
      <c r="E1881" s="109"/>
      <c r="F1881" s="97"/>
      <c r="G1881" s="109"/>
      <c r="H1881" s="109"/>
      <c r="I1881" s="97"/>
      <c r="J1881" s="97"/>
      <c r="K1881" s="83"/>
      <c r="L1881" s="111"/>
      <c r="M1881" s="111"/>
      <c r="N1881" s="111"/>
      <c r="O1881" s="111"/>
      <c r="P1881" s="111"/>
      <c r="Q1881" s="111"/>
      <c r="R1881" s="111"/>
    </row>
    <row r="1882" spans="2:18" s="108" customFormat="1">
      <c r="B1882" s="109"/>
      <c r="C1882" s="110"/>
      <c r="D1882" s="109"/>
      <c r="E1882" s="109"/>
      <c r="F1882" s="97"/>
      <c r="G1882" s="109"/>
      <c r="H1882" s="109"/>
      <c r="I1882" s="97"/>
      <c r="J1882" s="97"/>
      <c r="K1882" s="83"/>
      <c r="L1882" s="111"/>
      <c r="M1882" s="111"/>
      <c r="N1882" s="111"/>
      <c r="O1882" s="111"/>
      <c r="P1882" s="111"/>
      <c r="Q1882" s="111"/>
      <c r="R1882" s="111"/>
    </row>
    <row r="1883" spans="2:18" s="108" customFormat="1">
      <c r="B1883" s="109"/>
      <c r="C1883" s="110"/>
      <c r="D1883" s="109"/>
      <c r="E1883" s="109"/>
      <c r="F1883" s="97"/>
      <c r="G1883" s="109"/>
      <c r="H1883" s="109"/>
      <c r="I1883" s="97"/>
      <c r="J1883" s="97"/>
      <c r="K1883" s="83"/>
      <c r="L1883" s="111"/>
      <c r="M1883" s="111"/>
      <c r="N1883" s="111"/>
      <c r="O1883" s="111"/>
      <c r="P1883" s="111"/>
      <c r="Q1883" s="111"/>
      <c r="R1883" s="111"/>
    </row>
    <row r="1884" spans="2:18" s="108" customFormat="1">
      <c r="B1884" s="109"/>
      <c r="C1884" s="110"/>
      <c r="D1884" s="109"/>
      <c r="E1884" s="109"/>
      <c r="F1884" s="97"/>
      <c r="G1884" s="109"/>
      <c r="H1884" s="109"/>
      <c r="I1884" s="97"/>
      <c r="J1884" s="97"/>
      <c r="K1884" s="83"/>
      <c r="L1884" s="111"/>
      <c r="M1884" s="111"/>
      <c r="N1884" s="111"/>
      <c r="O1884" s="111"/>
      <c r="P1884" s="111"/>
      <c r="Q1884" s="111"/>
      <c r="R1884" s="111"/>
    </row>
    <row r="1885" spans="2:18" s="108" customFormat="1">
      <c r="B1885" s="109"/>
      <c r="C1885" s="110"/>
      <c r="D1885" s="109"/>
      <c r="E1885" s="109"/>
      <c r="F1885" s="97"/>
      <c r="G1885" s="109"/>
      <c r="H1885" s="109"/>
      <c r="I1885" s="97"/>
      <c r="J1885" s="97"/>
      <c r="K1885" s="83"/>
      <c r="L1885" s="111"/>
      <c r="M1885" s="111"/>
      <c r="N1885" s="111"/>
      <c r="O1885" s="111"/>
      <c r="P1885" s="111"/>
      <c r="Q1885" s="111"/>
      <c r="R1885" s="111"/>
    </row>
    <row r="1886" spans="2:18" s="108" customFormat="1">
      <c r="B1886" s="109"/>
      <c r="C1886" s="110"/>
      <c r="D1886" s="109"/>
      <c r="E1886" s="109"/>
      <c r="F1886" s="97"/>
      <c r="G1886" s="109"/>
      <c r="H1886" s="109"/>
      <c r="I1886" s="97"/>
      <c r="J1886" s="97"/>
      <c r="K1886" s="83"/>
      <c r="L1886" s="111"/>
      <c r="M1886" s="111"/>
      <c r="N1886" s="111"/>
      <c r="O1886" s="111"/>
      <c r="P1886" s="111"/>
      <c r="Q1886" s="111"/>
      <c r="R1886" s="111"/>
    </row>
    <row r="1887" spans="2:18" s="108" customFormat="1">
      <c r="B1887" s="109"/>
      <c r="C1887" s="110"/>
      <c r="D1887" s="109"/>
      <c r="E1887" s="109"/>
      <c r="F1887" s="97"/>
      <c r="G1887" s="109"/>
      <c r="H1887" s="109"/>
      <c r="I1887" s="97"/>
      <c r="J1887" s="97"/>
      <c r="K1887" s="83"/>
      <c r="L1887" s="111"/>
      <c r="M1887" s="111"/>
      <c r="N1887" s="111"/>
      <c r="O1887" s="111"/>
      <c r="P1887" s="111"/>
      <c r="Q1887" s="111"/>
      <c r="R1887" s="111"/>
    </row>
    <row r="1888" spans="2:18" s="108" customFormat="1">
      <c r="B1888" s="109"/>
      <c r="C1888" s="110"/>
      <c r="D1888" s="109"/>
      <c r="E1888" s="109"/>
      <c r="F1888" s="97"/>
      <c r="G1888" s="109"/>
      <c r="H1888" s="109"/>
      <c r="I1888" s="97"/>
      <c r="J1888" s="97"/>
      <c r="K1888" s="83"/>
      <c r="L1888" s="111"/>
      <c r="M1888" s="111"/>
      <c r="N1888" s="111"/>
      <c r="O1888" s="111"/>
      <c r="P1888" s="111"/>
      <c r="Q1888" s="111"/>
      <c r="R1888" s="111"/>
    </row>
    <row r="1889" spans="2:18" s="108" customFormat="1">
      <c r="B1889" s="109"/>
      <c r="C1889" s="110"/>
      <c r="D1889" s="109"/>
      <c r="E1889" s="109"/>
      <c r="F1889" s="97"/>
      <c r="G1889" s="109"/>
      <c r="H1889" s="109"/>
      <c r="I1889" s="97"/>
      <c r="J1889" s="97"/>
      <c r="K1889" s="83"/>
      <c r="L1889" s="111"/>
      <c r="M1889" s="111"/>
      <c r="N1889" s="111"/>
      <c r="O1889" s="111"/>
      <c r="P1889" s="111"/>
      <c r="Q1889" s="111"/>
      <c r="R1889" s="111"/>
    </row>
    <row r="1890" spans="2:18" s="108" customFormat="1">
      <c r="B1890" s="109"/>
      <c r="C1890" s="110"/>
      <c r="D1890" s="109"/>
      <c r="E1890" s="109"/>
      <c r="F1890" s="97"/>
      <c r="G1890" s="109"/>
      <c r="H1890" s="109"/>
      <c r="I1890" s="97"/>
      <c r="J1890" s="97"/>
      <c r="K1890" s="83"/>
      <c r="L1890" s="111"/>
      <c r="M1890" s="111"/>
      <c r="N1890" s="111"/>
      <c r="O1890" s="111"/>
      <c r="P1890" s="111"/>
      <c r="Q1890" s="111"/>
      <c r="R1890" s="111"/>
    </row>
    <row r="1891" spans="2:18" s="108" customFormat="1">
      <c r="B1891" s="109"/>
      <c r="C1891" s="110"/>
      <c r="D1891" s="109"/>
      <c r="E1891" s="109"/>
      <c r="F1891" s="97"/>
      <c r="G1891" s="109"/>
      <c r="H1891" s="109"/>
      <c r="I1891" s="97"/>
      <c r="J1891" s="97"/>
      <c r="K1891" s="83"/>
      <c r="L1891" s="111"/>
      <c r="M1891" s="111"/>
      <c r="N1891" s="111"/>
      <c r="O1891" s="111"/>
      <c r="P1891" s="111"/>
      <c r="Q1891" s="111"/>
      <c r="R1891" s="111"/>
    </row>
    <row r="1892" spans="2:18" s="108" customFormat="1">
      <c r="B1892" s="109"/>
      <c r="C1892" s="110"/>
      <c r="D1892" s="109"/>
      <c r="E1892" s="109"/>
      <c r="F1892" s="97"/>
      <c r="G1892" s="109"/>
      <c r="H1892" s="109"/>
      <c r="I1892" s="97"/>
      <c r="J1892" s="97"/>
      <c r="K1892" s="83"/>
      <c r="L1892" s="111"/>
      <c r="M1892" s="111"/>
      <c r="N1892" s="111"/>
      <c r="O1892" s="111"/>
      <c r="P1892" s="111"/>
      <c r="Q1892" s="111"/>
      <c r="R1892" s="111"/>
    </row>
    <row r="1893" spans="2:18" s="108" customFormat="1">
      <c r="B1893" s="109"/>
      <c r="C1893" s="110"/>
      <c r="D1893" s="109"/>
      <c r="E1893" s="109"/>
      <c r="F1893" s="97"/>
      <c r="G1893" s="109"/>
      <c r="H1893" s="109"/>
      <c r="I1893" s="97"/>
      <c r="J1893" s="97"/>
      <c r="K1893" s="83"/>
      <c r="L1893" s="111"/>
      <c r="M1893" s="111"/>
      <c r="N1893" s="111"/>
      <c r="O1893" s="111"/>
      <c r="P1893" s="111"/>
      <c r="Q1893" s="111"/>
      <c r="R1893" s="111"/>
    </row>
    <row r="1894" spans="2:18" s="108" customFormat="1">
      <c r="B1894" s="109"/>
      <c r="C1894" s="110"/>
      <c r="D1894" s="109"/>
      <c r="E1894" s="109"/>
      <c r="F1894" s="97"/>
      <c r="G1894" s="109"/>
      <c r="H1894" s="109"/>
      <c r="I1894" s="97"/>
      <c r="J1894" s="97"/>
      <c r="K1894" s="83"/>
      <c r="L1894" s="111"/>
      <c r="M1894" s="111"/>
      <c r="N1894" s="111"/>
      <c r="O1894" s="111"/>
      <c r="P1894" s="111"/>
      <c r="Q1894" s="111"/>
      <c r="R1894" s="111"/>
    </row>
    <row r="1895" spans="2:18" s="108" customFormat="1">
      <c r="B1895" s="109"/>
      <c r="C1895" s="110"/>
      <c r="D1895" s="109"/>
      <c r="E1895" s="109"/>
      <c r="F1895" s="97"/>
      <c r="G1895" s="109"/>
      <c r="H1895" s="109"/>
      <c r="I1895" s="97"/>
      <c r="J1895" s="97"/>
      <c r="K1895" s="83"/>
      <c r="L1895" s="111"/>
      <c r="M1895" s="111"/>
      <c r="N1895" s="111"/>
      <c r="O1895" s="111"/>
      <c r="P1895" s="111"/>
      <c r="Q1895" s="111"/>
      <c r="R1895" s="111"/>
    </row>
    <row r="1896" spans="2:18" s="108" customFormat="1">
      <c r="B1896" s="109"/>
      <c r="C1896" s="110"/>
      <c r="D1896" s="109"/>
      <c r="E1896" s="109"/>
      <c r="F1896" s="97"/>
      <c r="G1896" s="109"/>
      <c r="H1896" s="109"/>
      <c r="I1896" s="97"/>
      <c r="J1896" s="97"/>
      <c r="K1896" s="83"/>
      <c r="L1896" s="111"/>
      <c r="M1896" s="111"/>
      <c r="N1896" s="111"/>
      <c r="O1896" s="111"/>
      <c r="P1896" s="111"/>
      <c r="Q1896" s="111"/>
      <c r="R1896" s="111"/>
    </row>
    <row r="1897" spans="2:18" s="108" customFormat="1">
      <c r="B1897" s="109"/>
      <c r="C1897" s="110"/>
      <c r="D1897" s="109"/>
      <c r="E1897" s="109"/>
      <c r="F1897" s="97"/>
      <c r="G1897" s="109"/>
      <c r="H1897" s="109"/>
      <c r="I1897" s="97"/>
      <c r="J1897" s="97"/>
      <c r="K1897" s="83"/>
      <c r="L1897" s="111"/>
      <c r="M1897" s="111"/>
      <c r="N1897" s="111"/>
      <c r="O1897" s="111"/>
      <c r="P1897" s="111"/>
      <c r="Q1897" s="111"/>
      <c r="R1897" s="111"/>
    </row>
    <row r="1898" spans="2:18" s="108" customFormat="1">
      <c r="B1898" s="109"/>
      <c r="C1898" s="110"/>
      <c r="D1898" s="109"/>
      <c r="E1898" s="109"/>
      <c r="F1898" s="97"/>
      <c r="G1898" s="109"/>
      <c r="H1898" s="109"/>
      <c r="I1898" s="97"/>
      <c r="J1898" s="97"/>
      <c r="K1898" s="83"/>
      <c r="L1898" s="111"/>
      <c r="M1898" s="111"/>
      <c r="N1898" s="111"/>
      <c r="O1898" s="111"/>
      <c r="P1898" s="111"/>
      <c r="Q1898" s="111"/>
      <c r="R1898" s="111"/>
    </row>
    <row r="1899" spans="2:18" s="108" customFormat="1">
      <c r="B1899" s="109"/>
      <c r="C1899" s="110"/>
      <c r="D1899" s="109"/>
      <c r="E1899" s="109"/>
      <c r="F1899" s="97"/>
      <c r="G1899" s="109"/>
      <c r="H1899" s="109"/>
      <c r="I1899" s="97"/>
      <c r="J1899" s="97"/>
      <c r="K1899" s="83"/>
      <c r="L1899" s="111"/>
      <c r="M1899" s="111"/>
      <c r="N1899" s="111"/>
      <c r="O1899" s="111"/>
      <c r="P1899" s="111"/>
      <c r="Q1899" s="111"/>
      <c r="R1899" s="111"/>
    </row>
    <row r="1900" spans="2:18" s="108" customFormat="1">
      <c r="B1900" s="109"/>
      <c r="C1900" s="110"/>
      <c r="D1900" s="109"/>
      <c r="E1900" s="109"/>
      <c r="F1900" s="97"/>
      <c r="G1900" s="109"/>
      <c r="H1900" s="109"/>
      <c r="I1900" s="97"/>
      <c r="J1900" s="97"/>
      <c r="K1900" s="83"/>
      <c r="L1900" s="111"/>
      <c r="M1900" s="111"/>
      <c r="N1900" s="111"/>
      <c r="O1900" s="111"/>
      <c r="P1900" s="111"/>
      <c r="Q1900" s="111"/>
      <c r="R1900" s="111"/>
    </row>
    <row r="1901" spans="2:18" s="108" customFormat="1">
      <c r="B1901" s="109"/>
      <c r="C1901" s="110"/>
      <c r="D1901" s="109"/>
      <c r="E1901" s="109"/>
      <c r="F1901" s="97"/>
      <c r="G1901" s="109"/>
      <c r="H1901" s="109"/>
      <c r="I1901" s="97"/>
      <c r="J1901" s="97"/>
      <c r="K1901" s="83"/>
      <c r="L1901" s="111"/>
      <c r="M1901" s="111"/>
      <c r="N1901" s="111"/>
      <c r="O1901" s="111"/>
      <c r="P1901" s="111"/>
      <c r="Q1901" s="111"/>
      <c r="R1901" s="111"/>
    </row>
    <row r="1902" spans="2:18" s="108" customFormat="1">
      <c r="B1902" s="109"/>
      <c r="C1902" s="110"/>
      <c r="D1902" s="109"/>
      <c r="E1902" s="109"/>
      <c r="F1902" s="97"/>
      <c r="G1902" s="109"/>
      <c r="H1902" s="109"/>
      <c r="I1902" s="97"/>
      <c r="J1902" s="97"/>
      <c r="K1902" s="83"/>
      <c r="L1902" s="111"/>
      <c r="M1902" s="111"/>
      <c r="N1902" s="111"/>
      <c r="O1902" s="111"/>
      <c r="P1902" s="111"/>
      <c r="Q1902" s="111"/>
      <c r="R1902" s="111"/>
    </row>
    <row r="1903" spans="2:18" s="108" customFormat="1">
      <c r="B1903" s="109"/>
      <c r="C1903" s="110"/>
      <c r="D1903" s="109"/>
      <c r="E1903" s="109"/>
      <c r="F1903" s="97"/>
      <c r="G1903" s="109"/>
      <c r="H1903" s="109"/>
      <c r="I1903" s="97"/>
      <c r="J1903" s="97"/>
      <c r="K1903" s="83"/>
      <c r="L1903" s="111"/>
      <c r="M1903" s="111"/>
      <c r="N1903" s="111"/>
      <c r="O1903" s="111"/>
      <c r="P1903" s="111"/>
      <c r="Q1903" s="111"/>
      <c r="R1903" s="111"/>
    </row>
    <row r="1904" spans="2:18" s="108" customFormat="1">
      <c r="B1904" s="109"/>
      <c r="C1904" s="110"/>
      <c r="D1904" s="109"/>
      <c r="E1904" s="109"/>
      <c r="F1904" s="97"/>
      <c r="G1904" s="109"/>
      <c r="H1904" s="109"/>
      <c r="I1904" s="97"/>
      <c r="J1904" s="97"/>
      <c r="K1904" s="83"/>
      <c r="L1904" s="111"/>
      <c r="M1904" s="111"/>
      <c r="N1904" s="111"/>
      <c r="O1904" s="111"/>
      <c r="P1904" s="111"/>
      <c r="Q1904" s="111"/>
      <c r="R1904" s="111"/>
    </row>
    <row r="1905" spans="2:18" s="108" customFormat="1">
      <c r="B1905" s="109"/>
      <c r="C1905" s="110"/>
      <c r="D1905" s="109"/>
      <c r="E1905" s="109"/>
      <c r="F1905" s="97"/>
      <c r="G1905" s="109"/>
      <c r="H1905" s="109"/>
      <c r="I1905" s="97"/>
      <c r="J1905" s="97"/>
      <c r="K1905" s="83"/>
      <c r="L1905" s="111"/>
      <c r="M1905" s="111"/>
      <c r="N1905" s="111"/>
      <c r="O1905" s="111"/>
      <c r="P1905" s="111"/>
      <c r="Q1905" s="111"/>
      <c r="R1905" s="111"/>
    </row>
    <row r="1906" spans="2:18" s="108" customFormat="1">
      <c r="B1906" s="109"/>
      <c r="C1906" s="110"/>
      <c r="D1906" s="109"/>
      <c r="E1906" s="109"/>
      <c r="F1906" s="97"/>
      <c r="G1906" s="109"/>
      <c r="H1906" s="109"/>
      <c r="I1906" s="97"/>
      <c r="J1906" s="97"/>
      <c r="K1906" s="83"/>
      <c r="L1906" s="111"/>
      <c r="M1906" s="111"/>
      <c r="N1906" s="111"/>
      <c r="O1906" s="111"/>
      <c r="P1906" s="111"/>
      <c r="Q1906" s="111"/>
      <c r="R1906" s="111"/>
    </row>
    <row r="1907" spans="2:18" s="108" customFormat="1">
      <c r="B1907" s="109"/>
      <c r="C1907" s="110"/>
      <c r="D1907" s="109"/>
      <c r="E1907" s="109"/>
      <c r="F1907" s="97"/>
      <c r="G1907" s="109"/>
      <c r="H1907" s="109"/>
      <c r="I1907" s="97"/>
      <c r="J1907" s="97"/>
      <c r="K1907" s="83"/>
      <c r="L1907" s="111"/>
      <c r="M1907" s="111"/>
      <c r="N1907" s="111"/>
      <c r="O1907" s="111"/>
      <c r="P1907" s="111"/>
      <c r="Q1907" s="111"/>
      <c r="R1907" s="111"/>
    </row>
    <row r="1908" spans="2:18" s="108" customFormat="1">
      <c r="B1908" s="109"/>
      <c r="C1908" s="110"/>
      <c r="D1908" s="109"/>
      <c r="E1908" s="109"/>
      <c r="F1908" s="97"/>
      <c r="G1908" s="109"/>
      <c r="H1908" s="109"/>
      <c r="I1908" s="97"/>
      <c r="J1908" s="97"/>
      <c r="K1908" s="83"/>
      <c r="L1908" s="111"/>
      <c r="M1908" s="111"/>
      <c r="N1908" s="111"/>
      <c r="O1908" s="111"/>
      <c r="P1908" s="111"/>
      <c r="Q1908" s="111"/>
      <c r="R1908" s="111"/>
    </row>
    <row r="1909" spans="2:18" s="108" customFormat="1">
      <c r="B1909" s="109"/>
      <c r="C1909" s="110"/>
      <c r="D1909" s="109"/>
      <c r="E1909" s="109"/>
      <c r="F1909" s="97"/>
      <c r="G1909" s="109"/>
      <c r="H1909" s="109"/>
      <c r="I1909" s="97"/>
      <c r="J1909" s="97"/>
      <c r="K1909" s="83"/>
      <c r="L1909" s="111"/>
      <c r="M1909" s="111"/>
      <c r="N1909" s="111"/>
      <c r="O1909" s="111"/>
      <c r="P1909" s="111"/>
      <c r="Q1909" s="111"/>
      <c r="R1909" s="111"/>
    </row>
    <row r="1910" spans="2:18" s="108" customFormat="1">
      <c r="B1910" s="109"/>
      <c r="C1910" s="110"/>
      <c r="D1910" s="109"/>
      <c r="E1910" s="109"/>
      <c r="F1910" s="97"/>
      <c r="G1910" s="109"/>
      <c r="H1910" s="109"/>
      <c r="I1910" s="97"/>
      <c r="J1910" s="97"/>
      <c r="K1910" s="83"/>
      <c r="L1910" s="111"/>
      <c r="M1910" s="111"/>
      <c r="N1910" s="111"/>
      <c r="O1910" s="111"/>
      <c r="P1910" s="111"/>
      <c r="Q1910" s="111"/>
      <c r="R1910" s="111"/>
    </row>
    <row r="1911" spans="2:18" s="108" customFormat="1">
      <c r="B1911" s="109"/>
      <c r="C1911" s="110"/>
      <c r="D1911" s="109"/>
      <c r="E1911" s="109"/>
      <c r="F1911" s="97"/>
      <c r="G1911" s="109"/>
      <c r="H1911" s="109"/>
      <c r="I1911" s="97"/>
      <c r="J1911" s="97"/>
      <c r="K1911" s="83"/>
      <c r="L1911" s="111"/>
      <c r="M1911" s="111"/>
      <c r="N1911" s="111"/>
      <c r="O1911" s="111"/>
      <c r="P1911" s="111"/>
      <c r="Q1911" s="111"/>
      <c r="R1911" s="111"/>
    </row>
    <row r="1912" spans="2:18" s="108" customFormat="1">
      <c r="B1912" s="109"/>
      <c r="C1912" s="110"/>
      <c r="D1912" s="109"/>
      <c r="E1912" s="109"/>
      <c r="F1912" s="97"/>
      <c r="G1912" s="109"/>
      <c r="H1912" s="109"/>
      <c r="I1912" s="97"/>
      <c r="J1912" s="97"/>
      <c r="K1912" s="83"/>
      <c r="L1912" s="111"/>
      <c r="M1912" s="111"/>
      <c r="N1912" s="111"/>
      <c r="O1912" s="111"/>
      <c r="P1912" s="111"/>
      <c r="Q1912" s="111"/>
      <c r="R1912" s="111"/>
    </row>
    <row r="1913" spans="2:18" s="108" customFormat="1">
      <c r="B1913" s="109"/>
      <c r="C1913" s="110"/>
      <c r="D1913" s="109"/>
      <c r="E1913" s="109"/>
      <c r="F1913" s="97"/>
      <c r="G1913" s="109"/>
      <c r="H1913" s="109"/>
      <c r="I1913" s="97"/>
      <c r="J1913" s="97"/>
      <c r="K1913" s="83"/>
      <c r="L1913" s="111"/>
      <c r="M1913" s="111"/>
      <c r="N1913" s="111"/>
      <c r="O1913" s="111"/>
      <c r="P1913" s="111"/>
      <c r="Q1913" s="111"/>
      <c r="R1913" s="111"/>
    </row>
    <row r="1914" spans="2:18" s="108" customFormat="1">
      <c r="B1914" s="109"/>
      <c r="C1914" s="110"/>
      <c r="D1914" s="109"/>
      <c r="E1914" s="109"/>
      <c r="F1914" s="97"/>
      <c r="G1914" s="109"/>
      <c r="H1914" s="109"/>
      <c r="I1914" s="97"/>
      <c r="J1914" s="97"/>
      <c r="K1914" s="83"/>
      <c r="L1914" s="111"/>
      <c r="M1914" s="111"/>
      <c r="N1914" s="111"/>
      <c r="O1914" s="111"/>
      <c r="P1914" s="111"/>
      <c r="Q1914" s="111"/>
      <c r="R1914" s="111"/>
    </row>
    <row r="1915" spans="2:18" s="108" customFormat="1">
      <c r="B1915" s="109"/>
      <c r="C1915" s="110"/>
      <c r="D1915" s="109"/>
      <c r="E1915" s="109"/>
      <c r="F1915" s="97"/>
      <c r="G1915" s="109"/>
      <c r="H1915" s="109"/>
      <c r="I1915" s="97"/>
      <c r="J1915" s="97"/>
      <c r="K1915" s="83"/>
      <c r="L1915" s="111"/>
      <c r="M1915" s="111"/>
      <c r="N1915" s="111"/>
      <c r="O1915" s="111"/>
      <c r="P1915" s="111"/>
      <c r="Q1915" s="111"/>
      <c r="R1915" s="111"/>
    </row>
    <row r="1916" spans="2:18" s="108" customFormat="1">
      <c r="B1916" s="109"/>
      <c r="C1916" s="110"/>
      <c r="D1916" s="109"/>
      <c r="E1916" s="109"/>
      <c r="F1916" s="97"/>
      <c r="G1916" s="109"/>
      <c r="H1916" s="109"/>
      <c r="I1916" s="97"/>
      <c r="J1916" s="97"/>
      <c r="K1916" s="83"/>
      <c r="L1916" s="111"/>
      <c r="M1916" s="111"/>
      <c r="N1916" s="111"/>
      <c r="O1916" s="111"/>
      <c r="P1916" s="111"/>
      <c r="Q1916" s="111"/>
      <c r="R1916" s="111"/>
    </row>
    <row r="1917" spans="2:18" s="108" customFormat="1">
      <c r="B1917" s="109"/>
      <c r="C1917" s="110"/>
      <c r="D1917" s="109"/>
      <c r="E1917" s="109"/>
      <c r="F1917" s="97"/>
      <c r="G1917" s="109"/>
      <c r="H1917" s="109"/>
      <c r="I1917" s="97"/>
      <c r="J1917" s="97"/>
      <c r="K1917" s="83"/>
      <c r="L1917" s="111"/>
      <c r="M1917" s="111"/>
      <c r="N1917" s="111"/>
      <c r="O1917" s="111"/>
      <c r="P1917" s="111"/>
      <c r="Q1917" s="111"/>
      <c r="R1917" s="111"/>
    </row>
    <row r="1918" spans="2:18" s="108" customFormat="1">
      <c r="B1918" s="109"/>
      <c r="C1918" s="110"/>
      <c r="D1918" s="109"/>
      <c r="E1918" s="109"/>
      <c r="F1918" s="97"/>
      <c r="G1918" s="109"/>
      <c r="H1918" s="109"/>
      <c r="I1918" s="97"/>
      <c r="J1918" s="97"/>
      <c r="K1918" s="83"/>
      <c r="L1918" s="111"/>
      <c r="M1918" s="111"/>
      <c r="N1918" s="111"/>
      <c r="O1918" s="111"/>
      <c r="P1918" s="111"/>
      <c r="Q1918" s="111"/>
      <c r="R1918" s="111"/>
    </row>
    <row r="1919" spans="2:18" s="108" customFormat="1">
      <c r="B1919" s="109"/>
      <c r="C1919" s="110"/>
      <c r="D1919" s="109"/>
      <c r="E1919" s="109"/>
      <c r="F1919" s="97"/>
      <c r="G1919" s="109"/>
      <c r="H1919" s="109"/>
      <c r="I1919" s="97"/>
      <c r="J1919" s="97"/>
      <c r="K1919" s="83"/>
      <c r="L1919" s="111"/>
      <c r="M1919" s="111"/>
      <c r="N1919" s="111"/>
      <c r="O1919" s="111"/>
      <c r="P1919" s="111"/>
      <c r="Q1919" s="111"/>
      <c r="R1919" s="111"/>
    </row>
    <row r="1920" spans="2:18" s="108" customFormat="1">
      <c r="B1920" s="109"/>
      <c r="C1920" s="110"/>
      <c r="D1920" s="109"/>
      <c r="E1920" s="109"/>
      <c r="F1920" s="97"/>
      <c r="G1920" s="109"/>
      <c r="H1920" s="109"/>
      <c r="I1920" s="97"/>
      <c r="J1920" s="97"/>
      <c r="K1920" s="83"/>
      <c r="L1920" s="111"/>
      <c r="M1920" s="111"/>
      <c r="N1920" s="111"/>
      <c r="O1920" s="111"/>
      <c r="P1920" s="111"/>
      <c r="Q1920" s="111"/>
      <c r="R1920" s="111"/>
    </row>
    <row r="1921" spans="2:18" s="108" customFormat="1">
      <c r="B1921" s="109"/>
      <c r="C1921" s="110"/>
      <c r="D1921" s="109"/>
      <c r="E1921" s="109"/>
      <c r="F1921" s="97"/>
      <c r="G1921" s="109"/>
      <c r="H1921" s="109"/>
      <c r="I1921" s="97"/>
      <c r="J1921" s="97"/>
      <c r="K1921" s="83"/>
      <c r="L1921" s="111"/>
      <c r="M1921" s="111"/>
      <c r="N1921" s="111"/>
      <c r="O1921" s="111"/>
      <c r="P1921" s="111"/>
      <c r="Q1921" s="111"/>
      <c r="R1921" s="111"/>
    </row>
    <row r="1922" spans="2:18" s="108" customFormat="1">
      <c r="B1922" s="109"/>
      <c r="C1922" s="110"/>
      <c r="D1922" s="109"/>
      <c r="E1922" s="109"/>
      <c r="F1922" s="97"/>
      <c r="G1922" s="109"/>
      <c r="H1922" s="109"/>
      <c r="I1922" s="97"/>
      <c r="J1922" s="97"/>
      <c r="K1922" s="83"/>
      <c r="L1922" s="111"/>
      <c r="M1922" s="111"/>
      <c r="N1922" s="111"/>
      <c r="O1922" s="111"/>
      <c r="P1922" s="111"/>
      <c r="Q1922" s="111"/>
      <c r="R1922" s="111"/>
    </row>
    <row r="1923" spans="2:18" s="108" customFormat="1">
      <c r="B1923" s="109"/>
      <c r="C1923" s="110"/>
      <c r="D1923" s="109"/>
      <c r="E1923" s="109"/>
      <c r="F1923" s="97"/>
      <c r="G1923" s="109"/>
      <c r="H1923" s="109"/>
      <c r="I1923" s="97"/>
      <c r="J1923" s="97"/>
      <c r="K1923" s="83"/>
      <c r="L1923" s="111"/>
      <c r="M1923" s="111"/>
      <c r="N1923" s="111"/>
      <c r="O1923" s="111"/>
      <c r="P1923" s="111"/>
      <c r="Q1923" s="111"/>
      <c r="R1923" s="111"/>
    </row>
    <row r="1924" spans="2:18" s="108" customFormat="1">
      <c r="B1924" s="109"/>
      <c r="C1924" s="110"/>
      <c r="D1924" s="109"/>
      <c r="E1924" s="109"/>
      <c r="F1924" s="97"/>
      <c r="G1924" s="109"/>
      <c r="H1924" s="109"/>
      <c r="I1924" s="97"/>
      <c r="J1924" s="97"/>
      <c r="K1924" s="83"/>
      <c r="L1924" s="111"/>
      <c r="M1924" s="111"/>
      <c r="N1924" s="111"/>
      <c r="O1924" s="111"/>
      <c r="P1924" s="111"/>
      <c r="Q1924" s="111"/>
      <c r="R1924" s="111"/>
    </row>
    <row r="1925" spans="2:18" s="108" customFormat="1">
      <c r="B1925" s="109"/>
      <c r="C1925" s="110"/>
      <c r="D1925" s="109"/>
      <c r="E1925" s="109"/>
      <c r="F1925" s="97"/>
      <c r="G1925" s="109"/>
      <c r="H1925" s="109"/>
      <c r="I1925" s="97"/>
      <c r="J1925" s="97"/>
      <c r="K1925" s="83"/>
      <c r="L1925" s="111"/>
      <c r="M1925" s="111"/>
      <c r="N1925" s="111"/>
      <c r="O1925" s="111"/>
      <c r="P1925" s="111"/>
      <c r="Q1925" s="111"/>
      <c r="R1925" s="111"/>
    </row>
    <row r="1926" spans="2:18" s="108" customFormat="1">
      <c r="B1926" s="109"/>
      <c r="C1926" s="110"/>
      <c r="D1926" s="109"/>
      <c r="E1926" s="109"/>
      <c r="F1926" s="97"/>
      <c r="G1926" s="109"/>
      <c r="H1926" s="109"/>
      <c r="I1926" s="97"/>
      <c r="J1926" s="97"/>
      <c r="K1926" s="83"/>
      <c r="L1926" s="111"/>
      <c r="M1926" s="111"/>
      <c r="N1926" s="111"/>
      <c r="O1926" s="111"/>
      <c r="P1926" s="111"/>
      <c r="Q1926" s="111"/>
      <c r="R1926" s="111"/>
    </row>
    <row r="1927" spans="2:18" s="108" customFormat="1">
      <c r="B1927" s="109"/>
      <c r="C1927" s="110"/>
      <c r="D1927" s="109"/>
      <c r="E1927" s="109"/>
      <c r="F1927" s="97"/>
      <c r="G1927" s="109"/>
      <c r="H1927" s="109"/>
      <c r="I1927" s="97"/>
      <c r="J1927" s="97"/>
      <c r="K1927" s="83"/>
      <c r="L1927" s="111"/>
      <c r="M1927" s="111"/>
      <c r="N1927" s="111"/>
      <c r="O1927" s="111"/>
      <c r="P1927" s="111"/>
      <c r="Q1927" s="111"/>
      <c r="R1927" s="111"/>
    </row>
    <row r="1928" spans="2:18" s="108" customFormat="1">
      <c r="B1928" s="109"/>
      <c r="C1928" s="110"/>
      <c r="D1928" s="109"/>
      <c r="E1928" s="109"/>
      <c r="F1928" s="97"/>
      <c r="G1928" s="109"/>
      <c r="H1928" s="109"/>
      <c r="I1928" s="97"/>
      <c r="J1928" s="97"/>
      <c r="K1928" s="83"/>
      <c r="L1928" s="111"/>
      <c r="M1928" s="111"/>
      <c r="N1928" s="111"/>
      <c r="O1928" s="111"/>
      <c r="P1928" s="111"/>
      <c r="Q1928" s="111"/>
      <c r="R1928" s="111"/>
    </row>
    <row r="1929" spans="2:18" s="108" customFormat="1">
      <c r="B1929" s="109"/>
      <c r="C1929" s="110"/>
      <c r="D1929" s="109"/>
      <c r="E1929" s="109"/>
      <c r="F1929" s="97"/>
      <c r="G1929" s="109"/>
      <c r="H1929" s="109"/>
      <c r="I1929" s="97"/>
      <c r="J1929" s="97"/>
      <c r="K1929" s="83"/>
      <c r="L1929" s="111"/>
      <c r="M1929" s="111"/>
      <c r="N1929" s="111"/>
      <c r="O1929" s="111"/>
      <c r="P1929" s="111"/>
      <c r="Q1929" s="111"/>
      <c r="R1929" s="111"/>
    </row>
    <row r="1930" spans="2:18" s="108" customFormat="1">
      <c r="B1930" s="109"/>
      <c r="C1930" s="110"/>
      <c r="D1930" s="109"/>
      <c r="E1930" s="109"/>
      <c r="F1930" s="97"/>
      <c r="G1930" s="109"/>
      <c r="H1930" s="109"/>
      <c r="I1930" s="97"/>
      <c r="J1930" s="97"/>
      <c r="K1930" s="83"/>
      <c r="L1930" s="111"/>
      <c r="M1930" s="111"/>
      <c r="N1930" s="111"/>
      <c r="O1930" s="111"/>
      <c r="P1930" s="111"/>
      <c r="Q1930" s="111"/>
      <c r="R1930" s="111"/>
    </row>
    <row r="1931" spans="2:18" s="108" customFormat="1">
      <c r="B1931" s="109"/>
      <c r="C1931" s="110"/>
      <c r="D1931" s="109"/>
      <c r="E1931" s="109"/>
      <c r="F1931" s="97"/>
      <c r="G1931" s="109"/>
      <c r="H1931" s="109"/>
      <c r="I1931" s="97"/>
      <c r="J1931" s="97"/>
      <c r="K1931" s="83"/>
      <c r="L1931" s="111"/>
      <c r="M1931" s="111"/>
      <c r="N1931" s="111"/>
      <c r="O1931" s="111"/>
      <c r="P1931" s="111"/>
      <c r="Q1931" s="111"/>
      <c r="R1931" s="111"/>
    </row>
    <row r="1932" spans="2:18" s="108" customFormat="1">
      <c r="B1932" s="109"/>
      <c r="C1932" s="110"/>
      <c r="D1932" s="109"/>
      <c r="E1932" s="109"/>
      <c r="F1932" s="97"/>
      <c r="G1932" s="109"/>
      <c r="H1932" s="109"/>
      <c r="I1932" s="97"/>
      <c r="J1932" s="97"/>
      <c r="K1932" s="83"/>
      <c r="L1932" s="111"/>
      <c r="M1932" s="111"/>
      <c r="N1932" s="111"/>
      <c r="O1932" s="111"/>
      <c r="P1932" s="111"/>
      <c r="Q1932" s="111"/>
      <c r="R1932" s="111"/>
    </row>
    <row r="1933" spans="2:18" s="108" customFormat="1">
      <c r="B1933" s="109"/>
      <c r="C1933" s="110"/>
      <c r="D1933" s="109"/>
      <c r="E1933" s="109"/>
      <c r="F1933" s="97"/>
      <c r="G1933" s="109"/>
      <c r="H1933" s="109"/>
      <c r="I1933" s="97"/>
      <c r="J1933" s="97"/>
      <c r="K1933" s="83"/>
      <c r="L1933" s="111"/>
      <c r="M1933" s="111"/>
      <c r="N1933" s="111"/>
      <c r="O1933" s="111"/>
      <c r="P1933" s="111"/>
      <c r="Q1933" s="111"/>
      <c r="R1933" s="111"/>
    </row>
    <row r="1934" spans="2:18" s="108" customFormat="1">
      <c r="B1934" s="109"/>
      <c r="C1934" s="110"/>
      <c r="D1934" s="109"/>
      <c r="E1934" s="109"/>
      <c r="F1934" s="97"/>
      <c r="G1934" s="109"/>
      <c r="H1934" s="109"/>
      <c r="I1934" s="97"/>
      <c r="J1934" s="97"/>
      <c r="K1934" s="83"/>
      <c r="L1934" s="111"/>
      <c r="M1934" s="111"/>
      <c r="N1934" s="111"/>
      <c r="O1934" s="111"/>
      <c r="P1934" s="111"/>
      <c r="Q1934" s="111"/>
      <c r="R1934" s="111"/>
    </row>
    <row r="1935" spans="2:18" s="108" customFormat="1">
      <c r="B1935" s="109"/>
      <c r="C1935" s="110"/>
      <c r="D1935" s="109"/>
      <c r="E1935" s="109"/>
      <c r="F1935" s="97"/>
      <c r="G1935" s="109"/>
      <c r="H1935" s="109"/>
      <c r="I1935" s="97"/>
      <c r="J1935" s="97"/>
      <c r="K1935" s="83"/>
      <c r="L1935" s="111"/>
      <c r="M1935" s="111"/>
      <c r="N1935" s="111"/>
      <c r="O1935" s="111"/>
      <c r="P1935" s="111"/>
      <c r="Q1935" s="111"/>
      <c r="R1935" s="111"/>
    </row>
    <row r="1936" spans="2:18" s="108" customFormat="1">
      <c r="B1936" s="109"/>
      <c r="C1936" s="110"/>
      <c r="D1936" s="109"/>
      <c r="E1936" s="109"/>
      <c r="F1936" s="97"/>
      <c r="G1936" s="109"/>
      <c r="H1936" s="109"/>
      <c r="I1936" s="97"/>
      <c r="J1936" s="97"/>
      <c r="K1936" s="83"/>
      <c r="L1936" s="111"/>
      <c r="M1936" s="111"/>
      <c r="N1936" s="111"/>
      <c r="O1936" s="111"/>
      <c r="P1936" s="111"/>
      <c r="Q1936" s="111"/>
      <c r="R1936" s="111"/>
    </row>
    <row r="1937" spans="2:18" s="108" customFormat="1">
      <c r="B1937" s="109"/>
      <c r="C1937" s="110"/>
      <c r="D1937" s="109"/>
      <c r="E1937" s="109"/>
      <c r="F1937" s="97"/>
      <c r="G1937" s="109"/>
      <c r="H1937" s="109"/>
      <c r="I1937" s="97"/>
      <c r="J1937" s="97"/>
      <c r="K1937" s="83"/>
      <c r="L1937" s="111"/>
      <c r="M1937" s="111"/>
      <c r="N1937" s="111"/>
      <c r="O1937" s="111"/>
      <c r="P1937" s="111"/>
      <c r="Q1937" s="111"/>
      <c r="R1937" s="111"/>
    </row>
    <row r="1938" spans="2:18" s="108" customFormat="1">
      <c r="B1938" s="109"/>
      <c r="C1938" s="110"/>
      <c r="D1938" s="109"/>
      <c r="E1938" s="109"/>
      <c r="F1938" s="97"/>
      <c r="G1938" s="109"/>
      <c r="H1938" s="109"/>
      <c r="I1938" s="97"/>
      <c r="J1938" s="97"/>
      <c r="K1938" s="83"/>
      <c r="L1938" s="111"/>
      <c r="M1938" s="111"/>
      <c r="N1938" s="111"/>
      <c r="O1938" s="111"/>
      <c r="P1938" s="111"/>
      <c r="Q1938" s="111"/>
      <c r="R1938" s="111"/>
    </row>
    <row r="1939" spans="2:18" s="108" customFormat="1">
      <c r="B1939" s="109"/>
      <c r="C1939" s="110"/>
      <c r="D1939" s="109"/>
      <c r="E1939" s="109"/>
      <c r="F1939" s="97"/>
      <c r="G1939" s="109"/>
      <c r="H1939" s="109"/>
      <c r="I1939" s="97"/>
      <c r="J1939" s="97"/>
      <c r="K1939" s="83"/>
      <c r="L1939" s="111"/>
      <c r="M1939" s="111"/>
      <c r="N1939" s="111"/>
      <c r="O1939" s="111"/>
      <c r="P1939" s="111"/>
      <c r="Q1939" s="111"/>
      <c r="R1939" s="111"/>
    </row>
    <row r="1940" spans="2:18" s="108" customFormat="1">
      <c r="B1940" s="109"/>
      <c r="C1940" s="110"/>
      <c r="D1940" s="109"/>
      <c r="E1940" s="109"/>
      <c r="F1940" s="97"/>
      <c r="G1940" s="109"/>
      <c r="H1940" s="109"/>
      <c r="I1940" s="97"/>
      <c r="J1940" s="97"/>
      <c r="K1940" s="83"/>
      <c r="L1940" s="111"/>
      <c r="M1940" s="111"/>
      <c r="N1940" s="111"/>
      <c r="O1940" s="111"/>
      <c r="P1940" s="111"/>
      <c r="Q1940" s="111"/>
      <c r="R1940" s="111"/>
    </row>
    <row r="1941" spans="2:18" s="108" customFormat="1">
      <c r="B1941" s="109"/>
      <c r="C1941" s="110"/>
      <c r="D1941" s="109"/>
      <c r="E1941" s="109"/>
      <c r="F1941" s="97"/>
      <c r="G1941" s="109"/>
      <c r="H1941" s="109"/>
      <c r="I1941" s="97"/>
      <c r="J1941" s="97"/>
      <c r="K1941" s="83"/>
      <c r="L1941" s="111"/>
      <c r="M1941" s="111"/>
      <c r="N1941" s="111"/>
      <c r="O1941" s="111"/>
      <c r="P1941" s="111"/>
      <c r="Q1941" s="111"/>
      <c r="R1941" s="111"/>
    </row>
    <row r="1942" spans="2:18" s="108" customFormat="1">
      <c r="B1942" s="109"/>
      <c r="C1942" s="110"/>
      <c r="D1942" s="109"/>
      <c r="E1942" s="109"/>
      <c r="F1942" s="97"/>
      <c r="G1942" s="109"/>
      <c r="H1942" s="109"/>
      <c r="I1942" s="97"/>
      <c r="J1942" s="97"/>
      <c r="K1942" s="83"/>
      <c r="L1942" s="111"/>
      <c r="M1942" s="111"/>
      <c r="N1942" s="111"/>
      <c r="O1942" s="111"/>
      <c r="P1942" s="111"/>
      <c r="Q1942" s="111"/>
      <c r="R1942" s="111"/>
    </row>
    <row r="1943" spans="2:18" s="108" customFormat="1">
      <c r="B1943" s="109"/>
      <c r="C1943" s="110"/>
      <c r="D1943" s="109"/>
      <c r="E1943" s="109"/>
      <c r="F1943" s="97"/>
      <c r="G1943" s="109"/>
      <c r="H1943" s="109"/>
      <c r="I1943" s="97"/>
      <c r="J1943" s="97"/>
      <c r="K1943" s="83"/>
      <c r="L1943" s="111"/>
      <c r="M1943" s="111"/>
      <c r="N1943" s="111"/>
      <c r="O1943" s="111"/>
      <c r="P1943" s="111"/>
      <c r="Q1943" s="111"/>
      <c r="R1943" s="111"/>
    </row>
    <row r="1944" spans="2:18" s="108" customFormat="1">
      <c r="B1944" s="109"/>
      <c r="C1944" s="110"/>
      <c r="D1944" s="109"/>
      <c r="E1944" s="109"/>
      <c r="F1944" s="97"/>
      <c r="G1944" s="109"/>
      <c r="H1944" s="109"/>
      <c r="I1944" s="97"/>
      <c r="J1944" s="97"/>
      <c r="K1944" s="83"/>
      <c r="L1944" s="111"/>
      <c r="M1944" s="111"/>
      <c r="N1944" s="111"/>
      <c r="O1944" s="111"/>
      <c r="P1944" s="111"/>
      <c r="Q1944" s="111"/>
      <c r="R1944" s="111"/>
    </row>
    <row r="1945" spans="2:18" s="108" customFormat="1">
      <c r="B1945" s="109"/>
      <c r="C1945" s="110"/>
      <c r="D1945" s="109"/>
      <c r="E1945" s="109"/>
      <c r="F1945" s="97"/>
      <c r="G1945" s="109"/>
      <c r="H1945" s="109"/>
      <c r="I1945" s="97"/>
      <c r="J1945" s="97"/>
      <c r="K1945" s="83"/>
      <c r="L1945" s="111"/>
      <c r="M1945" s="111"/>
      <c r="N1945" s="111"/>
      <c r="O1945" s="111"/>
      <c r="P1945" s="111"/>
      <c r="Q1945" s="111"/>
      <c r="R1945" s="111"/>
    </row>
    <row r="1946" spans="2:18" s="108" customFormat="1">
      <c r="B1946" s="109"/>
      <c r="C1946" s="110"/>
      <c r="D1946" s="109"/>
      <c r="E1946" s="109"/>
      <c r="F1946" s="97"/>
      <c r="G1946" s="109"/>
      <c r="H1946" s="109"/>
      <c r="I1946" s="97"/>
      <c r="J1946" s="97"/>
      <c r="K1946" s="83"/>
      <c r="L1946" s="111"/>
      <c r="M1946" s="111"/>
      <c r="N1946" s="111"/>
      <c r="O1946" s="111"/>
      <c r="P1946" s="111"/>
      <c r="Q1946" s="111"/>
      <c r="R1946" s="111"/>
    </row>
    <row r="1947" spans="2:18" s="108" customFormat="1">
      <c r="B1947" s="109"/>
      <c r="C1947" s="110"/>
      <c r="D1947" s="109"/>
      <c r="E1947" s="109"/>
      <c r="F1947" s="97"/>
      <c r="G1947" s="109"/>
      <c r="H1947" s="109"/>
      <c r="I1947" s="97"/>
      <c r="J1947" s="97"/>
      <c r="K1947" s="83"/>
      <c r="L1947" s="111"/>
      <c r="M1947" s="111"/>
      <c r="N1947" s="111"/>
      <c r="O1947" s="111"/>
      <c r="P1947" s="111"/>
      <c r="Q1947" s="111"/>
      <c r="R1947" s="111"/>
    </row>
    <row r="1948" spans="2:18" s="108" customFormat="1">
      <c r="B1948" s="109"/>
      <c r="C1948" s="110"/>
      <c r="D1948" s="109"/>
      <c r="E1948" s="109"/>
      <c r="F1948" s="97"/>
      <c r="G1948" s="109"/>
      <c r="H1948" s="109"/>
      <c r="I1948" s="97"/>
      <c r="J1948" s="97"/>
      <c r="K1948" s="83"/>
      <c r="L1948" s="111"/>
      <c r="M1948" s="111"/>
      <c r="N1948" s="111"/>
      <c r="O1948" s="111"/>
      <c r="P1948" s="111"/>
      <c r="Q1948" s="111"/>
      <c r="R1948" s="111"/>
    </row>
    <row r="1949" spans="2:18" s="108" customFormat="1">
      <c r="B1949" s="109"/>
      <c r="C1949" s="110"/>
      <c r="D1949" s="109"/>
      <c r="E1949" s="109"/>
      <c r="F1949" s="97"/>
      <c r="G1949" s="109"/>
      <c r="H1949" s="109"/>
      <c r="I1949" s="97"/>
      <c r="J1949" s="97"/>
      <c r="K1949" s="83"/>
      <c r="L1949" s="111"/>
      <c r="M1949" s="111"/>
      <c r="N1949" s="111"/>
      <c r="O1949" s="111"/>
      <c r="P1949" s="111"/>
      <c r="Q1949" s="111"/>
      <c r="R1949" s="111"/>
    </row>
    <row r="1950" spans="2:18" s="108" customFormat="1">
      <c r="B1950" s="109"/>
      <c r="C1950" s="110"/>
      <c r="D1950" s="109"/>
      <c r="E1950" s="109"/>
      <c r="F1950" s="97"/>
      <c r="G1950" s="109"/>
      <c r="H1950" s="109"/>
      <c r="I1950" s="97"/>
      <c r="J1950" s="97"/>
      <c r="K1950" s="83"/>
      <c r="L1950" s="111"/>
      <c r="M1950" s="111"/>
      <c r="N1950" s="111"/>
      <c r="O1950" s="111"/>
      <c r="P1950" s="111"/>
      <c r="Q1950" s="111"/>
      <c r="R1950" s="111"/>
    </row>
    <row r="1951" spans="2:18" s="108" customFormat="1">
      <c r="B1951" s="109"/>
      <c r="C1951" s="110"/>
      <c r="D1951" s="109"/>
      <c r="E1951" s="109"/>
      <c r="F1951" s="97"/>
      <c r="G1951" s="109"/>
      <c r="H1951" s="109"/>
      <c r="I1951" s="97"/>
      <c r="J1951" s="97"/>
      <c r="K1951" s="83"/>
      <c r="L1951" s="111"/>
      <c r="M1951" s="111"/>
      <c r="N1951" s="111"/>
      <c r="O1951" s="111"/>
      <c r="P1951" s="111"/>
      <c r="Q1951" s="111"/>
      <c r="R1951" s="111"/>
    </row>
    <row r="1952" spans="2:18" s="108" customFormat="1">
      <c r="B1952" s="109"/>
      <c r="C1952" s="110"/>
      <c r="D1952" s="109"/>
      <c r="E1952" s="109"/>
      <c r="F1952" s="97"/>
      <c r="G1952" s="109"/>
      <c r="H1952" s="109"/>
      <c r="I1952" s="97"/>
      <c r="J1952" s="97"/>
      <c r="K1952" s="83"/>
      <c r="L1952" s="111"/>
      <c r="M1952" s="111"/>
      <c r="N1952" s="111"/>
      <c r="O1952" s="111"/>
      <c r="P1952" s="111"/>
      <c r="Q1952" s="111"/>
      <c r="R1952" s="111"/>
    </row>
    <row r="1953" spans="2:18" s="108" customFormat="1">
      <c r="B1953" s="109"/>
      <c r="C1953" s="110"/>
      <c r="D1953" s="109"/>
      <c r="E1953" s="109"/>
      <c r="F1953" s="97"/>
      <c r="G1953" s="109"/>
      <c r="H1953" s="109"/>
      <c r="I1953" s="97"/>
      <c r="J1953" s="97"/>
      <c r="K1953" s="83"/>
      <c r="L1953" s="111"/>
      <c r="M1953" s="111"/>
      <c r="N1953" s="111"/>
      <c r="O1953" s="111"/>
      <c r="P1953" s="111"/>
      <c r="Q1953" s="111"/>
      <c r="R1953" s="111"/>
    </row>
    <row r="1954" spans="2:18" s="108" customFormat="1">
      <c r="B1954" s="109"/>
      <c r="C1954" s="110"/>
      <c r="D1954" s="109"/>
      <c r="E1954" s="109"/>
      <c r="F1954" s="97"/>
      <c r="G1954" s="109"/>
      <c r="H1954" s="109"/>
      <c r="I1954" s="97"/>
      <c r="J1954" s="97"/>
      <c r="K1954" s="83"/>
      <c r="L1954" s="111"/>
      <c r="M1954" s="111"/>
      <c r="N1954" s="111"/>
      <c r="O1954" s="111"/>
      <c r="P1954" s="111"/>
      <c r="Q1954" s="111"/>
      <c r="R1954" s="111"/>
    </row>
    <row r="1955" spans="2:18" s="108" customFormat="1">
      <c r="B1955" s="109"/>
      <c r="C1955" s="110"/>
      <c r="D1955" s="109"/>
      <c r="E1955" s="109"/>
      <c r="F1955" s="97"/>
      <c r="G1955" s="109"/>
      <c r="H1955" s="109"/>
      <c r="I1955" s="97"/>
      <c r="J1955" s="97"/>
      <c r="K1955" s="83"/>
      <c r="L1955" s="111"/>
      <c r="M1955" s="111"/>
      <c r="N1955" s="111"/>
      <c r="O1955" s="111"/>
      <c r="P1955" s="111"/>
      <c r="Q1955" s="111"/>
      <c r="R1955" s="111"/>
    </row>
    <row r="1956" spans="2:18" s="108" customFormat="1">
      <c r="B1956" s="109"/>
      <c r="C1956" s="110"/>
      <c r="D1956" s="109"/>
      <c r="E1956" s="109"/>
      <c r="F1956" s="97"/>
      <c r="G1956" s="109"/>
      <c r="H1956" s="109"/>
      <c r="I1956" s="97"/>
      <c r="J1956" s="97"/>
      <c r="K1956" s="83"/>
      <c r="L1956" s="111"/>
      <c r="M1956" s="111"/>
      <c r="N1956" s="111"/>
      <c r="O1956" s="111"/>
      <c r="P1956" s="111"/>
      <c r="Q1956" s="111"/>
      <c r="R1956" s="111"/>
    </row>
    <row r="1957" spans="2:18" s="108" customFormat="1">
      <c r="B1957" s="109"/>
      <c r="C1957" s="110"/>
      <c r="D1957" s="109"/>
      <c r="E1957" s="109"/>
      <c r="F1957" s="97"/>
      <c r="G1957" s="109"/>
      <c r="H1957" s="109"/>
      <c r="I1957" s="97"/>
      <c r="J1957" s="97"/>
      <c r="K1957" s="83"/>
      <c r="L1957" s="111"/>
      <c r="M1957" s="111"/>
      <c r="N1957" s="111"/>
      <c r="O1957" s="111"/>
      <c r="P1957" s="111"/>
      <c r="Q1957" s="111"/>
      <c r="R1957" s="111"/>
    </row>
    <row r="1958" spans="2:18" s="108" customFormat="1">
      <c r="B1958" s="109"/>
      <c r="C1958" s="110"/>
      <c r="D1958" s="109"/>
      <c r="E1958" s="109"/>
      <c r="F1958" s="97"/>
      <c r="G1958" s="109"/>
      <c r="H1958" s="109"/>
      <c r="I1958" s="97"/>
      <c r="J1958" s="97"/>
      <c r="K1958" s="83"/>
      <c r="L1958" s="111"/>
      <c r="M1958" s="111"/>
      <c r="N1958" s="111"/>
      <c r="O1958" s="111"/>
      <c r="P1958" s="111"/>
      <c r="Q1958" s="111"/>
      <c r="R1958" s="111"/>
    </row>
    <row r="1959" spans="2:18" s="108" customFormat="1">
      <c r="B1959" s="109"/>
      <c r="C1959" s="110"/>
      <c r="D1959" s="109"/>
      <c r="E1959" s="109"/>
      <c r="F1959" s="97"/>
      <c r="G1959" s="109"/>
      <c r="H1959" s="109"/>
      <c r="I1959" s="97"/>
      <c r="J1959" s="97"/>
      <c r="K1959" s="83"/>
      <c r="L1959" s="111"/>
      <c r="M1959" s="111"/>
      <c r="N1959" s="111"/>
      <c r="O1959" s="111"/>
      <c r="P1959" s="111"/>
      <c r="Q1959" s="111"/>
      <c r="R1959" s="111"/>
    </row>
    <row r="1960" spans="2:18" s="108" customFormat="1">
      <c r="B1960" s="109"/>
      <c r="C1960" s="110"/>
      <c r="D1960" s="109"/>
      <c r="E1960" s="109"/>
      <c r="F1960" s="97"/>
      <c r="G1960" s="109"/>
      <c r="H1960" s="109"/>
      <c r="I1960" s="97"/>
      <c r="J1960" s="97"/>
      <c r="K1960" s="83"/>
      <c r="L1960" s="111"/>
      <c r="M1960" s="111"/>
      <c r="N1960" s="111"/>
      <c r="O1960" s="111"/>
      <c r="P1960" s="111"/>
      <c r="Q1960" s="111"/>
      <c r="R1960" s="111"/>
    </row>
    <row r="1961" spans="2:18" s="108" customFormat="1">
      <c r="B1961" s="109"/>
      <c r="C1961" s="110"/>
      <c r="D1961" s="109"/>
      <c r="E1961" s="109"/>
      <c r="F1961" s="97"/>
      <c r="G1961" s="109"/>
      <c r="H1961" s="109"/>
      <c r="I1961" s="97"/>
      <c r="J1961" s="97"/>
      <c r="K1961" s="83"/>
      <c r="L1961" s="111"/>
      <c r="M1961" s="111"/>
      <c r="N1961" s="111"/>
      <c r="O1961" s="111"/>
      <c r="P1961" s="111"/>
      <c r="Q1961" s="111"/>
      <c r="R1961" s="111"/>
    </row>
    <row r="1962" spans="2:18" s="108" customFormat="1">
      <c r="B1962" s="109"/>
      <c r="C1962" s="110"/>
      <c r="D1962" s="109"/>
      <c r="E1962" s="109"/>
      <c r="F1962" s="97"/>
      <c r="G1962" s="109"/>
      <c r="H1962" s="109"/>
      <c r="I1962" s="97"/>
      <c r="J1962" s="97"/>
      <c r="K1962" s="83"/>
      <c r="L1962" s="111"/>
      <c r="M1962" s="111"/>
      <c r="N1962" s="111"/>
      <c r="O1962" s="111"/>
      <c r="P1962" s="111"/>
      <c r="Q1962" s="111"/>
      <c r="R1962" s="111"/>
    </row>
    <row r="1963" spans="2:18" s="108" customFormat="1">
      <c r="B1963" s="109"/>
      <c r="C1963" s="110"/>
      <c r="D1963" s="109"/>
      <c r="E1963" s="109"/>
      <c r="F1963" s="97"/>
      <c r="G1963" s="109"/>
      <c r="H1963" s="109"/>
      <c r="I1963" s="97"/>
      <c r="J1963" s="97"/>
      <c r="K1963" s="83"/>
      <c r="L1963" s="111"/>
      <c r="M1963" s="111"/>
      <c r="N1963" s="111"/>
      <c r="O1963" s="111"/>
      <c r="P1963" s="111"/>
      <c r="Q1963" s="111"/>
      <c r="R1963" s="111"/>
    </row>
    <row r="1964" spans="2:18" s="108" customFormat="1">
      <c r="B1964" s="109"/>
      <c r="C1964" s="110"/>
      <c r="D1964" s="109"/>
      <c r="E1964" s="109"/>
      <c r="F1964" s="97"/>
      <c r="G1964" s="109"/>
      <c r="H1964" s="109"/>
      <c r="I1964" s="97"/>
      <c r="J1964" s="97"/>
      <c r="K1964" s="83"/>
      <c r="L1964" s="111"/>
      <c r="M1964" s="111"/>
      <c r="N1964" s="111"/>
      <c r="O1964" s="111"/>
      <c r="P1964" s="111"/>
      <c r="Q1964" s="111"/>
      <c r="R1964" s="111"/>
    </row>
    <row r="1965" spans="2:18" s="108" customFormat="1">
      <c r="B1965" s="109"/>
      <c r="C1965" s="110"/>
      <c r="D1965" s="109"/>
      <c r="E1965" s="109"/>
      <c r="F1965" s="97"/>
      <c r="G1965" s="109"/>
      <c r="H1965" s="109"/>
      <c r="I1965" s="97"/>
      <c r="J1965" s="97"/>
      <c r="K1965" s="83"/>
      <c r="L1965" s="111"/>
      <c r="M1965" s="111"/>
      <c r="N1965" s="111"/>
      <c r="O1965" s="111"/>
      <c r="P1965" s="111"/>
      <c r="Q1965" s="111"/>
      <c r="R1965" s="111"/>
    </row>
    <row r="1966" spans="2:18" s="108" customFormat="1">
      <c r="B1966" s="109"/>
      <c r="C1966" s="110"/>
      <c r="D1966" s="109"/>
      <c r="E1966" s="109"/>
      <c r="F1966" s="97"/>
      <c r="G1966" s="109"/>
      <c r="H1966" s="109"/>
      <c r="I1966" s="97"/>
      <c r="J1966" s="97"/>
      <c r="K1966" s="83"/>
      <c r="L1966" s="111"/>
      <c r="M1966" s="111"/>
      <c r="N1966" s="111"/>
      <c r="O1966" s="111"/>
      <c r="P1966" s="111"/>
      <c r="Q1966" s="111"/>
      <c r="R1966" s="111"/>
    </row>
    <row r="1967" spans="2:18" s="108" customFormat="1">
      <c r="B1967" s="109"/>
      <c r="C1967" s="110"/>
      <c r="D1967" s="109"/>
      <c r="E1967" s="109"/>
      <c r="F1967" s="97"/>
      <c r="G1967" s="109"/>
      <c r="H1967" s="109"/>
      <c r="I1967" s="97"/>
      <c r="J1967" s="97"/>
      <c r="K1967" s="83"/>
      <c r="L1967" s="111"/>
      <c r="M1967" s="111"/>
      <c r="N1967" s="111"/>
      <c r="O1967" s="111"/>
      <c r="P1967" s="111"/>
      <c r="Q1967" s="111"/>
      <c r="R1967" s="111"/>
    </row>
    <row r="1968" spans="2:18" s="108" customFormat="1">
      <c r="B1968" s="109"/>
      <c r="C1968" s="110"/>
      <c r="D1968" s="109"/>
      <c r="E1968" s="109"/>
      <c r="F1968" s="97"/>
      <c r="G1968" s="109"/>
      <c r="H1968" s="109"/>
      <c r="I1968" s="97"/>
      <c r="J1968" s="97"/>
      <c r="K1968" s="83"/>
      <c r="L1968" s="111"/>
      <c r="M1968" s="111"/>
      <c r="N1968" s="111"/>
      <c r="O1968" s="111"/>
      <c r="P1968" s="111"/>
      <c r="Q1968" s="111"/>
      <c r="R1968" s="111"/>
    </row>
    <row r="1969" spans="2:18" s="108" customFormat="1">
      <c r="B1969" s="109"/>
      <c r="C1969" s="110"/>
      <c r="D1969" s="109"/>
      <c r="E1969" s="109"/>
      <c r="F1969" s="97"/>
      <c r="G1969" s="109"/>
      <c r="H1969" s="109"/>
      <c r="I1969" s="97"/>
      <c r="J1969" s="97"/>
      <c r="K1969" s="83"/>
      <c r="L1969" s="111"/>
      <c r="M1969" s="111"/>
      <c r="N1969" s="111"/>
      <c r="O1969" s="111"/>
      <c r="P1969" s="111"/>
      <c r="Q1969" s="111"/>
      <c r="R1969" s="111"/>
    </row>
    <row r="1970" spans="2:18" s="108" customFormat="1">
      <c r="B1970" s="109"/>
      <c r="C1970" s="110"/>
      <c r="D1970" s="109"/>
      <c r="E1970" s="109"/>
      <c r="F1970" s="97"/>
      <c r="G1970" s="109"/>
      <c r="H1970" s="109"/>
      <c r="I1970" s="97"/>
      <c r="J1970" s="97"/>
      <c r="K1970" s="83"/>
      <c r="L1970" s="111"/>
      <c r="M1970" s="111"/>
      <c r="N1970" s="111"/>
      <c r="O1970" s="111"/>
      <c r="P1970" s="111"/>
      <c r="Q1970" s="111"/>
      <c r="R1970" s="111"/>
    </row>
    <row r="1971" spans="2:18" s="108" customFormat="1">
      <c r="B1971" s="109"/>
      <c r="C1971" s="110"/>
      <c r="D1971" s="109"/>
      <c r="E1971" s="109"/>
      <c r="F1971" s="97"/>
      <c r="G1971" s="109"/>
      <c r="H1971" s="109"/>
      <c r="I1971" s="97"/>
      <c r="J1971" s="97"/>
      <c r="K1971" s="83"/>
      <c r="L1971" s="111"/>
      <c r="M1971" s="111"/>
      <c r="N1971" s="111"/>
      <c r="O1971" s="111"/>
      <c r="P1971" s="111"/>
      <c r="Q1971" s="111"/>
      <c r="R1971" s="111"/>
    </row>
    <row r="1972" spans="2:18" s="108" customFormat="1">
      <c r="B1972" s="109"/>
      <c r="C1972" s="110"/>
      <c r="D1972" s="109"/>
      <c r="E1972" s="109"/>
      <c r="F1972" s="97"/>
      <c r="G1972" s="109"/>
      <c r="H1972" s="109"/>
      <c r="I1972" s="97"/>
      <c r="J1972" s="97"/>
      <c r="K1972" s="83"/>
      <c r="L1972" s="111"/>
      <c r="M1972" s="111"/>
      <c r="N1972" s="111"/>
      <c r="O1972" s="111"/>
      <c r="P1972" s="111"/>
      <c r="Q1972" s="111"/>
      <c r="R1972" s="111"/>
    </row>
    <row r="1973" spans="2:18" s="108" customFormat="1">
      <c r="B1973" s="109"/>
      <c r="C1973" s="110"/>
      <c r="D1973" s="109"/>
      <c r="E1973" s="109"/>
      <c r="F1973" s="97"/>
      <c r="G1973" s="109"/>
      <c r="H1973" s="109"/>
      <c r="I1973" s="97"/>
      <c r="J1973" s="97"/>
      <c r="K1973" s="83"/>
      <c r="L1973" s="111"/>
      <c r="M1973" s="111"/>
      <c r="N1973" s="111"/>
      <c r="O1973" s="111"/>
      <c r="P1973" s="111"/>
      <c r="Q1973" s="111"/>
      <c r="R1973" s="111"/>
    </row>
    <row r="1974" spans="2:18" s="108" customFormat="1">
      <c r="B1974" s="109"/>
      <c r="C1974" s="110"/>
      <c r="D1974" s="109"/>
      <c r="E1974" s="109"/>
      <c r="F1974" s="97"/>
      <c r="G1974" s="109"/>
      <c r="H1974" s="109"/>
      <c r="I1974" s="97"/>
      <c r="J1974" s="97"/>
      <c r="K1974" s="83"/>
      <c r="L1974" s="111"/>
      <c r="M1974" s="111"/>
      <c r="N1974" s="111"/>
      <c r="O1974" s="111"/>
      <c r="P1974" s="111"/>
      <c r="Q1974" s="111"/>
      <c r="R1974" s="111"/>
    </row>
    <row r="1975" spans="2:18" s="108" customFormat="1">
      <c r="B1975" s="109"/>
      <c r="C1975" s="110"/>
      <c r="D1975" s="109"/>
      <c r="E1975" s="109"/>
      <c r="F1975" s="97"/>
      <c r="G1975" s="109"/>
      <c r="H1975" s="109"/>
      <c r="I1975" s="97"/>
      <c r="J1975" s="97"/>
      <c r="K1975" s="83"/>
      <c r="L1975" s="111"/>
      <c r="M1975" s="111"/>
      <c r="N1975" s="111"/>
      <c r="O1975" s="111"/>
      <c r="P1975" s="111"/>
      <c r="Q1975" s="111"/>
      <c r="R1975" s="111"/>
    </row>
    <row r="1976" spans="2:18" s="108" customFormat="1">
      <c r="B1976" s="109"/>
      <c r="C1976" s="110"/>
      <c r="D1976" s="109"/>
      <c r="E1976" s="109"/>
      <c r="F1976" s="97"/>
      <c r="G1976" s="109"/>
      <c r="H1976" s="109"/>
      <c r="I1976" s="97"/>
      <c r="J1976" s="97"/>
      <c r="K1976" s="83"/>
      <c r="L1976" s="111"/>
      <c r="M1976" s="111"/>
      <c r="N1976" s="111"/>
      <c r="O1976" s="111"/>
      <c r="P1976" s="111"/>
      <c r="Q1976" s="111"/>
      <c r="R1976" s="111"/>
    </row>
    <row r="1977" spans="2:18" s="108" customFormat="1">
      <c r="B1977" s="109"/>
      <c r="C1977" s="110"/>
      <c r="D1977" s="109"/>
      <c r="E1977" s="109"/>
      <c r="F1977" s="97"/>
      <c r="G1977" s="109"/>
      <c r="H1977" s="109"/>
      <c r="I1977" s="97"/>
      <c r="J1977" s="97"/>
      <c r="K1977" s="83"/>
      <c r="L1977" s="111"/>
      <c r="M1977" s="111"/>
      <c r="N1977" s="111"/>
      <c r="O1977" s="111"/>
      <c r="P1977" s="111"/>
      <c r="Q1977" s="111"/>
      <c r="R1977" s="111"/>
    </row>
    <row r="1978" spans="2:18" s="108" customFormat="1">
      <c r="B1978" s="109"/>
      <c r="C1978" s="110"/>
      <c r="D1978" s="109"/>
      <c r="E1978" s="109"/>
      <c r="F1978" s="97"/>
      <c r="G1978" s="109"/>
      <c r="H1978" s="109"/>
      <c r="I1978" s="97"/>
      <c r="J1978" s="97"/>
      <c r="K1978" s="83"/>
      <c r="L1978" s="111"/>
      <c r="M1978" s="111"/>
      <c r="N1978" s="111"/>
      <c r="O1978" s="111"/>
      <c r="P1978" s="111"/>
      <c r="Q1978" s="111"/>
      <c r="R1978" s="111"/>
    </row>
    <row r="1979" spans="2:18" s="108" customFormat="1">
      <c r="B1979" s="109"/>
      <c r="C1979" s="110"/>
      <c r="D1979" s="109"/>
      <c r="E1979" s="109"/>
      <c r="F1979" s="97"/>
      <c r="G1979" s="109"/>
      <c r="H1979" s="109"/>
      <c r="I1979" s="97"/>
      <c r="J1979" s="97"/>
      <c r="K1979" s="83"/>
      <c r="L1979" s="111"/>
      <c r="M1979" s="111"/>
      <c r="N1979" s="111"/>
      <c r="O1979" s="111"/>
      <c r="P1979" s="111"/>
      <c r="Q1979" s="111"/>
      <c r="R1979" s="111"/>
    </row>
    <row r="1980" spans="2:18" s="108" customFormat="1">
      <c r="B1980" s="109"/>
      <c r="C1980" s="110"/>
      <c r="D1980" s="109"/>
      <c r="E1980" s="109"/>
      <c r="F1980" s="97"/>
      <c r="G1980" s="109"/>
      <c r="H1980" s="109"/>
      <c r="I1980" s="97"/>
      <c r="J1980" s="97"/>
      <c r="K1980" s="83"/>
      <c r="L1980" s="111"/>
      <c r="M1980" s="111"/>
      <c r="N1980" s="111"/>
      <c r="O1980" s="111"/>
      <c r="P1980" s="111"/>
      <c r="Q1980" s="111"/>
      <c r="R1980" s="111"/>
    </row>
    <row r="1981" spans="2:18" s="108" customFormat="1">
      <c r="B1981" s="109"/>
      <c r="C1981" s="110"/>
      <c r="D1981" s="109"/>
      <c r="E1981" s="109"/>
      <c r="F1981" s="97"/>
      <c r="G1981" s="109"/>
      <c r="H1981" s="109"/>
      <c r="I1981" s="97"/>
      <c r="J1981" s="97"/>
      <c r="K1981" s="83"/>
      <c r="L1981" s="111"/>
      <c r="M1981" s="111"/>
      <c r="N1981" s="111"/>
      <c r="O1981" s="111"/>
      <c r="P1981" s="111"/>
      <c r="Q1981" s="111"/>
      <c r="R1981" s="111"/>
    </row>
    <row r="1982" spans="2:18" s="108" customFormat="1">
      <c r="B1982" s="109"/>
      <c r="C1982" s="110"/>
      <c r="D1982" s="109"/>
      <c r="E1982" s="109"/>
      <c r="F1982" s="97"/>
      <c r="G1982" s="109"/>
      <c r="H1982" s="109"/>
      <c r="I1982" s="97"/>
      <c r="J1982" s="97"/>
      <c r="K1982" s="83"/>
      <c r="L1982" s="111"/>
      <c r="M1982" s="111"/>
      <c r="N1982" s="111"/>
      <c r="O1982" s="111"/>
      <c r="P1982" s="111"/>
      <c r="Q1982" s="111"/>
      <c r="R1982" s="111"/>
    </row>
    <row r="1983" spans="2:18" s="108" customFormat="1">
      <c r="B1983" s="109"/>
      <c r="C1983" s="110"/>
      <c r="D1983" s="109"/>
      <c r="E1983" s="109"/>
      <c r="F1983" s="97"/>
      <c r="G1983" s="109"/>
      <c r="H1983" s="109"/>
      <c r="I1983" s="97"/>
      <c r="J1983" s="97"/>
      <c r="K1983" s="83"/>
      <c r="L1983" s="111"/>
      <c r="M1983" s="111"/>
      <c r="N1983" s="111"/>
      <c r="O1983" s="111"/>
      <c r="P1983" s="111"/>
      <c r="Q1983" s="111"/>
      <c r="R1983" s="111"/>
    </row>
    <row r="1984" spans="2:18" s="108" customFormat="1">
      <c r="B1984" s="109"/>
      <c r="C1984" s="110"/>
      <c r="D1984" s="109"/>
      <c r="E1984" s="109"/>
      <c r="F1984" s="97"/>
      <c r="G1984" s="109"/>
      <c r="H1984" s="109"/>
      <c r="I1984" s="97"/>
      <c r="J1984" s="97"/>
      <c r="K1984" s="83"/>
      <c r="L1984" s="111"/>
      <c r="M1984" s="111"/>
      <c r="N1984" s="111"/>
      <c r="O1984" s="111"/>
      <c r="P1984" s="111"/>
      <c r="Q1984" s="111"/>
      <c r="R1984" s="111"/>
    </row>
    <row r="1985" spans="2:18" s="108" customFormat="1">
      <c r="B1985" s="109"/>
      <c r="C1985" s="110"/>
      <c r="D1985" s="109"/>
      <c r="E1985" s="109"/>
      <c r="F1985" s="97"/>
      <c r="G1985" s="109"/>
      <c r="H1985" s="109"/>
      <c r="I1985" s="97"/>
      <c r="J1985" s="97"/>
      <c r="K1985" s="83"/>
      <c r="L1985" s="111"/>
      <c r="M1985" s="111"/>
      <c r="N1985" s="111"/>
      <c r="O1985" s="111"/>
      <c r="P1985" s="111"/>
      <c r="Q1985" s="111"/>
      <c r="R1985" s="111"/>
    </row>
    <row r="1986" spans="2:18" s="108" customFormat="1">
      <c r="B1986" s="109"/>
      <c r="C1986" s="110"/>
      <c r="D1986" s="109"/>
      <c r="E1986" s="109"/>
      <c r="F1986" s="97"/>
      <c r="G1986" s="109"/>
      <c r="H1986" s="109"/>
      <c r="I1986" s="97"/>
      <c r="J1986" s="97"/>
      <c r="K1986" s="83"/>
      <c r="L1986" s="111"/>
      <c r="M1986" s="111"/>
      <c r="N1986" s="111"/>
      <c r="O1986" s="111"/>
      <c r="P1986" s="111"/>
      <c r="Q1986" s="111"/>
      <c r="R1986" s="111"/>
    </row>
    <row r="1987" spans="2:18" s="108" customFormat="1">
      <c r="B1987" s="109"/>
      <c r="C1987" s="110"/>
      <c r="D1987" s="109"/>
      <c r="E1987" s="109"/>
      <c r="F1987" s="97"/>
      <c r="G1987" s="109"/>
      <c r="H1987" s="109"/>
      <c r="I1987" s="97"/>
      <c r="J1987" s="97"/>
      <c r="K1987" s="83"/>
      <c r="L1987" s="111"/>
      <c r="M1987" s="111"/>
      <c r="N1987" s="111"/>
      <c r="O1987" s="111"/>
      <c r="P1987" s="111"/>
      <c r="Q1987" s="111"/>
      <c r="R1987" s="111"/>
    </row>
    <row r="1988" spans="2:18" s="108" customFormat="1">
      <c r="B1988" s="109"/>
      <c r="C1988" s="110"/>
      <c r="D1988" s="109"/>
      <c r="E1988" s="109"/>
      <c r="F1988" s="97"/>
      <c r="G1988" s="109"/>
      <c r="H1988" s="109"/>
      <c r="I1988" s="97"/>
      <c r="J1988" s="97"/>
      <c r="K1988" s="83"/>
      <c r="L1988" s="111"/>
      <c r="M1988" s="111"/>
      <c r="N1988" s="111"/>
      <c r="O1988" s="111"/>
      <c r="P1988" s="111"/>
      <c r="Q1988" s="111"/>
      <c r="R1988" s="111"/>
    </row>
    <row r="1989" spans="2:18" s="108" customFormat="1">
      <c r="B1989" s="109"/>
      <c r="C1989" s="110"/>
      <c r="D1989" s="109"/>
      <c r="E1989" s="109"/>
      <c r="F1989" s="97"/>
      <c r="G1989" s="109"/>
      <c r="H1989" s="109"/>
      <c r="I1989" s="97"/>
      <c r="J1989" s="97"/>
      <c r="K1989" s="83"/>
      <c r="L1989" s="111"/>
      <c r="M1989" s="111"/>
      <c r="N1989" s="111"/>
      <c r="O1989" s="111"/>
      <c r="P1989" s="111"/>
      <c r="Q1989" s="111"/>
      <c r="R1989" s="111"/>
    </row>
    <row r="1990" spans="2:18" s="108" customFormat="1">
      <c r="B1990" s="109"/>
      <c r="C1990" s="110"/>
      <c r="D1990" s="109"/>
      <c r="E1990" s="109"/>
      <c r="F1990" s="97"/>
      <c r="G1990" s="109"/>
      <c r="H1990" s="109"/>
      <c r="I1990" s="97"/>
      <c r="J1990" s="97"/>
      <c r="K1990" s="83"/>
      <c r="L1990" s="111"/>
      <c r="M1990" s="111"/>
      <c r="N1990" s="111"/>
      <c r="O1990" s="111"/>
      <c r="P1990" s="111"/>
      <c r="Q1990" s="111"/>
      <c r="R1990" s="111"/>
    </row>
    <row r="1991" spans="2:18" s="108" customFormat="1">
      <c r="B1991" s="109"/>
      <c r="C1991" s="110"/>
      <c r="D1991" s="109"/>
      <c r="E1991" s="109"/>
      <c r="F1991" s="97"/>
      <c r="G1991" s="109"/>
      <c r="H1991" s="109"/>
      <c r="I1991" s="97"/>
      <c r="J1991" s="97"/>
      <c r="K1991" s="83"/>
      <c r="L1991" s="111"/>
      <c r="M1991" s="111"/>
      <c r="N1991" s="111"/>
      <c r="O1991" s="111"/>
      <c r="P1991" s="111"/>
      <c r="Q1991" s="111"/>
      <c r="R1991" s="111"/>
    </row>
    <row r="1992" spans="2:18" s="108" customFormat="1">
      <c r="B1992" s="109"/>
      <c r="C1992" s="110"/>
      <c r="D1992" s="109"/>
      <c r="E1992" s="109"/>
      <c r="F1992" s="97"/>
      <c r="G1992" s="109"/>
      <c r="H1992" s="109"/>
      <c r="I1992" s="97"/>
      <c r="J1992" s="97"/>
      <c r="K1992" s="83"/>
      <c r="L1992" s="111"/>
      <c r="M1992" s="111"/>
      <c r="N1992" s="111"/>
      <c r="O1992" s="111"/>
      <c r="P1992" s="111"/>
      <c r="Q1992" s="111"/>
      <c r="R1992" s="111"/>
    </row>
    <row r="1993" spans="2:18" s="108" customFormat="1">
      <c r="B1993" s="109"/>
      <c r="C1993" s="110"/>
      <c r="D1993" s="109"/>
      <c r="E1993" s="109"/>
      <c r="F1993" s="97"/>
      <c r="G1993" s="109"/>
      <c r="H1993" s="109"/>
      <c r="I1993" s="97"/>
      <c r="J1993" s="97"/>
      <c r="K1993" s="83"/>
      <c r="L1993" s="111"/>
      <c r="M1993" s="111"/>
      <c r="N1993" s="111"/>
      <c r="O1993" s="111"/>
      <c r="P1993" s="111"/>
      <c r="Q1993" s="111"/>
      <c r="R1993" s="111"/>
    </row>
    <row r="1994" spans="2:18" s="108" customFormat="1">
      <c r="B1994" s="109"/>
      <c r="C1994" s="110"/>
      <c r="D1994" s="109"/>
      <c r="E1994" s="109"/>
      <c r="F1994" s="97"/>
      <c r="G1994" s="109"/>
      <c r="H1994" s="109"/>
      <c r="I1994" s="97"/>
      <c r="J1994" s="97"/>
      <c r="K1994" s="83"/>
      <c r="L1994" s="111"/>
      <c r="M1994" s="111"/>
      <c r="N1994" s="111"/>
      <c r="O1994" s="111"/>
      <c r="P1994" s="111"/>
      <c r="Q1994" s="111"/>
      <c r="R1994" s="111"/>
    </row>
    <row r="1995" spans="2:18" s="108" customFormat="1">
      <c r="B1995" s="109"/>
      <c r="C1995" s="110"/>
      <c r="D1995" s="109"/>
      <c r="E1995" s="109"/>
      <c r="F1995" s="97"/>
      <c r="G1995" s="109"/>
      <c r="H1995" s="109"/>
      <c r="I1995" s="97"/>
      <c r="J1995" s="97"/>
      <c r="K1995" s="83"/>
      <c r="L1995" s="111"/>
      <c r="M1995" s="111"/>
      <c r="N1995" s="111"/>
      <c r="O1995" s="111"/>
      <c r="P1995" s="111"/>
      <c r="Q1995" s="111"/>
      <c r="R1995" s="111"/>
    </row>
    <row r="1996" spans="2:18" s="108" customFormat="1">
      <c r="B1996" s="109"/>
      <c r="C1996" s="110"/>
      <c r="D1996" s="109"/>
      <c r="E1996" s="109"/>
      <c r="F1996" s="97"/>
      <c r="G1996" s="109"/>
      <c r="H1996" s="109"/>
      <c r="I1996" s="97"/>
      <c r="J1996" s="97"/>
      <c r="K1996" s="83"/>
      <c r="L1996" s="111"/>
      <c r="M1996" s="111"/>
      <c r="N1996" s="111"/>
      <c r="O1996" s="111"/>
      <c r="P1996" s="111"/>
      <c r="Q1996" s="111"/>
      <c r="R1996" s="111"/>
    </row>
    <row r="1997" spans="2:18" s="108" customFormat="1">
      <c r="B1997" s="109"/>
      <c r="C1997" s="110"/>
      <c r="D1997" s="109"/>
      <c r="E1997" s="109"/>
      <c r="F1997" s="97"/>
      <c r="G1997" s="109"/>
      <c r="H1997" s="109"/>
      <c r="I1997" s="97"/>
      <c r="J1997" s="97"/>
      <c r="K1997" s="83"/>
      <c r="L1997" s="111"/>
      <c r="M1997" s="111"/>
      <c r="N1997" s="111"/>
      <c r="O1997" s="111"/>
      <c r="P1997" s="111"/>
      <c r="Q1997" s="111"/>
      <c r="R1997" s="111"/>
    </row>
    <row r="1998" spans="2:18" s="108" customFormat="1">
      <c r="B1998" s="109"/>
      <c r="C1998" s="110"/>
      <c r="D1998" s="109"/>
      <c r="E1998" s="109"/>
      <c r="F1998" s="97"/>
      <c r="G1998" s="109"/>
      <c r="H1998" s="109"/>
      <c r="I1998" s="97"/>
      <c r="J1998" s="97"/>
      <c r="K1998" s="83"/>
      <c r="L1998" s="111"/>
      <c r="M1998" s="111"/>
      <c r="N1998" s="111"/>
      <c r="O1998" s="111"/>
      <c r="P1998" s="111"/>
      <c r="Q1998" s="111"/>
      <c r="R1998" s="111"/>
    </row>
    <row r="1999" spans="2:18" s="108" customFormat="1">
      <c r="B1999" s="109"/>
      <c r="C1999" s="110"/>
      <c r="D1999" s="109"/>
      <c r="E1999" s="109"/>
      <c r="F1999" s="97"/>
      <c r="G1999" s="109"/>
      <c r="H1999" s="109"/>
      <c r="I1999" s="97"/>
      <c r="J1999" s="97"/>
      <c r="K1999" s="83"/>
      <c r="L1999" s="111"/>
      <c r="M1999" s="111"/>
      <c r="N1999" s="111"/>
      <c r="O1999" s="111"/>
      <c r="P1999" s="111"/>
      <c r="Q1999" s="111"/>
      <c r="R1999" s="111"/>
    </row>
    <row r="2000" spans="2:18" s="108" customFormat="1">
      <c r="B2000" s="109"/>
      <c r="C2000" s="110"/>
      <c r="D2000" s="109"/>
      <c r="E2000" s="109"/>
      <c r="F2000" s="97"/>
      <c r="G2000" s="109"/>
      <c r="H2000" s="109"/>
      <c r="I2000" s="97"/>
      <c r="J2000" s="97"/>
      <c r="K2000" s="83"/>
      <c r="L2000" s="111"/>
      <c r="M2000" s="111"/>
      <c r="N2000" s="111"/>
      <c r="O2000" s="111"/>
      <c r="P2000" s="111"/>
      <c r="Q2000" s="111"/>
      <c r="R2000" s="111"/>
    </row>
    <row r="2001" spans="2:18" s="108" customFormat="1">
      <c r="B2001" s="109"/>
      <c r="C2001" s="110"/>
      <c r="D2001" s="109"/>
      <c r="E2001" s="109"/>
      <c r="F2001" s="97"/>
      <c r="G2001" s="109"/>
      <c r="H2001" s="109"/>
      <c r="I2001" s="97"/>
      <c r="J2001" s="97"/>
      <c r="K2001" s="83"/>
      <c r="L2001" s="111"/>
      <c r="M2001" s="111"/>
      <c r="N2001" s="111"/>
      <c r="O2001" s="111"/>
      <c r="P2001" s="111"/>
      <c r="Q2001" s="111"/>
      <c r="R2001" s="111"/>
    </row>
    <row r="2002" spans="2:18" s="108" customFormat="1">
      <c r="B2002" s="109"/>
      <c r="C2002" s="110"/>
      <c r="D2002" s="109"/>
      <c r="E2002" s="109"/>
      <c r="F2002" s="97"/>
      <c r="G2002" s="109"/>
      <c r="H2002" s="109"/>
      <c r="I2002" s="97"/>
      <c r="J2002" s="97"/>
      <c r="K2002" s="83"/>
      <c r="L2002" s="111"/>
      <c r="M2002" s="111"/>
      <c r="N2002" s="111"/>
      <c r="O2002" s="111"/>
      <c r="P2002" s="111"/>
      <c r="Q2002" s="111"/>
      <c r="R2002" s="111"/>
    </row>
    <row r="2003" spans="2:18" s="108" customFormat="1">
      <c r="B2003" s="109"/>
      <c r="C2003" s="110"/>
      <c r="D2003" s="109"/>
      <c r="E2003" s="109"/>
      <c r="F2003" s="97"/>
      <c r="G2003" s="109"/>
      <c r="H2003" s="109"/>
      <c r="I2003" s="97"/>
      <c r="J2003" s="97"/>
      <c r="K2003" s="83"/>
      <c r="L2003" s="111"/>
      <c r="M2003" s="111"/>
      <c r="N2003" s="111"/>
      <c r="O2003" s="111"/>
      <c r="P2003" s="111"/>
      <c r="Q2003" s="111"/>
      <c r="R2003" s="111"/>
    </row>
    <row r="2004" spans="2:18" s="108" customFormat="1">
      <c r="B2004" s="109"/>
      <c r="C2004" s="110"/>
      <c r="D2004" s="109"/>
      <c r="E2004" s="109"/>
      <c r="F2004" s="97"/>
      <c r="G2004" s="109"/>
      <c r="H2004" s="109"/>
      <c r="I2004" s="97"/>
      <c r="J2004" s="97"/>
      <c r="K2004" s="83"/>
      <c r="L2004" s="111"/>
      <c r="M2004" s="111"/>
      <c r="N2004" s="111"/>
      <c r="O2004" s="111"/>
      <c r="P2004" s="111"/>
      <c r="Q2004" s="111"/>
      <c r="R2004" s="111"/>
    </row>
    <row r="2005" spans="2:18" s="108" customFormat="1">
      <c r="B2005" s="109"/>
      <c r="C2005" s="110"/>
      <c r="D2005" s="109"/>
      <c r="E2005" s="109"/>
      <c r="F2005" s="97"/>
      <c r="G2005" s="109"/>
      <c r="H2005" s="109"/>
      <c r="I2005" s="97"/>
      <c r="J2005" s="97"/>
      <c r="K2005" s="83"/>
      <c r="L2005" s="111"/>
      <c r="M2005" s="111"/>
      <c r="N2005" s="111"/>
      <c r="O2005" s="111"/>
      <c r="P2005" s="111"/>
      <c r="Q2005" s="111"/>
      <c r="R2005" s="111"/>
    </row>
    <row r="2006" spans="2:18" s="108" customFormat="1">
      <c r="B2006" s="109"/>
      <c r="C2006" s="110"/>
      <c r="D2006" s="109"/>
      <c r="E2006" s="109"/>
      <c r="F2006" s="97"/>
      <c r="G2006" s="109"/>
      <c r="H2006" s="109"/>
      <c r="I2006" s="97"/>
      <c r="J2006" s="97"/>
      <c r="K2006" s="83"/>
      <c r="L2006" s="111"/>
      <c r="M2006" s="111"/>
      <c r="N2006" s="111"/>
      <c r="O2006" s="111"/>
      <c r="P2006" s="111"/>
      <c r="Q2006" s="111"/>
      <c r="R2006" s="111"/>
    </row>
    <row r="2007" spans="2:18" s="108" customFormat="1">
      <c r="B2007" s="109"/>
      <c r="C2007" s="110"/>
      <c r="D2007" s="109"/>
      <c r="E2007" s="109"/>
      <c r="F2007" s="97"/>
      <c r="G2007" s="109"/>
      <c r="H2007" s="109"/>
      <c r="I2007" s="97"/>
      <c r="J2007" s="97"/>
      <c r="K2007" s="83"/>
      <c r="L2007" s="111"/>
      <c r="M2007" s="111"/>
      <c r="N2007" s="111"/>
      <c r="O2007" s="111"/>
      <c r="P2007" s="111"/>
      <c r="Q2007" s="111"/>
      <c r="R2007" s="111"/>
    </row>
    <row r="2008" spans="2:18" s="108" customFormat="1">
      <c r="B2008" s="109"/>
      <c r="C2008" s="110"/>
      <c r="D2008" s="109"/>
      <c r="E2008" s="109"/>
      <c r="F2008" s="97"/>
      <c r="G2008" s="109"/>
      <c r="H2008" s="109"/>
      <c r="I2008" s="97"/>
      <c r="J2008" s="97"/>
      <c r="K2008" s="83"/>
      <c r="L2008" s="111"/>
      <c r="M2008" s="111"/>
      <c r="N2008" s="111"/>
      <c r="O2008" s="111"/>
      <c r="P2008" s="111"/>
      <c r="Q2008" s="111"/>
      <c r="R2008" s="111"/>
    </row>
    <row r="2009" spans="2:18" s="108" customFormat="1">
      <c r="B2009" s="109"/>
      <c r="C2009" s="110"/>
      <c r="D2009" s="109"/>
      <c r="E2009" s="109"/>
      <c r="F2009" s="97"/>
      <c r="G2009" s="109"/>
      <c r="H2009" s="109"/>
      <c r="I2009" s="97"/>
      <c r="J2009" s="97"/>
      <c r="K2009" s="83"/>
      <c r="L2009" s="111"/>
      <c r="M2009" s="111"/>
      <c r="N2009" s="111"/>
      <c r="O2009" s="111"/>
      <c r="P2009" s="111"/>
      <c r="Q2009" s="111"/>
      <c r="R2009" s="111"/>
    </row>
    <row r="2010" spans="2:18" s="108" customFormat="1">
      <c r="B2010" s="109"/>
      <c r="C2010" s="110"/>
      <c r="D2010" s="109"/>
      <c r="E2010" s="109"/>
      <c r="F2010" s="97"/>
      <c r="G2010" s="109"/>
      <c r="H2010" s="109"/>
      <c r="I2010" s="97"/>
      <c r="J2010" s="97"/>
      <c r="K2010" s="83"/>
      <c r="L2010" s="111"/>
      <c r="M2010" s="111"/>
      <c r="N2010" s="111"/>
      <c r="O2010" s="111"/>
      <c r="P2010" s="111"/>
      <c r="Q2010" s="111"/>
      <c r="R2010" s="111"/>
    </row>
    <row r="2011" spans="2:18" s="108" customFormat="1">
      <c r="B2011" s="109"/>
      <c r="C2011" s="110"/>
      <c r="D2011" s="109"/>
      <c r="E2011" s="109"/>
      <c r="F2011" s="97"/>
      <c r="G2011" s="109"/>
      <c r="H2011" s="109"/>
      <c r="I2011" s="97"/>
      <c r="J2011" s="97"/>
      <c r="K2011" s="83"/>
      <c r="L2011" s="111"/>
      <c r="M2011" s="111"/>
      <c r="N2011" s="111"/>
      <c r="O2011" s="111"/>
      <c r="P2011" s="111"/>
      <c r="Q2011" s="111"/>
      <c r="R2011" s="111"/>
    </row>
    <row r="2012" spans="2:18" s="108" customFormat="1">
      <c r="B2012" s="109"/>
      <c r="C2012" s="110"/>
      <c r="D2012" s="109"/>
      <c r="E2012" s="109"/>
      <c r="F2012" s="97"/>
      <c r="G2012" s="109"/>
      <c r="H2012" s="109"/>
      <c r="I2012" s="97"/>
      <c r="J2012" s="97"/>
      <c r="K2012" s="83"/>
      <c r="L2012" s="111"/>
      <c r="M2012" s="111"/>
      <c r="N2012" s="111"/>
      <c r="O2012" s="111"/>
      <c r="P2012" s="111"/>
      <c r="Q2012" s="111"/>
      <c r="R2012" s="111"/>
    </row>
    <row r="2013" spans="2:18" s="108" customFormat="1">
      <c r="B2013" s="109"/>
      <c r="C2013" s="110"/>
      <c r="D2013" s="109"/>
      <c r="E2013" s="109"/>
      <c r="F2013" s="97"/>
      <c r="G2013" s="109"/>
      <c r="H2013" s="109"/>
      <c r="I2013" s="97"/>
      <c r="J2013" s="97"/>
      <c r="K2013" s="83"/>
      <c r="L2013" s="111"/>
      <c r="M2013" s="111"/>
      <c r="N2013" s="111"/>
      <c r="O2013" s="111"/>
      <c r="P2013" s="111"/>
      <c r="Q2013" s="111"/>
      <c r="R2013" s="111"/>
    </row>
    <row r="2014" spans="2:18" s="108" customFormat="1">
      <c r="B2014" s="109"/>
      <c r="C2014" s="110"/>
      <c r="D2014" s="109"/>
      <c r="E2014" s="109"/>
      <c r="F2014" s="97"/>
      <c r="G2014" s="109"/>
      <c r="H2014" s="109"/>
      <c r="I2014" s="97"/>
      <c r="J2014" s="97"/>
      <c r="K2014" s="83"/>
      <c r="L2014" s="111"/>
      <c r="M2014" s="111"/>
      <c r="N2014" s="111"/>
      <c r="O2014" s="111"/>
      <c r="P2014" s="111"/>
      <c r="Q2014" s="111"/>
      <c r="R2014" s="111"/>
    </row>
    <row r="2015" spans="2:18" s="108" customFormat="1">
      <c r="B2015" s="109"/>
      <c r="C2015" s="110"/>
      <c r="D2015" s="109"/>
      <c r="E2015" s="109"/>
      <c r="F2015" s="97"/>
      <c r="G2015" s="109"/>
      <c r="H2015" s="109"/>
      <c r="I2015" s="97"/>
      <c r="J2015" s="97"/>
      <c r="K2015" s="83"/>
      <c r="L2015" s="111"/>
      <c r="M2015" s="111"/>
      <c r="N2015" s="111"/>
      <c r="O2015" s="111"/>
      <c r="P2015" s="111"/>
      <c r="Q2015" s="111"/>
      <c r="R2015" s="111"/>
    </row>
    <row r="2016" spans="2:18" s="108" customFormat="1">
      <c r="B2016" s="109"/>
      <c r="C2016" s="110"/>
      <c r="D2016" s="109"/>
      <c r="E2016" s="109"/>
      <c r="F2016" s="97"/>
      <c r="G2016" s="109"/>
      <c r="H2016" s="109"/>
      <c r="I2016" s="97"/>
      <c r="J2016" s="97"/>
      <c r="K2016" s="83"/>
      <c r="L2016" s="111"/>
      <c r="M2016" s="111"/>
      <c r="N2016" s="111"/>
      <c r="O2016" s="111"/>
      <c r="P2016" s="111"/>
      <c r="Q2016" s="111"/>
      <c r="R2016" s="111"/>
    </row>
    <row r="2017" spans="2:18" s="108" customFormat="1">
      <c r="B2017" s="109"/>
      <c r="C2017" s="110"/>
      <c r="D2017" s="109"/>
      <c r="E2017" s="109"/>
      <c r="F2017" s="97"/>
      <c r="G2017" s="109"/>
      <c r="H2017" s="109"/>
      <c r="I2017" s="97"/>
      <c r="J2017" s="97"/>
      <c r="K2017" s="83"/>
      <c r="L2017" s="111"/>
      <c r="M2017" s="111"/>
      <c r="N2017" s="111"/>
      <c r="O2017" s="111"/>
      <c r="P2017" s="111"/>
      <c r="Q2017" s="111"/>
      <c r="R2017" s="111"/>
    </row>
    <row r="2018" spans="2:18" s="108" customFormat="1">
      <c r="B2018" s="109"/>
      <c r="C2018" s="110"/>
      <c r="D2018" s="109"/>
      <c r="E2018" s="109"/>
      <c r="F2018" s="97"/>
      <c r="G2018" s="109"/>
      <c r="H2018" s="109"/>
      <c r="I2018" s="97"/>
      <c r="J2018" s="97"/>
      <c r="K2018" s="83"/>
      <c r="L2018" s="111"/>
      <c r="M2018" s="111"/>
      <c r="N2018" s="111"/>
      <c r="O2018" s="111"/>
      <c r="P2018" s="111"/>
      <c r="Q2018" s="111"/>
      <c r="R2018" s="111"/>
    </row>
    <row r="2019" spans="2:18" s="108" customFormat="1">
      <c r="B2019" s="109"/>
      <c r="C2019" s="110"/>
      <c r="D2019" s="109"/>
      <c r="E2019" s="109"/>
      <c r="F2019" s="97"/>
      <c r="G2019" s="109"/>
      <c r="H2019" s="109"/>
      <c r="I2019" s="97"/>
      <c r="J2019" s="97"/>
      <c r="K2019" s="83"/>
      <c r="L2019" s="111"/>
      <c r="M2019" s="111"/>
      <c r="N2019" s="111"/>
      <c r="O2019" s="111"/>
      <c r="P2019" s="111"/>
      <c r="Q2019" s="111"/>
      <c r="R2019" s="111"/>
    </row>
    <row r="2020" spans="2:18" s="108" customFormat="1">
      <c r="B2020" s="109"/>
      <c r="C2020" s="110"/>
      <c r="D2020" s="109"/>
      <c r="E2020" s="109"/>
      <c r="F2020" s="97"/>
      <c r="G2020" s="109"/>
      <c r="H2020" s="109"/>
      <c r="I2020" s="97"/>
      <c r="J2020" s="97"/>
      <c r="K2020" s="83"/>
      <c r="L2020" s="111"/>
      <c r="M2020" s="111"/>
      <c r="N2020" s="111"/>
      <c r="O2020" s="111"/>
      <c r="P2020" s="111"/>
      <c r="Q2020" s="111"/>
      <c r="R2020" s="111"/>
    </row>
    <row r="2021" spans="2:18" s="108" customFormat="1">
      <c r="B2021" s="109"/>
      <c r="C2021" s="110"/>
      <c r="D2021" s="109"/>
      <c r="E2021" s="109"/>
      <c r="F2021" s="97"/>
      <c r="G2021" s="109"/>
      <c r="H2021" s="109"/>
      <c r="I2021" s="97"/>
      <c r="J2021" s="97"/>
      <c r="K2021" s="83"/>
      <c r="L2021" s="111"/>
      <c r="M2021" s="111"/>
      <c r="N2021" s="111"/>
      <c r="O2021" s="111"/>
      <c r="P2021" s="111"/>
      <c r="Q2021" s="111"/>
      <c r="R2021" s="111"/>
    </row>
    <row r="2022" spans="2:18" s="108" customFormat="1">
      <c r="B2022" s="109"/>
      <c r="C2022" s="110"/>
      <c r="D2022" s="109"/>
      <c r="E2022" s="109"/>
      <c r="F2022" s="97"/>
      <c r="G2022" s="109"/>
      <c r="H2022" s="109"/>
      <c r="I2022" s="97"/>
      <c r="J2022" s="97"/>
      <c r="K2022" s="83"/>
      <c r="L2022" s="111"/>
      <c r="M2022" s="111"/>
      <c r="N2022" s="111"/>
      <c r="O2022" s="111"/>
      <c r="P2022" s="111"/>
      <c r="Q2022" s="111"/>
      <c r="R2022" s="111"/>
    </row>
    <row r="2023" spans="2:18" s="108" customFormat="1">
      <c r="B2023" s="109"/>
      <c r="C2023" s="110"/>
      <c r="D2023" s="109"/>
      <c r="E2023" s="109"/>
      <c r="F2023" s="97"/>
      <c r="G2023" s="109"/>
      <c r="H2023" s="109"/>
      <c r="I2023" s="97"/>
      <c r="J2023" s="97"/>
      <c r="K2023" s="83"/>
      <c r="L2023" s="111"/>
      <c r="M2023" s="111"/>
      <c r="N2023" s="111"/>
      <c r="O2023" s="111"/>
      <c r="P2023" s="111"/>
      <c r="Q2023" s="111"/>
      <c r="R2023" s="111"/>
    </row>
    <row r="2024" spans="2:18" s="108" customFormat="1">
      <c r="B2024" s="109"/>
      <c r="C2024" s="110"/>
      <c r="D2024" s="109"/>
      <c r="E2024" s="109"/>
      <c r="F2024" s="97"/>
      <c r="G2024" s="109"/>
      <c r="H2024" s="109"/>
      <c r="I2024" s="97"/>
      <c r="J2024" s="97"/>
      <c r="K2024" s="83"/>
      <c r="L2024" s="111"/>
      <c r="M2024" s="111"/>
      <c r="N2024" s="111"/>
      <c r="O2024" s="111"/>
      <c r="P2024" s="111"/>
      <c r="Q2024" s="111"/>
      <c r="R2024" s="111"/>
    </row>
    <row r="2025" spans="2:18" s="108" customFormat="1">
      <c r="B2025" s="109"/>
      <c r="C2025" s="110"/>
      <c r="D2025" s="109"/>
      <c r="E2025" s="109"/>
      <c r="F2025" s="97"/>
      <c r="G2025" s="109"/>
      <c r="H2025" s="109"/>
      <c r="I2025" s="97"/>
      <c r="J2025" s="97"/>
      <c r="K2025" s="83"/>
      <c r="L2025" s="111"/>
      <c r="M2025" s="111"/>
      <c r="N2025" s="111"/>
      <c r="O2025" s="111"/>
      <c r="P2025" s="111"/>
      <c r="Q2025" s="111"/>
      <c r="R2025" s="111"/>
    </row>
    <row r="2026" spans="2:18" s="108" customFormat="1">
      <c r="B2026" s="109"/>
      <c r="C2026" s="110"/>
      <c r="D2026" s="109"/>
      <c r="E2026" s="109"/>
      <c r="F2026" s="97"/>
      <c r="G2026" s="109"/>
      <c r="H2026" s="109"/>
      <c r="I2026" s="97"/>
      <c r="J2026" s="97"/>
      <c r="K2026" s="83"/>
      <c r="L2026" s="111"/>
      <c r="M2026" s="111"/>
      <c r="N2026" s="111"/>
      <c r="O2026" s="111"/>
      <c r="P2026" s="111"/>
      <c r="Q2026" s="111"/>
      <c r="R2026" s="111"/>
    </row>
    <row r="2027" spans="2:18" s="108" customFormat="1">
      <c r="B2027" s="109"/>
      <c r="C2027" s="110"/>
      <c r="D2027" s="109"/>
      <c r="E2027" s="109"/>
      <c r="F2027" s="97"/>
      <c r="G2027" s="109"/>
      <c r="H2027" s="109"/>
      <c r="I2027" s="97"/>
      <c r="J2027" s="97"/>
      <c r="K2027" s="83"/>
      <c r="L2027" s="111"/>
      <c r="M2027" s="111"/>
      <c r="N2027" s="111"/>
      <c r="O2027" s="111"/>
      <c r="P2027" s="111"/>
      <c r="Q2027" s="111"/>
      <c r="R2027" s="111"/>
    </row>
    <row r="2028" spans="2:18" s="108" customFormat="1">
      <c r="B2028" s="109"/>
      <c r="C2028" s="110"/>
      <c r="D2028" s="109"/>
      <c r="E2028" s="109"/>
      <c r="F2028" s="97"/>
      <c r="G2028" s="109"/>
      <c r="H2028" s="109"/>
      <c r="I2028" s="97"/>
      <c r="J2028" s="97"/>
      <c r="K2028" s="83"/>
      <c r="L2028" s="111"/>
      <c r="M2028" s="111"/>
      <c r="N2028" s="111"/>
      <c r="O2028" s="111"/>
      <c r="P2028" s="111"/>
      <c r="Q2028" s="111"/>
      <c r="R2028" s="111"/>
    </row>
    <row r="2029" spans="2:18" s="108" customFormat="1">
      <c r="B2029" s="109"/>
      <c r="C2029" s="110"/>
      <c r="D2029" s="109"/>
      <c r="E2029" s="109"/>
      <c r="F2029" s="97"/>
      <c r="G2029" s="109"/>
      <c r="H2029" s="109"/>
      <c r="I2029" s="97"/>
      <c r="J2029" s="97"/>
      <c r="K2029" s="83"/>
      <c r="L2029" s="111"/>
      <c r="M2029" s="111"/>
      <c r="N2029" s="111"/>
      <c r="O2029" s="111"/>
      <c r="P2029" s="111"/>
      <c r="Q2029" s="111"/>
      <c r="R2029" s="111"/>
    </row>
    <row r="2030" spans="2:18" s="108" customFormat="1">
      <c r="B2030" s="109"/>
      <c r="C2030" s="110"/>
      <c r="D2030" s="109"/>
      <c r="E2030" s="109"/>
      <c r="F2030" s="97"/>
      <c r="G2030" s="109"/>
      <c r="H2030" s="109"/>
      <c r="I2030" s="97"/>
      <c r="J2030" s="97"/>
      <c r="K2030" s="83"/>
      <c r="L2030" s="111"/>
      <c r="M2030" s="111"/>
      <c r="N2030" s="111"/>
      <c r="O2030" s="111"/>
      <c r="P2030" s="111"/>
      <c r="Q2030" s="111"/>
      <c r="R2030" s="111"/>
    </row>
    <row r="2031" spans="2:18" s="108" customFormat="1">
      <c r="B2031" s="109"/>
      <c r="C2031" s="110"/>
      <c r="D2031" s="109"/>
      <c r="E2031" s="109"/>
      <c r="F2031" s="97"/>
      <c r="G2031" s="109"/>
      <c r="H2031" s="109"/>
      <c r="I2031" s="97"/>
      <c r="J2031" s="97"/>
      <c r="K2031" s="83"/>
      <c r="L2031" s="111"/>
      <c r="M2031" s="111"/>
      <c r="N2031" s="111"/>
      <c r="O2031" s="111"/>
      <c r="P2031" s="111"/>
      <c r="Q2031" s="111"/>
      <c r="R2031" s="111"/>
    </row>
    <row r="2032" spans="2:18" s="108" customFormat="1">
      <c r="B2032" s="109"/>
      <c r="C2032" s="110"/>
      <c r="D2032" s="109"/>
      <c r="E2032" s="109"/>
      <c r="F2032" s="97"/>
      <c r="G2032" s="109"/>
      <c r="H2032" s="109"/>
      <c r="I2032" s="97"/>
      <c r="J2032" s="97"/>
      <c r="K2032" s="83"/>
      <c r="L2032" s="111"/>
      <c r="M2032" s="111"/>
      <c r="N2032" s="111"/>
      <c r="O2032" s="111"/>
      <c r="P2032" s="111"/>
      <c r="Q2032" s="111"/>
      <c r="R2032" s="111"/>
    </row>
    <row r="2033" spans="2:18" s="108" customFormat="1">
      <c r="B2033" s="109"/>
      <c r="C2033" s="110"/>
      <c r="D2033" s="109"/>
      <c r="E2033" s="109"/>
      <c r="F2033" s="97"/>
      <c r="G2033" s="109"/>
      <c r="H2033" s="109"/>
      <c r="I2033" s="97"/>
      <c r="J2033" s="97"/>
      <c r="K2033" s="83"/>
      <c r="L2033" s="111"/>
      <c r="M2033" s="111"/>
      <c r="N2033" s="111"/>
      <c r="O2033" s="111"/>
      <c r="P2033" s="111"/>
      <c r="Q2033" s="111"/>
      <c r="R2033" s="111"/>
    </row>
    <row r="2034" spans="2:18" s="108" customFormat="1">
      <c r="B2034" s="109"/>
      <c r="C2034" s="110"/>
      <c r="D2034" s="109"/>
      <c r="E2034" s="109"/>
      <c r="F2034" s="97"/>
      <c r="G2034" s="109"/>
      <c r="H2034" s="109"/>
      <c r="I2034" s="97"/>
      <c r="J2034" s="97"/>
      <c r="K2034" s="83"/>
      <c r="L2034" s="111"/>
      <c r="M2034" s="111"/>
      <c r="N2034" s="111"/>
      <c r="O2034" s="111"/>
      <c r="P2034" s="111"/>
      <c r="Q2034" s="111"/>
      <c r="R2034" s="111"/>
    </row>
    <row r="2035" spans="2:18" s="108" customFormat="1">
      <c r="B2035" s="109"/>
      <c r="C2035" s="110"/>
      <c r="D2035" s="109"/>
      <c r="E2035" s="109"/>
      <c r="F2035" s="97"/>
      <c r="G2035" s="109"/>
      <c r="H2035" s="109"/>
      <c r="I2035" s="97"/>
      <c r="J2035" s="97"/>
      <c r="K2035" s="83"/>
      <c r="L2035" s="111"/>
      <c r="M2035" s="111"/>
      <c r="N2035" s="111"/>
      <c r="O2035" s="111"/>
      <c r="P2035" s="111"/>
      <c r="Q2035" s="111"/>
      <c r="R2035" s="111"/>
    </row>
    <row r="2036" spans="2:18" s="108" customFormat="1">
      <c r="B2036" s="109"/>
      <c r="C2036" s="110"/>
      <c r="D2036" s="109"/>
      <c r="E2036" s="109"/>
      <c r="F2036" s="97"/>
      <c r="G2036" s="109"/>
      <c r="H2036" s="109"/>
      <c r="I2036" s="97"/>
      <c r="J2036" s="97"/>
      <c r="K2036" s="83"/>
      <c r="L2036" s="111"/>
      <c r="M2036" s="111"/>
      <c r="N2036" s="111"/>
      <c r="O2036" s="111"/>
      <c r="P2036" s="111"/>
      <c r="Q2036" s="111"/>
      <c r="R2036" s="111"/>
    </row>
    <row r="2037" spans="2:18" s="108" customFormat="1">
      <c r="B2037" s="109"/>
      <c r="C2037" s="110"/>
      <c r="D2037" s="109"/>
      <c r="E2037" s="109"/>
      <c r="F2037" s="97"/>
      <c r="G2037" s="109"/>
      <c r="H2037" s="109"/>
      <c r="I2037" s="97"/>
      <c r="J2037" s="97"/>
      <c r="K2037" s="83"/>
      <c r="L2037" s="111"/>
      <c r="M2037" s="111"/>
      <c r="N2037" s="111"/>
      <c r="O2037" s="111"/>
      <c r="P2037" s="111"/>
      <c r="Q2037" s="111"/>
      <c r="R2037" s="111"/>
    </row>
    <row r="2038" spans="2:18" s="108" customFormat="1">
      <c r="B2038" s="109"/>
      <c r="C2038" s="110"/>
      <c r="D2038" s="109"/>
      <c r="E2038" s="109"/>
      <c r="F2038" s="97"/>
      <c r="G2038" s="109"/>
      <c r="H2038" s="109"/>
      <c r="I2038" s="97"/>
      <c r="J2038" s="97"/>
      <c r="K2038" s="83"/>
      <c r="L2038" s="111"/>
      <c r="M2038" s="111"/>
      <c r="N2038" s="111"/>
      <c r="O2038" s="111"/>
      <c r="P2038" s="111"/>
      <c r="Q2038" s="111"/>
      <c r="R2038" s="111"/>
    </row>
    <row r="2039" spans="2:18" s="108" customFormat="1">
      <c r="B2039" s="109"/>
      <c r="C2039" s="110"/>
      <c r="D2039" s="109"/>
      <c r="E2039" s="109"/>
      <c r="F2039" s="97"/>
      <c r="G2039" s="109"/>
      <c r="H2039" s="109"/>
      <c r="I2039" s="97"/>
      <c r="J2039" s="97"/>
      <c r="K2039" s="83"/>
      <c r="L2039" s="111"/>
      <c r="M2039" s="111"/>
      <c r="N2039" s="111"/>
      <c r="O2039" s="111"/>
      <c r="P2039" s="111"/>
      <c r="Q2039" s="111"/>
      <c r="R2039" s="111"/>
    </row>
    <row r="2040" spans="2:18" s="108" customFormat="1">
      <c r="B2040" s="109"/>
      <c r="C2040" s="110"/>
      <c r="D2040" s="109"/>
      <c r="E2040" s="109"/>
      <c r="F2040" s="97"/>
      <c r="G2040" s="109"/>
      <c r="H2040" s="109"/>
      <c r="I2040" s="97"/>
      <c r="J2040" s="97"/>
      <c r="K2040" s="83"/>
      <c r="L2040" s="111"/>
      <c r="M2040" s="111"/>
      <c r="N2040" s="111"/>
      <c r="O2040" s="111"/>
      <c r="P2040" s="111"/>
      <c r="Q2040" s="111"/>
      <c r="R2040" s="111"/>
    </row>
    <row r="2041" spans="2:18" s="108" customFormat="1">
      <c r="B2041" s="109"/>
      <c r="C2041" s="110"/>
      <c r="D2041" s="109"/>
      <c r="E2041" s="109"/>
      <c r="F2041" s="97"/>
      <c r="G2041" s="109"/>
      <c r="H2041" s="109"/>
      <c r="I2041" s="97"/>
      <c r="J2041" s="97"/>
      <c r="K2041" s="83"/>
      <c r="L2041" s="111"/>
      <c r="M2041" s="111"/>
      <c r="N2041" s="111"/>
      <c r="O2041" s="111"/>
      <c r="P2041" s="111"/>
      <c r="Q2041" s="111"/>
      <c r="R2041" s="111"/>
    </row>
    <row r="2042" spans="2:18" s="108" customFormat="1">
      <c r="B2042" s="109"/>
      <c r="C2042" s="110"/>
      <c r="D2042" s="109"/>
      <c r="E2042" s="109"/>
      <c r="F2042" s="97"/>
      <c r="G2042" s="109"/>
      <c r="H2042" s="109"/>
      <c r="I2042" s="97"/>
      <c r="J2042" s="97"/>
      <c r="K2042" s="83"/>
      <c r="L2042" s="111"/>
      <c r="M2042" s="111"/>
      <c r="N2042" s="111"/>
      <c r="O2042" s="111"/>
      <c r="P2042" s="111"/>
      <c r="Q2042" s="111"/>
      <c r="R2042" s="111"/>
    </row>
    <row r="2043" spans="2:18" s="108" customFormat="1">
      <c r="B2043" s="109"/>
      <c r="C2043" s="110"/>
      <c r="D2043" s="109"/>
      <c r="E2043" s="109"/>
      <c r="F2043" s="97"/>
      <c r="G2043" s="109"/>
      <c r="H2043" s="109"/>
      <c r="I2043" s="97"/>
      <c r="J2043" s="97"/>
      <c r="K2043" s="83"/>
      <c r="L2043" s="111"/>
      <c r="M2043" s="111"/>
      <c r="N2043" s="111"/>
      <c r="O2043" s="111"/>
      <c r="P2043" s="111"/>
      <c r="Q2043" s="111"/>
      <c r="R2043" s="111"/>
    </row>
    <row r="2044" spans="2:18" s="108" customFormat="1">
      <c r="B2044" s="109"/>
      <c r="C2044" s="110"/>
      <c r="D2044" s="109"/>
      <c r="E2044" s="109"/>
      <c r="F2044" s="97"/>
      <c r="G2044" s="109"/>
      <c r="H2044" s="109"/>
      <c r="I2044" s="97"/>
      <c r="J2044" s="97"/>
      <c r="K2044" s="83"/>
      <c r="L2044" s="111"/>
      <c r="M2044" s="111"/>
      <c r="N2044" s="111"/>
      <c r="O2044" s="111"/>
      <c r="P2044" s="111"/>
      <c r="Q2044" s="111"/>
      <c r="R2044" s="111"/>
    </row>
    <row r="2045" spans="2:18" s="108" customFormat="1">
      <c r="B2045" s="109"/>
      <c r="C2045" s="110"/>
      <c r="D2045" s="109"/>
      <c r="E2045" s="109"/>
      <c r="F2045" s="97"/>
      <c r="G2045" s="109"/>
      <c r="H2045" s="109"/>
      <c r="I2045" s="97"/>
      <c r="J2045" s="97"/>
      <c r="K2045" s="83"/>
      <c r="L2045" s="111"/>
      <c r="M2045" s="111"/>
      <c r="N2045" s="111"/>
      <c r="O2045" s="111"/>
      <c r="P2045" s="111"/>
      <c r="Q2045" s="111"/>
      <c r="R2045" s="111"/>
    </row>
    <row r="2046" spans="2:18" s="108" customFormat="1">
      <c r="B2046" s="109"/>
      <c r="C2046" s="110"/>
      <c r="D2046" s="109"/>
      <c r="E2046" s="109"/>
      <c r="F2046" s="97"/>
      <c r="G2046" s="109"/>
      <c r="H2046" s="109"/>
      <c r="I2046" s="97"/>
      <c r="J2046" s="97"/>
      <c r="K2046" s="83"/>
      <c r="L2046" s="111"/>
      <c r="M2046" s="111"/>
      <c r="N2046" s="111"/>
      <c r="O2046" s="111"/>
      <c r="P2046" s="111"/>
      <c r="Q2046" s="111"/>
      <c r="R2046" s="111"/>
    </row>
    <row r="2047" spans="2:18" s="108" customFormat="1">
      <c r="B2047" s="109"/>
      <c r="C2047" s="110"/>
      <c r="D2047" s="109"/>
      <c r="E2047" s="109"/>
      <c r="F2047" s="97"/>
      <c r="G2047" s="109"/>
      <c r="H2047" s="109"/>
      <c r="I2047" s="97"/>
      <c r="J2047" s="97"/>
      <c r="K2047" s="83"/>
      <c r="L2047" s="111"/>
      <c r="M2047" s="111"/>
      <c r="N2047" s="111"/>
      <c r="O2047" s="111"/>
      <c r="P2047" s="111"/>
      <c r="Q2047" s="111"/>
      <c r="R2047" s="111"/>
    </row>
    <row r="2048" spans="2:18" s="108" customFormat="1">
      <c r="B2048" s="109"/>
      <c r="C2048" s="110"/>
      <c r="D2048" s="109"/>
      <c r="E2048" s="109"/>
      <c r="F2048" s="97"/>
      <c r="G2048" s="109"/>
      <c r="H2048" s="109"/>
      <c r="I2048" s="97"/>
      <c r="J2048" s="97"/>
      <c r="K2048" s="83"/>
      <c r="L2048" s="111"/>
      <c r="M2048" s="111"/>
      <c r="N2048" s="111"/>
      <c r="O2048" s="111"/>
      <c r="P2048" s="111"/>
      <c r="Q2048" s="111"/>
      <c r="R2048" s="111"/>
    </row>
    <row r="2049" spans="2:18" s="108" customFormat="1">
      <c r="B2049" s="109"/>
      <c r="C2049" s="110"/>
      <c r="D2049" s="109"/>
      <c r="E2049" s="109"/>
      <c r="F2049" s="97"/>
      <c r="G2049" s="109"/>
      <c r="H2049" s="109"/>
      <c r="I2049" s="97"/>
      <c r="J2049" s="97"/>
      <c r="K2049" s="83"/>
      <c r="L2049" s="111"/>
      <c r="M2049" s="111"/>
      <c r="N2049" s="111"/>
      <c r="O2049" s="111"/>
      <c r="P2049" s="111"/>
      <c r="Q2049" s="111"/>
      <c r="R2049" s="111"/>
    </row>
    <row r="2050" spans="2:18" s="108" customFormat="1">
      <c r="B2050" s="109"/>
      <c r="C2050" s="110"/>
      <c r="D2050" s="109"/>
      <c r="E2050" s="109"/>
      <c r="F2050" s="97"/>
      <c r="G2050" s="109"/>
      <c r="H2050" s="109"/>
      <c r="I2050" s="97"/>
      <c r="J2050" s="97"/>
      <c r="K2050" s="83"/>
      <c r="L2050" s="111"/>
      <c r="M2050" s="111"/>
      <c r="N2050" s="111"/>
      <c r="O2050" s="111"/>
      <c r="P2050" s="111"/>
      <c r="Q2050" s="111"/>
      <c r="R2050" s="111"/>
    </row>
    <row r="2051" spans="2:18" s="108" customFormat="1">
      <c r="B2051" s="109"/>
      <c r="C2051" s="110"/>
      <c r="D2051" s="109"/>
      <c r="E2051" s="109"/>
      <c r="F2051" s="97"/>
      <c r="G2051" s="109"/>
      <c r="H2051" s="109"/>
      <c r="I2051" s="97"/>
      <c r="J2051" s="97"/>
      <c r="K2051" s="83"/>
      <c r="L2051" s="111"/>
      <c r="M2051" s="111"/>
      <c r="N2051" s="111"/>
      <c r="O2051" s="111"/>
      <c r="P2051" s="111"/>
      <c r="Q2051" s="111"/>
      <c r="R2051" s="111"/>
    </row>
    <row r="2052" spans="2:18" s="108" customFormat="1">
      <c r="B2052" s="109"/>
      <c r="C2052" s="110"/>
      <c r="D2052" s="109"/>
      <c r="E2052" s="109"/>
      <c r="F2052" s="97"/>
      <c r="G2052" s="109"/>
      <c r="H2052" s="109"/>
      <c r="I2052" s="97"/>
      <c r="J2052" s="97"/>
      <c r="K2052" s="83"/>
      <c r="L2052" s="111"/>
      <c r="M2052" s="111"/>
      <c r="N2052" s="111"/>
      <c r="O2052" s="111"/>
      <c r="P2052" s="111"/>
      <c r="Q2052" s="111"/>
      <c r="R2052" s="111"/>
    </row>
    <row r="2053" spans="2:18" s="108" customFormat="1">
      <c r="B2053" s="109"/>
      <c r="C2053" s="110"/>
      <c r="D2053" s="109"/>
      <c r="E2053" s="109"/>
      <c r="F2053" s="97"/>
      <c r="G2053" s="109"/>
      <c r="H2053" s="109"/>
      <c r="I2053" s="97"/>
      <c r="J2053" s="97"/>
      <c r="K2053" s="83"/>
      <c r="L2053" s="111"/>
      <c r="M2053" s="111"/>
      <c r="N2053" s="111"/>
      <c r="O2053" s="111"/>
      <c r="P2053" s="111"/>
      <c r="Q2053" s="111"/>
      <c r="R2053" s="111"/>
    </row>
    <row r="2054" spans="2:18" s="108" customFormat="1">
      <c r="B2054" s="109"/>
      <c r="C2054" s="110"/>
      <c r="D2054" s="109"/>
      <c r="E2054" s="109"/>
      <c r="F2054" s="97"/>
      <c r="G2054" s="109"/>
      <c r="H2054" s="109"/>
      <c r="I2054" s="97"/>
      <c r="J2054" s="97"/>
      <c r="K2054" s="83"/>
      <c r="L2054" s="111"/>
      <c r="M2054" s="111"/>
      <c r="N2054" s="111"/>
      <c r="O2054" s="111"/>
      <c r="P2054" s="111"/>
      <c r="Q2054" s="111"/>
      <c r="R2054" s="111"/>
    </row>
    <row r="2055" spans="2:18" s="108" customFormat="1">
      <c r="B2055" s="109"/>
      <c r="C2055" s="110"/>
      <c r="D2055" s="109"/>
      <c r="E2055" s="109"/>
      <c r="F2055" s="97"/>
      <c r="G2055" s="109"/>
      <c r="H2055" s="109"/>
      <c r="I2055" s="97"/>
      <c r="J2055" s="97"/>
      <c r="K2055" s="83"/>
      <c r="L2055" s="111"/>
      <c r="M2055" s="111"/>
      <c r="N2055" s="111"/>
      <c r="O2055" s="111"/>
      <c r="P2055" s="111"/>
      <c r="Q2055" s="111"/>
      <c r="R2055" s="111"/>
    </row>
    <row r="2056" spans="2:18" s="108" customFormat="1">
      <c r="B2056" s="109"/>
      <c r="C2056" s="110"/>
      <c r="D2056" s="109"/>
      <c r="E2056" s="109"/>
      <c r="F2056" s="97"/>
      <c r="G2056" s="109"/>
      <c r="H2056" s="109"/>
      <c r="I2056" s="97"/>
      <c r="J2056" s="97"/>
      <c r="K2056" s="83"/>
      <c r="L2056" s="111"/>
      <c r="M2056" s="111"/>
      <c r="N2056" s="111"/>
      <c r="O2056" s="111"/>
      <c r="P2056" s="111"/>
      <c r="Q2056" s="111"/>
      <c r="R2056" s="111"/>
    </row>
    <row r="2057" spans="2:18" s="108" customFormat="1">
      <c r="B2057" s="109"/>
      <c r="C2057" s="110"/>
      <c r="D2057" s="109"/>
      <c r="E2057" s="109"/>
      <c r="F2057" s="97"/>
      <c r="G2057" s="109"/>
      <c r="H2057" s="109"/>
      <c r="I2057" s="97"/>
      <c r="J2057" s="97"/>
      <c r="K2057" s="83"/>
      <c r="L2057" s="111"/>
      <c r="M2057" s="111"/>
      <c r="N2057" s="111"/>
      <c r="O2057" s="111"/>
      <c r="P2057" s="111"/>
      <c r="Q2057" s="111"/>
      <c r="R2057" s="111"/>
    </row>
    <row r="2058" spans="2:18" s="108" customFormat="1">
      <c r="B2058" s="109"/>
      <c r="C2058" s="110"/>
      <c r="D2058" s="109"/>
      <c r="E2058" s="109"/>
      <c r="F2058" s="97"/>
      <c r="G2058" s="109"/>
      <c r="H2058" s="109"/>
      <c r="I2058" s="97"/>
      <c r="J2058" s="97"/>
      <c r="K2058" s="83"/>
      <c r="L2058" s="111"/>
      <c r="M2058" s="111"/>
      <c r="N2058" s="111"/>
      <c r="O2058" s="111"/>
      <c r="P2058" s="111"/>
      <c r="Q2058" s="111"/>
      <c r="R2058" s="111"/>
    </row>
    <row r="2059" spans="2:18" s="108" customFormat="1">
      <c r="B2059" s="109"/>
      <c r="C2059" s="110"/>
      <c r="D2059" s="109"/>
      <c r="E2059" s="109"/>
      <c r="F2059" s="97"/>
      <c r="G2059" s="109"/>
      <c r="H2059" s="109"/>
      <c r="I2059" s="97"/>
      <c r="J2059" s="97"/>
      <c r="K2059" s="83"/>
      <c r="L2059" s="111"/>
      <c r="M2059" s="111"/>
      <c r="N2059" s="111"/>
      <c r="O2059" s="111"/>
      <c r="P2059" s="111"/>
      <c r="Q2059" s="111"/>
      <c r="R2059" s="111"/>
    </row>
    <row r="2060" spans="2:18" s="108" customFormat="1">
      <c r="B2060" s="109"/>
      <c r="C2060" s="110"/>
      <c r="D2060" s="109"/>
      <c r="E2060" s="109"/>
      <c r="F2060" s="97"/>
      <c r="G2060" s="109"/>
      <c r="H2060" s="109"/>
      <c r="I2060" s="97"/>
      <c r="J2060" s="97"/>
      <c r="K2060" s="83"/>
      <c r="L2060" s="111"/>
      <c r="M2060" s="111"/>
      <c r="N2060" s="111"/>
      <c r="O2060" s="111"/>
      <c r="P2060" s="111"/>
      <c r="Q2060" s="111"/>
      <c r="R2060" s="111"/>
    </row>
    <row r="2061" spans="2:18" s="108" customFormat="1">
      <c r="B2061" s="109"/>
      <c r="C2061" s="110"/>
      <c r="D2061" s="109"/>
      <c r="E2061" s="109"/>
      <c r="F2061" s="97"/>
      <c r="G2061" s="109"/>
      <c r="H2061" s="109"/>
      <c r="I2061" s="97"/>
      <c r="J2061" s="97"/>
      <c r="K2061" s="83"/>
      <c r="L2061" s="111"/>
      <c r="M2061" s="111"/>
      <c r="N2061" s="111"/>
      <c r="O2061" s="111"/>
      <c r="P2061" s="111"/>
      <c r="Q2061" s="111"/>
      <c r="R2061" s="111"/>
    </row>
    <row r="2062" spans="2:18" s="108" customFormat="1">
      <c r="B2062" s="109"/>
      <c r="C2062" s="110"/>
      <c r="D2062" s="109"/>
      <c r="E2062" s="109"/>
      <c r="F2062" s="97"/>
      <c r="G2062" s="109"/>
      <c r="H2062" s="109"/>
      <c r="I2062" s="97"/>
      <c r="J2062" s="97"/>
      <c r="K2062" s="83"/>
      <c r="L2062" s="111"/>
      <c r="M2062" s="111"/>
      <c r="N2062" s="111"/>
      <c r="O2062" s="111"/>
      <c r="P2062" s="111"/>
      <c r="Q2062" s="111"/>
      <c r="R2062" s="111"/>
    </row>
    <row r="2063" spans="2:18" s="108" customFormat="1">
      <c r="B2063" s="109"/>
      <c r="C2063" s="110"/>
      <c r="D2063" s="109"/>
      <c r="E2063" s="109"/>
      <c r="F2063" s="97"/>
      <c r="G2063" s="109"/>
      <c r="H2063" s="109"/>
      <c r="I2063" s="97"/>
      <c r="J2063" s="97"/>
      <c r="K2063" s="83"/>
      <c r="L2063" s="111"/>
      <c r="M2063" s="111"/>
      <c r="N2063" s="111"/>
      <c r="O2063" s="111"/>
      <c r="P2063" s="111"/>
      <c r="Q2063" s="111"/>
      <c r="R2063" s="111"/>
    </row>
    <row r="2064" spans="2:18" s="108" customFormat="1">
      <c r="B2064" s="109"/>
      <c r="C2064" s="110"/>
      <c r="D2064" s="109"/>
      <c r="E2064" s="109"/>
      <c r="F2064" s="97"/>
      <c r="G2064" s="109"/>
      <c r="H2064" s="109"/>
      <c r="I2064" s="97"/>
      <c r="J2064" s="97"/>
      <c r="K2064" s="83"/>
      <c r="L2064" s="111"/>
      <c r="M2064" s="111"/>
      <c r="N2064" s="111"/>
      <c r="O2064" s="111"/>
      <c r="P2064" s="111"/>
      <c r="Q2064" s="111"/>
      <c r="R2064" s="111"/>
    </row>
    <row r="2065" spans="2:18" s="108" customFormat="1">
      <c r="B2065" s="109"/>
      <c r="C2065" s="110"/>
      <c r="D2065" s="109"/>
      <c r="E2065" s="109"/>
      <c r="F2065" s="97"/>
      <c r="G2065" s="109"/>
      <c r="H2065" s="109"/>
      <c r="I2065" s="97"/>
      <c r="J2065" s="97"/>
      <c r="K2065" s="83"/>
      <c r="L2065" s="111"/>
      <c r="M2065" s="111"/>
      <c r="N2065" s="111"/>
      <c r="O2065" s="111"/>
      <c r="P2065" s="111"/>
      <c r="Q2065" s="111"/>
      <c r="R2065" s="111"/>
    </row>
    <row r="2066" spans="2:18" s="108" customFormat="1">
      <c r="B2066" s="109"/>
      <c r="C2066" s="110"/>
      <c r="D2066" s="109"/>
      <c r="E2066" s="109"/>
      <c r="F2066" s="97"/>
      <c r="G2066" s="109"/>
      <c r="H2066" s="109"/>
      <c r="I2066" s="97"/>
      <c r="J2066" s="97"/>
      <c r="K2066" s="83"/>
      <c r="L2066" s="111"/>
      <c r="M2066" s="111"/>
      <c r="N2066" s="111"/>
      <c r="O2066" s="111"/>
      <c r="P2066" s="111"/>
      <c r="Q2066" s="111"/>
      <c r="R2066" s="111"/>
    </row>
    <row r="2067" spans="2:18" s="108" customFormat="1">
      <c r="B2067" s="109"/>
      <c r="C2067" s="110"/>
      <c r="D2067" s="109"/>
      <c r="E2067" s="109"/>
      <c r="F2067" s="97"/>
      <c r="G2067" s="109"/>
      <c r="H2067" s="109"/>
      <c r="I2067" s="97"/>
      <c r="J2067" s="97"/>
      <c r="K2067" s="83"/>
      <c r="L2067" s="111"/>
      <c r="M2067" s="111"/>
      <c r="N2067" s="111"/>
      <c r="O2067" s="111"/>
      <c r="P2067" s="111"/>
      <c r="Q2067" s="111"/>
      <c r="R2067" s="111"/>
    </row>
    <row r="2068" spans="2:18" s="108" customFormat="1">
      <c r="B2068" s="109"/>
      <c r="C2068" s="110"/>
      <c r="D2068" s="109"/>
      <c r="E2068" s="109"/>
      <c r="F2068" s="97"/>
      <c r="G2068" s="109"/>
      <c r="H2068" s="109"/>
      <c r="I2068" s="97"/>
      <c r="J2068" s="97"/>
      <c r="K2068" s="83"/>
      <c r="L2068" s="111"/>
      <c r="M2068" s="111"/>
      <c r="N2068" s="111"/>
      <c r="O2068" s="111"/>
      <c r="P2068" s="111"/>
      <c r="Q2068" s="111"/>
      <c r="R2068" s="111"/>
    </row>
    <row r="2069" spans="2:18" s="108" customFormat="1">
      <c r="B2069" s="109"/>
      <c r="C2069" s="110"/>
      <c r="D2069" s="109"/>
      <c r="E2069" s="109"/>
      <c r="F2069" s="97"/>
      <c r="G2069" s="109"/>
      <c r="H2069" s="109"/>
      <c r="I2069" s="97"/>
      <c r="J2069" s="97"/>
      <c r="K2069" s="83"/>
      <c r="L2069" s="111"/>
      <c r="M2069" s="111"/>
      <c r="N2069" s="111"/>
      <c r="O2069" s="111"/>
      <c r="P2069" s="111"/>
      <c r="Q2069" s="111"/>
      <c r="R2069" s="111"/>
    </row>
    <row r="2070" spans="2:18" s="108" customFormat="1">
      <c r="B2070" s="109"/>
      <c r="C2070" s="110"/>
      <c r="D2070" s="109"/>
      <c r="E2070" s="109"/>
      <c r="F2070" s="97"/>
      <c r="G2070" s="109"/>
      <c r="H2070" s="109"/>
      <c r="I2070" s="97"/>
      <c r="J2070" s="97"/>
      <c r="K2070" s="83"/>
      <c r="L2070" s="111"/>
      <c r="M2070" s="111"/>
      <c r="N2070" s="111"/>
      <c r="O2070" s="111"/>
      <c r="P2070" s="111"/>
      <c r="Q2070" s="111"/>
      <c r="R2070" s="111"/>
    </row>
    <row r="2071" spans="2:18" s="108" customFormat="1">
      <c r="B2071" s="109"/>
      <c r="C2071" s="110"/>
      <c r="D2071" s="109"/>
      <c r="E2071" s="109"/>
      <c r="F2071" s="97"/>
      <c r="G2071" s="109"/>
      <c r="H2071" s="109"/>
      <c r="I2071" s="97"/>
      <c r="J2071" s="97"/>
      <c r="K2071" s="83"/>
      <c r="L2071" s="111"/>
      <c r="M2071" s="111"/>
      <c r="N2071" s="111"/>
      <c r="O2071" s="111"/>
      <c r="P2071" s="111"/>
      <c r="Q2071" s="111"/>
      <c r="R2071" s="111"/>
    </row>
    <row r="2072" spans="2:18" s="108" customFormat="1">
      <c r="B2072" s="109"/>
      <c r="C2072" s="110"/>
      <c r="D2072" s="109"/>
      <c r="E2072" s="109"/>
      <c r="F2072" s="97"/>
      <c r="G2072" s="109"/>
      <c r="H2072" s="109"/>
      <c r="I2072" s="97"/>
      <c r="J2072" s="97"/>
      <c r="K2072" s="83"/>
      <c r="L2072" s="111"/>
      <c r="M2072" s="111"/>
      <c r="N2072" s="111"/>
      <c r="O2072" s="111"/>
      <c r="P2072" s="111"/>
      <c r="Q2072" s="111"/>
      <c r="R2072" s="111"/>
    </row>
    <row r="2073" spans="2:18" s="108" customFormat="1">
      <c r="B2073" s="109"/>
      <c r="C2073" s="110"/>
      <c r="D2073" s="109"/>
      <c r="E2073" s="109"/>
      <c r="F2073" s="97"/>
      <c r="G2073" s="109"/>
      <c r="H2073" s="109"/>
      <c r="I2073" s="97"/>
      <c r="J2073" s="97"/>
      <c r="K2073" s="83"/>
      <c r="L2073" s="111"/>
      <c r="M2073" s="111"/>
      <c r="N2073" s="111"/>
      <c r="O2073" s="111"/>
      <c r="P2073" s="111"/>
      <c r="Q2073" s="111"/>
      <c r="R2073" s="111"/>
    </row>
    <row r="2074" spans="2:18" s="108" customFormat="1">
      <c r="B2074" s="109"/>
      <c r="C2074" s="110"/>
      <c r="D2074" s="109"/>
      <c r="E2074" s="109"/>
      <c r="F2074" s="97"/>
      <c r="G2074" s="109"/>
      <c r="H2074" s="109"/>
      <c r="I2074" s="97"/>
      <c r="J2074" s="97"/>
      <c r="K2074" s="83"/>
      <c r="L2074" s="111"/>
      <c r="M2074" s="111"/>
      <c r="N2074" s="111"/>
      <c r="O2074" s="111"/>
      <c r="P2074" s="111"/>
      <c r="Q2074" s="111"/>
      <c r="R2074" s="111"/>
    </row>
    <row r="2075" spans="2:18" s="108" customFormat="1">
      <c r="B2075" s="109"/>
      <c r="C2075" s="110"/>
      <c r="D2075" s="109"/>
      <c r="E2075" s="109"/>
      <c r="F2075" s="97"/>
      <c r="G2075" s="109"/>
      <c r="H2075" s="109"/>
      <c r="I2075" s="97"/>
      <c r="J2075" s="97"/>
      <c r="K2075" s="83"/>
      <c r="L2075" s="111"/>
      <c r="M2075" s="111"/>
      <c r="N2075" s="111"/>
      <c r="O2075" s="111"/>
      <c r="P2075" s="111"/>
      <c r="Q2075" s="111"/>
      <c r="R2075" s="111"/>
    </row>
    <row r="2076" spans="2:18" s="108" customFormat="1">
      <c r="B2076" s="109"/>
      <c r="C2076" s="110"/>
      <c r="D2076" s="109"/>
      <c r="E2076" s="109"/>
      <c r="F2076" s="97"/>
      <c r="G2076" s="109"/>
      <c r="H2076" s="109"/>
      <c r="I2076" s="97"/>
      <c r="J2076" s="97"/>
      <c r="K2076" s="83"/>
      <c r="L2076" s="111"/>
      <c r="M2076" s="111"/>
      <c r="N2076" s="111"/>
      <c r="O2076" s="111"/>
      <c r="P2076" s="111"/>
      <c r="Q2076" s="111"/>
      <c r="R2076" s="111"/>
    </row>
    <row r="2077" spans="2:18" s="108" customFormat="1">
      <c r="B2077" s="109"/>
      <c r="C2077" s="110"/>
      <c r="D2077" s="109"/>
      <c r="E2077" s="109"/>
      <c r="F2077" s="97"/>
      <c r="G2077" s="109"/>
      <c r="H2077" s="109"/>
      <c r="I2077" s="97"/>
      <c r="J2077" s="97"/>
      <c r="K2077" s="83"/>
      <c r="L2077" s="111"/>
      <c r="M2077" s="111"/>
      <c r="N2077" s="111"/>
      <c r="O2077" s="111"/>
      <c r="P2077" s="111"/>
      <c r="Q2077" s="111"/>
      <c r="R2077" s="111"/>
    </row>
    <row r="2078" spans="2:18" s="108" customFormat="1">
      <c r="B2078" s="109"/>
      <c r="C2078" s="110"/>
      <c r="D2078" s="109"/>
      <c r="E2078" s="109"/>
      <c r="F2078" s="97"/>
      <c r="G2078" s="109"/>
      <c r="H2078" s="109"/>
      <c r="I2078" s="97"/>
      <c r="J2078" s="97"/>
      <c r="K2078" s="83"/>
      <c r="L2078" s="111"/>
      <c r="M2078" s="111"/>
      <c r="N2078" s="111"/>
      <c r="O2078" s="111"/>
      <c r="P2078" s="111"/>
      <c r="Q2078" s="111"/>
      <c r="R2078" s="111"/>
    </row>
    <row r="2079" spans="2:18" s="108" customFormat="1">
      <c r="B2079" s="109"/>
      <c r="C2079" s="110"/>
      <c r="D2079" s="109"/>
      <c r="E2079" s="109"/>
      <c r="F2079" s="97"/>
      <c r="G2079" s="109"/>
      <c r="H2079" s="109"/>
      <c r="I2079" s="97"/>
      <c r="J2079" s="97"/>
      <c r="K2079" s="83"/>
      <c r="L2079" s="111"/>
      <c r="M2079" s="111"/>
      <c r="N2079" s="111"/>
      <c r="O2079" s="111"/>
      <c r="P2079" s="111"/>
      <c r="Q2079" s="111"/>
      <c r="R2079" s="111"/>
    </row>
    <row r="2080" spans="2:18" s="108" customFormat="1">
      <c r="B2080" s="109"/>
      <c r="C2080" s="110"/>
      <c r="D2080" s="109"/>
      <c r="E2080" s="109"/>
      <c r="F2080" s="97"/>
      <c r="G2080" s="109"/>
      <c r="H2080" s="109"/>
      <c r="I2080" s="97"/>
      <c r="J2080" s="97"/>
      <c r="K2080" s="83"/>
      <c r="L2080" s="111"/>
      <c r="M2080" s="111"/>
      <c r="N2080" s="111"/>
      <c r="O2080" s="111"/>
      <c r="P2080" s="111"/>
      <c r="Q2080" s="111"/>
      <c r="R2080" s="111"/>
    </row>
    <row r="2081" spans="2:18" s="108" customFormat="1">
      <c r="B2081" s="109"/>
      <c r="C2081" s="110"/>
      <c r="D2081" s="109"/>
      <c r="E2081" s="109"/>
      <c r="F2081" s="97"/>
      <c r="G2081" s="109"/>
      <c r="H2081" s="109"/>
      <c r="I2081" s="97"/>
      <c r="J2081" s="97"/>
      <c r="K2081" s="83"/>
      <c r="L2081" s="111"/>
      <c r="M2081" s="111"/>
      <c r="N2081" s="111"/>
      <c r="O2081" s="111"/>
      <c r="P2081" s="111"/>
      <c r="Q2081" s="111"/>
      <c r="R2081" s="111"/>
    </row>
    <row r="2082" spans="2:18" s="108" customFormat="1">
      <c r="B2082" s="109"/>
      <c r="C2082" s="110"/>
      <c r="D2082" s="109"/>
      <c r="E2082" s="109"/>
      <c r="F2082" s="97"/>
      <c r="G2082" s="109"/>
      <c r="H2082" s="109"/>
      <c r="I2082" s="97"/>
      <c r="J2082" s="97"/>
      <c r="K2082" s="83"/>
      <c r="L2082" s="111"/>
      <c r="M2082" s="111"/>
      <c r="N2082" s="111"/>
      <c r="O2082" s="111"/>
      <c r="P2082" s="111"/>
      <c r="Q2082" s="111"/>
      <c r="R2082" s="111"/>
    </row>
    <row r="2083" spans="2:18" s="108" customFormat="1">
      <c r="B2083" s="109"/>
      <c r="C2083" s="110"/>
      <c r="D2083" s="109"/>
      <c r="E2083" s="109"/>
      <c r="F2083" s="97"/>
      <c r="G2083" s="109"/>
      <c r="H2083" s="109"/>
      <c r="I2083" s="97"/>
      <c r="J2083" s="97"/>
      <c r="K2083" s="83"/>
      <c r="L2083" s="111"/>
      <c r="M2083" s="111"/>
      <c r="N2083" s="111"/>
      <c r="O2083" s="111"/>
      <c r="P2083" s="111"/>
      <c r="Q2083" s="111"/>
      <c r="R2083" s="111"/>
    </row>
    <row r="2084" spans="2:18" s="108" customFormat="1">
      <c r="B2084" s="109"/>
      <c r="C2084" s="110"/>
      <c r="D2084" s="109"/>
      <c r="E2084" s="109"/>
      <c r="F2084" s="97"/>
      <c r="G2084" s="109"/>
      <c r="H2084" s="109"/>
      <c r="I2084" s="97"/>
      <c r="J2084" s="97"/>
      <c r="K2084" s="83"/>
      <c r="L2084" s="111"/>
      <c r="M2084" s="111"/>
      <c r="N2084" s="111"/>
      <c r="O2084" s="111"/>
      <c r="P2084" s="111"/>
      <c r="Q2084" s="111"/>
      <c r="R2084" s="111"/>
    </row>
    <row r="2085" spans="2:18" s="108" customFormat="1">
      <c r="B2085" s="109"/>
      <c r="C2085" s="110"/>
      <c r="D2085" s="109"/>
      <c r="E2085" s="109"/>
      <c r="F2085" s="97"/>
      <c r="G2085" s="109"/>
      <c r="H2085" s="109"/>
      <c r="I2085" s="97"/>
      <c r="J2085" s="97"/>
      <c r="K2085" s="83"/>
      <c r="L2085" s="111"/>
      <c r="M2085" s="111"/>
      <c r="N2085" s="111"/>
      <c r="O2085" s="111"/>
      <c r="P2085" s="111"/>
      <c r="Q2085" s="111"/>
      <c r="R2085" s="111"/>
    </row>
    <row r="2086" spans="2:18" s="108" customFormat="1">
      <c r="B2086" s="109"/>
      <c r="C2086" s="110"/>
      <c r="D2086" s="109"/>
      <c r="E2086" s="109"/>
      <c r="F2086" s="97"/>
      <c r="G2086" s="109"/>
      <c r="H2086" s="109"/>
      <c r="I2086" s="97"/>
      <c r="J2086" s="97"/>
      <c r="K2086" s="83"/>
      <c r="L2086" s="111"/>
      <c r="M2086" s="111"/>
      <c r="N2086" s="111"/>
      <c r="O2086" s="111"/>
      <c r="P2086" s="111"/>
      <c r="Q2086" s="111"/>
      <c r="R2086" s="111"/>
    </row>
    <row r="2087" spans="2:18" s="108" customFormat="1">
      <c r="B2087" s="109"/>
      <c r="C2087" s="110"/>
      <c r="D2087" s="109"/>
      <c r="E2087" s="109"/>
      <c r="F2087" s="97"/>
      <c r="G2087" s="109"/>
      <c r="H2087" s="109"/>
      <c r="I2087" s="97"/>
      <c r="J2087" s="97"/>
      <c r="K2087" s="83"/>
      <c r="L2087" s="111"/>
      <c r="M2087" s="111"/>
      <c r="N2087" s="111"/>
      <c r="O2087" s="111"/>
      <c r="P2087" s="111"/>
      <c r="Q2087" s="111"/>
      <c r="R2087" s="111"/>
    </row>
    <row r="2088" spans="2:18" s="108" customFormat="1">
      <c r="B2088" s="109"/>
      <c r="C2088" s="110"/>
      <c r="D2088" s="109"/>
      <c r="E2088" s="109"/>
      <c r="F2088" s="97"/>
      <c r="G2088" s="109"/>
      <c r="H2088" s="109"/>
      <c r="I2088" s="97"/>
      <c r="J2088" s="97"/>
      <c r="K2088" s="83"/>
      <c r="L2088" s="111"/>
      <c r="M2088" s="111"/>
      <c r="N2088" s="111"/>
      <c r="O2088" s="111"/>
      <c r="P2088" s="111"/>
      <c r="Q2088" s="111"/>
      <c r="R2088" s="111"/>
    </row>
    <row r="2089" spans="2:18" s="108" customFormat="1">
      <c r="B2089" s="109"/>
      <c r="C2089" s="110"/>
      <c r="D2089" s="109"/>
      <c r="E2089" s="109"/>
      <c r="F2089" s="97"/>
      <c r="G2089" s="109"/>
      <c r="H2089" s="109"/>
      <c r="I2089" s="97"/>
      <c r="J2089" s="97"/>
      <c r="K2089" s="83"/>
      <c r="L2089" s="111"/>
      <c r="M2089" s="111"/>
      <c r="N2089" s="111"/>
      <c r="O2089" s="111"/>
      <c r="P2089" s="111"/>
      <c r="Q2089" s="111"/>
      <c r="R2089" s="111"/>
    </row>
    <row r="2090" spans="2:18" s="108" customFormat="1">
      <c r="B2090" s="109"/>
      <c r="C2090" s="110"/>
      <c r="D2090" s="109"/>
      <c r="E2090" s="109"/>
      <c r="F2090" s="97"/>
      <c r="G2090" s="109"/>
      <c r="H2090" s="109"/>
      <c r="I2090" s="97"/>
      <c r="J2090" s="97"/>
      <c r="K2090" s="83"/>
      <c r="L2090" s="111"/>
      <c r="M2090" s="111"/>
      <c r="N2090" s="111"/>
      <c r="O2090" s="111"/>
      <c r="P2090" s="111"/>
      <c r="Q2090" s="111"/>
      <c r="R2090" s="111"/>
    </row>
    <row r="2091" spans="2:18" s="108" customFormat="1">
      <c r="B2091" s="109"/>
      <c r="C2091" s="110"/>
      <c r="D2091" s="109"/>
      <c r="E2091" s="109"/>
      <c r="F2091" s="97"/>
      <c r="G2091" s="109"/>
      <c r="H2091" s="109"/>
      <c r="I2091" s="97"/>
      <c r="J2091" s="97"/>
      <c r="K2091" s="83"/>
      <c r="L2091" s="111"/>
      <c r="M2091" s="111"/>
      <c r="N2091" s="111"/>
      <c r="O2091" s="111"/>
      <c r="P2091" s="111"/>
      <c r="Q2091" s="111"/>
      <c r="R2091" s="111"/>
    </row>
    <row r="2092" spans="2:18" s="108" customFormat="1">
      <c r="B2092" s="109"/>
      <c r="C2092" s="110"/>
      <c r="D2092" s="109"/>
      <c r="E2092" s="109"/>
      <c r="F2092" s="97"/>
      <c r="G2092" s="109"/>
      <c r="H2092" s="109"/>
      <c r="I2092" s="97"/>
      <c r="J2092" s="97"/>
      <c r="K2092" s="83"/>
      <c r="L2092" s="111"/>
      <c r="M2092" s="111"/>
      <c r="N2092" s="111"/>
      <c r="O2092" s="111"/>
      <c r="P2092" s="111"/>
      <c r="Q2092" s="111"/>
      <c r="R2092" s="111"/>
    </row>
    <row r="2093" spans="2:18" s="108" customFormat="1">
      <c r="B2093" s="109"/>
      <c r="C2093" s="110"/>
      <c r="D2093" s="109"/>
      <c r="E2093" s="109"/>
      <c r="F2093" s="97"/>
      <c r="G2093" s="109"/>
      <c r="H2093" s="109"/>
      <c r="I2093" s="97"/>
      <c r="J2093" s="97"/>
      <c r="K2093" s="83"/>
      <c r="L2093" s="111"/>
      <c r="M2093" s="111"/>
      <c r="N2093" s="111"/>
      <c r="O2093" s="111"/>
      <c r="P2093" s="111"/>
      <c r="Q2093" s="111"/>
      <c r="R2093" s="111"/>
    </row>
    <row r="2094" spans="2:18" s="108" customFormat="1">
      <c r="B2094" s="109"/>
      <c r="C2094" s="110"/>
      <c r="D2094" s="109"/>
      <c r="E2094" s="109"/>
      <c r="F2094" s="97"/>
      <c r="G2094" s="109"/>
      <c r="H2094" s="109"/>
      <c r="I2094" s="97"/>
      <c r="J2094" s="97"/>
      <c r="K2094" s="83"/>
      <c r="L2094" s="111"/>
      <c r="M2094" s="111"/>
      <c r="N2094" s="111"/>
      <c r="O2094" s="111"/>
      <c r="P2094" s="111"/>
      <c r="Q2094" s="111"/>
      <c r="R2094" s="111"/>
    </row>
    <row r="2095" spans="2:18" s="108" customFormat="1">
      <c r="B2095" s="109"/>
      <c r="C2095" s="110"/>
      <c r="D2095" s="109"/>
      <c r="E2095" s="109"/>
      <c r="F2095" s="97"/>
      <c r="G2095" s="109"/>
      <c r="H2095" s="109"/>
      <c r="I2095" s="97"/>
      <c r="J2095" s="97"/>
      <c r="K2095" s="83"/>
      <c r="L2095" s="111"/>
      <c r="M2095" s="111"/>
      <c r="N2095" s="111"/>
      <c r="O2095" s="111"/>
      <c r="P2095" s="111"/>
      <c r="Q2095" s="111"/>
      <c r="R2095" s="111"/>
    </row>
    <row r="2096" spans="2:18" s="108" customFormat="1">
      <c r="B2096" s="109"/>
      <c r="C2096" s="110"/>
      <c r="D2096" s="109"/>
      <c r="E2096" s="109"/>
      <c r="F2096" s="97"/>
      <c r="G2096" s="109"/>
      <c r="H2096" s="109"/>
      <c r="I2096" s="97"/>
      <c r="J2096" s="97"/>
      <c r="K2096" s="83"/>
      <c r="L2096" s="111"/>
      <c r="M2096" s="111"/>
      <c r="N2096" s="111"/>
      <c r="O2096" s="111"/>
      <c r="P2096" s="111"/>
      <c r="Q2096" s="111"/>
      <c r="R2096" s="111"/>
    </row>
    <row r="2097" spans="2:18" s="108" customFormat="1">
      <c r="B2097" s="109"/>
      <c r="C2097" s="110"/>
      <c r="D2097" s="109"/>
      <c r="E2097" s="109"/>
      <c r="F2097" s="97"/>
      <c r="G2097" s="109"/>
      <c r="H2097" s="109"/>
      <c r="I2097" s="97"/>
      <c r="J2097" s="97"/>
      <c r="K2097" s="83"/>
      <c r="L2097" s="111"/>
      <c r="M2097" s="111"/>
      <c r="N2097" s="111"/>
      <c r="O2097" s="111"/>
      <c r="P2097" s="111"/>
      <c r="Q2097" s="111"/>
      <c r="R2097" s="111"/>
    </row>
    <row r="2098" spans="2:18" s="108" customFormat="1">
      <c r="B2098" s="109"/>
      <c r="C2098" s="110"/>
      <c r="D2098" s="109"/>
      <c r="E2098" s="109"/>
      <c r="F2098" s="97"/>
      <c r="G2098" s="109"/>
      <c r="H2098" s="109"/>
      <c r="I2098" s="97"/>
      <c r="J2098" s="97"/>
      <c r="K2098" s="83"/>
      <c r="L2098" s="111"/>
      <c r="M2098" s="111"/>
      <c r="N2098" s="111"/>
      <c r="O2098" s="111"/>
      <c r="P2098" s="111"/>
      <c r="Q2098" s="111"/>
      <c r="R2098" s="111"/>
    </row>
    <row r="2099" spans="2:18" s="108" customFormat="1">
      <c r="B2099" s="109"/>
      <c r="C2099" s="110"/>
      <c r="D2099" s="109"/>
      <c r="E2099" s="109"/>
      <c r="F2099" s="97"/>
      <c r="G2099" s="109"/>
      <c r="H2099" s="109"/>
      <c r="I2099" s="97"/>
      <c r="J2099" s="97"/>
      <c r="K2099" s="83"/>
      <c r="L2099" s="111"/>
      <c r="M2099" s="111"/>
      <c r="N2099" s="111"/>
      <c r="O2099" s="111"/>
      <c r="P2099" s="111"/>
      <c r="Q2099" s="111"/>
      <c r="R2099" s="111"/>
    </row>
    <row r="2100" spans="2:18" s="108" customFormat="1">
      <c r="B2100" s="109"/>
      <c r="C2100" s="110"/>
      <c r="D2100" s="109"/>
      <c r="E2100" s="109"/>
      <c r="F2100" s="97"/>
      <c r="G2100" s="109"/>
      <c r="H2100" s="109"/>
      <c r="I2100" s="97"/>
      <c r="J2100" s="97"/>
      <c r="K2100" s="83"/>
      <c r="L2100" s="111"/>
      <c r="M2100" s="111"/>
      <c r="N2100" s="111"/>
      <c r="O2100" s="111"/>
      <c r="P2100" s="111"/>
      <c r="Q2100" s="111"/>
      <c r="R2100" s="111"/>
    </row>
    <row r="2101" spans="2:18" s="108" customFormat="1">
      <c r="B2101" s="109"/>
      <c r="C2101" s="110"/>
      <c r="D2101" s="109"/>
      <c r="E2101" s="109"/>
      <c r="F2101" s="97"/>
      <c r="G2101" s="109"/>
      <c r="H2101" s="109"/>
      <c r="I2101" s="97"/>
      <c r="J2101" s="97"/>
      <c r="K2101" s="83"/>
      <c r="L2101" s="111"/>
      <c r="M2101" s="111"/>
      <c r="N2101" s="111"/>
      <c r="O2101" s="111"/>
      <c r="P2101" s="111"/>
      <c r="Q2101" s="111"/>
      <c r="R2101" s="111"/>
    </row>
    <row r="2102" spans="2:18" s="108" customFormat="1">
      <c r="B2102" s="109"/>
      <c r="C2102" s="110"/>
      <c r="D2102" s="109"/>
      <c r="E2102" s="109"/>
      <c r="F2102" s="97"/>
      <c r="G2102" s="109"/>
      <c r="H2102" s="109"/>
      <c r="I2102" s="97"/>
      <c r="J2102" s="97"/>
      <c r="K2102" s="83"/>
      <c r="L2102" s="111"/>
      <c r="M2102" s="111"/>
      <c r="N2102" s="111"/>
      <c r="O2102" s="111"/>
      <c r="P2102" s="111"/>
      <c r="Q2102" s="111"/>
      <c r="R2102" s="111"/>
    </row>
    <row r="2103" spans="2:18" s="108" customFormat="1">
      <c r="B2103" s="109"/>
      <c r="C2103" s="110"/>
      <c r="D2103" s="109"/>
      <c r="E2103" s="109"/>
      <c r="F2103" s="97"/>
      <c r="G2103" s="109"/>
      <c r="H2103" s="109"/>
      <c r="I2103" s="97"/>
      <c r="J2103" s="97"/>
      <c r="K2103" s="83"/>
      <c r="L2103" s="111"/>
      <c r="M2103" s="111"/>
      <c r="N2103" s="111"/>
      <c r="O2103" s="111"/>
      <c r="P2103" s="111"/>
      <c r="Q2103" s="111"/>
      <c r="R2103" s="111"/>
    </row>
    <row r="2104" spans="2:18" s="108" customFormat="1">
      <c r="B2104" s="109"/>
      <c r="C2104" s="110"/>
      <c r="D2104" s="109"/>
      <c r="E2104" s="109"/>
      <c r="F2104" s="97"/>
      <c r="G2104" s="109"/>
      <c r="H2104" s="109"/>
      <c r="I2104" s="97"/>
      <c r="J2104" s="97"/>
      <c r="K2104" s="83"/>
      <c r="L2104" s="111"/>
      <c r="M2104" s="111"/>
      <c r="N2104" s="111"/>
      <c r="O2104" s="111"/>
      <c r="P2104" s="111"/>
      <c r="Q2104" s="111"/>
      <c r="R2104" s="111"/>
    </row>
    <row r="2105" spans="2:18" s="108" customFormat="1">
      <c r="B2105" s="109"/>
      <c r="C2105" s="110"/>
      <c r="D2105" s="109"/>
      <c r="E2105" s="109"/>
      <c r="F2105" s="97"/>
      <c r="G2105" s="109"/>
      <c r="H2105" s="109"/>
      <c r="I2105" s="97"/>
      <c r="J2105" s="97"/>
      <c r="K2105" s="83"/>
      <c r="L2105" s="111"/>
      <c r="M2105" s="111"/>
      <c r="N2105" s="111"/>
      <c r="O2105" s="111"/>
      <c r="P2105" s="111"/>
      <c r="Q2105" s="111"/>
      <c r="R2105" s="111"/>
    </row>
    <row r="2106" spans="2:18" s="108" customFormat="1">
      <c r="B2106" s="109"/>
      <c r="C2106" s="110"/>
      <c r="D2106" s="109"/>
      <c r="E2106" s="109"/>
      <c r="F2106" s="97"/>
      <c r="G2106" s="109"/>
      <c r="H2106" s="109"/>
      <c r="I2106" s="97"/>
      <c r="J2106" s="97"/>
      <c r="K2106" s="83"/>
      <c r="L2106" s="111"/>
      <c r="M2106" s="111"/>
      <c r="N2106" s="111"/>
      <c r="O2106" s="111"/>
      <c r="P2106" s="111"/>
      <c r="Q2106" s="111"/>
      <c r="R2106" s="111"/>
    </row>
    <row r="2107" spans="2:18" s="108" customFormat="1">
      <c r="B2107" s="109"/>
      <c r="C2107" s="110"/>
      <c r="D2107" s="109"/>
      <c r="E2107" s="109"/>
      <c r="F2107" s="97"/>
      <c r="G2107" s="109"/>
      <c r="H2107" s="109"/>
      <c r="I2107" s="97"/>
      <c r="J2107" s="97"/>
      <c r="K2107" s="83"/>
      <c r="L2107" s="111"/>
      <c r="M2107" s="111"/>
      <c r="N2107" s="111"/>
      <c r="O2107" s="111"/>
      <c r="P2107" s="111"/>
      <c r="Q2107" s="111"/>
      <c r="R2107" s="111"/>
    </row>
    <row r="2108" spans="2:18" s="108" customFormat="1">
      <c r="B2108" s="109"/>
      <c r="C2108" s="110"/>
      <c r="D2108" s="109"/>
      <c r="E2108" s="109"/>
      <c r="F2108" s="97"/>
      <c r="G2108" s="109"/>
      <c r="H2108" s="109"/>
      <c r="I2108" s="97"/>
      <c r="J2108" s="97"/>
      <c r="K2108" s="83"/>
      <c r="L2108" s="111"/>
      <c r="M2108" s="111"/>
      <c r="N2108" s="111"/>
      <c r="O2108" s="111"/>
      <c r="P2108" s="111"/>
      <c r="Q2108" s="111"/>
      <c r="R2108" s="111"/>
    </row>
    <row r="2109" spans="2:18" s="108" customFormat="1">
      <c r="B2109" s="109"/>
      <c r="C2109" s="110"/>
      <c r="D2109" s="109"/>
      <c r="E2109" s="109"/>
      <c r="F2109" s="97"/>
      <c r="G2109" s="109"/>
      <c r="H2109" s="109"/>
      <c r="I2109" s="97"/>
      <c r="J2109" s="97"/>
      <c r="K2109" s="83"/>
      <c r="L2109" s="111"/>
      <c r="M2109" s="111"/>
      <c r="N2109" s="111"/>
      <c r="O2109" s="111"/>
      <c r="P2109" s="111"/>
      <c r="Q2109" s="111"/>
      <c r="R2109" s="111"/>
    </row>
    <row r="2110" spans="2:18" s="108" customFormat="1">
      <c r="B2110" s="109"/>
      <c r="C2110" s="110"/>
      <c r="D2110" s="109"/>
      <c r="E2110" s="109"/>
      <c r="F2110" s="97"/>
      <c r="G2110" s="109"/>
      <c r="H2110" s="109"/>
      <c r="I2110" s="97"/>
      <c r="J2110" s="97"/>
      <c r="K2110" s="83"/>
      <c r="L2110" s="111"/>
      <c r="M2110" s="111"/>
      <c r="N2110" s="111"/>
      <c r="O2110" s="111"/>
      <c r="P2110" s="111"/>
      <c r="Q2110" s="111"/>
      <c r="R2110" s="111"/>
    </row>
    <row r="2111" spans="2:18" s="108" customFormat="1">
      <c r="B2111" s="109"/>
      <c r="C2111" s="110"/>
      <c r="D2111" s="109"/>
      <c r="E2111" s="109"/>
      <c r="F2111" s="97"/>
      <c r="G2111" s="109"/>
      <c r="H2111" s="109"/>
      <c r="I2111" s="97"/>
      <c r="J2111" s="97"/>
      <c r="K2111" s="83"/>
      <c r="L2111" s="111"/>
      <c r="M2111" s="111"/>
      <c r="N2111" s="111"/>
      <c r="O2111" s="111"/>
      <c r="P2111" s="111"/>
      <c r="Q2111" s="111"/>
      <c r="R2111" s="111"/>
    </row>
    <row r="2112" spans="2:18" s="108" customFormat="1">
      <c r="B2112" s="109"/>
      <c r="C2112" s="110"/>
      <c r="D2112" s="109"/>
      <c r="E2112" s="109"/>
      <c r="F2112" s="97"/>
      <c r="G2112" s="109"/>
      <c r="H2112" s="109"/>
      <c r="I2112" s="97"/>
      <c r="J2112" s="97"/>
      <c r="K2112" s="83"/>
      <c r="L2112" s="111"/>
      <c r="M2112" s="111"/>
      <c r="N2112" s="111"/>
      <c r="O2112" s="111"/>
      <c r="P2112" s="111"/>
      <c r="Q2112" s="111"/>
      <c r="R2112" s="111"/>
    </row>
    <row r="2113" spans="2:18" s="108" customFormat="1">
      <c r="B2113" s="109"/>
      <c r="C2113" s="110"/>
      <c r="D2113" s="109"/>
      <c r="E2113" s="109"/>
      <c r="F2113" s="97"/>
      <c r="G2113" s="109"/>
      <c r="H2113" s="109"/>
      <c r="I2113" s="97"/>
      <c r="J2113" s="97"/>
      <c r="K2113" s="83"/>
      <c r="L2113" s="111"/>
      <c r="M2113" s="111"/>
      <c r="N2113" s="111"/>
      <c r="O2113" s="111"/>
      <c r="P2113" s="111"/>
      <c r="Q2113" s="111"/>
      <c r="R2113" s="111"/>
    </row>
    <row r="2114" spans="2:18" s="108" customFormat="1">
      <c r="B2114" s="109"/>
      <c r="C2114" s="110"/>
      <c r="D2114" s="109"/>
      <c r="E2114" s="109"/>
      <c r="F2114" s="97"/>
      <c r="G2114" s="109"/>
      <c r="H2114" s="109"/>
      <c r="I2114" s="97"/>
      <c r="J2114" s="97"/>
      <c r="K2114" s="83"/>
      <c r="L2114" s="111"/>
      <c r="M2114" s="111"/>
      <c r="N2114" s="111"/>
      <c r="O2114" s="111"/>
      <c r="P2114" s="111"/>
      <c r="Q2114" s="111"/>
      <c r="R2114" s="111"/>
    </row>
    <row r="2115" spans="2:18" s="108" customFormat="1">
      <c r="B2115" s="109"/>
      <c r="C2115" s="110"/>
      <c r="D2115" s="109"/>
      <c r="E2115" s="109"/>
      <c r="F2115" s="97"/>
      <c r="G2115" s="109"/>
      <c r="H2115" s="109"/>
      <c r="I2115" s="97"/>
      <c r="J2115" s="97"/>
      <c r="K2115" s="83"/>
      <c r="L2115" s="111"/>
      <c r="M2115" s="111"/>
      <c r="N2115" s="111"/>
      <c r="O2115" s="111"/>
      <c r="P2115" s="111"/>
      <c r="Q2115" s="111"/>
      <c r="R2115" s="111"/>
    </row>
    <row r="2116" spans="2:18" s="108" customFormat="1">
      <c r="B2116" s="109"/>
      <c r="C2116" s="110"/>
      <c r="D2116" s="109"/>
      <c r="E2116" s="109"/>
      <c r="F2116" s="97"/>
      <c r="G2116" s="109"/>
      <c r="H2116" s="109"/>
      <c r="I2116" s="97"/>
      <c r="J2116" s="97"/>
      <c r="K2116" s="83"/>
      <c r="L2116" s="111"/>
      <c r="M2116" s="111"/>
      <c r="N2116" s="111"/>
      <c r="O2116" s="111"/>
      <c r="P2116" s="111"/>
      <c r="Q2116" s="111"/>
      <c r="R2116" s="111"/>
    </row>
    <row r="2117" spans="2:18" s="108" customFormat="1">
      <c r="B2117" s="109"/>
      <c r="C2117" s="110"/>
      <c r="D2117" s="109"/>
      <c r="E2117" s="109"/>
      <c r="F2117" s="97"/>
      <c r="G2117" s="109"/>
      <c r="H2117" s="109"/>
      <c r="I2117" s="97"/>
      <c r="J2117" s="97"/>
      <c r="K2117" s="83"/>
      <c r="L2117" s="111"/>
      <c r="M2117" s="111"/>
      <c r="N2117" s="111"/>
      <c r="O2117" s="111"/>
      <c r="P2117" s="111"/>
      <c r="Q2117" s="111"/>
      <c r="R2117" s="111"/>
    </row>
    <row r="2118" spans="2:18" s="108" customFormat="1">
      <c r="B2118" s="109"/>
      <c r="C2118" s="110"/>
      <c r="D2118" s="109"/>
      <c r="E2118" s="109"/>
      <c r="F2118" s="97"/>
      <c r="G2118" s="109"/>
      <c r="H2118" s="109"/>
      <c r="I2118" s="97"/>
      <c r="J2118" s="97"/>
      <c r="K2118" s="83"/>
      <c r="L2118" s="111"/>
      <c r="M2118" s="111"/>
      <c r="N2118" s="111"/>
      <c r="O2118" s="111"/>
      <c r="P2118" s="111"/>
      <c r="Q2118" s="111"/>
      <c r="R2118" s="111"/>
    </row>
    <row r="2119" spans="2:18" s="108" customFormat="1">
      <c r="B2119" s="109"/>
      <c r="C2119" s="110"/>
      <c r="D2119" s="109"/>
      <c r="E2119" s="109"/>
      <c r="F2119" s="97"/>
      <c r="G2119" s="109"/>
      <c r="H2119" s="109"/>
      <c r="I2119" s="97"/>
      <c r="J2119" s="97"/>
      <c r="K2119" s="83"/>
      <c r="L2119" s="111"/>
      <c r="M2119" s="111"/>
      <c r="N2119" s="111"/>
      <c r="O2119" s="111"/>
      <c r="P2119" s="111"/>
      <c r="Q2119" s="111"/>
      <c r="R2119" s="111"/>
    </row>
    <row r="2120" spans="2:18" s="108" customFormat="1">
      <c r="B2120" s="109"/>
      <c r="C2120" s="110"/>
      <c r="D2120" s="109"/>
      <c r="E2120" s="109"/>
      <c r="F2120" s="97"/>
      <c r="G2120" s="109"/>
      <c r="H2120" s="109"/>
      <c r="I2120" s="97"/>
      <c r="J2120" s="97"/>
      <c r="K2120" s="83"/>
      <c r="L2120" s="111"/>
      <c r="M2120" s="111"/>
      <c r="N2120" s="111"/>
      <c r="O2120" s="111"/>
      <c r="P2120" s="111"/>
      <c r="Q2120" s="111"/>
      <c r="R2120" s="111"/>
    </row>
    <row r="2121" spans="2:18" s="108" customFormat="1">
      <c r="B2121" s="109"/>
      <c r="C2121" s="110"/>
      <c r="D2121" s="109"/>
      <c r="E2121" s="109"/>
      <c r="F2121" s="97"/>
      <c r="G2121" s="109"/>
      <c r="H2121" s="109"/>
      <c r="I2121" s="97"/>
      <c r="J2121" s="97"/>
      <c r="K2121" s="83"/>
      <c r="L2121" s="111"/>
      <c r="M2121" s="111"/>
      <c r="N2121" s="111"/>
      <c r="O2121" s="111"/>
      <c r="P2121" s="111"/>
      <c r="Q2121" s="111"/>
      <c r="R2121" s="111"/>
    </row>
    <row r="2122" spans="2:18" s="108" customFormat="1">
      <c r="B2122" s="109"/>
      <c r="C2122" s="110"/>
      <c r="D2122" s="109"/>
      <c r="E2122" s="109"/>
      <c r="F2122" s="97"/>
      <c r="G2122" s="109"/>
      <c r="H2122" s="109"/>
      <c r="I2122" s="97"/>
      <c r="J2122" s="97"/>
      <c r="K2122" s="83"/>
      <c r="L2122" s="111"/>
      <c r="M2122" s="111"/>
      <c r="N2122" s="111"/>
      <c r="O2122" s="111"/>
      <c r="P2122" s="111"/>
      <c r="Q2122" s="111"/>
      <c r="R2122" s="111"/>
    </row>
    <row r="2123" spans="2:18" s="108" customFormat="1">
      <c r="B2123" s="109"/>
      <c r="C2123" s="110"/>
      <c r="D2123" s="109"/>
      <c r="E2123" s="109"/>
      <c r="F2123" s="97"/>
      <c r="G2123" s="109"/>
      <c r="H2123" s="109"/>
      <c r="I2123" s="97"/>
      <c r="J2123" s="97"/>
      <c r="K2123" s="83"/>
      <c r="L2123" s="111"/>
      <c r="M2123" s="111"/>
      <c r="N2123" s="111"/>
      <c r="O2123" s="111"/>
      <c r="P2123" s="111"/>
      <c r="Q2123" s="111"/>
      <c r="R2123" s="111"/>
    </row>
    <row r="2124" spans="2:18" s="108" customFormat="1">
      <c r="B2124" s="109"/>
      <c r="C2124" s="110"/>
      <c r="D2124" s="109"/>
      <c r="E2124" s="109"/>
      <c r="F2124" s="97"/>
      <c r="G2124" s="109"/>
      <c r="H2124" s="109"/>
      <c r="I2124" s="97"/>
      <c r="J2124" s="97"/>
      <c r="K2124" s="83"/>
      <c r="L2124" s="111"/>
      <c r="M2124" s="111"/>
      <c r="N2124" s="111"/>
      <c r="O2124" s="111"/>
      <c r="P2124" s="111"/>
      <c r="Q2124" s="111"/>
      <c r="R2124" s="111"/>
    </row>
    <row r="2125" spans="2:18" s="108" customFormat="1">
      <c r="B2125" s="109"/>
      <c r="C2125" s="110"/>
      <c r="D2125" s="109"/>
      <c r="E2125" s="109"/>
      <c r="F2125" s="97"/>
      <c r="G2125" s="109"/>
      <c r="H2125" s="109"/>
      <c r="I2125" s="97"/>
      <c r="J2125" s="97"/>
      <c r="K2125" s="83"/>
      <c r="L2125" s="111"/>
      <c r="M2125" s="111"/>
      <c r="N2125" s="111"/>
      <c r="O2125" s="111"/>
      <c r="P2125" s="111"/>
      <c r="Q2125" s="111"/>
      <c r="R2125" s="111"/>
    </row>
    <row r="2126" spans="2:18" s="108" customFormat="1">
      <c r="B2126" s="109"/>
      <c r="C2126" s="110"/>
      <c r="D2126" s="109"/>
      <c r="E2126" s="109"/>
      <c r="F2126" s="97"/>
      <c r="G2126" s="109"/>
      <c r="H2126" s="109"/>
      <c r="I2126" s="97"/>
      <c r="J2126" s="97"/>
      <c r="K2126" s="83"/>
      <c r="L2126" s="111"/>
      <c r="M2126" s="111"/>
      <c r="N2126" s="111"/>
      <c r="O2126" s="111"/>
      <c r="P2126" s="111"/>
      <c r="Q2126" s="111"/>
      <c r="R2126" s="111"/>
    </row>
    <row r="2127" spans="2:18" s="108" customFormat="1">
      <c r="B2127" s="109"/>
      <c r="C2127" s="110"/>
      <c r="D2127" s="109"/>
      <c r="E2127" s="109"/>
      <c r="F2127" s="97"/>
      <c r="G2127" s="109"/>
      <c r="H2127" s="109"/>
      <c r="I2127" s="97"/>
      <c r="J2127" s="97"/>
      <c r="K2127" s="83"/>
      <c r="L2127" s="111"/>
      <c r="M2127" s="111"/>
      <c r="N2127" s="111"/>
      <c r="O2127" s="111"/>
      <c r="P2127" s="111"/>
      <c r="Q2127" s="111"/>
      <c r="R2127" s="111"/>
    </row>
    <row r="2128" spans="2:18" s="108" customFormat="1">
      <c r="B2128" s="109"/>
      <c r="C2128" s="110"/>
      <c r="D2128" s="109"/>
      <c r="E2128" s="109"/>
      <c r="F2128" s="97"/>
      <c r="G2128" s="109"/>
      <c r="H2128" s="109"/>
      <c r="I2128" s="97"/>
      <c r="J2128" s="97"/>
      <c r="K2128" s="83"/>
      <c r="L2128" s="111"/>
      <c r="M2128" s="111"/>
      <c r="N2128" s="111"/>
      <c r="O2128" s="111"/>
      <c r="P2128" s="111"/>
      <c r="Q2128" s="111"/>
      <c r="R2128" s="111"/>
    </row>
    <row r="2129" spans="2:18" s="108" customFormat="1">
      <c r="B2129" s="109"/>
      <c r="C2129" s="110"/>
      <c r="D2129" s="109"/>
      <c r="E2129" s="109"/>
      <c r="F2129" s="97"/>
      <c r="G2129" s="109"/>
      <c r="H2129" s="109"/>
      <c r="I2129" s="97"/>
      <c r="J2129" s="97"/>
      <c r="K2129" s="83"/>
      <c r="L2129" s="111"/>
      <c r="M2129" s="111"/>
      <c r="N2129" s="111"/>
      <c r="O2129" s="111"/>
      <c r="P2129" s="111"/>
      <c r="Q2129" s="111"/>
      <c r="R2129" s="111"/>
    </row>
    <row r="2130" spans="2:18" s="108" customFormat="1">
      <c r="B2130" s="109"/>
      <c r="C2130" s="110"/>
      <c r="D2130" s="109"/>
      <c r="E2130" s="109"/>
      <c r="F2130" s="97"/>
      <c r="G2130" s="109"/>
      <c r="H2130" s="109"/>
      <c r="I2130" s="97"/>
      <c r="J2130" s="97"/>
      <c r="K2130" s="83"/>
      <c r="L2130" s="111"/>
      <c r="M2130" s="111"/>
      <c r="N2130" s="111"/>
      <c r="O2130" s="111"/>
      <c r="P2130" s="111"/>
      <c r="Q2130" s="111"/>
      <c r="R2130" s="111"/>
    </row>
    <row r="2131" spans="2:18" s="108" customFormat="1">
      <c r="B2131" s="109"/>
      <c r="C2131" s="110"/>
      <c r="D2131" s="109"/>
      <c r="E2131" s="109"/>
      <c r="F2131" s="97"/>
      <c r="G2131" s="109"/>
      <c r="H2131" s="109"/>
      <c r="I2131" s="97"/>
      <c r="J2131" s="97"/>
      <c r="K2131" s="83"/>
      <c r="L2131" s="111"/>
      <c r="M2131" s="111"/>
      <c r="N2131" s="111"/>
      <c r="O2131" s="111"/>
      <c r="P2131" s="111"/>
      <c r="Q2131" s="111"/>
      <c r="R2131" s="111"/>
    </row>
    <row r="2132" spans="2:18" s="108" customFormat="1">
      <c r="B2132" s="109"/>
      <c r="C2132" s="110"/>
      <c r="D2132" s="109"/>
      <c r="E2132" s="109"/>
      <c r="F2132" s="97"/>
      <c r="G2132" s="109"/>
      <c r="H2132" s="109"/>
      <c r="I2132" s="97"/>
      <c r="J2132" s="97"/>
      <c r="K2132" s="83"/>
      <c r="L2132" s="111"/>
      <c r="M2132" s="111"/>
      <c r="N2132" s="111"/>
      <c r="O2132" s="111"/>
      <c r="P2132" s="111"/>
      <c r="Q2132" s="111"/>
      <c r="R2132" s="111"/>
    </row>
    <row r="2133" spans="2:18" s="108" customFormat="1">
      <c r="B2133" s="109"/>
      <c r="C2133" s="110"/>
      <c r="D2133" s="109"/>
      <c r="E2133" s="109"/>
      <c r="F2133" s="97"/>
      <c r="G2133" s="109"/>
      <c r="H2133" s="109"/>
      <c r="I2133" s="97"/>
      <c r="J2133" s="97"/>
      <c r="K2133" s="83"/>
      <c r="L2133" s="111"/>
      <c r="M2133" s="111"/>
      <c r="N2133" s="111"/>
      <c r="O2133" s="111"/>
      <c r="P2133" s="111"/>
      <c r="Q2133" s="111"/>
      <c r="R2133" s="111"/>
    </row>
    <row r="2134" spans="2:18" s="108" customFormat="1">
      <c r="B2134" s="109"/>
      <c r="C2134" s="110"/>
      <c r="D2134" s="109"/>
      <c r="E2134" s="109"/>
      <c r="F2134" s="97"/>
      <c r="G2134" s="109"/>
      <c r="H2134" s="109"/>
      <c r="I2134" s="97"/>
      <c r="J2134" s="97"/>
      <c r="K2134" s="83"/>
      <c r="L2134" s="111"/>
      <c r="M2134" s="111"/>
      <c r="N2134" s="111"/>
      <c r="O2134" s="111"/>
      <c r="P2134" s="111"/>
      <c r="Q2134" s="111"/>
      <c r="R2134" s="111"/>
    </row>
    <row r="2135" spans="2:18" s="108" customFormat="1">
      <c r="B2135" s="109"/>
      <c r="C2135" s="110"/>
      <c r="D2135" s="109"/>
      <c r="E2135" s="109"/>
      <c r="F2135" s="97"/>
      <c r="G2135" s="109"/>
      <c r="H2135" s="109"/>
      <c r="I2135" s="97"/>
      <c r="J2135" s="97"/>
      <c r="K2135" s="83"/>
      <c r="L2135" s="111"/>
      <c r="M2135" s="111"/>
      <c r="N2135" s="111"/>
      <c r="O2135" s="111"/>
      <c r="P2135" s="111"/>
      <c r="Q2135" s="111"/>
      <c r="R2135" s="111"/>
    </row>
    <row r="2136" spans="2:18" s="108" customFormat="1">
      <c r="B2136" s="109"/>
      <c r="C2136" s="110"/>
      <c r="D2136" s="109"/>
      <c r="E2136" s="109"/>
      <c r="F2136" s="97"/>
      <c r="G2136" s="109"/>
      <c r="H2136" s="109"/>
      <c r="I2136" s="97"/>
      <c r="J2136" s="97"/>
      <c r="K2136" s="83"/>
      <c r="L2136" s="111"/>
      <c r="M2136" s="111"/>
      <c r="N2136" s="111"/>
      <c r="O2136" s="111"/>
      <c r="P2136" s="111"/>
      <c r="Q2136" s="111"/>
      <c r="R2136" s="111"/>
    </row>
    <row r="2137" spans="2:18" s="108" customFormat="1">
      <c r="B2137" s="109"/>
      <c r="C2137" s="110"/>
      <c r="D2137" s="109"/>
      <c r="E2137" s="109"/>
      <c r="F2137" s="97"/>
      <c r="G2137" s="109"/>
      <c r="H2137" s="109"/>
      <c r="I2137" s="97"/>
      <c r="J2137" s="97"/>
      <c r="K2137" s="83"/>
      <c r="L2137" s="111"/>
      <c r="M2137" s="111"/>
      <c r="N2137" s="111"/>
      <c r="O2137" s="111"/>
      <c r="P2137" s="111"/>
      <c r="Q2137" s="111"/>
      <c r="R2137" s="111"/>
    </row>
    <row r="2138" spans="2:18" s="108" customFormat="1">
      <c r="B2138" s="109"/>
      <c r="C2138" s="110"/>
      <c r="D2138" s="109"/>
      <c r="E2138" s="109"/>
      <c r="F2138" s="97"/>
      <c r="G2138" s="109"/>
      <c r="H2138" s="109"/>
      <c r="I2138" s="97"/>
      <c r="J2138" s="97"/>
      <c r="K2138" s="83"/>
      <c r="L2138" s="111"/>
      <c r="M2138" s="111"/>
      <c r="N2138" s="111"/>
      <c r="O2138" s="111"/>
      <c r="P2138" s="111"/>
      <c r="Q2138" s="111"/>
      <c r="R2138" s="111"/>
    </row>
    <row r="2139" spans="2:18" s="108" customFormat="1">
      <c r="B2139" s="109"/>
      <c r="C2139" s="110"/>
      <c r="D2139" s="109"/>
      <c r="E2139" s="109"/>
      <c r="F2139" s="97"/>
      <c r="G2139" s="109"/>
      <c r="H2139" s="109"/>
      <c r="I2139" s="97"/>
      <c r="J2139" s="97"/>
      <c r="K2139" s="83"/>
      <c r="L2139" s="111"/>
      <c r="M2139" s="111"/>
      <c r="N2139" s="111"/>
      <c r="O2139" s="111"/>
      <c r="P2139" s="111"/>
      <c r="Q2139" s="111"/>
      <c r="R2139" s="111"/>
    </row>
    <row r="2140" spans="2:18" s="108" customFormat="1">
      <c r="B2140" s="109"/>
      <c r="C2140" s="110"/>
      <c r="D2140" s="109"/>
      <c r="E2140" s="109"/>
      <c r="F2140" s="97"/>
      <c r="G2140" s="109"/>
      <c r="H2140" s="109"/>
      <c r="I2140" s="97"/>
      <c r="J2140" s="97"/>
      <c r="K2140" s="83"/>
      <c r="L2140" s="111"/>
      <c r="M2140" s="111"/>
      <c r="N2140" s="111"/>
      <c r="O2140" s="111"/>
      <c r="P2140" s="111"/>
      <c r="Q2140" s="111"/>
      <c r="R2140" s="111"/>
    </row>
    <row r="2141" spans="2:18" s="108" customFormat="1">
      <c r="B2141" s="109"/>
      <c r="C2141" s="110"/>
      <c r="D2141" s="109"/>
      <c r="E2141" s="109"/>
      <c r="F2141" s="97"/>
      <c r="G2141" s="109"/>
      <c r="H2141" s="109"/>
      <c r="I2141" s="97"/>
      <c r="J2141" s="97"/>
      <c r="K2141" s="83"/>
      <c r="L2141" s="111"/>
      <c r="M2141" s="111"/>
      <c r="N2141" s="111"/>
      <c r="O2141" s="111"/>
      <c r="P2141" s="111"/>
      <c r="Q2141" s="111"/>
      <c r="R2141" s="111"/>
    </row>
    <row r="2142" spans="2:18" s="108" customFormat="1">
      <c r="B2142" s="109"/>
      <c r="C2142" s="110"/>
      <c r="D2142" s="109"/>
      <c r="E2142" s="109"/>
      <c r="F2142" s="97"/>
      <c r="G2142" s="109"/>
      <c r="H2142" s="109"/>
      <c r="I2142" s="97"/>
      <c r="J2142" s="97"/>
      <c r="K2142" s="83"/>
      <c r="L2142" s="111"/>
      <c r="M2142" s="111"/>
      <c r="N2142" s="111"/>
      <c r="O2142" s="111"/>
      <c r="P2142" s="111"/>
      <c r="Q2142" s="111"/>
      <c r="R2142" s="111"/>
    </row>
    <row r="2143" spans="2:18" s="108" customFormat="1">
      <c r="B2143" s="109"/>
      <c r="C2143" s="110"/>
      <c r="D2143" s="109"/>
      <c r="E2143" s="109"/>
      <c r="F2143" s="97"/>
      <c r="G2143" s="109"/>
      <c r="H2143" s="109"/>
      <c r="I2143" s="97"/>
      <c r="J2143" s="97"/>
      <c r="K2143" s="83"/>
      <c r="L2143" s="111"/>
      <c r="M2143" s="111"/>
      <c r="N2143" s="111"/>
      <c r="O2143" s="111"/>
      <c r="P2143" s="111"/>
      <c r="Q2143" s="111"/>
      <c r="R2143" s="111"/>
    </row>
    <row r="2144" spans="2:18" s="108" customFormat="1">
      <c r="B2144" s="109"/>
      <c r="C2144" s="110"/>
      <c r="D2144" s="109"/>
      <c r="E2144" s="109"/>
      <c r="F2144" s="97"/>
      <c r="G2144" s="109"/>
      <c r="H2144" s="109"/>
      <c r="I2144" s="97"/>
      <c r="J2144" s="97"/>
      <c r="K2144" s="83"/>
      <c r="L2144" s="111"/>
      <c r="M2144" s="111"/>
      <c r="N2144" s="111"/>
      <c r="O2144" s="111"/>
      <c r="P2144" s="111"/>
      <c r="Q2144" s="111"/>
      <c r="R2144" s="111"/>
    </row>
    <row r="2145" spans="2:18" s="108" customFormat="1">
      <c r="B2145" s="109"/>
      <c r="C2145" s="110"/>
      <c r="D2145" s="109"/>
      <c r="E2145" s="109"/>
      <c r="F2145" s="97"/>
      <c r="G2145" s="109"/>
      <c r="H2145" s="109"/>
      <c r="I2145" s="97"/>
      <c r="J2145" s="97"/>
      <c r="K2145" s="83"/>
      <c r="L2145" s="111"/>
      <c r="M2145" s="111"/>
      <c r="N2145" s="111"/>
      <c r="O2145" s="111"/>
      <c r="P2145" s="111"/>
      <c r="Q2145" s="111"/>
      <c r="R2145" s="111"/>
    </row>
    <row r="2146" spans="2:18" s="108" customFormat="1">
      <c r="B2146" s="109"/>
      <c r="C2146" s="110"/>
      <c r="D2146" s="109"/>
      <c r="E2146" s="109"/>
      <c r="F2146" s="97"/>
      <c r="G2146" s="109"/>
      <c r="H2146" s="109"/>
      <c r="I2146" s="97"/>
      <c r="J2146" s="97"/>
      <c r="K2146" s="83"/>
      <c r="L2146" s="111"/>
      <c r="M2146" s="111"/>
      <c r="N2146" s="111"/>
      <c r="O2146" s="111"/>
      <c r="P2146" s="111"/>
      <c r="Q2146" s="111"/>
      <c r="R2146" s="111"/>
    </row>
    <row r="2147" spans="2:18" s="108" customFormat="1">
      <c r="B2147" s="109"/>
      <c r="C2147" s="110"/>
      <c r="D2147" s="109"/>
      <c r="E2147" s="109"/>
      <c r="F2147" s="97"/>
      <c r="G2147" s="109"/>
      <c r="H2147" s="109"/>
      <c r="I2147" s="97"/>
      <c r="J2147" s="97"/>
      <c r="K2147" s="83"/>
      <c r="L2147" s="111"/>
      <c r="M2147" s="111"/>
      <c r="N2147" s="111"/>
      <c r="O2147" s="111"/>
      <c r="P2147" s="111"/>
      <c r="Q2147" s="111"/>
      <c r="R2147" s="111"/>
    </row>
    <row r="2148" spans="2:18" s="108" customFormat="1">
      <c r="B2148" s="109"/>
      <c r="C2148" s="110"/>
      <c r="D2148" s="109"/>
      <c r="E2148" s="109"/>
      <c r="F2148" s="97"/>
      <c r="G2148" s="109"/>
      <c r="H2148" s="109"/>
      <c r="I2148" s="97"/>
      <c r="J2148" s="97"/>
      <c r="K2148" s="83"/>
      <c r="L2148" s="111"/>
      <c r="M2148" s="111"/>
      <c r="N2148" s="111"/>
      <c r="O2148" s="111"/>
      <c r="P2148" s="111"/>
      <c r="Q2148" s="111"/>
      <c r="R2148" s="111"/>
    </row>
    <row r="2149" spans="2:18" s="108" customFormat="1">
      <c r="B2149" s="109"/>
      <c r="C2149" s="110"/>
      <c r="D2149" s="109"/>
      <c r="E2149" s="109"/>
      <c r="F2149" s="97"/>
      <c r="G2149" s="109"/>
      <c r="H2149" s="109"/>
      <c r="I2149" s="97"/>
      <c r="J2149" s="97"/>
      <c r="K2149" s="83"/>
      <c r="L2149" s="111"/>
      <c r="M2149" s="111"/>
      <c r="N2149" s="111"/>
      <c r="O2149" s="111"/>
      <c r="P2149" s="111"/>
      <c r="Q2149" s="111"/>
      <c r="R2149" s="111"/>
    </row>
    <row r="2150" spans="2:18" s="108" customFormat="1">
      <c r="B2150" s="109"/>
      <c r="C2150" s="110"/>
      <c r="D2150" s="109"/>
      <c r="E2150" s="109"/>
      <c r="F2150" s="97"/>
      <c r="G2150" s="109"/>
      <c r="H2150" s="109"/>
      <c r="I2150" s="97"/>
      <c r="J2150" s="97"/>
      <c r="K2150" s="83"/>
      <c r="L2150" s="111"/>
      <c r="M2150" s="111"/>
      <c r="N2150" s="111"/>
      <c r="O2150" s="111"/>
      <c r="P2150" s="111"/>
      <c r="Q2150" s="111"/>
      <c r="R2150" s="111"/>
    </row>
    <row r="2151" spans="2:18" s="108" customFormat="1">
      <c r="B2151" s="109"/>
      <c r="C2151" s="110"/>
      <c r="D2151" s="109"/>
      <c r="E2151" s="109"/>
      <c r="F2151" s="97"/>
      <c r="G2151" s="109"/>
      <c r="H2151" s="109"/>
      <c r="I2151" s="97"/>
      <c r="J2151" s="97"/>
      <c r="K2151" s="83"/>
      <c r="L2151" s="111"/>
      <c r="M2151" s="111"/>
      <c r="N2151" s="111"/>
      <c r="O2151" s="111"/>
      <c r="P2151" s="111"/>
      <c r="Q2151" s="111"/>
      <c r="R2151" s="111"/>
    </row>
    <row r="2152" spans="2:18" s="108" customFormat="1">
      <c r="B2152" s="109"/>
      <c r="C2152" s="110"/>
      <c r="D2152" s="109"/>
      <c r="E2152" s="109"/>
      <c r="F2152" s="97"/>
      <c r="G2152" s="109"/>
      <c r="H2152" s="109"/>
      <c r="I2152" s="97"/>
      <c r="J2152" s="97"/>
      <c r="K2152" s="83"/>
      <c r="L2152" s="111"/>
      <c r="M2152" s="111"/>
      <c r="N2152" s="111"/>
      <c r="O2152" s="111"/>
      <c r="P2152" s="111"/>
      <c r="Q2152" s="111"/>
      <c r="R2152" s="111"/>
    </row>
    <row r="2153" spans="2:18" s="108" customFormat="1">
      <c r="B2153" s="109"/>
      <c r="C2153" s="110"/>
      <c r="D2153" s="109"/>
      <c r="E2153" s="109"/>
      <c r="F2153" s="97"/>
      <c r="G2153" s="109"/>
      <c r="H2153" s="109"/>
      <c r="I2153" s="97"/>
      <c r="J2153" s="97"/>
      <c r="K2153" s="83"/>
      <c r="L2153" s="111"/>
      <c r="M2153" s="111"/>
      <c r="N2153" s="111"/>
      <c r="O2153" s="111"/>
      <c r="P2153" s="111"/>
      <c r="Q2153" s="111"/>
      <c r="R2153" s="111"/>
    </row>
    <row r="2154" spans="2:18" s="108" customFormat="1">
      <c r="B2154" s="109"/>
      <c r="C2154" s="110"/>
      <c r="D2154" s="109"/>
      <c r="E2154" s="109"/>
      <c r="F2154" s="97"/>
      <c r="G2154" s="109"/>
      <c r="H2154" s="109"/>
      <c r="I2154" s="97"/>
      <c r="J2154" s="97"/>
      <c r="K2154" s="83"/>
      <c r="L2154" s="111"/>
      <c r="M2154" s="111"/>
      <c r="N2154" s="111"/>
      <c r="O2154" s="111"/>
      <c r="P2154" s="111"/>
      <c r="Q2154" s="111"/>
      <c r="R2154" s="111"/>
    </row>
    <row r="2155" spans="2:18" s="108" customFormat="1">
      <c r="B2155" s="109"/>
      <c r="C2155" s="110"/>
      <c r="D2155" s="109"/>
      <c r="E2155" s="109"/>
      <c r="F2155" s="97"/>
      <c r="G2155" s="109"/>
      <c r="H2155" s="109"/>
      <c r="I2155" s="97"/>
      <c r="J2155" s="97"/>
      <c r="K2155" s="83"/>
      <c r="L2155" s="111"/>
      <c r="M2155" s="111"/>
      <c r="N2155" s="111"/>
      <c r="O2155" s="111"/>
      <c r="P2155" s="111"/>
      <c r="Q2155" s="111"/>
      <c r="R2155" s="111"/>
    </row>
    <row r="2156" spans="2:18" s="108" customFormat="1">
      <c r="B2156" s="109"/>
      <c r="C2156" s="110"/>
      <c r="D2156" s="109"/>
      <c r="E2156" s="109"/>
      <c r="F2156" s="97"/>
      <c r="G2156" s="109"/>
      <c r="H2156" s="109"/>
      <c r="I2156" s="97"/>
      <c r="J2156" s="97"/>
      <c r="K2156" s="83"/>
      <c r="L2156" s="111"/>
      <c r="M2156" s="111"/>
      <c r="N2156" s="111"/>
      <c r="O2156" s="111"/>
      <c r="P2156" s="111"/>
      <c r="Q2156" s="111"/>
      <c r="R2156" s="111"/>
    </row>
    <row r="2157" spans="2:18" s="108" customFormat="1">
      <c r="B2157" s="109"/>
      <c r="C2157" s="110"/>
      <c r="D2157" s="109"/>
      <c r="E2157" s="109"/>
      <c r="F2157" s="97"/>
      <c r="G2157" s="109"/>
      <c r="H2157" s="109"/>
      <c r="I2157" s="97"/>
      <c r="J2157" s="97"/>
      <c r="K2157" s="83"/>
      <c r="L2157" s="111"/>
      <c r="M2157" s="111"/>
      <c r="N2157" s="111"/>
      <c r="O2157" s="111"/>
      <c r="P2157" s="111"/>
      <c r="Q2157" s="111"/>
      <c r="R2157" s="111"/>
    </row>
    <row r="2158" spans="2:18" s="108" customFormat="1">
      <c r="B2158" s="109"/>
      <c r="C2158" s="110"/>
      <c r="D2158" s="109"/>
      <c r="E2158" s="109"/>
      <c r="F2158" s="97"/>
      <c r="G2158" s="109"/>
      <c r="H2158" s="109"/>
      <c r="I2158" s="97"/>
      <c r="J2158" s="97"/>
      <c r="K2158" s="83"/>
      <c r="L2158" s="111"/>
      <c r="M2158" s="111"/>
      <c r="N2158" s="111"/>
      <c r="O2158" s="111"/>
      <c r="P2158" s="111"/>
      <c r="Q2158" s="111"/>
      <c r="R2158" s="111"/>
    </row>
    <row r="2159" spans="2:18" s="108" customFormat="1">
      <c r="B2159" s="109"/>
      <c r="C2159" s="110"/>
      <c r="D2159" s="109"/>
      <c r="E2159" s="109"/>
      <c r="F2159" s="97"/>
      <c r="G2159" s="109"/>
      <c r="H2159" s="109"/>
      <c r="I2159" s="97"/>
      <c r="J2159" s="97"/>
      <c r="K2159" s="83"/>
      <c r="L2159" s="111"/>
      <c r="M2159" s="111"/>
      <c r="N2159" s="111"/>
      <c r="O2159" s="111"/>
      <c r="P2159" s="111"/>
      <c r="Q2159" s="111"/>
      <c r="R2159" s="111"/>
    </row>
    <row r="2160" spans="2:18" s="108" customFormat="1">
      <c r="B2160" s="109"/>
      <c r="C2160" s="110"/>
      <c r="D2160" s="109"/>
      <c r="E2160" s="109"/>
      <c r="F2160" s="97"/>
      <c r="G2160" s="109"/>
      <c r="H2160" s="109"/>
      <c r="I2160" s="97"/>
      <c r="J2160" s="97"/>
      <c r="K2160" s="83"/>
      <c r="L2160" s="111"/>
      <c r="M2160" s="111"/>
      <c r="N2160" s="111"/>
      <c r="O2160" s="111"/>
      <c r="P2160" s="111"/>
      <c r="Q2160" s="111"/>
      <c r="R2160" s="111"/>
    </row>
    <row r="2161" spans="2:18" s="108" customFormat="1">
      <c r="B2161" s="109"/>
      <c r="C2161" s="110"/>
      <c r="D2161" s="109"/>
      <c r="E2161" s="109"/>
      <c r="F2161" s="97"/>
      <c r="G2161" s="109"/>
      <c r="H2161" s="109"/>
      <c r="I2161" s="97"/>
      <c r="J2161" s="97"/>
      <c r="K2161" s="83"/>
      <c r="L2161" s="111"/>
      <c r="M2161" s="111"/>
      <c r="N2161" s="111"/>
      <c r="O2161" s="111"/>
      <c r="P2161" s="111"/>
      <c r="Q2161" s="111"/>
      <c r="R2161" s="111"/>
    </row>
    <row r="2162" spans="2:18" s="108" customFormat="1">
      <c r="B2162" s="109"/>
      <c r="C2162" s="110"/>
      <c r="D2162" s="109"/>
      <c r="E2162" s="109"/>
      <c r="F2162" s="97"/>
      <c r="G2162" s="109"/>
      <c r="H2162" s="109"/>
      <c r="I2162" s="97"/>
      <c r="J2162" s="97"/>
      <c r="K2162" s="83"/>
      <c r="L2162" s="111"/>
      <c r="M2162" s="111"/>
      <c r="N2162" s="111"/>
      <c r="O2162" s="111"/>
      <c r="P2162" s="111"/>
      <c r="Q2162" s="111"/>
      <c r="R2162" s="111"/>
    </row>
    <row r="2163" spans="2:18" s="108" customFormat="1">
      <c r="B2163" s="109"/>
      <c r="C2163" s="110"/>
      <c r="D2163" s="109"/>
      <c r="E2163" s="109"/>
      <c r="F2163" s="97"/>
      <c r="G2163" s="109"/>
      <c r="H2163" s="109"/>
      <c r="I2163" s="97"/>
      <c r="J2163" s="97"/>
      <c r="K2163" s="83"/>
      <c r="L2163" s="111"/>
      <c r="M2163" s="111"/>
      <c r="N2163" s="111"/>
      <c r="O2163" s="111"/>
      <c r="P2163" s="111"/>
      <c r="Q2163" s="111"/>
      <c r="R2163" s="111"/>
    </row>
    <row r="2164" spans="2:18" s="108" customFormat="1">
      <c r="B2164" s="109"/>
      <c r="C2164" s="110"/>
      <c r="D2164" s="109"/>
      <c r="E2164" s="109"/>
      <c r="F2164" s="97"/>
      <c r="G2164" s="109"/>
      <c r="H2164" s="109"/>
      <c r="I2164" s="97"/>
      <c r="J2164" s="97"/>
      <c r="K2164" s="83"/>
      <c r="L2164" s="111"/>
      <c r="M2164" s="111"/>
      <c r="N2164" s="111"/>
      <c r="O2164" s="111"/>
      <c r="P2164" s="111"/>
      <c r="Q2164" s="111"/>
      <c r="R2164" s="111"/>
    </row>
    <row r="2165" spans="2:18" s="108" customFormat="1">
      <c r="B2165" s="109"/>
      <c r="C2165" s="110"/>
      <c r="D2165" s="109"/>
      <c r="E2165" s="109"/>
      <c r="F2165" s="97"/>
      <c r="G2165" s="109"/>
      <c r="H2165" s="109"/>
      <c r="I2165" s="97"/>
      <c r="J2165" s="97"/>
      <c r="K2165" s="83"/>
      <c r="L2165" s="111"/>
      <c r="M2165" s="111"/>
      <c r="N2165" s="111"/>
      <c r="O2165" s="111"/>
      <c r="P2165" s="111"/>
      <c r="Q2165" s="111"/>
      <c r="R2165" s="111"/>
    </row>
    <row r="2166" spans="2:18" s="108" customFormat="1">
      <c r="B2166" s="109"/>
      <c r="C2166" s="110"/>
      <c r="D2166" s="109"/>
      <c r="E2166" s="109"/>
      <c r="F2166" s="97"/>
      <c r="G2166" s="109"/>
      <c r="H2166" s="109"/>
      <c r="I2166" s="97"/>
      <c r="J2166" s="97"/>
      <c r="K2166" s="83"/>
      <c r="L2166" s="111"/>
      <c r="M2166" s="111"/>
      <c r="N2166" s="111"/>
      <c r="O2166" s="111"/>
      <c r="P2166" s="111"/>
      <c r="Q2166" s="111"/>
      <c r="R2166" s="111"/>
    </row>
    <row r="2167" spans="2:18" s="108" customFormat="1">
      <c r="B2167" s="109"/>
      <c r="C2167" s="110"/>
      <c r="D2167" s="109"/>
      <c r="E2167" s="109"/>
      <c r="F2167" s="97"/>
      <c r="G2167" s="109"/>
      <c r="H2167" s="109"/>
      <c r="I2167" s="97"/>
      <c r="J2167" s="97"/>
      <c r="K2167" s="83"/>
      <c r="L2167" s="111"/>
      <c r="M2167" s="111"/>
      <c r="N2167" s="111"/>
      <c r="O2167" s="111"/>
      <c r="P2167" s="111"/>
      <c r="Q2167" s="111"/>
      <c r="R2167" s="111"/>
    </row>
    <row r="2168" spans="2:18" s="108" customFormat="1">
      <c r="B2168" s="109"/>
      <c r="C2168" s="110"/>
      <c r="D2168" s="109"/>
      <c r="E2168" s="109"/>
      <c r="F2168" s="97"/>
      <c r="G2168" s="109"/>
      <c r="H2168" s="109"/>
      <c r="I2168" s="97"/>
      <c r="J2168" s="97"/>
      <c r="K2168" s="83"/>
      <c r="L2168" s="111"/>
      <c r="M2168" s="111"/>
      <c r="N2168" s="111"/>
      <c r="O2168" s="111"/>
      <c r="P2168" s="111"/>
      <c r="Q2168" s="111"/>
      <c r="R2168" s="111"/>
    </row>
    <row r="2169" spans="2:18" s="108" customFormat="1">
      <c r="B2169" s="109"/>
      <c r="C2169" s="110"/>
      <c r="D2169" s="109"/>
      <c r="E2169" s="109"/>
      <c r="F2169" s="97"/>
      <c r="G2169" s="109"/>
      <c r="H2169" s="109"/>
      <c r="I2169" s="97"/>
      <c r="J2169" s="97"/>
      <c r="K2169" s="83"/>
      <c r="L2169" s="111"/>
      <c r="M2169" s="111"/>
      <c r="N2169" s="111"/>
      <c r="O2169" s="111"/>
      <c r="P2169" s="111"/>
      <c r="Q2169" s="111"/>
      <c r="R2169" s="111"/>
    </row>
    <row r="2170" spans="2:18" s="108" customFormat="1">
      <c r="B2170" s="109"/>
      <c r="C2170" s="110"/>
      <c r="D2170" s="109"/>
      <c r="E2170" s="109"/>
      <c r="F2170" s="97"/>
      <c r="G2170" s="109"/>
      <c r="H2170" s="109"/>
      <c r="I2170" s="97"/>
      <c r="J2170" s="97"/>
      <c r="K2170" s="83"/>
      <c r="L2170" s="111"/>
      <c r="M2170" s="111"/>
      <c r="N2170" s="111"/>
      <c r="O2170" s="111"/>
      <c r="P2170" s="111"/>
      <c r="Q2170" s="111"/>
      <c r="R2170" s="111"/>
    </row>
    <row r="2171" spans="2:18" s="108" customFormat="1">
      <c r="B2171" s="109"/>
      <c r="C2171" s="110"/>
      <c r="D2171" s="109"/>
      <c r="E2171" s="109"/>
      <c r="F2171" s="97"/>
      <c r="G2171" s="109"/>
      <c r="H2171" s="109"/>
      <c r="I2171" s="97"/>
      <c r="J2171" s="97"/>
      <c r="K2171" s="83"/>
      <c r="L2171" s="111"/>
      <c r="M2171" s="111"/>
      <c r="N2171" s="111"/>
      <c r="O2171" s="111"/>
      <c r="P2171" s="111"/>
      <c r="Q2171" s="111"/>
      <c r="R2171" s="111"/>
    </row>
    <row r="2172" spans="2:18" s="108" customFormat="1">
      <c r="B2172" s="109"/>
      <c r="C2172" s="110"/>
      <c r="D2172" s="109"/>
      <c r="E2172" s="109"/>
      <c r="F2172" s="97"/>
      <c r="G2172" s="109"/>
      <c r="H2172" s="109"/>
      <c r="I2172" s="97"/>
      <c r="J2172" s="97"/>
      <c r="K2172" s="83"/>
      <c r="L2172" s="111"/>
      <c r="M2172" s="111"/>
      <c r="N2172" s="111"/>
      <c r="O2172" s="111"/>
      <c r="P2172" s="111"/>
      <c r="Q2172" s="111"/>
      <c r="R2172" s="111"/>
    </row>
    <row r="2173" spans="2:18" s="108" customFormat="1">
      <c r="B2173" s="109"/>
      <c r="C2173" s="110"/>
      <c r="D2173" s="109"/>
      <c r="E2173" s="109"/>
      <c r="F2173" s="97"/>
      <c r="G2173" s="109"/>
      <c r="H2173" s="109"/>
      <c r="I2173" s="97"/>
      <c r="J2173" s="97"/>
      <c r="K2173" s="83"/>
      <c r="L2173" s="111"/>
      <c r="M2173" s="111"/>
      <c r="N2173" s="111"/>
      <c r="O2173" s="111"/>
      <c r="P2173" s="111"/>
      <c r="Q2173" s="111"/>
      <c r="R2173" s="111"/>
    </row>
    <row r="2174" spans="2:18" s="108" customFormat="1">
      <c r="B2174" s="109"/>
      <c r="C2174" s="110"/>
      <c r="D2174" s="109"/>
      <c r="E2174" s="109"/>
      <c r="F2174" s="97"/>
      <c r="G2174" s="109"/>
      <c r="H2174" s="109"/>
      <c r="I2174" s="97"/>
      <c r="J2174" s="97"/>
      <c r="K2174" s="83"/>
      <c r="L2174" s="111"/>
      <c r="M2174" s="111"/>
      <c r="N2174" s="111"/>
      <c r="O2174" s="111"/>
      <c r="P2174" s="111"/>
      <c r="Q2174" s="111"/>
      <c r="R2174" s="111"/>
    </row>
    <row r="2175" spans="2:18" s="108" customFormat="1">
      <c r="B2175" s="109"/>
      <c r="C2175" s="110"/>
      <c r="D2175" s="109"/>
      <c r="E2175" s="109"/>
      <c r="F2175" s="97"/>
      <c r="G2175" s="109"/>
      <c r="H2175" s="109"/>
      <c r="I2175" s="97"/>
      <c r="J2175" s="97"/>
      <c r="K2175" s="83"/>
      <c r="L2175" s="111"/>
      <c r="M2175" s="111"/>
      <c r="N2175" s="111"/>
      <c r="O2175" s="111"/>
      <c r="P2175" s="111"/>
      <c r="Q2175" s="111"/>
      <c r="R2175" s="111"/>
    </row>
    <row r="2176" spans="2:18" s="108" customFormat="1">
      <c r="B2176" s="109"/>
      <c r="C2176" s="110"/>
      <c r="D2176" s="109"/>
      <c r="E2176" s="109"/>
      <c r="F2176" s="97"/>
      <c r="G2176" s="109"/>
      <c r="H2176" s="109"/>
      <c r="I2176" s="97"/>
      <c r="J2176" s="97"/>
      <c r="K2176" s="83"/>
      <c r="L2176" s="111"/>
      <c r="M2176" s="111"/>
      <c r="N2176" s="111"/>
      <c r="O2176" s="111"/>
      <c r="P2176" s="111"/>
      <c r="Q2176" s="111"/>
      <c r="R2176" s="111"/>
    </row>
    <row r="2177" spans="2:18" s="108" customFormat="1">
      <c r="B2177" s="109"/>
      <c r="C2177" s="110"/>
      <c r="D2177" s="109"/>
      <c r="E2177" s="109"/>
      <c r="F2177" s="97"/>
      <c r="G2177" s="109"/>
      <c r="H2177" s="109"/>
      <c r="I2177" s="97"/>
      <c r="J2177" s="97"/>
      <c r="K2177" s="83"/>
      <c r="L2177" s="111"/>
      <c r="M2177" s="111"/>
      <c r="N2177" s="111"/>
      <c r="O2177" s="111"/>
      <c r="P2177" s="111"/>
      <c r="Q2177" s="111"/>
      <c r="R2177" s="111"/>
    </row>
    <row r="2178" spans="2:18" s="108" customFormat="1">
      <c r="B2178" s="109"/>
      <c r="C2178" s="110"/>
      <c r="D2178" s="109"/>
      <c r="E2178" s="109"/>
      <c r="F2178" s="97"/>
      <c r="G2178" s="109"/>
      <c r="H2178" s="109"/>
      <c r="I2178" s="97"/>
      <c r="J2178" s="97"/>
      <c r="K2178" s="83"/>
      <c r="L2178" s="111"/>
      <c r="M2178" s="111"/>
      <c r="N2178" s="111"/>
      <c r="O2178" s="111"/>
      <c r="P2178" s="111"/>
      <c r="Q2178" s="111"/>
      <c r="R2178" s="111"/>
    </row>
    <row r="2179" spans="2:18" s="108" customFormat="1">
      <c r="B2179" s="109"/>
      <c r="C2179" s="110"/>
      <c r="D2179" s="109"/>
      <c r="E2179" s="109"/>
      <c r="F2179" s="97"/>
      <c r="G2179" s="109"/>
      <c r="H2179" s="109"/>
      <c r="I2179" s="97"/>
      <c r="J2179" s="97"/>
      <c r="K2179" s="83"/>
      <c r="L2179" s="111"/>
      <c r="M2179" s="111"/>
      <c r="N2179" s="111"/>
      <c r="O2179" s="111"/>
      <c r="P2179" s="111"/>
      <c r="Q2179" s="111"/>
      <c r="R2179" s="111"/>
    </row>
    <row r="2180" spans="2:18" s="108" customFormat="1">
      <c r="B2180" s="109"/>
      <c r="C2180" s="110"/>
      <c r="D2180" s="109"/>
      <c r="E2180" s="109"/>
      <c r="F2180" s="97"/>
      <c r="G2180" s="109"/>
      <c r="H2180" s="109"/>
      <c r="I2180" s="97"/>
      <c r="J2180" s="97"/>
      <c r="K2180" s="83"/>
      <c r="L2180" s="111"/>
      <c r="M2180" s="111"/>
      <c r="N2180" s="111"/>
      <c r="O2180" s="111"/>
      <c r="P2180" s="111"/>
      <c r="Q2180" s="111"/>
      <c r="R2180" s="111"/>
    </row>
    <row r="2181" spans="2:18" s="108" customFormat="1">
      <c r="B2181" s="109"/>
      <c r="C2181" s="110"/>
      <c r="D2181" s="109"/>
      <c r="E2181" s="109"/>
      <c r="F2181" s="97"/>
      <c r="G2181" s="109"/>
      <c r="H2181" s="109"/>
      <c r="I2181" s="97"/>
      <c r="J2181" s="97"/>
      <c r="K2181" s="83"/>
      <c r="L2181" s="111"/>
      <c r="M2181" s="111"/>
      <c r="N2181" s="111"/>
      <c r="O2181" s="111"/>
      <c r="P2181" s="111"/>
      <c r="Q2181" s="111"/>
      <c r="R2181" s="111"/>
    </row>
    <row r="2182" spans="2:18" s="108" customFormat="1">
      <c r="B2182" s="109"/>
      <c r="C2182" s="110"/>
      <c r="D2182" s="109"/>
      <c r="E2182" s="109"/>
      <c r="F2182" s="97"/>
      <c r="G2182" s="109"/>
      <c r="H2182" s="109"/>
      <c r="I2182" s="97"/>
      <c r="J2182" s="97"/>
      <c r="K2182" s="83"/>
      <c r="L2182" s="111"/>
      <c r="M2182" s="111"/>
      <c r="N2182" s="111"/>
      <c r="O2182" s="111"/>
      <c r="P2182" s="111"/>
      <c r="Q2182" s="111"/>
      <c r="R2182" s="111"/>
    </row>
    <row r="2183" spans="2:18" s="108" customFormat="1">
      <c r="B2183" s="109"/>
      <c r="C2183" s="110"/>
      <c r="D2183" s="109"/>
      <c r="E2183" s="109"/>
      <c r="F2183" s="97"/>
      <c r="G2183" s="109"/>
      <c r="H2183" s="109"/>
      <c r="I2183" s="97"/>
      <c r="J2183" s="97"/>
      <c r="K2183" s="83"/>
      <c r="L2183" s="111"/>
      <c r="M2183" s="111"/>
      <c r="N2183" s="111"/>
      <c r="O2183" s="111"/>
      <c r="P2183" s="111"/>
      <c r="Q2183" s="111"/>
      <c r="R2183" s="111"/>
    </row>
    <row r="2184" spans="2:18" s="108" customFormat="1">
      <c r="B2184" s="109"/>
      <c r="C2184" s="110"/>
      <c r="D2184" s="109"/>
      <c r="E2184" s="109"/>
      <c r="F2184" s="97"/>
      <c r="G2184" s="109"/>
      <c r="H2184" s="109"/>
      <c r="I2184" s="97"/>
      <c r="J2184" s="97"/>
      <c r="K2184" s="83"/>
      <c r="L2184" s="111"/>
      <c r="M2184" s="111"/>
      <c r="N2184" s="111"/>
      <c r="O2184" s="111"/>
      <c r="P2184" s="111"/>
      <c r="Q2184" s="111"/>
      <c r="R2184" s="111"/>
    </row>
    <row r="2185" spans="2:18" s="108" customFormat="1">
      <c r="B2185" s="109"/>
      <c r="C2185" s="110"/>
      <c r="D2185" s="109"/>
      <c r="E2185" s="109"/>
      <c r="F2185" s="97"/>
      <c r="G2185" s="109"/>
      <c r="H2185" s="109"/>
      <c r="I2185" s="97"/>
      <c r="J2185" s="97"/>
      <c r="K2185" s="83"/>
      <c r="L2185" s="111"/>
      <c r="M2185" s="111"/>
      <c r="N2185" s="111"/>
      <c r="O2185" s="111"/>
      <c r="P2185" s="111"/>
      <c r="Q2185" s="111"/>
      <c r="R2185" s="111"/>
    </row>
    <row r="2186" spans="2:18" s="108" customFormat="1">
      <c r="B2186" s="109"/>
      <c r="C2186" s="110"/>
      <c r="D2186" s="109"/>
      <c r="E2186" s="109"/>
      <c r="F2186" s="97"/>
      <c r="G2186" s="109"/>
      <c r="H2186" s="109"/>
      <c r="I2186" s="97"/>
      <c r="J2186" s="97"/>
      <c r="K2186" s="83"/>
      <c r="L2186" s="111"/>
      <c r="M2186" s="111"/>
      <c r="N2186" s="111"/>
      <c r="O2186" s="111"/>
      <c r="P2186" s="111"/>
      <c r="Q2186" s="111"/>
      <c r="R2186" s="111"/>
    </row>
    <row r="2187" spans="2:18" s="108" customFormat="1">
      <c r="B2187" s="109"/>
      <c r="C2187" s="110"/>
      <c r="D2187" s="109"/>
      <c r="E2187" s="109"/>
      <c r="F2187" s="97"/>
      <c r="G2187" s="109"/>
      <c r="H2187" s="109"/>
      <c r="I2187" s="97"/>
      <c r="J2187" s="97"/>
      <c r="K2187" s="83"/>
      <c r="L2187" s="111"/>
      <c r="M2187" s="111"/>
      <c r="N2187" s="111"/>
      <c r="O2187" s="111"/>
      <c r="P2187" s="111"/>
      <c r="Q2187" s="111"/>
      <c r="R2187" s="111"/>
    </row>
    <row r="2188" spans="2:18" s="108" customFormat="1">
      <c r="B2188" s="109"/>
      <c r="C2188" s="110"/>
      <c r="D2188" s="109"/>
      <c r="E2188" s="109"/>
      <c r="F2188" s="97"/>
      <c r="G2188" s="109"/>
      <c r="H2188" s="109"/>
      <c r="I2188" s="97"/>
      <c r="J2188" s="97"/>
      <c r="K2188" s="83"/>
      <c r="L2188" s="111"/>
      <c r="M2188" s="111"/>
      <c r="N2188" s="111"/>
      <c r="O2188" s="111"/>
      <c r="P2188" s="111"/>
      <c r="Q2188" s="111"/>
      <c r="R2188" s="111"/>
    </row>
    <row r="2189" spans="2:18" s="108" customFormat="1">
      <c r="B2189" s="109"/>
      <c r="C2189" s="110"/>
      <c r="D2189" s="109"/>
      <c r="E2189" s="109"/>
      <c r="F2189" s="97"/>
      <c r="G2189" s="109"/>
      <c r="H2189" s="109"/>
      <c r="I2189" s="97"/>
      <c r="J2189" s="97"/>
      <c r="K2189" s="83"/>
      <c r="L2189" s="111"/>
      <c r="M2189" s="111"/>
      <c r="N2189" s="111"/>
      <c r="O2189" s="111"/>
      <c r="P2189" s="111"/>
      <c r="Q2189" s="111"/>
      <c r="R2189" s="111"/>
    </row>
    <row r="2190" spans="2:18" s="108" customFormat="1">
      <c r="B2190" s="109"/>
      <c r="C2190" s="110"/>
      <c r="D2190" s="109"/>
      <c r="E2190" s="109"/>
      <c r="F2190" s="97"/>
      <c r="G2190" s="109"/>
      <c r="H2190" s="109"/>
      <c r="I2190" s="97"/>
      <c r="J2190" s="97"/>
      <c r="K2190" s="83"/>
      <c r="L2190" s="111"/>
      <c r="M2190" s="111"/>
      <c r="N2190" s="111"/>
      <c r="O2190" s="111"/>
      <c r="P2190" s="111"/>
      <c r="Q2190" s="111"/>
      <c r="R2190" s="111"/>
    </row>
    <row r="2191" spans="2:18" s="108" customFormat="1">
      <c r="B2191" s="109"/>
      <c r="C2191" s="110"/>
      <c r="D2191" s="109"/>
      <c r="E2191" s="109"/>
      <c r="F2191" s="97"/>
      <c r="G2191" s="109"/>
      <c r="H2191" s="109"/>
      <c r="I2191" s="97"/>
      <c r="J2191" s="97"/>
      <c r="K2191" s="83"/>
      <c r="L2191" s="111"/>
      <c r="M2191" s="111"/>
      <c r="N2191" s="111"/>
      <c r="O2191" s="111"/>
      <c r="P2191" s="111"/>
      <c r="Q2191" s="111"/>
      <c r="R2191" s="111"/>
    </row>
    <row r="2192" spans="2:18" s="108" customFormat="1">
      <c r="B2192" s="109"/>
      <c r="C2192" s="110"/>
      <c r="D2192" s="109"/>
      <c r="E2192" s="109"/>
      <c r="F2192" s="97"/>
      <c r="G2192" s="109"/>
      <c r="H2192" s="109"/>
      <c r="I2192" s="97"/>
      <c r="J2192" s="97"/>
      <c r="K2192" s="83"/>
      <c r="L2192" s="111"/>
      <c r="M2192" s="111"/>
      <c r="N2192" s="111"/>
      <c r="O2192" s="111"/>
      <c r="P2192" s="111"/>
      <c r="Q2192" s="111"/>
      <c r="R2192" s="111"/>
    </row>
    <row r="2193" spans="2:18" s="108" customFormat="1">
      <c r="B2193" s="109"/>
      <c r="C2193" s="110"/>
      <c r="D2193" s="109"/>
      <c r="E2193" s="109"/>
      <c r="F2193" s="97"/>
      <c r="G2193" s="109"/>
      <c r="H2193" s="109"/>
      <c r="I2193" s="97"/>
      <c r="J2193" s="97"/>
      <c r="K2193" s="83"/>
      <c r="L2193" s="111"/>
      <c r="M2193" s="111"/>
      <c r="N2193" s="111"/>
      <c r="O2193" s="111"/>
      <c r="P2193" s="111"/>
      <c r="Q2193" s="111"/>
      <c r="R2193" s="111"/>
    </row>
    <row r="2194" spans="2:18" s="108" customFormat="1">
      <c r="B2194" s="109"/>
      <c r="C2194" s="110"/>
      <c r="D2194" s="109"/>
      <c r="E2194" s="109"/>
      <c r="F2194" s="97"/>
      <c r="G2194" s="109"/>
      <c r="H2194" s="109"/>
      <c r="I2194" s="97"/>
      <c r="J2194" s="97"/>
      <c r="K2194" s="83"/>
      <c r="L2194" s="111"/>
      <c r="M2194" s="111"/>
      <c r="N2194" s="111"/>
      <c r="O2194" s="111"/>
      <c r="P2194" s="111"/>
      <c r="Q2194" s="111"/>
      <c r="R2194" s="111"/>
    </row>
    <row r="2195" spans="2:18" s="108" customFormat="1">
      <c r="B2195" s="109"/>
      <c r="C2195" s="110"/>
      <c r="D2195" s="109"/>
      <c r="E2195" s="109"/>
      <c r="F2195" s="97"/>
      <c r="G2195" s="109"/>
      <c r="H2195" s="109"/>
      <c r="I2195" s="97"/>
      <c r="J2195" s="97"/>
      <c r="K2195" s="83"/>
      <c r="L2195" s="111"/>
      <c r="M2195" s="111"/>
      <c r="N2195" s="111"/>
      <c r="O2195" s="111"/>
      <c r="P2195" s="111"/>
      <c r="Q2195" s="111"/>
      <c r="R2195" s="111"/>
    </row>
    <row r="2196" spans="2:18" s="108" customFormat="1">
      <c r="B2196" s="109"/>
      <c r="C2196" s="110"/>
      <c r="D2196" s="109"/>
      <c r="E2196" s="109"/>
      <c r="F2196" s="97"/>
      <c r="G2196" s="109"/>
      <c r="H2196" s="109"/>
      <c r="I2196" s="97"/>
      <c r="J2196" s="97"/>
      <c r="K2196" s="83"/>
      <c r="L2196" s="111"/>
      <c r="M2196" s="111"/>
      <c r="N2196" s="111"/>
      <c r="O2196" s="111"/>
      <c r="P2196" s="111"/>
      <c r="Q2196" s="111"/>
      <c r="R2196" s="111"/>
    </row>
    <row r="2197" spans="2:18" s="108" customFormat="1">
      <c r="B2197" s="109"/>
      <c r="C2197" s="110"/>
      <c r="D2197" s="109"/>
      <c r="E2197" s="109"/>
      <c r="F2197" s="97"/>
      <c r="G2197" s="109"/>
      <c r="H2197" s="109"/>
      <c r="I2197" s="97"/>
      <c r="J2197" s="97"/>
      <c r="K2197" s="83"/>
      <c r="L2197" s="111"/>
      <c r="M2197" s="111"/>
      <c r="N2197" s="111"/>
      <c r="O2197" s="111"/>
      <c r="P2197" s="111"/>
      <c r="Q2197" s="111"/>
      <c r="R2197" s="111"/>
    </row>
    <row r="2198" spans="2:18" s="108" customFormat="1">
      <c r="B2198" s="109"/>
      <c r="C2198" s="110"/>
      <c r="D2198" s="109"/>
      <c r="E2198" s="109"/>
      <c r="F2198" s="97"/>
      <c r="G2198" s="109"/>
      <c r="H2198" s="109"/>
      <c r="I2198" s="97"/>
      <c r="J2198" s="97"/>
      <c r="K2198" s="83"/>
      <c r="L2198" s="111"/>
      <c r="M2198" s="111"/>
      <c r="N2198" s="111"/>
      <c r="O2198" s="111"/>
      <c r="P2198" s="111"/>
      <c r="Q2198" s="111"/>
      <c r="R2198" s="111"/>
    </row>
    <row r="2199" spans="2:18" s="108" customFormat="1">
      <c r="B2199" s="109"/>
      <c r="C2199" s="110"/>
      <c r="D2199" s="109"/>
      <c r="E2199" s="109"/>
      <c r="F2199" s="97"/>
      <c r="G2199" s="109"/>
      <c r="H2199" s="109"/>
      <c r="I2199" s="97"/>
      <c r="J2199" s="97"/>
      <c r="K2199" s="83"/>
      <c r="L2199" s="111"/>
      <c r="M2199" s="111"/>
      <c r="N2199" s="111"/>
      <c r="O2199" s="111"/>
      <c r="P2199" s="111"/>
      <c r="Q2199" s="111"/>
      <c r="R2199" s="111"/>
    </row>
    <row r="2200" spans="2:18" s="108" customFormat="1">
      <c r="B2200" s="109"/>
      <c r="C2200" s="110"/>
      <c r="D2200" s="109"/>
      <c r="E2200" s="109"/>
      <c r="F2200" s="97"/>
      <c r="G2200" s="109"/>
      <c r="H2200" s="109"/>
      <c r="I2200" s="97"/>
      <c r="J2200" s="97"/>
      <c r="K2200" s="83"/>
      <c r="L2200" s="111"/>
      <c r="M2200" s="111"/>
      <c r="N2200" s="111"/>
      <c r="O2200" s="111"/>
      <c r="P2200" s="111"/>
      <c r="Q2200" s="111"/>
      <c r="R2200" s="111"/>
    </row>
    <row r="2201" spans="2:18" s="108" customFormat="1">
      <c r="B2201" s="109"/>
      <c r="C2201" s="110"/>
      <c r="D2201" s="109"/>
      <c r="E2201" s="109"/>
      <c r="F2201" s="97"/>
      <c r="G2201" s="109"/>
      <c r="H2201" s="109"/>
      <c r="I2201" s="97"/>
      <c r="J2201" s="97"/>
      <c r="K2201" s="83"/>
      <c r="L2201" s="111"/>
      <c r="M2201" s="111"/>
      <c r="N2201" s="111"/>
      <c r="O2201" s="111"/>
      <c r="P2201" s="111"/>
      <c r="Q2201" s="111"/>
      <c r="R2201" s="111"/>
    </row>
    <row r="2202" spans="2:18" s="108" customFormat="1">
      <c r="B2202" s="109"/>
      <c r="C2202" s="110"/>
      <c r="D2202" s="109"/>
      <c r="E2202" s="109"/>
      <c r="F2202" s="97"/>
      <c r="G2202" s="109"/>
      <c r="H2202" s="109"/>
      <c r="I2202" s="97"/>
      <c r="J2202" s="97"/>
      <c r="K2202" s="83"/>
      <c r="L2202" s="111"/>
      <c r="M2202" s="111"/>
      <c r="N2202" s="111"/>
      <c r="O2202" s="111"/>
      <c r="P2202" s="111"/>
      <c r="Q2202" s="111"/>
      <c r="R2202" s="111"/>
    </row>
    <row r="2203" spans="2:18" s="108" customFormat="1">
      <c r="B2203" s="109"/>
      <c r="C2203" s="110"/>
      <c r="D2203" s="109"/>
      <c r="E2203" s="109"/>
      <c r="F2203" s="97"/>
      <c r="G2203" s="109"/>
      <c r="H2203" s="109"/>
      <c r="I2203" s="97"/>
      <c r="J2203" s="97"/>
      <c r="K2203" s="83"/>
      <c r="L2203" s="111"/>
      <c r="M2203" s="111"/>
      <c r="N2203" s="111"/>
      <c r="O2203" s="111"/>
      <c r="P2203" s="111"/>
      <c r="Q2203" s="111"/>
      <c r="R2203" s="111"/>
    </row>
    <row r="2204" spans="2:18" s="108" customFormat="1">
      <c r="B2204" s="109"/>
      <c r="C2204" s="110"/>
      <c r="D2204" s="109"/>
      <c r="E2204" s="109"/>
      <c r="F2204" s="97"/>
      <c r="G2204" s="109"/>
      <c r="H2204" s="109"/>
      <c r="I2204" s="97"/>
      <c r="J2204" s="97"/>
      <c r="K2204" s="83"/>
      <c r="L2204" s="111"/>
      <c r="M2204" s="111"/>
      <c r="N2204" s="111"/>
      <c r="O2204" s="111"/>
      <c r="P2204" s="111"/>
      <c r="Q2204" s="111"/>
      <c r="R2204" s="111"/>
    </row>
    <row r="2205" spans="2:18" s="108" customFormat="1">
      <c r="B2205" s="109"/>
      <c r="C2205" s="110"/>
      <c r="D2205" s="109"/>
      <c r="E2205" s="109"/>
      <c r="F2205" s="97"/>
      <c r="G2205" s="109"/>
      <c r="H2205" s="109"/>
      <c r="I2205" s="97"/>
      <c r="J2205" s="97"/>
      <c r="K2205" s="83"/>
      <c r="L2205" s="111"/>
      <c r="M2205" s="111"/>
      <c r="N2205" s="111"/>
      <c r="O2205" s="111"/>
      <c r="P2205" s="111"/>
      <c r="Q2205" s="111"/>
      <c r="R2205" s="111"/>
    </row>
    <row r="2206" spans="2:18" s="108" customFormat="1">
      <c r="B2206" s="109"/>
      <c r="C2206" s="110"/>
      <c r="D2206" s="109"/>
      <c r="E2206" s="109"/>
      <c r="F2206" s="97"/>
      <c r="G2206" s="109"/>
      <c r="H2206" s="109"/>
      <c r="I2206" s="97"/>
      <c r="J2206" s="97"/>
      <c r="K2206" s="83"/>
      <c r="L2206" s="111"/>
      <c r="M2206" s="111"/>
      <c r="N2206" s="111"/>
      <c r="O2206" s="111"/>
      <c r="P2206" s="111"/>
      <c r="Q2206" s="111"/>
      <c r="R2206" s="111"/>
    </row>
    <row r="2207" spans="2:18" s="108" customFormat="1">
      <c r="B2207" s="109"/>
      <c r="C2207" s="110"/>
      <c r="D2207" s="109"/>
      <c r="E2207" s="109"/>
      <c r="F2207" s="97"/>
      <c r="G2207" s="109"/>
      <c r="H2207" s="109"/>
      <c r="I2207" s="97"/>
      <c r="J2207" s="97"/>
      <c r="K2207" s="83"/>
      <c r="L2207" s="111"/>
      <c r="M2207" s="111"/>
      <c r="N2207" s="111"/>
      <c r="O2207" s="111"/>
      <c r="P2207" s="111"/>
      <c r="Q2207" s="111"/>
      <c r="R2207" s="111"/>
    </row>
    <row r="2208" spans="2:18" s="108" customFormat="1">
      <c r="B2208" s="109"/>
      <c r="C2208" s="110"/>
      <c r="D2208" s="109"/>
      <c r="E2208" s="109"/>
      <c r="F2208" s="97"/>
      <c r="G2208" s="109"/>
      <c r="H2208" s="109"/>
      <c r="I2208" s="97"/>
      <c r="J2208" s="97"/>
      <c r="K2208" s="83"/>
      <c r="L2208" s="111"/>
      <c r="M2208" s="111"/>
      <c r="N2208" s="111"/>
      <c r="O2208" s="111"/>
      <c r="P2208" s="111"/>
      <c r="Q2208" s="111"/>
      <c r="R2208" s="111"/>
    </row>
    <row r="2209" spans="2:18" s="108" customFormat="1">
      <c r="B2209" s="109"/>
      <c r="C2209" s="110"/>
      <c r="D2209" s="109"/>
      <c r="E2209" s="109"/>
      <c r="F2209" s="97"/>
      <c r="G2209" s="109"/>
      <c r="H2209" s="109"/>
      <c r="I2209" s="97"/>
      <c r="J2209" s="97"/>
      <c r="K2209" s="83"/>
      <c r="L2209" s="111"/>
      <c r="M2209" s="111"/>
      <c r="N2209" s="111"/>
      <c r="O2209" s="111"/>
      <c r="P2209" s="111"/>
      <c r="Q2209" s="111"/>
      <c r="R2209" s="111"/>
    </row>
    <row r="2210" spans="2:18" s="108" customFormat="1">
      <c r="B2210" s="109"/>
      <c r="C2210" s="110"/>
      <c r="D2210" s="109"/>
      <c r="E2210" s="109"/>
      <c r="F2210" s="97"/>
      <c r="G2210" s="109"/>
      <c r="H2210" s="109"/>
      <c r="I2210" s="97"/>
      <c r="J2210" s="97"/>
      <c r="K2210" s="83"/>
      <c r="L2210" s="111"/>
      <c r="M2210" s="111"/>
      <c r="N2210" s="111"/>
      <c r="O2210" s="111"/>
      <c r="P2210" s="111"/>
      <c r="Q2210" s="111"/>
      <c r="R2210" s="111"/>
    </row>
    <row r="2211" spans="2:18" s="108" customFormat="1">
      <c r="B2211" s="109"/>
      <c r="C2211" s="110"/>
      <c r="D2211" s="109"/>
      <c r="E2211" s="109"/>
      <c r="F2211" s="97"/>
      <c r="G2211" s="109"/>
      <c r="H2211" s="109"/>
      <c r="I2211" s="97"/>
      <c r="J2211" s="97"/>
      <c r="K2211" s="83"/>
      <c r="L2211" s="111"/>
      <c r="M2211" s="111"/>
      <c r="N2211" s="111"/>
      <c r="O2211" s="111"/>
      <c r="P2211" s="111"/>
      <c r="Q2211" s="111"/>
      <c r="R2211" s="111"/>
    </row>
    <row r="2212" spans="2:18" s="108" customFormat="1">
      <c r="B2212" s="109"/>
      <c r="C2212" s="110"/>
      <c r="D2212" s="109"/>
      <c r="E2212" s="109"/>
      <c r="F2212" s="97"/>
      <c r="G2212" s="109"/>
      <c r="H2212" s="109"/>
      <c r="I2212" s="97"/>
      <c r="J2212" s="97"/>
      <c r="K2212" s="83"/>
      <c r="L2212" s="111"/>
      <c r="M2212" s="111"/>
      <c r="N2212" s="111"/>
      <c r="O2212" s="111"/>
      <c r="P2212" s="111"/>
      <c r="Q2212" s="111"/>
      <c r="R2212" s="111"/>
    </row>
    <row r="2213" spans="2:18" s="108" customFormat="1">
      <c r="B2213" s="109"/>
      <c r="C2213" s="110"/>
      <c r="D2213" s="109"/>
      <c r="E2213" s="109"/>
      <c r="F2213" s="97"/>
      <c r="G2213" s="109"/>
      <c r="H2213" s="109"/>
      <c r="I2213" s="97"/>
      <c r="J2213" s="97"/>
      <c r="K2213" s="83"/>
      <c r="L2213" s="111"/>
      <c r="M2213" s="111"/>
      <c r="N2213" s="111"/>
      <c r="O2213" s="111"/>
      <c r="P2213" s="111"/>
      <c r="Q2213" s="111"/>
      <c r="R2213" s="111"/>
    </row>
    <row r="2214" spans="2:18" s="108" customFormat="1">
      <c r="B2214" s="109"/>
      <c r="C2214" s="110"/>
      <c r="D2214" s="109"/>
      <c r="E2214" s="109"/>
      <c r="F2214" s="97"/>
      <c r="G2214" s="109"/>
      <c r="H2214" s="109"/>
      <c r="I2214" s="97"/>
      <c r="J2214" s="97"/>
      <c r="K2214" s="83"/>
      <c r="L2214" s="111"/>
      <c r="M2214" s="111"/>
      <c r="N2214" s="111"/>
      <c r="O2214" s="111"/>
      <c r="P2214" s="111"/>
      <c r="Q2214" s="111"/>
      <c r="R2214" s="111"/>
    </row>
    <row r="2215" spans="2:18" s="108" customFormat="1">
      <c r="B2215" s="109"/>
      <c r="C2215" s="110"/>
      <c r="D2215" s="109"/>
      <c r="E2215" s="109"/>
      <c r="F2215" s="97"/>
      <c r="G2215" s="109"/>
      <c r="H2215" s="109"/>
      <c r="I2215" s="97"/>
      <c r="J2215" s="97"/>
      <c r="K2215" s="83"/>
      <c r="L2215" s="111"/>
      <c r="M2215" s="111"/>
      <c r="N2215" s="111"/>
      <c r="O2215" s="111"/>
      <c r="P2215" s="111"/>
      <c r="Q2215" s="111"/>
      <c r="R2215" s="111"/>
    </row>
    <row r="2216" spans="2:18" s="108" customFormat="1">
      <c r="B2216" s="109"/>
      <c r="C2216" s="110"/>
      <c r="D2216" s="109"/>
      <c r="E2216" s="109"/>
      <c r="F2216" s="97"/>
      <c r="G2216" s="109"/>
      <c r="H2216" s="109"/>
      <c r="I2216" s="97"/>
      <c r="J2216" s="97"/>
      <c r="K2216" s="83"/>
      <c r="L2216" s="111"/>
      <c r="M2216" s="111"/>
      <c r="N2216" s="111"/>
      <c r="O2216" s="111"/>
      <c r="P2216" s="111"/>
      <c r="Q2216" s="111"/>
      <c r="R2216" s="111"/>
    </row>
    <row r="2217" spans="2:18" s="108" customFormat="1">
      <c r="B2217" s="109"/>
      <c r="C2217" s="110"/>
      <c r="D2217" s="109"/>
      <c r="E2217" s="109"/>
      <c r="F2217" s="97"/>
      <c r="G2217" s="109"/>
      <c r="H2217" s="109"/>
      <c r="I2217" s="97"/>
      <c r="J2217" s="97"/>
      <c r="K2217" s="83"/>
      <c r="L2217" s="111"/>
      <c r="M2217" s="111"/>
      <c r="N2217" s="111"/>
      <c r="O2217" s="111"/>
      <c r="P2217" s="111"/>
      <c r="Q2217" s="111"/>
      <c r="R2217" s="111"/>
    </row>
    <row r="2218" spans="2:18" s="108" customFormat="1">
      <c r="B2218" s="109"/>
      <c r="C2218" s="110"/>
      <c r="D2218" s="109"/>
      <c r="E2218" s="109"/>
      <c r="F2218" s="97"/>
      <c r="G2218" s="109"/>
      <c r="H2218" s="109"/>
      <c r="I2218" s="97"/>
      <c r="J2218" s="97"/>
      <c r="K2218" s="83"/>
      <c r="L2218" s="111"/>
      <c r="M2218" s="111"/>
      <c r="N2218" s="111"/>
      <c r="O2218" s="111"/>
      <c r="P2218" s="111"/>
      <c r="Q2218" s="111"/>
      <c r="R2218" s="111"/>
    </row>
    <row r="2219" spans="2:18" s="108" customFormat="1">
      <c r="B2219" s="109"/>
      <c r="C2219" s="110"/>
      <c r="D2219" s="109"/>
      <c r="E2219" s="109"/>
      <c r="F2219" s="97"/>
      <c r="G2219" s="109"/>
      <c r="H2219" s="109"/>
      <c r="I2219" s="97"/>
      <c r="J2219" s="97"/>
      <c r="K2219" s="83"/>
      <c r="L2219" s="111"/>
      <c r="M2219" s="111"/>
      <c r="N2219" s="111"/>
      <c r="O2219" s="111"/>
      <c r="P2219" s="111"/>
      <c r="Q2219" s="111"/>
      <c r="R2219" s="111"/>
    </row>
    <row r="2220" spans="2:18" s="108" customFormat="1">
      <c r="B2220" s="109"/>
      <c r="C2220" s="110"/>
      <c r="D2220" s="109"/>
      <c r="E2220" s="109"/>
      <c r="F2220" s="97"/>
      <c r="G2220" s="109"/>
      <c r="H2220" s="109"/>
      <c r="I2220" s="97"/>
      <c r="J2220" s="97"/>
      <c r="K2220" s="83"/>
      <c r="L2220" s="111"/>
      <c r="M2220" s="111"/>
      <c r="N2220" s="111"/>
      <c r="O2220" s="111"/>
      <c r="P2220" s="111"/>
      <c r="Q2220" s="111"/>
      <c r="R2220" s="111"/>
    </row>
    <row r="2221" spans="2:18" s="108" customFormat="1">
      <c r="B2221" s="109"/>
      <c r="C2221" s="110"/>
      <c r="D2221" s="109"/>
      <c r="E2221" s="109"/>
      <c r="F2221" s="97"/>
      <c r="G2221" s="109"/>
      <c r="H2221" s="109"/>
      <c r="I2221" s="97"/>
      <c r="J2221" s="97"/>
      <c r="K2221" s="83"/>
      <c r="L2221" s="111"/>
      <c r="M2221" s="111"/>
      <c r="N2221" s="111"/>
      <c r="O2221" s="111"/>
      <c r="P2221" s="111"/>
      <c r="Q2221" s="111"/>
      <c r="R2221" s="111"/>
    </row>
    <row r="2222" spans="2:18" s="108" customFormat="1">
      <c r="B2222" s="109"/>
      <c r="C2222" s="110"/>
      <c r="D2222" s="109"/>
      <c r="E2222" s="109"/>
      <c r="F2222" s="97"/>
      <c r="G2222" s="109"/>
      <c r="H2222" s="109"/>
      <c r="I2222" s="97"/>
      <c r="J2222" s="97"/>
      <c r="K2222" s="83"/>
      <c r="L2222" s="111"/>
      <c r="M2222" s="111"/>
      <c r="N2222" s="111"/>
      <c r="O2222" s="111"/>
      <c r="P2222" s="111"/>
      <c r="Q2222" s="111"/>
      <c r="R2222" s="111"/>
    </row>
    <row r="2223" spans="2:18" s="108" customFormat="1">
      <c r="B2223" s="109"/>
      <c r="C2223" s="110"/>
      <c r="D2223" s="109"/>
      <c r="E2223" s="109"/>
      <c r="F2223" s="97"/>
      <c r="G2223" s="109"/>
      <c r="H2223" s="109"/>
      <c r="I2223" s="97"/>
      <c r="J2223" s="97"/>
      <c r="K2223" s="83"/>
      <c r="L2223" s="111"/>
      <c r="M2223" s="111"/>
      <c r="N2223" s="111"/>
      <c r="O2223" s="111"/>
      <c r="P2223" s="111"/>
      <c r="Q2223" s="111"/>
      <c r="R2223" s="111"/>
    </row>
    <row r="2224" spans="2:18" s="108" customFormat="1">
      <c r="B2224" s="109"/>
      <c r="C2224" s="110"/>
      <c r="D2224" s="109"/>
      <c r="E2224" s="109"/>
      <c r="F2224" s="97"/>
      <c r="G2224" s="109"/>
      <c r="H2224" s="109"/>
      <c r="I2224" s="97"/>
      <c r="J2224" s="97"/>
      <c r="K2224" s="83"/>
      <c r="L2224" s="111"/>
      <c r="M2224" s="111"/>
      <c r="N2224" s="111"/>
      <c r="O2224" s="111"/>
      <c r="P2224" s="111"/>
      <c r="Q2224" s="111"/>
      <c r="R2224" s="111"/>
    </row>
    <row r="2225" spans="2:18" s="108" customFormat="1">
      <c r="B2225" s="109"/>
      <c r="C2225" s="110"/>
      <c r="D2225" s="109"/>
      <c r="E2225" s="109"/>
      <c r="F2225" s="97"/>
      <c r="G2225" s="109"/>
      <c r="H2225" s="109"/>
      <c r="I2225" s="97"/>
      <c r="J2225" s="97"/>
      <c r="K2225" s="83"/>
      <c r="L2225" s="111"/>
      <c r="M2225" s="111"/>
      <c r="N2225" s="111"/>
      <c r="O2225" s="111"/>
      <c r="P2225" s="111"/>
      <c r="Q2225" s="111"/>
      <c r="R2225" s="111"/>
    </row>
    <row r="2226" spans="2:18" s="108" customFormat="1">
      <c r="B2226" s="109"/>
      <c r="C2226" s="110"/>
      <c r="D2226" s="109"/>
      <c r="E2226" s="109"/>
      <c r="F2226" s="97"/>
      <c r="G2226" s="109"/>
      <c r="H2226" s="109"/>
      <c r="I2226" s="97"/>
      <c r="J2226" s="97"/>
      <c r="K2226" s="83"/>
      <c r="L2226" s="111"/>
      <c r="M2226" s="111"/>
      <c r="N2226" s="111"/>
      <c r="O2226" s="111"/>
      <c r="P2226" s="111"/>
      <c r="Q2226" s="111"/>
      <c r="R2226" s="111"/>
    </row>
    <row r="2227" spans="2:18" s="108" customFormat="1">
      <c r="B2227" s="109"/>
      <c r="C2227" s="110"/>
      <c r="D2227" s="109"/>
      <c r="E2227" s="109"/>
      <c r="F2227" s="97"/>
      <c r="G2227" s="109"/>
      <c r="H2227" s="109"/>
      <c r="I2227" s="97"/>
      <c r="J2227" s="97"/>
      <c r="K2227" s="83"/>
      <c r="L2227" s="111"/>
      <c r="M2227" s="111"/>
      <c r="N2227" s="111"/>
      <c r="O2227" s="111"/>
      <c r="P2227" s="111"/>
      <c r="Q2227" s="111"/>
      <c r="R2227" s="111"/>
    </row>
    <row r="2228" spans="2:18" s="108" customFormat="1">
      <c r="B2228" s="109"/>
      <c r="C2228" s="110"/>
      <c r="D2228" s="109"/>
      <c r="E2228" s="109"/>
      <c r="F2228" s="97"/>
      <c r="G2228" s="109"/>
      <c r="H2228" s="109"/>
      <c r="I2228" s="97"/>
      <c r="J2228" s="97"/>
      <c r="K2228" s="83"/>
      <c r="L2228" s="111"/>
      <c r="M2228" s="111"/>
      <c r="N2228" s="111"/>
      <c r="O2228" s="111"/>
      <c r="P2228" s="111"/>
      <c r="Q2228" s="111"/>
      <c r="R2228" s="111"/>
    </row>
    <row r="2229" spans="2:18" s="108" customFormat="1">
      <c r="B2229" s="109"/>
      <c r="C2229" s="110"/>
      <c r="D2229" s="109"/>
      <c r="E2229" s="109"/>
      <c r="F2229" s="97"/>
      <c r="G2229" s="109"/>
      <c r="H2229" s="109"/>
      <c r="I2229" s="97"/>
      <c r="J2229" s="97"/>
      <c r="K2229" s="83"/>
      <c r="L2229" s="111"/>
      <c r="M2229" s="111"/>
      <c r="N2229" s="111"/>
      <c r="O2229" s="111"/>
      <c r="P2229" s="111"/>
      <c r="Q2229" s="111"/>
      <c r="R2229" s="111"/>
    </row>
    <row r="2230" spans="2:18" s="108" customFormat="1">
      <c r="B2230" s="109"/>
      <c r="C2230" s="110"/>
      <c r="D2230" s="109"/>
      <c r="E2230" s="109"/>
      <c r="F2230" s="97"/>
      <c r="G2230" s="109"/>
      <c r="H2230" s="109"/>
      <c r="I2230" s="97"/>
      <c r="J2230" s="97"/>
      <c r="K2230" s="83"/>
      <c r="L2230" s="111"/>
      <c r="M2230" s="111"/>
      <c r="N2230" s="111"/>
      <c r="O2230" s="111"/>
      <c r="P2230" s="111"/>
      <c r="Q2230" s="111"/>
      <c r="R2230" s="111"/>
    </row>
    <row r="2231" spans="2:18" s="108" customFormat="1">
      <c r="B2231" s="109"/>
      <c r="C2231" s="110"/>
      <c r="D2231" s="109"/>
      <c r="E2231" s="109"/>
      <c r="F2231" s="97"/>
      <c r="G2231" s="109"/>
      <c r="H2231" s="109"/>
      <c r="I2231" s="97"/>
      <c r="J2231" s="97"/>
      <c r="K2231" s="83"/>
      <c r="L2231" s="111"/>
      <c r="M2231" s="111"/>
      <c r="N2231" s="111"/>
      <c r="O2231" s="111"/>
      <c r="P2231" s="111"/>
      <c r="Q2231" s="111"/>
      <c r="R2231" s="111"/>
    </row>
    <row r="2232" spans="2:18" s="108" customFormat="1">
      <c r="B2232" s="109"/>
      <c r="C2232" s="110"/>
      <c r="D2232" s="109"/>
      <c r="E2232" s="109"/>
      <c r="F2232" s="97"/>
      <c r="G2232" s="109"/>
      <c r="H2232" s="109"/>
      <c r="I2232" s="97"/>
      <c r="J2232" s="97"/>
      <c r="K2232" s="83"/>
      <c r="L2232" s="111"/>
      <c r="M2232" s="111"/>
      <c r="N2232" s="111"/>
      <c r="O2232" s="111"/>
      <c r="P2232" s="111"/>
      <c r="Q2232" s="111"/>
      <c r="R2232" s="111"/>
    </row>
    <row r="2233" spans="2:18" s="108" customFormat="1">
      <c r="B2233" s="109"/>
      <c r="C2233" s="110"/>
      <c r="D2233" s="109"/>
      <c r="E2233" s="109"/>
      <c r="F2233" s="97"/>
      <c r="G2233" s="109"/>
      <c r="H2233" s="109"/>
      <c r="I2233" s="97"/>
      <c r="J2233" s="97"/>
      <c r="K2233" s="83"/>
      <c r="L2233" s="111"/>
      <c r="M2233" s="111"/>
      <c r="N2233" s="111"/>
      <c r="O2233" s="111"/>
      <c r="P2233" s="111"/>
      <c r="Q2233" s="111"/>
      <c r="R2233" s="111"/>
    </row>
    <row r="2234" spans="2:18" s="108" customFormat="1">
      <c r="B2234" s="109"/>
      <c r="C2234" s="110"/>
      <c r="D2234" s="109"/>
      <c r="E2234" s="109"/>
      <c r="F2234" s="97"/>
      <c r="G2234" s="109"/>
      <c r="H2234" s="109"/>
      <c r="I2234" s="97"/>
      <c r="J2234" s="97"/>
      <c r="K2234" s="83"/>
      <c r="L2234" s="111"/>
      <c r="M2234" s="111"/>
      <c r="N2234" s="111"/>
      <c r="O2234" s="111"/>
      <c r="P2234" s="111"/>
      <c r="Q2234" s="111"/>
      <c r="R2234" s="111"/>
    </row>
    <row r="2235" spans="2:18" s="108" customFormat="1">
      <c r="B2235" s="109"/>
      <c r="C2235" s="110"/>
      <c r="D2235" s="109"/>
      <c r="E2235" s="109"/>
      <c r="F2235" s="97"/>
      <c r="G2235" s="109"/>
      <c r="H2235" s="109"/>
      <c r="I2235" s="97"/>
      <c r="J2235" s="97"/>
      <c r="K2235" s="83"/>
      <c r="L2235" s="111"/>
      <c r="M2235" s="111"/>
      <c r="N2235" s="111"/>
      <c r="O2235" s="111"/>
      <c r="P2235" s="111"/>
      <c r="Q2235" s="111"/>
      <c r="R2235" s="111"/>
    </row>
    <row r="2236" spans="2:18" s="108" customFormat="1">
      <c r="B2236" s="109"/>
      <c r="C2236" s="110"/>
      <c r="D2236" s="109"/>
      <c r="E2236" s="109"/>
      <c r="F2236" s="97"/>
      <c r="G2236" s="109"/>
      <c r="H2236" s="109"/>
      <c r="I2236" s="97"/>
      <c r="J2236" s="97"/>
      <c r="K2236" s="83"/>
      <c r="L2236" s="111"/>
      <c r="M2236" s="111"/>
      <c r="N2236" s="111"/>
      <c r="O2236" s="111"/>
      <c r="P2236" s="111"/>
      <c r="Q2236" s="111"/>
      <c r="R2236" s="111"/>
    </row>
    <row r="2237" spans="2:18" s="108" customFormat="1">
      <c r="B2237" s="109"/>
      <c r="C2237" s="110"/>
      <c r="D2237" s="109"/>
      <c r="E2237" s="109"/>
      <c r="F2237" s="97"/>
      <c r="G2237" s="109"/>
      <c r="H2237" s="109"/>
      <c r="I2237" s="97"/>
      <c r="J2237" s="97"/>
      <c r="K2237" s="83"/>
      <c r="L2237" s="111"/>
      <c r="M2237" s="111"/>
      <c r="N2237" s="111"/>
      <c r="O2237" s="111"/>
      <c r="P2237" s="111"/>
      <c r="Q2237" s="111"/>
      <c r="R2237" s="111"/>
    </row>
    <row r="2238" spans="2:18" s="108" customFormat="1">
      <c r="B2238" s="109"/>
      <c r="C2238" s="110"/>
      <c r="D2238" s="109"/>
      <c r="E2238" s="109"/>
      <c r="F2238" s="97"/>
      <c r="G2238" s="109"/>
      <c r="H2238" s="109"/>
      <c r="I2238" s="97"/>
      <c r="J2238" s="97"/>
      <c r="K2238" s="83"/>
      <c r="L2238" s="111"/>
      <c r="M2238" s="111"/>
      <c r="N2238" s="111"/>
      <c r="O2238" s="111"/>
      <c r="P2238" s="111"/>
      <c r="Q2238" s="111"/>
      <c r="R2238" s="111"/>
    </row>
    <row r="2239" spans="2:18" s="108" customFormat="1">
      <c r="B2239" s="109"/>
      <c r="C2239" s="110"/>
      <c r="D2239" s="109"/>
      <c r="E2239" s="109"/>
      <c r="F2239" s="97"/>
      <c r="G2239" s="109"/>
      <c r="H2239" s="109"/>
      <c r="I2239" s="97"/>
      <c r="J2239" s="97"/>
      <c r="K2239" s="83"/>
      <c r="L2239" s="111"/>
      <c r="M2239" s="111"/>
      <c r="N2239" s="111"/>
      <c r="O2239" s="111"/>
      <c r="P2239" s="111"/>
      <c r="Q2239" s="111"/>
      <c r="R2239" s="111"/>
    </row>
    <row r="2240" spans="2:18" s="108" customFormat="1">
      <c r="B2240" s="109"/>
      <c r="C2240" s="110"/>
      <c r="D2240" s="109"/>
      <c r="E2240" s="109"/>
      <c r="F2240" s="97"/>
      <c r="G2240" s="109"/>
      <c r="H2240" s="109"/>
      <c r="I2240" s="97"/>
      <c r="J2240" s="97"/>
      <c r="K2240" s="83"/>
      <c r="L2240" s="111"/>
      <c r="M2240" s="111"/>
      <c r="N2240" s="111"/>
      <c r="O2240" s="111"/>
      <c r="P2240" s="111"/>
      <c r="Q2240" s="111"/>
      <c r="R2240" s="111"/>
    </row>
    <row r="2241" spans="2:18" s="108" customFormat="1">
      <c r="B2241" s="109"/>
      <c r="C2241" s="110"/>
      <c r="D2241" s="109"/>
      <c r="E2241" s="109"/>
      <c r="F2241" s="97"/>
      <c r="G2241" s="109"/>
      <c r="H2241" s="109"/>
      <c r="I2241" s="97"/>
      <c r="J2241" s="97"/>
      <c r="K2241" s="83"/>
      <c r="L2241" s="111"/>
      <c r="M2241" s="111"/>
      <c r="N2241" s="111"/>
      <c r="O2241" s="111"/>
      <c r="P2241" s="111"/>
      <c r="Q2241" s="111"/>
      <c r="R2241" s="111"/>
    </row>
    <row r="2242" spans="2:18" s="108" customFormat="1">
      <c r="B2242" s="109"/>
      <c r="C2242" s="110"/>
      <c r="D2242" s="109"/>
      <c r="E2242" s="109"/>
      <c r="F2242" s="97"/>
      <c r="G2242" s="109"/>
      <c r="H2242" s="109"/>
      <c r="I2242" s="97"/>
      <c r="J2242" s="97"/>
      <c r="K2242" s="83"/>
      <c r="L2242" s="111"/>
      <c r="M2242" s="111"/>
      <c r="N2242" s="111"/>
      <c r="O2242" s="111"/>
      <c r="P2242" s="111"/>
      <c r="Q2242" s="111"/>
      <c r="R2242" s="111"/>
    </row>
    <row r="2243" spans="2:18" s="108" customFormat="1">
      <c r="B2243" s="109"/>
      <c r="C2243" s="110"/>
      <c r="D2243" s="109"/>
      <c r="E2243" s="109"/>
      <c r="F2243" s="97"/>
      <c r="G2243" s="109"/>
      <c r="H2243" s="109"/>
      <c r="I2243" s="97"/>
      <c r="J2243" s="97"/>
      <c r="K2243" s="83"/>
      <c r="L2243" s="111"/>
      <c r="M2243" s="111"/>
      <c r="N2243" s="111"/>
      <c r="O2243" s="111"/>
      <c r="P2243" s="111"/>
      <c r="Q2243" s="111"/>
      <c r="R2243" s="111"/>
    </row>
    <row r="2244" spans="2:18" s="108" customFormat="1">
      <c r="B2244" s="109"/>
      <c r="C2244" s="110"/>
      <c r="D2244" s="109"/>
      <c r="E2244" s="109"/>
      <c r="F2244" s="97"/>
      <c r="G2244" s="109"/>
      <c r="H2244" s="109"/>
      <c r="I2244" s="97"/>
      <c r="J2244" s="97"/>
      <c r="K2244" s="83"/>
      <c r="L2244" s="111"/>
      <c r="M2244" s="111"/>
      <c r="N2244" s="111"/>
      <c r="O2244" s="111"/>
      <c r="P2244" s="111"/>
      <c r="Q2244" s="111"/>
      <c r="R2244" s="111"/>
    </row>
    <row r="2245" spans="2:18" s="108" customFormat="1">
      <c r="B2245" s="109"/>
      <c r="C2245" s="110"/>
      <c r="D2245" s="109"/>
      <c r="E2245" s="109"/>
      <c r="F2245" s="97"/>
      <c r="G2245" s="109"/>
      <c r="H2245" s="109"/>
      <c r="I2245" s="97"/>
      <c r="J2245" s="97"/>
      <c r="K2245" s="83"/>
      <c r="L2245" s="111"/>
      <c r="M2245" s="111"/>
      <c r="N2245" s="111"/>
      <c r="O2245" s="111"/>
      <c r="P2245" s="111"/>
      <c r="Q2245" s="111"/>
      <c r="R2245" s="111"/>
    </row>
    <row r="2246" spans="2:18" s="108" customFormat="1">
      <c r="B2246" s="109"/>
      <c r="C2246" s="110"/>
      <c r="D2246" s="109"/>
      <c r="E2246" s="109"/>
      <c r="F2246" s="97"/>
      <c r="G2246" s="109"/>
      <c r="H2246" s="109"/>
      <c r="I2246" s="97"/>
      <c r="J2246" s="97"/>
      <c r="K2246" s="83"/>
      <c r="L2246" s="111"/>
      <c r="M2246" s="111"/>
      <c r="N2246" s="111"/>
      <c r="O2246" s="111"/>
      <c r="P2246" s="111"/>
      <c r="Q2246" s="111"/>
      <c r="R2246" s="111"/>
    </row>
    <row r="2247" spans="2:18" s="108" customFormat="1">
      <c r="B2247" s="109"/>
      <c r="C2247" s="110"/>
      <c r="D2247" s="109"/>
      <c r="E2247" s="109"/>
      <c r="F2247" s="97"/>
      <c r="G2247" s="109"/>
      <c r="H2247" s="109"/>
      <c r="I2247" s="97"/>
      <c r="J2247" s="97"/>
      <c r="K2247" s="83"/>
      <c r="L2247" s="111"/>
      <c r="M2247" s="111"/>
      <c r="N2247" s="111"/>
      <c r="O2247" s="111"/>
      <c r="P2247" s="111"/>
      <c r="Q2247" s="111"/>
      <c r="R2247" s="111"/>
    </row>
    <row r="2248" spans="2:18" s="108" customFormat="1">
      <c r="B2248" s="109"/>
      <c r="C2248" s="110"/>
      <c r="D2248" s="109"/>
      <c r="E2248" s="109"/>
      <c r="F2248" s="97"/>
      <c r="G2248" s="109"/>
      <c r="H2248" s="109"/>
      <c r="I2248" s="97"/>
      <c r="J2248" s="97"/>
      <c r="K2248" s="83"/>
      <c r="L2248" s="111"/>
      <c r="M2248" s="111"/>
      <c r="N2248" s="111"/>
      <c r="O2248" s="111"/>
      <c r="P2248" s="111"/>
      <c r="Q2248" s="111"/>
      <c r="R2248" s="111"/>
    </row>
    <row r="2249" spans="2:18" s="108" customFormat="1">
      <c r="B2249" s="109"/>
      <c r="C2249" s="110"/>
      <c r="D2249" s="109"/>
      <c r="E2249" s="109"/>
      <c r="F2249" s="97"/>
      <c r="G2249" s="109"/>
      <c r="H2249" s="109"/>
      <c r="I2249" s="97"/>
      <c r="J2249" s="97"/>
      <c r="K2249" s="83"/>
      <c r="L2249" s="111"/>
      <c r="M2249" s="111"/>
      <c r="N2249" s="111"/>
      <c r="O2249" s="111"/>
      <c r="P2249" s="111"/>
      <c r="Q2249" s="111"/>
      <c r="R2249" s="111"/>
    </row>
    <row r="2250" spans="2:18" s="108" customFormat="1">
      <c r="B2250" s="109"/>
      <c r="C2250" s="110"/>
      <c r="D2250" s="109"/>
      <c r="E2250" s="109"/>
      <c r="F2250" s="97"/>
      <c r="G2250" s="109"/>
      <c r="H2250" s="109"/>
      <c r="I2250" s="97"/>
      <c r="J2250" s="97"/>
      <c r="K2250" s="83"/>
      <c r="L2250" s="111"/>
      <c r="M2250" s="111"/>
      <c r="N2250" s="111"/>
      <c r="O2250" s="111"/>
      <c r="P2250" s="111"/>
      <c r="Q2250" s="111"/>
      <c r="R2250" s="111"/>
    </row>
    <row r="2251" spans="2:18" s="108" customFormat="1">
      <c r="B2251" s="109"/>
      <c r="C2251" s="110"/>
      <c r="D2251" s="109"/>
      <c r="E2251" s="109"/>
      <c r="F2251" s="97"/>
      <c r="G2251" s="109"/>
      <c r="H2251" s="109"/>
      <c r="I2251" s="97"/>
      <c r="J2251" s="97"/>
      <c r="K2251" s="83"/>
      <c r="L2251" s="111"/>
      <c r="M2251" s="111"/>
      <c r="N2251" s="111"/>
      <c r="O2251" s="111"/>
      <c r="P2251" s="111"/>
      <c r="Q2251" s="111"/>
      <c r="R2251" s="111"/>
    </row>
    <row r="2252" spans="2:18" s="108" customFormat="1">
      <c r="B2252" s="109"/>
      <c r="C2252" s="110"/>
      <c r="D2252" s="109"/>
      <c r="E2252" s="109"/>
      <c r="F2252" s="97"/>
      <c r="G2252" s="109"/>
      <c r="H2252" s="109"/>
      <c r="I2252" s="97"/>
      <c r="J2252" s="97"/>
      <c r="K2252" s="83"/>
      <c r="L2252" s="111"/>
      <c r="M2252" s="111"/>
      <c r="N2252" s="111"/>
      <c r="O2252" s="111"/>
      <c r="P2252" s="111"/>
      <c r="Q2252" s="111"/>
      <c r="R2252" s="111"/>
    </row>
    <row r="2253" spans="2:18" s="108" customFormat="1">
      <c r="B2253" s="109"/>
      <c r="C2253" s="110"/>
      <c r="D2253" s="109"/>
      <c r="E2253" s="109"/>
      <c r="F2253" s="97"/>
      <c r="G2253" s="109"/>
      <c r="H2253" s="109"/>
      <c r="I2253" s="97"/>
      <c r="J2253" s="97"/>
      <c r="K2253" s="83"/>
      <c r="L2253" s="111"/>
      <c r="M2253" s="111"/>
      <c r="N2253" s="111"/>
      <c r="O2253" s="111"/>
      <c r="P2253" s="111"/>
      <c r="Q2253" s="111"/>
      <c r="R2253" s="111"/>
    </row>
    <row r="2254" spans="2:18" s="108" customFormat="1">
      <c r="B2254" s="109"/>
      <c r="C2254" s="110"/>
      <c r="D2254" s="109"/>
      <c r="E2254" s="109"/>
      <c r="F2254" s="97"/>
      <c r="G2254" s="109"/>
      <c r="H2254" s="109"/>
      <c r="I2254" s="97"/>
      <c r="J2254" s="97"/>
      <c r="K2254" s="83"/>
      <c r="L2254" s="111"/>
      <c r="M2254" s="111"/>
      <c r="N2254" s="111"/>
      <c r="O2254" s="111"/>
      <c r="P2254" s="111"/>
      <c r="Q2254" s="111"/>
      <c r="R2254" s="111"/>
    </row>
    <row r="2255" spans="2:18" s="108" customFormat="1">
      <c r="B2255" s="109"/>
      <c r="C2255" s="110"/>
      <c r="D2255" s="109"/>
      <c r="E2255" s="109"/>
      <c r="F2255" s="97"/>
      <c r="G2255" s="109"/>
      <c r="H2255" s="109"/>
      <c r="I2255" s="97"/>
      <c r="J2255" s="97"/>
      <c r="K2255" s="83"/>
      <c r="L2255" s="111"/>
      <c r="M2255" s="111"/>
      <c r="N2255" s="111"/>
      <c r="O2255" s="111"/>
      <c r="P2255" s="111"/>
      <c r="Q2255" s="111"/>
      <c r="R2255" s="111"/>
    </row>
    <row r="2256" spans="2:18" s="108" customFormat="1">
      <c r="B2256" s="109"/>
      <c r="C2256" s="110"/>
      <c r="D2256" s="109"/>
      <c r="E2256" s="109"/>
      <c r="F2256" s="97"/>
      <c r="G2256" s="109"/>
      <c r="H2256" s="109"/>
      <c r="I2256" s="97"/>
      <c r="J2256" s="97"/>
      <c r="K2256" s="83"/>
      <c r="L2256" s="111"/>
      <c r="M2256" s="111"/>
      <c r="N2256" s="111"/>
      <c r="O2256" s="111"/>
      <c r="P2256" s="111"/>
      <c r="Q2256" s="111"/>
      <c r="R2256" s="111"/>
    </row>
    <row r="2257" spans="2:18" s="108" customFormat="1">
      <c r="B2257" s="109"/>
      <c r="C2257" s="110"/>
      <c r="D2257" s="109"/>
      <c r="E2257" s="109"/>
      <c r="F2257" s="97"/>
      <c r="G2257" s="109"/>
      <c r="H2257" s="109"/>
      <c r="I2257" s="97"/>
      <c r="J2257" s="97"/>
      <c r="K2257" s="83"/>
      <c r="L2257" s="111"/>
      <c r="M2257" s="111"/>
      <c r="N2257" s="111"/>
      <c r="O2257" s="111"/>
      <c r="P2257" s="111"/>
      <c r="Q2257" s="111"/>
      <c r="R2257" s="111"/>
    </row>
    <row r="2258" spans="2:18" s="108" customFormat="1">
      <c r="B2258" s="109"/>
      <c r="C2258" s="110"/>
      <c r="D2258" s="109"/>
      <c r="E2258" s="109"/>
      <c r="F2258" s="97"/>
      <c r="G2258" s="109"/>
      <c r="H2258" s="109"/>
      <c r="I2258" s="97"/>
      <c r="J2258" s="97"/>
      <c r="K2258" s="83"/>
      <c r="L2258" s="111"/>
      <c r="M2258" s="111"/>
      <c r="N2258" s="111"/>
      <c r="O2258" s="111"/>
      <c r="P2258" s="111"/>
      <c r="Q2258" s="111"/>
      <c r="R2258" s="111"/>
    </row>
    <row r="2259" spans="2:18" s="108" customFormat="1">
      <c r="B2259" s="109"/>
      <c r="C2259" s="110"/>
      <c r="D2259" s="109"/>
      <c r="E2259" s="109"/>
      <c r="F2259" s="97"/>
      <c r="G2259" s="109"/>
      <c r="H2259" s="109"/>
      <c r="I2259" s="97"/>
      <c r="J2259" s="97"/>
      <c r="K2259" s="83"/>
      <c r="L2259" s="111"/>
      <c r="M2259" s="111"/>
      <c r="N2259" s="111"/>
      <c r="O2259" s="111"/>
      <c r="P2259" s="111"/>
      <c r="Q2259" s="111"/>
      <c r="R2259" s="111"/>
    </row>
    <row r="2260" spans="2:18" s="108" customFormat="1">
      <c r="B2260" s="109"/>
      <c r="C2260" s="110"/>
      <c r="D2260" s="109"/>
      <c r="E2260" s="109"/>
      <c r="F2260" s="97"/>
      <c r="G2260" s="109"/>
      <c r="H2260" s="109"/>
      <c r="I2260" s="97"/>
      <c r="J2260" s="97"/>
      <c r="K2260" s="83"/>
      <c r="L2260" s="111"/>
      <c r="M2260" s="111"/>
      <c r="N2260" s="111"/>
      <c r="O2260" s="111"/>
      <c r="P2260" s="111"/>
      <c r="Q2260" s="111"/>
      <c r="R2260" s="111"/>
    </row>
    <row r="2261" spans="2:18" s="108" customFormat="1">
      <c r="B2261" s="109"/>
      <c r="C2261" s="110"/>
      <c r="D2261" s="109"/>
      <c r="E2261" s="109"/>
      <c r="F2261" s="97"/>
      <c r="G2261" s="109"/>
      <c r="H2261" s="109"/>
      <c r="I2261" s="97"/>
      <c r="J2261" s="97"/>
      <c r="K2261" s="83"/>
      <c r="L2261" s="111"/>
      <c r="M2261" s="111"/>
      <c r="N2261" s="111"/>
      <c r="O2261" s="111"/>
      <c r="P2261" s="111"/>
      <c r="Q2261" s="111"/>
      <c r="R2261" s="111"/>
    </row>
    <row r="2262" spans="2:18" s="108" customFormat="1">
      <c r="B2262" s="109"/>
      <c r="C2262" s="110"/>
      <c r="D2262" s="109"/>
      <c r="E2262" s="109"/>
      <c r="F2262" s="97"/>
      <c r="G2262" s="109"/>
      <c r="H2262" s="109"/>
      <c r="I2262" s="97"/>
      <c r="J2262" s="97"/>
      <c r="K2262" s="83"/>
      <c r="L2262" s="111"/>
      <c r="M2262" s="111"/>
      <c r="N2262" s="111"/>
      <c r="O2262" s="111"/>
      <c r="P2262" s="111"/>
      <c r="Q2262" s="111"/>
      <c r="R2262" s="111"/>
    </row>
    <row r="2263" spans="2:18" s="108" customFormat="1">
      <c r="B2263" s="109"/>
      <c r="C2263" s="110"/>
      <c r="D2263" s="109"/>
      <c r="E2263" s="109"/>
      <c r="F2263" s="97"/>
      <c r="G2263" s="109"/>
      <c r="H2263" s="109"/>
      <c r="I2263" s="97"/>
      <c r="J2263" s="97"/>
      <c r="K2263" s="83"/>
      <c r="L2263" s="111"/>
      <c r="M2263" s="111"/>
      <c r="N2263" s="111"/>
      <c r="O2263" s="111"/>
      <c r="P2263" s="111"/>
      <c r="Q2263" s="111"/>
      <c r="R2263" s="111"/>
    </row>
    <row r="2264" spans="2:18" s="108" customFormat="1">
      <c r="B2264" s="109"/>
      <c r="C2264" s="110"/>
      <c r="D2264" s="109"/>
      <c r="E2264" s="109"/>
      <c r="F2264" s="97"/>
      <c r="G2264" s="109"/>
      <c r="H2264" s="109"/>
      <c r="I2264" s="97"/>
      <c r="J2264" s="97"/>
      <c r="K2264" s="83"/>
      <c r="L2264" s="111"/>
      <c r="M2264" s="111"/>
      <c r="N2264" s="111"/>
      <c r="O2264" s="111"/>
      <c r="P2264" s="111"/>
      <c r="Q2264" s="111"/>
      <c r="R2264" s="111"/>
    </row>
    <row r="2265" spans="2:18" s="108" customFormat="1">
      <c r="B2265" s="109"/>
      <c r="C2265" s="110"/>
      <c r="D2265" s="109"/>
      <c r="E2265" s="109"/>
      <c r="F2265" s="97"/>
      <c r="G2265" s="109"/>
      <c r="H2265" s="109"/>
      <c r="I2265" s="97"/>
      <c r="J2265" s="97"/>
      <c r="K2265" s="83"/>
      <c r="L2265" s="111"/>
      <c r="M2265" s="111"/>
      <c r="N2265" s="111"/>
      <c r="O2265" s="111"/>
      <c r="P2265" s="111"/>
      <c r="Q2265" s="111"/>
      <c r="R2265" s="111"/>
    </row>
    <row r="2266" spans="2:18" s="108" customFormat="1">
      <c r="B2266" s="109"/>
      <c r="C2266" s="110"/>
      <c r="D2266" s="109"/>
      <c r="E2266" s="109"/>
      <c r="F2266" s="97"/>
      <c r="G2266" s="109"/>
      <c r="H2266" s="109"/>
      <c r="I2266" s="97"/>
      <c r="J2266" s="97"/>
      <c r="K2266" s="83"/>
      <c r="L2266" s="111"/>
      <c r="M2266" s="111"/>
      <c r="N2266" s="111"/>
      <c r="O2266" s="111"/>
      <c r="P2266" s="111"/>
      <c r="Q2266" s="111"/>
      <c r="R2266" s="111"/>
    </row>
    <row r="2267" spans="2:18" s="108" customFormat="1">
      <c r="B2267" s="109"/>
      <c r="C2267" s="110"/>
      <c r="D2267" s="109"/>
      <c r="E2267" s="109"/>
      <c r="F2267" s="97"/>
      <c r="G2267" s="109"/>
      <c r="H2267" s="109"/>
      <c r="I2267" s="97"/>
      <c r="J2267" s="97"/>
      <c r="K2267" s="83"/>
      <c r="L2267" s="111"/>
      <c r="M2267" s="111"/>
      <c r="N2267" s="111"/>
      <c r="O2267" s="111"/>
      <c r="P2267" s="111"/>
      <c r="Q2267" s="111"/>
      <c r="R2267" s="111"/>
    </row>
    <row r="2268" spans="2:18" s="108" customFormat="1">
      <c r="B2268" s="109"/>
      <c r="C2268" s="110"/>
      <c r="D2268" s="109"/>
      <c r="E2268" s="109"/>
      <c r="F2268" s="97"/>
      <c r="G2268" s="109"/>
      <c r="H2268" s="109"/>
      <c r="I2268" s="97"/>
      <c r="J2268" s="97"/>
      <c r="K2268" s="83"/>
      <c r="L2268" s="111"/>
      <c r="M2268" s="111"/>
      <c r="N2268" s="111"/>
      <c r="O2268" s="111"/>
      <c r="P2268" s="111"/>
      <c r="Q2268" s="111"/>
      <c r="R2268" s="111"/>
    </row>
    <row r="2269" spans="2:18" s="108" customFormat="1">
      <c r="B2269" s="109"/>
      <c r="C2269" s="110"/>
      <c r="D2269" s="109"/>
      <c r="E2269" s="109"/>
      <c r="F2269" s="97"/>
      <c r="G2269" s="109"/>
      <c r="H2269" s="109"/>
      <c r="I2269" s="97"/>
      <c r="J2269" s="97"/>
      <c r="K2269" s="83"/>
      <c r="L2269" s="111"/>
      <c r="M2269" s="111"/>
      <c r="N2269" s="111"/>
      <c r="O2269" s="111"/>
      <c r="P2269" s="111"/>
      <c r="Q2269" s="111"/>
      <c r="R2269" s="111"/>
    </row>
    <row r="2270" spans="2:18" s="108" customFormat="1">
      <c r="B2270" s="109"/>
      <c r="C2270" s="110"/>
      <c r="D2270" s="109"/>
      <c r="E2270" s="109"/>
      <c r="F2270" s="97"/>
      <c r="G2270" s="109"/>
      <c r="H2270" s="109"/>
      <c r="I2270" s="97"/>
      <c r="J2270" s="97"/>
      <c r="K2270" s="83"/>
      <c r="L2270" s="111"/>
      <c r="M2270" s="111"/>
      <c r="N2270" s="111"/>
      <c r="O2270" s="111"/>
      <c r="P2270" s="111"/>
      <c r="Q2270" s="111"/>
      <c r="R2270" s="111"/>
    </row>
    <row r="2271" spans="2:18" s="108" customFormat="1">
      <c r="B2271" s="109"/>
      <c r="C2271" s="110"/>
      <c r="D2271" s="109"/>
      <c r="E2271" s="109"/>
      <c r="F2271" s="97"/>
      <c r="G2271" s="109"/>
      <c r="H2271" s="109"/>
      <c r="I2271" s="97"/>
      <c r="J2271" s="97"/>
      <c r="K2271" s="83"/>
      <c r="L2271" s="111"/>
      <c r="M2271" s="111"/>
      <c r="N2271" s="111"/>
      <c r="O2271" s="111"/>
      <c r="P2271" s="111"/>
      <c r="Q2271" s="111"/>
      <c r="R2271" s="111"/>
    </row>
    <row r="2272" spans="2:18" s="108" customFormat="1">
      <c r="B2272" s="109"/>
      <c r="C2272" s="110"/>
      <c r="D2272" s="109"/>
      <c r="E2272" s="109"/>
      <c r="F2272" s="97"/>
      <c r="G2272" s="109"/>
      <c r="H2272" s="109"/>
      <c r="I2272" s="97"/>
      <c r="J2272" s="97"/>
      <c r="K2272" s="83"/>
      <c r="L2272" s="111"/>
      <c r="M2272" s="111"/>
      <c r="N2272" s="111"/>
      <c r="O2272" s="111"/>
      <c r="P2272" s="111"/>
      <c r="Q2272" s="111"/>
      <c r="R2272" s="111"/>
    </row>
    <row r="2273" spans="2:18" s="108" customFormat="1">
      <c r="B2273" s="109"/>
      <c r="C2273" s="110"/>
      <c r="D2273" s="109"/>
      <c r="E2273" s="109"/>
      <c r="F2273" s="97"/>
      <c r="G2273" s="109"/>
      <c r="H2273" s="109"/>
      <c r="I2273" s="97"/>
      <c r="J2273" s="97"/>
      <c r="K2273" s="83"/>
      <c r="L2273" s="111"/>
      <c r="M2273" s="111"/>
      <c r="N2273" s="111"/>
      <c r="O2273" s="111"/>
      <c r="P2273" s="111"/>
      <c r="Q2273" s="111"/>
      <c r="R2273" s="111"/>
    </row>
    <row r="2274" spans="2:18" s="108" customFormat="1">
      <c r="B2274" s="109"/>
      <c r="C2274" s="110"/>
      <c r="D2274" s="109"/>
      <c r="E2274" s="109"/>
      <c r="F2274" s="97"/>
      <c r="G2274" s="109"/>
      <c r="H2274" s="109"/>
      <c r="I2274" s="97"/>
      <c r="J2274" s="97"/>
      <c r="K2274" s="83"/>
      <c r="L2274" s="111"/>
      <c r="M2274" s="111"/>
      <c r="N2274" s="111"/>
      <c r="O2274" s="111"/>
      <c r="P2274" s="111"/>
      <c r="Q2274" s="111"/>
      <c r="R2274" s="111"/>
    </row>
    <row r="2275" spans="2:18" s="108" customFormat="1">
      <c r="B2275" s="109"/>
      <c r="C2275" s="110"/>
      <c r="D2275" s="109"/>
      <c r="E2275" s="109"/>
      <c r="F2275" s="97"/>
      <c r="G2275" s="109"/>
      <c r="H2275" s="109"/>
      <c r="I2275" s="97"/>
      <c r="J2275" s="97"/>
      <c r="K2275" s="83"/>
      <c r="L2275" s="111"/>
      <c r="M2275" s="111"/>
      <c r="N2275" s="111"/>
      <c r="O2275" s="111"/>
      <c r="P2275" s="111"/>
      <c r="Q2275" s="111"/>
      <c r="R2275" s="111"/>
    </row>
    <row r="2276" spans="2:18" s="108" customFormat="1">
      <c r="B2276" s="109"/>
      <c r="C2276" s="110"/>
      <c r="D2276" s="109"/>
      <c r="E2276" s="109"/>
      <c r="F2276" s="97"/>
      <c r="G2276" s="109"/>
      <c r="H2276" s="109"/>
      <c r="I2276" s="97"/>
      <c r="J2276" s="97"/>
      <c r="K2276" s="83"/>
      <c r="L2276" s="111"/>
      <c r="M2276" s="111"/>
      <c r="N2276" s="111"/>
      <c r="O2276" s="111"/>
      <c r="P2276" s="111"/>
      <c r="Q2276" s="111"/>
      <c r="R2276" s="111"/>
    </row>
    <row r="2277" spans="2:18" s="108" customFormat="1">
      <c r="B2277" s="109"/>
      <c r="C2277" s="110"/>
      <c r="D2277" s="109"/>
      <c r="E2277" s="109"/>
      <c r="F2277" s="97"/>
      <c r="G2277" s="109"/>
      <c r="H2277" s="109"/>
      <c r="I2277" s="97"/>
      <c r="J2277" s="97"/>
      <c r="K2277" s="83"/>
      <c r="L2277" s="111"/>
      <c r="M2277" s="111"/>
      <c r="N2277" s="111"/>
      <c r="O2277" s="111"/>
      <c r="P2277" s="111"/>
      <c r="Q2277" s="111"/>
      <c r="R2277" s="111"/>
    </row>
    <row r="2278" spans="2:18" s="108" customFormat="1">
      <c r="B2278" s="109"/>
      <c r="C2278" s="110"/>
      <c r="D2278" s="109"/>
      <c r="E2278" s="109"/>
      <c r="F2278" s="97"/>
      <c r="G2278" s="109"/>
      <c r="H2278" s="109"/>
      <c r="I2278" s="97"/>
      <c r="J2278" s="97"/>
      <c r="K2278" s="83"/>
      <c r="L2278" s="111"/>
      <c r="M2278" s="111"/>
      <c r="N2278" s="111"/>
      <c r="O2278" s="111"/>
      <c r="P2278" s="111"/>
      <c r="Q2278" s="111"/>
      <c r="R2278" s="111"/>
    </row>
    <row r="2279" spans="2:18" s="108" customFormat="1">
      <c r="B2279" s="109"/>
      <c r="C2279" s="110"/>
      <c r="D2279" s="109"/>
      <c r="E2279" s="109"/>
      <c r="F2279" s="97"/>
      <c r="G2279" s="109"/>
      <c r="H2279" s="109"/>
      <c r="I2279" s="97"/>
      <c r="J2279" s="97"/>
      <c r="K2279" s="83"/>
      <c r="L2279" s="111"/>
      <c r="M2279" s="111"/>
      <c r="N2279" s="111"/>
      <c r="O2279" s="111"/>
      <c r="P2279" s="111"/>
      <c r="Q2279" s="111"/>
      <c r="R2279" s="111"/>
    </row>
    <row r="2280" spans="2:18" s="108" customFormat="1">
      <c r="B2280" s="109"/>
      <c r="C2280" s="110"/>
      <c r="D2280" s="109"/>
      <c r="E2280" s="109"/>
      <c r="F2280" s="97"/>
      <c r="G2280" s="109"/>
      <c r="H2280" s="109"/>
      <c r="I2280" s="97"/>
      <c r="J2280" s="97"/>
      <c r="K2280" s="83"/>
      <c r="L2280" s="111"/>
      <c r="M2280" s="111"/>
      <c r="N2280" s="111"/>
      <c r="O2280" s="111"/>
      <c r="P2280" s="111"/>
      <c r="Q2280" s="111"/>
      <c r="R2280" s="111"/>
    </row>
    <row r="2281" spans="2:18" s="108" customFormat="1">
      <c r="B2281" s="109"/>
      <c r="C2281" s="110"/>
      <c r="D2281" s="109"/>
      <c r="E2281" s="109"/>
      <c r="F2281" s="97"/>
      <c r="G2281" s="109"/>
      <c r="H2281" s="109"/>
      <c r="I2281" s="97"/>
      <c r="J2281" s="97"/>
      <c r="K2281" s="83"/>
      <c r="L2281" s="111"/>
      <c r="M2281" s="111"/>
      <c r="N2281" s="111"/>
      <c r="O2281" s="111"/>
      <c r="P2281" s="111"/>
      <c r="Q2281" s="111"/>
      <c r="R2281" s="111"/>
    </row>
    <row r="2282" spans="2:18" s="108" customFormat="1">
      <c r="B2282" s="109"/>
      <c r="C2282" s="110"/>
      <c r="D2282" s="109"/>
      <c r="E2282" s="109"/>
      <c r="F2282" s="97"/>
      <c r="G2282" s="109"/>
      <c r="H2282" s="109"/>
      <c r="I2282" s="97"/>
      <c r="J2282" s="97"/>
      <c r="K2282" s="83"/>
      <c r="L2282" s="111"/>
      <c r="M2282" s="111"/>
      <c r="N2282" s="111"/>
      <c r="O2282" s="111"/>
      <c r="P2282" s="111"/>
      <c r="Q2282" s="111"/>
      <c r="R2282" s="111"/>
    </row>
    <row r="2283" spans="2:18" s="108" customFormat="1">
      <c r="B2283" s="109"/>
      <c r="C2283" s="110"/>
      <c r="D2283" s="109"/>
      <c r="E2283" s="109"/>
      <c r="F2283" s="97"/>
      <c r="G2283" s="109"/>
      <c r="H2283" s="109"/>
      <c r="I2283" s="97"/>
      <c r="J2283" s="97"/>
      <c r="K2283" s="83"/>
      <c r="L2283" s="111"/>
      <c r="M2283" s="111"/>
      <c r="N2283" s="111"/>
      <c r="O2283" s="111"/>
      <c r="P2283" s="111"/>
      <c r="Q2283" s="111"/>
      <c r="R2283" s="111"/>
    </row>
    <row r="2284" spans="2:18" s="108" customFormat="1">
      <c r="B2284" s="109"/>
      <c r="C2284" s="110"/>
      <c r="D2284" s="109"/>
      <c r="E2284" s="109"/>
      <c r="F2284" s="97"/>
      <c r="G2284" s="109"/>
      <c r="H2284" s="109"/>
      <c r="I2284" s="97"/>
      <c r="J2284" s="97"/>
      <c r="K2284" s="83"/>
      <c r="L2284" s="111"/>
      <c r="M2284" s="111"/>
      <c r="N2284" s="111"/>
      <c r="O2284" s="111"/>
      <c r="P2284" s="111"/>
      <c r="Q2284" s="111"/>
      <c r="R2284" s="111"/>
    </row>
    <row r="2285" spans="2:18" s="108" customFormat="1">
      <c r="B2285" s="109"/>
      <c r="C2285" s="110"/>
      <c r="D2285" s="109"/>
      <c r="E2285" s="109"/>
      <c r="F2285" s="97"/>
      <c r="G2285" s="109"/>
      <c r="H2285" s="109"/>
      <c r="I2285" s="97"/>
      <c r="J2285" s="97"/>
      <c r="K2285" s="83"/>
      <c r="L2285" s="111"/>
      <c r="M2285" s="111"/>
      <c r="N2285" s="111"/>
      <c r="O2285" s="111"/>
      <c r="P2285" s="111"/>
      <c r="Q2285" s="111"/>
      <c r="R2285" s="111"/>
    </row>
    <row r="2286" spans="2:18" s="108" customFormat="1">
      <c r="B2286" s="109"/>
      <c r="C2286" s="110"/>
      <c r="D2286" s="109"/>
      <c r="E2286" s="109"/>
      <c r="F2286" s="97"/>
      <c r="G2286" s="109"/>
      <c r="H2286" s="109"/>
      <c r="I2286" s="97"/>
      <c r="J2286" s="97"/>
      <c r="K2286" s="83"/>
      <c r="L2286" s="111"/>
      <c r="M2286" s="111"/>
      <c r="N2286" s="111"/>
      <c r="O2286" s="111"/>
      <c r="P2286" s="111"/>
      <c r="Q2286" s="111"/>
      <c r="R2286" s="111"/>
    </row>
    <row r="2287" spans="2:18" s="108" customFormat="1">
      <c r="B2287" s="109"/>
      <c r="C2287" s="110"/>
      <c r="D2287" s="109"/>
      <c r="E2287" s="109"/>
      <c r="F2287" s="97"/>
      <c r="G2287" s="109"/>
      <c r="H2287" s="109"/>
      <c r="I2287" s="97"/>
      <c r="J2287" s="97"/>
      <c r="K2287" s="83"/>
      <c r="L2287" s="111"/>
      <c r="M2287" s="111"/>
      <c r="N2287" s="111"/>
      <c r="O2287" s="111"/>
      <c r="P2287" s="111"/>
      <c r="Q2287" s="111"/>
      <c r="R2287" s="111"/>
    </row>
    <row r="2288" spans="2:18" s="108" customFormat="1">
      <c r="B2288" s="109"/>
      <c r="C2288" s="110"/>
      <c r="D2288" s="109"/>
      <c r="E2288" s="109"/>
      <c r="F2288" s="97"/>
      <c r="G2288" s="109"/>
      <c r="H2288" s="109"/>
      <c r="I2288" s="97"/>
      <c r="J2288" s="97"/>
      <c r="K2288" s="83"/>
      <c r="L2288" s="111"/>
      <c r="M2288" s="111"/>
      <c r="N2288" s="111"/>
      <c r="O2288" s="111"/>
      <c r="P2288" s="111"/>
      <c r="Q2288" s="111"/>
      <c r="R2288" s="111"/>
    </row>
    <row r="2289" spans="2:18" s="108" customFormat="1">
      <c r="B2289" s="109"/>
      <c r="C2289" s="110"/>
      <c r="D2289" s="109"/>
      <c r="E2289" s="109"/>
      <c r="F2289" s="97"/>
      <c r="G2289" s="109"/>
      <c r="H2289" s="109"/>
      <c r="I2289" s="97"/>
      <c r="J2289" s="97"/>
      <c r="K2289" s="83"/>
      <c r="L2289" s="111"/>
      <c r="M2289" s="111"/>
      <c r="N2289" s="111"/>
      <c r="O2289" s="111"/>
      <c r="P2289" s="111"/>
      <c r="Q2289" s="111"/>
      <c r="R2289" s="111"/>
    </row>
    <row r="2290" spans="2:18" s="108" customFormat="1">
      <c r="B2290" s="109"/>
      <c r="C2290" s="110"/>
      <c r="D2290" s="109"/>
      <c r="E2290" s="109"/>
      <c r="F2290" s="97"/>
      <c r="G2290" s="109"/>
      <c r="H2290" s="109"/>
      <c r="I2290" s="97"/>
      <c r="J2290" s="97"/>
      <c r="K2290" s="83"/>
      <c r="L2290" s="111"/>
      <c r="M2290" s="111"/>
      <c r="N2290" s="111"/>
      <c r="O2290" s="111"/>
      <c r="P2290" s="111"/>
      <c r="Q2290" s="111"/>
      <c r="R2290" s="111"/>
    </row>
    <row r="2291" spans="2:18" s="108" customFormat="1">
      <c r="B2291" s="109"/>
      <c r="C2291" s="110"/>
      <c r="D2291" s="109"/>
      <c r="E2291" s="109"/>
      <c r="F2291" s="97"/>
      <c r="G2291" s="109"/>
      <c r="H2291" s="109"/>
      <c r="I2291" s="97"/>
      <c r="J2291" s="97"/>
      <c r="K2291" s="83"/>
      <c r="L2291" s="111"/>
      <c r="M2291" s="111"/>
      <c r="N2291" s="111"/>
      <c r="O2291" s="111"/>
      <c r="P2291" s="111"/>
      <c r="Q2291" s="111"/>
      <c r="R2291" s="111"/>
    </row>
    <row r="2292" spans="2:18" s="108" customFormat="1">
      <c r="B2292" s="109"/>
      <c r="C2292" s="110"/>
      <c r="D2292" s="109"/>
      <c r="E2292" s="109"/>
      <c r="F2292" s="97"/>
      <c r="G2292" s="109"/>
      <c r="H2292" s="109"/>
      <c r="I2292" s="97"/>
      <c r="J2292" s="97"/>
      <c r="K2292" s="83"/>
      <c r="L2292" s="111"/>
      <c r="M2292" s="111"/>
      <c r="N2292" s="111"/>
      <c r="O2292" s="111"/>
      <c r="P2292" s="111"/>
      <c r="Q2292" s="111"/>
      <c r="R2292" s="111"/>
    </row>
    <row r="2293" spans="2:18" s="108" customFormat="1">
      <c r="B2293" s="109"/>
      <c r="C2293" s="110"/>
      <c r="D2293" s="109"/>
      <c r="E2293" s="109"/>
      <c r="F2293" s="97"/>
      <c r="G2293" s="109"/>
      <c r="H2293" s="109"/>
      <c r="I2293" s="97"/>
      <c r="J2293" s="97"/>
      <c r="K2293" s="83"/>
      <c r="L2293" s="111"/>
      <c r="M2293" s="111"/>
      <c r="N2293" s="111"/>
      <c r="O2293" s="111"/>
      <c r="P2293" s="111"/>
      <c r="Q2293" s="111"/>
      <c r="R2293" s="111"/>
    </row>
    <row r="2294" spans="2:18" s="108" customFormat="1">
      <c r="B2294" s="109"/>
      <c r="C2294" s="110"/>
      <c r="D2294" s="109"/>
      <c r="E2294" s="109"/>
      <c r="F2294" s="97"/>
      <c r="G2294" s="109"/>
      <c r="H2294" s="109"/>
      <c r="I2294" s="97"/>
      <c r="J2294" s="97"/>
      <c r="K2294" s="83"/>
      <c r="L2294" s="111"/>
      <c r="M2294" s="111"/>
      <c r="N2294" s="111"/>
      <c r="O2294" s="111"/>
      <c r="P2294" s="111"/>
      <c r="Q2294" s="111"/>
      <c r="R2294" s="111"/>
    </row>
    <row r="2295" spans="2:18" s="108" customFormat="1">
      <c r="B2295" s="109"/>
      <c r="C2295" s="110"/>
      <c r="D2295" s="109"/>
      <c r="E2295" s="109"/>
      <c r="F2295" s="97"/>
      <c r="G2295" s="109"/>
      <c r="H2295" s="109"/>
      <c r="I2295" s="97"/>
      <c r="J2295" s="97"/>
      <c r="K2295" s="83"/>
      <c r="L2295" s="111"/>
      <c r="M2295" s="111"/>
      <c r="N2295" s="111"/>
      <c r="O2295" s="111"/>
      <c r="P2295" s="111"/>
      <c r="Q2295" s="111"/>
      <c r="R2295" s="111"/>
    </row>
    <row r="2296" spans="2:18" s="108" customFormat="1">
      <c r="B2296" s="109"/>
      <c r="C2296" s="110"/>
      <c r="D2296" s="109"/>
      <c r="E2296" s="109"/>
      <c r="F2296" s="97"/>
      <c r="G2296" s="109"/>
      <c r="H2296" s="109"/>
      <c r="I2296" s="97"/>
      <c r="J2296" s="97"/>
      <c r="K2296" s="83"/>
      <c r="L2296" s="111"/>
      <c r="M2296" s="111"/>
      <c r="N2296" s="111"/>
      <c r="O2296" s="111"/>
      <c r="P2296" s="111"/>
      <c r="Q2296" s="111"/>
      <c r="R2296" s="111"/>
    </row>
    <row r="2297" spans="2:18" s="108" customFormat="1">
      <c r="B2297" s="109"/>
      <c r="C2297" s="110"/>
      <c r="D2297" s="109"/>
      <c r="E2297" s="109"/>
      <c r="F2297" s="97"/>
      <c r="G2297" s="109"/>
      <c r="H2297" s="109"/>
      <c r="I2297" s="97"/>
      <c r="J2297" s="97"/>
      <c r="K2297" s="83"/>
      <c r="L2297" s="111"/>
      <c r="M2297" s="111"/>
      <c r="N2297" s="111"/>
      <c r="O2297" s="111"/>
      <c r="P2297" s="111"/>
      <c r="Q2297" s="111"/>
      <c r="R2297" s="111"/>
    </row>
    <row r="2298" spans="2:18" s="108" customFormat="1">
      <c r="B2298" s="109"/>
      <c r="C2298" s="110"/>
      <c r="D2298" s="109"/>
      <c r="E2298" s="109"/>
      <c r="F2298" s="97"/>
      <c r="G2298" s="109"/>
      <c r="H2298" s="109"/>
      <c r="I2298" s="97"/>
      <c r="J2298" s="97"/>
      <c r="K2298" s="83"/>
      <c r="L2298" s="111"/>
      <c r="M2298" s="111"/>
      <c r="N2298" s="111"/>
      <c r="O2298" s="111"/>
      <c r="P2298" s="111"/>
      <c r="Q2298" s="111"/>
      <c r="R2298" s="111"/>
    </row>
    <row r="2299" spans="2:18" s="108" customFormat="1">
      <c r="B2299" s="109"/>
      <c r="C2299" s="110"/>
      <c r="D2299" s="109"/>
      <c r="E2299" s="109"/>
      <c r="F2299" s="97"/>
      <c r="G2299" s="109"/>
      <c r="H2299" s="109"/>
      <c r="I2299" s="97"/>
      <c r="J2299" s="97"/>
      <c r="K2299" s="83"/>
      <c r="L2299" s="111"/>
      <c r="M2299" s="111"/>
      <c r="N2299" s="111"/>
      <c r="O2299" s="111"/>
      <c r="P2299" s="111"/>
      <c r="Q2299" s="111"/>
      <c r="R2299" s="111"/>
    </row>
    <row r="2300" spans="2:18" s="108" customFormat="1">
      <c r="B2300" s="109"/>
      <c r="C2300" s="110"/>
      <c r="D2300" s="109"/>
      <c r="E2300" s="109"/>
      <c r="F2300" s="97"/>
      <c r="G2300" s="109"/>
      <c r="H2300" s="109"/>
      <c r="I2300" s="97"/>
      <c r="J2300" s="97"/>
      <c r="K2300" s="83"/>
      <c r="L2300" s="111"/>
      <c r="M2300" s="111"/>
      <c r="N2300" s="111"/>
      <c r="O2300" s="111"/>
      <c r="P2300" s="111"/>
      <c r="Q2300" s="111"/>
      <c r="R2300" s="111"/>
    </row>
    <row r="2301" spans="2:18" s="108" customFormat="1">
      <c r="B2301" s="109"/>
      <c r="C2301" s="110"/>
      <c r="D2301" s="109"/>
      <c r="E2301" s="109"/>
      <c r="F2301" s="97"/>
      <c r="G2301" s="109"/>
      <c r="H2301" s="109"/>
      <c r="I2301" s="97"/>
      <c r="J2301" s="97"/>
      <c r="K2301" s="83"/>
      <c r="L2301" s="111"/>
      <c r="M2301" s="111"/>
      <c r="N2301" s="111"/>
      <c r="O2301" s="111"/>
      <c r="P2301" s="111"/>
      <c r="Q2301" s="111"/>
      <c r="R2301" s="111"/>
    </row>
    <row r="2302" spans="2:18" s="108" customFormat="1">
      <c r="B2302" s="109"/>
      <c r="C2302" s="110"/>
      <c r="D2302" s="109"/>
      <c r="E2302" s="109"/>
      <c r="F2302" s="97"/>
      <c r="G2302" s="109"/>
      <c r="H2302" s="109"/>
      <c r="I2302" s="97"/>
      <c r="J2302" s="97"/>
      <c r="K2302" s="83"/>
      <c r="L2302" s="111"/>
      <c r="M2302" s="111"/>
      <c r="N2302" s="111"/>
      <c r="O2302" s="111"/>
      <c r="P2302" s="111"/>
      <c r="Q2302" s="111"/>
      <c r="R2302" s="111"/>
    </row>
    <row r="2303" spans="2:18" s="108" customFormat="1">
      <c r="B2303" s="109"/>
      <c r="C2303" s="110"/>
      <c r="D2303" s="109"/>
      <c r="E2303" s="109"/>
      <c r="F2303" s="97"/>
      <c r="G2303" s="109"/>
      <c r="H2303" s="109"/>
      <c r="I2303" s="97"/>
      <c r="J2303" s="97"/>
      <c r="K2303" s="83"/>
      <c r="L2303" s="111"/>
      <c r="M2303" s="111"/>
      <c r="N2303" s="111"/>
      <c r="O2303" s="111"/>
      <c r="P2303" s="111"/>
      <c r="Q2303" s="111"/>
      <c r="R2303" s="111"/>
    </row>
    <row r="2304" spans="2:18" s="108" customFormat="1">
      <c r="B2304" s="109"/>
      <c r="C2304" s="110"/>
      <c r="D2304" s="109"/>
      <c r="E2304" s="109"/>
      <c r="F2304" s="97"/>
      <c r="G2304" s="109"/>
      <c r="H2304" s="109"/>
      <c r="I2304" s="97"/>
      <c r="J2304" s="97"/>
      <c r="K2304" s="83"/>
      <c r="L2304" s="111"/>
      <c r="M2304" s="111"/>
      <c r="N2304" s="111"/>
      <c r="O2304" s="111"/>
      <c r="P2304" s="111"/>
      <c r="Q2304" s="111"/>
      <c r="R2304" s="111"/>
    </row>
    <row r="2305" spans="2:18" s="108" customFormat="1">
      <c r="B2305" s="109"/>
      <c r="C2305" s="110"/>
      <c r="D2305" s="109"/>
      <c r="E2305" s="109"/>
      <c r="F2305" s="97"/>
      <c r="G2305" s="109"/>
      <c r="H2305" s="109"/>
      <c r="I2305" s="97"/>
      <c r="J2305" s="97"/>
      <c r="K2305" s="83"/>
      <c r="L2305" s="111"/>
      <c r="M2305" s="111"/>
      <c r="N2305" s="111"/>
      <c r="O2305" s="111"/>
      <c r="P2305" s="111"/>
      <c r="Q2305" s="111"/>
      <c r="R2305" s="111"/>
    </row>
    <row r="2306" spans="2:18" s="108" customFormat="1">
      <c r="B2306" s="109"/>
      <c r="C2306" s="110"/>
      <c r="D2306" s="109"/>
      <c r="E2306" s="109"/>
      <c r="F2306" s="97"/>
      <c r="G2306" s="109"/>
      <c r="H2306" s="109"/>
      <c r="I2306" s="97"/>
      <c r="J2306" s="97"/>
      <c r="K2306" s="83"/>
      <c r="L2306" s="111"/>
      <c r="M2306" s="111"/>
      <c r="N2306" s="111"/>
      <c r="O2306" s="111"/>
      <c r="P2306" s="111"/>
      <c r="Q2306" s="111"/>
      <c r="R2306" s="111"/>
    </row>
    <row r="2307" spans="2:18" s="108" customFormat="1">
      <c r="B2307" s="109"/>
      <c r="C2307" s="110"/>
      <c r="D2307" s="109"/>
      <c r="E2307" s="109"/>
      <c r="F2307" s="97"/>
      <c r="G2307" s="109"/>
      <c r="H2307" s="109"/>
      <c r="I2307" s="97"/>
      <c r="J2307" s="97"/>
      <c r="K2307" s="83"/>
      <c r="L2307" s="111"/>
      <c r="M2307" s="111"/>
      <c r="N2307" s="111"/>
      <c r="O2307" s="111"/>
      <c r="P2307" s="111"/>
      <c r="Q2307" s="111"/>
      <c r="R2307" s="111"/>
    </row>
    <row r="2308" spans="2:18" s="108" customFormat="1">
      <c r="B2308" s="109"/>
      <c r="C2308" s="110"/>
      <c r="D2308" s="109"/>
      <c r="E2308" s="109"/>
      <c r="F2308" s="97"/>
      <c r="G2308" s="109"/>
      <c r="H2308" s="109"/>
      <c r="I2308" s="97"/>
      <c r="J2308" s="97"/>
      <c r="K2308" s="83"/>
      <c r="L2308" s="111"/>
      <c r="M2308" s="111"/>
      <c r="N2308" s="111"/>
      <c r="O2308" s="111"/>
      <c r="P2308" s="111"/>
      <c r="Q2308" s="111"/>
      <c r="R2308" s="111"/>
    </row>
    <row r="2309" spans="2:18" s="108" customFormat="1">
      <c r="B2309" s="109"/>
      <c r="C2309" s="110"/>
      <c r="D2309" s="109"/>
      <c r="E2309" s="109"/>
      <c r="F2309" s="97"/>
      <c r="G2309" s="109"/>
      <c r="H2309" s="109"/>
      <c r="I2309" s="97"/>
      <c r="J2309" s="97"/>
      <c r="K2309" s="83"/>
      <c r="L2309" s="111"/>
      <c r="M2309" s="111"/>
      <c r="N2309" s="111"/>
      <c r="O2309" s="111"/>
      <c r="P2309" s="111"/>
      <c r="Q2309" s="111"/>
      <c r="R2309" s="111"/>
    </row>
    <row r="2310" spans="2:18" s="108" customFormat="1">
      <c r="B2310" s="109"/>
      <c r="C2310" s="110"/>
      <c r="D2310" s="109"/>
      <c r="E2310" s="109"/>
      <c r="F2310" s="97"/>
      <c r="G2310" s="109"/>
      <c r="H2310" s="109"/>
      <c r="I2310" s="97"/>
      <c r="J2310" s="97"/>
      <c r="K2310" s="83"/>
      <c r="L2310" s="111"/>
      <c r="M2310" s="111"/>
      <c r="N2310" s="111"/>
      <c r="O2310" s="111"/>
      <c r="P2310" s="111"/>
      <c r="Q2310" s="111"/>
      <c r="R2310" s="111"/>
    </row>
    <row r="2311" spans="2:18" s="108" customFormat="1">
      <c r="B2311" s="109"/>
      <c r="C2311" s="110"/>
      <c r="D2311" s="109"/>
      <c r="E2311" s="109"/>
      <c r="F2311" s="97"/>
      <c r="G2311" s="109"/>
      <c r="H2311" s="109"/>
      <c r="I2311" s="97"/>
      <c r="J2311" s="97"/>
      <c r="K2311" s="83"/>
      <c r="L2311" s="111"/>
      <c r="M2311" s="111"/>
      <c r="N2311" s="111"/>
      <c r="O2311" s="111"/>
      <c r="P2311" s="111"/>
      <c r="Q2311" s="111"/>
      <c r="R2311" s="111"/>
    </row>
    <row r="2312" spans="2:18" s="108" customFormat="1">
      <c r="B2312" s="109"/>
      <c r="C2312" s="110"/>
      <c r="D2312" s="109"/>
      <c r="E2312" s="109"/>
      <c r="F2312" s="97"/>
      <c r="G2312" s="109"/>
      <c r="H2312" s="109"/>
      <c r="I2312" s="97"/>
      <c r="J2312" s="97"/>
      <c r="K2312" s="83"/>
      <c r="L2312" s="111"/>
      <c r="M2312" s="111"/>
      <c r="N2312" s="111"/>
      <c r="O2312" s="111"/>
      <c r="P2312" s="111"/>
      <c r="Q2312" s="111"/>
      <c r="R2312" s="111"/>
    </row>
    <row r="2313" spans="2:18" s="108" customFormat="1">
      <c r="B2313" s="109"/>
      <c r="C2313" s="110"/>
      <c r="D2313" s="109"/>
      <c r="E2313" s="109"/>
      <c r="F2313" s="97"/>
      <c r="G2313" s="109"/>
      <c r="H2313" s="109"/>
      <c r="I2313" s="97"/>
      <c r="J2313" s="97"/>
      <c r="K2313" s="83"/>
      <c r="L2313" s="111"/>
      <c r="M2313" s="111"/>
      <c r="N2313" s="111"/>
      <c r="O2313" s="111"/>
      <c r="P2313" s="111"/>
      <c r="Q2313" s="111"/>
      <c r="R2313" s="111"/>
    </row>
    <row r="2314" spans="2:18" s="108" customFormat="1">
      <c r="B2314" s="109"/>
      <c r="C2314" s="110"/>
      <c r="D2314" s="109"/>
      <c r="E2314" s="109"/>
      <c r="F2314" s="97"/>
      <c r="G2314" s="109"/>
      <c r="H2314" s="109"/>
      <c r="I2314" s="97"/>
      <c r="J2314" s="97"/>
      <c r="K2314" s="83"/>
      <c r="L2314" s="111"/>
      <c r="M2314" s="111"/>
      <c r="N2314" s="111"/>
      <c r="O2314" s="111"/>
      <c r="P2314" s="111"/>
      <c r="Q2314" s="111"/>
      <c r="R2314" s="111"/>
    </row>
    <row r="2315" spans="2:18" s="108" customFormat="1">
      <c r="B2315" s="109"/>
      <c r="C2315" s="110"/>
      <c r="D2315" s="109"/>
      <c r="E2315" s="109"/>
      <c r="F2315" s="97"/>
      <c r="G2315" s="109"/>
      <c r="H2315" s="109"/>
      <c r="I2315" s="97"/>
      <c r="J2315" s="97"/>
      <c r="K2315" s="83"/>
      <c r="L2315" s="111"/>
      <c r="M2315" s="111"/>
      <c r="N2315" s="111"/>
      <c r="O2315" s="111"/>
      <c r="P2315" s="111"/>
      <c r="Q2315" s="111"/>
      <c r="R2315" s="111"/>
    </row>
    <row r="2316" spans="2:18" s="108" customFormat="1">
      <c r="B2316" s="109"/>
      <c r="C2316" s="110"/>
      <c r="D2316" s="109"/>
      <c r="E2316" s="109"/>
      <c r="F2316" s="97"/>
      <c r="G2316" s="109"/>
      <c r="H2316" s="109"/>
      <c r="I2316" s="97"/>
      <c r="J2316" s="97"/>
      <c r="K2316" s="83"/>
      <c r="L2316" s="111"/>
      <c r="M2316" s="111"/>
      <c r="N2316" s="111"/>
      <c r="O2316" s="111"/>
      <c r="P2316" s="111"/>
      <c r="Q2316" s="111"/>
      <c r="R2316" s="111"/>
    </row>
    <row r="2317" spans="2:18" s="108" customFormat="1">
      <c r="B2317" s="109"/>
      <c r="C2317" s="110"/>
      <c r="D2317" s="109"/>
      <c r="E2317" s="109"/>
      <c r="F2317" s="97"/>
      <c r="G2317" s="109"/>
      <c r="H2317" s="109"/>
      <c r="I2317" s="97"/>
      <c r="J2317" s="97"/>
      <c r="K2317" s="83"/>
      <c r="L2317" s="111"/>
      <c r="M2317" s="111"/>
      <c r="N2317" s="111"/>
      <c r="O2317" s="111"/>
      <c r="P2317" s="111"/>
      <c r="Q2317" s="111"/>
      <c r="R2317" s="111"/>
    </row>
    <row r="2318" spans="2:18" s="108" customFormat="1">
      <c r="B2318" s="109"/>
      <c r="C2318" s="110"/>
      <c r="D2318" s="109"/>
      <c r="E2318" s="109"/>
      <c r="F2318" s="97"/>
      <c r="G2318" s="109"/>
      <c r="H2318" s="109"/>
      <c r="I2318" s="97"/>
      <c r="J2318" s="97"/>
      <c r="K2318" s="83"/>
      <c r="L2318" s="111"/>
      <c r="M2318" s="111"/>
      <c r="N2318" s="111"/>
      <c r="O2318" s="111"/>
      <c r="P2318" s="111"/>
      <c r="Q2318" s="111"/>
      <c r="R2318" s="111"/>
    </row>
    <row r="2319" spans="2:18" s="108" customFormat="1">
      <c r="B2319" s="109"/>
      <c r="C2319" s="110"/>
      <c r="D2319" s="109"/>
      <c r="E2319" s="109"/>
      <c r="F2319" s="97"/>
      <c r="G2319" s="109"/>
      <c r="H2319" s="109"/>
      <c r="I2319" s="97"/>
      <c r="J2319" s="97"/>
      <c r="K2319" s="83"/>
      <c r="L2319" s="111"/>
      <c r="M2319" s="111"/>
      <c r="N2319" s="111"/>
      <c r="O2319" s="111"/>
      <c r="P2319" s="111"/>
      <c r="Q2319" s="111"/>
      <c r="R2319" s="111"/>
    </row>
    <row r="2320" spans="2:18" s="108" customFormat="1">
      <c r="B2320" s="109"/>
      <c r="C2320" s="110"/>
      <c r="D2320" s="109"/>
      <c r="E2320" s="109"/>
      <c r="F2320" s="97"/>
      <c r="G2320" s="109"/>
      <c r="H2320" s="109"/>
      <c r="I2320" s="97"/>
      <c r="J2320" s="97"/>
      <c r="K2320" s="83"/>
      <c r="L2320" s="111"/>
      <c r="M2320" s="111"/>
      <c r="N2320" s="111"/>
      <c r="O2320" s="111"/>
      <c r="P2320" s="111"/>
      <c r="Q2320" s="111"/>
      <c r="R2320" s="111"/>
    </row>
    <row r="2321" spans="2:18" s="108" customFormat="1">
      <c r="B2321" s="109"/>
      <c r="C2321" s="110"/>
      <c r="D2321" s="109"/>
      <c r="E2321" s="109"/>
      <c r="F2321" s="97"/>
      <c r="G2321" s="109"/>
      <c r="H2321" s="109"/>
      <c r="I2321" s="97"/>
      <c r="J2321" s="97"/>
      <c r="K2321" s="83"/>
      <c r="L2321" s="111"/>
      <c r="M2321" s="111"/>
      <c r="N2321" s="111"/>
      <c r="O2321" s="111"/>
      <c r="P2321" s="111"/>
      <c r="Q2321" s="111"/>
      <c r="R2321" s="111"/>
    </row>
    <row r="2322" spans="2:18" s="108" customFormat="1">
      <c r="B2322" s="109"/>
      <c r="C2322" s="110"/>
      <c r="D2322" s="109"/>
      <c r="E2322" s="109"/>
      <c r="F2322" s="97"/>
      <c r="G2322" s="109"/>
      <c r="H2322" s="109"/>
      <c r="I2322" s="97"/>
      <c r="J2322" s="97"/>
      <c r="K2322" s="83"/>
      <c r="L2322" s="111"/>
      <c r="M2322" s="111"/>
      <c r="N2322" s="111"/>
      <c r="O2322" s="111"/>
      <c r="P2322" s="111"/>
      <c r="Q2322" s="111"/>
      <c r="R2322" s="111"/>
    </row>
    <row r="2323" spans="2:18" s="108" customFormat="1">
      <c r="B2323" s="109"/>
      <c r="C2323" s="110"/>
      <c r="D2323" s="109"/>
      <c r="E2323" s="109"/>
      <c r="F2323" s="97"/>
      <c r="G2323" s="109"/>
      <c r="H2323" s="109"/>
      <c r="I2323" s="97"/>
      <c r="J2323" s="97"/>
      <c r="K2323" s="83"/>
      <c r="L2323" s="111"/>
      <c r="M2323" s="111"/>
      <c r="N2323" s="111"/>
      <c r="O2323" s="111"/>
      <c r="P2323" s="111"/>
      <c r="Q2323" s="111"/>
      <c r="R2323" s="111"/>
    </row>
    <row r="2324" spans="2:18" s="108" customFormat="1">
      <c r="B2324" s="109"/>
      <c r="C2324" s="110"/>
      <c r="D2324" s="109"/>
      <c r="E2324" s="109"/>
      <c r="F2324" s="97"/>
      <c r="G2324" s="109"/>
      <c r="H2324" s="109"/>
      <c r="I2324" s="97"/>
      <c r="J2324" s="97"/>
      <c r="K2324" s="83"/>
      <c r="L2324" s="111"/>
      <c r="M2324" s="111"/>
      <c r="N2324" s="111"/>
      <c r="O2324" s="111"/>
      <c r="P2324" s="111"/>
      <c r="Q2324" s="111"/>
      <c r="R2324" s="111"/>
    </row>
    <row r="2325" spans="2:18" s="108" customFormat="1">
      <c r="B2325" s="109"/>
      <c r="C2325" s="110"/>
      <c r="D2325" s="109"/>
      <c r="E2325" s="109"/>
      <c r="F2325" s="97"/>
      <c r="G2325" s="109"/>
      <c r="H2325" s="109"/>
      <c r="I2325" s="97"/>
      <c r="J2325" s="97"/>
      <c r="K2325" s="83"/>
      <c r="L2325" s="111"/>
      <c r="M2325" s="111"/>
      <c r="N2325" s="111"/>
      <c r="O2325" s="111"/>
      <c r="P2325" s="111"/>
      <c r="Q2325" s="111"/>
      <c r="R2325" s="111"/>
    </row>
    <row r="2326" spans="2:18" s="108" customFormat="1">
      <c r="B2326" s="109"/>
      <c r="C2326" s="110"/>
      <c r="D2326" s="109"/>
      <c r="E2326" s="109"/>
      <c r="F2326" s="97"/>
      <c r="G2326" s="109"/>
      <c r="H2326" s="109"/>
      <c r="I2326" s="97"/>
      <c r="J2326" s="97"/>
      <c r="K2326" s="83"/>
      <c r="L2326" s="111"/>
      <c r="M2326" s="111"/>
      <c r="N2326" s="111"/>
      <c r="O2326" s="111"/>
      <c r="P2326" s="111"/>
      <c r="Q2326" s="111"/>
      <c r="R2326" s="111"/>
    </row>
    <row r="2327" spans="2:18" s="108" customFormat="1">
      <c r="B2327" s="109"/>
      <c r="C2327" s="110"/>
      <c r="D2327" s="109"/>
      <c r="E2327" s="109"/>
      <c r="F2327" s="97"/>
      <c r="G2327" s="109"/>
      <c r="H2327" s="109"/>
      <c r="I2327" s="97"/>
      <c r="J2327" s="97"/>
      <c r="K2327" s="83"/>
      <c r="L2327" s="111"/>
      <c r="M2327" s="111"/>
      <c r="N2327" s="111"/>
      <c r="O2327" s="111"/>
      <c r="P2327" s="111"/>
      <c r="Q2327" s="111"/>
      <c r="R2327" s="111"/>
    </row>
    <row r="2328" spans="2:18" s="108" customFormat="1">
      <c r="B2328" s="109"/>
      <c r="C2328" s="110"/>
      <c r="D2328" s="109"/>
      <c r="E2328" s="109"/>
      <c r="F2328" s="97"/>
      <c r="G2328" s="109"/>
      <c r="H2328" s="109"/>
      <c r="I2328" s="97"/>
      <c r="J2328" s="97"/>
      <c r="K2328" s="83"/>
      <c r="L2328" s="111"/>
      <c r="M2328" s="111"/>
      <c r="N2328" s="111"/>
      <c r="O2328" s="111"/>
      <c r="P2328" s="111"/>
      <c r="Q2328" s="111"/>
      <c r="R2328" s="111"/>
    </row>
    <row r="2329" spans="2:18" s="108" customFormat="1">
      <c r="B2329" s="109"/>
      <c r="C2329" s="110"/>
      <c r="D2329" s="109"/>
      <c r="E2329" s="109"/>
      <c r="F2329" s="97"/>
      <c r="G2329" s="109"/>
      <c r="H2329" s="109"/>
      <c r="I2329" s="97"/>
      <c r="J2329" s="97"/>
      <c r="K2329" s="83"/>
      <c r="L2329" s="111"/>
      <c r="M2329" s="111"/>
      <c r="N2329" s="111"/>
      <c r="O2329" s="111"/>
      <c r="P2329" s="111"/>
      <c r="Q2329" s="111"/>
      <c r="R2329" s="111"/>
    </row>
    <row r="2330" spans="2:18" s="108" customFormat="1">
      <c r="B2330" s="109"/>
      <c r="C2330" s="110"/>
      <c r="D2330" s="109"/>
      <c r="E2330" s="109"/>
      <c r="F2330" s="97"/>
      <c r="G2330" s="109"/>
      <c r="H2330" s="109"/>
      <c r="I2330" s="97"/>
      <c r="J2330" s="97"/>
      <c r="K2330" s="83"/>
      <c r="L2330" s="111"/>
      <c r="M2330" s="111"/>
      <c r="N2330" s="111"/>
      <c r="O2330" s="111"/>
      <c r="P2330" s="111"/>
      <c r="Q2330" s="111"/>
      <c r="R2330" s="111"/>
    </row>
    <row r="2331" spans="2:18" s="108" customFormat="1">
      <c r="B2331" s="109"/>
      <c r="C2331" s="110"/>
      <c r="D2331" s="109"/>
      <c r="E2331" s="109"/>
      <c r="F2331" s="97"/>
      <c r="G2331" s="109"/>
      <c r="H2331" s="109"/>
      <c r="I2331" s="97"/>
      <c r="J2331" s="97"/>
      <c r="K2331" s="83"/>
      <c r="L2331" s="111"/>
      <c r="M2331" s="111"/>
      <c r="N2331" s="111"/>
      <c r="O2331" s="111"/>
      <c r="P2331" s="111"/>
      <c r="Q2331" s="111"/>
      <c r="R2331" s="111"/>
    </row>
    <row r="2332" spans="2:18" s="108" customFormat="1">
      <c r="B2332" s="109"/>
      <c r="C2332" s="110"/>
      <c r="D2332" s="109"/>
      <c r="E2332" s="109"/>
      <c r="F2332" s="97"/>
      <c r="G2332" s="109"/>
      <c r="H2332" s="109"/>
      <c r="I2332" s="97"/>
      <c r="J2332" s="97"/>
      <c r="K2332" s="83"/>
      <c r="L2332" s="111"/>
      <c r="M2332" s="111"/>
      <c r="N2332" s="111"/>
      <c r="O2332" s="111"/>
      <c r="P2332" s="111"/>
      <c r="Q2332" s="111"/>
      <c r="R2332" s="111"/>
    </row>
    <row r="2333" spans="2:18" s="108" customFormat="1">
      <c r="B2333" s="109"/>
      <c r="C2333" s="110"/>
      <c r="D2333" s="109"/>
      <c r="E2333" s="109"/>
      <c r="F2333" s="97"/>
      <c r="G2333" s="109"/>
      <c r="H2333" s="109"/>
      <c r="I2333" s="97"/>
      <c r="J2333" s="97"/>
      <c r="K2333" s="83"/>
      <c r="L2333" s="111"/>
      <c r="M2333" s="111"/>
      <c r="N2333" s="111"/>
      <c r="O2333" s="111"/>
      <c r="P2333" s="111"/>
      <c r="Q2333" s="111"/>
      <c r="R2333" s="111"/>
    </row>
    <row r="2334" spans="2:18" s="108" customFormat="1">
      <c r="B2334" s="109"/>
      <c r="C2334" s="110"/>
      <c r="D2334" s="109"/>
      <c r="E2334" s="109"/>
      <c r="F2334" s="97"/>
      <c r="G2334" s="109"/>
      <c r="H2334" s="109"/>
      <c r="I2334" s="97"/>
      <c r="J2334" s="97"/>
      <c r="K2334" s="83"/>
      <c r="L2334" s="111"/>
      <c r="M2334" s="111"/>
      <c r="N2334" s="111"/>
      <c r="O2334" s="111"/>
      <c r="P2334" s="111"/>
      <c r="Q2334" s="111"/>
      <c r="R2334" s="111"/>
    </row>
    <row r="2335" spans="2:18" s="108" customFormat="1">
      <c r="B2335" s="109"/>
      <c r="C2335" s="110"/>
      <c r="D2335" s="109"/>
      <c r="E2335" s="109"/>
      <c r="F2335" s="97"/>
      <c r="G2335" s="109"/>
      <c r="H2335" s="109"/>
      <c r="I2335" s="97"/>
      <c r="J2335" s="97"/>
      <c r="K2335" s="83"/>
      <c r="L2335" s="111"/>
      <c r="M2335" s="111"/>
      <c r="N2335" s="111"/>
      <c r="O2335" s="111"/>
      <c r="P2335" s="111"/>
      <c r="Q2335" s="111"/>
      <c r="R2335" s="111"/>
    </row>
    <row r="2336" spans="2:18" s="108" customFormat="1">
      <c r="B2336" s="109"/>
      <c r="C2336" s="110"/>
      <c r="D2336" s="109"/>
      <c r="E2336" s="109"/>
      <c r="F2336" s="97"/>
      <c r="G2336" s="109"/>
      <c r="H2336" s="109"/>
      <c r="I2336" s="97"/>
      <c r="J2336" s="97"/>
      <c r="K2336" s="83"/>
      <c r="L2336" s="111"/>
      <c r="M2336" s="111"/>
      <c r="N2336" s="111"/>
      <c r="O2336" s="111"/>
      <c r="P2336" s="111"/>
      <c r="Q2336" s="111"/>
      <c r="R2336" s="111"/>
    </row>
    <row r="2337" spans="2:18" s="108" customFormat="1">
      <c r="B2337" s="109"/>
      <c r="C2337" s="110"/>
      <c r="D2337" s="109"/>
      <c r="E2337" s="109"/>
      <c r="F2337" s="97"/>
      <c r="G2337" s="109"/>
      <c r="H2337" s="109"/>
      <c r="I2337" s="97"/>
      <c r="J2337" s="97"/>
      <c r="K2337" s="83"/>
      <c r="L2337" s="111"/>
      <c r="M2337" s="111"/>
      <c r="N2337" s="111"/>
      <c r="O2337" s="111"/>
      <c r="P2337" s="111"/>
      <c r="Q2337" s="111"/>
      <c r="R2337" s="111"/>
    </row>
    <row r="2338" spans="2:18" s="108" customFormat="1">
      <c r="B2338" s="109"/>
      <c r="C2338" s="110"/>
      <c r="D2338" s="109"/>
      <c r="E2338" s="109"/>
      <c r="F2338" s="97"/>
      <c r="G2338" s="109"/>
      <c r="H2338" s="109"/>
      <c r="I2338" s="97"/>
      <c r="J2338" s="97"/>
      <c r="K2338" s="83"/>
      <c r="L2338" s="111"/>
      <c r="M2338" s="111"/>
      <c r="N2338" s="111"/>
      <c r="O2338" s="111"/>
      <c r="P2338" s="111"/>
      <c r="Q2338" s="111"/>
      <c r="R2338" s="111"/>
    </row>
    <row r="2339" spans="2:18" s="108" customFormat="1">
      <c r="B2339" s="109"/>
      <c r="C2339" s="110"/>
      <c r="D2339" s="109"/>
      <c r="E2339" s="109"/>
      <c r="F2339" s="97"/>
      <c r="G2339" s="109"/>
      <c r="H2339" s="109"/>
      <c r="I2339" s="97"/>
      <c r="J2339" s="97"/>
      <c r="K2339" s="83"/>
      <c r="L2339" s="111"/>
      <c r="M2339" s="111"/>
      <c r="N2339" s="111"/>
      <c r="O2339" s="111"/>
      <c r="P2339" s="111"/>
      <c r="Q2339" s="111"/>
      <c r="R2339" s="111"/>
    </row>
    <row r="2340" spans="2:18" s="108" customFormat="1">
      <c r="B2340" s="109"/>
      <c r="C2340" s="110"/>
      <c r="D2340" s="109"/>
      <c r="E2340" s="109"/>
      <c r="F2340" s="97"/>
      <c r="G2340" s="109"/>
      <c r="H2340" s="109"/>
      <c r="I2340" s="97"/>
      <c r="J2340" s="97"/>
      <c r="K2340" s="83"/>
      <c r="L2340" s="111"/>
      <c r="M2340" s="111"/>
      <c r="N2340" s="111"/>
      <c r="O2340" s="111"/>
      <c r="P2340" s="111"/>
      <c r="Q2340" s="111"/>
      <c r="R2340" s="111"/>
    </row>
    <row r="2341" spans="2:18" s="108" customFormat="1">
      <c r="B2341" s="109"/>
      <c r="C2341" s="110"/>
      <c r="D2341" s="109"/>
      <c r="E2341" s="109"/>
      <c r="F2341" s="97"/>
      <c r="G2341" s="109"/>
      <c r="H2341" s="109"/>
      <c r="I2341" s="97"/>
      <c r="J2341" s="97"/>
      <c r="K2341" s="83"/>
      <c r="L2341" s="111"/>
      <c r="M2341" s="111"/>
      <c r="N2341" s="111"/>
      <c r="O2341" s="111"/>
      <c r="P2341" s="111"/>
      <c r="Q2341" s="111"/>
      <c r="R2341" s="111"/>
    </row>
    <row r="2342" spans="2:18" s="108" customFormat="1">
      <c r="B2342" s="109"/>
      <c r="C2342" s="110"/>
      <c r="D2342" s="109"/>
      <c r="E2342" s="109"/>
      <c r="F2342" s="97"/>
      <c r="G2342" s="109"/>
      <c r="H2342" s="109"/>
      <c r="I2342" s="97"/>
      <c r="J2342" s="97"/>
      <c r="K2342" s="83"/>
      <c r="L2342" s="111"/>
      <c r="M2342" s="111"/>
      <c r="N2342" s="111"/>
      <c r="O2342" s="111"/>
      <c r="P2342" s="111"/>
      <c r="Q2342" s="111"/>
      <c r="R2342" s="111"/>
    </row>
    <row r="2343" spans="2:18" s="108" customFormat="1">
      <c r="B2343" s="109"/>
      <c r="C2343" s="110"/>
      <c r="D2343" s="109"/>
      <c r="E2343" s="109"/>
      <c r="F2343" s="97"/>
      <c r="G2343" s="109"/>
      <c r="H2343" s="109"/>
      <c r="I2343" s="97"/>
      <c r="J2343" s="97"/>
      <c r="K2343" s="83"/>
      <c r="L2343" s="111"/>
      <c r="M2343" s="111"/>
      <c r="N2343" s="111"/>
      <c r="O2343" s="111"/>
      <c r="P2343" s="111"/>
      <c r="Q2343" s="111"/>
      <c r="R2343" s="111"/>
    </row>
    <row r="2344" spans="2:18" s="108" customFormat="1">
      <c r="B2344" s="109"/>
      <c r="C2344" s="110"/>
      <c r="D2344" s="109"/>
      <c r="E2344" s="109"/>
      <c r="F2344" s="97"/>
      <c r="G2344" s="109"/>
      <c r="H2344" s="109"/>
      <c r="I2344" s="97"/>
      <c r="J2344" s="97"/>
      <c r="K2344" s="83"/>
      <c r="L2344" s="111"/>
      <c r="M2344" s="111"/>
      <c r="N2344" s="111"/>
      <c r="O2344" s="111"/>
      <c r="P2344" s="111"/>
      <c r="Q2344" s="111"/>
      <c r="R2344" s="111"/>
    </row>
    <row r="2345" spans="2:18" s="108" customFormat="1">
      <c r="B2345" s="109"/>
      <c r="C2345" s="110"/>
      <c r="D2345" s="109"/>
      <c r="E2345" s="109"/>
      <c r="F2345" s="97"/>
      <c r="G2345" s="109"/>
      <c r="H2345" s="109"/>
      <c r="I2345" s="97"/>
      <c r="J2345" s="97"/>
      <c r="K2345" s="83"/>
      <c r="L2345" s="111"/>
      <c r="M2345" s="111"/>
      <c r="N2345" s="111"/>
      <c r="O2345" s="111"/>
      <c r="P2345" s="111"/>
      <c r="Q2345" s="111"/>
      <c r="R2345" s="111"/>
    </row>
    <row r="2346" spans="2:18" s="108" customFormat="1">
      <c r="B2346" s="109"/>
      <c r="C2346" s="110"/>
      <c r="D2346" s="109"/>
      <c r="E2346" s="109"/>
      <c r="F2346" s="97"/>
      <c r="G2346" s="109"/>
      <c r="H2346" s="109"/>
      <c r="I2346" s="97"/>
      <c r="J2346" s="97"/>
      <c r="K2346" s="83"/>
      <c r="L2346" s="111"/>
      <c r="M2346" s="111"/>
      <c r="N2346" s="111"/>
      <c r="O2346" s="111"/>
      <c r="P2346" s="111"/>
      <c r="Q2346" s="111"/>
      <c r="R2346" s="111"/>
    </row>
    <row r="2347" spans="2:18" s="108" customFormat="1">
      <c r="B2347" s="109"/>
      <c r="C2347" s="110"/>
      <c r="D2347" s="109"/>
      <c r="E2347" s="109"/>
      <c r="F2347" s="97"/>
      <c r="G2347" s="109"/>
      <c r="H2347" s="109"/>
      <c r="I2347" s="97"/>
      <c r="J2347" s="97"/>
      <c r="K2347" s="83"/>
      <c r="L2347" s="111"/>
      <c r="M2347" s="111"/>
      <c r="N2347" s="111"/>
      <c r="O2347" s="111"/>
      <c r="P2347" s="111"/>
      <c r="Q2347" s="111"/>
      <c r="R2347" s="111"/>
    </row>
    <row r="2348" spans="2:18" s="108" customFormat="1">
      <c r="B2348" s="109"/>
      <c r="C2348" s="110"/>
      <c r="D2348" s="109"/>
      <c r="E2348" s="109"/>
      <c r="F2348" s="97"/>
      <c r="G2348" s="109"/>
      <c r="H2348" s="109"/>
      <c r="I2348" s="97"/>
      <c r="J2348" s="97"/>
      <c r="K2348" s="83"/>
      <c r="L2348" s="111"/>
      <c r="M2348" s="111"/>
      <c r="N2348" s="111"/>
      <c r="O2348" s="111"/>
      <c r="P2348" s="111"/>
      <c r="Q2348" s="111"/>
      <c r="R2348" s="111"/>
    </row>
    <row r="2349" spans="2:18" s="108" customFormat="1">
      <c r="B2349" s="109"/>
      <c r="C2349" s="110"/>
      <c r="D2349" s="109"/>
      <c r="E2349" s="109"/>
      <c r="F2349" s="97"/>
      <c r="G2349" s="109"/>
      <c r="H2349" s="109"/>
      <c r="I2349" s="97"/>
      <c r="J2349" s="97"/>
      <c r="K2349" s="83"/>
      <c r="L2349" s="111"/>
      <c r="M2349" s="111"/>
      <c r="N2349" s="111"/>
      <c r="O2349" s="111"/>
      <c r="P2349" s="111"/>
      <c r="Q2349" s="111"/>
      <c r="R2349" s="111"/>
    </row>
    <row r="2350" spans="2:18" s="108" customFormat="1">
      <c r="B2350" s="109"/>
      <c r="C2350" s="110"/>
      <c r="D2350" s="109"/>
      <c r="E2350" s="109"/>
      <c r="F2350" s="97"/>
      <c r="G2350" s="109"/>
      <c r="H2350" s="109"/>
      <c r="I2350" s="97"/>
      <c r="J2350" s="97"/>
      <c r="K2350" s="83"/>
      <c r="L2350" s="111"/>
      <c r="M2350" s="111"/>
      <c r="N2350" s="111"/>
      <c r="O2350" s="111"/>
      <c r="P2350" s="111"/>
      <c r="Q2350" s="111"/>
      <c r="R2350" s="111"/>
    </row>
    <row r="2351" spans="2:18" s="108" customFormat="1">
      <c r="B2351" s="109"/>
      <c r="C2351" s="110"/>
      <c r="D2351" s="109"/>
      <c r="E2351" s="109"/>
      <c r="F2351" s="97"/>
      <c r="G2351" s="109"/>
      <c r="H2351" s="109"/>
      <c r="I2351" s="97"/>
      <c r="J2351" s="97"/>
      <c r="K2351" s="83"/>
      <c r="L2351" s="111"/>
      <c r="M2351" s="111"/>
      <c r="N2351" s="111"/>
      <c r="O2351" s="111"/>
      <c r="P2351" s="111"/>
      <c r="Q2351" s="111"/>
      <c r="R2351" s="111"/>
    </row>
    <row r="2352" spans="2:18" s="108" customFormat="1">
      <c r="B2352" s="109"/>
      <c r="C2352" s="110"/>
      <c r="D2352" s="109"/>
      <c r="E2352" s="109"/>
      <c r="F2352" s="97"/>
      <c r="G2352" s="109"/>
      <c r="H2352" s="109"/>
      <c r="I2352" s="97"/>
      <c r="J2352" s="97"/>
      <c r="K2352" s="83"/>
      <c r="L2352" s="111"/>
      <c r="M2352" s="111"/>
      <c r="N2352" s="111"/>
      <c r="O2352" s="111"/>
      <c r="P2352" s="111"/>
      <c r="Q2352" s="111"/>
      <c r="R2352" s="111"/>
    </row>
    <row r="2353" spans="2:18" s="108" customFormat="1">
      <c r="B2353" s="109"/>
      <c r="C2353" s="110"/>
      <c r="D2353" s="109"/>
      <c r="E2353" s="109"/>
      <c r="F2353" s="97"/>
      <c r="G2353" s="109"/>
      <c r="H2353" s="109"/>
      <c r="I2353" s="97"/>
      <c r="J2353" s="97"/>
      <c r="K2353" s="83"/>
      <c r="L2353" s="111"/>
      <c r="M2353" s="111"/>
      <c r="N2353" s="111"/>
      <c r="O2353" s="111"/>
      <c r="P2353" s="111"/>
      <c r="Q2353" s="111"/>
      <c r="R2353" s="111"/>
    </row>
    <row r="2354" spans="2:18" s="108" customFormat="1">
      <c r="B2354" s="109"/>
      <c r="C2354" s="110"/>
      <c r="D2354" s="109"/>
      <c r="E2354" s="109"/>
      <c r="F2354" s="97"/>
      <c r="G2354" s="109"/>
      <c r="H2354" s="109"/>
      <c r="I2354" s="97"/>
      <c r="J2354" s="97"/>
      <c r="K2354" s="83"/>
      <c r="L2354" s="111"/>
      <c r="M2354" s="111"/>
      <c r="N2354" s="111"/>
      <c r="O2354" s="111"/>
      <c r="P2354" s="111"/>
      <c r="Q2354" s="111"/>
      <c r="R2354" s="111"/>
    </row>
    <row r="2355" spans="2:18" s="108" customFormat="1">
      <c r="B2355" s="109"/>
      <c r="C2355" s="110"/>
      <c r="D2355" s="109"/>
      <c r="E2355" s="109"/>
      <c r="F2355" s="97"/>
      <c r="G2355" s="109"/>
      <c r="H2355" s="109"/>
      <c r="I2355" s="97"/>
      <c r="J2355" s="97"/>
      <c r="K2355" s="83"/>
      <c r="L2355" s="111"/>
      <c r="M2355" s="111"/>
      <c r="N2355" s="111"/>
      <c r="O2355" s="111"/>
      <c r="P2355" s="111"/>
      <c r="Q2355" s="111"/>
      <c r="R2355" s="111"/>
    </row>
    <row r="2356" spans="2:18" s="108" customFormat="1">
      <c r="B2356" s="109"/>
      <c r="C2356" s="110"/>
      <c r="D2356" s="109"/>
      <c r="E2356" s="109"/>
      <c r="F2356" s="97"/>
      <c r="G2356" s="109"/>
      <c r="H2356" s="109"/>
      <c r="I2356" s="97"/>
      <c r="J2356" s="97"/>
      <c r="K2356" s="83"/>
      <c r="L2356" s="111"/>
      <c r="M2356" s="111"/>
      <c r="N2356" s="111"/>
      <c r="O2356" s="111"/>
      <c r="P2356" s="111"/>
      <c r="Q2356" s="111"/>
      <c r="R2356" s="111"/>
    </row>
    <row r="2357" spans="2:18" s="108" customFormat="1">
      <c r="B2357" s="109"/>
      <c r="C2357" s="110"/>
      <c r="D2357" s="109"/>
      <c r="E2357" s="109"/>
      <c r="F2357" s="97"/>
      <c r="G2357" s="109"/>
      <c r="H2357" s="109"/>
      <c r="I2357" s="97"/>
      <c r="J2357" s="97"/>
      <c r="K2357" s="83"/>
      <c r="L2357" s="111"/>
      <c r="M2357" s="111"/>
      <c r="N2357" s="111"/>
      <c r="O2357" s="111"/>
      <c r="P2357" s="111"/>
      <c r="Q2357" s="111"/>
      <c r="R2357" s="111"/>
    </row>
    <row r="2358" spans="2:18" s="108" customFormat="1">
      <c r="B2358" s="109"/>
      <c r="C2358" s="110"/>
      <c r="D2358" s="109"/>
      <c r="E2358" s="109"/>
      <c r="F2358" s="97"/>
      <c r="G2358" s="109"/>
      <c r="H2358" s="109"/>
      <c r="I2358" s="97"/>
      <c r="J2358" s="97"/>
      <c r="K2358" s="83"/>
      <c r="L2358" s="111"/>
      <c r="M2358" s="111"/>
      <c r="N2358" s="111"/>
      <c r="O2358" s="111"/>
      <c r="P2358" s="111"/>
      <c r="Q2358" s="111"/>
      <c r="R2358" s="111"/>
    </row>
    <row r="2359" spans="2:18" s="108" customFormat="1">
      <c r="B2359" s="109"/>
      <c r="C2359" s="110"/>
      <c r="D2359" s="109"/>
      <c r="E2359" s="109"/>
      <c r="F2359" s="97"/>
      <c r="G2359" s="109"/>
      <c r="H2359" s="109"/>
      <c r="I2359" s="97"/>
      <c r="J2359" s="97"/>
      <c r="K2359" s="83"/>
      <c r="L2359" s="111"/>
      <c r="M2359" s="111"/>
      <c r="N2359" s="111"/>
      <c r="O2359" s="111"/>
      <c r="P2359" s="111"/>
      <c r="Q2359" s="111"/>
      <c r="R2359" s="111"/>
    </row>
    <row r="2360" spans="2:18" s="108" customFormat="1">
      <c r="B2360" s="109"/>
      <c r="C2360" s="110"/>
      <c r="D2360" s="109"/>
      <c r="E2360" s="109"/>
      <c r="F2360" s="97"/>
      <c r="G2360" s="109"/>
      <c r="H2360" s="109"/>
      <c r="I2360" s="97"/>
      <c r="J2360" s="97"/>
      <c r="K2360" s="83"/>
      <c r="L2360" s="111"/>
      <c r="M2360" s="111"/>
      <c r="N2360" s="111"/>
      <c r="O2360" s="111"/>
      <c r="P2360" s="111"/>
      <c r="Q2360" s="111"/>
      <c r="R2360" s="111"/>
    </row>
    <row r="2361" spans="2:18" s="108" customFormat="1">
      <c r="B2361" s="109"/>
      <c r="C2361" s="110"/>
      <c r="D2361" s="109"/>
      <c r="E2361" s="109"/>
      <c r="F2361" s="97"/>
      <c r="G2361" s="109"/>
      <c r="H2361" s="109"/>
      <c r="I2361" s="97"/>
      <c r="J2361" s="97"/>
      <c r="K2361" s="83"/>
      <c r="L2361" s="111"/>
      <c r="M2361" s="111"/>
      <c r="N2361" s="111"/>
      <c r="O2361" s="111"/>
      <c r="P2361" s="111"/>
      <c r="Q2361" s="111"/>
      <c r="R2361" s="111"/>
    </row>
    <row r="2362" spans="2:18" s="108" customFormat="1">
      <c r="B2362" s="109"/>
      <c r="C2362" s="110"/>
      <c r="D2362" s="109"/>
      <c r="E2362" s="109"/>
      <c r="F2362" s="97"/>
      <c r="G2362" s="109"/>
      <c r="H2362" s="109"/>
      <c r="I2362" s="97"/>
      <c r="J2362" s="97"/>
      <c r="K2362" s="83"/>
      <c r="L2362" s="111"/>
      <c r="M2362" s="111"/>
      <c r="N2362" s="111"/>
      <c r="O2362" s="111"/>
      <c r="P2362" s="111"/>
      <c r="Q2362" s="111"/>
      <c r="R2362" s="111"/>
    </row>
    <row r="2363" spans="2:18" s="108" customFormat="1">
      <c r="B2363" s="109"/>
      <c r="C2363" s="110"/>
      <c r="D2363" s="109"/>
      <c r="E2363" s="109"/>
      <c r="F2363" s="97"/>
      <c r="G2363" s="109"/>
      <c r="H2363" s="109"/>
      <c r="I2363" s="97"/>
      <c r="J2363" s="97"/>
      <c r="K2363" s="83"/>
      <c r="L2363" s="111"/>
      <c r="M2363" s="111"/>
      <c r="N2363" s="111"/>
      <c r="O2363" s="111"/>
      <c r="P2363" s="111"/>
      <c r="Q2363" s="111"/>
      <c r="R2363" s="111"/>
    </row>
    <row r="2364" spans="2:18" s="108" customFormat="1">
      <c r="B2364" s="109"/>
      <c r="C2364" s="110"/>
      <c r="D2364" s="109"/>
      <c r="E2364" s="109"/>
      <c r="F2364" s="97"/>
      <c r="G2364" s="109"/>
      <c r="H2364" s="109"/>
      <c r="I2364" s="97"/>
      <c r="J2364" s="97"/>
      <c r="K2364" s="83"/>
      <c r="L2364" s="111"/>
      <c r="M2364" s="111"/>
      <c r="N2364" s="111"/>
      <c r="O2364" s="111"/>
      <c r="P2364" s="111"/>
      <c r="Q2364" s="111"/>
      <c r="R2364" s="111"/>
    </row>
    <row r="2365" spans="2:18" s="108" customFormat="1">
      <c r="B2365" s="109"/>
      <c r="C2365" s="110"/>
      <c r="D2365" s="109"/>
      <c r="E2365" s="109"/>
      <c r="F2365" s="97"/>
      <c r="G2365" s="109"/>
      <c r="H2365" s="109"/>
      <c r="I2365" s="97"/>
      <c r="J2365" s="97"/>
      <c r="K2365" s="83"/>
      <c r="L2365" s="111"/>
      <c r="M2365" s="111"/>
      <c r="N2365" s="111"/>
      <c r="O2365" s="111"/>
      <c r="P2365" s="111"/>
      <c r="Q2365" s="111"/>
      <c r="R2365" s="111"/>
    </row>
    <row r="2366" spans="2:18" s="108" customFormat="1">
      <c r="B2366" s="109"/>
      <c r="C2366" s="110"/>
      <c r="D2366" s="109"/>
      <c r="E2366" s="109"/>
      <c r="F2366" s="97"/>
      <c r="G2366" s="109"/>
      <c r="H2366" s="109"/>
      <c r="I2366" s="97"/>
      <c r="J2366" s="97"/>
      <c r="K2366" s="83"/>
      <c r="L2366" s="111"/>
      <c r="M2366" s="111"/>
      <c r="N2366" s="111"/>
      <c r="O2366" s="111"/>
      <c r="P2366" s="111"/>
      <c r="Q2366" s="111"/>
      <c r="R2366" s="111"/>
    </row>
    <row r="2367" spans="2:18" s="108" customFormat="1">
      <c r="B2367" s="109"/>
      <c r="C2367" s="110"/>
      <c r="D2367" s="109"/>
      <c r="E2367" s="109"/>
      <c r="F2367" s="97"/>
      <c r="G2367" s="109"/>
      <c r="H2367" s="109"/>
      <c r="I2367" s="97"/>
      <c r="J2367" s="97"/>
      <c r="K2367" s="83"/>
      <c r="L2367" s="111"/>
      <c r="M2367" s="111"/>
      <c r="N2367" s="111"/>
      <c r="O2367" s="111"/>
      <c r="P2367" s="111"/>
      <c r="Q2367" s="111"/>
      <c r="R2367" s="111"/>
    </row>
    <row r="2368" spans="2:18" s="108" customFormat="1">
      <c r="B2368" s="109"/>
      <c r="C2368" s="110"/>
      <c r="D2368" s="109"/>
      <c r="E2368" s="109"/>
      <c r="F2368" s="97"/>
      <c r="G2368" s="109"/>
      <c r="H2368" s="109"/>
      <c r="I2368" s="97"/>
      <c r="J2368" s="97"/>
      <c r="K2368" s="83"/>
      <c r="L2368" s="111"/>
      <c r="M2368" s="111"/>
      <c r="N2368" s="111"/>
      <c r="O2368" s="111"/>
      <c r="P2368" s="111"/>
      <c r="Q2368" s="111"/>
      <c r="R2368" s="111"/>
    </row>
    <row r="2369" spans="2:18" s="108" customFormat="1">
      <c r="B2369" s="109"/>
      <c r="C2369" s="110"/>
      <c r="D2369" s="109"/>
      <c r="E2369" s="109"/>
      <c r="F2369" s="97"/>
      <c r="G2369" s="109"/>
      <c r="H2369" s="109"/>
      <c r="I2369" s="97"/>
      <c r="J2369" s="97"/>
      <c r="K2369" s="83"/>
      <c r="L2369" s="111"/>
      <c r="M2369" s="111"/>
      <c r="N2369" s="111"/>
      <c r="O2369" s="111"/>
      <c r="P2369" s="111"/>
      <c r="Q2369" s="111"/>
      <c r="R2369" s="111"/>
    </row>
    <row r="2370" spans="2:18" s="108" customFormat="1">
      <c r="B2370" s="109"/>
      <c r="C2370" s="110"/>
      <c r="D2370" s="109"/>
      <c r="E2370" s="109"/>
      <c r="F2370" s="97"/>
      <c r="G2370" s="109"/>
      <c r="H2370" s="109"/>
      <c r="I2370" s="97"/>
      <c r="J2370" s="97"/>
      <c r="K2370" s="83"/>
      <c r="L2370" s="111"/>
      <c r="M2370" s="111"/>
      <c r="N2370" s="111"/>
      <c r="O2370" s="111"/>
      <c r="P2370" s="111"/>
      <c r="Q2370" s="111"/>
      <c r="R2370" s="111"/>
    </row>
    <row r="2371" spans="2:18" s="108" customFormat="1">
      <c r="B2371" s="109"/>
      <c r="C2371" s="110"/>
      <c r="D2371" s="109"/>
      <c r="E2371" s="109"/>
      <c r="F2371" s="97"/>
      <c r="G2371" s="109"/>
      <c r="H2371" s="109"/>
      <c r="I2371" s="97"/>
      <c r="J2371" s="97"/>
      <c r="K2371" s="83"/>
      <c r="L2371" s="111"/>
      <c r="M2371" s="111"/>
      <c r="N2371" s="111"/>
      <c r="O2371" s="111"/>
      <c r="P2371" s="111"/>
      <c r="Q2371" s="111"/>
      <c r="R2371" s="111"/>
    </row>
    <row r="2372" spans="2:18" s="108" customFormat="1">
      <c r="B2372" s="109"/>
      <c r="C2372" s="110"/>
      <c r="D2372" s="109"/>
      <c r="E2372" s="109"/>
      <c r="F2372" s="97"/>
      <c r="G2372" s="109"/>
      <c r="H2372" s="109"/>
      <c r="I2372" s="97"/>
      <c r="J2372" s="97"/>
      <c r="K2372" s="83"/>
      <c r="L2372" s="111"/>
      <c r="M2372" s="111"/>
      <c r="N2372" s="111"/>
      <c r="O2372" s="111"/>
      <c r="P2372" s="111"/>
      <c r="Q2372" s="111"/>
      <c r="R2372" s="111"/>
    </row>
    <row r="2373" spans="2:18" s="108" customFormat="1">
      <c r="B2373" s="109"/>
      <c r="C2373" s="110"/>
      <c r="D2373" s="109"/>
      <c r="E2373" s="109"/>
      <c r="F2373" s="97"/>
      <c r="G2373" s="109"/>
      <c r="H2373" s="109"/>
      <c r="I2373" s="97"/>
      <c r="J2373" s="97"/>
      <c r="K2373" s="83"/>
      <c r="L2373" s="111"/>
      <c r="M2373" s="111"/>
      <c r="N2373" s="111"/>
      <c r="O2373" s="111"/>
      <c r="P2373" s="111"/>
      <c r="Q2373" s="111"/>
      <c r="R2373" s="111"/>
    </row>
    <row r="2374" spans="2:18" s="108" customFormat="1">
      <c r="B2374" s="109"/>
      <c r="C2374" s="110"/>
      <c r="D2374" s="109"/>
      <c r="E2374" s="109"/>
      <c r="F2374" s="97"/>
      <c r="G2374" s="109"/>
      <c r="H2374" s="109"/>
      <c r="I2374" s="97"/>
      <c r="J2374" s="97"/>
      <c r="K2374" s="83"/>
      <c r="L2374" s="111"/>
      <c r="M2374" s="111"/>
      <c r="N2374" s="111"/>
      <c r="O2374" s="111"/>
      <c r="P2374" s="111"/>
      <c r="Q2374" s="111"/>
      <c r="R2374" s="111"/>
    </row>
    <row r="2375" spans="2:18" s="108" customFormat="1">
      <c r="B2375" s="109"/>
      <c r="C2375" s="110"/>
      <c r="D2375" s="109"/>
      <c r="E2375" s="109"/>
      <c r="F2375" s="97"/>
      <c r="G2375" s="109"/>
      <c r="H2375" s="109"/>
      <c r="I2375" s="97"/>
      <c r="J2375" s="97"/>
      <c r="K2375" s="83"/>
      <c r="L2375" s="111"/>
      <c r="M2375" s="111"/>
      <c r="N2375" s="111"/>
      <c r="O2375" s="111"/>
      <c r="P2375" s="111"/>
      <c r="Q2375" s="111"/>
      <c r="R2375" s="111"/>
    </row>
    <row r="2376" spans="2:18" s="108" customFormat="1">
      <c r="B2376" s="109"/>
      <c r="C2376" s="110"/>
      <c r="D2376" s="109"/>
      <c r="E2376" s="109"/>
      <c r="F2376" s="97"/>
      <c r="G2376" s="109"/>
      <c r="H2376" s="109"/>
      <c r="I2376" s="97"/>
      <c r="J2376" s="97"/>
      <c r="K2376" s="83"/>
      <c r="L2376" s="111"/>
      <c r="M2376" s="111"/>
      <c r="N2376" s="111"/>
      <c r="O2376" s="111"/>
      <c r="P2376" s="111"/>
      <c r="Q2376" s="111"/>
      <c r="R2376" s="111"/>
    </row>
    <row r="2377" spans="2:18" s="108" customFormat="1">
      <c r="B2377" s="109"/>
      <c r="C2377" s="110"/>
      <c r="D2377" s="109"/>
      <c r="E2377" s="109"/>
      <c r="F2377" s="97"/>
      <c r="G2377" s="109"/>
      <c r="H2377" s="109"/>
      <c r="I2377" s="97"/>
      <c r="J2377" s="97"/>
      <c r="K2377" s="83"/>
      <c r="L2377" s="111"/>
      <c r="M2377" s="111"/>
      <c r="N2377" s="111"/>
      <c r="O2377" s="111"/>
      <c r="P2377" s="111"/>
      <c r="Q2377" s="111"/>
      <c r="R2377" s="111"/>
    </row>
    <row r="2378" spans="2:18" s="108" customFormat="1">
      <c r="B2378" s="109"/>
      <c r="C2378" s="110"/>
      <c r="D2378" s="109"/>
      <c r="E2378" s="109"/>
      <c r="F2378" s="97"/>
      <c r="G2378" s="109"/>
      <c r="H2378" s="109"/>
      <c r="I2378" s="97"/>
      <c r="J2378" s="97"/>
      <c r="K2378" s="83"/>
      <c r="L2378" s="111"/>
      <c r="M2378" s="111"/>
      <c r="N2378" s="111"/>
      <c r="O2378" s="111"/>
      <c r="P2378" s="111"/>
      <c r="Q2378" s="111"/>
      <c r="R2378" s="111"/>
    </row>
    <row r="2379" spans="2:18" s="108" customFormat="1">
      <c r="B2379" s="109"/>
      <c r="C2379" s="110"/>
      <c r="D2379" s="109"/>
      <c r="E2379" s="109"/>
      <c r="F2379" s="97"/>
      <c r="G2379" s="109"/>
      <c r="H2379" s="109"/>
      <c r="I2379" s="97"/>
      <c r="J2379" s="97"/>
      <c r="K2379" s="83"/>
      <c r="L2379" s="111"/>
      <c r="M2379" s="111"/>
      <c r="N2379" s="111"/>
      <c r="O2379" s="111"/>
      <c r="P2379" s="111"/>
      <c r="Q2379" s="111"/>
      <c r="R2379" s="111"/>
    </row>
    <row r="2380" spans="2:18" s="108" customFormat="1">
      <c r="B2380" s="109"/>
      <c r="C2380" s="110"/>
      <c r="D2380" s="109"/>
      <c r="E2380" s="109"/>
      <c r="F2380" s="97"/>
      <c r="G2380" s="109"/>
      <c r="H2380" s="109"/>
      <c r="I2380" s="97"/>
      <c r="J2380" s="97"/>
      <c r="K2380" s="83"/>
      <c r="L2380" s="111"/>
      <c r="M2380" s="111"/>
      <c r="N2380" s="111"/>
      <c r="O2380" s="111"/>
      <c r="P2380" s="111"/>
      <c r="Q2380" s="111"/>
      <c r="R2380" s="111"/>
    </row>
    <row r="2381" spans="2:18" s="108" customFormat="1">
      <c r="B2381" s="109"/>
      <c r="C2381" s="110"/>
      <c r="D2381" s="109"/>
      <c r="E2381" s="109"/>
      <c r="F2381" s="97"/>
      <c r="G2381" s="109"/>
      <c r="H2381" s="109"/>
      <c r="I2381" s="97"/>
      <c r="J2381" s="97"/>
      <c r="K2381" s="83"/>
      <c r="L2381" s="111"/>
      <c r="M2381" s="111"/>
      <c r="N2381" s="111"/>
      <c r="O2381" s="111"/>
      <c r="P2381" s="111"/>
      <c r="Q2381" s="111"/>
      <c r="R2381" s="111"/>
    </row>
    <row r="2382" spans="2:18" s="108" customFormat="1">
      <c r="B2382" s="109"/>
      <c r="C2382" s="110"/>
      <c r="D2382" s="109"/>
      <c r="E2382" s="109"/>
      <c r="F2382" s="97"/>
      <c r="G2382" s="109"/>
      <c r="H2382" s="109"/>
      <c r="I2382" s="97"/>
      <c r="J2382" s="97"/>
      <c r="K2382" s="83"/>
      <c r="L2382" s="111"/>
      <c r="M2382" s="111"/>
      <c r="N2382" s="111"/>
      <c r="O2382" s="111"/>
      <c r="P2382" s="111"/>
      <c r="Q2382" s="111"/>
      <c r="R2382" s="111"/>
    </row>
    <row r="2383" spans="2:18" s="108" customFormat="1">
      <c r="B2383" s="109"/>
      <c r="C2383" s="110"/>
      <c r="D2383" s="109"/>
      <c r="E2383" s="109"/>
      <c r="F2383" s="97"/>
      <c r="G2383" s="109"/>
      <c r="H2383" s="109"/>
      <c r="I2383" s="97"/>
      <c r="J2383" s="97"/>
      <c r="K2383" s="83"/>
      <c r="L2383" s="111"/>
      <c r="M2383" s="111"/>
      <c r="N2383" s="111"/>
      <c r="O2383" s="111"/>
      <c r="P2383" s="111"/>
      <c r="Q2383" s="111"/>
      <c r="R2383" s="111"/>
    </row>
    <row r="2384" spans="2:18" s="108" customFormat="1">
      <c r="B2384" s="109"/>
      <c r="C2384" s="110"/>
      <c r="D2384" s="109"/>
      <c r="E2384" s="109"/>
      <c r="F2384" s="97"/>
      <c r="G2384" s="109"/>
      <c r="H2384" s="109"/>
      <c r="I2384" s="97"/>
      <c r="J2384" s="97"/>
      <c r="K2384" s="83"/>
      <c r="L2384" s="111"/>
      <c r="M2384" s="111"/>
      <c r="N2384" s="111"/>
      <c r="O2384" s="111"/>
      <c r="P2384" s="111"/>
      <c r="Q2384" s="111"/>
      <c r="R2384" s="111"/>
    </row>
    <row r="2385" spans="2:18" s="108" customFormat="1">
      <c r="B2385" s="109"/>
      <c r="C2385" s="110"/>
      <c r="D2385" s="109"/>
      <c r="E2385" s="109"/>
      <c r="F2385" s="97"/>
      <c r="G2385" s="109"/>
      <c r="H2385" s="109"/>
      <c r="I2385" s="97"/>
      <c r="J2385" s="97"/>
      <c r="K2385" s="83"/>
      <c r="L2385" s="111"/>
      <c r="M2385" s="111"/>
      <c r="N2385" s="111"/>
      <c r="O2385" s="111"/>
      <c r="P2385" s="111"/>
      <c r="Q2385" s="111"/>
      <c r="R2385" s="111"/>
    </row>
    <row r="2386" spans="2:18" s="108" customFormat="1">
      <c r="B2386" s="109"/>
      <c r="C2386" s="110"/>
      <c r="D2386" s="109"/>
      <c r="E2386" s="109"/>
      <c r="F2386" s="97"/>
      <c r="G2386" s="109"/>
      <c r="H2386" s="109"/>
      <c r="I2386" s="97"/>
      <c r="J2386" s="97"/>
      <c r="K2386" s="83"/>
      <c r="L2386" s="111"/>
      <c r="M2386" s="111"/>
      <c r="N2386" s="111"/>
      <c r="O2386" s="111"/>
      <c r="P2386" s="111"/>
      <c r="Q2386" s="111"/>
      <c r="R2386" s="111"/>
    </row>
    <row r="2387" spans="2:18" s="108" customFormat="1">
      <c r="B2387" s="109"/>
      <c r="C2387" s="110"/>
      <c r="D2387" s="109"/>
      <c r="E2387" s="109"/>
      <c r="F2387" s="97"/>
      <c r="G2387" s="109"/>
      <c r="H2387" s="109"/>
      <c r="I2387" s="97"/>
      <c r="J2387" s="97"/>
      <c r="K2387" s="83"/>
      <c r="L2387" s="111"/>
      <c r="M2387" s="111"/>
      <c r="N2387" s="111"/>
      <c r="O2387" s="111"/>
      <c r="P2387" s="111"/>
      <c r="Q2387" s="111"/>
      <c r="R2387" s="111"/>
    </row>
    <row r="2388" spans="2:18" s="108" customFormat="1">
      <c r="B2388" s="109"/>
      <c r="C2388" s="110"/>
      <c r="D2388" s="109"/>
      <c r="E2388" s="109"/>
      <c r="F2388" s="97"/>
      <c r="G2388" s="109"/>
      <c r="H2388" s="109"/>
      <c r="I2388" s="97"/>
      <c r="J2388" s="97"/>
      <c r="K2388" s="83"/>
      <c r="L2388" s="111"/>
      <c r="M2388" s="111"/>
      <c r="N2388" s="111"/>
      <c r="O2388" s="111"/>
      <c r="P2388" s="111"/>
      <c r="Q2388" s="111"/>
      <c r="R2388" s="111"/>
    </row>
    <row r="2389" spans="2:18" s="108" customFormat="1">
      <c r="B2389" s="109"/>
      <c r="C2389" s="110"/>
      <c r="D2389" s="109"/>
      <c r="E2389" s="109"/>
      <c r="F2389" s="97"/>
      <c r="G2389" s="109"/>
      <c r="H2389" s="109"/>
      <c r="I2389" s="97"/>
      <c r="J2389" s="97"/>
      <c r="K2389" s="83"/>
      <c r="L2389" s="111"/>
      <c r="M2389" s="111"/>
      <c r="N2389" s="111"/>
      <c r="O2389" s="111"/>
      <c r="P2389" s="111"/>
      <c r="Q2389" s="111"/>
      <c r="R2389" s="111"/>
    </row>
    <row r="2390" spans="2:18" s="108" customFormat="1">
      <c r="B2390" s="109"/>
      <c r="C2390" s="110"/>
      <c r="D2390" s="109"/>
      <c r="E2390" s="109"/>
      <c r="F2390" s="97"/>
      <c r="G2390" s="109"/>
      <c r="H2390" s="109"/>
      <c r="I2390" s="97"/>
      <c r="J2390" s="97"/>
      <c r="K2390" s="83"/>
      <c r="L2390" s="111"/>
      <c r="M2390" s="111"/>
      <c r="N2390" s="111"/>
      <c r="O2390" s="111"/>
      <c r="P2390" s="111"/>
      <c r="Q2390" s="111"/>
      <c r="R2390" s="111"/>
    </row>
    <row r="2391" spans="2:18" s="108" customFormat="1">
      <c r="B2391" s="109"/>
      <c r="C2391" s="110"/>
      <c r="D2391" s="109"/>
      <c r="E2391" s="109"/>
      <c r="F2391" s="97"/>
      <c r="G2391" s="109"/>
      <c r="H2391" s="109"/>
      <c r="I2391" s="97"/>
      <c r="J2391" s="97"/>
      <c r="K2391" s="83"/>
      <c r="L2391" s="111"/>
      <c r="M2391" s="111"/>
      <c r="N2391" s="111"/>
      <c r="O2391" s="111"/>
      <c r="P2391" s="111"/>
      <c r="Q2391" s="111"/>
      <c r="R2391" s="111"/>
    </row>
    <row r="2392" spans="2:18" s="108" customFormat="1">
      <c r="B2392" s="109"/>
      <c r="C2392" s="110"/>
      <c r="D2392" s="109"/>
      <c r="E2392" s="109"/>
      <c r="F2392" s="97"/>
      <c r="G2392" s="109"/>
      <c r="H2392" s="109"/>
      <c r="I2392" s="97"/>
      <c r="J2392" s="97"/>
      <c r="K2392" s="83"/>
      <c r="L2392" s="111"/>
      <c r="M2392" s="111"/>
      <c r="N2392" s="111"/>
      <c r="O2392" s="111"/>
      <c r="P2392" s="111"/>
      <c r="Q2392" s="111"/>
      <c r="R2392" s="111"/>
    </row>
    <row r="2393" spans="2:18" s="108" customFormat="1">
      <c r="B2393" s="109"/>
      <c r="C2393" s="110"/>
      <c r="D2393" s="109"/>
      <c r="E2393" s="109"/>
      <c r="F2393" s="97"/>
      <c r="G2393" s="109"/>
      <c r="H2393" s="109"/>
      <c r="I2393" s="97"/>
      <c r="J2393" s="97"/>
      <c r="K2393" s="83"/>
      <c r="L2393" s="111"/>
      <c r="M2393" s="111"/>
      <c r="N2393" s="111"/>
      <c r="O2393" s="111"/>
      <c r="P2393" s="111"/>
      <c r="Q2393" s="111"/>
      <c r="R2393" s="111"/>
    </row>
    <row r="2394" spans="2:18" s="108" customFormat="1">
      <c r="B2394" s="109"/>
      <c r="C2394" s="110"/>
      <c r="D2394" s="109"/>
      <c r="E2394" s="109"/>
      <c r="F2394" s="97"/>
      <c r="G2394" s="109"/>
      <c r="H2394" s="109"/>
      <c r="I2394" s="97"/>
      <c r="J2394" s="97"/>
      <c r="K2394" s="83"/>
      <c r="L2394" s="111"/>
      <c r="M2394" s="111"/>
      <c r="N2394" s="111"/>
      <c r="O2394" s="111"/>
      <c r="P2394" s="111"/>
      <c r="Q2394" s="111"/>
      <c r="R2394" s="111"/>
    </row>
    <row r="2395" spans="2:18" s="108" customFormat="1">
      <c r="B2395" s="109"/>
      <c r="C2395" s="110"/>
      <c r="D2395" s="109"/>
      <c r="E2395" s="109"/>
      <c r="F2395" s="97"/>
      <c r="G2395" s="109"/>
      <c r="H2395" s="109"/>
      <c r="I2395" s="97"/>
      <c r="J2395" s="97"/>
      <c r="K2395" s="83"/>
      <c r="L2395" s="111"/>
      <c r="M2395" s="111"/>
      <c r="N2395" s="111"/>
      <c r="O2395" s="111"/>
      <c r="P2395" s="111"/>
      <c r="Q2395" s="111"/>
      <c r="R2395" s="111"/>
    </row>
    <row r="2396" spans="2:18" s="108" customFormat="1">
      <c r="B2396" s="109"/>
      <c r="C2396" s="110"/>
      <c r="D2396" s="109"/>
      <c r="E2396" s="109"/>
      <c r="F2396" s="97"/>
      <c r="G2396" s="109"/>
      <c r="H2396" s="109"/>
      <c r="I2396" s="97"/>
      <c r="J2396" s="97"/>
      <c r="K2396" s="83"/>
      <c r="L2396" s="111"/>
      <c r="M2396" s="111"/>
      <c r="N2396" s="111"/>
      <c r="O2396" s="111"/>
      <c r="P2396" s="111"/>
      <c r="Q2396" s="111"/>
      <c r="R2396" s="111"/>
    </row>
    <row r="2397" spans="2:18" s="108" customFormat="1">
      <c r="B2397" s="109"/>
      <c r="C2397" s="110"/>
      <c r="D2397" s="109"/>
      <c r="E2397" s="109"/>
      <c r="F2397" s="97"/>
      <c r="G2397" s="109"/>
      <c r="H2397" s="109"/>
      <c r="I2397" s="97"/>
      <c r="J2397" s="97"/>
      <c r="K2397" s="83"/>
      <c r="L2397" s="111"/>
      <c r="M2397" s="111"/>
      <c r="N2397" s="111"/>
      <c r="O2397" s="111"/>
      <c r="P2397" s="111"/>
      <c r="Q2397" s="111"/>
      <c r="R2397" s="111"/>
    </row>
    <row r="2398" spans="2:18" s="108" customFormat="1">
      <c r="B2398" s="109"/>
      <c r="C2398" s="110"/>
      <c r="D2398" s="109"/>
      <c r="E2398" s="109"/>
      <c r="F2398" s="97"/>
      <c r="G2398" s="109"/>
      <c r="H2398" s="109"/>
      <c r="I2398" s="97"/>
      <c r="J2398" s="97"/>
      <c r="K2398" s="83"/>
      <c r="L2398" s="111"/>
      <c r="M2398" s="111"/>
      <c r="N2398" s="111"/>
      <c r="O2398" s="111"/>
      <c r="P2398" s="111"/>
      <c r="Q2398" s="111"/>
      <c r="R2398" s="111"/>
    </row>
    <row r="2399" spans="2:18" s="108" customFormat="1">
      <c r="B2399" s="109"/>
      <c r="C2399" s="110"/>
      <c r="D2399" s="109"/>
      <c r="E2399" s="109"/>
      <c r="F2399" s="97"/>
      <c r="G2399" s="109"/>
      <c r="H2399" s="109"/>
      <c r="I2399" s="97"/>
      <c r="J2399" s="97"/>
      <c r="K2399" s="83"/>
      <c r="L2399" s="111"/>
      <c r="M2399" s="111"/>
      <c r="N2399" s="111"/>
      <c r="O2399" s="111"/>
      <c r="P2399" s="111"/>
      <c r="Q2399" s="111"/>
      <c r="R2399" s="111"/>
    </row>
    <row r="2400" spans="2:18" s="108" customFormat="1">
      <c r="B2400" s="109"/>
      <c r="C2400" s="110"/>
      <c r="D2400" s="109"/>
      <c r="E2400" s="109"/>
      <c r="F2400" s="97"/>
      <c r="G2400" s="109"/>
      <c r="H2400" s="109"/>
      <c r="I2400" s="97"/>
      <c r="J2400" s="97"/>
      <c r="K2400" s="83"/>
      <c r="L2400" s="111"/>
      <c r="M2400" s="111"/>
      <c r="N2400" s="111"/>
      <c r="O2400" s="111"/>
      <c r="P2400" s="111"/>
      <c r="Q2400" s="111"/>
      <c r="R2400" s="111"/>
    </row>
    <row r="2401" spans="2:18" s="108" customFormat="1">
      <c r="B2401" s="109"/>
      <c r="C2401" s="110"/>
      <c r="D2401" s="109"/>
      <c r="E2401" s="109"/>
      <c r="F2401" s="97"/>
      <c r="G2401" s="109"/>
      <c r="H2401" s="109"/>
      <c r="I2401" s="97"/>
      <c r="J2401" s="97"/>
      <c r="K2401" s="83"/>
      <c r="L2401" s="111"/>
      <c r="M2401" s="111"/>
      <c r="N2401" s="111"/>
      <c r="O2401" s="111"/>
      <c r="P2401" s="111"/>
      <c r="Q2401" s="111"/>
      <c r="R2401" s="111"/>
    </row>
    <row r="2402" spans="2:18" s="108" customFormat="1">
      <c r="B2402" s="109"/>
      <c r="C2402" s="110"/>
      <c r="D2402" s="109"/>
      <c r="E2402" s="109"/>
      <c r="F2402" s="97"/>
      <c r="G2402" s="109"/>
      <c r="H2402" s="109"/>
      <c r="I2402" s="97"/>
      <c r="J2402" s="97"/>
      <c r="K2402" s="83"/>
      <c r="L2402" s="111"/>
      <c r="M2402" s="111"/>
      <c r="N2402" s="111"/>
      <c r="O2402" s="111"/>
      <c r="P2402" s="111"/>
      <c r="Q2402" s="111"/>
      <c r="R2402" s="111"/>
    </row>
    <row r="2403" spans="2:18" s="108" customFormat="1">
      <c r="B2403" s="109"/>
      <c r="C2403" s="110"/>
      <c r="D2403" s="109"/>
      <c r="E2403" s="109"/>
      <c r="F2403" s="97"/>
      <c r="G2403" s="109"/>
      <c r="H2403" s="109"/>
      <c r="I2403" s="97"/>
      <c r="J2403" s="97"/>
      <c r="K2403" s="83"/>
      <c r="L2403" s="111"/>
      <c r="M2403" s="111"/>
      <c r="N2403" s="111"/>
      <c r="O2403" s="111"/>
      <c r="P2403" s="111"/>
      <c r="Q2403" s="111"/>
      <c r="R2403" s="111"/>
    </row>
    <row r="2404" spans="2:18" s="108" customFormat="1">
      <c r="B2404" s="109"/>
      <c r="C2404" s="110"/>
      <c r="D2404" s="109"/>
      <c r="E2404" s="109"/>
      <c r="F2404" s="97"/>
      <c r="G2404" s="109"/>
      <c r="H2404" s="109"/>
      <c r="I2404" s="97"/>
      <c r="J2404" s="97"/>
      <c r="K2404" s="83"/>
      <c r="L2404" s="111"/>
      <c r="M2404" s="111"/>
      <c r="N2404" s="111"/>
      <c r="O2404" s="111"/>
      <c r="P2404" s="111"/>
      <c r="Q2404" s="111"/>
      <c r="R2404" s="111"/>
    </row>
    <row r="2405" spans="2:18" s="108" customFormat="1">
      <c r="B2405" s="109"/>
      <c r="C2405" s="110"/>
      <c r="D2405" s="109"/>
      <c r="E2405" s="109"/>
      <c r="F2405" s="97"/>
      <c r="G2405" s="109"/>
      <c r="H2405" s="109"/>
      <c r="I2405" s="97"/>
      <c r="J2405" s="97"/>
      <c r="K2405" s="83"/>
      <c r="L2405" s="111"/>
      <c r="M2405" s="111"/>
      <c r="N2405" s="111"/>
      <c r="O2405" s="111"/>
      <c r="P2405" s="111"/>
      <c r="Q2405" s="111"/>
      <c r="R2405" s="111"/>
    </row>
    <row r="2406" spans="2:18" s="108" customFormat="1">
      <c r="B2406" s="109"/>
      <c r="C2406" s="110"/>
      <c r="D2406" s="109"/>
      <c r="E2406" s="109"/>
      <c r="F2406" s="97"/>
      <c r="G2406" s="109"/>
      <c r="H2406" s="109"/>
      <c r="I2406" s="97"/>
      <c r="J2406" s="97"/>
      <c r="K2406" s="83"/>
      <c r="L2406" s="111"/>
      <c r="M2406" s="111"/>
      <c r="N2406" s="111"/>
      <c r="O2406" s="111"/>
      <c r="P2406" s="111"/>
      <c r="Q2406" s="111"/>
      <c r="R2406" s="111"/>
    </row>
    <row r="2407" spans="2:18" s="108" customFormat="1">
      <c r="B2407" s="109"/>
      <c r="C2407" s="110"/>
      <c r="D2407" s="109"/>
      <c r="E2407" s="109"/>
      <c r="F2407" s="97"/>
      <c r="G2407" s="109"/>
      <c r="H2407" s="109"/>
      <c r="I2407" s="97"/>
      <c r="J2407" s="97"/>
      <c r="K2407" s="83"/>
      <c r="L2407" s="111"/>
      <c r="M2407" s="111"/>
      <c r="N2407" s="111"/>
      <c r="O2407" s="111"/>
      <c r="P2407" s="111"/>
      <c r="Q2407" s="111"/>
      <c r="R2407" s="111"/>
    </row>
    <row r="2408" spans="2:18" s="108" customFormat="1">
      <c r="B2408" s="109"/>
      <c r="C2408" s="110"/>
      <c r="D2408" s="109"/>
      <c r="E2408" s="109"/>
      <c r="F2408" s="97"/>
      <c r="G2408" s="109"/>
      <c r="H2408" s="109"/>
      <c r="I2408" s="97"/>
      <c r="J2408" s="97"/>
      <c r="K2408" s="83"/>
      <c r="L2408" s="111"/>
      <c r="M2408" s="111"/>
      <c r="N2408" s="111"/>
      <c r="O2408" s="111"/>
      <c r="P2408" s="111"/>
      <c r="Q2408" s="111"/>
      <c r="R2408" s="111"/>
    </row>
    <row r="2409" spans="2:18" s="108" customFormat="1">
      <c r="B2409" s="109"/>
      <c r="C2409" s="110"/>
      <c r="D2409" s="109"/>
      <c r="E2409" s="109"/>
      <c r="F2409" s="97"/>
      <c r="G2409" s="109"/>
      <c r="H2409" s="109"/>
      <c r="I2409" s="97"/>
      <c r="J2409" s="97"/>
      <c r="K2409" s="83"/>
      <c r="L2409" s="111"/>
      <c r="M2409" s="111"/>
      <c r="N2409" s="111"/>
      <c r="O2409" s="111"/>
      <c r="P2409" s="111"/>
      <c r="Q2409" s="111"/>
      <c r="R2409" s="111"/>
    </row>
    <row r="2410" spans="2:18" s="108" customFormat="1">
      <c r="B2410" s="109"/>
      <c r="C2410" s="110"/>
      <c r="D2410" s="109"/>
      <c r="E2410" s="109"/>
      <c r="F2410" s="97"/>
      <c r="G2410" s="109"/>
      <c r="H2410" s="109"/>
      <c r="I2410" s="97"/>
      <c r="J2410" s="97"/>
      <c r="K2410" s="83"/>
      <c r="L2410" s="111"/>
      <c r="M2410" s="111"/>
      <c r="N2410" s="111"/>
      <c r="O2410" s="111"/>
      <c r="P2410" s="111"/>
      <c r="Q2410" s="111"/>
      <c r="R2410" s="111"/>
    </row>
    <row r="2411" spans="2:18" s="108" customFormat="1">
      <c r="B2411" s="109"/>
      <c r="C2411" s="110"/>
      <c r="D2411" s="109"/>
      <c r="E2411" s="109"/>
      <c r="F2411" s="97"/>
      <c r="G2411" s="109"/>
      <c r="H2411" s="109"/>
      <c r="I2411" s="97"/>
      <c r="J2411" s="97"/>
      <c r="K2411" s="83"/>
      <c r="L2411" s="111"/>
      <c r="M2411" s="111"/>
      <c r="N2411" s="111"/>
      <c r="O2411" s="111"/>
      <c r="P2411" s="111"/>
      <c r="Q2411" s="111"/>
      <c r="R2411" s="111"/>
    </row>
    <row r="2412" spans="2:18" s="108" customFormat="1">
      <c r="B2412" s="109"/>
      <c r="C2412" s="110"/>
      <c r="D2412" s="109"/>
      <c r="E2412" s="109"/>
      <c r="F2412" s="97"/>
      <c r="G2412" s="109"/>
      <c r="H2412" s="109"/>
      <c r="I2412" s="97"/>
      <c r="J2412" s="97"/>
      <c r="K2412" s="83"/>
      <c r="L2412" s="111"/>
      <c r="M2412" s="111"/>
      <c r="N2412" s="111"/>
      <c r="O2412" s="111"/>
      <c r="P2412" s="111"/>
      <c r="Q2412" s="111"/>
      <c r="R2412" s="111"/>
    </row>
    <row r="2413" spans="2:18" s="108" customFormat="1">
      <c r="B2413" s="109"/>
      <c r="C2413" s="110"/>
      <c r="D2413" s="109"/>
      <c r="E2413" s="109"/>
      <c r="F2413" s="97"/>
      <c r="G2413" s="109"/>
      <c r="H2413" s="109"/>
      <c r="I2413" s="97"/>
      <c r="J2413" s="97"/>
      <c r="K2413" s="83"/>
      <c r="L2413" s="111"/>
      <c r="M2413" s="111"/>
      <c r="N2413" s="111"/>
      <c r="O2413" s="111"/>
      <c r="P2413" s="111"/>
      <c r="Q2413" s="111"/>
      <c r="R2413" s="111"/>
    </row>
    <row r="2414" spans="2:18" s="108" customFormat="1">
      <c r="B2414" s="109"/>
      <c r="C2414" s="110"/>
      <c r="D2414" s="109"/>
      <c r="E2414" s="109"/>
      <c r="F2414" s="97"/>
      <c r="G2414" s="109"/>
      <c r="H2414" s="109"/>
      <c r="I2414" s="97"/>
      <c r="J2414" s="97"/>
      <c r="K2414" s="83"/>
      <c r="L2414" s="111"/>
      <c r="M2414" s="111"/>
      <c r="N2414" s="111"/>
      <c r="O2414" s="111"/>
      <c r="P2414" s="111"/>
      <c r="Q2414" s="111"/>
      <c r="R2414" s="111"/>
    </row>
    <row r="2415" spans="2:18" s="108" customFormat="1">
      <c r="B2415" s="109"/>
      <c r="C2415" s="110"/>
      <c r="D2415" s="109"/>
      <c r="E2415" s="109"/>
      <c r="F2415" s="97"/>
      <c r="G2415" s="109"/>
      <c r="H2415" s="109"/>
      <c r="I2415" s="97"/>
      <c r="J2415" s="97"/>
      <c r="K2415" s="83"/>
      <c r="L2415" s="111"/>
      <c r="M2415" s="111"/>
      <c r="N2415" s="111"/>
      <c r="O2415" s="111"/>
      <c r="P2415" s="111"/>
      <c r="Q2415" s="111"/>
      <c r="R2415" s="111"/>
    </row>
    <row r="2416" spans="2:18" s="108" customFormat="1">
      <c r="B2416" s="109"/>
      <c r="C2416" s="110"/>
      <c r="D2416" s="109"/>
      <c r="E2416" s="109"/>
      <c r="F2416" s="97"/>
      <c r="G2416" s="109"/>
      <c r="H2416" s="109"/>
      <c r="I2416" s="97"/>
      <c r="J2416" s="97"/>
      <c r="K2416" s="83"/>
      <c r="L2416" s="111"/>
      <c r="M2416" s="111"/>
      <c r="N2416" s="111"/>
      <c r="O2416" s="111"/>
      <c r="P2416" s="111"/>
      <c r="Q2416" s="111"/>
      <c r="R2416" s="111"/>
    </row>
    <row r="2417" spans="2:18" s="108" customFormat="1">
      <c r="B2417" s="109"/>
      <c r="C2417" s="110"/>
      <c r="D2417" s="109"/>
      <c r="E2417" s="109"/>
      <c r="F2417" s="97"/>
      <c r="G2417" s="109"/>
      <c r="H2417" s="109"/>
      <c r="I2417" s="97"/>
      <c r="J2417" s="97"/>
      <c r="K2417" s="83"/>
      <c r="L2417" s="111"/>
      <c r="M2417" s="111"/>
      <c r="N2417" s="111"/>
      <c r="O2417" s="111"/>
      <c r="P2417" s="111"/>
      <c r="Q2417" s="111"/>
      <c r="R2417" s="111"/>
    </row>
    <row r="2418" spans="2:18" s="108" customFormat="1">
      <c r="B2418" s="109"/>
      <c r="C2418" s="110"/>
      <c r="D2418" s="109"/>
      <c r="E2418" s="109"/>
      <c r="F2418" s="97"/>
      <c r="G2418" s="109"/>
      <c r="H2418" s="109"/>
      <c r="I2418" s="97"/>
      <c r="J2418" s="97"/>
      <c r="K2418" s="83"/>
      <c r="L2418" s="111"/>
      <c r="M2418" s="111"/>
      <c r="N2418" s="111"/>
      <c r="O2418" s="111"/>
      <c r="P2418" s="111"/>
      <c r="Q2418" s="111"/>
      <c r="R2418" s="111"/>
    </row>
    <row r="2419" spans="2:18" s="108" customFormat="1">
      <c r="B2419" s="109"/>
      <c r="C2419" s="110"/>
      <c r="D2419" s="109"/>
      <c r="E2419" s="109"/>
      <c r="F2419" s="97"/>
      <c r="G2419" s="109"/>
      <c r="H2419" s="109"/>
      <c r="I2419" s="97"/>
      <c r="J2419" s="97"/>
      <c r="K2419" s="83"/>
      <c r="L2419" s="111"/>
      <c r="M2419" s="111"/>
      <c r="N2419" s="111"/>
      <c r="O2419" s="111"/>
      <c r="P2419" s="111"/>
      <c r="Q2419" s="111"/>
      <c r="R2419" s="111"/>
    </row>
    <row r="2420" spans="2:18" s="108" customFormat="1">
      <c r="B2420" s="109"/>
      <c r="C2420" s="110"/>
      <c r="D2420" s="109"/>
      <c r="E2420" s="109"/>
      <c r="F2420" s="97"/>
      <c r="G2420" s="109"/>
      <c r="H2420" s="109"/>
      <c r="I2420" s="97"/>
      <c r="J2420" s="97"/>
      <c r="K2420" s="83"/>
      <c r="L2420" s="111"/>
      <c r="M2420" s="111"/>
      <c r="N2420" s="111"/>
      <c r="O2420" s="111"/>
      <c r="P2420" s="111"/>
      <c r="Q2420" s="111"/>
      <c r="R2420" s="111"/>
    </row>
    <row r="2421" spans="2:18" s="108" customFormat="1">
      <c r="B2421" s="109"/>
      <c r="C2421" s="110"/>
      <c r="D2421" s="109"/>
      <c r="E2421" s="109"/>
      <c r="F2421" s="97"/>
      <c r="G2421" s="109"/>
      <c r="H2421" s="109"/>
      <c r="I2421" s="97"/>
      <c r="J2421" s="97"/>
      <c r="K2421" s="83"/>
      <c r="L2421" s="111"/>
      <c r="M2421" s="111"/>
      <c r="N2421" s="111"/>
      <c r="O2421" s="111"/>
      <c r="P2421" s="111"/>
      <c r="Q2421" s="111"/>
      <c r="R2421" s="111"/>
    </row>
    <row r="2422" spans="2:18" s="108" customFormat="1">
      <c r="B2422" s="109"/>
      <c r="C2422" s="110"/>
      <c r="D2422" s="109"/>
      <c r="E2422" s="109"/>
      <c r="F2422" s="97"/>
      <c r="G2422" s="109"/>
      <c r="H2422" s="109"/>
      <c r="I2422" s="97"/>
      <c r="J2422" s="97"/>
      <c r="K2422" s="83"/>
      <c r="L2422" s="111"/>
      <c r="M2422" s="111"/>
      <c r="N2422" s="111"/>
      <c r="O2422" s="111"/>
      <c r="P2422" s="111"/>
      <c r="Q2422" s="111"/>
      <c r="R2422" s="111"/>
    </row>
    <row r="2423" spans="2:18" s="108" customFormat="1">
      <c r="B2423" s="109"/>
      <c r="C2423" s="110"/>
      <c r="D2423" s="109"/>
      <c r="E2423" s="109"/>
      <c r="F2423" s="97"/>
      <c r="G2423" s="109"/>
      <c r="H2423" s="109"/>
      <c r="I2423" s="97"/>
      <c r="J2423" s="97"/>
      <c r="K2423" s="83"/>
      <c r="L2423" s="111"/>
      <c r="M2423" s="111"/>
      <c r="N2423" s="111"/>
      <c r="O2423" s="111"/>
      <c r="P2423" s="111"/>
      <c r="Q2423" s="111"/>
      <c r="R2423" s="111"/>
    </row>
    <row r="2424" spans="2:18" s="108" customFormat="1">
      <c r="B2424" s="109"/>
      <c r="C2424" s="110"/>
      <c r="D2424" s="109"/>
      <c r="E2424" s="109"/>
      <c r="F2424" s="97"/>
      <c r="G2424" s="109"/>
      <c r="H2424" s="109"/>
      <c r="I2424" s="97"/>
      <c r="J2424" s="97"/>
      <c r="K2424" s="83"/>
      <c r="L2424" s="111"/>
      <c r="M2424" s="111"/>
      <c r="N2424" s="111"/>
      <c r="O2424" s="111"/>
      <c r="P2424" s="111"/>
      <c r="Q2424" s="111"/>
      <c r="R2424" s="111"/>
    </row>
    <row r="2425" spans="2:18" s="108" customFormat="1">
      <c r="B2425" s="109"/>
      <c r="C2425" s="110"/>
      <c r="D2425" s="109"/>
      <c r="E2425" s="109"/>
      <c r="F2425" s="97"/>
      <c r="G2425" s="109"/>
      <c r="H2425" s="109"/>
      <c r="I2425" s="97"/>
      <c r="J2425" s="97"/>
      <c r="K2425" s="83"/>
      <c r="L2425" s="111"/>
      <c r="M2425" s="111"/>
      <c r="N2425" s="111"/>
      <c r="O2425" s="111"/>
      <c r="P2425" s="111"/>
      <c r="Q2425" s="111"/>
      <c r="R2425" s="111"/>
    </row>
    <row r="2426" spans="2:18" s="108" customFormat="1">
      <c r="B2426" s="109"/>
      <c r="C2426" s="110"/>
      <c r="D2426" s="109"/>
      <c r="E2426" s="109"/>
      <c r="F2426" s="97"/>
      <c r="G2426" s="109"/>
      <c r="H2426" s="109"/>
      <c r="I2426" s="97"/>
      <c r="J2426" s="97"/>
      <c r="K2426" s="83"/>
      <c r="L2426" s="111"/>
      <c r="M2426" s="111"/>
      <c r="N2426" s="111"/>
      <c r="O2426" s="111"/>
      <c r="P2426" s="111"/>
      <c r="Q2426" s="111"/>
      <c r="R2426" s="111"/>
    </row>
    <row r="2427" spans="2:18" s="108" customFormat="1">
      <c r="B2427" s="109"/>
      <c r="C2427" s="110"/>
      <c r="D2427" s="109"/>
      <c r="E2427" s="109"/>
      <c r="F2427" s="97"/>
      <c r="G2427" s="109"/>
      <c r="H2427" s="109"/>
      <c r="I2427" s="97"/>
      <c r="J2427" s="97"/>
      <c r="K2427" s="83"/>
      <c r="L2427" s="111"/>
      <c r="M2427" s="111"/>
      <c r="N2427" s="111"/>
      <c r="O2427" s="111"/>
      <c r="P2427" s="111"/>
      <c r="Q2427" s="111"/>
      <c r="R2427" s="111"/>
    </row>
    <row r="2428" spans="2:18" s="108" customFormat="1">
      <c r="B2428" s="109"/>
      <c r="C2428" s="110"/>
      <c r="D2428" s="109"/>
      <c r="E2428" s="109"/>
      <c r="F2428" s="97"/>
      <c r="G2428" s="109"/>
      <c r="H2428" s="109"/>
      <c r="I2428" s="97"/>
      <c r="J2428" s="97"/>
      <c r="K2428" s="83"/>
      <c r="L2428" s="111"/>
      <c r="M2428" s="111"/>
      <c r="N2428" s="111"/>
      <c r="O2428" s="111"/>
      <c r="P2428" s="111"/>
      <c r="Q2428" s="111"/>
      <c r="R2428" s="111"/>
    </row>
    <row r="2429" spans="2:18" s="108" customFormat="1">
      <c r="B2429" s="109"/>
      <c r="C2429" s="110"/>
      <c r="D2429" s="109"/>
      <c r="E2429" s="109"/>
      <c r="F2429" s="97"/>
      <c r="G2429" s="109"/>
      <c r="H2429" s="109"/>
      <c r="I2429" s="97"/>
      <c r="J2429" s="97"/>
      <c r="K2429" s="83"/>
      <c r="L2429" s="111"/>
      <c r="M2429" s="111"/>
      <c r="N2429" s="111"/>
      <c r="O2429" s="111"/>
      <c r="P2429" s="111"/>
      <c r="Q2429" s="111"/>
      <c r="R2429" s="111"/>
    </row>
    <row r="2430" spans="2:18" s="108" customFormat="1">
      <c r="B2430" s="109"/>
      <c r="C2430" s="110"/>
      <c r="D2430" s="109"/>
      <c r="E2430" s="109"/>
      <c r="F2430" s="97"/>
      <c r="G2430" s="109"/>
      <c r="H2430" s="109"/>
      <c r="I2430" s="97"/>
      <c r="J2430" s="97"/>
      <c r="K2430" s="83"/>
      <c r="L2430" s="111"/>
      <c r="M2430" s="111"/>
      <c r="N2430" s="111"/>
      <c r="O2430" s="111"/>
      <c r="P2430" s="111"/>
      <c r="Q2430" s="111"/>
      <c r="R2430" s="111"/>
    </row>
    <row r="2431" spans="2:18" s="108" customFormat="1">
      <c r="B2431" s="109"/>
      <c r="C2431" s="110"/>
      <c r="D2431" s="109"/>
      <c r="E2431" s="109"/>
      <c r="F2431" s="97"/>
      <c r="G2431" s="109"/>
      <c r="H2431" s="109"/>
      <c r="I2431" s="97"/>
      <c r="J2431" s="97"/>
      <c r="K2431" s="83"/>
      <c r="L2431" s="111"/>
      <c r="M2431" s="111"/>
      <c r="N2431" s="111"/>
      <c r="O2431" s="111"/>
      <c r="P2431" s="111"/>
      <c r="Q2431" s="111"/>
      <c r="R2431" s="111"/>
    </row>
    <row r="2432" spans="2:18" s="108" customFormat="1">
      <c r="B2432" s="109"/>
      <c r="C2432" s="110"/>
      <c r="D2432" s="109"/>
      <c r="E2432" s="109"/>
      <c r="F2432" s="97"/>
      <c r="G2432" s="109"/>
      <c r="H2432" s="109"/>
      <c r="I2432" s="97"/>
      <c r="J2432" s="97"/>
      <c r="K2432" s="83"/>
      <c r="L2432" s="111"/>
      <c r="M2432" s="111"/>
      <c r="N2432" s="111"/>
      <c r="O2432" s="111"/>
      <c r="P2432" s="111"/>
      <c r="Q2432" s="111"/>
      <c r="R2432" s="111"/>
    </row>
    <row r="2433" spans="2:18" s="108" customFormat="1">
      <c r="B2433" s="109"/>
      <c r="C2433" s="110"/>
      <c r="D2433" s="109"/>
      <c r="E2433" s="109"/>
      <c r="F2433" s="97"/>
      <c r="G2433" s="109"/>
      <c r="H2433" s="109"/>
      <c r="I2433" s="97"/>
      <c r="J2433" s="97"/>
      <c r="K2433" s="83"/>
      <c r="L2433" s="111"/>
      <c r="M2433" s="111"/>
      <c r="N2433" s="111"/>
      <c r="O2433" s="111"/>
      <c r="P2433" s="111"/>
      <c r="Q2433" s="111"/>
      <c r="R2433" s="111"/>
    </row>
    <row r="2434" spans="2:18" s="108" customFormat="1">
      <c r="B2434" s="109"/>
      <c r="C2434" s="110"/>
      <c r="D2434" s="109"/>
      <c r="E2434" s="109"/>
      <c r="F2434" s="97"/>
      <c r="G2434" s="109"/>
      <c r="H2434" s="109"/>
      <c r="I2434" s="97"/>
      <c r="J2434" s="97"/>
      <c r="K2434" s="83"/>
      <c r="L2434" s="111"/>
      <c r="M2434" s="111"/>
      <c r="N2434" s="111"/>
      <c r="O2434" s="111"/>
      <c r="P2434" s="111"/>
      <c r="Q2434" s="111"/>
      <c r="R2434" s="111"/>
    </row>
    <row r="2435" spans="2:18" s="108" customFormat="1">
      <c r="B2435" s="109"/>
      <c r="C2435" s="110"/>
      <c r="D2435" s="109"/>
      <c r="E2435" s="109"/>
      <c r="F2435" s="97"/>
      <c r="G2435" s="109"/>
      <c r="H2435" s="109"/>
      <c r="I2435" s="97"/>
      <c r="J2435" s="97"/>
      <c r="K2435" s="83"/>
      <c r="L2435" s="111"/>
      <c r="M2435" s="111"/>
      <c r="N2435" s="111"/>
      <c r="O2435" s="111"/>
      <c r="P2435" s="111"/>
      <c r="Q2435" s="111"/>
      <c r="R2435" s="111"/>
    </row>
    <row r="2436" spans="2:18" s="108" customFormat="1">
      <c r="B2436" s="109"/>
      <c r="C2436" s="110"/>
      <c r="D2436" s="109"/>
      <c r="E2436" s="109"/>
      <c r="F2436" s="97"/>
      <c r="G2436" s="109"/>
      <c r="H2436" s="109"/>
      <c r="I2436" s="97"/>
      <c r="J2436" s="97"/>
      <c r="K2436" s="83"/>
      <c r="L2436" s="111"/>
      <c r="M2436" s="111"/>
      <c r="N2436" s="111"/>
      <c r="O2436" s="111"/>
      <c r="P2436" s="111"/>
      <c r="Q2436" s="111"/>
      <c r="R2436" s="111"/>
    </row>
    <row r="2437" spans="2:18" s="108" customFormat="1">
      <c r="B2437" s="109"/>
      <c r="C2437" s="110"/>
      <c r="D2437" s="109"/>
      <c r="E2437" s="109"/>
      <c r="F2437" s="97"/>
      <c r="G2437" s="109"/>
      <c r="H2437" s="109"/>
      <c r="I2437" s="97"/>
      <c r="J2437" s="97"/>
      <c r="K2437" s="83"/>
      <c r="L2437" s="111"/>
      <c r="M2437" s="111"/>
      <c r="N2437" s="111"/>
      <c r="O2437" s="111"/>
      <c r="P2437" s="111"/>
      <c r="Q2437" s="111"/>
      <c r="R2437" s="111"/>
    </row>
    <row r="2438" spans="2:18" s="108" customFormat="1">
      <c r="B2438" s="109"/>
      <c r="C2438" s="110"/>
      <c r="D2438" s="109"/>
      <c r="E2438" s="109"/>
      <c r="F2438" s="97"/>
      <c r="G2438" s="109"/>
      <c r="H2438" s="109"/>
      <c r="I2438" s="97"/>
      <c r="J2438" s="97"/>
      <c r="K2438" s="83"/>
      <c r="L2438" s="111"/>
      <c r="M2438" s="111"/>
      <c r="N2438" s="111"/>
      <c r="O2438" s="111"/>
      <c r="P2438" s="111"/>
      <c r="Q2438" s="111"/>
      <c r="R2438" s="111"/>
    </row>
    <row r="2439" spans="2:18" s="108" customFormat="1">
      <c r="B2439" s="109"/>
      <c r="C2439" s="110"/>
      <c r="D2439" s="109"/>
      <c r="E2439" s="109"/>
      <c r="F2439" s="97"/>
      <c r="G2439" s="109"/>
      <c r="H2439" s="109"/>
      <c r="I2439" s="97"/>
      <c r="J2439" s="97"/>
      <c r="K2439" s="83"/>
      <c r="L2439" s="111"/>
      <c r="M2439" s="111"/>
      <c r="N2439" s="111"/>
      <c r="O2439" s="111"/>
      <c r="P2439" s="111"/>
      <c r="Q2439" s="111"/>
      <c r="R2439" s="111"/>
    </row>
    <row r="2440" spans="2:18" s="108" customFormat="1">
      <c r="B2440" s="109"/>
      <c r="C2440" s="110"/>
      <c r="D2440" s="109"/>
      <c r="E2440" s="109"/>
      <c r="F2440" s="97"/>
      <c r="G2440" s="109"/>
      <c r="H2440" s="109"/>
      <c r="I2440" s="97"/>
      <c r="J2440" s="97"/>
      <c r="K2440" s="83"/>
      <c r="L2440" s="111"/>
      <c r="M2440" s="111"/>
      <c r="N2440" s="111"/>
      <c r="O2440" s="111"/>
      <c r="P2440" s="111"/>
      <c r="Q2440" s="111"/>
      <c r="R2440" s="111"/>
    </row>
    <row r="2441" spans="2:18" s="108" customFormat="1">
      <c r="B2441" s="109"/>
      <c r="C2441" s="110"/>
      <c r="D2441" s="109"/>
      <c r="E2441" s="109"/>
      <c r="F2441" s="97"/>
      <c r="G2441" s="109"/>
      <c r="H2441" s="109"/>
      <c r="I2441" s="97"/>
      <c r="J2441" s="97"/>
      <c r="K2441" s="83"/>
      <c r="L2441" s="111"/>
      <c r="M2441" s="111"/>
      <c r="N2441" s="111"/>
      <c r="O2441" s="111"/>
      <c r="P2441" s="111"/>
      <c r="Q2441" s="111"/>
      <c r="R2441" s="111"/>
    </row>
    <row r="2442" spans="2:18" s="108" customFormat="1">
      <c r="B2442" s="109"/>
      <c r="C2442" s="110"/>
      <c r="D2442" s="109"/>
      <c r="E2442" s="109"/>
      <c r="F2442" s="97"/>
      <c r="G2442" s="109"/>
      <c r="H2442" s="109"/>
      <c r="I2442" s="97"/>
      <c r="J2442" s="97"/>
      <c r="K2442" s="83"/>
      <c r="L2442" s="111"/>
      <c r="M2442" s="111"/>
      <c r="N2442" s="111"/>
      <c r="O2442" s="111"/>
      <c r="P2442" s="111"/>
      <c r="Q2442" s="111"/>
      <c r="R2442" s="111"/>
    </row>
    <row r="2443" spans="2:18" s="108" customFormat="1">
      <c r="B2443" s="109"/>
      <c r="C2443" s="110"/>
      <c r="D2443" s="109"/>
      <c r="E2443" s="109"/>
      <c r="F2443" s="97"/>
      <c r="G2443" s="109"/>
      <c r="H2443" s="109"/>
      <c r="I2443" s="97"/>
      <c r="J2443" s="97"/>
      <c r="K2443" s="83"/>
      <c r="L2443" s="111"/>
      <c r="M2443" s="111"/>
      <c r="N2443" s="111"/>
      <c r="O2443" s="111"/>
      <c r="P2443" s="111"/>
      <c r="Q2443" s="111"/>
      <c r="R2443" s="111"/>
    </row>
    <row r="2444" spans="2:18" s="108" customFormat="1">
      <c r="B2444" s="109"/>
      <c r="C2444" s="110"/>
      <c r="D2444" s="109"/>
      <c r="E2444" s="109"/>
      <c r="F2444" s="97"/>
      <c r="G2444" s="109"/>
      <c r="H2444" s="109"/>
      <c r="I2444" s="97"/>
      <c r="J2444" s="97"/>
      <c r="K2444" s="83"/>
      <c r="L2444" s="111"/>
      <c r="M2444" s="111"/>
      <c r="N2444" s="111"/>
      <c r="O2444" s="111"/>
      <c r="P2444" s="111"/>
      <c r="Q2444" s="111"/>
      <c r="R2444" s="111"/>
    </row>
    <row r="2445" spans="2:18" s="108" customFormat="1">
      <c r="B2445" s="109"/>
      <c r="C2445" s="110"/>
      <c r="D2445" s="109"/>
      <c r="E2445" s="109"/>
      <c r="F2445" s="97"/>
      <c r="G2445" s="109"/>
      <c r="H2445" s="109"/>
      <c r="I2445" s="97"/>
      <c r="J2445" s="97"/>
      <c r="K2445" s="83"/>
      <c r="L2445" s="111"/>
      <c r="M2445" s="111"/>
      <c r="N2445" s="111"/>
      <c r="O2445" s="111"/>
      <c r="P2445" s="111"/>
      <c r="Q2445" s="111"/>
      <c r="R2445" s="111"/>
    </row>
    <row r="2446" spans="2:18" s="108" customFormat="1">
      <c r="B2446" s="109"/>
      <c r="C2446" s="110"/>
      <c r="D2446" s="109"/>
      <c r="E2446" s="109"/>
      <c r="F2446" s="97"/>
      <c r="G2446" s="109"/>
      <c r="H2446" s="109"/>
      <c r="I2446" s="97"/>
      <c r="J2446" s="97"/>
      <c r="K2446" s="83"/>
      <c r="L2446" s="111"/>
      <c r="M2446" s="111"/>
      <c r="N2446" s="111"/>
      <c r="O2446" s="111"/>
      <c r="P2446" s="111"/>
      <c r="Q2446" s="111"/>
      <c r="R2446" s="111"/>
    </row>
    <row r="2447" spans="2:18" s="108" customFormat="1">
      <c r="B2447" s="109"/>
      <c r="C2447" s="110"/>
      <c r="D2447" s="109"/>
      <c r="E2447" s="109"/>
      <c r="F2447" s="97"/>
      <c r="G2447" s="109"/>
      <c r="H2447" s="109"/>
      <c r="I2447" s="97"/>
      <c r="J2447" s="97"/>
      <c r="K2447" s="83"/>
      <c r="L2447" s="111"/>
      <c r="M2447" s="111"/>
      <c r="N2447" s="111"/>
      <c r="O2447" s="111"/>
      <c r="P2447" s="111"/>
      <c r="Q2447" s="111"/>
      <c r="R2447" s="111"/>
    </row>
    <row r="2448" spans="2:18" s="108" customFormat="1">
      <c r="B2448" s="109"/>
      <c r="C2448" s="110"/>
      <c r="D2448" s="109"/>
      <c r="E2448" s="109"/>
      <c r="F2448" s="97"/>
      <c r="G2448" s="109"/>
      <c r="H2448" s="109"/>
      <c r="I2448" s="97"/>
      <c r="J2448" s="97"/>
      <c r="K2448" s="83"/>
      <c r="L2448" s="111"/>
      <c r="M2448" s="111"/>
      <c r="N2448" s="111"/>
      <c r="O2448" s="111"/>
      <c r="P2448" s="111"/>
      <c r="Q2448" s="111"/>
      <c r="R2448" s="111"/>
    </row>
    <row r="2449" spans="2:18" s="108" customFormat="1">
      <c r="B2449" s="109"/>
      <c r="C2449" s="110"/>
      <c r="D2449" s="109"/>
      <c r="E2449" s="109"/>
      <c r="F2449" s="97"/>
      <c r="G2449" s="109"/>
      <c r="H2449" s="109"/>
      <c r="I2449" s="97"/>
      <c r="J2449" s="97"/>
      <c r="K2449" s="83"/>
      <c r="L2449" s="111"/>
      <c r="M2449" s="111"/>
      <c r="N2449" s="111"/>
      <c r="O2449" s="111"/>
      <c r="P2449" s="111"/>
      <c r="Q2449" s="111"/>
      <c r="R2449" s="111"/>
    </row>
    <row r="2450" spans="2:18" s="108" customFormat="1">
      <c r="B2450" s="109"/>
      <c r="C2450" s="110"/>
      <c r="D2450" s="109"/>
      <c r="E2450" s="109"/>
      <c r="F2450" s="97"/>
      <c r="G2450" s="109"/>
      <c r="H2450" s="109"/>
      <c r="I2450" s="97"/>
      <c r="J2450" s="97"/>
      <c r="K2450" s="83"/>
      <c r="L2450" s="111"/>
      <c r="M2450" s="111"/>
      <c r="N2450" s="111"/>
      <c r="O2450" s="111"/>
      <c r="P2450" s="111"/>
      <c r="Q2450" s="111"/>
      <c r="R2450" s="111"/>
    </row>
    <row r="2451" spans="2:18" s="108" customFormat="1">
      <c r="B2451" s="109"/>
      <c r="C2451" s="110"/>
      <c r="D2451" s="109"/>
      <c r="E2451" s="109"/>
      <c r="F2451" s="97"/>
      <c r="G2451" s="109"/>
      <c r="H2451" s="109"/>
      <c r="I2451" s="97"/>
      <c r="J2451" s="97"/>
      <c r="K2451" s="83"/>
      <c r="L2451" s="111"/>
      <c r="M2451" s="111"/>
      <c r="N2451" s="111"/>
      <c r="O2451" s="111"/>
      <c r="P2451" s="111"/>
      <c r="Q2451" s="111"/>
      <c r="R2451" s="111"/>
    </row>
    <row r="2452" spans="2:18" s="108" customFormat="1">
      <c r="B2452" s="109"/>
      <c r="C2452" s="110"/>
      <c r="D2452" s="109"/>
      <c r="E2452" s="109"/>
      <c r="F2452" s="97"/>
      <c r="G2452" s="109"/>
      <c r="H2452" s="109"/>
      <c r="I2452" s="97"/>
      <c r="J2452" s="97"/>
      <c r="K2452" s="83"/>
      <c r="L2452" s="111"/>
      <c r="M2452" s="111"/>
      <c r="N2452" s="111"/>
      <c r="O2452" s="111"/>
      <c r="P2452" s="111"/>
      <c r="Q2452" s="111"/>
      <c r="R2452" s="111"/>
    </row>
    <row r="2453" spans="2:18" s="108" customFormat="1">
      <c r="B2453" s="109"/>
      <c r="C2453" s="110"/>
      <c r="D2453" s="109"/>
      <c r="E2453" s="109"/>
      <c r="F2453" s="97"/>
      <c r="G2453" s="109"/>
      <c r="H2453" s="109"/>
      <c r="I2453" s="97"/>
      <c r="J2453" s="97"/>
      <c r="K2453" s="83"/>
      <c r="L2453" s="111"/>
      <c r="M2453" s="111"/>
      <c r="N2453" s="111"/>
      <c r="O2453" s="111"/>
      <c r="P2453" s="111"/>
      <c r="Q2453" s="111"/>
      <c r="R2453" s="111"/>
    </row>
    <row r="2454" spans="2:18" s="108" customFormat="1">
      <c r="B2454" s="109"/>
      <c r="C2454" s="110"/>
      <c r="D2454" s="109"/>
      <c r="E2454" s="109"/>
      <c r="F2454" s="97"/>
      <c r="G2454" s="109"/>
      <c r="H2454" s="109"/>
      <c r="I2454" s="97"/>
      <c r="J2454" s="97"/>
      <c r="K2454" s="83"/>
      <c r="L2454" s="111"/>
      <c r="M2454" s="111"/>
      <c r="N2454" s="111"/>
      <c r="O2454" s="111"/>
      <c r="P2454" s="111"/>
      <c r="Q2454" s="111"/>
      <c r="R2454" s="111"/>
    </row>
    <row r="2455" spans="2:18" s="108" customFormat="1">
      <c r="B2455" s="109"/>
      <c r="C2455" s="110"/>
      <c r="D2455" s="109"/>
      <c r="E2455" s="109"/>
      <c r="F2455" s="97"/>
      <c r="G2455" s="109"/>
      <c r="H2455" s="109"/>
      <c r="I2455" s="97"/>
      <c r="J2455" s="97"/>
      <c r="K2455" s="83"/>
      <c r="L2455" s="111"/>
      <c r="M2455" s="111"/>
      <c r="N2455" s="111"/>
      <c r="O2455" s="111"/>
      <c r="P2455" s="111"/>
      <c r="Q2455" s="111"/>
      <c r="R2455" s="111"/>
    </row>
    <row r="2456" spans="2:18" s="108" customFormat="1">
      <c r="B2456" s="109"/>
      <c r="C2456" s="110"/>
      <c r="D2456" s="109"/>
      <c r="E2456" s="109"/>
      <c r="F2456" s="97"/>
      <c r="G2456" s="109"/>
      <c r="H2456" s="109"/>
      <c r="I2456" s="97"/>
      <c r="J2456" s="97"/>
      <c r="K2456" s="83"/>
      <c r="L2456" s="111"/>
      <c r="M2456" s="111"/>
      <c r="N2456" s="111"/>
      <c r="O2456" s="111"/>
      <c r="P2456" s="111"/>
      <c r="Q2456" s="111"/>
      <c r="R2456" s="111"/>
    </row>
    <row r="2457" spans="2:18" s="108" customFormat="1">
      <c r="B2457" s="109"/>
      <c r="C2457" s="110"/>
      <c r="D2457" s="109"/>
      <c r="E2457" s="109"/>
      <c r="F2457" s="97"/>
      <c r="G2457" s="109"/>
      <c r="H2457" s="109"/>
      <c r="I2457" s="97"/>
      <c r="J2457" s="97"/>
      <c r="K2457" s="83"/>
      <c r="L2457" s="111"/>
      <c r="M2457" s="111"/>
      <c r="N2457" s="111"/>
      <c r="O2457" s="111"/>
      <c r="P2457" s="111"/>
      <c r="Q2457" s="111"/>
      <c r="R2457" s="111"/>
    </row>
    <row r="2458" spans="2:18" s="108" customFormat="1">
      <c r="B2458" s="109"/>
      <c r="C2458" s="110"/>
      <c r="D2458" s="109"/>
      <c r="E2458" s="109"/>
      <c r="F2458" s="97"/>
      <c r="G2458" s="109"/>
      <c r="H2458" s="109"/>
      <c r="I2458" s="97"/>
      <c r="J2458" s="97"/>
      <c r="K2458" s="83"/>
      <c r="L2458" s="111"/>
      <c r="M2458" s="111"/>
      <c r="N2458" s="111"/>
      <c r="O2458" s="111"/>
      <c r="P2458" s="111"/>
      <c r="Q2458" s="111"/>
      <c r="R2458" s="111"/>
    </row>
    <row r="2459" spans="2:18" s="108" customFormat="1">
      <c r="B2459" s="109"/>
      <c r="C2459" s="110"/>
      <c r="D2459" s="109"/>
      <c r="E2459" s="109"/>
      <c r="F2459" s="97"/>
      <c r="G2459" s="109"/>
      <c r="H2459" s="109"/>
      <c r="I2459" s="97"/>
      <c r="J2459" s="97"/>
      <c r="K2459" s="83"/>
      <c r="L2459" s="111"/>
      <c r="M2459" s="111"/>
      <c r="N2459" s="111"/>
      <c r="O2459" s="111"/>
      <c r="P2459" s="111"/>
      <c r="Q2459" s="111"/>
      <c r="R2459" s="111"/>
    </row>
    <row r="2460" spans="2:18" s="108" customFormat="1">
      <c r="B2460" s="109"/>
      <c r="C2460" s="110"/>
      <c r="D2460" s="109"/>
      <c r="E2460" s="109"/>
      <c r="F2460" s="97"/>
      <c r="G2460" s="109"/>
      <c r="H2460" s="109"/>
      <c r="I2460" s="97"/>
      <c r="J2460" s="97"/>
      <c r="K2460" s="83"/>
      <c r="L2460" s="111"/>
      <c r="M2460" s="111"/>
      <c r="N2460" s="111"/>
      <c r="O2460" s="111"/>
      <c r="P2460" s="111"/>
      <c r="Q2460" s="111"/>
      <c r="R2460" s="111"/>
    </row>
    <row r="2461" spans="2:18" s="108" customFormat="1">
      <c r="B2461" s="109"/>
      <c r="C2461" s="110"/>
      <c r="D2461" s="109"/>
      <c r="E2461" s="109"/>
      <c r="F2461" s="97"/>
      <c r="G2461" s="109"/>
      <c r="H2461" s="109"/>
      <c r="I2461" s="97"/>
      <c r="J2461" s="97"/>
      <c r="K2461" s="83"/>
      <c r="L2461" s="111"/>
      <c r="M2461" s="111"/>
      <c r="N2461" s="111"/>
      <c r="O2461" s="111"/>
      <c r="P2461" s="111"/>
      <c r="Q2461" s="111"/>
      <c r="R2461" s="111"/>
    </row>
    <row r="2462" spans="2:18" s="108" customFormat="1">
      <c r="B2462" s="109"/>
      <c r="C2462" s="110"/>
      <c r="D2462" s="109"/>
      <c r="E2462" s="109"/>
      <c r="F2462" s="97"/>
      <c r="G2462" s="109"/>
      <c r="H2462" s="109"/>
      <c r="I2462" s="97"/>
      <c r="J2462" s="97"/>
      <c r="K2462" s="83"/>
      <c r="L2462" s="111"/>
      <c r="M2462" s="111"/>
      <c r="N2462" s="111"/>
      <c r="O2462" s="111"/>
      <c r="P2462" s="111"/>
      <c r="Q2462" s="111"/>
      <c r="R2462" s="111"/>
    </row>
    <row r="2463" spans="2:18" s="108" customFormat="1">
      <c r="B2463" s="109"/>
      <c r="C2463" s="110"/>
      <c r="D2463" s="109"/>
      <c r="E2463" s="109"/>
      <c r="F2463" s="97"/>
      <c r="G2463" s="109"/>
      <c r="H2463" s="109"/>
      <c r="I2463" s="97"/>
      <c r="J2463" s="97"/>
      <c r="K2463" s="83"/>
      <c r="L2463" s="111"/>
      <c r="M2463" s="111"/>
      <c r="N2463" s="111"/>
      <c r="O2463" s="111"/>
      <c r="P2463" s="111"/>
      <c r="Q2463" s="111"/>
      <c r="R2463" s="111"/>
    </row>
    <row r="2464" spans="2:18" s="108" customFormat="1">
      <c r="B2464" s="109"/>
      <c r="C2464" s="110"/>
      <c r="D2464" s="109"/>
      <c r="E2464" s="109"/>
      <c r="F2464" s="97"/>
      <c r="G2464" s="109"/>
      <c r="H2464" s="109"/>
      <c r="I2464" s="97"/>
      <c r="J2464" s="97"/>
      <c r="K2464" s="83"/>
      <c r="L2464" s="111"/>
      <c r="M2464" s="111"/>
      <c r="N2464" s="111"/>
      <c r="O2464" s="111"/>
      <c r="P2464" s="111"/>
      <c r="Q2464" s="111"/>
      <c r="R2464" s="111"/>
    </row>
    <row r="2465" spans="2:18" s="108" customFormat="1">
      <c r="B2465" s="109"/>
      <c r="C2465" s="110"/>
      <c r="D2465" s="109"/>
      <c r="E2465" s="109"/>
      <c r="F2465" s="97"/>
      <c r="G2465" s="109"/>
      <c r="H2465" s="109"/>
      <c r="I2465" s="97"/>
      <c r="J2465" s="97"/>
      <c r="K2465" s="83"/>
      <c r="L2465" s="111"/>
      <c r="M2465" s="111"/>
      <c r="N2465" s="111"/>
      <c r="O2465" s="111"/>
      <c r="P2465" s="111"/>
      <c r="Q2465" s="111"/>
      <c r="R2465" s="111"/>
    </row>
    <row r="2466" spans="2:18" s="108" customFormat="1">
      <c r="B2466" s="109"/>
      <c r="C2466" s="110"/>
      <c r="D2466" s="109"/>
      <c r="E2466" s="109"/>
      <c r="F2466" s="97"/>
      <c r="G2466" s="109"/>
      <c r="H2466" s="109"/>
      <c r="I2466" s="97"/>
      <c r="J2466" s="97"/>
      <c r="K2466" s="83"/>
      <c r="L2466" s="111"/>
      <c r="M2466" s="111"/>
      <c r="N2466" s="111"/>
      <c r="O2466" s="111"/>
      <c r="P2466" s="111"/>
      <c r="Q2466" s="111"/>
      <c r="R2466" s="111"/>
    </row>
    <row r="2467" spans="2:18" s="108" customFormat="1">
      <c r="B2467" s="109"/>
      <c r="C2467" s="110"/>
      <c r="D2467" s="109"/>
      <c r="E2467" s="109"/>
      <c r="F2467" s="97"/>
      <c r="G2467" s="109"/>
      <c r="H2467" s="109"/>
      <c r="I2467" s="97"/>
      <c r="J2467" s="97"/>
      <c r="K2467" s="83"/>
      <c r="L2467" s="111"/>
      <c r="M2467" s="111"/>
      <c r="N2467" s="111"/>
      <c r="O2467" s="111"/>
      <c r="P2467" s="111"/>
      <c r="Q2467" s="111"/>
      <c r="R2467" s="111"/>
    </row>
    <row r="2468" spans="2:18" s="108" customFormat="1">
      <c r="B2468" s="109"/>
      <c r="C2468" s="110"/>
      <c r="D2468" s="109"/>
      <c r="E2468" s="109"/>
      <c r="F2468" s="97"/>
      <c r="G2468" s="109"/>
      <c r="H2468" s="109"/>
      <c r="I2468" s="97"/>
      <c r="J2468" s="97"/>
      <c r="K2468" s="83"/>
      <c r="L2468" s="111"/>
      <c r="M2468" s="111"/>
      <c r="N2468" s="111"/>
      <c r="O2468" s="111"/>
      <c r="P2468" s="111"/>
      <c r="Q2468" s="111"/>
      <c r="R2468" s="111"/>
    </row>
    <row r="2469" spans="2:18" s="108" customFormat="1">
      <c r="B2469" s="109"/>
      <c r="C2469" s="110"/>
      <c r="D2469" s="109"/>
      <c r="E2469" s="109"/>
      <c r="F2469" s="97"/>
      <c r="G2469" s="109"/>
      <c r="H2469" s="109"/>
      <c r="I2469" s="97"/>
      <c r="J2469" s="97"/>
      <c r="K2469" s="83"/>
      <c r="L2469" s="111"/>
      <c r="M2469" s="111"/>
      <c r="N2469" s="111"/>
      <c r="O2469" s="111"/>
      <c r="P2469" s="111"/>
      <c r="Q2469" s="111"/>
      <c r="R2469" s="111"/>
    </row>
    <row r="2470" spans="2:18" s="108" customFormat="1">
      <c r="B2470" s="109"/>
      <c r="C2470" s="110"/>
      <c r="D2470" s="109"/>
      <c r="E2470" s="109"/>
      <c r="F2470" s="97"/>
      <c r="G2470" s="109"/>
      <c r="H2470" s="109"/>
      <c r="I2470" s="97"/>
      <c r="J2470" s="97"/>
      <c r="K2470" s="83"/>
      <c r="L2470" s="111"/>
      <c r="M2470" s="111"/>
      <c r="N2470" s="111"/>
      <c r="O2470" s="111"/>
      <c r="P2470" s="111"/>
      <c r="Q2470" s="111"/>
      <c r="R2470" s="111"/>
    </row>
    <row r="2471" spans="2:18" s="108" customFormat="1">
      <c r="B2471" s="109"/>
      <c r="C2471" s="110"/>
      <c r="D2471" s="109"/>
      <c r="E2471" s="109"/>
      <c r="F2471" s="97"/>
      <c r="G2471" s="109"/>
      <c r="H2471" s="109"/>
      <c r="I2471" s="97"/>
      <c r="J2471" s="97"/>
      <c r="K2471" s="83"/>
      <c r="L2471" s="111"/>
      <c r="M2471" s="111"/>
      <c r="N2471" s="111"/>
      <c r="O2471" s="111"/>
      <c r="P2471" s="111"/>
      <c r="Q2471" s="111"/>
      <c r="R2471" s="111"/>
    </row>
    <row r="2472" spans="2:18" s="108" customFormat="1">
      <c r="B2472" s="109"/>
      <c r="C2472" s="110"/>
      <c r="D2472" s="109"/>
      <c r="E2472" s="109"/>
      <c r="F2472" s="97"/>
      <c r="G2472" s="109"/>
      <c r="H2472" s="109"/>
      <c r="I2472" s="97"/>
      <c r="J2472" s="97"/>
      <c r="K2472" s="83"/>
      <c r="L2472" s="111"/>
      <c r="M2472" s="111"/>
      <c r="N2472" s="111"/>
      <c r="O2472" s="111"/>
      <c r="P2472" s="111"/>
      <c r="Q2472" s="111"/>
      <c r="R2472" s="111"/>
    </row>
    <row r="2473" spans="2:18" s="108" customFormat="1">
      <c r="B2473" s="109"/>
      <c r="C2473" s="110"/>
      <c r="D2473" s="109"/>
      <c r="E2473" s="109"/>
      <c r="F2473" s="97"/>
      <c r="G2473" s="109"/>
      <c r="H2473" s="109"/>
      <c r="I2473" s="97"/>
      <c r="J2473" s="97"/>
      <c r="K2473" s="83"/>
      <c r="L2473" s="111"/>
      <c r="M2473" s="111"/>
      <c r="N2473" s="111"/>
      <c r="O2473" s="111"/>
      <c r="P2473" s="111"/>
      <c r="Q2473" s="111"/>
      <c r="R2473" s="111"/>
    </row>
    <row r="2474" spans="2:18" s="108" customFormat="1">
      <c r="B2474" s="109"/>
      <c r="C2474" s="110"/>
      <c r="D2474" s="109"/>
      <c r="E2474" s="109"/>
      <c r="F2474" s="97"/>
      <c r="G2474" s="109"/>
      <c r="H2474" s="109"/>
      <c r="I2474" s="97"/>
      <c r="J2474" s="97"/>
      <c r="K2474" s="83"/>
      <c r="L2474" s="111"/>
      <c r="M2474" s="111"/>
      <c r="N2474" s="111"/>
      <c r="O2474" s="111"/>
      <c r="P2474" s="111"/>
      <c r="Q2474" s="111"/>
      <c r="R2474" s="111"/>
    </row>
    <row r="2475" spans="2:18" s="108" customFormat="1">
      <c r="B2475" s="109"/>
      <c r="C2475" s="110"/>
      <c r="D2475" s="109"/>
      <c r="E2475" s="109"/>
      <c r="F2475" s="97"/>
      <c r="G2475" s="109"/>
      <c r="H2475" s="109"/>
      <c r="I2475" s="97"/>
      <c r="J2475" s="97"/>
      <c r="K2475" s="83"/>
      <c r="L2475" s="111"/>
      <c r="M2475" s="111"/>
      <c r="N2475" s="111"/>
      <c r="O2475" s="111"/>
      <c r="P2475" s="111"/>
      <c r="Q2475" s="111"/>
      <c r="R2475" s="111"/>
    </row>
    <row r="2476" spans="2:18" s="108" customFormat="1">
      <c r="B2476" s="109"/>
      <c r="C2476" s="110"/>
      <c r="D2476" s="109"/>
      <c r="E2476" s="109"/>
      <c r="F2476" s="97"/>
      <c r="G2476" s="109"/>
      <c r="H2476" s="109"/>
      <c r="I2476" s="97"/>
      <c r="J2476" s="97"/>
      <c r="K2476" s="83"/>
      <c r="L2476" s="111"/>
      <c r="M2476" s="111"/>
      <c r="N2476" s="111"/>
      <c r="O2476" s="111"/>
      <c r="P2476" s="111"/>
      <c r="Q2476" s="111"/>
      <c r="R2476" s="111"/>
    </row>
    <row r="2477" spans="2:18" s="108" customFormat="1">
      <c r="B2477" s="109"/>
      <c r="C2477" s="110"/>
      <c r="D2477" s="109"/>
      <c r="E2477" s="109"/>
      <c r="F2477" s="97"/>
      <c r="G2477" s="109"/>
      <c r="H2477" s="109"/>
      <c r="I2477" s="97"/>
      <c r="J2477" s="97"/>
      <c r="K2477" s="83"/>
      <c r="L2477" s="111"/>
      <c r="M2477" s="111"/>
      <c r="N2477" s="111"/>
      <c r="O2477" s="111"/>
      <c r="P2477" s="111"/>
      <c r="Q2477" s="111"/>
      <c r="R2477" s="111"/>
    </row>
    <row r="2478" spans="2:18" s="108" customFormat="1">
      <c r="B2478" s="109"/>
      <c r="C2478" s="110"/>
      <c r="D2478" s="109"/>
      <c r="E2478" s="109"/>
      <c r="F2478" s="97"/>
      <c r="G2478" s="109"/>
      <c r="H2478" s="109"/>
      <c r="I2478" s="97"/>
      <c r="J2478" s="97"/>
      <c r="K2478" s="83"/>
      <c r="L2478" s="111"/>
      <c r="M2478" s="111"/>
      <c r="N2478" s="111"/>
      <c r="O2478" s="111"/>
      <c r="P2478" s="111"/>
      <c r="Q2478" s="111"/>
      <c r="R2478" s="111"/>
    </row>
    <row r="2479" spans="2:18" s="108" customFormat="1">
      <c r="B2479" s="109"/>
      <c r="C2479" s="110"/>
      <c r="D2479" s="109"/>
      <c r="E2479" s="109"/>
      <c r="F2479" s="97"/>
      <c r="G2479" s="109"/>
      <c r="H2479" s="109"/>
      <c r="I2479" s="97"/>
      <c r="J2479" s="97"/>
      <c r="K2479" s="83"/>
      <c r="L2479" s="111"/>
      <c r="M2479" s="111"/>
      <c r="N2479" s="111"/>
      <c r="O2479" s="111"/>
      <c r="P2479" s="111"/>
      <c r="Q2479" s="111"/>
      <c r="R2479" s="111"/>
    </row>
    <row r="2480" spans="2:18" s="108" customFormat="1">
      <c r="B2480" s="109"/>
      <c r="C2480" s="110"/>
      <c r="D2480" s="109"/>
      <c r="E2480" s="109"/>
      <c r="F2480" s="97"/>
      <c r="G2480" s="109"/>
      <c r="H2480" s="109"/>
      <c r="I2480" s="97"/>
      <c r="J2480" s="97"/>
      <c r="K2480" s="83"/>
      <c r="L2480" s="111"/>
      <c r="M2480" s="111"/>
      <c r="N2480" s="111"/>
      <c r="O2480" s="111"/>
      <c r="P2480" s="111"/>
      <c r="Q2480" s="111"/>
      <c r="R2480" s="111"/>
    </row>
    <row r="2481" spans="2:18" s="108" customFormat="1">
      <c r="B2481" s="109"/>
      <c r="C2481" s="110"/>
      <c r="D2481" s="109"/>
      <c r="E2481" s="109"/>
      <c r="F2481" s="97"/>
      <c r="G2481" s="109"/>
      <c r="H2481" s="109"/>
      <c r="I2481" s="97"/>
      <c r="J2481" s="97"/>
      <c r="K2481" s="83"/>
      <c r="L2481" s="111"/>
      <c r="M2481" s="111"/>
      <c r="N2481" s="111"/>
      <c r="O2481" s="111"/>
      <c r="P2481" s="111"/>
      <c r="Q2481" s="111"/>
      <c r="R2481" s="111"/>
    </row>
    <row r="2482" spans="2:18" s="108" customFormat="1">
      <c r="B2482" s="109"/>
      <c r="C2482" s="110"/>
      <c r="D2482" s="109"/>
      <c r="E2482" s="109"/>
      <c r="F2482" s="97"/>
      <c r="G2482" s="109"/>
      <c r="H2482" s="109"/>
      <c r="I2482" s="97"/>
      <c r="J2482" s="97"/>
      <c r="K2482" s="83"/>
      <c r="L2482" s="111"/>
      <c r="M2482" s="111"/>
      <c r="N2482" s="111"/>
      <c r="O2482" s="111"/>
      <c r="P2482" s="111"/>
      <c r="Q2482" s="111"/>
      <c r="R2482" s="111"/>
    </row>
    <row r="2483" spans="2:18" s="108" customFormat="1">
      <c r="B2483" s="109"/>
      <c r="C2483" s="110"/>
      <c r="D2483" s="109"/>
      <c r="E2483" s="109"/>
      <c r="F2483" s="97"/>
      <c r="G2483" s="109"/>
      <c r="H2483" s="109"/>
      <c r="I2483" s="97"/>
      <c r="J2483" s="97"/>
      <c r="K2483" s="83"/>
      <c r="L2483" s="111"/>
      <c r="M2483" s="111"/>
      <c r="N2483" s="111"/>
      <c r="O2483" s="111"/>
      <c r="P2483" s="111"/>
      <c r="Q2483" s="111"/>
      <c r="R2483" s="111"/>
    </row>
    <row r="2484" spans="2:18" s="108" customFormat="1">
      <c r="B2484" s="109"/>
      <c r="C2484" s="110"/>
      <c r="D2484" s="109"/>
      <c r="E2484" s="109"/>
      <c r="F2484" s="97"/>
      <c r="G2484" s="109"/>
      <c r="H2484" s="109"/>
      <c r="I2484" s="97"/>
      <c r="J2484" s="97"/>
      <c r="K2484" s="83"/>
      <c r="L2484" s="111"/>
      <c r="M2484" s="111"/>
      <c r="N2484" s="111"/>
      <c r="O2484" s="111"/>
      <c r="P2484" s="111"/>
      <c r="Q2484" s="111"/>
      <c r="R2484" s="111"/>
    </row>
    <row r="2485" spans="2:18" s="108" customFormat="1">
      <c r="B2485" s="109"/>
      <c r="C2485" s="110"/>
      <c r="D2485" s="109"/>
      <c r="E2485" s="109"/>
      <c r="F2485" s="97"/>
      <c r="G2485" s="109"/>
      <c r="H2485" s="109"/>
      <c r="I2485" s="97"/>
      <c r="J2485" s="97"/>
      <c r="K2485" s="83"/>
      <c r="L2485" s="111"/>
      <c r="M2485" s="111"/>
      <c r="N2485" s="111"/>
      <c r="O2485" s="111"/>
      <c r="P2485" s="111"/>
      <c r="Q2485" s="111"/>
      <c r="R2485" s="111"/>
    </row>
    <row r="2486" spans="2:18" s="108" customFormat="1">
      <c r="B2486" s="109"/>
      <c r="C2486" s="110"/>
      <c r="D2486" s="109"/>
      <c r="E2486" s="109"/>
      <c r="F2486" s="97"/>
      <c r="G2486" s="109"/>
      <c r="H2486" s="109"/>
      <c r="I2486" s="97"/>
      <c r="J2486" s="97"/>
      <c r="K2486" s="83"/>
      <c r="L2486" s="111"/>
      <c r="M2486" s="111"/>
      <c r="N2486" s="111"/>
      <c r="O2486" s="111"/>
      <c r="P2486" s="111"/>
      <c r="Q2486" s="111"/>
      <c r="R2486" s="111"/>
    </row>
    <row r="2487" spans="2:18" s="108" customFormat="1">
      <c r="B2487" s="109"/>
      <c r="C2487" s="110"/>
      <c r="D2487" s="109"/>
      <c r="E2487" s="109"/>
      <c r="F2487" s="97"/>
      <c r="G2487" s="109"/>
      <c r="H2487" s="109"/>
      <c r="I2487" s="97"/>
      <c r="J2487" s="97"/>
      <c r="K2487" s="83"/>
      <c r="L2487" s="111"/>
      <c r="M2487" s="111"/>
      <c r="N2487" s="111"/>
      <c r="O2487" s="111"/>
      <c r="P2487" s="111"/>
      <c r="Q2487" s="111"/>
      <c r="R2487" s="111"/>
    </row>
    <row r="2488" spans="2:18" s="108" customFormat="1">
      <c r="B2488" s="109"/>
      <c r="C2488" s="110"/>
      <c r="D2488" s="109"/>
      <c r="E2488" s="109"/>
      <c r="F2488" s="97"/>
      <c r="G2488" s="109"/>
      <c r="H2488" s="109"/>
      <c r="I2488" s="97"/>
      <c r="J2488" s="97"/>
      <c r="K2488" s="83"/>
      <c r="L2488" s="111"/>
      <c r="M2488" s="111"/>
      <c r="N2488" s="111"/>
      <c r="O2488" s="111"/>
      <c r="P2488" s="111"/>
      <c r="Q2488" s="111"/>
      <c r="R2488" s="111"/>
    </row>
    <row r="2489" spans="2:18" s="108" customFormat="1">
      <c r="B2489" s="109"/>
      <c r="C2489" s="110"/>
      <c r="D2489" s="109"/>
      <c r="E2489" s="109"/>
      <c r="F2489" s="97"/>
      <c r="G2489" s="109"/>
      <c r="H2489" s="109"/>
      <c r="I2489" s="97"/>
      <c r="J2489" s="97"/>
      <c r="K2489" s="83"/>
      <c r="L2489" s="111"/>
      <c r="M2489" s="111"/>
      <c r="N2489" s="111"/>
      <c r="O2489" s="111"/>
      <c r="P2489" s="111"/>
      <c r="Q2489" s="111"/>
      <c r="R2489" s="111"/>
    </row>
    <row r="2490" spans="2:18" s="108" customFormat="1">
      <c r="B2490" s="109"/>
      <c r="C2490" s="110"/>
      <c r="D2490" s="109"/>
      <c r="E2490" s="109"/>
      <c r="F2490" s="97"/>
      <c r="G2490" s="109"/>
      <c r="H2490" s="109"/>
      <c r="I2490" s="97"/>
      <c r="J2490" s="97"/>
      <c r="K2490" s="83"/>
      <c r="L2490" s="111"/>
      <c r="M2490" s="111"/>
      <c r="N2490" s="111"/>
      <c r="O2490" s="111"/>
      <c r="P2490" s="111"/>
      <c r="Q2490" s="111"/>
      <c r="R2490" s="111"/>
    </row>
    <row r="2491" spans="2:18" s="108" customFormat="1">
      <c r="B2491" s="109"/>
      <c r="C2491" s="110"/>
      <c r="D2491" s="109"/>
      <c r="E2491" s="109"/>
      <c r="F2491" s="97"/>
      <c r="G2491" s="109"/>
      <c r="H2491" s="109"/>
      <c r="I2491" s="97"/>
      <c r="J2491" s="97"/>
      <c r="K2491" s="83"/>
      <c r="L2491" s="111"/>
      <c r="M2491" s="111"/>
      <c r="N2491" s="111"/>
      <c r="O2491" s="111"/>
      <c r="P2491" s="111"/>
      <c r="Q2491" s="111"/>
      <c r="R2491" s="111"/>
    </row>
    <row r="2492" spans="2:18" s="108" customFormat="1">
      <c r="B2492" s="109"/>
      <c r="C2492" s="110"/>
      <c r="D2492" s="109"/>
      <c r="E2492" s="109"/>
      <c r="F2492" s="97"/>
      <c r="G2492" s="109"/>
      <c r="H2492" s="109"/>
      <c r="I2492" s="97"/>
      <c r="J2492" s="97"/>
      <c r="K2492" s="83"/>
      <c r="L2492" s="111"/>
      <c r="M2492" s="111"/>
      <c r="N2492" s="111"/>
      <c r="O2492" s="111"/>
      <c r="P2492" s="111"/>
      <c r="Q2492" s="111"/>
      <c r="R2492" s="111"/>
    </row>
    <row r="2493" spans="2:18" s="108" customFormat="1">
      <c r="B2493" s="109"/>
      <c r="C2493" s="110"/>
      <c r="D2493" s="109"/>
      <c r="E2493" s="109"/>
      <c r="F2493" s="97"/>
      <c r="G2493" s="109"/>
      <c r="H2493" s="109"/>
      <c r="I2493" s="97"/>
      <c r="J2493" s="97"/>
      <c r="K2493" s="83"/>
      <c r="L2493" s="111"/>
      <c r="M2493" s="111"/>
      <c r="N2493" s="111"/>
      <c r="O2493" s="111"/>
      <c r="P2493" s="111"/>
      <c r="Q2493" s="111"/>
      <c r="R2493" s="111"/>
    </row>
    <row r="2494" spans="2:18" s="108" customFormat="1">
      <c r="B2494" s="109"/>
      <c r="C2494" s="110"/>
      <c r="D2494" s="109"/>
      <c r="E2494" s="109"/>
      <c r="F2494" s="97"/>
      <c r="G2494" s="109"/>
      <c r="H2494" s="109"/>
      <c r="I2494" s="97"/>
      <c r="J2494" s="97"/>
      <c r="K2494" s="83"/>
      <c r="L2494" s="111"/>
      <c r="M2494" s="111"/>
      <c r="N2494" s="111"/>
      <c r="O2494" s="111"/>
      <c r="P2494" s="111"/>
      <c r="Q2494" s="111"/>
      <c r="R2494" s="111"/>
    </row>
    <row r="2495" spans="2:18" s="108" customFormat="1">
      <c r="B2495" s="109"/>
      <c r="C2495" s="110"/>
      <c r="D2495" s="109"/>
      <c r="E2495" s="109"/>
      <c r="F2495" s="97"/>
      <c r="G2495" s="109"/>
      <c r="H2495" s="109"/>
      <c r="I2495" s="97"/>
      <c r="J2495" s="97"/>
      <c r="K2495" s="83"/>
      <c r="L2495" s="111"/>
      <c r="M2495" s="111"/>
      <c r="N2495" s="111"/>
      <c r="O2495" s="111"/>
      <c r="P2495" s="111"/>
      <c r="Q2495" s="111"/>
      <c r="R2495" s="111"/>
    </row>
    <row r="2496" spans="2:18" s="108" customFormat="1">
      <c r="B2496" s="109"/>
      <c r="C2496" s="110"/>
      <c r="D2496" s="109"/>
      <c r="E2496" s="109"/>
      <c r="F2496" s="97"/>
      <c r="G2496" s="109"/>
      <c r="H2496" s="109"/>
      <c r="I2496" s="97"/>
      <c r="J2496" s="97"/>
      <c r="K2496" s="83"/>
      <c r="L2496" s="111"/>
      <c r="M2496" s="111"/>
      <c r="N2496" s="111"/>
      <c r="O2496" s="111"/>
      <c r="P2496" s="111"/>
      <c r="Q2496" s="111"/>
      <c r="R2496" s="111"/>
    </row>
    <row r="2497" spans="2:18" s="108" customFormat="1">
      <c r="B2497" s="109"/>
      <c r="C2497" s="110"/>
      <c r="D2497" s="109"/>
      <c r="E2497" s="109"/>
      <c r="F2497" s="97"/>
      <c r="G2497" s="109"/>
      <c r="H2497" s="109"/>
      <c r="I2497" s="97"/>
      <c r="J2497" s="97"/>
      <c r="K2497" s="83"/>
      <c r="L2497" s="111"/>
      <c r="M2497" s="111"/>
      <c r="N2497" s="111"/>
      <c r="O2497" s="111"/>
      <c r="P2497" s="111"/>
      <c r="Q2497" s="111"/>
      <c r="R2497" s="111"/>
    </row>
    <row r="2498" spans="2:18" s="108" customFormat="1">
      <c r="B2498" s="109"/>
      <c r="C2498" s="110"/>
      <c r="D2498" s="109"/>
      <c r="E2498" s="109"/>
      <c r="F2498" s="97"/>
      <c r="G2498" s="109"/>
      <c r="H2498" s="109"/>
      <c r="I2498" s="97"/>
      <c r="J2498" s="97"/>
      <c r="K2498" s="83"/>
      <c r="L2498" s="111"/>
      <c r="M2498" s="111"/>
      <c r="N2498" s="111"/>
      <c r="O2498" s="111"/>
      <c r="P2498" s="111"/>
      <c r="Q2498" s="111"/>
      <c r="R2498" s="111"/>
    </row>
    <row r="2499" spans="2:18" s="108" customFormat="1">
      <c r="B2499" s="109"/>
      <c r="C2499" s="110"/>
      <c r="D2499" s="109"/>
      <c r="E2499" s="109"/>
      <c r="F2499" s="97"/>
      <c r="G2499" s="109"/>
      <c r="H2499" s="109"/>
      <c r="I2499" s="97"/>
      <c r="J2499" s="97"/>
      <c r="K2499" s="83"/>
      <c r="L2499" s="111"/>
      <c r="M2499" s="111"/>
      <c r="N2499" s="111"/>
      <c r="O2499" s="111"/>
      <c r="P2499" s="111"/>
      <c r="Q2499" s="111"/>
      <c r="R2499" s="111"/>
    </row>
    <row r="2500" spans="2:18" s="108" customFormat="1">
      <c r="B2500" s="109"/>
      <c r="C2500" s="110"/>
      <c r="D2500" s="109"/>
      <c r="E2500" s="109"/>
      <c r="F2500" s="97"/>
      <c r="G2500" s="109"/>
      <c r="H2500" s="109"/>
      <c r="I2500" s="97"/>
      <c r="J2500" s="97"/>
      <c r="K2500" s="83"/>
      <c r="L2500" s="111"/>
      <c r="M2500" s="111"/>
      <c r="N2500" s="111"/>
      <c r="O2500" s="111"/>
      <c r="P2500" s="111"/>
      <c r="Q2500" s="111"/>
      <c r="R2500" s="111"/>
    </row>
    <row r="2501" spans="2:18" s="108" customFormat="1">
      <c r="B2501" s="109"/>
      <c r="C2501" s="110"/>
      <c r="D2501" s="109"/>
      <c r="E2501" s="109"/>
      <c r="F2501" s="97"/>
      <c r="G2501" s="109"/>
      <c r="H2501" s="109"/>
      <c r="I2501" s="97"/>
      <c r="J2501" s="97"/>
      <c r="K2501" s="83"/>
      <c r="L2501" s="111"/>
      <c r="M2501" s="111"/>
      <c r="N2501" s="111"/>
      <c r="O2501" s="111"/>
      <c r="P2501" s="111"/>
      <c r="Q2501" s="111"/>
      <c r="R2501" s="111"/>
    </row>
    <row r="2502" spans="2:18" s="108" customFormat="1">
      <c r="B2502" s="109"/>
      <c r="C2502" s="110"/>
      <c r="D2502" s="109"/>
      <c r="E2502" s="109"/>
      <c r="F2502" s="97"/>
      <c r="G2502" s="109"/>
      <c r="H2502" s="109"/>
      <c r="I2502" s="97"/>
      <c r="J2502" s="97"/>
      <c r="K2502" s="83"/>
      <c r="L2502" s="111"/>
      <c r="M2502" s="111"/>
      <c r="N2502" s="111"/>
      <c r="O2502" s="111"/>
      <c r="P2502" s="111"/>
      <c r="Q2502" s="111"/>
      <c r="R2502" s="111"/>
    </row>
    <row r="2503" spans="2:18" s="108" customFormat="1">
      <c r="B2503" s="109"/>
      <c r="C2503" s="110"/>
      <c r="D2503" s="109"/>
      <c r="E2503" s="109"/>
      <c r="F2503" s="97"/>
      <c r="G2503" s="109"/>
      <c r="H2503" s="109"/>
      <c r="I2503" s="97"/>
      <c r="J2503" s="97"/>
      <c r="K2503" s="83"/>
      <c r="L2503" s="111"/>
      <c r="M2503" s="111"/>
      <c r="N2503" s="111"/>
      <c r="O2503" s="111"/>
      <c r="P2503" s="111"/>
      <c r="Q2503" s="111"/>
      <c r="R2503" s="111"/>
    </row>
    <row r="2504" spans="2:18" s="108" customFormat="1">
      <c r="B2504" s="109"/>
      <c r="C2504" s="110"/>
      <c r="D2504" s="109"/>
      <c r="E2504" s="109"/>
      <c r="F2504" s="97"/>
      <c r="G2504" s="109"/>
      <c r="H2504" s="109"/>
      <c r="I2504" s="97"/>
      <c r="J2504" s="97"/>
      <c r="K2504" s="83"/>
      <c r="L2504" s="111"/>
      <c r="M2504" s="111"/>
      <c r="N2504" s="111"/>
      <c r="O2504" s="111"/>
      <c r="P2504" s="111"/>
      <c r="Q2504" s="111"/>
      <c r="R2504" s="111"/>
    </row>
    <row r="2505" spans="2:18" s="108" customFormat="1">
      <c r="B2505" s="109"/>
      <c r="C2505" s="110"/>
      <c r="D2505" s="109"/>
      <c r="E2505" s="109"/>
      <c r="F2505" s="97"/>
      <c r="G2505" s="109"/>
      <c r="H2505" s="109"/>
      <c r="I2505" s="97"/>
      <c r="J2505" s="97"/>
      <c r="K2505" s="83"/>
      <c r="L2505" s="111"/>
      <c r="M2505" s="111"/>
      <c r="N2505" s="111"/>
      <c r="O2505" s="111"/>
      <c r="P2505" s="111"/>
      <c r="Q2505" s="111"/>
      <c r="R2505" s="111"/>
    </row>
    <row r="2506" spans="2:18" s="108" customFormat="1">
      <c r="B2506" s="109"/>
      <c r="C2506" s="110"/>
      <c r="D2506" s="109"/>
      <c r="E2506" s="109"/>
      <c r="F2506" s="97"/>
      <c r="G2506" s="109"/>
      <c r="H2506" s="109"/>
      <c r="I2506" s="97"/>
      <c r="J2506" s="97"/>
      <c r="K2506" s="83"/>
      <c r="L2506" s="111"/>
      <c r="M2506" s="111"/>
      <c r="N2506" s="111"/>
      <c r="O2506" s="111"/>
      <c r="P2506" s="111"/>
      <c r="Q2506" s="111"/>
      <c r="R2506" s="111"/>
    </row>
    <row r="2507" spans="2:18" s="108" customFormat="1">
      <c r="B2507" s="109"/>
      <c r="C2507" s="110"/>
      <c r="D2507" s="109"/>
      <c r="E2507" s="109"/>
      <c r="F2507" s="97"/>
      <c r="G2507" s="109"/>
      <c r="H2507" s="109"/>
      <c r="I2507" s="97"/>
      <c r="J2507" s="97"/>
      <c r="K2507" s="83"/>
      <c r="L2507" s="111"/>
      <c r="M2507" s="111"/>
      <c r="N2507" s="111"/>
      <c r="O2507" s="111"/>
      <c r="P2507" s="111"/>
      <c r="Q2507" s="111"/>
      <c r="R2507" s="111"/>
    </row>
    <row r="2508" spans="2:18" s="108" customFormat="1">
      <c r="B2508" s="109"/>
      <c r="C2508" s="110"/>
      <c r="D2508" s="109"/>
      <c r="E2508" s="109"/>
      <c r="F2508" s="97"/>
      <c r="G2508" s="109"/>
      <c r="H2508" s="109"/>
      <c r="I2508" s="97"/>
      <c r="J2508" s="97"/>
      <c r="K2508" s="83"/>
      <c r="L2508" s="111"/>
      <c r="M2508" s="111"/>
      <c r="N2508" s="111"/>
      <c r="O2508" s="111"/>
      <c r="P2508" s="111"/>
      <c r="Q2508" s="111"/>
      <c r="R2508" s="111"/>
    </row>
    <row r="2509" spans="2:18" s="108" customFormat="1">
      <c r="B2509" s="109"/>
      <c r="C2509" s="110"/>
      <c r="D2509" s="109"/>
      <c r="E2509" s="109"/>
      <c r="F2509" s="97"/>
      <c r="G2509" s="109"/>
      <c r="H2509" s="109"/>
      <c r="I2509" s="97"/>
      <c r="J2509" s="97"/>
      <c r="K2509" s="83"/>
      <c r="L2509" s="111"/>
      <c r="M2509" s="111"/>
      <c r="N2509" s="111"/>
      <c r="O2509" s="111"/>
      <c r="P2509" s="111"/>
      <c r="Q2509" s="111"/>
      <c r="R2509" s="111"/>
    </row>
    <row r="2510" spans="2:18" s="108" customFormat="1">
      <c r="B2510" s="109"/>
      <c r="C2510" s="110"/>
      <c r="D2510" s="109"/>
      <c r="E2510" s="109"/>
      <c r="F2510" s="97"/>
      <c r="G2510" s="109"/>
      <c r="H2510" s="109"/>
      <c r="I2510" s="97"/>
      <c r="J2510" s="97"/>
      <c r="K2510" s="83"/>
      <c r="L2510" s="111"/>
      <c r="M2510" s="111"/>
      <c r="N2510" s="111"/>
      <c r="O2510" s="111"/>
      <c r="P2510" s="111"/>
      <c r="Q2510" s="111"/>
      <c r="R2510" s="111"/>
    </row>
    <row r="2511" spans="2:18" s="108" customFormat="1">
      <c r="B2511" s="109"/>
      <c r="C2511" s="110"/>
      <c r="D2511" s="109"/>
      <c r="E2511" s="109"/>
      <c r="F2511" s="97"/>
      <c r="G2511" s="109"/>
      <c r="H2511" s="109"/>
      <c r="I2511" s="97"/>
      <c r="J2511" s="97"/>
      <c r="K2511" s="83"/>
      <c r="L2511" s="111"/>
      <c r="M2511" s="111"/>
      <c r="N2511" s="111"/>
      <c r="O2511" s="111"/>
      <c r="P2511" s="111"/>
      <c r="Q2511" s="111"/>
      <c r="R2511" s="111"/>
    </row>
    <row r="2512" spans="2:18" s="108" customFormat="1">
      <c r="B2512" s="109"/>
      <c r="C2512" s="110"/>
      <c r="D2512" s="109"/>
      <c r="E2512" s="109"/>
      <c r="F2512" s="97"/>
      <c r="G2512" s="109"/>
      <c r="H2512" s="109"/>
      <c r="I2512" s="97"/>
      <c r="J2512" s="97"/>
      <c r="K2512" s="83"/>
      <c r="L2512" s="111"/>
      <c r="M2512" s="111"/>
      <c r="N2512" s="111"/>
      <c r="O2512" s="111"/>
      <c r="P2512" s="111"/>
      <c r="Q2512" s="111"/>
      <c r="R2512" s="111"/>
    </row>
    <row r="2513" spans="2:18" s="108" customFormat="1">
      <c r="B2513" s="109"/>
      <c r="C2513" s="110"/>
      <c r="D2513" s="109"/>
      <c r="E2513" s="109"/>
      <c r="F2513" s="97"/>
      <c r="G2513" s="109"/>
      <c r="H2513" s="109"/>
      <c r="I2513" s="97"/>
      <c r="J2513" s="97"/>
      <c r="K2513" s="83"/>
      <c r="L2513" s="111"/>
      <c r="M2513" s="111"/>
      <c r="N2513" s="111"/>
      <c r="O2513" s="111"/>
      <c r="P2513" s="111"/>
      <c r="Q2513" s="111"/>
      <c r="R2513" s="111"/>
    </row>
    <row r="2514" spans="2:18" s="108" customFormat="1">
      <c r="B2514" s="109"/>
      <c r="C2514" s="110"/>
      <c r="D2514" s="109"/>
      <c r="E2514" s="109"/>
      <c r="F2514" s="97"/>
      <c r="G2514" s="109"/>
      <c r="H2514" s="109"/>
      <c r="I2514" s="97"/>
      <c r="J2514" s="97"/>
      <c r="K2514" s="83"/>
      <c r="L2514" s="111"/>
      <c r="M2514" s="111"/>
      <c r="N2514" s="111"/>
      <c r="O2514" s="111"/>
      <c r="P2514" s="111"/>
      <c r="Q2514" s="111"/>
      <c r="R2514" s="111"/>
    </row>
    <row r="2515" spans="2:18" s="108" customFormat="1">
      <c r="B2515" s="109"/>
      <c r="C2515" s="110"/>
      <c r="D2515" s="109"/>
      <c r="E2515" s="109"/>
      <c r="F2515" s="97"/>
      <c r="G2515" s="109"/>
      <c r="H2515" s="109"/>
      <c r="I2515" s="97"/>
      <c r="J2515" s="97"/>
      <c r="K2515" s="83"/>
      <c r="L2515" s="111"/>
      <c r="M2515" s="111"/>
      <c r="N2515" s="111"/>
      <c r="O2515" s="111"/>
      <c r="P2515" s="111"/>
      <c r="Q2515" s="111"/>
      <c r="R2515" s="111"/>
    </row>
    <row r="2516" spans="2:18" s="108" customFormat="1">
      <c r="B2516" s="109"/>
      <c r="C2516" s="110"/>
      <c r="D2516" s="109"/>
      <c r="E2516" s="109"/>
      <c r="F2516" s="97"/>
      <c r="G2516" s="109"/>
      <c r="H2516" s="109"/>
      <c r="I2516" s="97"/>
      <c r="J2516" s="97"/>
      <c r="K2516" s="83"/>
      <c r="L2516" s="111"/>
      <c r="M2516" s="111"/>
      <c r="N2516" s="111"/>
      <c r="O2516" s="111"/>
      <c r="P2516" s="111"/>
      <c r="Q2516" s="111"/>
      <c r="R2516" s="111"/>
    </row>
    <row r="2517" spans="2:18" s="108" customFormat="1">
      <c r="B2517" s="109"/>
      <c r="C2517" s="110"/>
      <c r="D2517" s="109"/>
      <c r="E2517" s="109"/>
      <c r="F2517" s="97"/>
      <c r="G2517" s="109"/>
      <c r="H2517" s="109"/>
      <c r="I2517" s="97"/>
      <c r="J2517" s="97"/>
      <c r="K2517" s="83"/>
      <c r="L2517" s="111"/>
      <c r="M2517" s="111"/>
      <c r="N2517" s="111"/>
      <c r="O2517" s="111"/>
      <c r="P2517" s="111"/>
      <c r="Q2517" s="111"/>
      <c r="R2517" s="111"/>
    </row>
    <row r="2518" spans="2:18" s="108" customFormat="1">
      <c r="B2518" s="109"/>
      <c r="C2518" s="110"/>
      <c r="D2518" s="109"/>
      <c r="E2518" s="109"/>
      <c r="F2518" s="97"/>
      <c r="G2518" s="109"/>
      <c r="H2518" s="109"/>
      <c r="I2518" s="97"/>
      <c r="J2518" s="97"/>
      <c r="K2518" s="83"/>
      <c r="L2518" s="111"/>
      <c r="M2518" s="111"/>
      <c r="N2518" s="111"/>
      <c r="O2518" s="111"/>
      <c r="P2518" s="111"/>
      <c r="Q2518" s="111"/>
      <c r="R2518" s="111"/>
    </row>
    <row r="2519" spans="2:18" s="108" customFormat="1">
      <c r="B2519" s="109"/>
      <c r="C2519" s="110"/>
      <c r="D2519" s="109"/>
      <c r="E2519" s="109"/>
      <c r="F2519" s="97"/>
      <c r="G2519" s="109"/>
      <c r="H2519" s="109"/>
      <c r="I2519" s="97"/>
      <c r="J2519" s="97"/>
      <c r="K2519" s="83"/>
      <c r="L2519" s="111"/>
      <c r="M2519" s="111"/>
      <c r="N2519" s="111"/>
      <c r="O2519" s="111"/>
      <c r="P2519" s="111"/>
      <c r="Q2519" s="111"/>
      <c r="R2519" s="111"/>
    </row>
    <row r="2520" spans="2:18" s="108" customFormat="1">
      <c r="B2520" s="109"/>
      <c r="C2520" s="110"/>
      <c r="D2520" s="109"/>
      <c r="E2520" s="109"/>
      <c r="F2520" s="97"/>
      <c r="G2520" s="109"/>
      <c r="H2520" s="109"/>
      <c r="I2520" s="97"/>
      <c r="J2520" s="97"/>
      <c r="K2520" s="83"/>
      <c r="L2520" s="111"/>
      <c r="M2520" s="111"/>
      <c r="N2520" s="111"/>
      <c r="O2520" s="111"/>
      <c r="P2520" s="111"/>
      <c r="Q2520" s="111"/>
      <c r="R2520" s="111"/>
    </row>
    <row r="2521" spans="2:18" s="108" customFormat="1">
      <c r="B2521" s="109"/>
      <c r="C2521" s="110"/>
      <c r="D2521" s="109"/>
      <c r="E2521" s="109"/>
      <c r="F2521" s="97"/>
      <c r="G2521" s="109"/>
      <c r="H2521" s="109"/>
      <c r="I2521" s="97"/>
      <c r="J2521" s="97"/>
      <c r="K2521" s="83"/>
      <c r="L2521" s="111"/>
      <c r="M2521" s="111"/>
      <c r="N2521" s="111"/>
      <c r="O2521" s="111"/>
      <c r="P2521" s="111"/>
      <c r="Q2521" s="111"/>
      <c r="R2521" s="111"/>
    </row>
    <row r="2522" spans="2:18" s="108" customFormat="1">
      <c r="B2522" s="109"/>
      <c r="C2522" s="110"/>
      <c r="D2522" s="109"/>
      <c r="E2522" s="109"/>
      <c r="F2522" s="97"/>
      <c r="G2522" s="109"/>
      <c r="H2522" s="109"/>
      <c r="I2522" s="97"/>
      <c r="J2522" s="97"/>
      <c r="K2522" s="83"/>
      <c r="L2522" s="111"/>
      <c r="M2522" s="111"/>
      <c r="N2522" s="111"/>
      <c r="O2522" s="111"/>
      <c r="P2522" s="111"/>
      <c r="Q2522" s="111"/>
      <c r="R2522" s="111"/>
    </row>
    <row r="2523" spans="2:18" s="108" customFormat="1">
      <c r="B2523" s="109"/>
      <c r="C2523" s="110"/>
      <c r="D2523" s="109"/>
      <c r="E2523" s="109"/>
      <c r="F2523" s="97"/>
      <c r="G2523" s="109"/>
      <c r="H2523" s="109"/>
      <c r="I2523" s="97"/>
      <c r="J2523" s="97"/>
      <c r="K2523" s="83"/>
      <c r="L2523" s="111"/>
      <c r="M2523" s="111"/>
      <c r="N2523" s="111"/>
      <c r="O2523" s="111"/>
      <c r="P2523" s="111"/>
      <c r="Q2523" s="111"/>
      <c r="R2523" s="111"/>
    </row>
    <row r="2524" spans="2:18" s="108" customFormat="1">
      <c r="B2524" s="109"/>
      <c r="C2524" s="110"/>
      <c r="D2524" s="109"/>
      <c r="E2524" s="109"/>
      <c r="F2524" s="97"/>
      <c r="G2524" s="109"/>
      <c r="H2524" s="109"/>
      <c r="I2524" s="97"/>
      <c r="J2524" s="97"/>
      <c r="K2524" s="83"/>
      <c r="L2524" s="111"/>
      <c r="M2524" s="111"/>
      <c r="N2524" s="111"/>
      <c r="O2524" s="111"/>
      <c r="P2524" s="111"/>
      <c r="Q2524" s="111"/>
      <c r="R2524" s="111"/>
    </row>
    <row r="2525" spans="2:18" s="108" customFormat="1">
      <c r="B2525" s="109"/>
      <c r="C2525" s="110"/>
      <c r="D2525" s="109"/>
      <c r="E2525" s="109"/>
      <c r="F2525" s="97"/>
      <c r="G2525" s="109"/>
      <c r="H2525" s="109"/>
      <c r="I2525" s="97"/>
      <c r="J2525" s="97"/>
      <c r="K2525" s="83"/>
      <c r="L2525" s="111"/>
      <c r="M2525" s="111"/>
      <c r="N2525" s="111"/>
      <c r="O2525" s="111"/>
      <c r="P2525" s="111"/>
      <c r="Q2525" s="111"/>
      <c r="R2525" s="111"/>
    </row>
    <row r="2526" spans="2:18" s="108" customFormat="1">
      <c r="B2526" s="109"/>
      <c r="C2526" s="110"/>
      <c r="D2526" s="109"/>
      <c r="E2526" s="109"/>
      <c r="F2526" s="97"/>
      <c r="G2526" s="109"/>
      <c r="H2526" s="109"/>
      <c r="I2526" s="97"/>
      <c r="J2526" s="97"/>
      <c r="K2526" s="83"/>
      <c r="L2526" s="111"/>
      <c r="M2526" s="111"/>
      <c r="N2526" s="111"/>
      <c r="O2526" s="111"/>
      <c r="P2526" s="111"/>
      <c r="Q2526" s="111"/>
      <c r="R2526" s="111"/>
    </row>
    <row r="2527" spans="2:18" s="108" customFormat="1">
      <c r="B2527" s="109"/>
      <c r="C2527" s="110"/>
      <c r="D2527" s="109"/>
      <c r="E2527" s="109"/>
      <c r="F2527" s="97"/>
      <c r="G2527" s="109"/>
      <c r="H2527" s="109"/>
      <c r="I2527" s="97"/>
      <c r="J2527" s="97"/>
      <c r="K2527" s="83"/>
      <c r="L2527" s="111"/>
      <c r="M2527" s="111"/>
      <c r="N2527" s="111"/>
      <c r="O2527" s="111"/>
      <c r="P2527" s="111"/>
      <c r="Q2527" s="111"/>
      <c r="R2527" s="111"/>
    </row>
    <row r="2528" spans="2:18" s="108" customFormat="1">
      <c r="B2528" s="109"/>
      <c r="C2528" s="110"/>
      <c r="D2528" s="109"/>
      <c r="E2528" s="109"/>
      <c r="F2528" s="97"/>
      <c r="G2528" s="109"/>
      <c r="H2528" s="109"/>
      <c r="I2528" s="97"/>
      <c r="J2528" s="97"/>
      <c r="K2528" s="83"/>
      <c r="L2528" s="111"/>
      <c r="M2528" s="111"/>
      <c r="N2528" s="111"/>
      <c r="O2528" s="111"/>
      <c r="P2528" s="111"/>
      <c r="Q2528" s="111"/>
      <c r="R2528" s="111"/>
    </row>
    <row r="2529" spans="2:18" s="108" customFormat="1">
      <c r="B2529" s="109"/>
      <c r="C2529" s="110"/>
      <c r="D2529" s="109"/>
      <c r="E2529" s="109"/>
      <c r="F2529" s="97"/>
      <c r="G2529" s="109"/>
      <c r="H2529" s="109"/>
      <c r="I2529" s="97"/>
      <c r="J2529" s="97"/>
      <c r="K2529" s="83"/>
      <c r="L2529" s="111"/>
      <c r="M2529" s="111"/>
      <c r="N2529" s="111"/>
      <c r="O2529" s="111"/>
      <c r="P2529" s="111"/>
      <c r="Q2529" s="111"/>
      <c r="R2529" s="111"/>
    </row>
    <row r="2530" spans="2:18" s="108" customFormat="1">
      <c r="B2530" s="109"/>
      <c r="C2530" s="110"/>
      <c r="D2530" s="109"/>
      <c r="E2530" s="109"/>
      <c r="F2530" s="97"/>
      <c r="G2530" s="109"/>
      <c r="H2530" s="109"/>
      <c r="I2530" s="97"/>
      <c r="J2530" s="97"/>
      <c r="K2530" s="83"/>
      <c r="L2530" s="111"/>
      <c r="M2530" s="111"/>
      <c r="N2530" s="111"/>
      <c r="O2530" s="111"/>
      <c r="P2530" s="111"/>
      <c r="Q2530" s="111"/>
      <c r="R2530" s="111"/>
    </row>
    <row r="2531" spans="2:18" s="108" customFormat="1">
      <c r="B2531" s="109"/>
      <c r="C2531" s="110"/>
      <c r="D2531" s="109"/>
      <c r="E2531" s="109"/>
      <c r="F2531" s="97"/>
      <c r="G2531" s="109"/>
      <c r="H2531" s="109"/>
      <c r="I2531" s="97"/>
      <c r="J2531" s="97"/>
      <c r="K2531" s="83"/>
      <c r="L2531" s="111"/>
      <c r="M2531" s="111"/>
      <c r="N2531" s="111"/>
      <c r="O2531" s="111"/>
      <c r="P2531" s="111"/>
      <c r="Q2531" s="111"/>
      <c r="R2531" s="111"/>
    </row>
    <row r="2532" spans="2:18" s="108" customFormat="1">
      <c r="B2532" s="109"/>
      <c r="C2532" s="110"/>
      <c r="D2532" s="109"/>
      <c r="E2532" s="109"/>
      <c r="F2532" s="97"/>
      <c r="G2532" s="109"/>
      <c r="H2532" s="109"/>
      <c r="I2532" s="97"/>
      <c r="J2532" s="97"/>
      <c r="K2532" s="83"/>
      <c r="L2532" s="111"/>
      <c r="M2532" s="111"/>
      <c r="N2532" s="111"/>
      <c r="O2532" s="111"/>
      <c r="P2532" s="111"/>
      <c r="Q2532" s="111"/>
      <c r="R2532" s="111"/>
    </row>
    <row r="2533" spans="2:18" s="108" customFormat="1">
      <c r="B2533" s="109"/>
      <c r="C2533" s="110"/>
      <c r="D2533" s="109"/>
      <c r="E2533" s="109"/>
      <c r="F2533" s="97"/>
      <c r="G2533" s="109"/>
      <c r="H2533" s="109"/>
      <c r="I2533" s="97"/>
      <c r="J2533" s="97"/>
      <c r="K2533" s="83"/>
      <c r="L2533" s="111"/>
      <c r="M2533" s="111"/>
      <c r="N2533" s="111"/>
      <c r="O2533" s="111"/>
      <c r="P2533" s="111"/>
      <c r="Q2533" s="111"/>
      <c r="R2533" s="111"/>
    </row>
    <row r="2534" spans="2:18" s="108" customFormat="1">
      <c r="B2534" s="109"/>
      <c r="C2534" s="110"/>
      <c r="D2534" s="109"/>
      <c r="E2534" s="109"/>
      <c r="F2534" s="97"/>
      <c r="G2534" s="109"/>
      <c r="H2534" s="109"/>
      <c r="I2534" s="97"/>
      <c r="J2534" s="97"/>
      <c r="K2534" s="83"/>
      <c r="L2534" s="111"/>
      <c r="M2534" s="111"/>
      <c r="N2534" s="111"/>
      <c r="O2534" s="111"/>
      <c r="P2534" s="111"/>
      <c r="Q2534" s="111"/>
      <c r="R2534" s="111"/>
    </row>
    <row r="2535" spans="2:18" s="108" customFormat="1">
      <c r="B2535" s="109"/>
      <c r="C2535" s="110"/>
      <c r="D2535" s="109"/>
      <c r="E2535" s="109"/>
      <c r="F2535" s="97"/>
      <c r="G2535" s="109"/>
      <c r="H2535" s="109"/>
      <c r="I2535" s="97"/>
      <c r="J2535" s="97"/>
      <c r="K2535" s="83"/>
      <c r="L2535" s="111"/>
      <c r="M2535" s="111"/>
      <c r="N2535" s="111"/>
      <c r="O2535" s="111"/>
      <c r="P2535" s="111"/>
      <c r="Q2535" s="111"/>
      <c r="R2535" s="111"/>
    </row>
    <row r="2536" spans="2:18" s="108" customFormat="1">
      <c r="B2536" s="109"/>
      <c r="C2536" s="110"/>
      <c r="D2536" s="109"/>
      <c r="E2536" s="109"/>
      <c r="F2536" s="97"/>
      <c r="G2536" s="109"/>
      <c r="H2536" s="109"/>
      <c r="I2536" s="97"/>
      <c r="J2536" s="97"/>
      <c r="K2536" s="83"/>
      <c r="L2536" s="111"/>
      <c r="M2536" s="111"/>
      <c r="N2536" s="111"/>
      <c r="O2536" s="111"/>
      <c r="P2536" s="111"/>
      <c r="Q2536" s="111"/>
      <c r="R2536" s="111"/>
    </row>
    <row r="2537" spans="2:18" s="108" customFormat="1">
      <c r="B2537" s="109"/>
      <c r="C2537" s="110"/>
      <c r="D2537" s="109"/>
      <c r="E2537" s="109"/>
      <c r="F2537" s="97"/>
      <c r="G2537" s="109"/>
      <c r="H2537" s="109"/>
      <c r="I2537" s="97"/>
      <c r="J2537" s="97"/>
      <c r="K2537" s="83"/>
      <c r="L2537" s="111"/>
      <c r="M2537" s="111"/>
      <c r="N2537" s="111"/>
      <c r="O2537" s="111"/>
      <c r="P2537" s="111"/>
      <c r="Q2537" s="111"/>
      <c r="R2537" s="111"/>
    </row>
    <row r="2538" spans="2:18" s="108" customFormat="1">
      <c r="B2538" s="109"/>
      <c r="C2538" s="110"/>
      <c r="D2538" s="109"/>
      <c r="E2538" s="109"/>
      <c r="F2538" s="97"/>
      <c r="G2538" s="109"/>
      <c r="H2538" s="109"/>
      <c r="I2538" s="97"/>
      <c r="J2538" s="97"/>
      <c r="K2538" s="83"/>
      <c r="L2538" s="111"/>
      <c r="M2538" s="111"/>
      <c r="N2538" s="111"/>
      <c r="O2538" s="111"/>
      <c r="P2538" s="111"/>
      <c r="Q2538" s="111"/>
      <c r="R2538" s="111"/>
    </row>
    <row r="2539" spans="2:18" s="108" customFormat="1">
      <c r="B2539" s="109"/>
      <c r="C2539" s="110"/>
      <c r="D2539" s="109"/>
      <c r="E2539" s="109"/>
      <c r="F2539" s="97"/>
      <c r="G2539" s="109"/>
      <c r="H2539" s="109"/>
      <c r="I2539" s="97"/>
      <c r="J2539" s="97"/>
      <c r="K2539" s="83"/>
      <c r="L2539" s="111"/>
      <c r="M2539" s="111"/>
      <c r="N2539" s="111"/>
      <c r="O2539" s="111"/>
      <c r="P2539" s="111"/>
      <c r="Q2539" s="111"/>
      <c r="R2539" s="111"/>
    </row>
    <row r="2540" spans="2:18" s="108" customFormat="1">
      <c r="B2540" s="109"/>
      <c r="C2540" s="110"/>
      <c r="D2540" s="109"/>
      <c r="E2540" s="109"/>
      <c r="F2540" s="97"/>
      <c r="G2540" s="109"/>
      <c r="H2540" s="109"/>
      <c r="I2540" s="97"/>
      <c r="J2540" s="97"/>
      <c r="K2540" s="83"/>
      <c r="L2540" s="111"/>
      <c r="M2540" s="111"/>
      <c r="N2540" s="111"/>
      <c r="O2540" s="111"/>
      <c r="P2540" s="111"/>
      <c r="Q2540" s="111"/>
      <c r="R2540" s="111"/>
    </row>
    <row r="2541" spans="2:18" s="108" customFormat="1">
      <c r="B2541" s="109"/>
      <c r="C2541" s="110"/>
      <c r="D2541" s="109"/>
      <c r="E2541" s="109"/>
      <c r="F2541" s="97"/>
      <c r="G2541" s="109"/>
      <c r="H2541" s="109"/>
      <c r="I2541" s="97"/>
      <c r="J2541" s="97"/>
      <c r="K2541" s="83"/>
      <c r="L2541" s="111"/>
      <c r="M2541" s="111"/>
      <c r="N2541" s="111"/>
      <c r="O2541" s="111"/>
      <c r="P2541" s="111"/>
      <c r="Q2541" s="111"/>
      <c r="R2541" s="111"/>
    </row>
    <row r="2542" spans="2:18" s="108" customFormat="1">
      <c r="B2542" s="109"/>
      <c r="C2542" s="110"/>
      <c r="D2542" s="109"/>
      <c r="E2542" s="109"/>
      <c r="F2542" s="97"/>
      <c r="G2542" s="109"/>
      <c r="H2542" s="109"/>
      <c r="I2542" s="97"/>
      <c r="J2542" s="97"/>
      <c r="K2542" s="83"/>
      <c r="L2542" s="111"/>
      <c r="M2542" s="111"/>
      <c r="N2542" s="111"/>
      <c r="O2542" s="111"/>
      <c r="P2542" s="111"/>
      <c r="Q2542" s="111"/>
      <c r="R2542" s="111"/>
    </row>
    <row r="2543" spans="2:18" s="108" customFormat="1">
      <c r="B2543" s="109"/>
      <c r="C2543" s="110"/>
      <c r="D2543" s="109"/>
      <c r="E2543" s="109"/>
      <c r="F2543" s="97"/>
      <c r="G2543" s="109"/>
      <c r="H2543" s="109"/>
      <c r="I2543" s="97"/>
      <c r="J2543" s="97"/>
      <c r="K2543" s="83"/>
      <c r="L2543" s="111"/>
      <c r="M2543" s="111"/>
      <c r="N2543" s="111"/>
      <c r="O2543" s="111"/>
      <c r="P2543" s="111"/>
      <c r="Q2543" s="111"/>
      <c r="R2543" s="111"/>
    </row>
    <row r="2544" spans="2:18" s="108" customFormat="1">
      <c r="B2544" s="109"/>
      <c r="C2544" s="110"/>
      <c r="D2544" s="109"/>
      <c r="E2544" s="109"/>
      <c r="F2544" s="97"/>
      <c r="G2544" s="109"/>
      <c r="H2544" s="109"/>
      <c r="I2544" s="97"/>
      <c r="J2544" s="97"/>
      <c r="K2544" s="83"/>
      <c r="L2544" s="111"/>
      <c r="M2544" s="111"/>
      <c r="N2544" s="111"/>
      <c r="O2544" s="111"/>
      <c r="P2544" s="111"/>
      <c r="Q2544" s="111"/>
      <c r="R2544" s="111"/>
    </row>
    <row r="2545" spans="2:18" s="108" customFormat="1">
      <c r="B2545" s="109"/>
      <c r="C2545" s="110"/>
      <c r="D2545" s="109"/>
      <c r="E2545" s="109"/>
      <c r="F2545" s="97"/>
      <c r="G2545" s="109"/>
      <c r="H2545" s="109"/>
      <c r="I2545" s="97"/>
      <c r="J2545" s="97"/>
      <c r="K2545" s="83"/>
      <c r="L2545" s="111"/>
      <c r="M2545" s="111"/>
      <c r="N2545" s="111"/>
      <c r="O2545" s="111"/>
      <c r="P2545" s="111"/>
      <c r="Q2545" s="111"/>
      <c r="R2545" s="111"/>
    </row>
    <row r="2546" spans="2:18" s="108" customFormat="1">
      <c r="B2546" s="109"/>
      <c r="C2546" s="110"/>
      <c r="D2546" s="109"/>
      <c r="E2546" s="109"/>
      <c r="F2546" s="97"/>
      <c r="G2546" s="109"/>
      <c r="H2546" s="109"/>
      <c r="I2546" s="97"/>
      <c r="J2546" s="97"/>
      <c r="K2546" s="83"/>
      <c r="L2546" s="111"/>
      <c r="M2546" s="111"/>
      <c r="N2546" s="111"/>
      <c r="O2546" s="111"/>
      <c r="P2546" s="111"/>
      <c r="Q2546" s="111"/>
      <c r="R2546" s="111"/>
    </row>
    <row r="2547" spans="2:18" s="108" customFormat="1">
      <c r="B2547" s="109"/>
      <c r="C2547" s="110"/>
      <c r="D2547" s="109"/>
      <c r="E2547" s="109"/>
      <c r="F2547" s="97"/>
      <c r="G2547" s="109"/>
      <c r="H2547" s="109"/>
      <c r="I2547" s="97"/>
      <c r="J2547" s="97"/>
      <c r="K2547" s="83"/>
      <c r="L2547" s="111"/>
      <c r="M2547" s="111"/>
      <c r="N2547" s="111"/>
      <c r="O2547" s="111"/>
      <c r="P2547" s="111"/>
      <c r="Q2547" s="111"/>
      <c r="R2547" s="111"/>
    </row>
    <row r="2548" spans="2:18" s="108" customFormat="1">
      <c r="B2548" s="109"/>
      <c r="C2548" s="110"/>
      <c r="D2548" s="109"/>
      <c r="E2548" s="109"/>
      <c r="F2548" s="97"/>
      <c r="G2548" s="109"/>
      <c r="H2548" s="109"/>
      <c r="I2548" s="97"/>
      <c r="J2548" s="97"/>
      <c r="K2548" s="83"/>
      <c r="L2548" s="111"/>
      <c r="M2548" s="111"/>
      <c r="N2548" s="111"/>
      <c r="O2548" s="111"/>
      <c r="P2548" s="111"/>
      <c r="Q2548" s="111"/>
      <c r="R2548" s="111"/>
    </row>
    <row r="2549" spans="2:18" s="108" customFormat="1">
      <c r="B2549" s="109"/>
      <c r="C2549" s="110"/>
      <c r="D2549" s="109"/>
      <c r="E2549" s="109"/>
      <c r="F2549" s="97"/>
      <c r="G2549" s="109"/>
      <c r="H2549" s="109"/>
      <c r="I2549" s="97"/>
      <c r="J2549" s="97"/>
      <c r="K2549" s="83"/>
      <c r="L2549" s="111"/>
      <c r="M2549" s="111"/>
      <c r="N2549" s="111"/>
      <c r="O2549" s="111"/>
      <c r="P2549" s="111"/>
      <c r="Q2549" s="111"/>
      <c r="R2549" s="111"/>
    </row>
    <row r="2550" spans="2:18" s="108" customFormat="1">
      <c r="B2550" s="109"/>
      <c r="C2550" s="110"/>
      <c r="D2550" s="109"/>
      <c r="E2550" s="109"/>
      <c r="F2550" s="97"/>
      <c r="G2550" s="109"/>
      <c r="H2550" s="109"/>
      <c r="I2550" s="97"/>
      <c r="J2550" s="97"/>
      <c r="K2550" s="83"/>
      <c r="L2550" s="111"/>
      <c r="M2550" s="111"/>
      <c r="N2550" s="111"/>
      <c r="O2550" s="111"/>
      <c r="P2550" s="111"/>
      <c r="Q2550" s="111"/>
      <c r="R2550" s="111"/>
    </row>
    <row r="2551" spans="2:18" s="108" customFormat="1">
      <c r="B2551" s="109"/>
      <c r="C2551" s="110"/>
      <c r="D2551" s="109"/>
      <c r="E2551" s="109"/>
      <c r="F2551" s="97"/>
      <c r="G2551" s="109"/>
      <c r="H2551" s="109"/>
      <c r="I2551" s="97"/>
      <c r="J2551" s="97"/>
      <c r="K2551" s="83"/>
      <c r="L2551" s="111"/>
      <c r="M2551" s="111"/>
      <c r="N2551" s="111"/>
      <c r="O2551" s="111"/>
      <c r="P2551" s="111"/>
      <c r="Q2551" s="111"/>
      <c r="R2551" s="111"/>
    </row>
    <row r="2552" spans="2:18" s="108" customFormat="1">
      <c r="B2552" s="109"/>
      <c r="C2552" s="110"/>
      <c r="D2552" s="109"/>
      <c r="E2552" s="109"/>
      <c r="F2552" s="97"/>
      <c r="G2552" s="109"/>
      <c r="H2552" s="109"/>
      <c r="I2552" s="97"/>
      <c r="J2552" s="97"/>
      <c r="K2552" s="83"/>
      <c r="L2552" s="111"/>
      <c r="M2552" s="111"/>
      <c r="N2552" s="111"/>
      <c r="O2552" s="111"/>
      <c r="P2552" s="111"/>
      <c r="Q2552" s="111"/>
      <c r="R2552" s="111"/>
    </row>
    <row r="2553" spans="2:18" s="108" customFormat="1">
      <c r="B2553" s="109"/>
      <c r="C2553" s="110"/>
      <c r="D2553" s="109"/>
      <c r="E2553" s="109"/>
      <c r="F2553" s="97"/>
      <c r="G2553" s="109"/>
      <c r="H2553" s="109"/>
      <c r="I2553" s="97"/>
      <c r="J2553" s="97"/>
      <c r="K2553" s="83"/>
      <c r="L2553" s="111"/>
      <c r="M2553" s="111"/>
      <c r="N2553" s="111"/>
      <c r="O2553" s="111"/>
      <c r="P2553" s="111"/>
      <c r="Q2553" s="111"/>
      <c r="R2553" s="111"/>
    </row>
    <row r="2554" spans="2:18" s="108" customFormat="1">
      <c r="B2554" s="109"/>
      <c r="C2554" s="110"/>
      <c r="D2554" s="109"/>
      <c r="E2554" s="109"/>
      <c r="F2554" s="97"/>
      <c r="G2554" s="109"/>
      <c r="H2554" s="109"/>
      <c r="I2554" s="97"/>
      <c r="J2554" s="97"/>
      <c r="K2554" s="83"/>
      <c r="L2554" s="111"/>
      <c r="M2554" s="111"/>
      <c r="N2554" s="111"/>
      <c r="O2554" s="111"/>
      <c r="P2554" s="111"/>
      <c r="Q2554" s="111"/>
      <c r="R2554" s="111"/>
    </row>
    <row r="2555" spans="2:18" s="108" customFormat="1">
      <c r="B2555" s="109"/>
      <c r="C2555" s="110"/>
      <c r="D2555" s="109"/>
      <c r="E2555" s="109"/>
      <c r="F2555" s="97"/>
      <c r="G2555" s="109"/>
      <c r="H2555" s="109"/>
      <c r="I2555" s="97"/>
      <c r="J2555" s="97"/>
      <c r="K2555" s="83"/>
      <c r="L2555" s="111"/>
      <c r="M2555" s="111"/>
      <c r="N2555" s="111"/>
      <c r="O2555" s="111"/>
      <c r="P2555" s="111"/>
      <c r="Q2555" s="111"/>
      <c r="R2555" s="111"/>
    </row>
    <row r="2556" spans="2:18" s="108" customFormat="1">
      <c r="B2556" s="109"/>
      <c r="C2556" s="110"/>
      <c r="D2556" s="109"/>
      <c r="E2556" s="109"/>
      <c r="F2556" s="97"/>
      <c r="G2556" s="109"/>
      <c r="H2556" s="109"/>
      <c r="I2556" s="97"/>
      <c r="J2556" s="97"/>
      <c r="K2556" s="83"/>
      <c r="L2556" s="111"/>
      <c r="M2556" s="111"/>
      <c r="N2556" s="111"/>
      <c r="O2556" s="111"/>
      <c r="P2556" s="111"/>
      <c r="Q2556" s="111"/>
      <c r="R2556" s="111"/>
    </row>
    <row r="2557" spans="2:18" s="108" customFormat="1">
      <c r="B2557" s="109"/>
      <c r="C2557" s="110"/>
      <c r="D2557" s="109"/>
      <c r="E2557" s="109"/>
      <c r="F2557" s="97"/>
      <c r="G2557" s="109"/>
      <c r="H2557" s="109"/>
      <c r="I2557" s="97"/>
      <c r="J2557" s="97"/>
      <c r="K2557" s="83"/>
      <c r="L2557" s="111"/>
      <c r="M2557" s="111"/>
      <c r="N2557" s="111"/>
      <c r="O2557" s="111"/>
      <c r="P2557" s="111"/>
      <c r="Q2557" s="111"/>
      <c r="R2557" s="111"/>
    </row>
    <row r="2558" spans="2:18" s="108" customFormat="1">
      <c r="B2558" s="109"/>
      <c r="C2558" s="110"/>
      <c r="D2558" s="109"/>
      <c r="E2558" s="109"/>
      <c r="F2558" s="97"/>
      <c r="G2558" s="109"/>
      <c r="H2558" s="109"/>
      <c r="I2558" s="97"/>
      <c r="J2558" s="97"/>
      <c r="K2558" s="83"/>
      <c r="L2558" s="111"/>
      <c r="M2558" s="111"/>
      <c r="N2558" s="111"/>
      <c r="O2558" s="111"/>
      <c r="P2558" s="111"/>
      <c r="Q2558" s="111"/>
      <c r="R2558" s="111"/>
    </row>
    <row r="2559" spans="2:18" s="108" customFormat="1">
      <c r="B2559" s="109"/>
      <c r="C2559" s="110"/>
      <c r="D2559" s="109"/>
      <c r="E2559" s="109"/>
      <c r="F2559" s="97"/>
      <c r="G2559" s="109"/>
      <c r="H2559" s="109"/>
      <c r="I2559" s="97"/>
      <c r="J2559" s="97"/>
      <c r="K2559" s="83"/>
      <c r="L2559" s="111"/>
      <c r="M2559" s="111"/>
      <c r="N2559" s="111"/>
      <c r="O2559" s="111"/>
      <c r="P2559" s="111"/>
      <c r="Q2559" s="111"/>
      <c r="R2559" s="111"/>
    </row>
    <row r="2560" spans="2:18" s="108" customFormat="1">
      <c r="B2560" s="109"/>
      <c r="C2560" s="110"/>
      <c r="D2560" s="109"/>
      <c r="E2560" s="109"/>
      <c r="F2560" s="97"/>
      <c r="G2560" s="109"/>
      <c r="H2560" s="109"/>
      <c r="I2560" s="97"/>
      <c r="J2560" s="97"/>
      <c r="K2560" s="83"/>
      <c r="L2560" s="111"/>
      <c r="M2560" s="111"/>
      <c r="N2560" s="111"/>
      <c r="O2560" s="111"/>
      <c r="P2560" s="111"/>
      <c r="Q2560" s="111"/>
      <c r="R2560" s="111"/>
    </row>
    <row r="2561" spans="2:18" s="108" customFormat="1">
      <c r="B2561" s="109"/>
      <c r="C2561" s="110"/>
      <c r="D2561" s="109"/>
      <c r="E2561" s="109"/>
      <c r="F2561" s="97"/>
      <c r="G2561" s="109"/>
      <c r="H2561" s="109"/>
      <c r="I2561" s="97"/>
      <c r="J2561" s="97"/>
      <c r="K2561" s="83"/>
      <c r="L2561" s="111"/>
      <c r="M2561" s="111"/>
      <c r="N2561" s="111"/>
      <c r="O2561" s="111"/>
      <c r="P2561" s="111"/>
      <c r="Q2561" s="111"/>
      <c r="R2561" s="111"/>
    </row>
    <row r="2562" spans="2:18" s="108" customFormat="1">
      <c r="B2562" s="109"/>
      <c r="C2562" s="110"/>
      <c r="D2562" s="109"/>
      <c r="E2562" s="109"/>
      <c r="F2562" s="97"/>
      <c r="G2562" s="109"/>
      <c r="H2562" s="109"/>
      <c r="I2562" s="97"/>
      <c r="J2562" s="97"/>
      <c r="K2562" s="83"/>
      <c r="L2562" s="111"/>
      <c r="M2562" s="111"/>
      <c r="N2562" s="111"/>
      <c r="O2562" s="111"/>
      <c r="P2562" s="111"/>
      <c r="Q2562" s="111"/>
      <c r="R2562" s="111"/>
    </row>
    <row r="2563" spans="2:18" s="108" customFormat="1">
      <c r="B2563" s="109"/>
      <c r="C2563" s="110"/>
      <c r="D2563" s="109"/>
      <c r="E2563" s="109"/>
      <c r="F2563" s="97"/>
      <c r="G2563" s="109"/>
      <c r="H2563" s="109"/>
      <c r="I2563" s="97"/>
      <c r="J2563" s="97"/>
      <c r="K2563" s="83"/>
      <c r="L2563" s="111"/>
      <c r="M2563" s="111"/>
      <c r="N2563" s="111"/>
      <c r="O2563" s="111"/>
      <c r="P2563" s="111"/>
      <c r="Q2563" s="111"/>
      <c r="R2563" s="111"/>
    </row>
    <row r="2564" spans="2:18" s="108" customFormat="1">
      <c r="B2564" s="109"/>
      <c r="C2564" s="110"/>
      <c r="D2564" s="109"/>
      <c r="E2564" s="109"/>
      <c r="F2564" s="97"/>
      <c r="G2564" s="109"/>
      <c r="H2564" s="109"/>
      <c r="I2564" s="97"/>
      <c r="J2564" s="97"/>
      <c r="K2564" s="83"/>
      <c r="L2564" s="111"/>
      <c r="M2564" s="111"/>
      <c r="N2564" s="111"/>
      <c r="O2564" s="111"/>
      <c r="P2564" s="111"/>
      <c r="Q2564" s="111"/>
      <c r="R2564" s="111"/>
    </row>
    <row r="2565" spans="2:18" s="108" customFormat="1">
      <c r="B2565" s="109"/>
      <c r="C2565" s="110"/>
      <c r="D2565" s="109"/>
      <c r="E2565" s="109"/>
      <c r="F2565" s="97"/>
      <c r="G2565" s="109"/>
      <c r="H2565" s="109"/>
      <c r="I2565" s="97"/>
      <c r="J2565" s="97"/>
      <c r="K2565" s="83"/>
      <c r="L2565" s="111"/>
      <c r="M2565" s="111"/>
      <c r="N2565" s="111"/>
      <c r="O2565" s="111"/>
      <c r="P2565" s="111"/>
      <c r="Q2565" s="111"/>
      <c r="R2565" s="111"/>
    </row>
    <row r="2566" spans="2:18" s="108" customFormat="1">
      <c r="B2566" s="109"/>
      <c r="C2566" s="110"/>
      <c r="D2566" s="109"/>
      <c r="E2566" s="109"/>
      <c r="F2566" s="97"/>
      <c r="G2566" s="109"/>
      <c r="H2566" s="109"/>
      <c r="I2566" s="97"/>
      <c r="J2566" s="97"/>
      <c r="K2566" s="83"/>
      <c r="L2566" s="111"/>
      <c r="M2566" s="111"/>
      <c r="N2566" s="111"/>
      <c r="O2566" s="111"/>
      <c r="P2566" s="111"/>
      <c r="Q2566" s="111"/>
      <c r="R2566" s="111"/>
    </row>
    <row r="2567" spans="2:18" s="108" customFormat="1">
      <c r="B2567" s="109"/>
      <c r="C2567" s="110"/>
      <c r="D2567" s="109"/>
      <c r="E2567" s="109"/>
      <c r="F2567" s="97"/>
      <c r="G2567" s="109"/>
      <c r="H2567" s="109"/>
      <c r="I2567" s="97"/>
      <c r="J2567" s="97"/>
      <c r="K2567" s="83"/>
      <c r="L2567" s="111"/>
      <c r="M2567" s="111"/>
      <c r="N2567" s="111"/>
      <c r="O2567" s="111"/>
      <c r="P2567" s="111"/>
      <c r="Q2567" s="111"/>
      <c r="R2567" s="111"/>
    </row>
    <row r="2568" spans="2:18" s="108" customFormat="1">
      <c r="B2568" s="109"/>
      <c r="C2568" s="110"/>
      <c r="D2568" s="109"/>
      <c r="E2568" s="109"/>
      <c r="F2568" s="97"/>
      <c r="G2568" s="109"/>
      <c r="H2568" s="109"/>
      <c r="I2568" s="97"/>
      <c r="J2568" s="97"/>
      <c r="K2568" s="83"/>
      <c r="L2568" s="111"/>
      <c r="M2568" s="111"/>
      <c r="N2568" s="111"/>
      <c r="O2568" s="111"/>
      <c r="P2568" s="111"/>
      <c r="Q2568" s="111"/>
      <c r="R2568" s="111"/>
    </row>
    <row r="2569" spans="2:18" s="108" customFormat="1">
      <c r="B2569" s="109"/>
      <c r="C2569" s="110"/>
      <c r="D2569" s="109"/>
      <c r="E2569" s="109"/>
      <c r="F2569" s="97"/>
      <c r="G2569" s="109"/>
      <c r="H2569" s="109"/>
      <c r="I2569" s="97"/>
      <c r="J2569" s="97"/>
      <c r="K2569" s="83"/>
      <c r="L2569" s="111"/>
      <c r="M2569" s="111"/>
      <c r="N2569" s="111"/>
      <c r="O2569" s="111"/>
      <c r="P2569" s="111"/>
      <c r="Q2569" s="111"/>
      <c r="R2569" s="111"/>
    </row>
    <row r="2570" spans="2:18" s="108" customFormat="1">
      <c r="B2570" s="109"/>
      <c r="C2570" s="110"/>
      <c r="D2570" s="109"/>
      <c r="E2570" s="109"/>
      <c r="F2570" s="97"/>
      <c r="G2570" s="109"/>
      <c r="H2570" s="109"/>
      <c r="I2570" s="97"/>
      <c r="J2570" s="97"/>
      <c r="K2570" s="83"/>
      <c r="L2570" s="111"/>
      <c r="M2570" s="111"/>
      <c r="N2570" s="111"/>
      <c r="O2570" s="111"/>
      <c r="P2570" s="111"/>
      <c r="Q2570" s="111"/>
      <c r="R2570" s="111"/>
    </row>
    <row r="2571" spans="2:18" s="108" customFormat="1">
      <c r="B2571" s="109"/>
      <c r="C2571" s="110"/>
      <c r="D2571" s="109"/>
      <c r="E2571" s="109"/>
      <c r="F2571" s="97"/>
      <c r="G2571" s="109"/>
      <c r="H2571" s="109"/>
      <c r="I2571" s="97"/>
      <c r="J2571" s="97"/>
      <c r="K2571" s="83"/>
      <c r="L2571" s="111"/>
      <c r="M2571" s="111"/>
      <c r="N2571" s="111"/>
      <c r="O2571" s="111"/>
      <c r="P2571" s="111"/>
      <c r="Q2571" s="111"/>
      <c r="R2571" s="111"/>
    </row>
    <row r="2572" spans="2:18" s="108" customFormat="1">
      <c r="B2572" s="109"/>
      <c r="C2572" s="110"/>
      <c r="D2572" s="109"/>
      <c r="E2572" s="109"/>
      <c r="F2572" s="97"/>
      <c r="G2572" s="109"/>
      <c r="H2572" s="109"/>
      <c r="I2572" s="97"/>
      <c r="J2572" s="97"/>
      <c r="K2572" s="83"/>
      <c r="L2572" s="111"/>
      <c r="M2572" s="111"/>
      <c r="N2572" s="111"/>
      <c r="O2572" s="111"/>
      <c r="P2572" s="111"/>
      <c r="Q2572" s="111"/>
      <c r="R2572" s="111"/>
    </row>
    <row r="2573" spans="2:18" s="108" customFormat="1">
      <c r="B2573" s="109"/>
      <c r="C2573" s="110"/>
      <c r="D2573" s="109"/>
      <c r="E2573" s="109"/>
      <c r="F2573" s="97"/>
      <c r="G2573" s="109"/>
      <c r="H2573" s="109"/>
      <c r="I2573" s="97"/>
      <c r="J2573" s="97"/>
      <c r="K2573" s="83"/>
      <c r="L2573" s="111"/>
      <c r="M2573" s="111"/>
      <c r="N2573" s="111"/>
      <c r="O2573" s="111"/>
      <c r="P2573" s="111"/>
      <c r="Q2573" s="111"/>
      <c r="R2573" s="111"/>
    </row>
    <row r="2574" spans="2:18" s="108" customFormat="1">
      <c r="B2574" s="109"/>
      <c r="C2574" s="110"/>
      <c r="D2574" s="109"/>
      <c r="E2574" s="109"/>
      <c r="F2574" s="97"/>
      <c r="G2574" s="109"/>
      <c r="H2574" s="109"/>
      <c r="I2574" s="97"/>
      <c r="J2574" s="97"/>
      <c r="K2574" s="83"/>
      <c r="L2574" s="111"/>
      <c r="M2574" s="111"/>
      <c r="N2574" s="111"/>
      <c r="O2574" s="111"/>
      <c r="P2574" s="111"/>
      <c r="Q2574" s="111"/>
      <c r="R2574" s="111"/>
    </row>
    <row r="2575" spans="2:18" s="108" customFormat="1">
      <c r="B2575" s="109"/>
      <c r="C2575" s="110"/>
      <c r="D2575" s="109"/>
      <c r="E2575" s="109"/>
      <c r="F2575" s="97"/>
      <c r="G2575" s="109"/>
      <c r="H2575" s="109"/>
      <c r="I2575" s="97"/>
      <c r="J2575" s="97"/>
      <c r="K2575" s="83"/>
      <c r="L2575" s="111"/>
      <c r="M2575" s="111"/>
      <c r="N2575" s="111"/>
      <c r="O2575" s="111"/>
      <c r="P2575" s="111"/>
      <c r="Q2575" s="111"/>
      <c r="R2575" s="111"/>
    </row>
    <row r="2576" spans="2:18" s="108" customFormat="1">
      <c r="B2576" s="109"/>
      <c r="C2576" s="110"/>
      <c r="D2576" s="109"/>
      <c r="E2576" s="109"/>
      <c r="F2576" s="97"/>
      <c r="G2576" s="109"/>
      <c r="H2576" s="109"/>
      <c r="I2576" s="97"/>
      <c r="J2576" s="97"/>
      <c r="K2576" s="83"/>
      <c r="L2576" s="111"/>
      <c r="M2576" s="111"/>
      <c r="N2576" s="111"/>
      <c r="O2576" s="111"/>
      <c r="P2576" s="111"/>
      <c r="Q2576" s="111"/>
      <c r="R2576" s="111"/>
    </row>
    <row r="2577" spans="2:18" s="108" customFormat="1">
      <c r="B2577" s="109"/>
      <c r="C2577" s="110"/>
      <c r="D2577" s="109"/>
      <c r="E2577" s="109"/>
      <c r="F2577" s="97"/>
      <c r="G2577" s="109"/>
      <c r="H2577" s="109"/>
      <c r="I2577" s="97"/>
      <c r="J2577" s="97"/>
      <c r="K2577" s="83"/>
      <c r="L2577" s="111"/>
      <c r="M2577" s="111"/>
      <c r="N2577" s="111"/>
      <c r="O2577" s="111"/>
      <c r="P2577" s="111"/>
      <c r="Q2577" s="111"/>
      <c r="R2577" s="111"/>
    </row>
    <row r="2578" spans="2:18" s="108" customFormat="1">
      <c r="B2578" s="109"/>
      <c r="C2578" s="110"/>
      <c r="D2578" s="109"/>
      <c r="E2578" s="109"/>
      <c r="F2578" s="97"/>
      <c r="G2578" s="109"/>
      <c r="H2578" s="109"/>
      <c r="I2578" s="97"/>
      <c r="J2578" s="97"/>
      <c r="K2578" s="83"/>
      <c r="L2578" s="111"/>
      <c r="M2578" s="111"/>
      <c r="N2578" s="111"/>
      <c r="O2578" s="111"/>
      <c r="P2578" s="111"/>
      <c r="Q2578" s="111"/>
      <c r="R2578" s="111"/>
    </row>
    <row r="2579" spans="2:18" s="108" customFormat="1">
      <c r="B2579" s="109"/>
      <c r="C2579" s="110"/>
      <c r="D2579" s="109"/>
      <c r="E2579" s="109"/>
      <c r="F2579" s="97"/>
      <c r="G2579" s="109"/>
      <c r="H2579" s="109"/>
      <c r="I2579" s="97"/>
      <c r="J2579" s="97"/>
      <c r="K2579" s="83"/>
      <c r="L2579" s="111"/>
      <c r="M2579" s="111"/>
      <c r="N2579" s="111"/>
      <c r="O2579" s="111"/>
      <c r="P2579" s="111"/>
      <c r="Q2579" s="111"/>
      <c r="R2579" s="111"/>
    </row>
    <row r="2580" spans="2:18" s="108" customFormat="1">
      <c r="B2580" s="109"/>
      <c r="C2580" s="110"/>
      <c r="D2580" s="109"/>
      <c r="E2580" s="109"/>
      <c r="F2580" s="97"/>
      <c r="G2580" s="109"/>
      <c r="H2580" s="109"/>
      <c r="I2580" s="97"/>
      <c r="J2580" s="97"/>
      <c r="K2580" s="83"/>
      <c r="L2580" s="111"/>
      <c r="M2580" s="111"/>
      <c r="N2580" s="111"/>
      <c r="O2580" s="111"/>
      <c r="P2580" s="111"/>
      <c r="Q2580" s="111"/>
      <c r="R2580" s="111"/>
    </row>
    <row r="2581" spans="2:18" s="108" customFormat="1">
      <c r="B2581" s="109"/>
      <c r="C2581" s="110"/>
      <c r="D2581" s="109"/>
      <c r="E2581" s="109"/>
      <c r="F2581" s="97"/>
      <c r="G2581" s="109"/>
      <c r="H2581" s="109"/>
      <c r="I2581" s="97"/>
      <c r="J2581" s="97"/>
      <c r="K2581" s="83"/>
      <c r="L2581" s="111"/>
      <c r="M2581" s="111"/>
      <c r="N2581" s="111"/>
      <c r="O2581" s="111"/>
      <c r="P2581" s="111"/>
      <c r="Q2581" s="111"/>
      <c r="R2581" s="111"/>
    </row>
    <row r="2582" spans="2:18" s="108" customFormat="1">
      <c r="B2582" s="109"/>
      <c r="C2582" s="110"/>
      <c r="D2582" s="109"/>
      <c r="E2582" s="109"/>
      <c r="F2582" s="97"/>
      <c r="G2582" s="109"/>
      <c r="H2582" s="109"/>
      <c r="I2582" s="97"/>
      <c r="J2582" s="97"/>
      <c r="K2582" s="83"/>
      <c r="L2582" s="111"/>
      <c r="M2582" s="111"/>
      <c r="N2582" s="111"/>
      <c r="O2582" s="111"/>
      <c r="P2582" s="111"/>
      <c r="Q2582" s="111"/>
      <c r="R2582" s="111"/>
    </row>
    <row r="2583" spans="2:18" s="108" customFormat="1">
      <c r="B2583" s="109"/>
      <c r="C2583" s="110"/>
      <c r="D2583" s="109"/>
      <c r="E2583" s="109"/>
      <c r="F2583" s="97"/>
      <c r="G2583" s="109"/>
      <c r="H2583" s="109"/>
      <c r="I2583" s="97"/>
      <c r="J2583" s="97"/>
      <c r="K2583" s="83"/>
      <c r="L2583" s="111"/>
      <c r="M2583" s="111"/>
      <c r="N2583" s="111"/>
      <c r="O2583" s="111"/>
      <c r="P2583" s="111"/>
      <c r="Q2583" s="111"/>
      <c r="R2583" s="111"/>
    </row>
    <row r="2584" spans="2:18" s="108" customFormat="1">
      <c r="B2584" s="109"/>
      <c r="C2584" s="110"/>
      <c r="D2584" s="109"/>
      <c r="E2584" s="109"/>
      <c r="F2584" s="97"/>
      <c r="G2584" s="109"/>
      <c r="H2584" s="109"/>
      <c r="I2584" s="97"/>
      <c r="J2584" s="97"/>
      <c r="K2584" s="83"/>
      <c r="L2584" s="111"/>
      <c r="M2584" s="111"/>
      <c r="N2584" s="111"/>
      <c r="O2584" s="111"/>
      <c r="P2584" s="111"/>
      <c r="Q2584" s="111"/>
      <c r="R2584" s="111"/>
    </row>
    <row r="2585" spans="2:18" s="108" customFormat="1">
      <c r="B2585" s="109"/>
      <c r="C2585" s="110"/>
      <c r="D2585" s="109"/>
      <c r="E2585" s="109"/>
      <c r="F2585" s="97"/>
      <c r="G2585" s="109"/>
      <c r="H2585" s="109"/>
      <c r="I2585" s="97"/>
      <c r="J2585" s="97"/>
      <c r="K2585" s="83"/>
      <c r="L2585" s="111"/>
      <c r="M2585" s="111"/>
      <c r="N2585" s="111"/>
      <c r="O2585" s="111"/>
      <c r="P2585" s="111"/>
      <c r="Q2585" s="111"/>
      <c r="R2585" s="111"/>
    </row>
    <row r="2586" spans="2:18" s="108" customFormat="1">
      <c r="B2586" s="109"/>
      <c r="C2586" s="110"/>
      <c r="D2586" s="109"/>
      <c r="E2586" s="109"/>
      <c r="F2586" s="97"/>
      <c r="G2586" s="109"/>
      <c r="H2586" s="109"/>
      <c r="I2586" s="97"/>
      <c r="J2586" s="97"/>
      <c r="K2586" s="83"/>
      <c r="L2586" s="111"/>
      <c r="M2586" s="111"/>
      <c r="N2586" s="111"/>
      <c r="O2586" s="111"/>
      <c r="P2586" s="111"/>
      <c r="Q2586" s="111"/>
      <c r="R2586" s="111"/>
    </row>
    <row r="2587" spans="2:18" s="108" customFormat="1">
      <c r="B2587" s="109"/>
      <c r="C2587" s="110"/>
      <c r="D2587" s="109"/>
      <c r="E2587" s="109"/>
      <c r="F2587" s="97"/>
      <c r="G2587" s="109"/>
      <c r="H2587" s="109"/>
      <c r="I2587" s="97"/>
      <c r="J2587" s="97"/>
      <c r="K2587" s="83"/>
      <c r="L2587" s="111"/>
      <c r="M2587" s="111"/>
      <c r="N2587" s="111"/>
      <c r="O2587" s="111"/>
      <c r="P2587" s="111"/>
      <c r="Q2587" s="111"/>
      <c r="R2587" s="111"/>
    </row>
    <row r="2588" spans="2:18" s="108" customFormat="1">
      <c r="B2588" s="109"/>
      <c r="C2588" s="110"/>
      <c r="D2588" s="109"/>
      <c r="E2588" s="109"/>
      <c r="F2588" s="97"/>
      <c r="G2588" s="109"/>
      <c r="H2588" s="109"/>
      <c r="I2588" s="97"/>
      <c r="J2588" s="97"/>
      <c r="K2588" s="83"/>
      <c r="L2588" s="111"/>
      <c r="M2588" s="111"/>
      <c r="N2588" s="111"/>
      <c r="O2588" s="111"/>
      <c r="P2588" s="111"/>
      <c r="Q2588" s="111"/>
      <c r="R2588" s="111"/>
    </row>
    <row r="2589" spans="2:18" s="108" customFormat="1">
      <c r="B2589" s="109"/>
      <c r="C2589" s="110"/>
      <c r="D2589" s="109"/>
      <c r="E2589" s="109"/>
      <c r="F2589" s="97"/>
      <c r="G2589" s="109"/>
      <c r="H2589" s="109"/>
      <c r="I2589" s="97"/>
      <c r="J2589" s="97"/>
      <c r="K2589" s="83"/>
      <c r="L2589" s="111"/>
      <c r="M2589" s="111"/>
      <c r="N2589" s="111"/>
      <c r="O2589" s="111"/>
      <c r="P2589" s="111"/>
      <c r="Q2589" s="111"/>
      <c r="R2589" s="111"/>
    </row>
    <row r="2590" spans="2:18" s="108" customFormat="1">
      <c r="B2590" s="109"/>
      <c r="C2590" s="110"/>
      <c r="D2590" s="109"/>
      <c r="E2590" s="109"/>
      <c r="F2590" s="97"/>
      <c r="G2590" s="109"/>
      <c r="H2590" s="109"/>
      <c r="I2590" s="97"/>
      <c r="J2590" s="97"/>
      <c r="K2590" s="83"/>
      <c r="L2590" s="111"/>
      <c r="M2590" s="111"/>
      <c r="N2590" s="111"/>
      <c r="O2590" s="111"/>
      <c r="P2590" s="111"/>
      <c r="Q2590" s="111"/>
      <c r="R2590" s="111"/>
    </row>
    <row r="2591" spans="2:18" s="108" customFormat="1">
      <c r="B2591" s="109"/>
      <c r="C2591" s="110"/>
      <c r="D2591" s="109"/>
      <c r="E2591" s="109"/>
      <c r="F2591" s="97"/>
      <c r="G2591" s="109"/>
      <c r="H2591" s="109"/>
      <c r="I2591" s="97"/>
      <c r="J2591" s="97"/>
      <c r="K2591" s="83"/>
      <c r="L2591" s="111"/>
      <c r="M2591" s="111"/>
      <c r="N2591" s="111"/>
      <c r="O2591" s="111"/>
      <c r="P2591" s="111"/>
      <c r="Q2591" s="111"/>
      <c r="R2591" s="111"/>
    </row>
    <row r="2592" spans="2:18" s="108" customFormat="1">
      <c r="B2592" s="109"/>
      <c r="C2592" s="110"/>
      <c r="D2592" s="109"/>
      <c r="E2592" s="109"/>
      <c r="F2592" s="97"/>
      <c r="G2592" s="109"/>
      <c r="H2592" s="109"/>
      <c r="I2592" s="97"/>
      <c r="J2592" s="97"/>
      <c r="K2592" s="83"/>
      <c r="L2592" s="111"/>
      <c r="M2592" s="111"/>
      <c r="N2592" s="111"/>
      <c r="O2592" s="111"/>
      <c r="P2592" s="111"/>
      <c r="Q2592" s="111"/>
      <c r="R2592" s="111"/>
    </row>
    <row r="2593" spans="2:18" s="108" customFormat="1">
      <c r="B2593" s="109"/>
      <c r="C2593" s="110"/>
      <c r="D2593" s="109"/>
      <c r="E2593" s="109"/>
      <c r="F2593" s="97"/>
      <c r="G2593" s="109"/>
      <c r="H2593" s="109"/>
      <c r="I2593" s="97"/>
      <c r="J2593" s="97"/>
      <c r="K2593" s="83"/>
      <c r="L2593" s="111"/>
      <c r="M2593" s="111"/>
      <c r="N2593" s="111"/>
      <c r="O2593" s="111"/>
      <c r="P2593" s="111"/>
      <c r="Q2593" s="111"/>
      <c r="R2593" s="111"/>
    </row>
    <row r="2594" spans="2:18" s="108" customFormat="1">
      <c r="B2594" s="109"/>
      <c r="C2594" s="110"/>
      <c r="D2594" s="109"/>
      <c r="E2594" s="109"/>
      <c r="F2594" s="97"/>
      <c r="G2594" s="109"/>
      <c r="H2594" s="109"/>
      <c r="I2594" s="97"/>
      <c r="J2594" s="97"/>
      <c r="K2594" s="83"/>
      <c r="L2594" s="111"/>
      <c r="M2594" s="111"/>
      <c r="N2594" s="111"/>
      <c r="O2594" s="111"/>
      <c r="P2594" s="111"/>
      <c r="Q2594" s="111"/>
      <c r="R2594" s="111"/>
    </row>
    <row r="2595" spans="2:18" s="108" customFormat="1">
      <c r="B2595" s="109"/>
      <c r="C2595" s="110"/>
      <c r="D2595" s="109"/>
      <c r="E2595" s="109"/>
      <c r="F2595" s="97"/>
      <c r="G2595" s="109"/>
      <c r="H2595" s="109"/>
      <c r="I2595" s="97"/>
      <c r="J2595" s="97"/>
      <c r="K2595" s="83"/>
      <c r="L2595" s="111"/>
      <c r="M2595" s="111"/>
      <c r="N2595" s="111"/>
      <c r="O2595" s="111"/>
      <c r="P2595" s="111"/>
      <c r="Q2595" s="111"/>
      <c r="R2595" s="111"/>
    </row>
    <row r="2596" spans="2:18" s="108" customFormat="1">
      <c r="B2596" s="109"/>
      <c r="C2596" s="110"/>
      <c r="D2596" s="109"/>
      <c r="E2596" s="109"/>
      <c r="F2596" s="97"/>
      <c r="G2596" s="109"/>
      <c r="H2596" s="109"/>
      <c r="I2596" s="97"/>
      <c r="J2596" s="97"/>
      <c r="K2596" s="83"/>
      <c r="L2596" s="111"/>
      <c r="M2596" s="111"/>
      <c r="N2596" s="111"/>
      <c r="O2596" s="111"/>
      <c r="P2596" s="111"/>
      <c r="Q2596" s="111"/>
      <c r="R2596" s="111"/>
    </row>
    <row r="2597" spans="2:18" s="108" customFormat="1">
      <c r="B2597" s="109"/>
      <c r="C2597" s="110"/>
      <c r="D2597" s="109"/>
      <c r="E2597" s="109"/>
      <c r="F2597" s="97"/>
      <c r="G2597" s="109"/>
      <c r="H2597" s="109"/>
      <c r="I2597" s="97"/>
      <c r="J2597" s="97"/>
      <c r="K2597" s="83"/>
      <c r="L2597" s="111"/>
      <c r="M2597" s="111"/>
      <c r="N2597" s="111"/>
      <c r="O2597" s="111"/>
      <c r="P2597" s="111"/>
      <c r="Q2597" s="111"/>
      <c r="R2597" s="111"/>
    </row>
    <row r="2598" spans="2:18" s="108" customFormat="1">
      <c r="B2598" s="109"/>
      <c r="C2598" s="110"/>
      <c r="D2598" s="109"/>
      <c r="E2598" s="109"/>
      <c r="F2598" s="97"/>
      <c r="G2598" s="109"/>
      <c r="H2598" s="109"/>
      <c r="I2598" s="97"/>
      <c r="J2598" s="97"/>
      <c r="K2598" s="83"/>
      <c r="L2598" s="111"/>
      <c r="M2598" s="111"/>
      <c r="N2598" s="111"/>
      <c r="O2598" s="111"/>
      <c r="P2598" s="111"/>
      <c r="Q2598" s="111"/>
      <c r="R2598" s="111"/>
    </row>
    <row r="2599" spans="2:18" s="108" customFormat="1">
      <c r="B2599" s="109"/>
      <c r="C2599" s="110"/>
      <c r="D2599" s="109"/>
      <c r="E2599" s="109"/>
      <c r="F2599" s="97"/>
      <c r="G2599" s="109"/>
      <c r="H2599" s="109"/>
      <c r="I2599" s="97"/>
      <c r="J2599" s="97"/>
      <c r="K2599" s="83"/>
      <c r="L2599" s="111"/>
      <c r="M2599" s="111"/>
      <c r="N2599" s="111"/>
      <c r="O2599" s="111"/>
      <c r="P2599" s="111"/>
      <c r="Q2599" s="111"/>
      <c r="R2599" s="111"/>
    </row>
    <row r="2600" spans="2:18" s="108" customFormat="1">
      <c r="B2600" s="109"/>
      <c r="C2600" s="110"/>
      <c r="D2600" s="109"/>
      <c r="E2600" s="109"/>
      <c r="F2600" s="97"/>
      <c r="G2600" s="109"/>
      <c r="H2600" s="109"/>
      <c r="I2600" s="97"/>
      <c r="J2600" s="97"/>
      <c r="K2600" s="83"/>
      <c r="L2600" s="111"/>
      <c r="M2600" s="111"/>
      <c r="N2600" s="111"/>
      <c r="O2600" s="111"/>
      <c r="P2600" s="111"/>
      <c r="Q2600" s="111"/>
      <c r="R2600" s="111"/>
    </row>
    <row r="2601" spans="2:18" s="108" customFormat="1">
      <c r="B2601" s="109"/>
      <c r="C2601" s="110"/>
      <c r="D2601" s="109"/>
      <c r="E2601" s="109"/>
      <c r="F2601" s="97"/>
      <c r="G2601" s="109"/>
      <c r="H2601" s="109"/>
      <c r="I2601" s="97"/>
      <c r="J2601" s="97"/>
      <c r="K2601" s="83"/>
      <c r="L2601" s="111"/>
      <c r="M2601" s="111"/>
      <c r="N2601" s="111"/>
      <c r="O2601" s="111"/>
      <c r="P2601" s="111"/>
      <c r="Q2601" s="111"/>
      <c r="R2601" s="111"/>
    </row>
    <row r="2602" spans="2:18" s="108" customFormat="1">
      <c r="B2602" s="109"/>
      <c r="C2602" s="110"/>
      <c r="D2602" s="109"/>
      <c r="E2602" s="109"/>
      <c r="F2602" s="97"/>
      <c r="G2602" s="109"/>
      <c r="H2602" s="109"/>
      <c r="I2602" s="97"/>
      <c r="J2602" s="97"/>
      <c r="K2602" s="83"/>
      <c r="L2602" s="111"/>
      <c r="M2602" s="111"/>
      <c r="N2602" s="111"/>
      <c r="O2602" s="111"/>
      <c r="P2602" s="111"/>
      <c r="Q2602" s="111"/>
      <c r="R2602" s="111"/>
    </row>
    <row r="2603" spans="2:18" s="108" customFormat="1">
      <c r="B2603" s="109"/>
      <c r="C2603" s="110"/>
      <c r="D2603" s="109"/>
      <c r="E2603" s="109"/>
      <c r="F2603" s="97"/>
      <c r="G2603" s="109"/>
      <c r="H2603" s="109"/>
      <c r="I2603" s="97"/>
      <c r="J2603" s="97"/>
      <c r="K2603" s="83"/>
      <c r="L2603" s="111"/>
      <c r="M2603" s="111"/>
      <c r="N2603" s="111"/>
      <c r="O2603" s="111"/>
      <c r="P2603" s="111"/>
      <c r="Q2603" s="111"/>
      <c r="R2603" s="111"/>
    </row>
    <row r="2604" spans="2:18" s="108" customFormat="1">
      <c r="B2604" s="109"/>
      <c r="C2604" s="110"/>
      <c r="D2604" s="109"/>
      <c r="E2604" s="109"/>
      <c r="F2604" s="97"/>
      <c r="G2604" s="109"/>
      <c r="H2604" s="109"/>
      <c r="I2604" s="97"/>
      <c r="J2604" s="97"/>
      <c r="K2604" s="83"/>
      <c r="L2604" s="111"/>
      <c r="M2604" s="111"/>
      <c r="N2604" s="111"/>
      <c r="O2604" s="111"/>
      <c r="P2604" s="111"/>
      <c r="Q2604" s="111"/>
      <c r="R2604" s="111"/>
    </row>
    <row r="2605" spans="2:18" s="108" customFormat="1">
      <c r="B2605" s="109"/>
      <c r="C2605" s="110"/>
      <c r="D2605" s="109"/>
      <c r="E2605" s="109"/>
      <c r="F2605" s="97"/>
      <c r="G2605" s="109"/>
      <c r="H2605" s="109"/>
      <c r="I2605" s="97"/>
      <c r="J2605" s="97"/>
      <c r="K2605" s="83"/>
      <c r="L2605" s="111"/>
      <c r="M2605" s="111"/>
      <c r="N2605" s="111"/>
      <c r="O2605" s="111"/>
      <c r="P2605" s="111"/>
      <c r="Q2605" s="111"/>
      <c r="R2605" s="111"/>
    </row>
    <row r="2606" spans="2:18" s="108" customFormat="1">
      <c r="B2606" s="109"/>
      <c r="C2606" s="110"/>
      <c r="D2606" s="109"/>
      <c r="E2606" s="109"/>
      <c r="F2606" s="97"/>
      <c r="G2606" s="109"/>
      <c r="H2606" s="109"/>
      <c r="I2606" s="97"/>
      <c r="J2606" s="97"/>
      <c r="K2606" s="83"/>
      <c r="L2606" s="111"/>
      <c r="M2606" s="111"/>
      <c r="N2606" s="111"/>
      <c r="O2606" s="111"/>
      <c r="P2606" s="111"/>
      <c r="Q2606" s="111"/>
      <c r="R2606" s="111"/>
    </row>
    <row r="2607" spans="2:18" s="108" customFormat="1">
      <c r="B2607" s="109"/>
      <c r="C2607" s="110"/>
      <c r="D2607" s="109"/>
      <c r="E2607" s="109"/>
      <c r="F2607" s="97"/>
      <c r="G2607" s="109"/>
      <c r="H2607" s="109"/>
      <c r="I2607" s="97"/>
      <c r="J2607" s="97"/>
      <c r="K2607" s="83"/>
      <c r="L2607" s="111"/>
      <c r="M2607" s="111"/>
      <c r="N2607" s="111"/>
      <c r="O2607" s="111"/>
      <c r="P2607" s="111"/>
      <c r="Q2607" s="111"/>
      <c r="R2607" s="111"/>
    </row>
    <row r="2608" spans="2:18" s="108" customFormat="1">
      <c r="B2608" s="109"/>
      <c r="C2608" s="110"/>
      <c r="D2608" s="109"/>
      <c r="E2608" s="109"/>
      <c r="F2608" s="97"/>
      <c r="G2608" s="109"/>
      <c r="H2608" s="109"/>
      <c r="I2608" s="97"/>
      <c r="J2608" s="97"/>
      <c r="K2608" s="83"/>
      <c r="L2608" s="111"/>
      <c r="M2608" s="111"/>
      <c r="N2608" s="111"/>
      <c r="O2608" s="111"/>
      <c r="P2608" s="111"/>
      <c r="Q2608" s="111"/>
      <c r="R2608" s="111"/>
    </row>
    <row r="2609" spans="2:18" s="108" customFormat="1">
      <c r="B2609" s="109"/>
      <c r="C2609" s="110"/>
      <c r="D2609" s="109"/>
      <c r="E2609" s="109"/>
      <c r="F2609" s="97"/>
      <c r="G2609" s="109"/>
      <c r="H2609" s="109"/>
      <c r="I2609" s="97"/>
      <c r="J2609" s="97"/>
      <c r="K2609" s="83"/>
      <c r="L2609" s="111"/>
      <c r="M2609" s="111"/>
      <c r="N2609" s="111"/>
      <c r="O2609" s="111"/>
      <c r="P2609" s="111"/>
      <c r="Q2609" s="111"/>
      <c r="R2609" s="111"/>
    </row>
    <row r="2610" spans="2:18" s="108" customFormat="1">
      <c r="B2610" s="109"/>
      <c r="C2610" s="110"/>
      <c r="D2610" s="109"/>
      <c r="E2610" s="109"/>
      <c r="F2610" s="97"/>
      <c r="G2610" s="109"/>
      <c r="H2610" s="109"/>
      <c r="I2610" s="97"/>
      <c r="J2610" s="97"/>
      <c r="K2610" s="83"/>
      <c r="L2610" s="111"/>
      <c r="M2610" s="111"/>
      <c r="N2610" s="111"/>
      <c r="O2610" s="111"/>
      <c r="P2610" s="111"/>
      <c r="Q2610" s="111"/>
      <c r="R2610" s="111"/>
    </row>
    <row r="2611" spans="2:18" s="108" customFormat="1">
      <c r="B2611" s="109"/>
      <c r="C2611" s="110"/>
      <c r="D2611" s="109"/>
      <c r="E2611" s="109"/>
      <c r="F2611" s="97"/>
      <c r="G2611" s="109"/>
      <c r="H2611" s="109"/>
      <c r="I2611" s="97"/>
      <c r="J2611" s="97"/>
      <c r="K2611" s="83"/>
      <c r="L2611" s="111"/>
      <c r="M2611" s="111"/>
      <c r="N2611" s="111"/>
      <c r="O2611" s="111"/>
      <c r="P2611" s="111"/>
      <c r="Q2611" s="111"/>
      <c r="R2611" s="111"/>
    </row>
    <row r="2612" spans="2:18" s="108" customFormat="1">
      <c r="B2612" s="109"/>
      <c r="C2612" s="110"/>
      <c r="D2612" s="109"/>
      <c r="E2612" s="109"/>
      <c r="F2612" s="97"/>
      <c r="G2612" s="109"/>
      <c r="H2612" s="109"/>
      <c r="I2612" s="97"/>
      <c r="J2612" s="97"/>
      <c r="K2612" s="83"/>
      <c r="L2612" s="111"/>
      <c r="M2612" s="111"/>
      <c r="N2612" s="111"/>
      <c r="O2612" s="111"/>
      <c r="P2612" s="111"/>
      <c r="Q2612" s="111"/>
      <c r="R2612" s="111"/>
    </row>
    <row r="2613" spans="2:18" s="108" customFormat="1">
      <c r="B2613" s="109"/>
      <c r="C2613" s="110"/>
      <c r="D2613" s="109"/>
      <c r="E2613" s="109"/>
      <c r="F2613" s="97"/>
      <c r="G2613" s="109"/>
      <c r="H2613" s="109"/>
      <c r="I2613" s="97"/>
      <c r="J2613" s="97"/>
      <c r="K2613" s="83"/>
      <c r="L2613" s="111"/>
      <c r="M2613" s="111"/>
      <c r="N2613" s="111"/>
      <c r="O2613" s="111"/>
      <c r="P2613" s="111"/>
      <c r="Q2613" s="111"/>
      <c r="R2613" s="111"/>
    </row>
    <row r="2614" spans="2:18" s="108" customFormat="1">
      <c r="B2614" s="109"/>
      <c r="C2614" s="110"/>
      <c r="D2614" s="109"/>
      <c r="E2614" s="109"/>
      <c r="F2614" s="97"/>
      <c r="G2614" s="109"/>
      <c r="H2614" s="109"/>
      <c r="I2614" s="97"/>
      <c r="J2614" s="97"/>
      <c r="K2614" s="83"/>
      <c r="L2614" s="111"/>
      <c r="M2614" s="111"/>
      <c r="N2614" s="111"/>
      <c r="O2614" s="111"/>
      <c r="P2614" s="111"/>
      <c r="Q2614" s="111"/>
      <c r="R2614" s="111"/>
    </row>
    <row r="2615" spans="2:18" s="108" customFormat="1">
      <c r="B2615" s="109"/>
      <c r="C2615" s="110"/>
      <c r="D2615" s="109"/>
      <c r="E2615" s="109"/>
      <c r="F2615" s="97"/>
      <c r="G2615" s="109"/>
      <c r="H2615" s="109"/>
      <c r="I2615" s="97"/>
      <c r="J2615" s="97"/>
      <c r="K2615" s="83"/>
      <c r="L2615" s="111"/>
      <c r="M2615" s="111"/>
      <c r="N2615" s="111"/>
      <c r="O2615" s="111"/>
      <c r="P2615" s="111"/>
      <c r="Q2615" s="111"/>
      <c r="R2615" s="111"/>
    </row>
    <row r="2616" spans="2:18" s="108" customFormat="1">
      <c r="B2616" s="109"/>
      <c r="C2616" s="110"/>
      <c r="D2616" s="109"/>
      <c r="E2616" s="109"/>
      <c r="F2616" s="97"/>
      <c r="G2616" s="109"/>
      <c r="H2616" s="109"/>
      <c r="I2616" s="97"/>
      <c r="J2616" s="97"/>
      <c r="K2616" s="83"/>
      <c r="L2616" s="111"/>
      <c r="M2616" s="111"/>
      <c r="N2616" s="111"/>
      <c r="O2616" s="111"/>
      <c r="P2616" s="111"/>
      <c r="Q2616" s="111"/>
      <c r="R2616" s="111"/>
    </row>
    <row r="2617" spans="2:18" s="108" customFormat="1">
      <c r="B2617" s="109"/>
      <c r="C2617" s="110"/>
      <c r="D2617" s="109"/>
      <c r="E2617" s="109"/>
      <c r="F2617" s="97"/>
      <c r="G2617" s="109"/>
      <c r="H2617" s="109"/>
      <c r="I2617" s="97"/>
      <c r="J2617" s="97"/>
      <c r="K2617" s="83"/>
      <c r="L2617" s="111"/>
      <c r="M2617" s="111"/>
      <c r="N2617" s="111"/>
      <c r="O2617" s="111"/>
      <c r="P2617" s="111"/>
      <c r="Q2617" s="111"/>
      <c r="R2617" s="111"/>
    </row>
    <row r="2618" spans="2:18" s="108" customFormat="1">
      <c r="B2618" s="109"/>
      <c r="C2618" s="110"/>
      <c r="D2618" s="109"/>
      <c r="E2618" s="109"/>
      <c r="F2618" s="97"/>
      <c r="G2618" s="109"/>
      <c r="H2618" s="109"/>
      <c r="I2618" s="97"/>
      <c r="J2618" s="97"/>
      <c r="K2618" s="83"/>
      <c r="L2618" s="111"/>
      <c r="M2618" s="111"/>
      <c r="N2618" s="111"/>
      <c r="O2618" s="111"/>
      <c r="P2618" s="111"/>
      <c r="Q2618" s="111"/>
      <c r="R2618" s="111"/>
    </row>
    <row r="2619" spans="2:18" s="108" customFormat="1">
      <c r="B2619" s="109"/>
      <c r="C2619" s="110"/>
      <c r="D2619" s="109"/>
      <c r="E2619" s="109"/>
      <c r="F2619" s="97"/>
      <c r="G2619" s="109"/>
      <c r="H2619" s="109"/>
      <c r="I2619" s="97"/>
      <c r="J2619" s="97"/>
      <c r="K2619" s="83"/>
      <c r="L2619" s="111"/>
      <c r="M2619" s="111"/>
      <c r="N2619" s="111"/>
      <c r="O2619" s="111"/>
      <c r="P2619" s="111"/>
      <c r="Q2619" s="111"/>
      <c r="R2619" s="111"/>
    </row>
    <row r="2620" spans="2:18" s="108" customFormat="1">
      <c r="B2620" s="109"/>
      <c r="C2620" s="110"/>
      <c r="D2620" s="109"/>
      <c r="E2620" s="109"/>
      <c r="F2620" s="97"/>
      <c r="G2620" s="109"/>
      <c r="H2620" s="109"/>
      <c r="I2620" s="97"/>
      <c r="J2620" s="97"/>
      <c r="K2620" s="83"/>
      <c r="L2620" s="111"/>
      <c r="M2620" s="111"/>
      <c r="N2620" s="111"/>
      <c r="O2620" s="111"/>
      <c r="P2620" s="111"/>
      <c r="Q2620" s="111"/>
      <c r="R2620" s="111"/>
    </row>
    <row r="2621" spans="2:18" s="108" customFormat="1">
      <c r="B2621" s="109"/>
      <c r="C2621" s="110"/>
      <c r="D2621" s="109"/>
      <c r="E2621" s="109"/>
      <c r="F2621" s="97"/>
      <c r="G2621" s="109"/>
      <c r="H2621" s="109"/>
      <c r="I2621" s="97"/>
      <c r="J2621" s="97"/>
      <c r="K2621" s="83"/>
      <c r="L2621" s="111"/>
      <c r="M2621" s="111"/>
      <c r="N2621" s="111"/>
      <c r="O2621" s="111"/>
      <c r="P2621" s="111"/>
      <c r="Q2621" s="111"/>
      <c r="R2621" s="111"/>
    </row>
    <row r="2622" spans="2:18" s="108" customFormat="1">
      <c r="B2622" s="109"/>
      <c r="C2622" s="110"/>
      <c r="D2622" s="109"/>
      <c r="E2622" s="109"/>
      <c r="F2622" s="97"/>
      <c r="G2622" s="109"/>
      <c r="H2622" s="109"/>
      <c r="I2622" s="97"/>
      <c r="J2622" s="97"/>
      <c r="K2622" s="83"/>
      <c r="L2622" s="111"/>
      <c r="M2622" s="111"/>
      <c r="N2622" s="111"/>
      <c r="O2622" s="111"/>
      <c r="P2622" s="111"/>
      <c r="Q2622" s="111"/>
      <c r="R2622" s="111"/>
    </row>
    <row r="2623" spans="2:18" s="108" customFormat="1">
      <c r="B2623" s="109"/>
      <c r="C2623" s="110"/>
      <c r="D2623" s="109"/>
      <c r="E2623" s="109"/>
      <c r="F2623" s="97"/>
      <c r="G2623" s="109"/>
      <c r="H2623" s="109"/>
      <c r="I2623" s="97"/>
      <c r="J2623" s="97"/>
      <c r="K2623" s="83"/>
      <c r="L2623" s="111"/>
      <c r="M2623" s="111"/>
      <c r="N2623" s="111"/>
      <c r="O2623" s="111"/>
      <c r="P2623" s="111"/>
      <c r="Q2623" s="111"/>
      <c r="R2623" s="111"/>
    </row>
    <row r="2624" spans="2:18" s="108" customFormat="1">
      <c r="B2624" s="109"/>
      <c r="C2624" s="110"/>
      <c r="D2624" s="109"/>
      <c r="E2624" s="109"/>
      <c r="F2624" s="97"/>
      <c r="G2624" s="109"/>
      <c r="H2624" s="109"/>
      <c r="I2624" s="97"/>
      <c r="J2624" s="97"/>
      <c r="K2624" s="83"/>
      <c r="L2624" s="111"/>
      <c r="M2624" s="111"/>
      <c r="N2624" s="111"/>
      <c r="O2624" s="111"/>
      <c r="P2624" s="111"/>
      <c r="Q2624" s="111"/>
      <c r="R2624" s="111"/>
    </row>
    <row r="2625" spans="2:18" s="108" customFormat="1">
      <c r="B2625" s="109"/>
      <c r="C2625" s="110"/>
      <c r="D2625" s="109"/>
      <c r="E2625" s="109"/>
      <c r="F2625" s="97"/>
      <c r="G2625" s="109"/>
      <c r="H2625" s="109"/>
      <c r="I2625" s="97"/>
      <c r="J2625" s="97"/>
      <c r="K2625" s="83"/>
      <c r="L2625" s="111"/>
      <c r="M2625" s="111"/>
      <c r="N2625" s="111"/>
      <c r="O2625" s="111"/>
      <c r="P2625" s="111"/>
      <c r="Q2625" s="111"/>
      <c r="R2625" s="111"/>
    </row>
    <row r="2626" spans="2:18" s="108" customFormat="1">
      <c r="B2626" s="109"/>
      <c r="C2626" s="110"/>
      <c r="D2626" s="109"/>
      <c r="E2626" s="109"/>
      <c r="F2626" s="97"/>
      <c r="G2626" s="109"/>
      <c r="H2626" s="109"/>
      <c r="I2626" s="97"/>
      <c r="J2626" s="97"/>
      <c r="K2626" s="83"/>
      <c r="L2626" s="111"/>
      <c r="M2626" s="111"/>
      <c r="N2626" s="111"/>
      <c r="O2626" s="111"/>
      <c r="P2626" s="111"/>
      <c r="Q2626" s="111"/>
      <c r="R2626" s="111"/>
    </row>
    <row r="2627" spans="2:18" s="108" customFormat="1">
      <c r="B2627" s="109"/>
      <c r="C2627" s="110"/>
      <c r="D2627" s="109"/>
      <c r="E2627" s="109"/>
      <c r="F2627" s="97"/>
      <c r="G2627" s="109"/>
      <c r="H2627" s="109"/>
      <c r="I2627" s="97"/>
      <c r="J2627" s="97"/>
      <c r="K2627" s="83"/>
      <c r="L2627" s="111"/>
      <c r="M2627" s="111"/>
      <c r="N2627" s="111"/>
      <c r="O2627" s="111"/>
      <c r="P2627" s="111"/>
      <c r="Q2627" s="111"/>
      <c r="R2627" s="111"/>
    </row>
    <row r="2628" spans="2:18" s="108" customFormat="1">
      <c r="B2628" s="109"/>
      <c r="C2628" s="110"/>
      <c r="D2628" s="109"/>
      <c r="E2628" s="109"/>
      <c r="F2628" s="97"/>
      <c r="G2628" s="109"/>
      <c r="H2628" s="109"/>
      <c r="I2628" s="97"/>
      <c r="J2628" s="97"/>
      <c r="K2628" s="83"/>
      <c r="L2628" s="111"/>
      <c r="M2628" s="111"/>
      <c r="N2628" s="111"/>
      <c r="O2628" s="111"/>
      <c r="P2628" s="111"/>
      <c r="Q2628" s="111"/>
      <c r="R2628" s="111"/>
    </row>
    <row r="2629" spans="2:18" s="108" customFormat="1">
      <c r="B2629" s="109"/>
      <c r="C2629" s="110"/>
      <c r="D2629" s="109"/>
      <c r="E2629" s="109"/>
      <c r="F2629" s="97"/>
      <c r="G2629" s="109"/>
      <c r="H2629" s="109"/>
      <c r="I2629" s="97"/>
      <c r="J2629" s="97"/>
      <c r="K2629" s="83"/>
      <c r="L2629" s="111"/>
      <c r="M2629" s="111"/>
      <c r="N2629" s="111"/>
      <c r="O2629" s="111"/>
      <c r="P2629" s="111"/>
      <c r="Q2629" s="111"/>
      <c r="R2629" s="111"/>
    </row>
    <row r="2630" spans="2:18" s="108" customFormat="1">
      <c r="B2630" s="109"/>
      <c r="C2630" s="110"/>
      <c r="D2630" s="109"/>
      <c r="E2630" s="109"/>
      <c r="F2630" s="97"/>
      <c r="G2630" s="109"/>
      <c r="H2630" s="109"/>
      <c r="I2630" s="97"/>
      <c r="J2630" s="97"/>
      <c r="K2630" s="83"/>
      <c r="L2630" s="111"/>
      <c r="M2630" s="111"/>
      <c r="N2630" s="111"/>
      <c r="O2630" s="111"/>
      <c r="P2630" s="111"/>
      <c r="Q2630" s="111"/>
      <c r="R2630" s="111"/>
    </row>
    <row r="2631" spans="2:18" s="108" customFormat="1">
      <c r="B2631" s="109"/>
      <c r="C2631" s="110"/>
      <c r="D2631" s="109"/>
      <c r="E2631" s="109"/>
      <c r="F2631" s="97"/>
      <c r="G2631" s="109"/>
      <c r="H2631" s="109"/>
      <c r="I2631" s="97"/>
      <c r="J2631" s="97"/>
      <c r="K2631" s="83"/>
      <c r="L2631" s="111"/>
      <c r="M2631" s="111"/>
      <c r="N2631" s="111"/>
      <c r="O2631" s="111"/>
      <c r="P2631" s="111"/>
      <c r="Q2631" s="111"/>
      <c r="R2631" s="111"/>
    </row>
    <row r="2632" spans="2:18" s="108" customFormat="1">
      <c r="B2632" s="109"/>
      <c r="C2632" s="110"/>
      <c r="D2632" s="109"/>
      <c r="E2632" s="109"/>
      <c r="F2632" s="97"/>
      <c r="G2632" s="109"/>
      <c r="H2632" s="109"/>
      <c r="I2632" s="97"/>
      <c r="J2632" s="97"/>
      <c r="K2632" s="83"/>
      <c r="L2632" s="111"/>
      <c r="M2632" s="111"/>
      <c r="N2632" s="111"/>
      <c r="O2632" s="111"/>
      <c r="P2632" s="111"/>
      <c r="Q2632" s="111"/>
      <c r="R2632" s="111"/>
    </row>
    <row r="2633" spans="2:18" s="108" customFormat="1">
      <c r="B2633" s="109"/>
      <c r="C2633" s="110"/>
      <c r="D2633" s="109"/>
      <c r="E2633" s="109"/>
      <c r="F2633" s="97"/>
      <c r="G2633" s="109"/>
      <c r="H2633" s="109"/>
      <c r="I2633" s="97"/>
      <c r="J2633" s="97"/>
      <c r="K2633" s="83"/>
      <c r="L2633" s="111"/>
      <c r="M2633" s="111"/>
      <c r="N2633" s="111"/>
      <c r="O2633" s="111"/>
      <c r="P2633" s="111"/>
      <c r="Q2633" s="111"/>
      <c r="R2633" s="111"/>
    </row>
    <row r="2634" spans="2:18" s="108" customFormat="1">
      <c r="B2634" s="109"/>
      <c r="C2634" s="110"/>
      <c r="D2634" s="109"/>
      <c r="E2634" s="109"/>
      <c r="F2634" s="97"/>
      <c r="G2634" s="109"/>
      <c r="H2634" s="109"/>
      <c r="I2634" s="97"/>
      <c r="J2634" s="97"/>
      <c r="K2634" s="83"/>
      <c r="L2634" s="111"/>
      <c r="M2634" s="111"/>
      <c r="N2634" s="111"/>
      <c r="O2634" s="111"/>
      <c r="P2634" s="111"/>
      <c r="Q2634" s="111"/>
      <c r="R2634" s="111"/>
    </row>
    <row r="2635" spans="2:18" s="108" customFormat="1">
      <c r="B2635" s="109"/>
      <c r="C2635" s="110"/>
      <c r="D2635" s="109"/>
      <c r="E2635" s="109"/>
      <c r="F2635" s="97"/>
      <c r="G2635" s="109"/>
      <c r="H2635" s="109"/>
      <c r="I2635" s="97"/>
      <c r="J2635" s="97"/>
      <c r="K2635" s="83"/>
      <c r="L2635" s="111"/>
      <c r="M2635" s="111"/>
      <c r="N2635" s="111"/>
      <c r="O2635" s="111"/>
      <c r="P2635" s="111"/>
      <c r="Q2635" s="111"/>
      <c r="R2635" s="111"/>
    </row>
    <row r="2636" spans="2:18" s="108" customFormat="1">
      <c r="B2636" s="109"/>
      <c r="C2636" s="110"/>
      <c r="D2636" s="109"/>
      <c r="E2636" s="109"/>
      <c r="F2636" s="97"/>
      <c r="G2636" s="109"/>
      <c r="H2636" s="109"/>
      <c r="I2636" s="97"/>
      <c r="J2636" s="97"/>
      <c r="K2636" s="83"/>
      <c r="L2636" s="111"/>
      <c r="M2636" s="111"/>
      <c r="N2636" s="111"/>
      <c r="O2636" s="111"/>
      <c r="P2636" s="111"/>
      <c r="Q2636" s="111"/>
      <c r="R2636" s="111"/>
    </row>
    <row r="2637" spans="2:18" s="108" customFormat="1">
      <c r="B2637" s="109"/>
      <c r="C2637" s="110"/>
      <c r="D2637" s="109"/>
      <c r="E2637" s="109"/>
      <c r="F2637" s="97"/>
      <c r="G2637" s="109"/>
      <c r="H2637" s="109"/>
      <c r="I2637" s="97"/>
      <c r="J2637" s="97"/>
      <c r="K2637" s="83"/>
      <c r="L2637" s="111"/>
      <c r="M2637" s="111"/>
      <c r="N2637" s="111"/>
      <c r="O2637" s="111"/>
      <c r="P2637" s="111"/>
      <c r="Q2637" s="111"/>
      <c r="R2637" s="111"/>
    </row>
    <row r="2638" spans="2:18" s="108" customFormat="1">
      <c r="B2638" s="109"/>
      <c r="C2638" s="110"/>
      <c r="D2638" s="109"/>
      <c r="E2638" s="109"/>
      <c r="F2638" s="97"/>
      <c r="G2638" s="109"/>
      <c r="H2638" s="109"/>
      <c r="I2638" s="97"/>
      <c r="J2638" s="97"/>
      <c r="K2638" s="83"/>
      <c r="L2638" s="111"/>
      <c r="M2638" s="111"/>
      <c r="N2638" s="111"/>
      <c r="O2638" s="111"/>
      <c r="P2638" s="111"/>
      <c r="Q2638" s="111"/>
      <c r="R2638" s="111"/>
    </row>
    <row r="2639" spans="2:18" s="108" customFormat="1">
      <c r="B2639" s="109"/>
      <c r="C2639" s="110"/>
      <c r="D2639" s="109"/>
      <c r="E2639" s="109"/>
      <c r="F2639" s="97"/>
      <c r="G2639" s="109"/>
      <c r="H2639" s="109"/>
      <c r="I2639" s="97"/>
      <c r="J2639" s="97"/>
      <c r="K2639" s="83"/>
      <c r="L2639" s="111"/>
      <c r="M2639" s="111"/>
      <c r="N2639" s="111"/>
      <c r="O2639" s="111"/>
      <c r="P2639" s="111"/>
      <c r="Q2639" s="111"/>
      <c r="R2639" s="111"/>
    </row>
    <row r="2640" spans="2:18" s="108" customFormat="1">
      <c r="B2640" s="109"/>
      <c r="C2640" s="110"/>
      <c r="D2640" s="109"/>
      <c r="E2640" s="109"/>
      <c r="F2640" s="97"/>
      <c r="G2640" s="109"/>
      <c r="H2640" s="109"/>
      <c r="I2640" s="97"/>
      <c r="J2640" s="97"/>
      <c r="K2640" s="83"/>
      <c r="L2640" s="111"/>
      <c r="M2640" s="111"/>
      <c r="N2640" s="111"/>
      <c r="O2640" s="111"/>
      <c r="P2640" s="111"/>
      <c r="Q2640" s="111"/>
      <c r="R2640" s="111"/>
    </row>
    <row r="2641" spans="2:18" s="108" customFormat="1">
      <c r="B2641" s="109"/>
      <c r="C2641" s="110"/>
      <c r="D2641" s="109"/>
      <c r="E2641" s="109"/>
      <c r="F2641" s="97"/>
      <c r="G2641" s="109"/>
      <c r="H2641" s="109"/>
      <c r="I2641" s="97"/>
      <c r="J2641" s="97"/>
      <c r="K2641" s="83"/>
      <c r="L2641" s="111"/>
      <c r="M2641" s="111"/>
      <c r="N2641" s="111"/>
      <c r="O2641" s="111"/>
      <c r="P2641" s="111"/>
      <c r="Q2641" s="111"/>
      <c r="R2641" s="111"/>
    </row>
    <row r="2642" spans="2:18" s="108" customFormat="1">
      <c r="B2642" s="109"/>
      <c r="C2642" s="110"/>
      <c r="D2642" s="109"/>
      <c r="E2642" s="109"/>
      <c r="F2642" s="97"/>
      <c r="G2642" s="109"/>
      <c r="H2642" s="109"/>
      <c r="I2642" s="97"/>
      <c r="J2642" s="97"/>
      <c r="K2642" s="83"/>
      <c r="L2642" s="111"/>
      <c r="M2642" s="111"/>
      <c r="N2642" s="111"/>
      <c r="O2642" s="111"/>
      <c r="P2642" s="111"/>
      <c r="Q2642" s="111"/>
      <c r="R2642" s="111"/>
    </row>
    <row r="2643" spans="2:18" s="108" customFormat="1">
      <c r="B2643" s="109"/>
      <c r="C2643" s="110"/>
      <c r="D2643" s="109"/>
      <c r="E2643" s="109"/>
      <c r="F2643" s="97"/>
      <c r="G2643" s="109"/>
      <c r="H2643" s="109"/>
      <c r="I2643" s="97"/>
      <c r="J2643" s="97"/>
      <c r="K2643" s="83"/>
      <c r="L2643" s="111"/>
      <c r="M2643" s="111"/>
      <c r="N2643" s="111"/>
      <c r="O2643" s="111"/>
      <c r="P2643" s="111"/>
      <c r="Q2643" s="111"/>
      <c r="R2643" s="111"/>
    </row>
    <row r="2644" spans="2:18" s="108" customFormat="1">
      <c r="B2644" s="109"/>
      <c r="C2644" s="110"/>
      <c r="D2644" s="109"/>
      <c r="E2644" s="109"/>
      <c r="F2644" s="97"/>
      <c r="G2644" s="109"/>
      <c r="H2644" s="109"/>
      <c r="I2644" s="97"/>
      <c r="J2644" s="97"/>
      <c r="K2644" s="83"/>
      <c r="L2644" s="111"/>
      <c r="M2644" s="111"/>
      <c r="N2644" s="111"/>
      <c r="O2644" s="111"/>
      <c r="P2644" s="111"/>
      <c r="Q2644" s="111"/>
      <c r="R2644" s="111"/>
    </row>
    <row r="2645" spans="2:18" s="108" customFormat="1">
      <c r="B2645" s="109"/>
      <c r="C2645" s="110"/>
      <c r="D2645" s="109"/>
      <c r="E2645" s="109"/>
      <c r="F2645" s="97"/>
      <c r="G2645" s="109"/>
      <c r="H2645" s="109"/>
      <c r="I2645" s="97"/>
      <c r="J2645" s="97"/>
      <c r="K2645" s="83"/>
      <c r="L2645" s="111"/>
      <c r="M2645" s="111"/>
      <c r="N2645" s="111"/>
      <c r="O2645" s="111"/>
      <c r="P2645" s="111"/>
      <c r="Q2645" s="111"/>
      <c r="R2645" s="111"/>
    </row>
    <row r="2646" spans="2:18" s="108" customFormat="1">
      <c r="B2646" s="109"/>
      <c r="C2646" s="110"/>
      <c r="D2646" s="109"/>
      <c r="E2646" s="109"/>
      <c r="F2646" s="97"/>
      <c r="G2646" s="109"/>
      <c r="H2646" s="109"/>
      <c r="I2646" s="97"/>
      <c r="J2646" s="97"/>
      <c r="K2646" s="83"/>
      <c r="L2646" s="111"/>
      <c r="M2646" s="111"/>
      <c r="N2646" s="111"/>
      <c r="O2646" s="111"/>
      <c r="P2646" s="111"/>
      <c r="Q2646" s="111"/>
      <c r="R2646" s="111"/>
    </row>
    <row r="2647" spans="2:18" s="108" customFormat="1">
      <c r="B2647" s="109"/>
      <c r="C2647" s="110"/>
      <c r="D2647" s="109"/>
      <c r="E2647" s="109"/>
      <c r="F2647" s="97"/>
      <c r="G2647" s="109"/>
      <c r="H2647" s="109"/>
      <c r="I2647" s="97"/>
      <c r="J2647" s="97"/>
      <c r="K2647" s="83"/>
      <c r="L2647" s="111"/>
      <c r="M2647" s="111"/>
      <c r="N2647" s="111"/>
      <c r="O2647" s="111"/>
      <c r="P2647" s="111"/>
      <c r="Q2647" s="111"/>
      <c r="R2647" s="111"/>
    </row>
    <row r="2648" spans="2:18" s="108" customFormat="1">
      <c r="B2648" s="109"/>
      <c r="C2648" s="110"/>
      <c r="D2648" s="109"/>
      <c r="E2648" s="109"/>
      <c r="F2648" s="97"/>
      <c r="G2648" s="109"/>
      <c r="H2648" s="109"/>
      <c r="I2648" s="97"/>
      <c r="J2648" s="97"/>
      <c r="K2648" s="83"/>
      <c r="L2648" s="111"/>
      <c r="M2648" s="111"/>
      <c r="N2648" s="111"/>
      <c r="O2648" s="111"/>
      <c r="P2648" s="111"/>
      <c r="Q2648" s="111"/>
      <c r="R2648" s="111"/>
    </row>
    <row r="2649" spans="2:18" s="108" customFormat="1">
      <c r="B2649" s="109"/>
      <c r="C2649" s="110"/>
      <c r="D2649" s="109"/>
      <c r="E2649" s="109"/>
      <c r="F2649" s="97"/>
      <c r="G2649" s="109"/>
      <c r="H2649" s="109"/>
      <c r="I2649" s="97"/>
      <c r="J2649" s="97"/>
      <c r="K2649" s="83"/>
      <c r="L2649" s="111"/>
      <c r="M2649" s="111"/>
      <c r="N2649" s="111"/>
      <c r="O2649" s="111"/>
      <c r="P2649" s="111"/>
      <c r="Q2649" s="111"/>
      <c r="R2649" s="111"/>
    </row>
    <row r="2650" spans="2:18" s="108" customFormat="1">
      <c r="B2650" s="109"/>
      <c r="C2650" s="110"/>
      <c r="D2650" s="109"/>
      <c r="E2650" s="109"/>
      <c r="F2650" s="97"/>
      <c r="G2650" s="109"/>
      <c r="H2650" s="109"/>
      <c r="I2650" s="97"/>
      <c r="J2650" s="97"/>
      <c r="K2650" s="83"/>
      <c r="L2650" s="111"/>
      <c r="M2650" s="111"/>
      <c r="N2650" s="111"/>
      <c r="O2650" s="111"/>
      <c r="P2650" s="111"/>
      <c r="Q2650" s="111"/>
      <c r="R2650" s="111"/>
    </row>
    <row r="2651" spans="2:18" s="108" customFormat="1">
      <c r="B2651" s="109"/>
      <c r="C2651" s="110"/>
      <c r="D2651" s="109"/>
      <c r="E2651" s="109"/>
      <c r="F2651" s="97"/>
      <c r="G2651" s="109"/>
      <c r="H2651" s="109"/>
      <c r="I2651" s="97"/>
      <c r="J2651" s="97"/>
      <c r="K2651" s="83"/>
      <c r="L2651" s="111"/>
      <c r="M2651" s="111"/>
      <c r="N2651" s="111"/>
      <c r="O2651" s="111"/>
      <c r="P2651" s="111"/>
      <c r="Q2651" s="111"/>
      <c r="R2651" s="111"/>
    </row>
    <row r="2652" spans="2:18" s="108" customFormat="1">
      <c r="B2652" s="109"/>
      <c r="C2652" s="110"/>
      <c r="D2652" s="109"/>
      <c r="E2652" s="109"/>
      <c r="F2652" s="97"/>
      <c r="G2652" s="109"/>
      <c r="H2652" s="109"/>
      <c r="I2652" s="97"/>
      <c r="J2652" s="97"/>
      <c r="K2652" s="83"/>
      <c r="L2652" s="111"/>
      <c r="M2652" s="111"/>
      <c r="N2652" s="111"/>
      <c r="O2652" s="111"/>
      <c r="P2652" s="111"/>
      <c r="Q2652" s="111"/>
      <c r="R2652" s="111"/>
    </row>
    <row r="2653" spans="2:18" s="108" customFormat="1">
      <c r="B2653" s="109"/>
      <c r="C2653" s="110"/>
      <c r="D2653" s="109"/>
      <c r="E2653" s="109"/>
      <c r="F2653" s="97"/>
      <c r="G2653" s="109"/>
      <c r="H2653" s="109"/>
      <c r="I2653" s="97"/>
      <c r="J2653" s="97"/>
      <c r="K2653" s="83"/>
      <c r="L2653" s="111"/>
      <c r="M2653" s="111"/>
      <c r="N2653" s="111"/>
      <c r="O2653" s="111"/>
      <c r="P2653" s="111"/>
      <c r="Q2653" s="111"/>
      <c r="R2653" s="111"/>
    </row>
    <row r="2654" spans="2:18" s="108" customFormat="1">
      <c r="B2654" s="109"/>
      <c r="C2654" s="110"/>
      <c r="D2654" s="109"/>
      <c r="E2654" s="109"/>
      <c r="F2654" s="97"/>
      <c r="G2654" s="109"/>
      <c r="H2654" s="109"/>
      <c r="I2654" s="97"/>
      <c r="J2654" s="97"/>
      <c r="K2654" s="83"/>
      <c r="L2654" s="111"/>
      <c r="M2654" s="111"/>
      <c r="N2654" s="111"/>
      <c r="O2654" s="111"/>
      <c r="P2654" s="111"/>
      <c r="Q2654" s="111"/>
      <c r="R2654" s="111"/>
    </row>
    <row r="2655" spans="2:18" s="108" customFormat="1">
      <c r="B2655" s="109"/>
      <c r="C2655" s="110"/>
      <c r="D2655" s="109"/>
      <c r="E2655" s="109"/>
      <c r="F2655" s="97"/>
      <c r="G2655" s="109"/>
      <c r="H2655" s="109"/>
      <c r="I2655" s="97"/>
      <c r="J2655" s="97"/>
      <c r="K2655" s="83"/>
      <c r="L2655" s="111"/>
      <c r="M2655" s="111"/>
      <c r="N2655" s="111"/>
      <c r="O2655" s="111"/>
      <c r="P2655" s="111"/>
      <c r="Q2655" s="111"/>
      <c r="R2655" s="111"/>
    </row>
    <row r="2656" spans="2:18" s="108" customFormat="1">
      <c r="B2656" s="109"/>
      <c r="C2656" s="110"/>
      <c r="D2656" s="109"/>
      <c r="E2656" s="109"/>
      <c r="F2656" s="97"/>
      <c r="G2656" s="109"/>
      <c r="H2656" s="109"/>
      <c r="I2656" s="97"/>
      <c r="J2656" s="97"/>
      <c r="K2656" s="83"/>
      <c r="L2656" s="111"/>
      <c r="M2656" s="111"/>
      <c r="N2656" s="111"/>
      <c r="O2656" s="111"/>
      <c r="P2656" s="111"/>
      <c r="Q2656" s="111"/>
      <c r="R2656" s="111"/>
    </row>
    <row r="2657" spans="2:18" s="108" customFormat="1">
      <c r="B2657" s="109"/>
      <c r="C2657" s="110"/>
      <c r="D2657" s="109"/>
      <c r="E2657" s="109"/>
      <c r="F2657" s="97"/>
      <c r="G2657" s="109"/>
      <c r="H2657" s="109"/>
      <c r="I2657" s="97"/>
      <c r="J2657" s="97"/>
      <c r="K2657" s="83"/>
      <c r="L2657" s="111"/>
      <c r="M2657" s="111"/>
      <c r="N2657" s="111"/>
      <c r="O2657" s="111"/>
      <c r="P2657" s="111"/>
      <c r="Q2657" s="111"/>
      <c r="R2657" s="111"/>
    </row>
    <row r="2658" spans="2:18" s="108" customFormat="1">
      <c r="B2658" s="109"/>
      <c r="C2658" s="110"/>
      <c r="D2658" s="109"/>
      <c r="E2658" s="109"/>
      <c r="F2658" s="97"/>
      <c r="G2658" s="109"/>
      <c r="H2658" s="109"/>
      <c r="I2658" s="97"/>
      <c r="J2658" s="97"/>
      <c r="K2658" s="83"/>
      <c r="L2658" s="111"/>
      <c r="M2658" s="111"/>
      <c r="N2658" s="111"/>
      <c r="O2658" s="111"/>
      <c r="P2658" s="111"/>
      <c r="Q2658" s="111"/>
      <c r="R2658" s="111"/>
    </row>
    <row r="2659" spans="2:18" s="108" customFormat="1">
      <c r="B2659" s="109"/>
      <c r="C2659" s="110"/>
      <c r="D2659" s="109"/>
      <c r="E2659" s="109"/>
      <c r="F2659" s="97"/>
      <c r="G2659" s="109"/>
      <c r="H2659" s="109"/>
      <c r="I2659" s="97"/>
      <c r="J2659" s="97"/>
      <c r="K2659" s="83"/>
      <c r="L2659" s="111"/>
      <c r="M2659" s="111"/>
      <c r="N2659" s="111"/>
      <c r="O2659" s="111"/>
      <c r="P2659" s="111"/>
      <c r="Q2659" s="111"/>
      <c r="R2659" s="111"/>
    </row>
    <row r="2660" spans="2:18" s="108" customFormat="1">
      <c r="B2660" s="109"/>
      <c r="C2660" s="110"/>
      <c r="D2660" s="109"/>
      <c r="E2660" s="109"/>
      <c r="F2660" s="97"/>
      <c r="G2660" s="109"/>
      <c r="H2660" s="109"/>
      <c r="I2660" s="97"/>
      <c r="J2660" s="97"/>
      <c r="K2660" s="83"/>
      <c r="L2660" s="111"/>
      <c r="M2660" s="111"/>
      <c r="N2660" s="111"/>
      <c r="O2660" s="111"/>
      <c r="P2660" s="111"/>
      <c r="Q2660" s="111"/>
      <c r="R2660" s="111"/>
    </row>
    <row r="2661" spans="2:18" s="108" customFormat="1">
      <c r="B2661" s="109"/>
      <c r="C2661" s="110"/>
      <c r="D2661" s="109"/>
      <c r="E2661" s="109"/>
      <c r="F2661" s="97"/>
      <c r="G2661" s="109"/>
      <c r="H2661" s="109"/>
      <c r="I2661" s="97"/>
      <c r="J2661" s="97"/>
      <c r="K2661" s="83"/>
      <c r="L2661" s="111"/>
      <c r="M2661" s="111"/>
      <c r="N2661" s="111"/>
      <c r="O2661" s="111"/>
      <c r="P2661" s="111"/>
      <c r="Q2661" s="111"/>
      <c r="R2661" s="111"/>
    </row>
    <row r="2662" spans="2:18" s="108" customFormat="1">
      <c r="B2662" s="109"/>
      <c r="C2662" s="110"/>
      <c r="D2662" s="109"/>
      <c r="E2662" s="109"/>
      <c r="F2662" s="97"/>
      <c r="G2662" s="109"/>
      <c r="H2662" s="109"/>
      <c r="I2662" s="97"/>
      <c r="J2662" s="97"/>
      <c r="K2662" s="83"/>
      <c r="L2662" s="111"/>
      <c r="M2662" s="111"/>
      <c r="N2662" s="111"/>
      <c r="O2662" s="111"/>
      <c r="P2662" s="111"/>
      <c r="Q2662" s="111"/>
      <c r="R2662" s="111"/>
    </row>
    <row r="2663" spans="2:18" s="108" customFormat="1">
      <c r="B2663" s="109"/>
      <c r="C2663" s="110"/>
      <c r="D2663" s="109"/>
      <c r="E2663" s="109"/>
      <c r="F2663" s="97"/>
      <c r="G2663" s="109"/>
      <c r="H2663" s="109"/>
      <c r="I2663" s="97"/>
      <c r="J2663" s="97"/>
      <c r="K2663" s="83"/>
      <c r="L2663" s="111"/>
      <c r="M2663" s="111"/>
      <c r="N2663" s="111"/>
      <c r="O2663" s="111"/>
      <c r="P2663" s="111"/>
      <c r="Q2663" s="111"/>
      <c r="R2663" s="111"/>
    </row>
    <row r="2664" spans="2:18" s="108" customFormat="1">
      <c r="B2664" s="109"/>
      <c r="C2664" s="110"/>
      <c r="D2664" s="109"/>
      <c r="E2664" s="109"/>
      <c r="F2664" s="97"/>
      <c r="G2664" s="109"/>
      <c r="H2664" s="109"/>
      <c r="I2664" s="97"/>
      <c r="J2664" s="97"/>
      <c r="K2664" s="83"/>
      <c r="L2664" s="111"/>
      <c r="M2664" s="111"/>
      <c r="N2664" s="111"/>
      <c r="O2664" s="111"/>
      <c r="P2664" s="111"/>
      <c r="Q2664" s="111"/>
      <c r="R2664" s="111"/>
    </row>
    <row r="2665" spans="2:18" s="108" customFormat="1">
      <c r="B2665" s="109"/>
      <c r="C2665" s="110"/>
      <c r="D2665" s="109"/>
      <c r="E2665" s="109"/>
      <c r="F2665" s="97"/>
      <c r="G2665" s="109"/>
      <c r="H2665" s="109"/>
      <c r="I2665" s="97"/>
      <c r="J2665" s="97"/>
      <c r="K2665" s="83"/>
      <c r="L2665" s="111"/>
      <c r="M2665" s="111"/>
      <c r="N2665" s="111"/>
      <c r="O2665" s="111"/>
      <c r="P2665" s="111"/>
      <c r="Q2665" s="111"/>
      <c r="R2665" s="111"/>
    </row>
    <row r="2666" spans="2:18" s="108" customFormat="1">
      <c r="B2666" s="109"/>
      <c r="C2666" s="110"/>
      <c r="D2666" s="109"/>
      <c r="E2666" s="109"/>
      <c r="F2666" s="97"/>
      <c r="G2666" s="109"/>
      <c r="H2666" s="109"/>
      <c r="I2666" s="97"/>
      <c r="J2666" s="97"/>
      <c r="K2666" s="83"/>
      <c r="L2666" s="111"/>
      <c r="M2666" s="111"/>
      <c r="N2666" s="111"/>
      <c r="O2666" s="111"/>
      <c r="P2666" s="111"/>
      <c r="Q2666" s="111"/>
      <c r="R2666" s="111"/>
    </row>
    <row r="2667" spans="2:18" s="108" customFormat="1">
      <c r="B2667" s="109"/>
      <c r="C2667" s="110"/>
      <c r="D2667" s="109"/>
      <c r="E2667" s="109"/>
      <c r="F2667" s="97"/>
      <c r="G2667" s="109"/>
      <c r="H2667" s="109"/>
      <c r="I2667" s="97"/>
      <c r="J2667" s="97"/>
      <c r="K2667" s="83"/>
      <c r="L2667" s="111"/>
      <c r="M2667" s="111"/>
      <c r="N2667" s="111"/>
      <c r="O2667" s="111"/>
      <c r="P2667" s="111"/>
      <c r="Q2667" s="111"/>
      <c r="R2667" s="111"/>
    </row>
    <row r="2668" spans="2:18" s="108" customFormat="1">
      <c r="B2668" s="109"/>
      <c r="C2668" s="110"/>
      <c r="D2668" s="109"/>
      <c r="E2668" s="109"/>
      <c r="F2668" s="97"/>
      <c r="G2668" s="109"/>
      <c r="H2668" s="109"/>
      <c r="I2668" s="97"/>
      <c r="J2668" s="97"/>
      <c r="K2668" s="83"/>
      <c r="L2668" s="111"/>
      <c r="M2668" s="111"/>
      <c r="N2668" s="111"/>
      <c r="O2668" s="111"/>
      <c r="P2668" s="111"/>
      <c r="Q2668" s="111"/>
      <c r="R2668" s="111"/>
    </row>
    <row r="2669" spans="2:18" s="108" customFormat="1">
      <c r="B2669" s="109"/>
      <c r="C2669" s="110"/>
      <c r="D2669" s="109"/>
      <c r="E2669" s="109"/>
      <c r="F2669" s="97"/>
      <c r="G2669" s="109"/>
      <c r="H2669" s="109"/>
      <c r="I2669" s="97"/>
      <c r="J2669" s="97"/>
      <c r="K2669" s="83"/>
      <c r="L2669" s="111"/>
      <c r="M2669" s="111"/>
      <c r="N2669" s="111"/>
      <c r="O2669" s="111"/>
      <c r="P2669" s="111"/>
      <c r="Q2669" s="111"/>
      <c r="R2669" s="111"/>
    </row>
    <row r="2670" spans="2:18" s="108" customFormat="1">
      <c r="B2670" s="109"/>
      <c r="C2670" s="110"/>
      <c r="D2670" s="109"/>
      <c r="E2670" s="109"/>
      <c r="F2670" s="97"/>
      <c r="G2670" s="109"/>
      <c r="H2670" s="109"/>
      <c r="I2670" s="97"/>
      <c r="J2670" s="97"/>
      <c r="K2670" s="83"/>
      <c r="L2670" s="111"/>
      <c r="M2670" s="111"/>
      <c r="N2670" s="111"/>
      <c r="O2670" s="111"/>
      <c r="P2670" s="111"/>
      <c r="Q2670" s="111"/>
      <c r="R2670" s="111"/>
    </row>
    <row r="2671" spans="2:18" s="108" customFormat="1">
      <c r="B2671" s="109"/>
      <c r="C2671" s="110"/>
      <c r="D2671" s="109"/>
      <c r="E2671" s="109"/>
      <c r="F2671" s="97"/>
      <c r="G2671" s="109"/>
      <c r="H2671" s="109"/>
      <c r="I2671" s="97"/>
      <c r="J2671" s="97"/>
      <c r="K2671" s="83"/>
      <c r="L2671" s="111"/>
      <c r="M2671" s="111"/>
      <c r="N2671" s="111"/>
      <c r="O2671" s="111"/>
      <c r="P2671" s="111"/>
      <c r="Q2671" s="111"/>
      <c r="R2671" s="111"/>
    </row>
    <row r="2672" spans="2:18" s="108" customFormat="1">
      <c r="B2672" s="109"/>
      <c r="C2672" s="110"/>
      <c r="D2672" s="109"/>
      <c r="E2672" s="109"/>
      <c r="F2672" s="97"/>
      <c r="G2672" s="109"/>
      <c r="H2672" s="109"/>
      <c r="I2672" s="97"/>
      <c r="J2672" s="97"/>
      <c r="K2672" s="83"/>
      <c r="L2672" s="111"/>
      <c r="M2672" s="111"/>
      <c r="N2672" s="111"/>
      <c r="O2672" s="111"/>
      <c r="P2672" s="111"/>
      <c r="Q2672" s="111"/>
      <c r="R2672" s="111"/>
    </row>
    <row r="2673" spans="2:18" s="108" customFormat="1">
      <c r="B2673" s="109"/>
      <c r="C2673" s="110"/>
      <c r="D2673" s="109"/>
      <c r="E2673" s="109"/>
      <c r="F2673" s="97"/>
      <c r="G2673" s="109"/>
      <c r="H2673" s="109"/>
      <c r="I2673" s="97"/>
      <c r="J2673" s="97"/>
      <c r="K2673" s="83"/>
      <c r="L2673" s="111"/>
      <c r="M2673" s="111"/>
      <c r="N2673" s="111"/>
      <c r="O2673" s="111"/>
      <c r="P2673" s="111"/>
      <c r="Q2673" s="111"/>
      <c r="R2673" s="111"/>
    </row>
    <row r="2674" spans="2:18" s="108" customFormat="1">
      <c r="B2674" s="109"/>
      <c r="C2674" s="110"/>
      <c r="D2674" s="109"/>
      <c r="E2674" s="109"/>
      <c r="F2674" s="97"/>
      <c r="G2674" s="109"/>
      <c r="H2674" s="109"/>
      <c r="I2674" s="97"/>
      <c r="J2674" s="97"/>
      <c r="K2674" s="83"/>
      <c r="L2674" s="111"/>
      <c r="M2674" s="111"/>
      <c r="N2674" s="111"/>
      <c r="O2674" s="111"/>
      <c r="P2674" s="111"/>
      <c r="Q2674" s="111"/>
      <c r="R2674" s="111"/>
    </row>
    <row r="2675" spans="2:18" s="108" customFormat="1">
      <c r="B2675" s="109"/>
      <c r="C2675" s="110"/>
      <c r="D2675" s="109"/>
      <c r="E2675" s="109"/>
      <c r="F2675" s="97"/>
      <c r="G2675" s="109"/>
      <c r="H2675" s="109"/>
      <c r="I2675" s="97"/>
      <c r="J2675" s="97"/>
      <c r="K2675" s="83"/>
      <c r="L2675" s="111"/>
      <c r="M2675" s="111"/>
      <c r="N2675" s="111"/>
      <c r="O2675" s="111"/>
      <c r="P2675" s="111"/>
      <c r="Q2675" s="111"/>
      <c r="R2675" s="111"/>
    </row>
    <row r="2676" spans="2:18" s="108" customFormat="1">
      <c r="B2676" s="109"/>
      <c r="C2676" s="110"/>
      <c r="D2676" s="109"/>
      <c r="E2676" s="109"/>
      <c r="F2676" s="97"/>
      <c r="G2676" s="109"/>
      <c r="H2676" s="109"/>
      <c r="I2676" s="97"/>
      <c r="J2676" s="97"/>
      <c r="K2676" s="83"/>
      <c r="L2676" s="111"/>
      <c r="M2676" s="111"/>
      <c r="N2676" s="111"/>
      <c r="O2676" s="111"/>
      <c r="P2676" s="111"/>
      <c r="Q2676" s="111"/>
      <c r="R2676" s="111"/>
    </row>
    <row r="2677" spans="2:18" s="108" customFormat="1">
      <c r="B2677" s="109"/>
      <c r="C2677" s="110"/>
      <c r="D2677" s="109"/>
      <c r="E2677" s="109"/>
      <c r="F2677" s="97"/>
      <c r="G2677" s="109"/>
      <c r="H2677" s="109"/>
      <c r="I2677" s="97"/>
      <c r="J2677" s="97"/>
      <c r="K2677" s="83"/>
      <c r="L2677" s="111"/>
      <c r="M2677" s="111"/>
      <c r="N2677" s="111"/>
      <c r="O2677" s="111"/>
      <c r="P2677" s="111"/>
      <c r="Q2677" s="111"/>
      <c r="R2677" s="111"/>
    </row>
    <row r="2678" spans="2:18" s="108" customFormat="1">
      <c r="B2678" s="109"/>
      <c r="C2678" s="110"/>
      <c r="D2678" s="109"/>
      <c r="E2678" s="109"/>
      <c r="F2678" s="97"/>
      <c r="G2678" s="109"/>
      <c r="H2678" s="109"/>
      <c r="I2678" s="97"/>
      <c r="J2678" s="97"/>
      <c r="K2678" s="83"/>
      <c r="L2678" s="111"/>
      <c r="M2678" s="111"/>
      <c r="N2678" s="111"/>
      <c r="O2678" s="111"/>
      <c r="P2678" s="111"/>
      <c r="Q2678" s="111"/>
      <c r="R2678" s="111"/>
    </row>
    <row r="2679" spans="2:18" s="108" customFormat="1">
      <c r="B2679" s="109"/>
      <c r="C2679" s="110"/>
      <c r="D2679" s="109"/>
      <c r="E2679" s="109"/>
      <c r="F2679" s="97"/>
      <c r="G2679" s="109"/>
      <c r="H2679" s="109"/>
      <c r="I2679" s="97"/>
      <c r="J2679" s="97"/>
      <c r="K2679" s="83"/>
      <c r="L2679" s="111"/>
      <c r="M2679" s="111"/>
      <c r="N2679" s="111"/>
      <c r="O2679" s="111"/>
      <c r="P2679" s="111"/>
      <c r="Q2679" s="111"/>
      <c r="R2679" s="111"/>
    </row>
    <row r="2680" spans="2:18" s="108" customFormat="1">
      <c r="B2680" s="109"/>
      <c r="C2680" s="110"/>
      <c r="D2680" s="109"/>
      <c r="E2680" s="109"/>
      <c r="F2680" s="97"/>
      <c r="G2680" s="109"/>
      <c r="H2680" s="109"/>
      <c r="I2680" s="97"/>
      <c r="J2680" s="97"/>
      <c r="K2680" s="83"/>
      <c r="L2680" s="111"/>
      <c r="M2680" s="111"/>
      <c r="N2680" s="111"/>
      <c r="O2680" s="111"/>
      <c r="P2680" s="111"/>
      <c r="Q2680" s="111"/>
      <c r="R2680" s="111"/>
    </row>
    <row r="2681" spans="2:18" s="108" customFormat="1">
      <c r="B2681" s="109"/>
      <c r="C2681" s="110"/>
      <c r="D2681" s="109"/>
      <c r="E2681" s="109"/>
      <c r="F2681" s="97"/>
      <c r="G2681" s="109"/>
      <c r="H2681" s="109"/>
      <c r="I2681" s="97"/>
      <c r="J2681" s="97"/>
      <c r="K2681" s="83"/>
      <c r="L2681" s="111"/>
      <c r="M2681" s="111"/>
      <c r="N2681" s="111"/>
      <c r="O2681" s="111"/>
      <c r="P2681" s="111"/>
      <c r="Q2681" s="111"/>
      <c r="R2681" s="111"/>
    </row>
    <row r="2682" spans="2:18" s="108" customFormat="1">
      <c r="B2682" s="109"/>
      <c r="C2682" s="110"/>
      <c r="D2682" s="109"/>
      <c r="E2682" s="109"/>
      <c r="F2682" s="97"/>
      <c r="G2682" s="109"/>
      <c r="H2682" s="109"/>
      <c r="I2682" s="97"/>
      <c r="J2682" s="97"/>
      <c r="K2682" s="83"/>
      <c r="L2682" s="111"/>
      <c r="M2682" s="111"/>
      <c r="N2682" s="111"/>
      <c r="O2682" s="111"/>
      <c r="P2682" s="111"/>
      <c r="Q2682" s="111"/>
      <c r="R2682" s="111"/>
    </row>
    <row r="2683" spans="2:18" s="108" customFormat="1">
      <c r="B2683" s="109"/>
      <c r="C2683" s="110"/>
      <c r="D2683" s="109"/>
      <c r="E2683" s="109"/>
      <c r="F2683" s="97"/>
      <c r="G2683" s="109"/>
      <c r="H2683" s="109"/>
      <c r="I2683" s="97"/>
      <c r="J2683" s="97"/>
      <c r="K2683" s="83"/>
      <c r="L2683" s="111"/>
      <c r="M2683" s="111"/>
      <c r="N2683" s="111"/>
      <c r="O2683" s="111"/>
      <c r="P2683" s="111"/>
      <c r="Q2683" s="111"/>
      <c r="R2683" s="111"/>
    </row>
    <row r="2684" spans="2:18" s="108" customFormat="1">
      <c r="B2684" s="109"/>
      <c r="C2684" s="110"/>
      <c r="D2684" s="109"/>
      <c r="E2684" s="109"/>
      <c r="F2684" s="97"/>
      <c r="G2684" s="109"/>
      <c r="H2684" s="109"/>
      <c r="I2684" s="97"/>
      <c r="J2684" s="97"/>
      <c r="K2684" s="83"/>
      <c r="L2684" s="111"/>
      <c r="M2684" s="111"/>
      <c r="N2684" s="111"/>
      <c r="O2684" s="111"/>
      <c r="P2684" s="111"/>
      <c r="Q2684" s="111"/>
      <c r="R2684" s="111"/>
    </row>
    <row r="2685" spans="2:18" s="108" customFormat="1">
      <c r="B2685" s="109"/>
      <c r="C2685" s="110"/>
      <c r="D2685" s="109"/>
      <c r="E2685" s="109"/>
      <c r="F2685" s="97"/>
      <c r="G2685" s="109"/>
      <c r="H2685" s="109"/>
      <c r="I2685" s="97"/>
      <c r="J2685" s="97"/>
      <c r="K2685" s="83"/>
      <c r="L2685" s="111"/>
      <c r="M2685" s="111"/>
      <c r="N2685" s="111"/>
      <c r="O2685" s="111"/>
      <c r="P2685" s="111"/>
      <c r="Q2685" s="111"/>
      <c r="R2685" s="111"/>
    </row>
    <row r="2686" spans="2:18" s="108" customFormat="1">
      <c r="B2686" s="109"/>
      <c r="C2686" s="110"/>
      <c r="D2686" s="109"/>
      <c r="E2686" s="109"/>
      <c r="F2686" s="97"/>
      <c r="G2686" s="109"/>
      <c r="H2686" s="109"/>
      <c r="I2686" s="97"/>
      <c r="J2686" s="97"/>
      <c r="K2686" s="83"/>
      <c r="L2686" s="111"/>
      <c r="M2686" s="111"/>
      <c r="N2686" s="111"/>
      <c r="O2686" s="111"/>
      <c r="P2686" s="111"/>
      <c r="Q2686" s="111"/>
      <c r="R2686" s="111"/>
    </row>
    <row r="2687" spans="2:18" s="108" customFormat="1">
      <c r="B2687" s="109"/>
      <c r="C2687" s="110"/>
      <c r="D2687" s="109"/>
      <c r="E2687" s="109"/>
      <c r="F2687" s="97"/>
      <c r="G2687" s="109"/>
      <c r="H2687" s="109"/>
      <c r="I2687" s="97"/>
      <c r="J2687" s="97"/>
      <c r="K2687" s="83"/>
      <c r="L2687" s="111"/>
      <c r="M2687" s="111"/>
      <c r="N2687" s="111"/>
      <c r="O2687" s="111"/>
      <c r="P2687" s="111"/>
      <c r="Q2687" s="111"/>
      <c r="R2687" s="111"/>
    </row>
    <row r="2688" spans="2:18" s="108" customFormat="1">
      <c r="B2688" s="109"/>
      <c r="C2688" s="110"/>
      <c r="D2688" s="109"/>
      <c r="E2688" s="109"/>
      <c r="F2688" s="97"/>
      <c r="G2688" s="109"/>
      <c r="H2688" s="109"/>
      <c r="I2688" s="97"/>
      <c r="J2688" s="97"/>
      <c r="K2688" s="83"/>
      <c r="L2688" s="111"/>
      <c r="M2688" s="111"/>
      <c r="N2688" s="111"/>
      <c r="O2688" s="111"/>
      <c r="P2688" s="111"/>
      <c r="Q2688" s="111"/>
      <c r="R2688" s="111"/>
    </row>
    <row r="2689" spans="2:18" s="108" customFormat="1">
      <c r="B2689" s="109"/>
      <c r="C2689" s="110"/>
      <c r="D2689" s="109"/>
      <c r="E2689" s="109"/>
      <c r="F2689" s="97"/>
      <c r="G2689" s="109"/>
      <c r="H2689" s="109"/>
      <c r="I2689" s="97"/>
      <c r="J2689" s="97"/>
      <c r="K2689" s="83"/>
      <c r="L2689" s="111"/>
      <c r="M2689" s="111"/>
      <c r="N2689" s="111"/>
      <c r="O2689" s="111"/>
      <c r="P2689" s="111"/>
      <c r="Q2689" s="111"/>
      <c r="R2689" s="111"/>
    </row>
    <row r="2690" spans="2:18" s="108" customFormat="1">
      <c r="B2690" s="109"/>
      <c r="C2690" s="110"/>
      <c r="D2690" s="109"/>
      <c r="E2690" s="109"/>
      <c r="F2690" s="97"/>
      <c r="G2690" s="109"/>
      <c r="H2690" s="109"/>
      <c r="I2690" s="97"/>
      <c r="J2690" s="97"/>
      <c r="K2690" s="83"/>
      <c r="L2690" s="111"/>
      <c r="M2690" s="111"/>
      <c r="N2690" s="111"/>
      <c r="O2690" s="111"/>
      <c r="P2690" s="111"/>
      <c r="Q2690" s="111"/>
      <c r="R2690" s="111"/>
    </row>
    <row r="2691" spans="2:18" s="108" customFormat="1">
      <c r="B2691" s="109"/>
      <c r="C2691" s="110"/>
      <c r="D2691" s="109"/>
      <c r="E2691" s="109"/>
      <c r="F2691" s="97"/>
      <c r="G2691" s="109"/>
      <c r="H2691" s="109"/>
      <c r="I2691" s="97"/>
      <c r="J2691" s="97"/>
      <c r="K2691" s="83"/>
      <c r="L2691" s="111"/>
      <c r="M2691" s="111"/>
      <c r="N2691" s="111"/>
      <c r="O2691" s="111"/>
      <c r="P2691" s="111"/>
      <c r="Q2691" s="111"/>
      <c r="R2691" s="111"/>
    </row>
    <row r="2692" spans="2:18" s="108" customFormat="1">
      <c r="B2692" s="109"/>
      <c r="C2692" s="110"/>
      <c r="D2692" s="109"/>
      <c r="E2692" s="109"/>
      <c r="F2692" s="97"/>
      <c r="G2692" s="109"/>
      <c r="H2692" s="109"/>
      <c r="I2692" s="97"/>
      <c r="J2692" s="97"/>
      <c r="K2692" s="83"/>
      <c r="L2692" s="111"/>
      <c r="M2692" s="111"/>
      <c r="N2692" s="111"/>
      <c r="O2692" s="111"/>
      <c r="P2692" s="111"/>
      <c r="Q2692" s="111"/>
      <c r="R2692" s="111"/>
    </row>
    <row r="2693" spans="2:18" s="108" customFormat="1">
      <c r="B2693" s="109"/>
      <c r="C2693" s="110"/>
      <c r="D2693" s="109"/>
      <c r="E2693" s="109"/>
      <c r="F2693" s="97"/>
      <c r="G2693" s="109"/>
      <c r="H2693" s="109"/>
      <c r="I2693" s="97"/>
      <c r="J2693" s="97"/>
      <c r="K2693" s="83"/>
      <c r="L2693" s="111"/>
      <c r="M2693" s="111"/>
      <c r="N2693" s="111"/>
      <c r="O2693" s="111"/>
      <c r="P2693" s="111"/>
      <c r="Q2693" s="111"/>
      <c r="R2693" s="111"/>
    </row>
    <row r="2694" spans="2:18" s="108" customFormat="1">
      <c r="B2694" s="109"/>
      <c r="C2694" s="110"/>
      <c r="D2694" s="109"/>
      <c r="E2694" s="109"/>
      <c r="F2694" s="97"/>
      <c r="G2694" s="109"/>
      <c r="H2694" s="109"/>
      <c r="I2694" s="97"/>
      <c r="J2694" s="97"/>
      <c r="K2694" s="83"/>
      <c r="L2694" s="111"/>
      <c r="M2694" s="111"/>
      <c r="N2694" s="111"/>
      <c r="O2694" s="111"/>
      <c r="P2694" s="111"/>
      <c r="Q2694" s="111"/>
      <c r="R2694" s="111"/>
    </row>
    <row r="2695" spans="2:18" s="108" customFormat="1">
      <c r="B2695" s="109"/>
      <c r="C2695" s="110"/>
      <c r="D2695" s="109"/>
      <c r="E2695" s="109"/>
      <c r="F2695" s="97"/>
      <c r="G2695" s="109"/>
      <c r="H2695" s="109"/>
      <c r="I2695" s="97"/>
      <c r="J2695" s="97"/>
      <c r="K2695" s="83"/>
      <c r="L2695" s="111"/>
      <c r="M2695" s="111"/>
      <c r="N2695" s="111"/>
      <c r="O2695" s="111"/>
      <c r="P2695" s="111"/>
      <c r="Q2695" s="111"/>
      <c r="R2695" s="111"/>
    </row>
    <row r="2696" spans="2:18" s="108" customFormat="1">
      <c r="B2696" s="109"/>
      <c r="C2696" s="110"/>
      <c r="D2696" s="109"/>
      <c r="E2696" s="109"/>
      <c r="F2696" s="97"/>
      <c r="G2696" s="109"/>
      <c r="H2696" s="109"/>
      <c r="I2696" s="97"/>
      <c r="J2696" s="97"/>
      <c r="K2696" s="83"/>
      <c r="L2696" s="111"/>
      <c r="M2696" s="111"/>
      <c r="N2696" s="111"/>
      <c r="O2696" s="111"/>
      <c r="P2696" s="111"/>
      <c r="Q2696" s="111"/>
      <c r="R2696" s="111"/>
    </row>
    <row r="2697" spans="2:18" s="108" customFormat="1">
      <c r="B2697" s="109"/>
      <c r="C2697" s="110"/>
      <c r="D2697" s="109"/>
      <c r="E2697" s="109"/>
      <c r="F2697" s="97"/>
      <c r="G2697" s="109"/>
      <c r="H2697" s="109"/>
      <c r="I2697" s="97"/>
      <c r="J2697" s="97"/>
      <c r="K2697" s="83"/>
      <c r="L2697" s="111"/>
      <c r="M2697" s="111"/>
      <c r="N2697" s="111"/>
      <c r="O2697" s="111"/>
      <c r="P2697" s="111"/>
      <c r="Q2697" s="111"/>
      <c r="R2697" s="111"/>
    </row>
    <row r="2698" spans="2:18" s="108" customFormat="1">
      <c r="B2698" s="109"/>
      <c r="C2698" s="110"/>
      <c r="D2698" s="109"/>
      <c r="E2698" s="109"/>
      <c r="F2698" s="97"/>
      <c r="G2698" s="109"/>
      <c r="H2698" s="109"/>
      <c r="I2698" s="97"/>
      <c r="J2698" s="97"/>
      <c r="K2698" s="83"/>
      <c r="L2698" s="111"/>
      <c r="M2698" s="111"/>
      <c r="N2698" s="111"/>
      <c r="O2698" s="111"/>
      <c r="P2698" s="111"/>
      <c r="Q2698" s="111"/>
      <c r="R2698" s="111"/>
    </row>
    <row r="2699" spans="2:18" s="108" customFormat="1">
      <c r="B2699" s="109"/>
      <c r="C2699" s="110"/>
      <c r="D2699" s="109"/>
      <c r="E2699" s="109"/>
      <c r="F2699" s="97"/>
      <c r="G2699" s="109"/>
      <c r="H2699" s="109"/>
      <c r="I2699" s="97"/>
      <c r="J2699" s="97"/>
      <c r="K2699" s="83"/>
      <c r="L2699" s="111"/>
      <c r="M2699" s="111"/>
      <c r="N2699" s="111"/>
      <c r="O2699" s="111"/>
      <c r="P2699" s="111"/>
      <c r="Q2699" s="111"/>
      <c r="R2699" s="111"/>
    </row>
    <row r="2700" spans="2:18" s="108" customFormat="1">
      <c r="B2700" s="109"/>
      <c r="C2700" s="110"/>
      <c r="D2700" s="109"/>
      <c r="E2700" s="109"/>
      <c r="F2700" s="97"/>
      <c r="G2700" s="109"/>
      <c r="H2700" s="109"/>
      <c r="I2700" s="97"/>
      <c r="J2700" s="97"/>
      <c r="K2700" s="83"/>
      <c r="L2700" s="111"/>
      <c r="M2700" s="111"/>
      <c r="N2700" s="111"/>
      <c r="O2700" s="111"/>
      <c r="P2700" s="111"/>
      <c r="Q2700" s="111"/>
      <c r="R2700" s="111"/>
    </row>
    <row r="2701" spans="2:18" s="108" customFormat="1">
      <c r="B2701" s="109"/>
      <c r="C2701" s="110"/>
      <c r="D2701" s="109"/>
      <c r="E2701" s="109"/>
      <c r="F2701" s="97"/>
      <c r="G2701" s="109"/>
      <c r="H2701" s="109"/>
      <c r="I2701" s="97"/>
      <c r="J2701" s="97"/>
      <c r="K2701" s="83"/>
      <c r="L2701" s="111"/>
      <c r="M2701" s="111"/>
      <c r="N2701" s="111"/>
      <c r="O2701" s="111"/>
      <c r="P2701" s="111"/>
      <c r="Q2701" s="111"/>
      <c r="R2701" s="111"/>
    </row>
    <row r="2702" spans="2:18" s="108" customFormat="1">
      <c r="B2702" s="109"/>
      <c r="C2702" s="110"/>
      <c r="D2702" s="109"/>
      <c r="E2702" s="109"/>
      <c r="F2702" s="97"/>
      <c r="G2702" s="109"/>
      <c r="H2702" s="109"/>
      <c r="I2702" s="97"/>
      <c r="J2702" s="97"/>
      <c r="K2702" s="83"/>
      <c r="L2702" s="111"/>
      <c r="M2702" s="111"/>
      <c r="N2702" s="111"/>
      <c r="O2702" s="111"/>
      <c r="P2702" s="111"/>
      <c r="Q2702" s="111"/>
      <c r="R2702" s="111"/>
    </row>
    <row r="2703" spans="2:18" s="108" customFormat="1">
      <c r="B2703" s="109"/>
      <c r="C2703" s="110"/>
      <c r="D2703" s="109"/>
      <c r="E2703" s="109"/>
      <c r="F2703" s="97"/>
      <c r="G2703" s="109"/>
      <c r="H2703" s="109"/>
      <c r="I2703" s="97"/>
      <c r="J2703" s="97"/>
      <c r="K2703" s="83"/>
      <c r="L2703" s="111"/>
      <c r="M2703" s="111"/>
      <c r="N2703" s="111"/>
      <c r="O2703" s="111"/>
      <c r="P2703" s="111"/>
      <c r="Q2703" s="111"/>
      <c r="R2703" s="111"/>
    </row>
    <row r="2704" spans="2:18" s="108" customFormat="1">
      <c r="B2704" s="109"/>
      <c r="C2704" s="110"/>
      <c r="D2704" s="109"/>
      <c r="E2704" s="109"/>
      <c r="F2704" s="97"/>
      <c r="G2704" s="109"/>
      <c r="H2704" s="109"/>
      <c r="I2704" s="97"/>
      <c r="J2704" s="97"/>
      <c r="K2704" s="83"/>
      <c r="L2704" s="111"/>
      <c r="M2704" s="111"/>
      <c r="N2704" s="111"/>
      <c r="O2704" s="111"/>
      <c r="P2704" s="111"/>
      <c r="Q2704" s="111"/>
      <c r="R2704" s="111"/>
    </row>
    <row r="2705" spans="2:18" s="108" customFormat="1">
      <c r="B2705" s="109"/>
      <c r="C2705" s="110"/>
      <c r="D2705" s="109"/>
      <c r="E2705" s="109"/>
      <c r="F2705" s="97"/>
      <c r="G2705" s="109"/>
      <c r="H2705" s="109"/>
      <c r="I2705" s="97"/>
      <c r="J2705" s="97"/>
      <c r="K2705" s="83"/>
      <c r="L2705" s="111"/>
      <c r="M2705" s="111"/>
      <c r="N2705" s="111"/>
      <c r="O2705" s="111"/>
      <c r="P2705" s="111"/>
      <c r="Q2705" s="111"/>
      <c r="R2705" s="111"/>
    </row>
    <row r="2706" spans="2:18" s="108" customFormat="1">
      <c r="B2706" s="109"/>
      <c r="C2706" s="110"/>
      <c r="D2706" s="109"/>
      <c r="E2706" s="109"/>
      <c r="F2706" s="97"/>
      <c r="G2706" s="109"/>
      <c r="H2706" s="109"/>
      <c r="I2706" s="97"/>
      <c r="J2706" s="97"/>
      <c r="K2706" s="83"/>
      <c r="L2706" s="111"/>
      <c r="M2706" s="111"/>
      <c r="N2706" s="111"/>
      <c r="O2706" s="111"/>
      <c r="P2706" s="111"/>
      <c r="Q2706" s="111"/>
      <c r="R2706" s="111"/>
    </row>
    <row r="2707" spans="2:18" s="108" customFormat="1">
      <c r="B2707" s="109"/>
      <c r="C2707" s="110"/>
      <c r="D2707" s="109"/>
      <c r="E2707" s="109"/>
      <c r="F2707" s="97"/>
      <c r="G2707" s="109"/>
      <c r="H2707" s="109"/>
      <c r="I2707" s="97"/>
      <c r="J2707" s="97"/>
      <c r="K2707" s="83"/>
      <c r="L2707" s="111"/>
      <c r="M2707" s="111"/>
      <c r="N2707" s="111"/>
      <c r="O2707" s="111"/>
      <c r="P2707" s="111"/>
      <c r="Q2707" s="111"/>
      <c r="R2707" s="111"/>
    </row>
    <row r="2708" spans="2:18" s="108" customFormat="1">
      <c r="B2708" s="109"/>
      <c r="C2708" s="110"/>
      <c r="D2708" s="109"/>
      <c r="E2708" s="109"/>
      <c r="F2708" s="97"/>
      <c r="G2708" s="109"/>
      <c r="H2708" s="109"/>
      <c r="I2708" s="97"/>
      <c r="J2708" s="97"/>
      <c r="K2708" s="83"/>
      <c r="L2708" s="111"/>
      <c r="M2708" s="111"/>
      <c r="N2708" s="111"/>
      <c r="O2708" s="111"/>
      <c r="P2708" s="111"/>
      <c r="Q2708" s="111"/>
      <c r="R2708" s="111"/>
    </row>
    <row r="2709" spans="2:18" s="108" customFormat="1">
      <c r="B2709" s="109"/>
      <c r="C2709" s="110"/>
      <c r="D2709" s="109"/>
      <c r="E2709" s="109"/>
      <c r="F2709" s="97"/>
      <c r="G2709" s="109"/>
      <c r="H2709" s="109"/>
      <c r="I2709" s="97"/>
      <c r="J2709" s="97"/>
      <c r="K2709" s="83"/>
      <c r="L2709" s="111"/>
      <c r="M2709" s="111"/>
      <c r="N2709" s="111"/>
      <c r="O2709" s="111"/>
      <c r="P2709" s="111"/>
      <c r="Q2709" s="111"/>
      <c r="R2709" s="111"/>
    </row>
    <row r="2710" spans="2:18" s="108" customFormat="1">
      <c r="B2710" s="109"/>
      <c r="C2710" s="110"/>
      <c r="D2710" s="109"/>
      <c r="E2710" s="109"/>
      <c r="F2710" s="97"/>
      <c r="G2710" s="109"/>
      <c r="H2710" s="109"/>
      <c r="I2710" s="97"/>
      <c r="J2710" s="97"/>
      <c r="K2710" s="83"/>
      <c r="L2710" s="111"/>
      <c r="M2710" s="111"/>
      <c r="N2710" s="111"/>
      <c r="O2710" s="111"/>
      <c r="P2710" s="111"/>
      <c r="Q2710" s="111"/>
      <c r="R2710" s="111"/>
    </row>
    <row r="2711" spans="2:18" s="108" customFormat="1">
      <c r="B2711" s="109"/>
      <c r="C2711" s="110"/>
      <c r="D2711" s="109"/>
      <c r="E2711" s="109"/>
      <c r="F2711" s="97"/>
      <c r="G2711" s="109"/>
      <c r="H2711" s="109"/>
      <c r="I2711" s="97"/>
      <c r="J2711" s="97"/>
      <c r="K2711" s="83"/>
      <c r="L2711" s="111"/>
      <c r="M2711" s="111"/>
      <c r="N2711" s="111"/>
      <c r="O2711" s="111"/>
      <c r="P2711" s="111"/>
      <c r="Q2711" s="111"/>
      <c r="R2711" s="111"/>
    </row>
    <row r="2712" spans="2:18" s="108" customFormat="1">
      <c r="B2712" s="109"/>
      <c r="C2712" s="110"/>
      <c r="D2712" s="109"/>
      <c r="E2712" s="109"/>
      <c r="F2712" s="97"/>
      <c r="G2712" s="109"/>
      <c r="H2712" s="109"/>
      <c r="I2712" s="97"/>
      <c r="J2712" s="97"/>
      <c r="K2712" s="83"/>
      <c r="L2712" s="111"/>
      <c r="M2712" s="111"/>
      <c r="N2712" s="111"/>
      <c r="O2712" s="111"/>
      <c r="P2712" s="111"/>
      <c r="Q2712" s="111"/>
      <c r="R2712" s="111"/>
    </row>
    <row r="2713" spans="2:18" s="108" customFormat="1">
      <c r="B2713" s="109"/>
      <c r="C2713" s="110"/>
      <c r="D2713" s="109"/>
      <c r="E2713" s="109"/>
      <c r="F2713" s="97"/>
      <c r="G2713" s="109"/>
      <c r="H2713" s="109"/>
      <c r="I2713" s="97"/>
      <c r="J2713" s="97"/>
      <c r="K2713" s="83"/>
      <c r="L2713" s="111"/>
      <c r="M2713" s="111"/>
      <c r="N2713" s="111"/>
      <c r="O2713" s="111"/>
      <c r="P2713" s="111"/>
      <c r="Q2713" s="111"/>
      <c r="R2713" s="111"/>
    </row>
    <row r="2714" spans="2:18" s="108" customFormat="1">
      <c r="B2714" s="109"/>
      <c r="C2714" s="110"/>
      <c r="D2714" s="109"/>
      <c r="E2714" s="109"/>
      <c r="F2714" s="97"/>
      <c r="G2714" s="109"/>
      <c r="H2714" s="109"/>
      <c r="I2714" s="97"/>
      <c r="J2714" s="97"/>
      <c r="K2714" s="83"/>
      <c r="L2714" s="111"/>
      <c r="M2714" s="111"/>
      <c r="N2714" s="111"/>
      <c r="O2714" s="111"/>
      <c r="P2714" s="111"/>
      <c r="Q2714" s="111"/>
      <c r="R2714" s="111"/>
    </row>
    <row r="2715" spans="2:18" s="108" customFormat="1">
      <c r="B2715" s="109"/>
      <c r="C2715" s="110"/>
      <c r="D2715" s="109"/>
      <c r="E2715" s="109"/>
      <c r="F2715" s="97"/>
      <c r="G2715" s="109"/>
      <c r="H2715" s="109"/>
      <c r="I2715" s="97"/>
      <c r="J2715" s="97"/>
      <c r="K2715" s="83"/>
      <c r="L2715" s="111"/>
      <c r="M2715" s="111"/>
      <c r="N2715" s="111"/>
      <c r="O2715" s="111"/>
      <c r="P2715" s="111"/>
      <c r="Q2715" s="111"/>
      <c r="R2715" s="111"/>
    </row>
    <row r="2716" spans="2:18" s="108" customFormat="1">
      <c r="B2716" s="109"/>
      <c r="C2716" s="110"/>
      <c r="D2716" s="109"/>
      <c r="E2716" s="109"/>
      <c r="F2716" s="97"/>
      <c r="G2716" s="109"/>
      <c r="H2716" s="109"/>
      <c r="I2716" s="97"/>
      <c r="J2716" s="97"/>
      <c r="K2716" s="83"/>
      <c r="L2716" s="111"/>
      <c r="M2716" s="111"/>
      <c r="N2716" s="111"/>
      <c r="O2716" s="111"/>
      <c r="P2716" s="111"/>
      <c r="Q2716" s="111"/>
      <c r="R2716" s="111"/>
    </row>
    <row r="2717" spans="2:18" s="108" customFormat="1">
      <c r="B2717" s="109"/>
      <c r="C2717" s="110"/>
      <c r="D2717" s="109"/>
      <c r="E2717" s="109"/>
      <c r="F2717" s="97"/>
      <c r="G2717" s="109"/>
      <c r="H2717" s="109"/>
      <c r="I2717" s="97"/>
      <c r="J2717" s="97"/>
      <c r="K2717" s="83"/>
      <c r="L2717" s="111"/>
      <c r="M2717" s="111"/>
      <c r="N2717" s="111"/>
      <c r="O2717" s="111"/>
      <c r="P2717" s="111"/>
      <c r="Q2717" s="111"/>
      <c r="R2717" s="111"/>
    </row>
    <row r="2718" spans="2:18" s="108" customFormat="1">
      <c r="B2718" s="109"/>
      <c r="C2718" s="110"/>
      <c r="D2718" s="109"/>
      <c r="E2718" s="109"/>
      <c r="F2718" s="97"/>
      <c r="G2718" s="109"/>
      <c r="H2718" s="109"/>
      <c r="I2718" s="97"/>
      <c r="J2718" s="97"/>
      <c r="K2718" s="83"/>
      <c r="L2718" s="111"/>
      <c r="M2718" s="111"/>
      <c r="N2718" s="111"/>
      <c r="O2718" s="111"/>
      <c r="P2718" s="111"/>
      <c r="Q2718" s="111"/>
      <c r="R2718" s="111"/>
    </row>
    <row r="2719" spans="2:18" s="108" customFormat="1">
      <c r="B2719" s="109"/>
      <c r="C2719" s="110"/>
      <c r="D2719" s="109"/>
      <c r="E2719" s="109"/>
      <c r="F2719" s="97"/>
      <c r="G2719" s="109"/>
      <c r="H2719" s="109"/>
      <c r="I2719" s="97"/>
      <c r="J2719" s="97"/>
      <c r="K2719" s="83"/>
      <c r="L2719" s="111"/>
      <c r="M2719" s="111"/>
      <c r="N2719" s="111"/>
      <c r="O2719" s="111"/>
      <c r="P2719" s="111"/>
      <c r="Q2719" s="111"/>
      <c r="R2719" s="111"/>
    </row>
    <row r="2720" spans="2:18" s="108" customFormat="1">
      <c r="B2720" s="109"/>
      <c r="C2720" s="110"/>
      <c r="D2720" s="109"/>
      <c r="E2720" s="109"/>
      <c r="F2720" s="97"/>
      <c r="G2720" s="109"/>
      <c r="H2720" s="109"/>
      <c r="I2720" s="97"/>
      <c r="J2720" s="97"/>
      <c r="K2720" s="83"/>
      <c r="L2720" s="111"/>
      <c r="M2720" s="111"/>
      <c r="N2720" s="111"/>
      <c r="O2720" s="111"/>
      <c r="P2720" s="111"/>
      <c r="Q2720" s="111"/>
      <c r="R2720" s="111"/>
    </row>
    <row r="2721" spans="2:18" s="108" customFormat="1">
      <c r="B2721" s="109"/>
      <c r="C2721" s="110"/>
      <c r="D2721" s="109"/>
      <c r="E2721" s="109"/>
      <c r="F2721" s="97"/>
      <c r="G2721" s="109"/>
      <c r="H2721" s="109"/>
      <c r="I2721" s="97"/>
      <c r="J2721" s="97"/>
      <c r="K2721" s="83"/>
      <c r="L2721" s="111"/>
      <c r="M2721" s="111"/>
      <c r="N2721" s="111"/>
      <c r="O2721" s="111"/>
      <c r="P2721" s="111"/>
      <c r="Q2721" s="111"/>
      <c r="R2721" s="111"/>
    </row>
    <row r="2722" spans="2:18" s="108" customFormat="1">
      <c r="B2722" s="109"/>
      <c r="C2722" s="110"/>
      <c r="D2722" s="109"/>
      <c r="E2722" s="109"/>
      <c r="F2722" s="97"/>
      <c r="G2722" s="109"/>
      <c r="H2722" s="109"/>
      <c r="I2722" s="97"/>
      <c r="J2722" s="97"/>
      <c r="K2722" s="83"/>
      <c r="L2722" s="111"/>
      <c r="M2722" s="111"/>
      <c r="N2722" s="111"/>
      <c r="O2722" s="111"/>
      <c r="P2722" s="111"/>
      <c r="Q2722" s="111"/>
      <c r="R2722" s="111"/>
    </row>
    <row r="2723" spans="2:18" s="108" customFormat="1">
      <c r="B2723" s="109"/>
      <c r="C2723" s="110"/>
      <c r="D2723" s="109"/>
      <c r="E2723" s="109"/>
      <c r="F2723" s="97"/>
      <c r="G2723" s="109"/>
      <c r="H2723" s="109"/>
      <c r="I2723" s="97"/>
      <c r="J2723" s="97"/>
      <c r="K2723" s="83"/>
      <c r="L2723" s="111"/>
      <c r="M2723" s="111"/>
      <c r="N2723" s="111"/>
      <c r="O2723" s="111"/>
      <c r="P2723" s="111"/>
      <c r="Q2723" s="111"/>
      <c r="R2723" s="111"/>
    </row>
    <row r="2724" spans="2:18" s="108" customFormat="1">
      <c r="B2724" s="109"/>
      <c r="C2724" s="110"/>
      <c r="D2724" s="109"/>
      <c r="E2724" s="109"/>
      <c r="F2724" s="97"/>
      <c r="G2724" s="109"/>
      <c r="H2724" s="109"/>
      <c r="I2724" s="97"/>
      <c r="J2724" s="97"/>
      <c r="K2724" s="83"/>
      <c r="L2724" s="111"/>
      <c r="M2724" s="111"/>
      <c r="N2724" s="111"/>
      <c r="O2724" s="111"/>
      <c r="P2724" s="111"/>
      <c r="Q2724" s="111"/>
      <c r="R2724" s="111"/>
    </row>
    <row r="2725" spans="2:18" s="108" customFormat="1">
      <c r="B2725" s="109"/>
      <c r="C2725" s="110"/>
      <c r="D2725" s="109"/>
      <c r="E2725" s="109"/>
      <c r="F2725" s="97"/>
      <c r="G2725" s="109"/>
      <c r="H2725" s="109"/>
      <c r="I2725" s="97"/>
      <c r="J2725" s="97"/>
      <c r="K2725" s="83"/>
      <c r="L2725" s="111"/>
      <c r="M2725" s="111"/>
      <c r="N2725" s="111"/>
      <c r="O2725" s="111"/>
      <c r="P2725" s="111"/>
      <c r="Q2725" s="111"/>
      <c r="R2725" s="111"/>
    </row>
    <row r="2726" spans="2:18" s="108" customFormat="1">
      <c r="B2726" s="109"/>
      <c r="C2726" s="110"/>
      <c r="D2726" s="109"/>
      <c r="E2726" s="109"/>
      <c r="F2726" s="97"/>
      <c r="G2726" s="109"/>
      <c r="H2726" s="109"/>
      <c r="I2726" s="97"/>
      <c r="J2726" s="97"/>
      <c r="K2726" s="83"/>
      <c r="L2726" s="111"/>
      <c r="M2726" s="111"/>
      <c r="N2726" s="111"/>
      <c r="O2726" s="111"/>
      <c r="P2726" s="111"/>
      <c r="Q2726" s="111"/>
      <c r="R2726" s="111"/>
    </row>
    <row r="2727" spans="2:18" s="108" customFormat="1">
      <c r="B2727" s="109"/>
      <c r="C2727" s="110"/>
      <c r="D2727" s="109"/>
      <c r="E2727" s="109"/>
      <c r="F2727" s="97"/>
      <c r="G2727" s="109"/>
      <c r="H2727" s="109"/>
      <c r="I2727" s="97"/>
      <c r="J2727" s="97"/>
      <c r="K2727" s="83"/>
      <c r="L2727" s="111"/>
      <c r="M2727" s="111"/>
      <c r="N2727" s="111"/>
      <c r="O2727" s="111"/>
      <c r="P2727" s="111"/>
      <c r="Q2727" s="111"/>
      <c r="R2727" s="111"/>
    </row>
    <row r="2728" spans="2:18" s="108" customFormat="1">
      <c r="B2728" s="109"/>
      <c r="C2728" s="110"/>
      <c r="D2728" s="109"/>
      <c r="E2728" s="109"/>
      <c r="F2728" s="97"/>
      <c r="G2728" s="109"/>
      <c r="H2728" s="109"/>
      <c r="I2728" s="97"/>
      <c r="J2728" s="97"/>
      <c r="K2728" s="83"/>
      <c r="L2728" s="111"/>
      <c r="M2728" s="111"/>
      <c r="N2728" s="111"/>
      <c r="O2728" s="111"/>
      <c r="P2728" s="111"/>
      <c r="Q2728" s="111"/>
      <c r="R2728" s="111"/>
    </row>
    <row r="2729" spans="2:18" s="108" customFormat="1">
      <c r="B2729" s="109"/>
      <c r="C2729" s="110"/>
      <c r="D2729" s="109"/>
      <c r="E2729" s="109"/>
      <c r="F2729" s="97"/>
      <c r="G2729" s="109"/>
      <c r="H2729" s="109"/>
      <c r="I2729" s="97"/>
      <c r="J2729" s="97"/>
      <c r="K2729" s="83"/>
      <c r="L2729" s="111"/>
      <c r="M2729" s="111"/>
      <c r="N2729" s="111"/>
      <c r="O2729" s="111"/>
      <c r="P2729" s="111"/>
      <c r="Q2729" s="111"/>
      <c r="R2729" s="111"/>
    </row>
    <row r="2730" spans="2:18" s="108" customFormat="1">
      <c r="B2730" s="109"/>
      <c r="C2730" s="110"/>
      <c r="D2730" s="109"/>
      <c r="E2730" s="109"/>
      <c r="F2730" s="97"/>
      <c r="G2730" s="109"/>
      <c r="H2730" s="109"/>
      <c r="I2730" s="97"/>
      <c r="J2730" s="97"/>
      <c r="K2730" s="83"/>
      <c r="L2730" s="111"/>
      <c r="M2730" s="111"/>
      <c r="N2730" s="111"/>
      <c r="O2730" s="111"/>
      <c r="P2730" s="111"/>
      <c r="Q2730" s="111"/>
      <c r="R2730" s="111"/>
    </row>
    <row r="2731" spans="2:18" s="108" customFormat="1">
      <c r="B2731" s="109"/>
      <c r="C2731" s="110"/>
      <c r="D2731" s="109"/>
      <c r="E2731" s="109"/>
      <c r="F2731" s="97"/>
      <c r="G2731" s="109"/>
      <c r="H2731" s="109"/>
      <c r="I2731" s="97"/>
      <c r="J2731" s="97"/>
      <c r="K2731" s="83"/>
      <c r="L2731" s="111"/>
      <c r="M2731" s="111"/>
      <c r="N2731" s="111"/>
      <c r="O2731" s="111"/>
      <c r="P2731" s="111"/>
      <c r="Q2731" s="111"/>
      <c r="R2731" s="111"/>
    </row>
    <row r="2732" spans="2:18" s="108" customFormat="1">
      <c r="B2732" s="109"/>
      <c r="C2732" s="110"/>
      <c r="D2732" s="109"/>
      <c r="E2732" s="109"/>
      <c r="F2732" s="97"/>
      <c r="G2732" s="109"/>
      <c r="H2732" s="109"/>
      <c r="I2732" s="97"/>
      <c r="J2732" s="97"/>
      <c r="K2732" s="83"/>
      <c r="L2732" s="111"/>
      <c r="M2732" s="111"/>
      <c r="N2732" s="111"/>
      <c r="O2732" s="111"/>
      <c r="P2732" s="111"/>
      <c r="Q2732" s="111"/>
      <c r="R2732" s="111"/>
    </row>
    <row r="2733" spans="2:18" s="108" customFormat="1">
      <c r="B2733" s="109"/>
      <c r="C2733" s="110"/>
      <c r="D2733" s="109"/>
      <c r="E2733" s="109"/>
      <c r="F2733" s="97"/>
      <c r="G2733" s="109"/>
      <c r="H2733" s="109"/>
      <c r="I2733" s="97"/>
      <c r="J2733" s="97"/>
      <c r="K2733" s="83"/>
      <c r="L2733" s="111"/>
      <c r="M2733" s="111"/>
      <c r="N2733" s="111"/>
      <c r="O2733" s="111"/>
      <c r="P2733" s="111"/>
      <c r="Q2733" s="111"/>
      <c r="R2733" s="111"/>
    </row>
    <row r="2734" spans="2:18" s="108" customFormat="1">
      <c r="B2734" s="109"/>
      <c r="C2734" s="110"/>
      <c r="D2734" s="109"/>
      <c r="E2734" s="109"/>
      <c r="F2734" s="97"/>
      <c r="G2734" s="109"/>
      <c r="H2734" s="109"/>
      <c r="I2734" s="97"/>
      <c r="J2734" s="97"/>
      <c r="K2734" s="83"/>
      <c r="L2734" s="111"/>
      <c r="M2734" s="111"/>
      <c r="N2734" s="111"/>
      <c r="O2734" s="111"/>
      <c r="P2734" s="111"/>
      <c r="Q2734" s="111"/>
      <c r="R2734" s="111"/>
    </row>
    <row r="2735" spans="2:18" s="108" customFormat="1">
      <c r="B2735" s="109"/>
      <c r="C2735" s="110"/>
      <c r="D2735" s="109"/>
      <c r="E2735" s="109"/>
      <c r="F2735" s="97"/>
      <c r="G2735" s="109"/>
      <c r="H2735" s="109"/>
      <c r="I2735" s="97"/>
      <c r="J2735" s="97"/>
      <c r="K2735" s="83"/>
      <c r="L2735" s="111"/>
      <c r="M2735" s="111"/>
      <c r="N2735" s="111"/>
      <c r="O2735" s="111"/>
      <c r="P2735" s="111"/>
      <c r="Q2735" s="111"/>
      <c r="R2735" s="111"/>
    </row>
    <row r="2736" spans="2:18" s="108" customFormat="1">
      <c r="B2736" s="109"/>
      <c r="C2736" s="110"/>
      <c r="D2736" s="109"/>
      <c r="E2736" s="109"/>
      <c r="F2736" s="97"/>
      <c r="G2736" s="109"/>
      <c r="H2736" s="109"/>
      <c r="I2736" s="97"/>
      <c r="J2736" s="97"/>
      <c r="K2736" s="83"/>
      <c r="L2736" s="111"/>
      <c r="M2736" s="111"/>
      <c r="N2736" s="111"/>
      <c r="O2736" s="111"/>
      <c r="P2736" s="111"/>
      <c r="Q2736" s="111"/>
      <c r="R2736" s="111"/>
    </row>
    <row r="2737" spans="2:18" s="108" customFormat="1">
      <c r="B2737" s="109"/>
      <c r="C2737" s="110"/>
      <c r="D2737" s="109"/>
      <c r="E2737" s="109"/>
      <c r="F2737" s="97"/>
      <c r="G2737" s="109"/>
      <c r="H2737" s="109"/>
      <c r="I2737" s="97"/>
      <c r="J2737" s="97"/>
      <c r="K2737" s="83"/>
      <c r="L2737" s="111"/>
      <c r="M2737" s="111"/>
      <c r="N2737" s="111"/>
      <c r="O2737" s="111"/>
      <c r="P2737" s="111"/>
      <c r="Q2737" s="111"/>
      <c r="R2737" s="111"/>
    </row>
    <row r="2738" spans="2:18" s="108" customFormat="1">
      <c r="B2738" s="109"/>
      <c r="C2738" s="110"/>
      <c r="D2738" s="109"/>
      <c r="E2738" s="109"/>
      <c r="F2738" s="97"/>
      <c r="G2738" s="109"/>
      <c r="H2738" s="109"/>
      <c r="I2738" s="97"/>
      <c r="J2738" s="97"/>
      <c r="K2738" s="83"/>
      <c r="L2738" s="111"/>
      <c r="M2738" s="111"/>
      <c r="N2738" s="111"/>
      <c r="O2738" s="111"/>
      <c r="P2738" s="111"/>
      <c r="Q2738" s="111"/>
      <c r="R2738" s="111"/>
    </row>
    <row r="2739" spans="2:18" s="108" customFormat="1">
      <c r="B2739" s="109"/>
      <c r="C2739" s="110"/>
      <c r="D2739" s="109"/>
      <c r="E2739" s="109"/>
      <c r="F2739" s="97"/>
      <c r="G2739" s="109"/>
      <c r="H2739" s="109"/>
      <c r="I2739" s="97"/>
      <c r="J2739" s="97"/>
      <c r="K2739" s="83"/>
      <c r="L2739" s="111"/>
      <c r="M2739" s="111"/>
      <c r="N2739" s="111"/>
      <c r="O2739" s="111"/>
      <c r="P2739" s="111"/>
      <c r="Q2739" s="111"/>
      <c r="R2739" s="111"/>
    </row>
    <row r="2740" spans="2:18" s="108" customFormat="1">
      <c r="B2740" s="109"/>
      <c r="C2740" s="110"/>
      <c r="D2740" s="109"/>
      <c r="E2740" s="109"/>
      <c r="F2740" s="97"/>
      <c r="G2740" s="109"/>
      <c r="H2740" s="109"/>
      <c r="I2740" s="97"/>
      <c r="J2740" s="97"/>
      <c r="K2740" s="83"/>
      <c r="L2740" s="111"/>
      <c r="M2740" s="111"/>
      <c r="N2740" s="111"/>
      <c r="O2740" s="111"/>
      <c r="P2740" s="111"/>
      <c r="Q2740" s="111"/>
      <c r="R2740" s="111"/>
    </row>
    <row r="2741" spans="2:18" s="108" customFormat="1">
      <c r="B2741" s="109"/>
      <c r="C2741" s="110"/>
      <c r="D2741" s="109"/>
      <c r="E2741" s="109"/>
      <c r="F2741" s="97"/>
      <c r="G2741" s="109"/>
      <c r="H2741" s="109"/>
      <c r="I2741" s="97"/>
      <c r="J2741" s="97"/>
      <c r="K2741" s="83"/>
      <c r="L2741" s="111"/>
      <c r="M2741" s="111"/>
      <c r="N2741" s="111"/>
      <c r="O2741" s="111"/>
      <c r="P2741" s="111"/>
      <c r="Q2741" s="111"/>
      <c r="R2741" s="111"/>
    </row>
    <row r="2742" spans="2:18" s="108" customFormat="1">
      <c r="B2742" s="109"/>
      <c r="C2742" s="110"/>
      <c r="D2742" s="109"/>
      <c r="E2742" s="109"/>
      <c r="F2742" s="97"/>
      <c r="G2742" s="109"/>
      <c r="H2742" s="109"/>
      <c r="I2742" s="97"/>
      <c r="J2742" s="97"/>
      <c r="K2742" s="83"/>
      <c r="L2742" s="111"/>
      <c r="M2742" s="111"/>
      <c r="N2742" s="111"/>
      <c r="O2742" s="111"/>
      <c r="P2742" s="111"/>
      <c r="Q2742" s="111"/>
      <c r="R2742" s="111"/>
    </row>
    <row r="2743" spans="2:18" s="108" customFormat="1">
      <c r="B2743" s="109"/>
      <c r="C2743" s="110"/>
      <c r="D2743" s="109"/>
      <c r="E2743" s="109"/>
      <c r="F2743" s="97"/>
      <c r="G2743" s="109"/>
      <c r="H2743" s="109"/>
      <c r="I2743" s="97"/>
      <c r="J2743" s="97"/>
      <c r="K2743" s="83"/>
      <c r="L2743" s="111"/>
      <c r="M2743" s="111"/>
      <c r="N2743" s="111"/>
      <c r="O2743" s="111"/>
      <c r="P2743" s="111"/>
      <c r="Q2743" s="111"/>
      <c r="R2743" s="111"/>
    </row>
    <row r="2744" spans="2:18" s="108" customFormat="1">
      <c r="B2744" s="109"/>
      <c r="C2744" s="110"/>
      <c r="D2744" s="109"/>
      <c r="E2744" s="109"/>
      <c r="F2744" s="97"/>
      <c r="G2744" s="109"/>
      <c r="H2744" s="109"/>
      <c r="I2744" s="97"/>
      <c r="J2744" s="97"/>
      <c r="K2744" s="83"/>
      <c r="L2744" s="111"/>
      <c r="M2744" s="111"/>
      <c r="N2744" s="111"/>
      <c r="O2744" s="111"/>
      <c r="P2744" s="111"/>
      <c r="Q2744" s="111"/>
      <c r="R2744" s="111"/>
    </row>
    <row r="2745" spans="2:18" s="108" customFormat="1">
      <c r="B2745" s="109"/>
      <c r="C2745" s="110"/>
      <c r="D2745" s="109"/>
      <c r="E2745" s="109"/>
      <c r="F2745" s="97"/>
      <c r="G2745" s="109"/>
      <c r="H2745" s="109"/>
      <c r="I2745" s="97"/>
      <c r="J2745" s="97"/>
      <c r="K2745" s="83"/>
      <c r="L2745" s="111"/>
      <c r="M2745" s="111"/>
      <c r="N2745" s="111"/>
      <c r="O2745" s="111"/>
      <c r="P2745" s="111"/>
      <c r="Q2745" s="111"/>
      <c r="R2745" s="111"/>
    </row>
    <row r="2746" spans="2:18" s="108" customFormat="1">
      <c r="B2746" s="109"/>
      <c r="C2746" s="110"/>
      <c r="D2746" s="109"/>
      <c r="E2746" s="109"/>
      <c r="F2746" s="97"/>
      <c r="G2746" s="109"/>
      <c r="H2746" s="109"/>
      <c r="I2746" s="97"/>
      <c r="J2746" s="97"/>
      <c r="K2746" s="83"/>
      <c r="L2746" s="111"/>
      <c r="M2746" s="111"/>
      <c r="N2746" s="111"/>
      <c r="O2746" s="111"/>
      <c r="P2746" s="111"/>
      <c r="Q2746" s="111"/>
      <c r="R2746" s="111"/>
    </row>
    <row r="2747" spans="2:18" s="108" customFormat="1">
      <c r="B2747" s="109"/>
      <c r="C2747" s="110"/>
      <c r="D2747" s="109"/>
      <c r="E2747" s="109"/>
      <c r="F2747" s="97"/>
      <c r="G2747" s="109"/>
      <c r="H2747" s="109"/>
      <c r="I2747" s="97"/>
      <c r="J2747" s="97"/>
      <c r="K2747" s="83"/>
      <c r="L2747" s="111"/>
      <c r="M2747" s="111"/>
      <c r="N2747" s="111"/>
      <c r="O2747" s="111"/>
      <c r="P2747" s="111"/>
      <c r="Q2747" s="111"/>
      <c r="R2747" s="111"/>
    </row>
    <row r="2748" spans="2:18" s="108" customFormat="1">
      <c r="B2748" s="109"/>
      <c r="C2748" s="110"/>
      <c r="D2748" s="109"/>
      <c r="E2748" s="109"/>
      <c r="F2748" s="97"/>
      <c r="G2748" s="109"/>
      <c r="H2748" s="109"/>
      <c r="I2748" s="97"/>
      <c r="J2748" s="97"/>
      <c r="K2748" s="83"/>
      <c r="L2748" s="111"/>
      <c r="M2748" s="111"/>
      <c r="N2748" s="111"/>
      <c r="O2748" s="111"/>
      <c r="P2748" s="111"/>
      <c r="Q2748" s="111"/>
      <c r="R2748" s="111"/>
    </row>
    <row r="2749" spans="2:18" s="108" customFormat="1">
      <c r="B2749" s="109"/>
      <c r="C2749" s="110"/>
      <c r="D2749" s="109"/>
      <c r="E2749" s="109"/>
      <c r="F2749" s="97"/>
      <c r="G2749" s="109"/>
      <c r="H2749" s="109"/>
      <c r="I2749" s="97"/>
      <c r="J2749" s="97"/>
      <c r="K2749" s="83"/>
      <c r="L2749" s="111"/>
      <c r="M2749" s="111"/>
      <c r="N2749" s="111"/>
      <c r="O2749" s="111"/>
      <c r="P2749" s="111"/>
      <c r="Q2749" s="111"/>
      <c r="R2749" s="111"/>
    </row>
    <row r="2750" spans="2:18" s="108" customFormat="1">
      <c r="B2750" s="109"/>
      <c r="C2750" s="110"/>
      <c r="D2750" s="109"/>
      <c r="E2750" s="109"/>
      <c r="F2750" s="97"/>
      <c r="G2750" s="109"/>
      <c r="H2750" s="109"/>
      <c r="I2750" s="97"/>
      <c r="J2750" s="97"/>
      <c r="K2750" s="83"/>
      <c r="L2750" s="111"/>
      <c r="M2750" s="111"/>
      <c r="N2750" s="111"/>
      <c r="O2750" s="111"/>
      <c r="P2750" s="111"/>
      <c r="Q2750" s="111"/>
      <c r="R2750" s="111"/>
    </row>
    <row r="2751" spans="2:18" s="108" customFormat="1">
      <c r="B2751" s="109"/>
      <c r="C2751" s="110"/>
      <c r="D2751" s="109"/>
      <c r="E2751" s="109"/>
      <c r="F2751" s="97"/>
      <c r="G2751" s="109"/>
      <c r="H2751" s="109"/>
      <c r="I2751" s="97"/>
      <c r="J2751" s="97"/>
      <c r="K2751" s="83"/>
      <c r="L2751" s="111"/>
      <c r="M2751" s="111"/>
      <c r="N2751" s="111"/>
      <c r="O2751" s="111"/>
      <c r="P2751" s="111"/>
      <c r="Q2751" s="111"/>
      <c r="R2751" s="111"/>
    </row>
    <row r="2752" spans="2:18" s="108" customFormat="1">
      <c r="B2752" s="109"/>
      <c r="C2752" s="110"/>
      <c r="D2752" s="109"/>
      <c r="E2752" s="109"/>
      <c r="F2752" s="97"/>
      <c r="G2752" s="109"/>
      <c r="H2752" s="109"/>
      <c r="I2752" s="97"/>
      <c r="J2752" s="97"/>
      <c r="K2752" s="83"/>
      <c r="L2752" s="111"/>
      <c r="M2752" s="111"/>
      <c r="N2752" s="111"/>
      <c r="O2752" s="111"/>
      <c r="P2752" s="111"/>
      <c r="Q2752" s="111"/>
      <c r="R2752" s="111"/>
    </row>
    <row r="2753" spans="2:18" s="108" customFormat="1">
      <c r="B2753" s="109"/>
      <c r="C2753" s="110"/>
      <c r="D2753" s="109"/>
      <c r="E2753" s="109"/>
      <c r="F2753" s="97"/>
      <c r="G2753" s="109"/>
      <c r="H2753" s="109"/>
      <c r="I2753" s="97"/>
      <c r="J2753" s="97"/>
      <c r="K2753" s="83"/>
      <c r="L2753" s="111"/>
      <c r="M2753" s="111"/>
      <c r="N2753" s="111"/>
      <c r="O2753" s="111"/>
      <c r="P2753" s="111"/>
      <c r="Q2753" s="111"/>
      <c r="R2753" s="111"/>
    </row>
    <row r="2754" spans="2:18" s="108" customFormat="1">
      <c r="B2754" s="109"/>
      <c r="C2754" s="110"/>
      <c r="D2754" s="109"/>
      <c r="E2754" s="109"/>
      <c r="F2754" s="97"/>
      <c r="G2754" s="109"/>
      <c r="H2754" s="109"/>
      <c r="I2754" s="97"/>
      <c r="J2754" s="97"/>
      <c r="K2754" s="83"/>
      <c r="L2754" s="111"/>
      <c r="M2754" s="111"/>
      <c r="N2754" s="111"/>
      <c r="O2754" s="111"/>
      <c r="P2754" s="111"/>
      <c r="Q2754" s="111"/>
      <c r="R2754" s="111"/>
    </row>
    <row r="2755" spans="2:18" s="108" customFormat="1">
      <c r="B2755" s="109"/>
      <c r="C2755" s="110"/>
      <c r="D2755" s="109"/>
      <c r="E2755" s="109"/>
      <c r="F2755" s="97"/>
      <c r="G2755" s="109"/>
      <c r="H2755" s="109"/>
      <c r="I2755" s="97"/>
      <c r="J2755" s="97"/>
      <c r="K2755" s="83"/>
      <c r="L2755" s="111"/>
      <c r="M2755" s="111"/>
      <c r="N2755" s="111"/>
      <c r="O2755" s="111"/>
      <c r="P2755" s="111"/>
      <c r="Q2755" s="111"/>
      <c r="R2755" s="111"/>
    </row>
    <row r="2756" spans="2:18" s="108" customFormat="1">
      <c r="B2756" s="109"/>
      <c r="C2756" s="110"/>
      <c r="D2756" s="109"/>
      <c r="E2756" s="109"/>
      <c r="F2756" s="97"/>
      <c r="G2756" s="109"/>
      <c r="H2756" s="109"/>
      <c r="I2756" s="97"/>
      <c r="J2756" s="97"/>
      <c r="K2756" s="83"/>
      <c r="L2756" s="111"/>
      <c r="M2756" s="111"/>
      <c r="N2756" s="111"/>
      <c r="O2756" s="111"/>
      <c r="P2756" s="111"/>
      <c r="Q2756" s="111"/>
      <c r="R2756" s="111"/>
    </row>
    <row r="2757" spans="2:18" s="108" customFormat="1">
      <c r="B2757" s="109"/>
      <c r="C2757" s="110"/>
      <c r="D2757" s="109"/>
      <c r="E2757" s="109"/>
      <c r="F2757" s="97"/>
      <c r="G2757" s="109"/>
      <c r="H2757" s="109"/>
      <c r="I2757" s="97"/>
      <c r="J2757" s="97"/>
      <c r="K2757" s="83"/>
      <c r="L2757" s="111"/>
      <c r="M2757" s="111"/>
      <c r="N2757" s="111"/>
      <c r="O2757" s="111"/>
      <c r="P2757" s="111"/>
      <c r="Q2757" s="111"/>
      <c r="R2757" s="111"/>
    </row>
    <row r="2758" spans="2:18" s="108" customFormat="1">
      <c r="B2758" s="109"/>
      <c r="C2758" s="110"/>
      <c r="D2758" s="109"/>
      <c r="E2758" s="109"/>
      <c r="F2758" s="97"/>
      <c r="G2758" s="109"/>
      <c r="H2758" s="109"/>
      <c r="I2758" s="97"/>
      <c r="J2758" s="97"/>
      <c r="K2758" s="83"/>
      <c r="L2758" s="111"/>
      <c r="M2758" s="111"/>
      <c r="N2758" s="111"/>
      <c r="O2758" s="111"/>
      <c r="P2758" s="111"/>
      <c r="Q2758" s="111"/>
      <c r="R2758" s="111"/>
    </row>
    <row r="2759" spans="2:18" s="108" customFormat="1">
      <c r="B2759" s="109"/>
      <c r="C2759" s="110"/>
      <c r="D2759" s="109"/>
      <c r="E2759" s="109"/>
      <c r="F2759" s="97"/>
      <c r="G2759" s="109"/>
      <c r="H2759" s="109"/>
      <c r="I2759" s="97"/>
      <c r="J2759" s="97"/>
      <c r="K2759" s="83"/>
      <c r="L2759" s="111"/>
      <c r="M2759" s="111"/>
      <c r="N2759" s="111"/>
      <c r="O2759" s="111"/>
      <c r="P2759" s="111"/>
      <c r="Q2759" s="111"/>
      <c r="R2759" s="111"/>
    </row>
    <row r="2760" spans="2:18" s="108" customFormat="1">
      <c r="B2760" s="109"/>
      <c r="C2760" s="110"/>
      <c r="D2760" s="109"/>
      <c r="E2760" s="109"/>
      <c r="F2760" s="97"/>
      <c r="G2760" s="109"/>
      <c r="H2760" s="109"/>
      <c r="I2760" s="97"/>
      <c r="J2760" s="97"/>
      <c r="K2760" s="83"/>
      <c r="L2760" s="111"/>
      <c r="M2760" s="111"/>
      <c r="N2760" s="111"/>
      <c r="O2760" s="111"/>
      <c r="P2760" s="111"/>
      <c r="Q2760" s="111"/>
      <c r="R2760" s="111"/>
    </row>
    <row r="2761" spans="2:18" s="108" customFormat="1">
      <c r="B2761" s="109"/>
      <c r="C2761" s="110"/>
      <c r="D2761" s="109"/>
      <c r="E2761" s="109"/>
      <c r="F2761" s="97"/>
      <c r="G2761" s="109"/>
      <c r="H2761" s="109"/>
      <c r="I2761" s="97"/>
      <c r="J2761" s="97"/>
      <c r="K2761" s="83"/>
      <c r="L2761" s="111"/>
      <c r="M2761" s="111"/>
      <c r="N2761" s="111"/>
      <c r="O2761" s="111"/>
      <c r="P2761" s="111"/>
      <c r="Q2761" s="111"/>
      <c r="R2761" s="111"/>
    </row>
    <row r="2762" spans="2:18" s="108" customFormat="1">
      <c r="B2762" s="109"/>
      <c r="C2762" s="110"/>
      <c r="D2762" s="109"/>
      <c r="E2762" s="109"/>
      <c r="F2762" s="97"/>
      <c r="G2762" s="109"/>
      <c r="H2762" s="109"/>
      <c r="I2762" s="97"/>
      <c r="J2762" s="97"/>
      <c r="K2762" s="83"/>
      <c r="L2762" s="111"/>
      <c r="M2762" s="111"/>
      <c r="N2762" s="111"/>
      <c r="O2762" s="111"/>
      <c r="P2762" s="111"/>
      <c r="Q2762" s="111"/>
      <c r="R2762" s="111"/>
    </row>
    <row r="2763" spans="2:18" s="108" customFormat="1">
      <c r="B2763" s="109"/>
      <c r="C2763" s="110"/>
      <c r="D2763" s="109"/>
      <c r="E2763" s="109"/>
      <c r="F2763" s="97"/>
      <c r="G2763" s="109"/>
      <c r="H2763" s="109"/>
      <c r="I2763" s="97"/>
      <c r="J2763" s="97"/>
      <c r="K2763" s="83"/>
      <c r="L2763" s="111"/>
      <c r="M2763" s="111"/>
      <c r="N2763" s="111"/>
      <c r="O2763" s="111"/>
      <c r="P2763" s="111"/>
      <c r="Q2763" s="111"/>
      <c r="R2763" s="111"/>
    </row>
    <row r="2764" spans="2:18" s="108" customFormat="1">
      <c r="B2764" s="109"/>
      <c r="C2764" s="110"/>
      <c r="D2764" s="109"/>
      <c r="E2764" s="109"/>
      <c r="F2764" s="97"/>
      <c r="G2764" s="109"/>
      <c r="H2764" s="109"/>
      <c r="I2764" s="97"/>
      <c r="J2764" s="97"/>
      <c r="K2764" s="83"/>
      <c r="L2764" s="111"/>
      <c r="M2764" s="111"/>
      <c r="N2764" s="111"/>
      <c r="O2764" s="111"/>
      <c r="P2764" s="111"/>
      <c r="Q2764" s="111"/>
      <c r="R2764" s="111"/>
    </row>
    <row r="2765" spans="2:18" s="108" customFormat="1">
      <c r="B2765" s="109"/>
      <c r="C2765" s="110"/>
      <c r="D2765" s="109"/>
      <c r="E2765" s="109"/>
      <c r="F2765" s="97"/>
      <c r="G2765" s="109"/>
      <c r="H2765" s="109"/>
      <c r="I2765" s="97"/>
      <c r="J2765" s="97"/>
      <c r="K2765" s="83"/>
      <c r="L2765" s="111"/>
      <c r="M2765" s="111"/>
      <c r="N2765" s="111"/>
      <c r="O2765" s="111"/>
      <c r="P2765" s="111"/>
      <c r="Q2765" s="111"/>
      <c r="R2765" s="111"/>
    </row>
    <row r="2766" spans="2:18" s="108" customFormat="1">
      <c r="B2766" s="109"/>
      <c r="C2766" s="110"/>
      <c r="D2766" s="109"/>
      <c r="E2766" s="109"/>
      <c r="F2766" s="97"/>
      <c r="G2766" s="109"/>
      <c r="H2766" s="109"/>
      <c r="I2766" s="97"/>
      <c r="J2766" s="97"/>
      <c r="K2766" s="83"/>
      <c r="L2766" s="111"/>
      <c r="M2766" s="111"/>
      <c r="N2766" s="111"/>
      <c r="O2766" s="111"/>
      <c r="P2766" s="111"/>
      <c r="Q2766" s="111"/>
      <c r="R2766" s="111"/>
    </row>
    <row r="2767" spans="2:18" s="108" customFormat="1">
      <c r="B2767" s="109"/>
      <c r="C2767" s="110"/>
      <c r="D2767" s="109"/>
      <c r="E2767" s="109"/>
      <c r="F2767" s="97"/>
      <c r="G2767" s="109"/>
      <c r="H2767" s="109"/>
      <c r="I2767" s="97"/>
      <c r="J2767" s="97"/>
      <c r="K2767" s="83"/>
      <c r="L2767" s="111"/>
      <c r="M2767" s="111"/>
      <c r="N2767" s="111"/>
      <c r="O2767" s="111"/>
      <c r="P2767" s="111"/>
      <c r="Q2767" s="111"/>
      <c r="R2767" s="111"/>
    </row>
    <row r="2768" spans="2:18" s="108" customFormat="1">
      <c r="B2768" s="109"/>
      <c r="C2768" s="110"/>
      <c r="D2768" s="109"/>
      <c r="E2768" s="109"/>
      <c r="F2768" s="97"/>
      <c r="G2768" s="109"/>
      <c r="H2768" s="109"/>
      <c r="I2768" s="97"/>
      <c r="J2768" s="97"/>
      <c r="K2768" s="83"/>
      <c r="L2768" s="111"/>
      <c r="M2768" s="111"/>
      <c r="N2768" s="111"/>
      <c r="O2768" s="111"/>
      <c r="P2768" s="111"/>
      <c r="Q2768" s="111"/>
      <c r="R2768" s="111"/>
    </row>
    <row r="2769" spans="2:18" s="108" customFormat="1">
      <c r="B2769" s="109"/>
      <c r="C2769" s="110"/>
      <c r="D2769" s="109"/>
      <c r="E2769" s="109"/>
      <c r="F2769" s="97"/>
      <c r="G2769" s="109"/>
      <c r="H2769" s="109"/>
      <c r="I2769" s="97"/>
      <c r="J2769" s="97"/>
      <c r="K2769" s="83"/>
      <c r="L2769" s="111"/>
      <c r="M2769" s="111"/>
      <c r="N2769" s="111"/>
      <c r="O2769" s="111"/>
      <c r="P2769" s="111"/>
      <c r="Q2769" s="111"/>
      <c r="R2769" s="111"/>
    </row>
    <row r="2770" spans="2:18" s="108" customFormat="1">
      <c r="B2770" s="109"/>
      <c r="C2770" s="110"/>
      <c r="D2770" s="109"/>
      <c r="E2770" s="109"/>
      <c r="F2770" s="97"/>
      <c r="G2770" s="109"/>
      <c r="H2770" s="109"/>
      <c r="I2770" s="97"/>
      <c r="J2770" s="97"/>
      <c r="K2770" s="83"/>
      <c r="L2770" s="111"/>
      <c r="M2770" s="111"/>
      <c r="N2770" s="111"/>
      <c r="O2770" s="111"/>
      <c r="P2770" s="111"/>
      <c r="Q2770" s="111"/>
      <c r="R2770" s="111"/>
    </row>
    <row r="2771" spans="2:18" s="108" customFormat="1">
      <c r="B2771" s="109"/>
      <c r="C2771" s="110"/>
      <c r="D2771" s="109"/>
      <c r="E2771" s="109"/>
      <c r="F2771" s="97"/>
      <c r="G2771" s="109"/>
      <c r="H2771" s="109"/>
      <c r="I2771" s="97"/>
      <c r="J2771" s="97"/>
      <c r="K2771" s="83"/>
      <c r="L2771" s="111"/>
      <c r="M2771" s="111"/>
      <c r="N2771" s="111"/>
      <c r="O2771" s="111"/>
      <c r="P2771" s="111"/>
      <c r="Q2771" s="111"/>
      <c r="R2771" s="111"/>
    </row>
    <row r="2772" spans="2:18" s="108" customFormat="1">
      <c r="B2772" s="109"/>
      <c r="C2772" s="110"/>
      <c r="D2772" s="109"/>
      <c r="E2772" s="109"/>
      <c r="F2772" s="97"/>
      <c r="G2772" s="109"/>
      <c r="H2772" s="109"/>
      <c r="I2772" s="97"/>
      <c r="J2772" s="97"/>
      <c r="K2772" s="83"/>
      <c r="L2772" s="111"/>
      <c r="M2772" s="111"/>
      <c r="N2772" s="111"/>
      <c r="O2772" s="111"/>
      <c r="P2772" s="111"/>
      <c r="Q2772" s="111"/>
      <c r="R2772" s="111"/>
    </row>
    <row r="2773" spans="2:18" s="108" customFormat="1">
      <c r="B2773" s="109"/>
      <c r="C2773" s="110"/>
      <c r="D2773" s="109"/>
      <c r="E2773" s="109"/>
      <c r="F2773" s="97"/>
      <c r="G2773" s="109"/>
      <c r="H2773" s="109"/>
      <c r="I2773" s="97"/>
      <c r="J2773" s="97"/>
      <c r="K2773" s="83"/>
      <c r="L2773" s="111"/>
      <c r="M2773" s="111"/>
      <c r="N2773" s="111"/>
      <c r="O2773" s="111"/>
      <c r="P2773" s="111"/>
      <c r="Q2773" s="111"/>
      <c r="R2773" s="111"/>
    </row>
    <row r="2774" spans="2:18" s="108" customFormat="1">
      <c r="B2774" s="109"/>
      <c r="C2774" s="110"/>
      <c r="D2774" s="109"/>
      <c r="E2774" s="109"/>
      <c r="F2774" s="97"/>
      <c r="G2774" s="109"/>
      <c r="H2774" s="109"/>
      <c r="I2774" s="97"/>
      <c r="J2774" s="97"/>
      <c r="K2774" s="83"/>
      <c r="L2774" s="111"/>
      <c r="M2774" s="111"/>
      <c r="N2774" s="111"/>
      <c r="O2774" s="111"/>
      <c r="P2774" s="111"/>
      <c r="Q2774" s="111"/>
      <c r="R2774" s="111"/>
    </row>
    <row r="2775" spans="2:18" s="108" customFormat="1">
      <c r="B2775" s="109"/>
      <c r="C2775" s="110"/>
      <c r="D2775" s="109"/>
      <c r="E2775" s="109"/>
      <c r="F2775" s="97"/>
      <c r="G2775" s="109"/>
      <c r="H2775" s="109"/>
      <c r="I2775" s="97"/>
      <c r="J2775" s="97"/>
      <c r="K2775" s="83"/>
      <c r="L2775" s="111"/>
      <c r="M2775" s="111"/>
      <c r="N2775" s="111"/>
      <c r="O2775" s="111"/>
      <c r="P2775" s="111"/>
      <c r="Q2775" s="111"/>
      <c r="R2775" s="111"/>
    </row>
    <row r="2776" spans="2:18" s="108" customFormat="1">
      <c r="B2776" s="109"/>
      <c r="C2776" s="110"/>
      <c r="D2776" s="109"/>
      <c r="E2776" s="109"/>
      <c r="F2776" s="97"/>
      <c r="G2776" s="109"/>
      <c r="H2776" s="109"/>
      <c r="I2776" s="97"/>
      <c r="J2776" s="97"/>
      <c r="K2776" s="83"/>
      <c r="L2776" s="111"/>
      <c r="M2776" s="111"/>
      <c r="N2776" s="111"/>
      <c r="O2776" s="111"/>
      <c r="P2776" s="111"/>
      <c r="Q2776" s="111"/>
      <c r="R2776" s="111"/>
    </row>
    <row r="2777" spans="2:18" s="108" customFormat="1">
      <c r="B2777" s="109"/>
      <c r="C2777" s="110"/>
      <c r="D2777" s="109"/>
      <c r="E2777" s="109"/>
      <c r="F2777" s="97"/>
      <c r="G2777" s="109"/>
      <c r="H2777" s="109"/>
      <c r="I2777" s="97"/>
      <c r="J2777" s="97"/>
      <c r="K2777" s="83"/>
      <c r="L2777" s="111"/>
      <c r="M2777" s="111"/>
      <c r="N2777" s="111"/>
      <c r="O2777" s="111"/>
      <c r="P2777" s="111"/>
      <c r="Q2777" s="111"/>
      <c r="R2777" s="111"/>
    </row>
    <row r="2778" spans="2:18" s="108" customFormat="1">
      <c r="B2778" s="109"/>
      <c r="C2778" s="110"/>
      <c r="D2778" s="109"/>
      <c r="E2778" s="109"/>
      <c r="F2778" s="97"/>
      <c r="G2778" s="109"/>
      <c r="H2778" s="109"/>
      <c r="I2778" s="97"/>
      <c r="J2778" s="97"/>
      <c r="K2778" s="83"/>
      <c r="L2778" s="111"/>
      <c r="M2778" s="111"/>
      <c r="N2778" s="111"/>
      <c r="O2778" s="111"/>
      <c r="P2778" s="111"/>
      <c r="Q2778" s="111"/>
      <c r="R2778" s="111"/>
    </row>
    <row r="2779" spans="2:18" s="108" customFormat="1">
      <c r="B2779" s="109"/>
      <c r="C2779" s="110"/>
      <c r="D2779" s="109"/>
      <c r="E2779" s="109"/>
      <c r="F2779" s="97"/>
      <c r="G2779" s="109"/>
      <c r="H2779" s="109"/>
      <c r="I2779" s="97"/>
      <c r="J2779" s="97"/>
      <c r="K2779" s="83"/>
      <c r="L2779" s="111"/>
      <c r="M2779" s="111"/>
      <c r="N2779" s="111"/>
      <c r="O2779" s="111"/>
      <c r="P2779" s="111"/>
      <c r="Q2779" s="111"/>
      <c r="R2779" s="111"/>
    </row>
    <row r="2780" spans="2:18" s="108" customFormat="1">
      <c r="B2780" s="109"/>
      <c r="C2780" s="110"/>
      <c r="D2780" s="109"/>
      <c r="E2780" s="109"/>
      <c r="F2780" s="97"/>
      <c r="G2780" s="109"/>
      <c r="H2780" s="109"/>
      <c r="I2780" s="97"/>
      <c r="J2780" s="97"/>
      <c r="K2780" s="83"/>
      <c r="L2780" s="111"/>
      <c r="M2780" s="111"/>
      <c r="N2780" s="111"/>
      <c r="O2780" s="111"/>
      <c r="P2780" s="111"/>
      <c r="Q2780" s="111"/>
      <c r="R2780" s="111"/>
    </row>
    <row r="2781" spans="2:18" s="108" customFormat="1">
      <c r="B2781" s="109"/>
      <c r="C2781" s="110"/>
      <c r="D2781" s="109"/>
      <c r="E2781" s="109"/>
      <c r="F2781" s="97"/>
      <c r="G2781" s="109"/>
      <c r="H2781" s="109"/>
      <c r="I2781" s="97"/>
      <c r="J2781" s="97"/>
      <c r="K2781" s="83"/>
      <c r="L2781" s="111"/>
      <c r="M2781" s="111"/>
      <c r="N2781" s="111"/>
      <c r="O2781" s="111"/>
      <c r="P2781" s="111"/>
      <c r="Q2781" s="111"/>
      <c r="R2781" s="111"/>
    </row>
    <row r="2782" spans="2:18" s="108" customFormat="1">
      <c r="B2782" s="109"/>
      <c r="C2782" s="110"/>
      <c r="D2782" s="109"/>
      <c r="E2782" s="109"/>
      <c r="F2782" s="97"/>
      <c r="G2782" s="109"/>
      <c r="H2782" s="109"/>
      <c r="I2782" s="97"/>
      <c r="J2782" s="97"/>
      <c r="K2782" s="83"/>
      <c r="L2782" s="111"/>
      <c r="M2782" s="111"/>
      <c r="N2782" s="111"/>
      <c r="O2782" s="111"/>
      <c r="P2782" s="111"/>
      <c r="Q2782" s="111"/>
      <c r="R2782" s="111"/>
    </row>
    <row r="2783" spans="2:18" s="108" customFormat="1">
      <c r="B2783" s="109"/>
      <c r="C2783" s="110"/>
      <c r="D2783" s="109"/>
      <c r="E2783" s="109"/>
      <c r="F2783" s="97"/>
      <c r="G2783" s="109"/>
      <c r="H2783" s="109"/>
      <c r="I2783" s="97"/>
      <c r="J2783" s="97"/>
      <c r="K2783" s="83"/>
      <c r="L2783" s="111"/>
      <c r="M2783" s="111"/>
      <c r="N2783" s="111"/>
      <c r="O2783" s="111"/>
      <c r="P2783" s="111"/>
      <c r="Q2783" s="111"/>
      <c r="R2783" s="111"/>
    </row>
    <row r="2784" spans="2:18" s="108" customFormat="1">
      <c r="B2784" s="109"/>
      <c r="C2784" s="110"/>
      <c r="D2784" s="109"/>
      <c r="E2784" s="109"/>
      <c r="F2784" s="97"/>
      <c r="G2784" s="109"/>
      <c r="H2784" s="109"/>
      <c r="I2784" s="97"/>
      <c r="J2784" s="97"/>
      <c r="K2784" s="83"/>
      <c r="L2784" s="111"/>
      <c r="M2784" s="111"/>
      <c r="N2784" s="111"/>
      <c r="O2784" s="111"/>
      <c r="P2784" s="111"/>
      <c r="Q2784" s="111"/>
      <c r="R2784" s="111"/>
    </row>
    <row r="2785" spans="2:18" s="108" customFormat="1">
      <c r="B2785" s="109"/>
      <c r="C2785" s="110"/>
      <c r="D2785" s="109"/>
      <c r="E2785" s="109"/>
      <c r="F2785" s="97"/>
      <c r="G2785" s="109"/>
      <c r="H2785" s="109"/>
      <c r="I2785" s="97"/>
      <c r="J2785" s="97"/>
      <c r="K2785" s="83"/>
      <c r="L2785" s="111"/>
      <c r="M2785" s="111"/>
      <c r="N2785" s="111"/>
      <c r="O2785" s="111"/>
      <c r="P2785" s="111"/>
      <c r="Q2785" s="111"/>
      <c r="R2785" s="111"/>
    </row>
    <row r="2786" spans="2:18" s="108" customFormat="1">
      <c r="B2786" s="109"/>
      <c r="C2786" s="110"/>
      <c r="D2786" s="109"/>
      <c r="E2786" s="109"/>
      <c r="F2786" s="97"/>
      <c r="G2786" s="109"/>
      <c r="H2786" s="109"/>
      <c r="I2786" s="97"/>
      <c r="J2786" s="97"/>
      <c r="K2786" s="83"/>
      <c r="L2786" s="111"/>
      <c r="M2786" s="111"/>
      <c r="N2786" s="111"/>
      <c r="O2786" s="111"/>
      <c r="P2786" s="111"/>
      <c r="Q2786" s="111"/>
      <c r="R2786" s="111"/>
    </row>
    <row r="2787" spans="2:18" s="108" customFormat="1">
      <c r="B2787" s="109"/>
      <c r="C2787" s="110"/>
      <c r="D2787" s="109"/>
      <c r="E2787" s="109"/>
      <c r="F2787" s="97"/>
      <c r="G2787" s="109"/>
      <c r="H2787" s="109"/>
      <c r="I2787" s="97"/>
      <c r="J2787" s="97"/>
      <c r="K2787" s="83"/>
      <c r="L2787" s="111"/>
      <c r="M2787" s="111"/>
      <c r="N2787" s="111"/>
      <c r="O2787" s="111"/>
      <c r="P2787" s="111"/>
      <c r="Q2787" s="111"/>
      <c r="R2787" s="111"/>
    </row>
    <row r="2788" spans="2:18" s="108" customFormat="1">
      <c r="B2788" s="109"/>
      <c r="C2788" s="110"/>
      <c r="D2788" s="109"/>
      <c r="E2788" s="109"/>
      <c r="F2788" s="97"/>
      <c r="G2788" s="109"/>
      <c r="H2788" s="109"/>
      <c r="I2788" s="97"/>
      <c r="J2788" s="97"/>
      <c r="K2788" s="83"/>
      <c r="L2788" s="111"/>
      <c r="M2788" s="111"/>
      <c r="N2788" s="111"/>
      <c r="O2788" s="111"/>
      <c r="P2788" s="111"/>
      <c r="Q2788" s="111"/>
      <c r="R2788" s="111"/>
    </row>
    <row r="2789" spans="2:18" s="108" customFormat="1">
      <c r="B2789" s="109"/>
      <c r="C2789" s="110"/>
      <c r="D2789" s="109"/>
      <c r="E2789" s="109"/>
      <c r="F2789" s="97"/>
      <c r="G2789" s="109"/>
      <c r="H2789" s="109"/>
      <c r="I2789" s="97"/>
      <c r="J2789" s="97"/>
      <c r="K2789" s="83"/>
      <c r="L2789" s="111"/>
      <c r="M2789" s="111"/>
      <c r="N2789" s="111"/>
      <c r="O2789" s="111"/>
      <c r="P2789" s="111"/>
      <c r="Q2789" s="111"/>
      <c r="R2789" s="111"/>
    </row>
    <row r="2790" spans="2:18" s="108" customFormat="1">
      <c r="B2790" s="109"/>
      <c r="C2790" s="110"/>
      <c r="D2790" s="109"/>
      <c r="E2790" s="109"/>
      <c r="F2790" s="97"/>
      <c r="G2790" s="109"/>
      <c r="H2790" s="109"/>
      <c r="I2790" s="97"/>
      <c r="J2790" s="97"/>
      <c r="K2790" s="83"/>
      <c r="L2790" s="111"/>
      <c r="M2790" s="111"/>
      <c r="N2790" s="111"/>
      <c r="O2790" s="111"/>
      <c r="P2790" s="111"/>
      <c r="Q2790" s="111"/>
      <c r="R2790" s="111"/>
    </row>
    <row r="2791" spans="2:18" s="108" customFormat="1">
      <c r="B2791" s="109"/>
      <c r="C2791" s="110"/>
      <c r="D2791" s="109"/>
      <c r="E2791" s="109"/>
      <c r="F2791" s="97"/>
      <c r="G2791" s="109"/>
      <c r="H2791" s="109"/>
      <c r="I2791" s="97"/>
      <c r="J2791" s="97"/>
      <c r="K2791" s="83"/>
      <c r="L2791" s="111"/>
      <c r="M2791" s="111"/>
      <c r="N2791" s="111"/>
      <c r="O2791" s="111"/>
      <c r="P2791" s="111"/>
      <c r="Q2791" s="111"/>
      <c r="R2791" s="111"/>
    </row>
    <row r="2792" spans="2:18" s="108" customFormat="1">
      <c r="B2792" s="109"/>
      <c r="C2792" s="110"/>
      <c r="D2792" s="109"/>
      <c r="E2792" s="109"/>
      <c r="F2792" s="97"/>
      <c r="G2792" s="109"/>
      <c r="H2792" s="109"/>
      <c r="I2792" s="97"/>
      <c r="J2792" s="97"/>
      <c r="K2792" s="83"/>
      <c r="L2792" s="111"/>
      <c r="M2792" s="111"/>
      <c r="N2792" s="111"/>
      <c r="O2792" s="111"/>
      <c r="P2792" s="111"/>
      <c r="Q2792" s="111"/>
      <c r="R2792" s="111"/>
    </row>
    <row r="2793" spans="2:18" s="108" customFormat="1">
      <c r="B2793" s="109"/>
      <c r="C2793" s="110"/>
      <c r="D2793" s="109"/>
      <c r="E2793" s="109"/>
      <c r="F2793" s="97"/>
      <c r="G2793" s="109"/>
      <c r="H2793" s="109"/>
      <c r="I2793" s="97"/>
      <c r="J2793" s="97"/>
      <c r="K2793" s="83"/>
      <c r="L2793" s="111"/>
      <c r="M2793" s="111"/>
      <c r="N2793" s="111"/>
      <c r="O2793" s="111"/>
      <c r="P2793" s="111"/>
      <c r="Q2793" s="111"/>
      <c r="R2793" s="111"/>
    </row>
    <row r="2794" spans="2:18" s="108" customFormat="1">
      <c r="B2794" s="109"/>
      <c r="C2794" s="110"/>
      <c r="D2794" s="109"/>
      <c r="E2794" s="109"/>
      <c r="F2794" s="97"/>
      <c r="G2794" s="109"/>
      <c r="H2794" s="109"/>
      <c r="I2794" s="97"/>
      <c r="J2794" s="97"/>
      <c r="K2794" s="83"/>
      <c r="L2794" s="111"/>
      <c r="M2794" s="111"/>
      <c r="N2794" s="111"/>
      <c r="O2794" s="111"/>
      <c r="P2794" s="111"/>
      <c r="Q2794" s="111"/>
      <c r="R2794" s="111"/>
    </row>
    <row r="2795" spans="2:18" s="108" customFormat="1">
      <c r="B2795" s="109"/>
      <c r="C2795" s="110"/>
      <c r="D2795" s="109"/>
      <c r="E2795" s="109"/>
      <c r="F2795" s="97"/>
      <c r="G2795" s="109"/>
      <c r="H2795" s="109"/>
      <c r="I2795" s="97"/>
      <c r="J2795" s="97"/>
      <c r="K2795" s="83"/>
      <c r="L2795" s="111"/>
      <c r="M2795" s="111"/>
      <c r="N2795" s="111"/>
      <c r="O2795" s="111"/>
      <c r="P2795" s="111"/>
      <c r="Q2795" s="111"/>
      <c r="R2795" s="111"/>
    </row>
    <row r="2796" spans="2:18" s="108" customFormat="1">
      <c r="B2796" s="109"/>
      <c r="C2796" s="110"/>
      <c r="D2796" s="109"/>
      <c r="E2796" s="109"/>
      <c r="F2796" s="97"/>
      <c r="G2796" s="109"/>
      <c r="H2796" s="109"/>
      <c r="I2796" s="97"/>
      <c r="J2796" s="97"/>
      <c r="K2796" s="83"/>
      <c r="L2796" s="111"/>
      <c r="M2796" s="111"/>
      <c r="N2796" s="111"/>
      <c r="O2796" s="111"/>
      <c r="P2796" s="111"/>
      <c r="Q2796" s="111"/>
      <c r="R2796" s="111"/>
    </row>
    <row r="2797" spans="2:18" s="108" customFormat="1">
      <c r="B2797" s="109"/>
      <c r="C2797" s="110"/>
      <c r="D2797" s="109"/>
      <c r="E2797" s="109"/>
      <c r="F2797" s="97"/>
      <c r="G2797" s="109"/>
      <c r="H2797" s="109"/>
      <c r="I2797" s="97"/>
      <c r="J2797" s="97"/>
      <c r="K2797" s="83"/>
      <c r="L2797" s="111"/>
      <c r="M2797" s="111"/>
      <c r="N2797" s="111"/>
      <c r="O2797" s="111"/>
      <c r="P2797" s="111"/>
      <c r="Q2797" s="111"/>
      <c r="R2797" s="111"/>
    </row>
    <row r="2798" spans="2:18" s="108" customFormat="1">
      <c r="B2798" s="109"/>
      <c r="C2798" s="110"/>
      <c r="D2798" s="109"/>
      <c r="E2798" s="109"/>
      <c r="F2798" s="97"/>
      <c r="G2798" s="109"/>
      <c r="H2798" s="109"/>
      <c r="I2798" s="97"/>
      <c r="J2798" s="97"/>
      <c r="K2798" s="83"/>
      <c r="L2798" s="111"/>
      <c r="M2798" s="111"/>
      <c r="N2798" s="111"/>
      <c r="O2798" s="111"/>
      <c r="P2798" s="111"/>
      <c r="Q2798" s="111"/>
      <c r="R2798" s="111"/>
    </row>
    <row r="2799" spans="2:18" s="108" customFormat="1">
      <c r="B2799" s="109"/>
      <c r="C2799" s="110"/>
      <c r="D2799" s="109"/>
      <c r="E2799" s="109"/>
      <c r="F2799" s="97"/>
      <c r="G2799" s="109"/>
      <c r="H2799" s="109"/>
      <c r="I2799" s="97"/>
      <c r="J2799" s="97"/>
      <c r="K2799" s="83"/>
      <c r="L2799" s="111"/>
      <c r="M2799" s="111"/>
      <c r="N2799" s="111"/>
      <c r="O2799" s="111"/>
      <c r="P2799" s="111"/>
      <c r="Q2799" s="111"/>
      <c r="R2799" s="111"/>
    </row>
    <row r="2800" spans="2:18" s="108" customFormat="1">
      <c r="B2800" s="109"/>
      <c r="C2800" s="110"/>
      <c r="D2800" s="109"/>
      <c r="E2800" s="109"/>
      <c r="F2800" s="97"/>
      <c r="G2800" s="109"/>
      <c r="H2800" s="109"/>
      <c r="I2800" s="97"/>
      <c r="J2800" s="97"/>
      <c r="K2800" s="83"/>
      <c r="L2800" s="111"/>
      <c r="M2800" s="111"/>
      <c r="N2800" s="111"/>
      <c r="O2800" s="111"/>
      <c r="P2800" s="111"/>
      <c r="Q2800" s="111"/>
      <c r="R2800" s="111"/>
    </row>
    <row r="2801" spans="2:18" s="108" customFormat="1">
      <c r="B2801" s="109"/>
      <c r="C2801" s="110"/>
      <c r="D2801" s="109"/>
      <c r="E2801" s="109"/>
      <c r="F2801" s="97"/>
      <c r="G2801" s="109"/>
      <c r="H2801" s="109"/>
      <c r="I2801" s="97"/>
      <c r="J2801" s="97"/>
      <c r="K2801" s="83"/>
      <c r="L2801" s="111"/>
      <c r="M2801" s="111"/>
      <c r="N2801" s="111"/>
      <c r="O2801" s="111"/>
      <c r="P2801" s="111"/>
      <c r="Q2801" s="111"/>
      <c r="R2801" s="111"/>
    </row>
    <row r="2802" spans="2:18" s="108" customFormat="1">
      <c r="B2802" s="109"/>
      <c r="C2802" s="110"/>
      <c r="D2802" s="109"/>
      <c r="E2802" s="109"/>
      <c r="F2802" s="97"/>
      <c r="G2802" s="109"/>
      <c r="H2802" s="109"/>
      <c r="I2802" s="97"/>
      <c r="J2802" s="97"/>
      <c r="K2802" s="83"/>
      <c r="L2802" s="111"/>
      <c r="M2802" s="111"/>
      <c r="N2802" s="111"/>
      <c r="O2802" s="111"/>
      <c r="P2802" s="111"/>
      <c r="Q2802" s="111"/>
      <c r="R2802" s="111"/>
    </row>
    <row r="2803" spans="2:18" s="108" customFormat="1">
      <c r="B2803" s="109"/>
      <c r="C2803" s="110"/>
      <c r="D2803" s="109"/>
      <c r="E2803" s="109"/>
      <c r="F2803" s="97"/>
      <c r="G2803" s="109"/>
      <c r="H2803" s="109"/>
      <c r="I2803" s="97"/>
      <c r="J2803" s="97"/>
      <c r="K2803" s="83"/>
      <c r="L2803" s="111"/>
      <c r="M2803" s="111"/>
      <c r="N2803" s="111"/>
      <c r="O2803" s="111"/>
      <c r="P2803" s="111"/>
      <c r="Q2803" s="111"/>
      <c r="R2803" s="111"/>
    </row>
    <row r="2804" spans="2:18" s="108" customFormat="1">
      <c r="B2804" s="109"/>
      <c r="C2804" s="110"/>
      <c r="D2804" s="109"/>
      <c r="E2804" s="109"/>
      <c r="F2804" s="97"/>
      <c r="G2804" s="109"/>
      <c r="H2804" s="109"/>
      <c r="I2804" s="97"/>
      <c r="J2804" s="97"/>
      <c r="K2804" s="83"/>
      <c r="L2804" s="111"/>
      <c r="M2804" s="111"/>
      <c r="N2804" s="111"/>
      <c r="O2804" s="111"/>
      <c r="P2804" s="111"/>
      <c r="Q2804" s="111"/>
      <c r="R2804" s="111"/>
    </row>
    <row r="2805" spans="2:18" s="108" customFormat="1">
      <c r="B2805" s="109"/>
      <c r="C2805" s="110"/>
      <c r="D2805" s="109"/>
      <c r="E2805" s="109"/>
      <c r="F2805" s="97"/>
      <c r="G2805" s="109"/>
      <c r="H2805" s="109"/>
      <c r="I2805" s="97"/>
      <c r="J2805" s="97"/>
      <c r="K2805" s="83"/>
      <c r="L2805" s="111"/>
      <c r="M2805" s="111"/>
      <c r="N2805" s="111"/>
      <c r="O2805" s="111"/>
      <c r="P2805" s="111"/>
      <c r="Q2805" s="111"/>
      <c r="R2805" s="111"/>
    </row>
    <row r="2806" spans="2:18" s="108" customFormat="1">
      <c r="B2806" s="109"/>
      <c r="C2806" s="110"/>
      <c r="D2806" s="109"/>
      <c r="E2806" s="109"/>
      <c r="F2806" s="97"/>
      <c r="G2806" s="109"/>
      <c r="H2806" s="109"/>
      <c r="I2806" s="97"/>
      <c r="J2806" s="97"/>
      <c r="K2806" s="83"/>
      <c r="L2806" s="111"/>
      <c r="M2806" s="111"/>
      <c r="N2806" s="111"/>
      <c r="O2806" s="111"/>
      <c r="P2806" s="111"/>
      <c r="Q2806" s="111"/>
      <c r="R2806" s="111"/>
    </row>
    <row r="2807" spans="2:18" s="108" customFormat="1">
      <c r="B2807" s="109"/>
      <c r="C2807" s="110"/>
      <c r="D2807" s="109"/>
      <c r="E2807" s="109"/>
      <c r="F2807" s="97"/>
      <c r="G2807" s="109"/>
      <c r="H2807" s="109"/>
      <c r="I2807" s="97"/>
      <c r="J2807" s="97"/>
      <c r="K2807" s="83"/>
      <c r="L2807" s="111"/>
      <c r="M2807" s="111"/>
      <c r="N2807" s="111"/>
      <c r="O2807" s="111"/>
      <c r="P2807" s="111"/>
      <c r="Q2807" s="111"/>
      <c r="R2807" s="111"/>
    </row>
    <row r="2808" spans="2:18" s="108" customFormat="1">
      <c r="B2808" s="109"/>
      <c r="C2808" s="110"/>
      <c r="D2808" s="109"/>
      <c r="E2808" s="109"/>
      <c r="F2808" s="97"/>
      <c r="G2808" s="109"/>
      <c r="H2808" s="109"/>
      <c r="I2808" s="97"/>
      <c r="J2808" s="97"/>
      <c r="K2808" s="83"/>
      <c r="L2808" s="111"/>
      <c r="M2808" s="111"/>
      <c r="N2808" s="111"/>
      <c r="O2808" s="111"/>
      <c r="P2808" s="111"/>
      <c r="Q2808" s="111"/>
      <c r="R2808" s="111"/>
    </row>
    <row r="2809" spans="2:18" s="108" customFormat="1">
      <c r="B2809" s="109"/>
      <c r="C2809" s="110"/>
      <c r="D2809" s="109"/>
      <c r="E2809" s="109"/>
      <c r="F2809" s="97"/>
      <c r="G2809" s="109"/>
      <c r="H2809" s="109"/>
      <c r="I2809" s="97"/>
      <c r="J2809" s="97"/>
      <c r="K2809" s="83"/>
      <c r="L2809" s="111"/>
      <c r="M2809" s="111"/>
      <c r="N2809" s="111"/>
      <c r="O2809" s="111"/>
      <c r="P2809" s="111"/>
      <c r="Q2809" s="111"/>
      <c r="R2809" s="111"/>
    </row>
    <row r="2810" spans="2:18" s="108" customFormat="1">
      <c r="B2810" s="109"/>
      <c r="C2810" s="110"/>
      <c r="D2810" s="109"/>
      <c r="E2810" s="109"/>
      <c r="F2810" s="97"/>
      <c r="G2810" s="109"/>
      <c r="H2810" s="109"/>
      <c r="I2810" s="97"/>
      <c r="J2810" s="97"/>
      <c r="K2810" s="83"/>
      <c r="L2810" s="111"/>
      <c r="M2810" s="111"/>
      <c r="N2810" s="111"/>
      <c r="O2810" s="111"/>
      <c r="P2810" s="111"/>
      <c r="Q2810" s="111"/>
      <c r="R2810" s="111"/>
    </row>
    <row r="2811" spans="2:18" s="108" customFormat="1">
      <c r="B2811" s="109"/>
      <c r="C2811" s="110"/>
      <c r="D2811" s="109"/>
      <c r="E2811" s="109"/>
      <c r="F2811" s="97"/>
      <c r="G2811" s="109"/>
      <c r="H2811" s="109"/>
      <c r="I2811" s="97"/>
      <c r="J2811" s="97"/>
      <c r="K2811" s="83"/>
      <c r="L2811" s="111"/>
      <c r="M2811" s="111"/>
      <c r="N2811" s="111"/>
      <c r="O2811" s="111"/>
      <c r="P2811" s="111"/>
      <c r="Q2811" s="111"/>
      <c r="R2811" s="111"/>
    </row>
    <row r="2812" spans="2:18" s="108" customFormat="1">
      <c r="B2812" s="109"/>
      <c r="C2812" s="110"/>
      <c r="D2812" s="109"/>
      <c r="E2812" s="109"/>
      <c r="F2812" s="97"/>
      <c r="G2812" s="109"/>
      <c r="H2812" s="109"/>
      <c r="I2812" s="97"/>
      <c r="J2812" s="97"/>
      <c r="K2812" s="83"/>
      <c r="L2812" s="111"/>
      <c r="M2812" s="111"/>
      <c r="N2812" s="111"/>
      <c r="O2812" s="111"/>
      <c r="P2812" s="111"/>
      <c r="Q2812" s="111"/>
      <c r="R2812" s="111"/>
    </row>
    <row r="2813" spans="2:18" s="108" customFormat="1">
      <c r="B2813" s="109"/>
      <c r="C2813" s="110"/>
      <c r="D2813" s="109"/>
      <c r="E2813" s="109"/>
      <c r="F2813" s="97"/>
      <c r="G2813" s="109"/>
      <c r="H2813" s="109"/>
      <c r="I2813" s="97"/>
      <c r="J2813" s="97"/>
      <c r="K2813" s="83"/>
      <c r="L2813" s="111"/>
      <c r="M2813" s="111"/>
      <c r="N2813" s="111"/>
      <c r="O2813" s="111"/>
      <c r="P2813" s="111"/>
      <c r="Q2813" s="111"/>
      <c r="R2813" s="111"/>
    </row>
    <row r="2814" spans="2:18" s="108" customFormat="1">
      <c r="B2814" s="109"/>
      <c r="C2814" s="110"/>
      <c r="D2814" s="109"/>
      <c r="E2814" s="109"/>
      <c r="F2814" s="97"/>
      <c r="G2814" s="109"/>
      <c r="H2814" s="109"/>
      <c r="I2814" s="97"/>
      <c r="J2814" s="97"/>
      <c r="K2814" s="83"/>
      <c r="L2814" s="111"/>
      <c r="M2814" s="111"/>
      <c r="N2814" s="111"/>
      <c r="O2814" s="111"/>
      <c r="P2814" s="111"/>
      <c r="Q2814" s="111"/>
      <c r="R2814" s="111"/>
    </row>
    <row r="2815" spans="2:18" s="108" customFormat="1">
      <c r="B2815" s="109"/>
      <c r="C2815" s="110"/>
      <c r="D2815" s="109"/>
      <c r="E2815" s="109"/>
      <c r="F2815" s="97"/>
      <c r="G2815" s="109"/>
      <c r="H2815" s="109"/>
      <c r="I2815" s="97"/>
      <c r="J2815" s="97"/>
      <c r="K2815" s="83"/>
      <c r="L2815" s="111"/>
      <c r="M2815" s="111"/>
      <c r="N2815" s="111"/>
      <c r="O2815" s="111"/>
      <c r="P2815" s="111"/>
      <c r="Q2815" s="111"/>
      <c r="R2815" s="111"/>
    </row>
    <row r="2816" spans="2:18" s="108" customFormat="1">
      <c r="B2816" s="109"/>
      <c r="C2816" s="110"/>
      <c r="D2816" s="109"/>
      <c r="E2816" s="109"/>
      <c r="F2816" s="97"/>
      <c r="G2816" s="109"/>
      <c r="H2816" s="109"/>
      <c r="I2816" s="97"/>
      <c r="J2816" s="97"/>
      <c r="K2816" s="83"/>
      <c r="L2816" s="111"/>
      <c r="M2816" s="111"/>
      <c r="N2816" s="111"/>
      <c r="O2816" s="111"/>
      <c r="P2816" s="111"/>
      <c r="Q2816" s="111"/>
      <c r="R2816" s="111"/>
    </row>
    <row r="2817" spans="2:18" s="108" customFormat="1">
      <c r="B2817" s="109"/>
      <c r="C2817" s="110"/>
      <c r="D2817" s="109"/>
      <c r="E2817" s="109"/>
      <c r="F2817" s="97"/>
      <c r="G2817" s="109"/>
      <c r="H2817" s="109"/>
      <c r="I2817" s="97"/>
      <c r="J2817" s="97"/>
      <c r="K2817" s="83"/>
      <c r="L2817" s="111"/>
      <c r="M2817" s="111"/>
      <c r="N2817" s="111"/>
      <c r="O2817" s="111"/>
      <c r="P2817" s="111"/>
      <c r="Q2817" s="111"/>
      <c r="R2817" s="111"/>
    </row>
    <row r="2818" spans="2:18" s="108" customFormat="1">
      <c r="B2818" s="109"/>
      <c r="C2818" s="110"/>
      <c r="D2818" s="109"/>
      <c r="E2818" s="109"/>
      <c r="F2818" s="97"/>
      <c r="G2818" s="109"/>
      <c r="H2818" s="109"/>
      <c r="I2818" s="97"/>
      <c r="J2818" s="97"/>
      <c r="K2818" s="83"/>
      <c r="L2818" s="111"/>
      <c r="M2818" s="111"/>
      <c r="N2818" s="111"/>
      <c r="O2818" s="111"/>
      <c r="P2818" s="111"/>
      <c r="Q2818" s="111"/>
      <c r="R2818" s="111"/>
    </row>
    <row r="2819" spans="2:18" s="108" customFormat="1">
      <c r="B2819" s="109"/>
      <c r="C2819" s="110"/>
      <c r="D2819" s="109"/>
      <c r="E2819" s="109"/>
      <c r="F2819" s="97"/>
      <c r="G2819" s="109"/>
      <c r="H2819" s="109"/>
      <c r="I2819" s="97"/>
      <c r="J2819" s="97"/>
      <c r="K2819" s="83"/>
      <c r="L2819" s="111"/>
      <c r="M2819" s="111"/>
      <c r="N2819" s="111"/>
      <c r="O2819" s="111"/>
      <c r="P2819" s="111"/>
      <c r="Q2819" s="111"/>
      <c r="R2819" s="111"/>
    </row>
    <row r="2820" spans="2:18" s="108" customFormat="1">
      <c r="B2820" s="109"/>
      <c r="C2820" s="110"/>
      <c r="D2820" s="109"/>
      <c r="E2820" s="109"/>
      <c r="F2820" s="97"/>
      <c r="G2820" s="109"/>
      <c r="H2820" s="109"/>
      <c r="I2820" s="97"/>
      <c r="J2820" s="97"/>
      <c r="K2820" s="83"/>
      <c r="L2820" s="111"/>
      <c r="M2820" s="111"/>
      <c r="N2820" s="111"/>
      <c r="O2820" s="111"/>
      <c r="P2820" s="111"/>
      <c r="Q2820" s="111"/>
      <c r="R2820" s="111"/>
    </row>
    <row r="2821" spans="2:18" s="108" customFormat="1">
      <c r="B2821" s="109"/>
      <c r="C2821" s="110"/>
      <c r="D2821" s="109"/>
      <c r="E2821" s="109"/>
      <c r="F2821" s="97"/>
      <c r="G2821" s="109"/>
      <c r="H2821" s="109"/>
      <c r="I2821" s="97"/>
      <c r="J2821" s="97"/>
      <c r="K2821" s="83"/>
      <c r="L2821" s="111"/>
      <c r="M2821" s="111"/>
      <c r="N2821" s="111"/>
      <c r="O2821" s="111"/>
      <c r="P2821" s="111"/>
      <c r="Q2821" s="111"/>
      <c r="R2821" s="111"/>
    </row>
    <row r="2822" spans="2:18" s="108" customFormat="1">
      <c r="B2822" s="109"/>
      <c r="C2822" s="110"/>
      <c r="D2822" s="109"/>
      <c r="E2822" s="109"/>
      <c r="F2822" s="97"/>
      <c r="G2822" s="109"/>
      <c r="H2822" s="109"/>
      <c r="I2822" s="97"/>
      <c r="J2822" s="97"/>
      <c r="K2822" s="83"/>
      <c r="L2822" s="111"/>
      <c r="M2822" s="111"/>
      <c r="N2822" s="111"/>
      <c r="O2822" s="111"/>
      <c r="P2822" s="111"/>
      <c r="Q2822" s="111"/>
      <c r="R2822" s="111"/>
    </row>
    <row r="2823" spans="2:18" s="108" customFormat="1">
      <c r="B2823" s="109"/>
      <c r="C2823" s="110"/>
      <c r="D2823" s="109"/>
      <c r="E2823" s="109"/>
      <c r="F2823" s="97"/>
      <c r="G2823" s="109"/>
      <c r="H2823" s="109"/>
      <c r="I2823" s="97"/>
      <c r="J2823" s="97"/>
      <c r="K2823" s="83"/>
      <c r="L2823" s="111"/>
      <c r="M2823" s="111"/>
      <c r="N2823" s="111"/>
      <c r="O2823" s="111"/>
      <c r="P2823" s="111"/>
      <c r="Q2823" s="111"/>
      <c r="R2823" s="111"/>
    </row>
    <row r="2824" spans="2:18" s="108" customFormat="1">
      <c r="B2824" s="109"/>
      <c r="C2824" s="110"/>
      <c r="D2824" s="109"/>
      <c r="E2824" s="109"/>
      <c r="F2824" s="97"/>
      <c r="G2824" s="109"/>
      <c r="H2824" s="109"/>
      <c r="I2824" s="97"/>
      <c r="J2824" s="97"/>
      <c r="K2824" s="83"/>
      <c r="L2824" s="111"/>
      <c r="M2824" s="111"/>
      <c r="N2824" s="111"/>
      <c r="O2824" s="111"/>
      <c r="P2824" s="111"/>
      <c r="Q2824" s="111"/>
      <c r="R2824" s="111"/>
    </row>
    <row r="2825" spans="2:18" s="108" customFormat="1">
      <c r="B2825" s="109"/>
      <c r="C2825" s="110"/>
      <c r="D2825" s="109"/>
      <c r="E2825" s="109"/>
      <c r="F2825" s="97"/>
      <c r="G2825" s="109"/>
      <c r="H2825" s="109"/>
      <c r="I2825" s="97"/>
      <c r="J2825" s="97"/>
      <c r="K2825" s="83"/>
      <c r="L2825" s="111"/>
      <c r="M2825" s="111"/>
      <c r="N2825" s="111"/>
      <c r="O2825" s="111"/>
      <c r="P2825" s="111"/>
      <c r="Q2825" s="111"/>
      <c r="R2825" s="111"/>
    </row>
    <row r="2826" spans="2:18" s="108" customFormat="1">
      <c r="B2826" s="109"/>
      <c r="C2826" s="110"/>
      <c r="D2826" s="109"/>
      <c r="E2826" s="109"/>
      <c r="F2826" s="97"/>
      <c r="G2826" s="109"/>
      <c r="H2826" s="109"/>
      <c r="I2826" s="97"/>
      <c r="J2826" s="97"/>
      <c r="K2826" s="83"/>
      <c r="L2826" s="111"/>
      <c r="M2826" s="111"/>
      <c r="N2826" s="111"/>
      <c r="O2826" s="111"/>
      <c r="P2826" s="111"/>
      <c r="Q2826" s="111"/>
      <c r="R2826" s="111"/>
    </row>
    <row r="2827" spans="2:18" s="108" customFormat="1">
      <c r="B2827" s="109"/>
      <c r="C2827" s="110"/>
      <c r="D2827" s="109"/>
      <c r="E2827" s="109"/>
      <c r="F2827" s="97"/>
      <c r="G2827" s="109"/>
      <c r="H2827" s="109"/>
      <c r="I2827" s="97"/>
      <c r="J2827" s="97"/>
      <c r="K2827" s="83"/>
      <c r="L2827" s="111"/>
      <c r="M2827" s="111"/>
      <c r="N2827" s="111"/>
      <c r="O2827" s="111"/>
      <c r="P2827" s="111"/>
      <c r="Q2827" s="111"/>
      <c r="R2827" s="111"/>
    </row>
    <row r="2828" spans="2:18" s="108" customFormat="1">
      <c r="B2828" s="109"/>
      <c r="C2828" s="110"/>
      <c r="D2828" s="109"/>
      <c r="E2828" s="109"/>
      <c r="F2828" s="97"/>
      <c r="G2828" s="109"/>
      <c r="H2828" s="109"/>
      <c r="I2828" s="97"/>
      <c r="J2828" s="97"/>
      <c r="K2828" s="83"/>
      <c r="L2828" s="111"/>
      <c r="M2828" s="111"/>
      <c r="N2828" s="111"/>
      <c r="O2828" s="111"/>
      <c r="P2828" s="111"/>
      <c r="Q2828" s="111"/>
      <c r="R2828" s="111"/>
    </row>
    <row r="2829" spans="2:18" s="108" customFormat="1">
      <c r="B2829" s="109"/>
      <c r="C2829" s="110"/>
      <c r="D2829" s="109"/>
      <c r="E2829" s="109"/>
      <c r="F2829" s="97"/>
      <c r="G2829" s="109"/>
      <c r="H2829" s="109"/>
      <c r="I2829" s="97"/>
      <c r="J2829" s="97"/>
      <c r="K2829" s="83"/>
      <c r="L2829" s="111"/>
      <c r="M2829" s="111"/>
      <c r="N2829" s="111"/>
      <c r="O2829" s="111"/>
      <c r="P2829" s="111"/>
      <c r="Q2829" s="111"/>
      <c r="R2829" s="111"/>
    </row>
    <row r="2830" spans="2:18" s="108" customFormat="1">
      <c r="B2830" s="109"/>
      <c r="C2830" s="110"/>
      <c r="D2830" s="109"/>
      <c r="E2830" s="109"/>
      <c r="F2830" s="97"/>
      <c r="G2830" s="109"/>
      <c r="H2830" s="109"/>
      <c r="I2830" s="97"/>
      <c r="J2830" s="97"/>
      <c r="K2830" s="83"/>
      <c r="L2830" s="111"/>
      <c r="M2830" s="111"/>
      <c r="N2830" s="111"/>
      <c r="O2830" s="111"/>
      <c r="P2830" s="111"/>
      <c r="Q2830" s="111"/>
      <c r="R2830" s="111"/>
    </row>
    <row r="2831" spans="2:18" s="108" customFormat="1">
      <c r="B2831" s="109"/>
      <c r="C2831" s="110"/>
      <c r="D2831" s="109"/>
      <c r="E2831" s="109"/>
      <c r="F2831" s="97"/>
      <c r="G2831" s="109"/>
      <c r="H2831" s="109"/>
      <c r="I2831" s="97"/>
      <c r="J2831" s="97"/>
      <c r="K2831" s="83"/>
      <c r="L2831" s="111"/>
      <c r="M2831" s="111"/>
      <c r="N2831" s="111"/>
      <c r="O2831" s="111"/>
      <c r="P2831" s="111"/>
      <c r="Q2831" s="111"/>
      <c r="R2831" s="111"/>
    </row>
    <row r="2832" spans="2:18" s="108" customFormat="1">
      <c r="B2832" s="109"/>
      <c r="C2832" s="110"/>
      <c r="D2832" s="109"/>
      <c r="E2832" s="109"/>
      <c r="F2832" s="97"/>
      <c r="G2832" s="109"/>
      <c r="H2832" s="109"/>
      <c r="I2832" s="97"/>
      <c r="J2832" s="97"/>
      <c r="K2832" s="83"/>
      <c r="L2832" s="111"/>
      <c r="M2832" s="111"/>
      <c r="N2832" s="111"/>
      <c r="O2832" s="111"/>
      <c r="P2832" s="111"/>
      <c r="Q2832" s="111"/>
      <c r="R2832" s="111"/>
    </row>
    <row r="2833" spans="2:18" s="108" customFormat="1">
      <c r="B2833" s="109"/>
      <c r="C2833" s="110"/>
      <c r="D2833" s="109"/>
      <c r="E2833" s="109"/>
      <c r="F2833" s="97"/>
      <c r="G2833" s="109"/>
      <c r="H2833" s="109"/>
      <c r="I2833" s="97"/>
      <c r="J2833" s="97"/>
      <c r="K2833" s="83"/>
      <c r="L2833" s="111"/>
      <c r="M2833" s="111"/>
      <c r="N2833" s="111"/>
      <c r="O2833" s="111"/>
      <c r="P2833" s="111"/>
      <c r="Q2833" s="111"/>
      <c r="R2833" s="111"/>
    </row>
    <row r="2834" spans="2:18" s="108" customFormat="1">
      <c r="B2834" s="109"/>
      <c r="C2834" s="110"/>
      <c r="D2834" s="109"/>
      <c r="E2834" s="109"/>
      <c r="F2834" s="97"/>
      <c r="G2834" s="109"/>
      <c r="H2834" s="109"/>
      <c r="I2834" s="97"/>
      <c r="J2834" s="97"/>
      <c r="K2834" s="83"/>
      <c r="L2834" s="111"/>
      <c r="M2834" s="111"/>
      <c r="N2834" s="111"/>
      <c r="O2834" s="111"/>
      <c r="P2834" s="111"/>
      <c r="Q2834" s="111"/>
      <c r="R2834" s="111"/>
    </row>
    <row r="2835" spans="2:18" s="108" customFormat="1">
      <c r="B2835" s="109"/>
      <c r="C2835" s="110"/>
      <c r="D2835" s="109"/>
      <c r="E2835" s="109"/>
      <c r="F2835" s="97"/>
      <c r="G2835" s="109"/>
      <c r="H2835" s="109"/>
      <c r="I2835" s="97"/>
      <c r="J2835" s="97"/>
      <c r="K2835" s="83"/>
      <c r="L2835" s="111"/>
      <c r="M2835" s="111"/>
      <c r="N2835" s="111"/>
      <c r="O2835" s="111"/>
      <c r="P2835" s="111"/>
      <c r="Q2835" s="111"/>
      <c r="R2835" s="111"/>
    </row>
    <row r="2836" spans="2:18" s="108" customFormat="1">
      <c r="B2836" s="109"/>
      <c r="C2836" s="110"/>
      <c r="D2836" s="109"/>
      <c r="E2836" s="109"/>
      <c r="F2836" s="97"/>
      <c r="G2836" s="109"/>
      <c r="H2836" s="109"/>
      <c r="I2836" s="97"/>
      <c r="J2836" s="97"/>
      <c r="K2836" s="83"/>
      <c r="L2836" s="111"/>
      <c r="M2836" s="111"/>
      <c r="N2836" s="111"/>
      <c r="O2836" s="111"/>
      <c r="P2836" s="111"/>
      <c r="Q2836" s="111"/>
      <c r="R2836" s="111"/>
    </row>
    <row r="2837" spans="2:18" s="108" customFormat="1">
      <c r="B2837" s="109"/>
      <c r="C2837" s="110"/>
      <c r="D2837" s="109"/>
      <c r="E2837" s="109"/>
      <c r="F2837" s="97"/>
      <c r="G2837" s="109"/>
      <c r="H2837" s="109"/>
      <c r="I2837" s="97"/>
      <c r="J2837" s="97"/>
      <c r="K2837" s="83"/>
      <c r="L2837" s="111"/>
      <c r="M2837" s="111"/>
      <c r="N2837" s="111"/>
      <c r="O2837" s="111"/>
      <c r="P2837" s="111"/>
      <c r="Q2837" s="111"/>
      <c r="R2837" s="111"/>
    </row>
    <row r="2838" spans="2:18" s="108" customFormat="1">
      <c r="B2838" s="109"/>
      <c r="C2838" s="110"/>
      <c r="D2838" s="109"/>
      <c r="E2838" s="109"/>
      <c r="F2838" s="97"/>
      <c r="G2838" s="109"/>
      <c r="H2838" s="109"/>
      <c r="I2838" s="97"/>
      <c r="J2838" s="97"/>
      <c r="K2838" s="83"/>
      <c r="L2838" s="111"/>
      <c r="M2838" s="111"/>
      <c r="N2838" s="111"/>
      <c r="O2838" s="111"/>
      <c r="P2838" s="111"/>
      <c r="Q2838" s="111"/>
      <c r="R2838" s="111"/>
    </row>
    <row r="2839" spans="2:18" s="108" customFormat="1">
      <c r="B2839" s="109"/>
      <c r="C2839" s="110"/>
      <c r="D2839" s="109"/>
      <c r="E2839" s="109"/>
      <c r="F2839" s="97"/>
      <c r="G2839" s="109"/>
      <c r="H2839" s="109"/>
      <c r="I2839" s="97"/>
      <c r="J2839" s="97"/>
      <c r="K2839" s="83"/>
      <c r="L2839" s="111"/>
      <c r="M2839" s="111"/>
      <c r="N2839" s="111"/>
      <c r="O2839" s="111"/>
      <c r="P2839" s="111"/>
      <c r="Q2839" s="111"/>
      <c r="R2839" s="111"/>
    </row>
    <row r="2840" spans="2:18" s="108" customFormat="1">
      <c r="B2840" s="109"/>
      <c r="C2840" s="110"/>
      <c r="D2840" s="109"/>
      <c r="E2840" s="109"/>
      <c r="F2840" s="97"/>
      <c r="G2840" s="109"/>
      <c r="H2840" s="109"/>
      <c r="I2840" s="97"/>
      <c r="J2840" s="97"/>
      <c r="K2840" s="83"/>
      <c r="L2840" s="111"/>
      <c r="M2840" s="111"/>
      <c r="N2840" s="111"/>
      <c r="O2840" s="111"/>
      <c r="P2840" s="111"/>
      <c r="Q2840" s="111"/>
      <c r="R2840" s="111"/>
    </row>
    <row r="2841" spans="2:18" s="108" customFormat="1">
      <c r="B2841" s="109"/>
      <c r="C2841" s="110"/>
      <c r="D2841" s="109"/>
      <c r="E2841" s="109"/>
      <c r="F2841" s="97"/>
      <c r="G2841" s="109"/>
      <c r="H2841" s="109"/>
      <c r="I2841" s="97"/>
      <c r="J2841" s="97"/>
      <c r="K2841" s="83"/>
      <c r="L2841" s="111"/>
      <c r="M2841" s="111"/>
      <c r="N2841" s="111"/>
      <c r="O2841" s="111"/>
      <c r="P2841" s="111"/>
      <c r="Q2841" s="111"/>
      <c r="R2841" s="111"/>
    </row>
    <row r="2842" spans="2:18" s="108" customFormat="1">
      <c r="B2842" s="109"/>
      <c r="C2842" s="110"/>
      <c r="D2842" s="109"/>
      <c r="E2842" s="109"/>
      <c r="F2842" s="97"/>
      <c r="G2842" s="109"/>
      <c r="H2842" s="109"/>
      <c r="I2842" s="97"/>
      <c r="J2842" s="97"/>
      <c r="K2842" s="83"/>
      <c r="L2842" s="111"/>
      <c r="M2842" s="111"/>
      <c r="N2842" s="111"/>
      <c r="O2842" s="111"/>
      <c r="P2842" s="111"/>
      <c r="Q2842" s="111"/>
      <c r="R2842" s="111"/>
    </row>
    <row r="2843" spans="2:18" s="108" customFormat="1">
      <c r="B2843" s="109"/>
      <c r="C2843" s="110"/>
      <c r="D2843" s="109"/>
      <c r="E2843" s="109"/>
      <c r="F2843" s="97"/>
      <c r="G2843" s="109"/>
      <c r="H2843" s="109"/>
      <c r="I2843" s="97"/>
      <c r="J2843" s="97"/>
      <c r="K2843" s="83"/>
      <c r="L2843" s="111"/>
      <c r="M2843" s="111"/>
      <c r="N2843" s="111"/>
      <c r="O2843" s="111"/>
      <c r="P2843" s="111"/>
      <c r="Q2843" s="111"/>
      <c r="R2843" s="111"/>
    </row>
    <row r="2844" spans="2:18" s="108" customFormat="1">
      <c r="B2844" s="109"/>
      <c r="C2844" s="110"/>
      <c r="D2844" s="109"/>
      <c r="E2844" s="109"/>
      <c r="F2844" s="97"/>
      <c r="G2844" s="109"/>
      <c r="H2844" s="109"/>
      <c r="I2844" s="97"/>
      <c r="J2844" s="97"/>
      <c r="K2844" s="83"/>
      <c r="L2844" s="111"/>
      <c r="M2844" s="111"/>
      <c r="N2844" s="111"/>
      <c r="O2844" s="111"/>
      <c r="P2844" s="111"/>
      <c r="Q2844" s="111"/>
      <c r="R2844" s="111"/>
    </row>
    <row r="2845" spans="2:18" s="108" customFormat="1">
      <c r="B2845" s="109"/>
      <c r="C2845" s="110"/>
      <c r="D2845" s="109"/>
      <c r="E2845" s="109"/>
      <c r="F2845" s="97"/>
      <c r="G2845" s="109"/>
      <c r="H2845" s="109"/>
      <c r="I2845" s="97"/>
      <c r="J2845" s="97"/>
      <c r="K2845" s="83"/>
      <c r="L2845" s="111"/>
      <c r="M2845" s="111"/>
      <c r="N2845" s="111"/>
      <c r="O2845" s="111"/>
      <c r="P2845" s="111"/>
      <c r="Q2845" s="111"/>
      <c r="R2845" s="111"/>
    </row>
    <row r="2846" spans="2:18" s="108" customFormat="1">
      <c r="B2846" s="109"/>
      <c r="C2846" s="110"/>
      <c r="D2846" s="109"/>
      <c r="E2846" s="109"/>
      <c r="F2846" s="97"/>
      <c r="G2846" s="109"/>
      <c r="H2846" s="109"/>
      <c r="I2846" s="97"/>
      <c r="J2846" s="97"/>
      <c r="K2846" s="83"/>
      <c r="L2846" s="111"/>
      <c r="M2846" s="111"/>
      <c r="N2846" s="111"/>
      <c r="O2846" s="111"/>
      <c r="P2846" s="111"/>
      <c r="Q2846" s="111"/>
      <c r="R2846" s="111"/>
    </row>
    <row r="2847" spans="2:18" s="108" customFormat="1">
      <c r="B2847" s="109"/>
      <c r="C2847" s="110"/>
      <c r="D2847" s="109"/>
      <c r="E2847" s="109"/>
      <c r="F2847" s="97"/>
      <c r="G2847" s="109"/>
      <c r="H2847" s="109"/>
      <c r="I2847" s="97"/>
      <c r="J2847" s="97"/>
      <c r="K2847" s="83"/>
      <c r="L2847" s="111"/>
      <c r="M2847" s="111"/>
      <c r="N2847" s="111"/>
      <c r="O2847" s="111"/>
      <c r="P2847" s="111"/>
      <c r="Q2847" s="111"/>
      <c r="R2847" s="111"/>
    </row>
    <row r="2848" spans="2:18" s="108" customFormat="1">
      <c r="B2848" s="109"/>
      <c r="C2848" s="110"/>
      <c r="D2848" s="109"/>
      <c r="E2848" s="109"/>
      <c r="F2848" s="97"/>
      <c r="G2848" s="109"/>
      <c r="H2848" s="109"/>
      <c r="I2848" s="97"/>
      <c r="J2848" s="97"/>
      <c r="K2848" s="83"/>
      <c r="L2848" s="111"/>
      <c r="M2848" s="111"/>
      <c r="N2848" s="111"/>
      <c r="O2848" s="111"/>
      <c r="P2848" s="111"/>
      <c r="Q2848" s="111"/>
      <c r="R2848" s="111"/>
    </row>
    <row r="2849" spans="2:18" s="108" customFormat="1">
      <c r="B2849" s="109"/>
      <c r="C2849" s="110"/>
      <c r="D2849" s="109"/>
      <c r="E2849" s="109"/>
      <c r="F2849" s="97"/>
      <c r="G2849" s="109"/>
      <c r="H2849" s="109"/>
      <c r="I2849" s="97"/>
      <c r="J2849" s="97"/>
      <c r="K2849" s="83"/>
      <c r="L2849" s="111"/>
      <c r="M2849" s="111"/>
      <c r="N2849" s="111"/>
      <c r="O2849" s="111"/>
      <c r="P2849" s="111"/>
      <c r="Q2849" s="111"/>
      <c r="R2849" s="111"/>
    </row>
    <row r="2850" spans="2:18" s="108" customFormat="1">
      <c r="B2850" s="109"/>
      <c r="C2850" s="110"/>
      <c r="D2850" s="109"/>
      <c r="E2850" s="109"/>
      <c r="F2850" s="97"/>
      <c r="G2850" s="109"/>
      <c r="H2850" s="109"/>
      <c r="I2850" s="97"/>
      <c r="J2850" s="97"/>
      <c r="K2850" s="83"/>
      <c r="L2850" s="111"/>
      <c r="M2850" s="111"/>
      <c r="N2850" s="111"/>
      <c r="O2850" s="111"/>
      <c r="P2850" s="111"/>
      <c r="Q2850" s="111"/>
      <c r="R2850" s="111"/>
    </row>
    <row r="2851" spans="2:18" s="108" customFormat="1">
      <c r="B2851" s="109"/>
      <c r="C2851" s="110"/>
      <c r="D2851" s="109"/>
      <c r="E2851" s="109"/>
      <c r="F2851" s="97"/>
      <c r="G2851" s="109"/>
      <c r="H2851" s="109"/>
      <c r="I2851" s="97"/>
      <c r="J2851" s="97"/>
      <c r="K2851" s="83"/>
      <c r="L2851" s="111"/>
      <c r="M2851" s="111"/>
      <c r="N2851" s="111"/>
      <c r="O2851" s="111"/>
      <c r="P2851" s="111"/>
      <c r="Q2851" s="111"/>
      <c r="R2851" s="111"/>
    </row>
    <row r="2852" spans="2:18" s="108" customFormat="1">
      <c r="B2852" s="109"/>
      <c r="C2852" s="110"/>
      <c r="D2852" s="109"/>
      <c r="E2852" s="109"/>
      <c r="F2852" s="97"/>
      <c r="G2852" s="109"/>
      <c r="H2852" s="109"/>
      <c r="I2852" s="97"/>
      <c r="J2852" s="97"/>
      <c r="K2852" s="83"/>
      <c r="L2852" s="111"/>
      <c r="M2852" s="111"/>
      <c r="N2852" s="111"/>
      <c r="O2852" s="111"/>
      <c r="P2852" s="111"/>
      <c r="Q2852" s="111"/>
      <c r="R2852" s="111"/>
    </row>
    <row r="2853" spans="2:18" s="108" customFormat="1">
      <c r="B2853" s="109"/>
      <c r="C2853" s="110"/>
      <c r="D2853" s="109"/>
      <c r="E2853" s="109"/>
      <c r="F2853" s="97"/>
      <c r="G2853" s="109"/>
      <c r="H2853" s="109"/>
      <c r="I2853" s="97"/>
      <c r="J2853" s="97"/>
      <c r="K2853" s="83"/>
      <c r="L2853" s="111"/>
      <c r="M2853" s="111"/>
      <c r="N2853" s="111"/>
      <c r="O2853" s="111"/>
      <c r="P2853" s="111"/>
      <c r="Q2853" s="111"/>
      <c r="R2853" s="111"/>
    </row>
    <row r="2854" spans="2:18" s="108" customFormat="1">
      <c r="B2854" s="109"/>
      <c r="C2854" s="110"/>
      <c r="D2854" s="109"/>
      <c r="E2854" s="109"/>
      <c r="F2854" s="97"/>
      <c r="G2854" s="109"/>
      <c r="H2854" s="109"/>
      <c r="I2854" s="97"/>
      <c r="J2854" s="97"/>
      <c r="K2854" s="83"/>
      <c r="L2854" s="111"/>
      <c r="M2854" s="111"/>
      <c r="N2854" s="111"/>
      <c r="O2854" s="111"/>
      <c r="P2854" s="111"/>
      <c r="Q2854" s="111"/>
      <c r="R2854" s="111"/>
    </row>
    <row r="2855" spans="2:18" s="108" customFormat="1">
      <c r="B2855" s="109"/>
      <c r="C2855" s="110"/>
      <c r="D2855" s="109"/>
      <c r="E2855" s="109"/>
      <c r="F2855" s="97"/>
      <c r="G2855" s="109"/>
      <c r="H2855" s="109"/>
      <c r="I2855" s="97"/>
      <c r="J2855" s="97"/>
      <c r="K2855" s="83"/>
      <c r="L2855" s="111"/>
      <c r="M2855" s="111"/>
      <c r="N2855" s="111"/>
      <c r="O2855" s="111"/>
      <c r="P2855" s="111"/>
      <c r="Q2855" s="111"/>
      <c r="R2855" s="111"/>
    </row>
    <row r="2856" spans="2:18" s="108" customFormat="1">
      <c r="B2856" s="109"/>
      <c r="C2856" s="110"/>
      <c r="D2856" s="109"/>
      <c r="E2856" s="109"/>
      <c r="F2856" s="97"/>
      <c r="G2856" s="109"/>
      <c r="H2856" s="109"/>
      <c r="I2856" s="97"/>
      <c r="J2856" s="97"/>
      <c r="K2856" s="83"/>
      <c r="L2856" s="111"/>
      <c r="M2856" s="111"/>
      <c r="N2856" s="111"/>
      <c r="O2856" s="111"/>
      <c r="P2856" s="111"/>
      <c r="Q2856" s="111"/>
      <c r="R2856" s="111"/>
    </row>
    <row r="2857" spans="2:18" s="108" customFormat="1">
      <c r="B2857" s="109"/>
      <c r="C2857" s="110"/>
      <c r="D2857" s="109"/>
      <c r="E2857" s="109"/>
      <c r="F2857" s="97"/>
      <c r="G2857" s="109"/>
      <c r="H2857" s="109"/>
      <c r="I2857" s="97"/>
      <c r="J2857" s="97"/>
      <c r="K2857" s="83"/>
      <c r="L2857" s="111"/>
      <c r="M2857" s="111"/>
      <c r="N2857" s="111"/>
      <c r="O2857" s="111"/>
      <c r="P2857" s="111"/>
      <c r="Q2857" s="111"/>
      <c r="R2857" s="111"/>
    </row>
    <row r="2858" spans="2:18" s="108" customFormat="1">
      <c r="B2858" s="109"/>
      <c r="C2858" s="110"/>
      <c r="D2858" s="109"/>
      <c r="E2858" s="109"/>
      <c r="F2858" s="97"/>
      <c r="G2858" s="109"/>
      <c r="H2858" s="109"/>
      <c r="I2858" s="97"/>
      <c r="J2858" s="97"/>
      <c r="K2858" s="83"/>
      <c r="L2858" s="111"/>
      <c r="M2858" s="111"/>
      <c r="N2858" s="111"/>
      <c r="O2858" s="111"/>
      <c r="P2858" s="111"/>
      <c r="Q2858" s="111"/>
      <c r="R2858" s="111"/>
    </row>
    <row r="2859" spans="2:18" s="108" customFormat="1">
      <c r="B2859" s="109"/>
      <c r="C2859" s="110"/>
      <c r="D2859" s="109"/>
      <c r="E2859" s="109"/>
      <c r="F2859" s="97"/>
      <c r="G2859" s="109"/>
      <c r="H2859" s="109"/>
      <c r="I2859" s="97"/>
      <c r="J2859" s="97"/>
      <c r="K2859" s="83"/>
      <c r="L2859" s="111"/>
      <c r="M2859" s="111"/>
      <c r="N2859" s="111"/>
      <c r="O2859" s="111"/>
      <c r="P2859" s="111"/>
      <c r="Q2859" s="111"/>
      <c r="R2859" s="111"/>
    </row>
    <row r="2860" spans="2:18" s="108" customFormat="1">
      <c r="B2860" s="109"/>
      <c r="C2860" s="110"/>
      <c r="D2860" s="109"/>
      <c r="E2860" s="109"/>
      <c r="F2860" s="97"/>
      <c r="G2860" s="109"/>
      <c r="H2860" s="109"/>
      <c r="I2860" s="97"/>
      <c r="J2860" s="97"/>
      <c r="K2860" s="83"/>
      <c r="L2860" s="111"/>
      <c r="M2860" s="111"/>
      <c r="N2860" s="111"/>
      <c r="O2860" s="111"/>
      <c r="P2860" s="111"/>
      <c r="Q2860" s="111"/>
      <c r="R2860" s="111"/>
    </row>
    <row r="2861" spans="2:18" s="108" customFormat="1">
      <c r="B2861" s="109"/>
      <c r="C2861" s="110"/>
      <c r="D2861" s="109"/>
      <c r="E2861" s="109"/>
      <c r="F2861" s="97"/>
      <c r="G2861" s="109"/>
      <c r="H2861" s="109"/>
      <c r="I2861" s="97"/>
      <c r="J2861" s="97"/>
      <c r="K2861" s="83"/>
      <c r="L2861" s="111"/>
      <c r="M2861" s="111"/>
      <c r="N2861" s="111"/>
      <c r="O2861" s="111"/>
      <c r="P2861" s="111"/>
      <c r="Q2861" s="111"/>
      <c r="R2861" s="111"/>
    </row>
    <row r="2862" spans="2:18" s="108" customFormat="1">
      <c r="B2862" s="109"/>
      <c r="C2862" s="110"/>
      <c r="D2862" s="109"/>
      <c r="E2862" s="109"/>
      <c r="F2862" s="97"/>
      <c r="G2862" s="109"/>
      <c r="H2862" s="109"/>
      <c r="I2862" s="97"/>
      <c r="J2862" s="97"/>
      <c r="K2862" s="83"/>
      <c r="L2862" s="111"/>
      <c r="M2862" s="111"/>
      <c r="N2862" s="111"/>
      <c r="O2862" s="111"/>
      <c r="P2862" s="111"/>
      <c r="Q2862" s="111"/>
      <c r="R2862" s="111"/>
    </row>
    <row r="2863" spans="2:18" s="108" customFormat="1">
      <c r="B2863" s="109"/>
      <c r="C2863" s="110"/>
      <c r="D2863" s="109"/>
      <c r="E2863" s="109"/>
      <c r="F2863" s="97"/>
      <c r="G2863" s="109"/>
      <c r="H2863" s="109"/>
      <c r="I2863" s="97"/>
      <c r="J2863" s="97"/>
      <c r="K2863" s="83"/>
      <c r="L2863" s="111"/>
      <c r="M2863" s="111"/>
      <c r="N2863" s="111"/>
      <c r="O2863" s="111"/>
      <c r="P2863" s="111"/>
      <c r="Q2863" s="111"/>
      <c r="R2863" s="111"/>
    </row>
    <row r="2864" spans="2:18" s="108" customFormat="1">
      <c r="B2864" s="109"/>
      <c r="C2864" s="110"/>
      <c r="D2864" s="109"/>
      <c r="E2864" s="109"/>
      <c r="F2864" s="97"/>
      <c r="G2864" s="109"/>
      <c r="H2864" s="109"/>
      <c r="I2864" s="97"/>
      <c r="J2864" s="97"/>
      <c r="K2864" s="83"/>
      <c r="L2864" s="111"/>
      <c r="M2864" s="111"/>
      <c r="N2864" s="111"/>
      <c r="O2864" s="111"/>
      <c r="P2864" s="111"/>
      <c r="Q2864" s="111"/>
      <c r="R2864" s="111"/>
    </row>
    <row r="2865" spans="2:18" s="108" customFormat="1">
      <c r="B2865" s="109"/>
      <c r="C2865" s="110"/>
      <c r="D2865" s="109"/>
      <c r="E2865" s="109"/>
      <c r="F2865" s="97"/>
      <c r="G2865" s="109"/>
      <c r="H2865" s="109"/>
      <c r="I2865" s="97"/>
      <c r="J2865" s="97"/>
      <c r="K2865" s="83"/>
      <c r="L2865" s="111"/>
      <c r="M2865" s="111"/>
      <c r="N2865" s="111"/>
      <c r="O2865" s="111"/>
      <c r="P2865" s="111"/>
      <c r="Q2865" s="111"/>
      <c r="R2865" s="111"/>
    </row>
    <row r="2866" spans="2:18" s="108" customFormat="1">
      <c r="B2866" s="109"/>
      <c r="C2866" s="110"/>
      <c r="D2866" s="109"/>
      <c r="E2866" s="109"/>
      <c r="F2866" s="97"/>
      <c r="G2866" s="109"/>
      <c r="H2866" s="109"/>
      <c r="I2866" s="97"/>
      <c r="J2866" s="97"/>
      <c r="K2866" s="83"/>
      <c r="L2866" s="111"/>
      <c r="M2866" s="111"/>
      <c r="N2866" s="111"/>
      <c r="O2866" s="111"/>
      <c r="P2866" s="111"/>
      <c r="Q2866" s="111"/>
      <c r="R2866" s="111"/>
    </row>
    <row r="2867" spans="2:18" s="108" customFormat="1">
      <c r="B2867" s="109"/>
      <c r="C2867" s="110"/>
      <c r="D2867" s="109"/>
      <c r="E2867" s="109"/>
      <c r="F2867" s="97"/>
      <c r="G2867" s="109"/>
      <c r="H2867" s="109"/>
      <c r="I2867" s="97"/>
      <c r="J2867" s="97"/>
      <c r="K2867" s="83"/>
      <c r="L2867" s="111"/>
      <c r="M2867" s="111"/>
      <c r="N2867" s="111"/>
      <c r="O2867" s="111"/>
      <c r="P2867" s="111"/>
      <c r="Q2867" s="111"/>
      <c r="R2867" s="111"/>
    </row>
    <row r="2868" spans="2:18" s="108" customFormat="1">
      <c r="B2868" s="109"/>
      <c r="C2868" s="110"/>
      <c r="D2868" s="109"/>
      <c r="E2868" s="109"/>
      <c r="F2868" s="97"/>
      <c r="G2868" s="109"/>
      <c r="H2868" s="109"/>
      <c r="I2868" s="97"/>
      <c r="J2868" s="97"/>
      <c r="K2868" s="83"/>
      <c r="L2868" s="111"/>
      <c r="M2868" s="111"/>
      <c r="N2868" s="111"/>
      <c r="O2868" s="111"/>
      <c r="P2868" s="111"/>
      <c r="Q2868" s="111"/>
      <c r="R2868" s="111"/>
    </row>
    <row r="2869" spans="2:18" s="108" customFormat="1">
      <c r="B2869" s="109"/>
      <c r="C2869" s="110"/>
      <c r="D2869" s="109"/>
      <c r="E2869" s="109"/>
      <c r="F2869" s="97"/>
      <c r="G2869" s="109"/>
      <c r="H2869" s="109"/>
      <c r="I2869" s="97"/>
      <c r="J2869" s="97"/>
      <c r="K2869" s="83"/>
      <c r="L2869" s="111"/>
      <c r="M2869" s="111"/>
      <c r="N2869" s="111"/>
      <c r="O2869" s="111"/>
      <c r="P2869" s="111"/>
      <c r="Q2869" s="111"/>
      <c r="R2869" s="111"/>
    </row>
    <row r="2870" spans="2:18" s="108" customFormat="1">
      <c r="B2870" s="109"/>
      <c r="C2870" s="110"/>
      <c r="D2870" s="109"/>
      <c r="E2870" s="109"/>
      <c r="F2870" s="97"/>
      <c r="G2870" s="109"/>
      <c r="H2870" s="109"/>
      <c r="I2870" s="97"/>
      <c r="J2870" s="97"/>
      <c r="K2870" s="83"/>
      <c r="L2870" s="111"/>
      <c r="M2870" s="111"/>
      <c r="N2870" s="111"/>
      <c r="O2870" s="111"/>
      <c r="P2870" s="111"/>
      <c r="Q2870" s="111"/>
      <c r="R2870" s="111"/>
    </row>
    <row r="2871" spans="2:18" s="108" customFormat="1">
      <c r="B2871" s="109"/>
      <c r="C2871" s="110"/>
      <c r="D2871" s="109"/>
      <c r="E2871" s="109"/>
      <c r="F2871" s="97"/>
      <c r="G2871" s="109"/>
      <c r="H2871" s="109"/>
      <c r="I2871" s="97"/>
      <c r="J2871" s="97"/>
      <c r="K2871" s="83"/>
      <c r="L2871" s="111"/>
      <c r="M2871" s="111"/>
      <c r="N2871" s="111"/>
      <c r="O2871" s="111"/>
      <c r="P2871" s="111"/>
      <c r="Q2871" s="111"/>
      <c r="R2871" s="111"/>
    </row>
    <row r="2872" spans="2:18" s="108" customFormat="1">
      <c r="B2872" s="109"/>
      <c r="C2872" s="110"/>
      <c r="D2872" s="109"/>
      <c r="E2872" s="109"/>
      <c r="F2872" s="97"/>
      <c r="G2872" s="109"/>
      <c r="H2872" s="109"/>
      <c r="I2872" s="97"/>
      <c r="J2872" s="97"/>
      <c r="K2872" s="83"/>
      <c r="L2872" s="111"/>
      <c r="M2872" s="111"/>
      <c r="N2872" s="111"/>
      <c r="O2872" s="111"/>
      <c r="P2872" s="111"/>
      <c r="Q2872" s="111"/>
      <c r="R2872" s="111"/>
    </row>
    <row r="2873" spans="2:18" s="108" customFormat="1">
      <c r="B2873" s="109"/>
      <c r="C2873" s="110"/>
      <c r="D2873" s="109"/>
      <c r="E2873" s="109"/>
      <c r="F2873" s="97"/>
      <c r="G2873" s="109"/>
      <c r="H2873" s="109"/>
      <c r="I2873" s="97"/>
      <c r="J2873" s="97"/>
      <c r="K2873" s="83"/>
      <c r="L2873" s="111"/>
      <c r="M2873" s="111"/>
      <c r="N2873" s="111"/>
      <c r="O2873" s="111"/>
      <c r="P2873" s="111"/>
      <c r="Q2873" s="111"/>
      <c r="R2873" s="111"/>
    </row>
    <row r="2874" spans="2:18" s="108" customFormat="1">
      <c r="B2874" s="109"/>
      <c r="C2874" s="110"/>
      <c r="D2874" s="109"/>
      <c r="E2874" s="109"/>
      <c r="F2874" s="97"/>
      <c r="G2874" s="109"/>
      <c r="H2874" s="109"/>
      <c r="I2874" s="97"/>
      <c r="J2874" s="97"/>
      <c r="K2874" s="83"/>
      <c r="L2874" s="111"/>
      <c r="M2874" s="111"/>
      <c r="N2874" s="111"/>
      <c r="O2874" s="111"/>
      <c r="P2874" s="111"/>
      <c r="Q2874" s="111"/>
      <c r="R2874" s="111"/>
    </row>
    <row r="2875" spans="2:18" s="108" customFormat="1">
      <c r="B2875" s="109"/>
      <c r="C2875" s="110"/>
      <c r="D2875" s="109"/>
      <c r="E2875" s="109"/>
      <c r="F2875" s="97"/>
      <c r="G2875" s="109"/>
      <c r="H2875" s="109"/>
      <c r="I2875" s="97"/>
      <c r="J2875" s="97"/>
      <c r="K2875" s="83"/>
      <c r="L2875" s="111"/>
      <c r="M2875" s="111"/>
      <c r="N2875" s="111"/>
      <c r="O2875" s="111"/>
      <c r="P2875" s="111"/>
      <c r="Q2875" s="111"/>
      <c r="R2875" s="111"/>
    </row>
    <row r="2876" spans="2:18" s="108" customFormat="1">
      <c r="B2876" s="109"/>
      <c r="C2876" s="110"/>
      <c r="D2876" s="109"/>
      <c r="E2876" s="109"/>
      <c r="F2876" s="97"/>
      <c r="G2876" s="109"/>
      <c r="H2876" s="109"/>
      <c r="I2876" s="97"/>
      <c r="J2876" s="97"/>
      <c r="K2876" s="83"/>
      <c r="L2876" s="111"/>
      <c r="M2876" s="111"/>
      <c r="N2876" s="111"/>
      <c r="O2876" s="111"/>
      <c r="P2876" s="111"/>
      <c r="Q2876" s="111"/>
      <c r="R2876" s="111"/>
    </row>
    <row r="2877" spans="2:18" s="108" customFormat="1">
      <c r="B2877" s="109"/>
      <c r="C2877" s="110"/>
      <c r="D2877" s="109"/>
      <c r="E2877" s="109"/>
      <c r="F2877" s="97"/>
      <c r="G2877" s="109"/>
      <c r="H2877" s="109"/>
      <c r="I2877" s="97"/>
      <c r="J2877" s="97"/>
      <c r="K2877" s="83"/>
      <c r="L2877" s="111"/>
      <c r="M2877" s="111"/>
      <c r="N2877" s="111"/>
      <c r="O2877" s="111"/>
      <c r="P2877" s="111"/>
      <c r="Q2877" s="111"/>
      <c r="R2877" s="111"/>
    </row>
    <row r="2878" spans="2:18" s="108" customFormat="1">
      <c r="B2878" s="109"/>
      <c r="C2878" s="110"/>
      <c r="D2878" s="109"/>
      <c r="E2878" s="109"/>
      <c r="F2878" s="97"/>
      <c r="G2878" s="109"/>
      <c r="H2878" s="109"/>
      <c r="I2878" s="97"/>
      <c r="J2878" s="97"/>
      <c r="K2878" s="83"/>
      <c r="L2878" s="111"/>
      <c r="M2878" s="111"/>
      <c r="N2878" s="111"/>
      <c r="O2878" s="111"/>
      <c r="P2878" s="111"/>
      <c r="Q2878" s="111"/>
      <c r="R2878" s="111"/>
    </row>
    <row r="2879" spans="2:18" s="108" customFormat="1">
      <c r="B2879" s="109"/>
      <c r="C2879" s="110"/>
      <c r="D2879" s="109"/>
      <c r="E2879" s="109"/>
      <c r="F2879" s="97"/>
      <c r="G2879" s="109"/>
      <c r="H2879" s="109"/>
      <c r="I2879" s="97"/>
      <c r="J2879" s="97"/>
      <c r="K2879" s="83"/>
      <c r="L2879" s="111"/>
      <c r="M2879" s="111"/>
      <c r="N2879" s="111"/>
      <c r="O2879" s="111"/>
      <c r="P2879" s="111"/>
      <c r="Q2879" s="111"/>
      <c r="R2879" s="111"/>
    </row>
    <row r="2880" spans="2:18" s="108" customFormat="1">
      <c r="B2880" s="109"/>
      <c r="C2880" s="110"/>
      <c r="D2880" s="109"/>
      <c r="E2880" s="109"/>
      <c r="F2880" s="97"/>
      <c r="G2880" s="109"/>
      <c r="H2880" s="109"/>
      <c r="I2880" s="97"/>
      <c r="J2880" s="97"/>
      <c r="K2880" s="83"/>
      <c r="L2880" s="111"/>
      <c r="M2880" s="111"/>
      <c r="N2880" s="111"/>
      <c r="O2880" s="111"/>
      <c r="P2880" s="111"/>
      <c r="Q2880" s="111"/>
      <c r="R2880" s="111"/>
    </row>
    <row r="2881" spans="2:18" s="108" customFormat="1">
      <c r="B2881" s="109"/>
      <c r="C2881" s="110"/>
      <c r="D2881" s="109"/>
      <c r="E2881" s="109"/>
      <c r="F2881" s="97"/>
      <c r="G2881" s="109"/>
      <c r="H2881" s="109"/>
      <c r="I2881" s="97"/>
      <c r="J2881" s="97"/>
      <c r="K2881" s="83"/>
      <c r="L2881" s="111"/>
      <c r="M2881" s="111"/>
      <c r="N2881" s="111"/>
      <c r="O2881" s="111"/>
      <c r="P2881" s="111"/>
      <c r="Q2881" s="111"/>
      <c r="R2881" s="111"/>
    </row>
    <row r="2882" spans="2:18" s="108" customFormat="1">
      <c r="B2882" s="109"/>
      <c r="C2882" s="110"/>
      <c r="D2882" s="109"/>
      <c r="E2882" s="109"/>
      <c r="F2882" s="97"/>
      <c r="G2882" s="109"/>
      <c r="H2882" s="109"/>
      <c r="I2882" s="97"/>
      <c r="J2882" s="97"/>
      <c r="K2882" s="83"/>
      <c r="L2882" s="111"/>
      <c r="M2882" s="111"/>
      <c r="N2882" s="111"/>
      <c r="O2882" s="111"/>
      <c r="P2882" s="111"/>
      <c r="Q2882" s="111"/>
      <c r="R2882" s="111"/>
    </row>
    <row r="2883" spans="2:18" s="108" customFormat="1">
      <c r="B2883" s="109"/>
      <c r="C2883" s="110"/>
      <c r="D2883" s="109"/>
      <c r="E2883" s="109"/>
      <c r="F2883" s="97"/>
      <c r="G2883" s="109"/>
      <c r="H2883" s="109"/>
      <c r="I2883" s="97"/>
      <c r="J2883" s="97"/>
      <c r="K2883" s="83"/>
      <c r="L2883" s="111"/>
      <c r="M2883" s="111"/>
      <c r="N2883" s="111"/>
      <c r="O2883" s="111"/>
      <c r="P2883" s="111"/>
      <c r="Q2883" s="111"/>
      <c r="R2883" s="111"/>
    </row>
    <row r="2884" spans="2:18" s="108" customFormat="1">
      <c r="B2884" s="109"/>
      <c r="C2884" s="110"/>
      <c r="D2884" s="109"/>
      <c r="E2884" s="109"/>
      <c r="F2884" s="97"/>
      <c r="G2884" s="109"/>
      <c r="H2884" s="109"/>
      <c r="I2884" s="97"/>
      <c r="J2884" s="97"/>
      <c r="K2884" s="83"/>
      <c r="L2884" s="111"/>
      <c r="M2884" s="111"/>
      <c r="N2884" s="111"/>
      <c r="O2884" s="111"/>
      <c r="P2884" s="111"/>
      <c r="Q2884" s="111"/>
      <c r="R2884" s="111"/>
    </row>
    <row r="2885" spans="2:18" s="108" customFormat="1">
      <c r="B2885" s="109"/>
      <c r="C2885" s="110"/>
      <c r="D2885" s="109"/>
      <c r="E2885" s="109"/>
      <c r="F2885" s="97"/>
      <c r="G2885" s="109"/>
      <c r="H2885" s="109"/>
      <c r="I2885" s="97"/>
      <c r="J2885" s="97"/>
      <c r="K2885" s="83"/>
      <c r="L2885" s="111"/>
      <c r="M2885" s="111"/>
      <c r="N2885" s="111"/>
      <c r="O2885" s="111"/>
      <c r="P2885" s="111"/>
      <c r="Q2885" s="111"/>
      <c r="R2885" s="111"/>
    </row>
    <row r="2886" spans="2:18" s="108" customFormat="1">
      <c r="B2886" s="109"/>
      <c r="C2886" s="110"/>
      <c r="D2886" s="109"/>
      <c r="E2886" s="109"/>
      <c r="F2886" s="97"/>
      <c r="G2886" s="109"/>
      <c r="H2886" s="109"/>
      <c r="I2886" s="97"/>
      <c r="J2886" s="97"/>
      <c r="K2886" s="83"/>
      <c r="L2886" s="111"/>
      <c r="M2886" s="111"/>
      <c r="N2886" s="111"/>
      <c r="O2886" s="111"/>
      <c r="P2886" s="111"/>
      <c r="Q2886" s="111"/>
      <c r="R2886" s="111"/>
    </row>
    <row r="2887" spans="2:18" s="108" customFormat="1">
      <c r="B2887" s="109"/>
      <c r="C2887" s="110"/>
      <c r="D2887" s="109"/>
      <c r="E2887" s="109"/>
      <c r="F2887" s="97"/>
      <c r="G2887" s="109"/>
      <c r="H2887" s="109"/>
      <c r="I2887" s="97"/>
      <c r="J2887" s="97"/>
      <c r="K2887" s="83"/>
      <c r="L2887" s="111"/>
      <c r="M2887" s="111"/>
      <c r="N2887" s="111"/>
      <c r="O2887" s="111"/>
      <c r="P2887" s="111"/>
      <c r="Q2887" s="111"/>
      <c r="R2887" s="111"/>
    </row>
    <row r="2888" spans="2:18" s="108" customFormat="1">
      <c r="B2888" s="109"/>
      <c r="C2888" s="110"/>
      <c r="D2888" s="109"/>
      <c r="E2888" s="109"/>
      <c r="F2888" s="97"/>
      <c r="G2888" s="109"/>
      <c r="H2888" s="109"/>
      <c r="I2888" s="97"/>
      <c r="J2888" s="97"/>
      <c r="K2888" s="83"/>
      <c r="L2888" s="111"/>
      <c r="M2888" s="111"/>
      <c r="N2888" s="111"/>
      <c r="O2888" s="111"/>
      <c r="P2888" s="111"/>
      <c r="Q2888" s="111"/>
      <c r="R2888" s="111"/>
    </row>
    <row r="2889" spans="2:18" s="108" customFormat="1">
      <c r="B2889" s="109"/>
      <c r="C2889" s="110"/>
      <c r="D2889" s="109"/>
      <c r="E2889" s="109"/>
      <c r="F2889" s="97"/>
      <c r="G2889" s="109"/>
      <c r="H2889" s="109"/>
      <c r="I2889" s="97"/>
      <c r="J2889" s="97"/>
      <c r="K2889" s="83"/>
      <c r="L2889" s="111"/>
      <c r="M2889" s="111"/>
      <c r="N2889" s="111"/>
      <c r="O2889" s="111"/>
      <c r="P2889" s="111"/>
      <c r="Q2889" s="111"/>
      <c r="R2889" s="111"/>
    </row>
    <row r="2890" spans="2:18" s="108" customFormat="1">
      <c r="B2890" s="109"/>
      <c r="C2890" s="110"/>
      <c r="D2890" s="109"/>
      <c r="E2890" s="109"/>
      <c r="F2890" s="97"/>
      <c r="G2890" s="109"/>
      <c r="H2890" s="109"/>
      <c r="I2890" s="97"/>
      <c r="J2890" s="97"/>
      <c r="K2890" s="83"/>
      <c r="L2890" s="111"/>
      <c r="M2890" s="111"/>
      <c r="N2890" s="111"/>
      <c r="O2890" s="111"/>
      <c r="P2890" s="111"/>
      <c r="Q2890" s="111"/>
      <c r="R2890" s="111"/>
    </row>
    <row r="2891" spans="2:18" s="108" customFormat="1">
      <c r="B2891" s="109"/>
      <c r="C2891" s="110"/>
      <c r="D2891" s="109"/>
      <c r="E2891" s="109"/>
      <c r="F2891" s="97"/>
      <c r="G2891" s="109"/>
      <c r="H2891" s="109"/>
      <c r="I2891" s="97"/>
      <c r="J2891" s="97"/>
      <c r="K2891" s="83"/>
      <c r="L2891" s="111"/>
      <c r="M2891" s="111"/>
      <c r="N2891" s="111"/>
      <c r="O2891" s="111"/>
      <c r="P2891" s="111"/>
      <c r="Q2891" s="111"/>
      <c r="R2891" s="111"/>
    </row>
    <row r="2892" spans="2:18" s="108" customFormat="1">
      <c r="B2892" s="109"/>
      <c r="C2892" s="110"/>
      <c r="D2892" s="109"/>
      <c r="E2892" s="109"/>
      <c r="F2892" s="97"/>
      <c r="G2892" s="109"/>
      <c r="H2892" s="109"/>
      <c r="I2892" s="97"/>
      <c r="J2892" s="97"/>
      <c r="K2892" s="83"/>
      <c r="L2892" s="111"/>
      <c r="M2892" s="111"/>
      <c r="N2892" s="111"/>
      <c r="O2892" s="111"/>
      <c r="P2892" s="111"/>
      <c r="Q2892" s="111"/>
      <c r="R2892" s="111"/>
    </row>
    <row r="2893" spans="2:18" s="108" customFormat="1">
      <c r="B2893" s="109"/>
      <c r="C2893" s="110"/>
      <c r="D2893" s="109"/>
      <c r="E2893" s="109"/>
      <c r="F2893" s="97"/>
      <c r="G2893" s="109"/>
      <c r="H2893" s="109"/>
      <c r="I2893" s="97"/>
      <c r="J2893" s="97"/>
      <c r="K2893" s="83"/>
      <c r="L2893" s="111"/>
      <c r="M2893" s="111"/>
      <c r="N2893" s="111"/>
      <c r="O2893" s="111"/>
      <c r="P2893" s="111"/>
      <c r="Q2893" s="111"/>
      <c r="R2893" s="111"/>
    </row>
    <row r="2894" spans="2:18" s="108" customFormat="1">
      <c r="B2894" s="109"/>
      <c r="C2894" s="110"/>
      <c r="D2894" s="109"/>
      <c r="E2894" s="109"/>
      <c r="F2894" s="97"/>
      <c r="G2894" s="109"/>
      <c r="H2894" s="109"/>
      <c r="I2894" s="97"/>
      <c r="J2894" s="97"/>
      <c r="K2894" s="83"/>
      <c r="L2894" s="111"/>
      <c r="M2894" s="111"/>
      <c r="N2894" s="111"/>
      <c r="O2894" s="111"/>
      <c r="P2894" s="111"/>
      <c r="Q2894" s="111"/>
      <c r="R2894" s="111"/>
    </row>
    <row r="2895" spans="2:18" s="108" customFormat="1">
      <c r="B2895" s="109"/>
      <c r="C2895" s="110"/>
      <c r="D2895" s="109"/>
      <c r="E2895" s="109"/>
      <c r="F2895" s="97"/>
      <c r="G2895" s="109"/>
      <c r="H2895" s="109"/>
      <c r="I2895" s="97"/>
      <c r="J2895" s="97"/>
      <c r="K2895" s="83"/>
      <c r="L2895" s="111"/>
      <c r="M2895" s="111"/>
      <c r="N2895" s="111"/>
      <c r="O2895" s="111"/>
      <c r="P2895" s="111"/>
      <c r="Q2895" s="111"/>
      <c r="R2895" s="111"/>
    </row>
    <row r="2896" spans="2:18" s="108" customFormat="1">
      <c r="B2896" s="109"/>
      <c r="C2896" s="110"/>
      <c r="D2896" s="109"/>
      <c r="E2896" s="109"/>
      <c r="F2896" s="97"/>
      <c r="G2896" s="109"/>
      <c r="H2896" s="109"/>
      <c r="I2896" s="97"/>
      <c r="J2896" s="97"/>
      <c r="K2896" s="83"/>
      <c r="L2896" s="111"/>
      <c r="M2896" s="111"/>
      <c r="N2896" s="111"/>
      <c r="O2896" s="111"/>
      <c r="P2896" s="111"/>
      <c r="Q2896" s="111"/>
      <c r="R2896" s="111"/>
    </row>
    <row r="2897" spans="2:18" s="108" customFormat="1">
      <c r="B2897" s="109"/>
      <c r="C2897" s="110"/>
      <c r="D2897" s="109"/>
      <c r="E2897" s="109"/>
      <c r="F2897" s="97"/>
      <c r="G2897" s="109"/>
      <c r="H2897" s="109"/>
      <c r="I2897" s="97"/>
      <c r="J2897" s="97"/>
      <c r="K2897" s="83"/>
      <c r="L2897" s="111"/>
      <c r="M2897" s="111"/>
      <c r="N2897" s="111"/>
      <c r="O2897" s="111"/>
      <c r="P2897" s="111"/>
      <c r="Q2897" s="111"/>
      <c r="R2897" s="111"/>
    </row>
    <row r="2898" spans="2:18" s="108" customFormat="1">
      <c r="B2898" s="109"/>
      <c r="C2898" s="110"/>
      <c r="D2898" s="109"/>
      <c r="E2898" s="109"/>
      <c r="F2898" s="97"/>
      <c r="G2898" s="109"/>
      <c r="H2898" s="109"/>
      <c r="I2898" s="97"/>
      <c r="J2898" s="97"/>
      <c r="K2898" s="83"/>
      <c r="L2898" s="111"/>
      <c r="M2898" s="111"/>
      <c r="N2898" s="111"/>
      <c r="O2898" s="111"/>
      <c r="P2898" s="111"/>
      <c r="Q2898" s="111"/>
      <c r="R2898" s="111"/>
    </row>
    <row r="2899" spans="2:18" s="108" customFormat="1">
      <c r="B2899" s="109"/>
      <c r="C2899" s="110"/>
      <c r="D2899" s="109"/>
      <c r="E2899" s="109"/>
      <c r="F2899" s="97"/>
      <c r="G2899" s="109"/>
      <c r="H2899" s="109"/>
      <c r="I2899" s="97"/>
      <c r="J2899" s="97"/>
      <c r="K2899" s="83"/>
      <c r="L2899" s="111"/>
      <c r="M2899" s="111"/>
      <c r="N2899" s="111"/>
      <c r="O2899" s="111"/>
      <c r="P2899" s="111"/>
      <c r="Q2899" s="111"/>
      <c r="R2899" s="111"/>
    </row>
    <row r="2900" spans="2:18" s="108" customFormat="1">
      <c r="B2900" s="109"/>
      <c r="C2900" s="110"/>
      <c r="D2900" s="109"/>
      <c r="E2900" s="109"/>
      <c r="F2900" s="97"/>
      <c r="G2900" s="109"/>
      <c r="H2900" s="109"/>
      <c r="I2900" s="97"/>
      <c r="J2900" s="97"/>
      <c r="K2900" s="83"/>
      <c r="L2900" s="111"/>
      <c r="M2900" s="111"/>
      <c r="N2900" s="111"/>
      <c r="O2900" s="111"/>
      <c r="P2900" s="111"/>
      <c r="Q2900" s="111"/>
      <c r="R2900" s="111"/>
    </row>
    <row r="2901" spans="2:18" s="108" customFormat="1">
      <c r="B2901" s="109"/>
      <c r="C2901" s="110"/>
      <c r="D2901" s="109"/>
      <c r="E2901" s="109"/>
      <c r="F2901" s="97"/>
      <c r="G2901" s="109"/>
      <c r="H2901" s="109"/>
      <c r="I2901" s="97"/>
      <c r="J2901" s="97"/>
      <c r="K2901" s="83"/>
      <c r="L2901" s="111"/>
      <c r="M2901" s="111"/>
      <c r="N2901" s="111"/>
      <c r="O2901" s="111"/>
      <c r="P2901" s="111"/>
      <c r="Q2901" s="111"/>
      <c r="R2901" s="111"/>
    </row>
    <row r="2902" spans="2:18" s="108" customFormat="1">
      <c r="B2902" s="109"/>
      <c r="C2902" s="110"/>
      <c r="D2902" s="109"/>
      <c r="E2902" s="109"/>
      <c r="F2902" s="97"/>
      <c r="G2902" s="109"/>
      <c r="H2902" s="109"/>
      <c r="I2902" s="97"/>
      <c r="J2902" s="97"/>
      <c r="K2902" s="83"/>
      <c r="L2902" s="111"/>
      <c r="M2902" s="111"/>
      <c r="N2902" s="111"/>
      <c r="O2902" s="111"/>
      <c r="P2902" s="111"/>
      <c r="Q2902" s="111"/>
      <c r="R2902" s="111"/>
    </row>
    <row r="2903" spans="2:18" s="108" customFormat="1">
      <c r="B2903" s="109"/>
      <c r="C2903" s="110"/>
      <c r="D2903" s="109"/>
      <c r="E2903" s="109"/>
      <c r="F2903" s="97"/>
      <c r="G2903" s="109"/>
      <c r="H2903" s="109"/>
      <c r="I2903" s="97"/>
      <c r="J2903" s="97"/>
      <c r="K2903" s="83"/>
      <c r="L2903" s="111"/>
      <c r="M2903" s="111"/>
      <c r="N2903" s="111"/>
      <c r="O2903" s="111"/>
      <c r="P2903" s="111"/>
      <c r="Q2903" s="111"/>
      <c r="R2903" s="111"/>
    </row>
    <row r="2904" spans="2:18" s="108" customFormat="1">
      <c r="B2904" s="109"/>
      <c r="C2904" s="110"/>
      <c r="D2904" s="109"/>
      <c r="E2904" s="109"/>
      <c r="F2904" s="97"/>
      <c r="G2904" s="109"/>
      <c r="H2904" s="109"/>
      <c r="I2904" s="97"/>
      <c r="J2904" s="97"/>
      <c r="K2904" s="83"/>
      <c r="L2904" s="111"/>
      <c r="M2904" s="111"/>
      <c r="N2904" s="111"/>
      <c r="O2904" s="111"/>
      <c r="P2904" s="111"/>
      <c r="Q2904" s="111"/>
      <c r="R2904" s="111"/>
    </row>
    <row r="2905" spans="2:18" s="108" customFormat="1">
      <c r="B2905" s="109"/>
      <c r="C2905" s="110"/>
      <c r="D2905" s="109"/>
      <c r="E2905" s="109"/>
      <c r="F2905" s="97"/>
      <c r="G2905" s="109"/>
      <c r="H2905" s="109"/>
      <c r="I2905" s="97"/>
      <c r="J2905" s="97"/>
      <c r="K2905" s="83"/>
      <c r="L2905" s="111"/>
      <c r="M2905" s="111"/>
      <c r="N2905" s="111"/>
      <c r="O2905" s="111"/>
      <c r="P2905" s="111"/>
      <c r="Q2905" s="111"/>
      <c r="R2905" s="111"/>
    </row>
    <row r="2906" spans="2:18" s="108" customFormat="1">
      <c r="B2906" s="109"/>
      <c r="C2906" s="110"/>
      <c r="D2906" s="109"/>
      <c r="E2906" s="109"/>
      <c r="F2906" s="97"/>
      <c r="G2906" s="109"/>
      <c r="H2906" s="109"/>
      <c r="I2906" s="97"/>
      <c r="J2906" s="97"/>
      <c r="K2906" s="83"/>
      <c r="L2906" s="111"/>
      <c r="M2906" s="111"/>
      <c r="N2906" s="111"/>
      <c r="O2906" s="111"/>
      <c r="P2906" s="111"/>
      <c r="Q2906" s="111"/>
      <c r="R2906" s="111"/>
    </row>
    <row r="2907" spans="2:18" s="108" customFormat="1">
      <c r="B2907" s="109"/>
      <c r="C2907" s="110"/>
      <c r="D2907" s="109"/>
      <c r="E2907" s="109"/>
      <c r="F2907" s="97"/>
      <c r="G2907" s="109"/>
      <c r="H2907" s="109"/>
      <c r="I2907" s="97"/>
      <c r="J2907" s="97"/>
      <c r="K2907" s="83"/>
      <c r="L2907" s="111"/>
      <c r="M2907" s="111"/>
      <c r="N2907" s="111"/>
      <c r="O2907" s="111"/>
      <c r="P2907" s="111"/>
      <c r="Q2907" s="111"/>
      <c r="R2907" s="111"/>
    </row>
    <row r="2908" spans="2:18" s="108" customFormat="1">
      <c r="B2908" s="109"/>
      <c r="C2908" s="110"/>
      <c r="D2908" s="109"/>
      <c r="E2908" s="109"/>
      <c r="F2908" s="97"/>
      <c r="G2908" s="109"/>
      <c r="H2908" s="109"/>
      <c r="I2908" s="97"/>
      <c r="J2908" s="97"/>
      <c r="K2908" s="83"/>
      <c r="L2908" s="111"/>
      <c r="M2908" s="111"/>
      <c r="N2908" s="111"/>
      <c r="O2908" s="111"/>
      <c r="P2908" s="111"/>
      <c r="Q2908" s="111"/>
      <c r="R2908" s="111"/>
    </row>
    <row r="2909" spans="2:18" s="108" customFormat="1">
      <c r="B2909" s="109"/>
      <c r="C2909" s="110"/>
      <c r="D2909" s="109"/>
      <c r="E2909" s="109"/>
      <c r="F2909" s="97"/>
      <c r="G2909" s="109"/>
      <c r="H2909" s="109"/>
      <c r="I2909" s="97"/>
      <c r="J2909" s="97"/>
      <c r="K2909" s="83"/>
      <c r="L2909" s="111"/>
      <c r="M2909" s="111"/>
      <c r="N2909" s="111"/>
      <c r="O2909" s="111"/>
      <c r="P2909" s="111"/>
      <c r="Q2909" s="111"/>
      <c r="R2909" s="111"/>
    </row>
    <row r="2910" spans="2:18" s="108" customFormat="1">
      <c r="B2910" s="109"/>
      <c r="C2910" s="110"/>
      <c r="D2910" s="109"/>
      <c r="E2910" s="109"/>
      <c r="F2910" s="97"/>
      <c r="G2910" s="109"/>
      <c r="H2910" s="109"/>
      <c r="I2910" s="97"/>
      <c r="J2910" s="97"/>
      <c r="K2910" s="83"/>
      <c r="L2910" s="111"/>
      <c r="M2910" s="111"/>
      <c r="N2910" s="111"/>
      <c r="O2910" s="111"/>
      <c r="P2910" s="111"/>
      <c r="Q2910" s="111"/>
      <c r="R2910" s="111"/>
    </row>
    <row r="2911" spans="2:18" s="108" customFormat="1">
      <c r="B2911" s="109"/>
      <c r="C2911" s="110"/>
      <c r="D2911" s="109"/>
      <c r="E2911" s="109"/>
      <c r="F2911" s="97"/>
      <c r="G2911" s="109"/>
      <c r="H2911" s="109"/>
      <c r="I2911" s="97"/>
      <c r="J2911" s="97"/>
      <c r="K2911" s="83"/>
      <c r="L2911" s="111"/>
      <c r="M2911" s="111"/>
      <c r="N2911" s="111"/>
      <c r="O2911" s="111"/>
      <c r="P2911" s="111"/>
      <c r="Q2911" s="111"/>
      <c r="R2911" s="111"/>
    </row>
    <row r="2912" spans="2:18" s="108" customFormat="1">
      <c r="B2912" s="109"/>
      <c r="C2912" s="110"/>
      <c r="D2912" s="109"/>
      <c r="E2912" s="109"/>
      <c r="F2912" s="97"/>
      <c r="G2912" s="109"/>
      <c r="H2912" s="109"/>
      <c r="I2912" s="97"/>
      <c r="J2912" s="97"/>
      <c r="K2912" s="83"/>
      <c r="L2912" s="111"/>
      <c r="M2912" s="111"/>
      <c r="N2912" s="111"/>
      <c r="O2912" s="111"/>
      <c r="P2912" s="111"/>
      <c r="Q2912" s="111"/>
      <c r="R2912" s="111"/>
    </row>
    <row r="2913" spans="2:18" s="108" customFormat="1">
      <c r="B2913" s="109"/>
      <c r="C2913" s="110"/>
      <c r="D2913" s="109"/>
      <c r="E2913" s="109"/>
      <c r="F2913" s="97"/>
      <c r="G2913" s="109"/>
      <c r="H2913" s="109"/>
      <c r="I2913" s="97"/>
      <c r="J2913" s="97"/>
      <c r="K2913" s="83"/>
      <c r="L2913" s="111"/>
      <c r="M2913" s="111"/>
      <c r="N2913" s="111"/>
      <c r="O2913" s="111"/>
      <c r="P2913" s="111"/>
      <c r="Q2913" s="111"/>
      <c r="R2913" s="111"/>
    </row>
    <row r="2914" spans="2:18" s="108" customFormat="1">
      <c r="B2914" s="109"/>
      <c r="C2914" s="110"/>
      <c r="D2914" s="109"/>
      <c r="E2914" s="109"/>
      <c r="F2914" s="97"/>
      <c r="G2914" s="109"/>
      <c r="H2914" s="109"/>
      <c r="I2914" s="97"/>
      <c r="J2914" s="97"/>
      <c r="K2914" s="83"/>
      <c r="L2914" s="111"/>
      <c r="M2914" s="111"/>
      <c r="N2914" s="111"/>
      <c r="O2914" s="111"/>
      <c r="P2914" s="111"/>
      <c r="Q2914" s="111"/>
      <c r="R2914" s="111"/>
    </row>
    <row r="2915" spans="2:18" s="108" customFormat="1">
      <c r="B2915" s="109"/>
      <c r="C2915" s="110"/>
      <c r="D2915" s="109"/>
      <c r="E2915" s="109"/>
      <c r="F2915" s="97"/>
      <c r="G2915" s="109"/>
      <c r="H2915" s="109"/>
      <c r="I2915" s="97"/>
      <c r="J2915" s="97"/>
      <c r="K2915" s="83"/>
      <c r="L2915" s="111"/>
      <c r="M2915" s="111"/>
      <c r="N2915" s="111"/>
      <c r="O2915" s="111"/>
      <c r="P2915" s="111"/>
      <c r="Q2915" s="111"/>
      <c r="R2915" s="111"/>
    </row>
    <row r="2916" spans="2:18" s="108" customFormat="1">
      <c r="B2916" s="109"/>
      <c r="C2916" s="110"/>
      <c r="D2916" s="109"/>
      <c r="E2916" s="109"/>
      <c r="F2916" s="97"/>
      <c r="G2916" s="109"/>
      <c r="H2916" s="109"/>
      <c r="I2916" s="97"/>
      <c r="J2916" s="97"/>
      <c r="K2916" s="83"/>
      <c r="L2916" s="111"/>
      <c r="M2916" s="111"/>
      <c r="N2916" s="111"/>
      <c r="O2916" s="111"/>
      <c r="P2916" s="111"/>
      <c r="Q2916" s="111"/>
      <c r="R2916" s="111"/>
    </row>
    <row r="2917" spans="2:18" s="108" customFormat="1">
      <c r="B2917" s="109"/>
      <c r="C2917" s="110"/>
      <c r="D2917" s="109"/>
      <c r="E2917" s="109"/>
      <c r="F2917" s="97"/>
      <c r="G2917" s="109"/>
      <c r="H2917" s="109"/>
      <c r="I2917" s="97"/>
      <c r="J2917" s="97"/>
      <c r="K2917" s="83"/>
      <c r="L2917" s="111"/>
      <c r="M2917" s="111"/>
      <c r="N2917" s="111"/>
      <c r="O2917" s="111"/>
      <c r="P2917" s="111"/>
      <c r="Q2917" s="111"/>
      <c r="R2917" s="111"/>
    </row>
    <row r="2918" spans="2:18" s="108" customFormat="1">
      <c r="B2918" s="109"/>
      <c r="C2918" s="110"/>
      <c r="D2918" s="109"/>
      <c r="E2918" s="109"/>
      <c r="F2918" s="97"/>
      <c r="G2918" s="109"/>
      <c r="H2918" s="109"/>
      <c r="I2918" s="97"/>
      <c r="J2918" s="97"/>
      <c r="K2918" s="83"/>
      <c r="L2918" s="111"/>
      <c r="M2918" s="111"/>
      <c r="N2918" s="111"/>
      <c r="O2918" s="111"/>
      <c r="P2918" s="111"/>
      <c r="Q2918" s="111"/>
      <c r="R2918" s="111"/>
    </row>
    <row r="2919" spans="2:18" s="108" customFormat="1">
      <c r="B2919" s="109"/>
      <c r="C2919" s="110"/>
      <c r="D2919" s="109"/>
      <c r="E2919" s="109"/>
      <c r="F2919" s="97"/>
      <c r="G2919" s="109"/>
      <c r="H2919" s="109"/>
      <c r="I2919" s="97"/>
      <c r="J2919" s="97"/>
      <c r="K2919" s="83"/>
      <c r="L2919" s="111"/>
      <c r="M2919" s="111"/>
      <c r="N2919" s="111"/>
      <c r="O2919" s="111"/>
      <c r="P2919" s="111"/>
      <c r="Q2919" s="111"/>
      <c r="R2919" s="111"/>
    </row>
    <row r="2920" spans="2:18" s="108" customFormat="1">
      <c r="B2920" s="109"/>
      <c r="C2920" s="110"/>
      <c r="D2920" s="109"/>
      <c r="E2920" s="109"/>
      <c r="F2920" s="97"/>
      <c r="G2920" s="109"/>
      <c r="H2920" s="109"/>
      <c r="I2920" s="97"/>
      <c r="J2920" s="97"/>
      <c r="K2920" s="83"/>
      <c r="L2920" s="111"/>
      <c r="M2920" s="111"/>
      <c r="N2920" s="111"/>
      <c r="O2920" s="111"/>
      <c r="P2920" s="111"/>
      <c r="Q2920" s="111"/>
      <c r="R2920" s="111"/>
    </row>
    <row r="2921" spans="2:18" s="108" customFormat="1">
      <c r="B2921" s="109"/>
      <c r="C2921" s="110"/>
      <c r="D2921" s="109"/>
      <c r="E2921" s="109"/>
      <c r="F2921" s="97"/>
      <c r="G2921" s="109"/>
      <c r="H2921" s="109"/>
      <c r="I2921" s="97"/>
      <c r="J2921" s="97"/>
      <c r="K2921" s="83"/>
      <c r="L2921" s="111"/>
      <c r="M2921" s="111"/>
      <c r="N2921" s="111"/>
      <c r="O2921" s="111"/>
      <c r="P2921" s="111"/>
      <c r="Q2921" s="111"/>
      <c r="R2921" s="111"/>
    </row>
    <row r="2922" spans="2:18" s="108" customFormat="1">
      <c r="B2922" s="109"/>
      <c r="C2922" s="110"/>
      <c r="D2922" s="109"/>
      <c r="E2922" s="109"/>
      <c r="F2922" s="97"/>
      <c r="G2922" s="109"/>
      <c r="H2922" s="109"/>
      <c r="I2922" s="97"/>
      <c r="J2922" s="97"/>
      <c r="K2922" s="83"/>
      <c r="L2922" s="111"/>
      <c r="M2922" s="111"/>
      <c r="N2922" s="111"/>
      <c r="O2922" s="111"/>
      <c r="P2922" s="111"/>
      <c r="Q2922" s="111"/>
      <c r="R2922" s="111"/>
    </row>
    <row r="2923" spans="2:18" s="108" customFormat="1">
      <c r="B2923" s="109"/>
      <c r="C2923" s="110"/>
      <c r="D2923" s="109"/>
      <c r="E2923" s="109"/>
      <c r="F2923" s="97"/>
      <c r="G2923" s="109"/>
      <c r="H2923" s="109"/>
      <c r="I2923" s="97"/>
      <c r="J2923" s="97"/>
      <c r="K2923" s="83"/>
      <c r="L2923" s="111"/>
      <c r="M2923" s="111"/>
      <c r="N2923" s="111"/>
      <c r="O2923" s="111"/>
      <c r="P2923" s="111"/>
      <c r="Q2923" s="111"/>
      <c r="R2923" s="111"/>
    </row>
    <row r="2924" spans="2:18" s="108" customFormat="1">
      <c r="B2924" s="109"/>
      <c r="C2924" s="110"/>
      <c r="D2924" s="109"/>
      <c r="E2924" s="109"/>
      <c r="F2924" s="97"/>
      <c r="G2924" s="109"/>
      <c r="H2924" s="109"/>
      <c r="I2924" s="97"/>
      <c r="J2924" s="97"/>
      <c r="K2924" s="83"/>
      <c r="L2924" s="111"/>
      <c r="M2924" s="111"/>
      <c r="N2924" s="111"/>
      <c r="O2924" s="111"/>
      <c r="P2924" s="111"/>
      <c r="Q2924" s="111"/>
      <c r="R2924" s="111"/>
    </row>
    <row r="2925" spans="2:18" s="108" customFormat="1">
      <c r="B2925" s="109"/>
      <c r="C2925" s="110"/>
      <c r="D2925" s="109"/>
      <c r="E2925" s="109"/>
      <c r="F2925" s="97"/>
      <c r="G2925" s="109"/>
      <c r="H2925" s="109"/>
      <c r="I2925" s="97"/>
      <c r="J2925" s="97"/>
      <c r="K2925" s="83"/>
      <c r="L2925" s="111"/>
      <c r="M2925" s="111"/>
      <c r="N2925" s="111"/>
      <c r="O2925" s="111"/>
      <c r="P2925" s="111"/>
      <c r="Q2925" s="111"/>
      <c r="R2925" s="111"/>
    </row>
    <row r="2926" spans="2:18" s="108" customFormat="1">
      <c r="B2926" s="109"/>
      <c r="C2926" s="110"/>
      <c r="D2926" s="109"/>
      <c r="E2926" s="109"/>
      <c r="F2926" s="97"/>
      <c r="G2926" s="109"/>
      <c r="H2926" s="109"/>
      <c r="I2926" s="97"/>
      <c r="J2926" s="97"/>
      <c r="K2926" s="83"/>
      <c r="L2926" s="111"/>
      <c r="M2926" s="111"/>
      <c r="N2926" s="111"/>
      <c r="O2926" s="111"/>
      <c r="P2926" s="111"/>
      <c r="Q2926" s="111"/>
      <c r="R2926" s="111"/>
    </row>
    <row r="2927" spans="2:18" s="108" customFormat="1">
      <c r="B2927" s="109"/>
      <c r="C2927" s="110"/>
      <c r="D2927" s="109"/>
      <c r="E2927" s="109"/>
      <c r="F2927" s="97"/>
      <c r="G2927" s="109"/>
      <c r="H2927" s="109"/>
      <c r="I2927" s="97"/>
      <c r="J2927" s="97"/>
      <c r="K2927" s="83"/>
      <c r="L2927" s="111"/>
      <c r="M2927" s="111"/>
      <c r="N2927" s="111"/>
      <c r="O2927" s="111"/>
      <c r="P2927" s="111"/>
      <c r="Q2927" s="111"/>
      <c r="R2927" s="111"/>
    </row>
    <row r="2928" spans="2:18" s="108" customFormat="1">
      <c r="B2928" s="109"/>
      <c r="C2928" s="110"/>
      <c r="D2928" s="109"/>
      <c r="E2928" s="109"/>
      <c r="F2928" s="97"/>
      <c r="G2928" s="109"/>
      <c r="H2928" s="109"/>
      <c r="I2928" s="97"/>
      <c r="J2928" s="97"/>
      <c r="K2928" s="83"/>
      <c r="L2928" s="111"/>
      <c r="M2928" s="111"/>
      <c r="N2928" s="111"/>
      <c r="O2928" s="111"/>
      <c r="P2928" s="111"/>
      <c r="Q2928" s="111"/>
      <c r="R2928" s="111"/>
    </row>
    <row r="2929" spans="2:18" s="108" customFormat="1">
      <c r="B2929" s="109"/>
      <c r="C2929" s="110"/>
      <c r="D2929" s="109"/>
      <c r="E2929" s="109"/>
      <c r="F2929" s="97"/>
      <c r="G2929" s="109"/>
      <c r="H2929" s="109"/>
      <c r="I2929" s="97"/>
      <c r="J2929" s="97"/>
      <c r="K2929" s="83"/>
      <c r="L2929" s="111"/>
      <c r="M2929" s="111"/>
      <c r="N2929" s="111"/>
      <c r="O2929" s="111"/>
      <c r="P2929" s="111"/>
      <c r="Q2929" s="111"/>
      <c r="R2929" s="111"/>
    </row>
    <row r="2930" spans="2:18" s="108" customFormat="1">
      <c r="B2930" s="109"/>
      <c r="C2930" s="110"/>
      <c r="D2930" s="109"/>
      <c r="E2930" s="109"/>
      <c r="F2930" s="97"/>
      <c r="G2930" s="109"/>
      <c r="H2930" s="109"/>
      <c r="I2930" s="97"/>
      <c r="J2930" s="97"/>
      <c r="K2930" s="83"/>
      <c r="L2930" s="111"/>
      <c r="M2930" s="111"/>
      <c r="N2930" s="111"/>
      <c r="O2930" s="111"/>
      <c r="P2930" s="111"/>
      <c r="Q2930" s="111"/>
      <c r="R2930" s="111"/>
    </row>
    <row r="2931" spans="2:18" s="108" customFormat="1">
      <c r="B2931" s="109"/>
      <c r="C2931" s="110"/>
      <c r="D2931" s="109"/>
      <c r="E2931" s="109"/>
      <c r="F2931" s="97"/>
      <c r="G2931" s="109"/>
      <c r="H2931" s="109"/>
      <c r="I2931" s="97"/>
      <c r="J2931" s="97"/>
      <c r="K2931" s="83"/>
      <c r="L2931" s="111"/>
      <c r="M2931" s="111"/>
      <c r="N2931" s="111"/>
      <c r="O2931" s="111"/>
      <c r="P2931" s="111"/>
      <c r="Q2931" s="111"/>
      <c r="R2931" s="111"/>
    </row>
    <row r="2932" spans="2:18" s="108" customFormat="1">
      <c r="B2932" s="109"/>
      <c r="C2932" s="110"/>
      <c r="D2932" s="109"/>
      <c r="E2932" s="109"/>
      <c r="F2932" s="97"/>
      <c r="G2932" s="109"/>
      <c r="H2932" s="109"/>
      <c r="I2932" s="97"/>
      <c r="J2932" s="97"/>
      <c r="K2932" s="83"/>
      <c r="L2932" s="111"/>
      <c r="M2932" s="111"/>
      <c r="N2932" s="111"/>
      <c r="O2932" s="111"/>
      <c r="P2932" s="111"/>
      <c r="Q2932" s="111"/>
      <c r="R2932" s="111"/>
    </row>
    <row r="2933" spans="2:18" s="108" customFormat="1">
      <c r="B2933" s="109"/>
      <c r="C2933" s="110"/>
      <c r="D2933" s="109"/>
      <c r="E2933" s="109"/>
      <c r="F2933" s="97"/>
      <c r="G2933" s="109"/>
      <c r="H2933" s="109"/>
      <c r="I2933" s="97"/>
      <c r="J2933" s="97"/>
      <c r="K2933" s="83"/>
      <c r="L2933" s="111"/>
      <c r="M2933" s="111"/>
      <c r="N2933" s="111"/>
      <c r="O2933" s="111"/>
      <c r="P2933" s="111"/>
      <c r="Q2933" s="111"/>
      <c r="R2933" s="111"/>
    </row>
    <row r="2934" spans="2:18" s="108" customFormat="1">
      <c r="B2934" s="109"/>
      <c r="C2934" s="110"/>
      <c r="D2934" s="109"/>
      <c r="E2934" s="109"/>
      <c r="F2934" s="97"/>
      <c r="G2934" s="109"/>
      <c r="H2934" s="109"/>
      <c r="I2934" s="97"/>
      <c r="J2934" s="97"/>
      <c r="K2934" s="83"/>
      <c r="L2934" s="111"/>
      <c r="M2934" s="111"/>
      <c r="N2934" s="111"/>
      <c r="O2934" s="111"/>
      <c r="P2934" s="111"/>
      <c r="Q2934" s="111"/>
      <c r="R2934" s="111"/>
    </row>
    <row r="2935" spans="2:18" s="108" customFormat="1">
      <c r="B2935" s="109"/>
      <c r="C2935" s="110"/>
      <c r="D2935" s="109"/>
      <c r="E2935" s="109"/>
      <c r="F2935" s="97"/>
      <c r="G2935" s="109"/>
      <c r="H2935" s="109"/>
      <c r="I2935" s="97"/>
      <c r="J2935" s="97"/>
      <c r="K2935" s="83"/>
      <c r="L2935" s="111"/>
      <c r="M2935" s="111"/>
      <c r="N2935" s="111"/>
      <c r="O2935" s="111"/>
      <c r="P2935" s="111"/>
      <c r="Q2935" s="111"/>
      <c r="R2935" s="111"/>
    </row>
    <row r="2936" spans="2:18" s="108" customFormat="1">
      <c r="B2936" s="109"/>
      <c r="C2936" s="110"/>
      <c r="D2936" s="109"/>
      <c r="E2936" s="109"/>
      <c r="F2936" s="97"/>
      <c r="G2936" s="109"/>
      <c r="H2936" s="109"/>
      <c r="I2936" s="97"/>
      <c r="J2936" s="97"/>
      <c r="K2936" s="83"/>
      <c r="L2936" s="111"/>
      <c r="M2936" s="111"/>
      <c r="N2936" s="111"/>
      <c r="O2936" s="111"/>
      <c r="P2936" s="111"/>
      <c r="Q2936" s="111"/>
      <c r="R2936" s="111"/>
    </row>
    <row r="2937" spans="2:18" s="108" customFormat="1">
      <c r="B2937" s="109"/>
      <c r="C2937" s="110"/>
      <c r="D2937" s="109"/>
      <c r="E2937" s="109"/>
      <c r="F2937" s="97"/>
      <c r="G2937" s="109"/>
      <c r="H2937" s="109"/>
      <c r="I2937" s="97"/>
      <c r="J2937" s="97"/>
      <c r="K2937" s="83"/>
      <c r="L2937" s="111"/>
      <c r="M2937" s="111"/>
      <c r="N2937" s="111"/>
      <c r="O2937" s="111"/>
      <c r="P2937" s="111"/>
      <c r="Q2937" s="111"/>
      <c r="R2937" s="111"/>
    </row>
    <row r="2938" spans="2:18" s="108" customFormat="1">
      <c r="B2938" s="109"/>
      <c r="C2938" s="110"/>
      <c r="D2938" s="109"/>
      <c r="E2938" s="109"/>
      <c r="F2938" s="97"/>
      <c r="G2938" s="109"/>
      <c r="H2938" s="109"/>
      <c r="I2938" s="97"/>
      <c r="J2938" s="97"/>
      <c r="K2938" s="83"/>
      <c r="L2938" s="111"/>
      <c r="M2938" s="111"/>
      <c r="N2938" s="111"/>
      <c r="O2938" s="111"/>
      <c r="P2938" s="111"/>
      <c r="Q2938" s="111"/>
      <c r="R2938" s="111"/>
    </row>
    <row r="2939" spans="2:18" s="108" customFormat="1">
      <c r="B2939" s="109"/>
      <c r="C2939" s="110"/>
      <c r="D2939" s="109"/>
      <c r="E2939" s="109"/>
      <c r="F2939" s="97"/>
      <c r="G2939" s="109"/>
      <c r="H2939" s="109"/>
      <c r="I2939" s="97"/>
      <c r="J2939" s="97"/>
      <c r="K2939" s="83"/>
      <c r="L2939" s="111"/>
      <c r="M2939" s="111"/>
      <c r="N2939" s="111"/>
      <c r="O2939" s="111"/>
      <c r="P2939" s="111"/>
      <c r="Q2939" s="111"/>
      <c r="R2939" s="111"/>
    </row>
    <row r="2940" spans="2:18" s="108" customFormat="1">
      <c r="B2940" s="109"/>
      <c r="C2940" s="110"/>
      <c r="D2940" s="109"/>
      <c r="E2940" s="109"/>
      <c r="F2940" s="97"/>
      <c r="G2940" s="109"/>
      <c r="H2940" s="109"/>
      <c r="I2940" s="97"/>
      <c r="J2940" s="97"/>
      <c r="K2940" s="83"/>
      <c r="L2940" s="111"/>
      <c r="M2940" s="111"/>
      <c r="N2940" s="111"/>
      <c r="O2940" s="111"/>
      <c r="P2940" s="111"/>
      <c r="Q2940" s="111"/>
      <c r="R2940" s="111"/>
    </row>
    <row r="2941" spans="2:18" s="108" customFormat="1">
      <c r="B2941" s="109"/>
      <c r="C2941" s="110"/>
      <c r="D2941" s="109"/>
      <c r="E2941" s="109"/>
      <c r="F2941" s="97"/>
      <c r="G2941" s="109"/>
      <c r="H2941" s="109"/>
      <c r="I2941" s="97"/>
      <c r="J2941" s="97"/>
      <c r="K2941" s="83"/>
      <c r="L2941" s="111"/>
      <c r="M2941" s="111"/>
      <c r="N2941" s="111"/>
      <c r="O2941" s="111"/>
      <c r="P2941" s="111"/>
      <c r="Q2941" s="111"/>
      <c r="R2941" s="111"/>
    </row>
    <row r="2942" spans="2:18" s="108" customFormat="1">
      <c r="B2942" s="109"/>
      <c r="C2942" s="110"/>
      <c r="D2942" s="109"/>
      <c r="E2942" s="109"/>
      <c r="F2942" s="97"/>
      <c r="G2942" s="109"/>
      <c r="H2942" s="109"/>
      <c r="I2942" s="97"/>
      <c r="J2942" s="97"/>
      <c r="K2942" s="83"/>
      <c r="L2942" s="111"/>
      <c r="M2942" s="111"/>
      <c r="N2942" s="111"/>
      <c r="O2942" s="111"/>
      <c r="P2942" s="111"/>
      <c r="Q2942" s="111"/>
      <c r="R2942" s="111"/>
    </row>
    <row r="2943" spans="2:18" s="108" customFormat="1">
      <c r="B2943" s="109"/>
      <c r="C2943" s="110"/>
      <c r="D2943" s="109"/>
      <c r="E2943" s="109"/>
      <c r="F2943" s="97"/>
      <c r="G2943" s="109"/>
      <c r="H2943" s="109"/>
      <c r="I2943" s="97"/>
      <c r="J2943" s="97"/>
      <c r="K2943" s="83"/>
      <c r="L2943" s="111"/>
      <c r="M2943" s="111"/>
      <c r="N2943" s="111"/>
      <c r="O2943" s="111"/>
      <c r="P2943" s="111"/>
      <c r="Q2943" s="111"/>
      <c r="R2943" s="111"/>
    </row>
    <row r="2944" spans="2:18" s="108" customFormat="1">
      <c r="B2944" s="109"/>
      <c r="C2944" s="110"/>
      <c r="D2944" s="109"/>
      <c r="E2944" s="109"/>
      <c r="F2944" s="97"/>
      <c r="G2944" s="109"/>
      <c r="H2944" s="109"/>
      <c r="I2944" s="97"/>
      <c r="J2944" s="97"/>
      <c r="K2944" s="83"/>
      <c r="L2944" s="111"/>
      <c r="M2944" s="111"/>
      <c r="N2944" s="111"/>
      <c r="O2944" s="111"/>
      <c r="P2944" s="111"/>
      <c r="Q2944" s="111"/>
      <c r="R2944" s="111"/>
    </row>
    <row r="2945" spans="2:18" s="108" customFormat="1">
      <c r="B2945" s="109"/>
      <c r="C2945" s="110"/>
      <c r="D2945" s="109"/>
      <c r="E2945" s="109"/>
      <c r="F2945" s="97"/>
      <c r="G2945" s="109"/>
      <c r="H2945" s="109"/>
      <c r="I2945" s="97"/>
      <c r="J2945" s="97"/>
      <c r="K2945" s="83"/>
      <c r="L2945" s="111"/>
      <c r="M2945" s="111"/>
      <c r="N2945" s="111"/>
      <c r="O2945" s="111"/>
      <c r="P2945" s="111"/>
      <c r="Q2945" s="111"/>
      <c r="R2945" s="111"/>
    </row>
    <row r="2946" spans="2:18" s="108" customFormat="1">
      <c r="B2946" s="109"/>
      <c r="C2946" s="110"/>
      <c r="D2946" s="109"/>
      <c r="E2946" s="109"/>
      <c r="F2946" s="97"/>
      <c r="G2946" s="109"/>
      <c r="H2946" s="109"/>
      <c r="I2946" s="97"/>
      <c r="J2946" s="97"/>
      <c r="K2946" s="83"/>
      <c r="L2946" s="111"/>
      <c r="M2946" s="111"/>
      <c r="N2946" s="111"/>
      <c r="O2946" s="111"/>
      <c r="P2946" s="111"/>
      <c r="Q2946" s="111"/>
      <c r="R2946" s="111"/>
    </row>
    <row r="2947" spans="2:18" s="108" customFormat="1">
      <c r="B2947" s="109"/>
      <c r="C2947" s="110"/>
      <c r="D2947" s="109"/>
      <c r="E2947" s="109"/>
      <c r="F2947" s="97"/>
      <c r="G2947" s="109"/>
      <c r="H2947" s="109"/>
      <c r="I2947" s="97"/>
      <c r="J2947" s="97"/>
      <c r="K2947" s="83"/>
      <c r="L2947" s="111"/>
      <c r="M2947" s="111"/>
      <c r="N2947" s="111"/>
      <c r="O2947" s="111"/>
      <c r="P2947" s="111"/>
      <c r="Q2947" s="111"/>
      <c r="R2947" s="111"/>
    </row>
    <row r="2948" spans="2:18" s="108" customFormat="1">
      <c r="B2948" s="109"/>
      <c r="C2948" s="110"/>
      <c r="D2948" s="109"/>
      <c r="E2948" s="109"/>
      <c r="F2948" s="97"/>
      <c r="G2948" s="109"/>
      <c r="H2948" s="109"/>
      <c r="I2948" s="97"/>
      <c r="J2948" s="97"/>
      <c r="K2948" s="83"/>
      <c r="L2948" s="111"/>
      <c r="M2948" s="111"/>
      <c r="N2948" s="111"/>
      <c r="O2948" s="111"/>
      <c r="P2948" s="111"/>
      <c r="Q2948" s="111"/>
      <c r="R2948" s="111"/>
    </row>
    <row r="2949" spans="2:18" s="108" customFormat="1">
      <c r="B2949" s="109"/>
      <c r="C2949" s="110"/>
      <c r="D2949" s="109"/>
      <c r="E2949" s="109"/>
      <c r="F2949" s="97"/>
      <c r="G2949" s="109"/>
      <c r="H2949" s="109"/>
      <c r="I2949" s="97"/>
      <c r="J2949" s="97"/>
      <c r="K2949" s="83"/>
      <c r="L2949" s="111"/>
      <c r="M2949" s="111"/>
      <c r="N2949" s="111"/>
      <c r="O2949" s="111"/>
      <c r="P2949" s="111"/>
      <c r="Q2949" s="111"/>
      <c r="R2949" s="111"/>
    </row>
    <row r="2950" spans="2:18" s="108" customFormat="1">
      <c r="B2950" s="109"/>
      <c r="C2950" s="110"/>
      <c r="D2950" s="109"/>
      <c r="E2950" s="109"/>
      <c r="F2950" s="97"/>
      <c r="G2950" s="109"/>
      <c r="H2950" s="109"/>
      <c r="I2950" s="97"/>
      <c r="J2950" s="97"/>
      <c r="K2950" s="83"/>
      <c r="L2950" s="111"/>
      <c r="M2950" s="111"/>
      <c r="N2950" s="111"/>
      <c r="O2950" s="111"/>
      <c r="P2950" s="111"/>
      <c r="Q2950" s="111"/>
      <c r="R2950" s="111"/>
    </row>
    <row r="2951" spans="2:18" s="108" customFormat="1">
      <c r="B2951" s="109"/>
      <c r="C2951" s="110"/>
      <c r="D2951" s="109"/>
      <c r="E2951" s="109"/>
      <c r="F2951" s="97"/>
      <c r="G2951" s="109"/>
      <c r="H2951" s="109"/>
      <c r="I2951" s="97"/>
      <c r="J2951" s="97"/>
      <c r="K2951" s="83"/>
      <c r="L2951" s="111"/>
      <c r="M2951" s="111"/>
      <c r="N2951" s="111"/>
      <c r="O2951" s="111"/>
      <c r="P2951" s="111"/>
      <c r="Q2951" s="111"/>
      <c r="R2951" s="111"/>
    </row>
    <row r="2952" spans="2:18" s="108" customFormat="1">
      <c r="B2952" s="109"/>
      <c r="C2952" s="110"/>
      <c r="D2952" s="109"/>
      <c r="E2952" s="109"/>
      <c r="F2952" s="97"/>
      <c r="G2952" s="109"/>
      <c r="H2952" s="109"/>
      <c r="I2952" s="97"/>
      <c r="J2952" s="97"/>
      <c r="K2952" s="83"/>
      <c r="L2952" s="111"/>
      <c r="M2952" s="111"/>
      <c r="N2952" s="111"/>
      <c r="O2952" s="111"/>
      <c r="P2952" s="111"/>
      <c r="Q2952" s="111"/>
      <c r="R2952" s="111"/>
    </row>
    <row r="2953" spans="2:18" s="108" customFormat="1">
      <c r="B2953" s="109"/>
      <c r="C2953" s="110"/>
      <c r="D2953" s="109"/>
      <c r="E2953" s="109"/>
      <c r="F2953" s="97"/>
      <c r="G2953" s="109"/>
      <c r="H2953" s="109"/>
      <c r="I2953" s="97"/>
      <c r="J2953" s="97"/>
      <c r="K2953" s="83"/>
      <c r="L2953" s="111"/>
      <c r="M2953" s="111"/>
      <c r="N2953" s="111"/>
      <c r="O2953" s="111"/>
      <c r="P2953" s="111"/>
      <c r="Q2953" s="111"/>
      <c r="R2953" s="111"/>
    </row>
    <row r="2954" spans="2:18" s="108" customFormat="1">
      <c r="B2954" s="109"/>
      <c r="C2954" s="110"/>
      <c r="D2954" s="109"/>
      <c r="E2954" s="109"/>
      <c r="F2954" s="97"/>
      <c r="G2954" s="109"/>
      <c r="H2954" s="109"/>
      <c r="I2954" s="97"/>
      <c r="J2954" s="97"/>
      <c r="K2954" s="83"/>
      <c r="L2954" s="111"/>
      <c r="M2954" s="111"/>
      <c r="N2954" s="111"/>
      <c r="O2954" s="111"/>
      <c r="P2954" s="111"/>
      <c r="Q2954" s="111"/>
      <c r="R2954" s="111"/>
    </row>
    <row r="2955" spans="2:18" s="108" customFormat="1">
      <c r="B2955" s="109"/>
      <c r="C2955" s="110"/>
      <c r="D2955" s="109"/>
      <c r="E2955" s="109"/>
      <c r="F2955" s="97"/>
      <c r="G2955" s="109"/>
      <c r="H2955" s="109"/>
      <c r="I2955" s="97"/>
      <c r="J2955" s="97"/>
      <c r="K2955" s="83"/>
      <c r="L2955" s="111"/>
      <c r="M2955" s="111"/>
      <c r="N2955" s="111"/>
      <c r="O2955" s="111"/>
      <c r="P2955" s="111"/>
      <c r="Q2955" s="111"/>
      <c r="R2955" s="111"/>
    </row>
    <row r="2956" spans="2:18" s="108" customFormat="1">
      <c r="B2956" s="109"/>
      <c r="C2956" s="110"/>
      <c r="D2956" s="109"/>
      <c r="E2956" s="109"/>
      <c r="F2956" s="97"/>
      <c r="G2956" s="109"/>
      <c r="H2956" s="109"/>
      <c r="I2956" s="97"/>
      <c r="J2956" s="97"/>
      <c r="K2956" s="83"/>
      <c r="L2956" s="111"/>
      <c r="M2956" s="111"/>
      <c r="N2956" s="111"/>
      <c r="O2956" s="111"/>
      <c r="P2956" s="111"/>
      <c r="Q2956" s="111"/>
      <c r="R2956" s="111"/>
    </row>
    <row r="2957" spans="2:18" s="108" customFormat="1">
      <c r="B2957" s="109"/>
      <c r="C2957" s="110"/>
      <c r="D2957" s="109"/>
      <c r="E2957" s="109"/>
      <c r="F2957" s="97"/>
      <c r="G2957" s="109"/>
      <c r="H2957" s="109"/>
      <c r="I2957" s="97"/>
      <c r="J2957" s="97"/>
      <c r="K2957" s="83"/>
      <c r="L2957" s="111"/>
      <c r="M2957" s="111"/>
      <c r="N2957" s="111"/>
      <c r="O2957" s="111"/>
      <c r="P2957" s="111"/>
      <c r="Q2957" s="111"/>
      <c r="R2957" s="111"/>
    </row>
    <row r="2958" spans="2:18" s="108" customFormat="1">
      <c r="B2958" s="109"/>
      <c r="C2958" s="110"/>
      <c r="D2958" s="109"/>
      <c r="E2958" s="109"/>
      <c r="F2958" s="97"/>
      <c r="G2958" s="109"/>
      <c r="H2958" s="109"/>
      <c r="I2958" s="97"/>
      <c r="J2958" s="97"/>
      <c r="K2958" s="83"/>
      <c r="L2958" s="111"/>
      <c r="M2958" s="111"/>
      <c r="N2958" s="111"/>
      <c r="O2958" s="111"/>
      <c r="P2958" s="111"/>
      <c r="Q2958" s="111"/>
      <c r="R2958" s="111"/>
    </row>
    <row r="2959" spans="2:18" s="108" customFormat="1">
      <c r="B2959" s="109"/>
      <c r="C2959" s="110"/>
      <c r="D2959" s="109"/>
      <c r="E2959" s="109"/>
      <c r="F2959" s="97"/>
      <c r="G2959" s="109"/>
      <c r="H2959" s="109"/>
      <c r="I2959" s="97"/>
      <c r="J2959" s="97"/>
      <c r="K2959" s="83"/>
      <c r="L2959" s="111"/>
      <c r="M2959" s="111"/>
      <c r="N2959" s="111"/>
      <c r="O2959" s="111"/>
      <c r="P2959" s="111"/>
      <c r="Q2959" s="111"/>
      <c r="R2959" s="111"/>
    </row>
    <row r="2960" spans="2:18" s="108" customFormat="1">
      <c r="B2960" s="109"/>
      <c r="C2960" s="110"/>
      <c r="D2960" s="109"/>
      <c r="E2960" s="109"/>
      <c r="F2960" s="97"/>
      <c r="G2960" s="109"/>
      <c r="H2960" s="109"/>
      <c r="I2960" s="97"/>
      <c r="J2960" s="97"/>
      <c r="K2960" s="83"/>
      <c r="L2960" s="111"/>
      <c r="M2960" s="111"/>
      <c r="N2960" s="111"/>
      <c r="O2960" s="111"/>
      <c r="P2960" s="111"/>
      <c r="Q2960" s="111"/>
      <c r="R2960" s="111"/>
    </row>
    <row r="2961" spans="2:18" s="108" customFormat="1">
      <c r="B2961" s="109"/>
      <c r="C2961" s="110"/>
      <c r="D2961" s="109"/>
      <c r="E2961" s="109"/>
      <c r="F2961" s="97"/>
      <c r="G2961" s="109"/>
      <c r="H2961" s="109"/>
      <c r="I2961" s="97"/>
      <c r="J2961" s="97"/>
      <c r="K2961" s="83"/>
      <c r="L2961" s="111"/>
      <c r="M2961" s="111"/>
      <c r="N2961" s="111"/>
      <c r="O2961" s="111"/>
      <c r="P2961" s="111"/>
      <c r="Q2961" s="111"/>
      <c r="R2961" s="111"/>
    </row>
    <row r="2962" spans="2:18" s="108" customFormat="1">
      <c r="B2962" s="109"/>
      <c r="C2962" s="110"/>
      <c r="D2962" s="109"/>
      <c r="E2962" s="109"/>
      <c r="F2962" s="97"/>
      <c r="G2962" s="109"/>
      <c r="H2962" s="109"/>
      <c r="I2962" s="97"/>
      <c r="J2962" s="97"/>
      <c r="K2962" s="83"/>
      <c r="L2962" s="111"/>
      <c r="M2962" s="111"/>
      <c r="N2962" s="111"/>
      <c r="O2962" s="111"/>
      <c r="P2962" s="111"/>
      <c r="Q2962" s="111"/>
      <c r="R2962" s="111"/>
    </row>
    <row r="2963" spans="2:18" s="108" customFormat="1">
      <c r="B2963" s="109"/>
      <c r="C2963" s="110"/>
      <c r="D2963" s="109"/>
      <c r="E2963" s="109"/>
      <c r="F2963" s="97"/>
      <c r="G2963" s="109"/>
      <c r="H2963" s="109"/>
      <c r="I2963" s="97"/>
      <c r="J2963" s="97"/>
      <c r="K2963" s="83"/>
      <c r="L2963" s="111"/>
      <c r="M2963" s="111"/>
      <c r="N2963" s="111"/>
      <c r="O2963" s="111"/>
      <c r="P2963" s="111"/>
      <c r="Q2963" s="111"/>
      <c r="R2963" s="111"/>
    </row>
    <row r="2964" spans="2:18" s="108" customFormat="1">
      <c r="B2964" s="109"/>
      <c r="C2964" s="110"/>
      <c r="D2964" s="109"/>
      <c r="E2964" s="109"/>
      <c r="F2964" s="97"/>
      <c r="G2964" s="109"/>
      <c r="H2964" s="109"/>
      <c r="I2964" s="97"/>
      <c r="J2964" s="97"/>
      <c r="K2964" s="83"/>
      <c r="L2964" s="111"/>
      <c r="M2964" s="111"/>
      <c r="N2964" s="111"/>
      <c r="O2964" s="111"/>
      <c r="P2964" s="111"/>
      <c r="Q2964" s="111"/>
      <c r="R2964" s="111"/>
    </row>
    <row r="2965" spans="2:18" s="108" customFormat="1">
      <c r="B2965" s="109"/>
      <c r="C2965" s="110"/>
      <c r="D2965" s="109"/>
      <c r="E2965" s="109"/>
      <c r="F2965" s="97"/>
      <c r="G2965" s="109"/>
      <c r="H2965" s="109"/>
      <c r="I2965" s="97"/>
      <c r="J2965" s="97"/>
      <c r="K2965" s="83"/>
      <c r="L2965" s="111"/>
      <c r="M2965" s="111"/>
      <c r="N2965" s="111"/>
      <c r="O2965" s="111"/>
      <c r="P2965" s="111"/>
      <c r="Q2965" s="111"/>
      <c r="R2965" s="111"/>
    </row>
    <row r="2966" spans="2:18" s="108" customFormat="1">
      <c r="B2966" s="109"/>
      <c r="C2966" s="110"/>
      <c r="D2966" s="109"/>
      <c r="E2966" s="109"/>
      <c r="F2966" s="97"/>
      <c r="G2966" s="109"/>
      <c r="H2966" s="109"/>
      <c r="I2966" s="97"/>
      <c r="J2966" s="97"/>
      <c r="K2966" s="83"/>
      <c r="L2966" s="111"/>
      <c r="M2966" s="111"/>
      <c r="N2966" s="111"/>
      <c r="O2966" s="111"/>
      <c r="P2966" s="111"/>
      <c r="Q2966" s="111"/>
      <c r="R2966" s="111"/>
    </row>
    <row r="2967" spans="2:18" s="108" customFormat="1">
      <c r="B2967" s="109"/>
      <c r="C2967" s="110"/>
      <c r="D2967" s="109"/>
      <c r="E2967" s="109"/>
      <c r="F2967" s="97"/>
      <c r="G2967" s="109"/>
      <c r="H2967" s="109"/>
      <c r="I2967" s="97"/>
      <c r="J2967" s="97"/>
      <c r="K2967" s="83"/>
      <c r="L2967" s="111"/>
      <c r="M2967" s="111"/>
      <c r="N2967" s="111"/>
      <c r="O2967" s="111"/>
      <c r="P2967" s="111"/>
      <c r="Q2967" s="111"/>
      <c r="R2967" s="111"/>
    </row>
    <row r="2968" spans="2:18" s="108" customFormat="1">
      <c r="B2968" s="109"/>
      <c r="C2968" s="110"/>
      <c r="D2968" s="109"/>
      <c r="E2968" s="109"/>
      <c r="F2968" s="97"/>
      <c r="G2968" s="109"/>
      <c r="H2968" s="109"/>
      <c r="I2968" s="97"/>
      <c r="J2968" s="97"/>
      <c r="K2968" s="83"/>
      <c r="L2968" s="111"/>
      <c r="M2968" s="111"/>
      <c r="N2968" s="111"/>
      <c r="O2968" s="111"/>
      <c r="P2968" s="111"/>
      <c r="Q2968" s="111"/>
      <c r="R2968" s="111"/>
    </row>
    <row r="2969" spans="2:18" s="108" customFormat="1">
      <c r="B2969" s="109"/>
      <c r="C2969" s="110"/>
      <c r="D2969" s="109"/>
      <c r="E2969" s="109"/>
      <c r="F2969" s="97"/>
      <c r="G2969" s="109"/>
      <c r="H2969" s="109"/>
      <c r="I2969" s="97"/>
      <c r="J2969" s="97"/>
      <c r="K2969" s="83"/>
      <c r="L2969" s="111"/>
      <c r="M2969" s="111"/>
      <c r="N2969" s="111"/>
      <c r="O2969" s="111"/>
      <c r="P2969" s="111"/>
      <c r="Q2969" s="111"/>
      <c r="R2969" s="111"/>
    </row>
    <row r="2970" spans="2:18" s="108" customFormat="1">
      <c r="B2970" s="109"/>
      <c r="C2970" s="110"/>
      <c r="D2970" s="109"/>
      <c r="E2970" s="109"/>
      <c r="F2970" s="97"/>
      <c r="G2970" s="109"/>
      <c r="H2970" s="109"/>
      <c r="I2970" s="97"/>
      <c r="J2970" s="97"/>
      <c r="K2970" s="83"/>
      <c r="L2970" s="111"/>
      <c r="M2970" s="111"/>
      <c r="N2970" s="111"/>
      <c r="O2970" s="111"/>
      <c r="P2970" s="111"/>
      <c r="Q2970" s="111"/>
      <c r="R2970" s="111"/>
    </row>
    <row r="2971" spans="2:18" s="108" customFormat="1">
      <c r="B2971" s="109"/>
      <c r="C2971" s="110"/>
      <c r="D2971" s="109"/>
      <c r="E2971" s="109"/>
      <c r="F2971" s="97"/>
      <c r="G2971" s="109"/>
      <c r="H2971" s="109"/>
      <c r="I2971" s="97"/>
      <c r="J2971" s="97"/>
      <c r="K2971" s="83"/>
      <c r="L2971" s="111"/>
      <c r="M2971" s="111"/>
      <c r="N2971" s="111"/>
      <c r="O2971" s="111"/>
      <c r="P2971" s="111"/>
      <c r="Q2971" s="111"/>
      <c r="R2971" s="111"/>
    </row>
    <row r="2972" spans="2:18" s="108" customFormat="1">
      <c r="B2972" s="109"/>
      <c r="C2972" s="110"/>
      <c r="D2972" s="109"/>
      <c r="E2972" s="109"/>
      <c r="F2972" s="97"/>
      <c r="G2972" s="109"/>
      <c r="H2972" s="109"/>
      <c r="I2972" s="97"/>
      <c r="J2972" s="97"/>
      <c r="K2972" s="83"/>
      <c r="L2972" s="111"/>
      <c r="M2972" s="111"/>
      <c r="N2972" s="111"/>
      <c r="O2972" s="111"/>
      <c r="P2972" s="111"/>
      <c r="Q2972" s="111"/>
      <c r="R2972" s="111"/>
    </row>
    <row r="2973" spans="2:18" s="108" customFormat="1">
      <c r="B2973" s="109"/>
      <c r="C2973" s="110"/>
      <c r="D2973" s="109"/>
      <c r="E2973" s="109"/>
      <c r="F2973" s="97"/>
      <c r="G2973" s="109"/>
      <c r="H2973" s="109"/>
      <c r="I2973" s="97"/>
      <c r="J2973" s="97"/>
      <c r="K2973" s="83"/>
      <c r="L2973" s="111"/>
      <c r="M2973" s="111"/>
      <c r="N2973" s="111"/>
      <c r="O2973" s="111"/>
      <c r="P2973" s="111"/>
      <c r="Q2973" s="111"/>
      <c r="R2973" s="111"/>
    </row>
    <row r="2974" spans="2:18" s="108" customFormat="1">
      <c r="B2974" s="109"/>
      <c r="C2974" s="110"/>
      <c r="D2974" s="109"/>
      <c r="E2974" s="109"/>
      <c r="F2974" s="97"/>
      <c r="G2974" s="109"/>
      <c r="H2974" s="109"/>
      <c r="I2974" s="97"/>
      <c r="J2974" s="97"/>
      <c r="K2974" s="83"/>
      <c r="L2974" s="111"/>
      <c r="M2974" s="111"/>
      <c r="N2974" s="111"/>
      <c r="O2974" s="111"/>
      <c r="P2974" s="111"/>
      <c r="Q2974" s="111"/>
      <c r="R2974" s="111"/>
    </row>
    <row r="2975" spans="2:18" s="108" customFormat="1">
      <c r="B2975" s="109"/>
      <c r="C2975" s="110"/>
      <c r="D2975" s="109"/>
      <c r="E2975" s="109"/>
      <c r="F2975" s="97"/>
      <c r="G2975" s="109"/>
      <c r="H2975" s="109"/>
      <c r="I2975" s="97"/>
      <c r="J2975" s="97"/>
      <c r="K2975" s="83"/>
      <c r="L2975" s="111"/>
      <c r="M2975" s="111"/>
      <c r="N2975" s="111"/>
      <c r="O2975" s="111"/>
      <c r="P2975" s="111"/>
      <c r="Q2975" s="111"/>
      <c r="R2975" s="111"/>
    </row>
    <row r="2976" spans="2:18" s="108" customFormat="1">
      <c r="B2976" s="109"/>
      <c r="C2976" s="110"/>
      <c r="D2976" s="109"/>
      <c r="E2976" s="109"/>
      <c r="F2976" s="97"/>
      <c r="G2976" s="109"/>
      <c r="H2976" s="109"/>
      <c r="I2976" s="97"/>
      <c r="J2976" s="97"/>
      <c r="K2976" s="83"/>
      <c r="L2976" s="111"/>
      <c r="M2976" s="111"/>
      <c r="N2976" s="111"/>
      <c r="O2976" s="111"/>
      <c r="P2976" s="111"/>
      <c r="Q2976" s="111"/>
      <c r="R2976" s="111"/>
    </row>
    <row r="2977" spans="2:18" s="108" customFormat="1">
      <c r="B2977" s="109"/>
      <c r="C2977" s="110"/>
      <c r="D2977" s="109"/>
      <c r="E2977" s="109"/>
      <c r="F2977" s="97"/>
      <c r="G2977" s="109"/>
      <c r="H2977" s="109"/>
      <c r="I2977" s="97"/>
      <c r="J2977" s="97"/>
      <c r="K2977" s="83"/>
      <c r="L2977" s="111"/>
      <c r="M2977" s="111"/>
      <c r="N2977" s="111"/>
      <c r="O2977" s="111"/>
      <c r="P2977" s="111"/>
      <c r="Q2977" s="111"/>
      <c r="R2977" s="111"/>
    </row>
    <row r="2978" spans="2:18" s="108" customFormat="1">
      <c r="B2978" s="109"/>
      <c r="C2978" s="110"/>
      <c r="D2978" s="109"/>
      <c r="E2978" s="109"/>
      <c r="F2978" s="97"/>
      <c r="G2978" s="109"/>
      <c r="H2978" s="109"/>
      <c r="I2978" s="97"/>
      <c r="J2978" s="97"/>
      <c r="K2978" s="83"/>
      <c r="L2978" s="111"/>
      <c r="M2978" s="111"/>
      <c r="N2978" s="111"/>
      <c r="O2978" s="111"/>
      <c r="P2978" s="111"/>
      <c r="Q2978" s="111"/>
      <c r="R2978" s="111"/>
    </row>
    <row r="2979" spans="2:18" s="108" customFormat="1">
      <c r="B2979" s="109"/>
      <c r="C2979" s="110"/>
      <c r="D2979" s="109"/>
      <c r="E2979" s="109"/>
      <c r="F2979" s="97"/>
      <c r="G2979" s="109"/>
      <c r="H2979" s="109"/>
      <c r="I2979" s="97"/>
      <c r="J2979" s="97"/>
      <c r="K2979" s="83"/>
      <c r="L2979" s="111"/>
      <c r="M2979" s="111"/>
      <c r="N2979" s="111"/>
      <c r="O2979" s="111"/>
      <c r="P2979" s="111"/>
      <c r="Q2979" s="111"/>
      <c r="R2979" s="111"/>
    </row>
    <row r="2980" spans="2:18" s="108" customFormat="1">
      <c r="B2980" s="109"/>
      <c r="C2980" s="110"/>
      <c r="D2980" s="109"/>
      <c r="E2980" s="109"/>
      <c r="F2980" s="97"/>
      <c r="G2980" s="109"/>
      <c r="H2980" s="109"/>
      <c r="I2980" s="97"/>
      <c r="J2980" s="97"/>
      <c r="K2980" s="83"/>
      <c r="L2980" s="111"/>
      <c r="M2980" s="111"/>
      <c r="N2980" s="111"/>
      <c r="O2980" s="111"/>
      <c r="P2980" s="111"/>
      <c r="Q2980" s="111"/>
      <c r="R2980" s="111"/>
    </row>
    <row r="2981" spans="2:18" s="108" customFormat="1">
      <c r="B2981" s="109"/>
      <c r="C2981" s="110"/>
      <c r="D2981" s="109"/>
      <c r="E2981" s="109"/>
      <c r="F2981" s="97"/>
      <c r="G2981" s="109"/>
      <c r="H2981" s="109"/>
      <c r="I2981" s="97"/>
      <c r="J2981" s="97"/>
      <c r="K2981" s="83"/>
      <c r="L2981" s="111"/>
      <c r="M2981" s="111"/>
      <c r="N2981" s="111"/>
      <c r="O2981" s="111"/>
      <c r="P2981" s="111"/>
      <c r="Q2981" s="111"/>
      <c r="R2981" s="111"/>
    </row>
    <row r="2982" spans="2:18" s="108" customFormat="1">
      <c r="B2982" s="109"/>
      <c r="C2982" s="110"/>
      <c r="D2982" s="109"/>
      <c r="E2982" s="109"/>
      <c r="F2982" s="97"/>
      <c r="G2982" s="109"/>
      <c r="H2982" s="109"/>
      <c r="I2982" s="97"/>
      <c r="J2982" s="97"/>
      <c r="K2982" s="83"/>
      <c r="L2982" s="111"/>
      <c r="M2982" s="111"/>
      <c r="N2982" s="111"/>
      <c r="O2982" s="111"/>
      <c r="P2982" s="111"/>
      <c r="Q2982" s="111"/>
      <c r="R2982" s="111"/>
    </row>
    <row r="2983" spans="2:18" s="108" customFormat="1">
      <c r="B2983" s="109"/>
      <c r="C2983" s="110"/>
      <c r="D2983" s="109"/>
      <c r="E2983" s="109"/>
      <c r="F2983" s="97"/>
      <c r="G2983" s="109"/>
      <c r="H2983" s="109"/>
      <c r="I2983" s="97"/>
      <c r="J2983" s="97"/>
      <c r="K2983" s="83"/>
      <c r="L2983" s="111"/>
      <c r="M2983" s="111"/>
      <c r="N2983" s="111"/>
      <c r="O2983" s="111"/>
      <c r="P2983" s="111"/>
      <c r="Q2983" s="111"/>
      <c r="R2983" s="111"/>
    </row>
    <row r="2984" spans="2:18" s="108" customFormat="1">
      <c r="B2984" s="109"/>
      <c r="C2984" s="110"/>
      <c r="D2984" s="109"/>
      <c r="E2984" s="109"/>
      <c r="F2984" s="97"/>
      <c r="G2984" s="109"/>
      <c r="H2984" s="109"/>
      <c r="I2984" s="97"/>
      <c r="J2984" s="97"/>
      <c r="K2984" s="83"/>
      <c r="L2984" s="111"/>
      <c r="M2984" s="111"/>
      <c r="N2984" s="111"/>
      <c r="O2984" s="111"/>
      <c r="P2984" s="111"/>
      <c r="Q2984" s="111"/>
      <c r="R2984" s="111"/>
    </row>
    <row r="2985" spans="2:18" s="108" customFormat="1">
      <c r="B2985" s="109"/>
      <c r="C2985" s="110"/>
      <c r="D2985" s="109"/>
      <c r="E2985" s="109"/>
      <c r="F2985" s="97"/>
      <c r="G2985" s="109"/>
      <c r="H2985" s="109"/>
      <c r="I2985" s="97"/>
      <c r="J2985" s="97"/>
      <c r="K2985" s="83"/>
      <c r="L2985" s="111"/>
      <c r="M2985" s="111"/>
      <c r="N2985" s="111"/>
      <c r="O2985" s="111"/>
      <c r="P2985" s="111"/>
      <c r="Q2985" s="111"/>
      <c r="R2985" s="111"/>
    </row>
    <row r="2986" spans="2:18" s="108" customFormat="1">
      <c r="B2986" s="109"/>
      <c r="C2986" s="110"/>
      <c r="D2986" s="109"/>
      <c r="E2986" s="109"/>
      <c r="F2986" s="97"/>
      <c r="G2986" s="109"/>
      <c r="H2986" s="109"/>
      <c r="I2986" s="97"/>
      <c r="J2986" s="97"/>
      <c r="K2986" s="83"/>
      <c r="L2986" s="111"/>
      <c r="M2986" s="111"/>
      <c r="N2986" s="111"/>
      <c r="O2986" s="111"/>
      <c r="P2986" s="111"/>
      <c r="Q2986" s="111"/>
      <c r="R2986" s="111"/>
    </row>
    <row r="2987" spans="2:18" s="108" customFormat="1">
      <c r="B2987" s="109"/>
      <c r="C2987" s="110"/>
      <c r="D2987" s="109"/>
      <c r="E2987" s="109"/>
      <c r="F2987" s="97"/>
      <c r="G2987" s="109"/>
      <c r="H2987" s="109"/>
      <c r="I2987" s="97"/>
      <c r="J2987" s="97"/>
      <c r="K2987" s="83"/>
      <c r="L2987" s="111"/>
      <c r="M2987" s="111"/>
      <c r="N2987" s="111"/>
      <c r="O2987" s="111"/>
      <c r="P2987" s="111"/>
      <c r="Q2987" s="111"/>
      <c r="R2987" s="111"/>
    </row>
    <row r="2988" spans="2:18" s="108" customFormat="1">
      <c r="B2988" s="109"/>
      <c r="C2988" s="110"/>
      <c r="D2988" s="109"/>
      <c r="E2988" s="109"/>
      <c r="F2988" s="97"/>
      <c r="G2988" s="109"/>
      <c r="H2988" s="109"/>
      <c r="I2988" s="97"/>
      <c r="J2988" s="97"/>
      <c r="K2988" s="83"/>
      <c r="L2988" s="111"/>
      <c r="M2988" s="111"/>
      <c r="N2988" s="111"/>
      <c r="O2988" s="111"/>
      <c r="P2988" s="111"/>
      <c r="Q2988" s="111"/>
      <c r="R2988" s="111"/>
    </row>
    <row r="2989" spans="2:18" s="108" customFormat="1">
      <c r="B2989" s="109"/>
      <c r="C2989" s="110"/>
      <c r="D2989" s="109"/>
      <c r="E2989" s="109"/>
      <c r="F2989" s="97"/>
      <c r="G2989" s="109"/>
      <c r="H2989" s="109"/>
      <c r="I2989" s="97"/>
      <c r="J2989" s="97"/>
      <c r="K2989" s="83"/>
      <c r="L2989" s="111"/>
      <c r="M2989" s="111"/>
      <c r="N2989" s="111"/>
      <c r="O2989" s="111"/>
      <c r="P2989" s="111"/>
      <c r="Q2989" s="111"/>
      <c r="R2989" s="111"/>
    </row>
    <row r="2990" spans="2:18" s="108" customFormat="1">
      <c r="B2990" s="109"/>
      <c r="C2990" s="110"/>
      <c r="D2990" s="109"/>
      <c r="E2990" s="109"/>
      <c r="F2990" s="97"/>
      <c r="G2990" s="109"/>
      <c r="H2990" s="109"/>
      <c r="I2990" s="97"/>
      <c r="J2990" s="97"/>
      <c r="K2990" s="83"/>
      <c r="L2990" s="111"/>
      <c r="M2990" s="111"/>
      <c r="N2990" s="111"/>
      <c r="O2990" s="111"/>
      <c r="P2990" s="111"/>
      <c r="Q2990" s="111"/>
      <c r="R2990" s="111"/>
    </row>
    <row r="2991" spans="2:18" s="108" customFormat="1">
      <c r="B2991" s="109"/>
      <c r="C2991" s="110"/>
      <c r="D2991" s="109"/>
      <c r="E2991" s="109"/>
      <c r="F2991" s="97"/>
      <c r="G2991" s="109"/>
      <c r="H2991" s="109"/>
      <c r="I2991" s="97"/>
      <c r="J2991" s="97"/>
      <c r="K2991" s="83"/>
      <c r="L2991" s="111"/>
      <c r="M2991" s="111"/>
      <c r="N2991" s="111"/>
      <c r="O2991" s="111"/>
      <c r="P2991" s="111"/>
      <c r="Q2991" s="111"/>
      <c r="R2991" s="111"/>
    </row>
    <row r="2992" spans="2:18" s="108" customFormat="1">
      <c r="B2992" s="109"/>
      <c r="C2992" s="110"/>
      <c r="D2992" s="109"/>
      <c r="E2992" s="109"/>
      <c r="F2992" s="97"/>
      <c r="G2992" s="109"/>
      <c r="H2992" s="109"/>
      <c r="I2992" s="97"/>
      <c r="J2992" s="97"/>
      <c r="K2992" s="83"/>
      <c r="L2992" s="111"/>
      <c r="M2992" s="111"/>
      <c r="N2992" s="111"/>
      <c r="O2992" s="111"/>
      <c r="P2992" s="111"/>
      <c r="Q2992" s="111"/>
      <c r="R2992" s="111"/>
    </row>
    <row r="2993" spans="2:18" s="108" customFormat="1">
      <c r="B2993" s="109"/>
      <c r="C2993" s="110"/>
      <c r="D2993" s="109"/>
      <c r="E2993" s="109"/>
      <c r="F2993" s="97"/>
      <c r="G2993" s="109"/>
      <c r="H2993" s="109"/>
      <c r="I2993" s="97"/>
      <c r="J2993" s="97"/>
      <c r="K2993" s="83"/>
      <c r="L2993" s="111"/>
      <c r="M2993" s="111"/>
      <c r="N2993" s="111"/>
      <c r="O2993" s="111"/>
      <c r="P2993" s="111"/>
      <c r="Q2993" s="111"/>
      <c r="R2993" s="111"/>
    </row>
    <row r="2994" spans="2:18" s="108" customFormat="1">
      <c r="B2994" s="109"/>
      <c r="C2994" s="110"/>
      <c r="D2994" s="109"/>
      <c r="E2994" s="109"/>
      <c r="F2994" s="97"/>
      <c r="G2994" s="109"/>
      <c r="H2994" s="109"/>
      <c r="I2994" s="97"/>
      <c r="J2994" s="97"/>
      <c r="K2994" s="83"/>
      <c r="L2994" s="111"/>
      <c r="M2994" s="111"/>
      <c r="N2994" s="111"/>
      <c r="O2994" s="111"/>
      <c r="P2994" s="111"/>
      <c r="Q2994" s="111"/>
      <c r="R2994" s="111"/>
    </row>
    <row r="2995" spans="2:18" s="108" customFormat="1">
      <c r="B2995" s="109"/>
      <c r="C2995" s="110"/>
      <c r="D2995" s="109"/>
      <c r="E2995" s="109"/>
      <c r="F2995" s="97"/>
      <c r="G2995" s="109"/>
      <c r="H2995" s="109"/>
      <c r="I2995" s="97"/>
      <c r="J2995" s="97"/>
      <c r="K2995" s="83"/>
      <c r="L2995" s="111"/>
      <c r="M2995" s="111"/>
      <c r="N2995" s="111"/>
      <c r="O2995" s="111"/>
      <c r="P2995" s="111"/>
      <c r="Q2995" s="111"/>
      <c r="R2995" s="111"/>
    </row>
    <row r="2996" spans="2:18" s="108" customFormat="1">
      <c r="B2996" s="109"/>
      <c r="C2996" s="110"/>
      <c r="D2996" s="109"/>
      <c r="E2996" s="109"/>
      <c r="F2996" s="97"/>
      <c r="G2996" s="109"/>
      <c r="H2996" s="109"/>
      <c r="I2996" s="97"/>
      <c r="J2996" s="97"/>
      <c r="K2996" s="83"/>
      <c r="L2996" s="111"/>
      <c r="M2996" s="111"/>
      <c r="N2996" s="111"/>
      <c r="O2996" s="111"/>
      <c r="P2996" s="111"/>
      <c r="Q2996" s="111"/>
      <c r="R2996" s="111"/>
    </row>
    <row r="2997" spans="2:18" s="108" customFormat="1">
      <c r="B2997" s="109"/>
      <c r="C2997" s="110"/>
      <c r="D2997" s="109"/>
      <c r="E2997" s="109"/>
      <c r="F2997" s="97"/>
      <c r="G2997" s="109"/>
      <c r="H2997" s="109"/>
      <c r="I2997" s="97"/>
      <c r="J2997" s="97"/>
      <c r="K2997" s="83"/>
      <c r="L2997" s="111"/>
      <c r="M2997" s="111"/>
      <c r="N2997" s="111"/>
      <c r="O2997" s="111"/>
      <c r="P2997" s="111"/>
      <c r="Q2997" s="111"/>
      <c r="R2997" s="111"/>
    </row>
    <row r="2998" spans="2:18" s="108" customFormat="1">
      <c r="B2998" s="109"/>
      <c r="C2998" s="110"/>
      <c r="D2998" s="109"/>
      <c r="E2998" s="109"/>
      <c r="F2998" s="97"/>
      <c r="G2998" s="109"/>
      <c r="H2998" s="109"/>
      <c r="I2998" s="97"/>
      <c r="J2998" s="97"/>
      <c r="K2998" s="83"/>
      <c r="L2998" s="111"/>
      <c r="M2998" s="111"/>
      <c r="N2998" s="111"/>
      <c r="O2998" s="111"/>
      <c r="P2998" s="111"/>
      <c r="Q2998" s="111"/>
      <c r="R2998" s="111"/>
    </row>
    <row r="2999" spans="2:18" s="108" customFormat="1">
      <c r="B2999" s="109"/>
      <c r="C2999" s="110"/>
      <c r="D2999" s="109"/>
      <c r="E2999" s="109"/>
      <c r="F2999" s="97"/>
      <c r="G2999" s="109"/>
      <c r="H2999" s="109"/>
      <c r="I2999" s="97"/>
      <c r="J2999" s="97"/>
      <c r="K2999" s="83"/>
      <c r="L2999" s="111"/>
      <c r="M2999" s="111"/>
      <c r="N2999" s="111"/>
      <c r="O2999" s="111"/>
      <c r="P2999" s="111"/>
      <c r="Q2999" s="111"/>
      <c r="R2999" s="111"/>
    </row>
    <row r="3000" spans="2:18" s="108" customFormat="1">
      <c r="B3000" s="109"/>
      <c r="C3000" s="110"/>
      <c r="D3000" s="109"/>
      <c r="E3000" s="109"/>
      <c r="F3000" s="97"/>
      <c r="G3000" s="109"/>
      <c r="H3000" s="109"/>
      <c r="I3000" s="97"/>
      <c r="J3000" s="97"/>
      <c r="K3000" s="83"/>
      <c r="L3000" s="111"/>
      <c r="M3000" s="111"/>
      <c r="N3000" s="111"/>
      <c r="O3000" s="111"/>
      <c r="P3000" s="111"/>
      <c r="Q3000" s="111"/>
      <c r="R3000" s="111"/>
    </row>
    <row r="3001" spans="2:18" s="108" customFormat="1">
      <c r="B3001" s="109"/>
      <c r="C3001" s="110"/>
      <c r="D3001" s="109"/>
      <c r="E3001" s="109"/>
      <c r="F3001" s="97"/>
      <c r="G3001" s="109"/>
      <c r="H3001" s="109"/>
      <c r="I3001" s="97"/>
      <c r="J3001" s="97"/>
      <c r="K3001" s="83"/>
      <c r="L3001" s="111"/>
      <c r="M3001" s="111"/>
      <c r="N3001" s="111"/>
      <c r="O3001" s="111"/>
      <c r="P3001" s="111"/>
      <c r="Q3001" s="111"/>
      <c r="R3001" s="111"/>
    </row>
    <row r="3002" spans="2:18" s="108" customFormat="1">
      <c r="B3002" s="109"/>
      <c r="C3002" s="110"/>
      <c r="D3002" s="109"/>
      <c r="E3002" s="109"/>
      <c r="F3002" s="97"/>
      <c r="G3002" s="109"/>
      <c r="H3002" s="109"/>
      <c r="I3002" s="97"/>
      <c r="J3002" s="97"/>
      <c r="K3002" s="83"/>
      <c r="L3002" s="111"/>
      <c r="M3002" s="111"/>
      <c r="N3002" s="111"/>
      <c r="O3002" s="111"/>
      <c r="P3002" s="111"/>
      <c r="Q3002" s="111"/>
      <c r="R3002" s="111"/>
    </row>
    <row r="3003" spans="2:18" s="108" customFormat="1">
      <c r="B3003" s="109"/>
      <c r="C3003" s="110"/>
      <c r="D3003" s="109"/>
      <c r="E3003" s="109"/>
      <c r="F3003" s="97"/>
      <c r="G3003" s="109"/>
      <c r="H3003" s="109"/>
      <c r="I3003" s="97"/>
      <c r="J3003" s="97"/>
      <c r="K3003" s="83"/>
      <c r="L3003" s="111"/>
      <c r="M3003" s="111"/>
      <c r="N3003" s="111"/>
      <c r="O3003" s="111"/>
      <c r="P3003" s="111"/>
      <c r="Q3003" s="111"/>
      <c r="R3003" s="111"/>
    </row>
    <row r="3004" spans="2:18" s="108" customFormat="1">
      <c r="B3004" s="109"/>
      <c r="C3004" s="110"/>
      <c r="D3004" s="109"/>
      <c r="E3004" s="109"/>
      <c r="F3004" s="97"/>
      <c r="G3004" s="109"/>
      <c r="H3004" s="109"/>
      <c r="I3004" s="97"/>
      <c r="J3004" s="97"/>
      <c r="K3004" s="83"/>
      <c r="L3004" s="111"/>
      <c r="M3004" s="111"/>
      <c r="N3004" s="111"/>
      <c r="O3004" s="111"/>
      <c r="P3004" s="111"/>
      <c r="Q3004" s="111"/>
      <c r="R3004" s="111"/>
    </row>
    <row r="3005" spans="2:18" s="108" customFormat="1">
      <c r="B3005" s="109"/>
      <c r="C3005" s="110"/>
      <c r="D3005" s="109"/>
      <c r="E3005" s="109"/>
      <c r="F3005" s="97"/>
      <c r="G3005" s="109"/>
      <c r="H3005" s="109"/>
      <c r="I3005" s="97"/>
      <c r="J3005" s="97"/>
      <c r="K3005" s="83"/>
      <c r="L3005" s="111"/>
      <c r="M3005" s="111"/>
      <c r="N3005" s="111"/>
      <c r="O3005" s="111"/>
      <c r="P3005" s="111"/>
      <c r="Q3005" s="111"/>
      <c r="R3005" s="111"/>
    </row>
    <row r="3006" spans="2:18" s="108" customFormat="1">
      <c r="B3006" s="109"/>
      <c r="C3006" s="110"/>
      <c r="D3006" s="109"/>
      <c r="E3006" s="109"/>
      <c r="F3006" s="97"/>
      <c r="G3006" s="109"/>
      <c r="H3006" s="109"/>
      <c r="I3006" s="97"/>
      <c r="J3006" s="97"/>
      <c r="K3006" s="83"/>
      <c r="L3006" s="111"/>
      <c r="M3006" s="111"/>
      <c r="N3006" s="111"/>
      <c r="O3006" s="111"/>
      <c r="P3006" s="111"/>
      <c r="Q3006" s="111"/>
      <c r="R3006" s="111"/>
    </row>
    <row r="3007" spans="2:18" s="108" customFormat="1">
      <c r="B3007" s="109"/>
      <c r="C3007" s="110"/>
      <c r="D3007" s="109"/>
      <c r="E3007" s="109"/>
      <c r="F3007" s="97"/>
      <c r="G3007" s="109"/>
      <c r="H3007" s="109"/>
      <c r="I3007" s="97"/>
      <c r="J3007" s="97"/>
      <c r="K3007" s="83"/>
      <c r="L3007" s="111"/>
      <c r="M3007" s="111"/>
      <c r="N3007" s="111"/>
      <c r="O3007" s="111"/>
      <c r="P3007" s="111"/>
      <c r="Q3007" s="111"/>
      <c r="R3007" s="111"/>
    </row>
    <row r="3008" spans="2:18" s="108" customFormat="1">
      <c r="B3008" s="109"/>
      <c r="C3008" s="110"/>
      <c r="D3008" s="109"/>
      <c r="E3008" s="109"/>
      <c r="F3008" s="97"/>
      <c r="G3008" s="109"/>
      <c r="H3008" s="109"/>
      <c r="I3008" s="97"/>
      <c r="J3008" s="97"/>
      <c r="K3008" s="83"/>
      <c r="L3008" s="111"/>
      <c r="M3008" s="111"/>
      <c r="N3008" s="111"/>
      <c r="O3008" s="111"/>
      <c r="P3008" s="111"/>
      <c r="Q3008" s="111"/>
      <c r="R3008" s="111"/>
    </row>
    <row r="3009" spans="2:18" s="108" customFormat="1">
      <c r="B3009" s="109"/>
      <c r="C3009" s="110"/>
      <c r="D3009" s="109"/>
      <c r="E3009" s="109"/>
      <c r="F3009" s="97"/>
      <c r="G3009" s="109"/>
      <c r="H3009" s="109"/>
      <c r="I3009" s="97"/>
      <c r="J3009" s="97"/>
      <c r="K3009" s="83"/>
      <c r="L3009" s="111"/>
      <c r="M3009" s="111"/>
      <c r="N3009" s="111"/>
      <c r="O3009" s="111"/>
      <c r="P3009" s="111"/>
      <c r="Q3009" s="111"/>
      <c r="R3009" s="111"/>
    </row>
    <row r="3010" spans="2:18" s="108" customFormat="1">
      <c r="B3010" s="109"/>
      <c r="C3010" s="110"/>
      <c r="D3010" s="109"/>
      <c r="E3010" s="109"/>
      <c r="F3010" s="97"/>
      <c r="G3010" s="109"/>
      <c r="H3010" s="109"/>
      <c r="I3010" s="97"/>
      <c r="J3010" s="97"/>
      <c r="K3010" s="83"/>
      <c r="L3010" s="111"/>
      <c r="M3010" s="111"/>
      <c r="N3010" s="111"/>
      <c r="O3010" s="111"/>
      <c r="P3010" s="111"/>
      <c r="Q3010" s="111"/>
      <c r="R3010" s="111"/>
    </row>
    <row r="3011" spans="2:18" s="108" customFormat="1">
      <c r="B3011" s="109"/>
      <c r="C3011" s="110"/>
      <c r="D3011" s="109"/>
      <c r="E3011" s="109"/>
      <c r="F3011" s="97"/>
      <c r="G3011" s="109"/>
      <c r="H3011" s="109"/>
      <c r="I3011" s="97"/>
      <c r="J3011" s="97"/>
      <c r="K3011" s="83"/>
      <c r="L3011" s="111"/>
      <c r="M3011" s="111"/>
      <c r="N3011" s="111"/>
      <c r="O3011" s="111"/>
      <c r="P3011" s="111"/>
      <c r="Q3011" s="111"/>
      <c r="R3011" s="111"/>
    </row>
    <row r="3012" spans="2:18" s="108" customFormat="1">
      <c r="B3012" s="109"/>
      <c r="C3012" s="110"/>
      <c r="D3012" s="109"/>
      <c r="E3012" s="109"/>
      <c r="F3012" s="97"/>
      <c r="G3012" s="109"/>
      <c r="H3012" s="109"/>
      <c r="I3012" s="97"/>
      <c r="J3012" s="97"/>
      <c r="K3012" s="83"/>
      <c r="L3012" s="111"/>
      <c r="M3012" s="111"/>
      <c r="N3012" s="111"/>
      <c r="O3012" s="111"/>
      <c r="P3012" s="111"/>
      <c r="Q3012" s="111"/>
      <c r="R3012" s="111"/>
    </row>
    <row r="3013" spans="2:18" s="108" customFormat="1">
      <c r="B3013" s="109"/>
      <c r="C3013" s="110"/>
      <c r="D3013" s="109"/>
      <c r="E3013" s="109"/>
      <c r="F3013" s="97"/>
      <c r="G3013" s="109"/>
      <c r="H3013" s="109"/>
      <c r="I3013" s="97"/>
      <c r="J3013" s="97"/>
      <c r="K3013" s="83"/>
      <c r="L3013" s="111"/>
      <c r="M3013" s="111"/>
      <c r="N3013" s="111"/>
      <c r="O3013" s="111"/>
      <c r="P3013" s="111"/>
      <c r="Q3013" s="111"/>
      <c r="R3013" s="111"/>
    </row>
    <row r="3014" spans="2:18" s="108" customFormat="1">
      <c r="B3014" s="109"/>
      <c r="C3014" s="110"/>
      <c r="D3014" s="109"/>
      <c r="E3014" s="109"/>
      <c r="F3014" s="97"/>
      <c r="G3014" s="109"/>
      <c r="H3014" s="109"/>
      <c r="I3014" s="97"/>
      <c r="J3014" s="97"/>
      <c r="K3014" s="83"/>
      <c r="L3014" s="111"/>
      <c r="M3014" s="111"/>
      <c r="N3014" s="111"/>
      <c r="O3014" s="111"/>
      <c r="P3014" s="111"/>
      <c r="Q3014" s="111"/>
      <c r="R3014" s="111"/>
    </row>
    <row r="3015" spans="2:18" s="108" customFormat="1">
      <c r="B3015" s="109"/>
      <c r="C3015" s="110"/>
      <c r="D3015" s="109"/>
      <c r="E3015" s="109"/>
      <c r="F3015" s="97"/>
      <c r="G3015" s="109"/>
      <c r="H3015" s="109"/>
      <c r="I3015" s="97"/>
      <c r="J3015" s="97"/>
      <c r="K3015" s="83"/>
      <c r="L3015" s="111"/>
      <c r="M3015" s="111"/>
      <c r="N3015" s="111"/>
      <c r="O3015" s="111"/>
      <c r="P3015" s="111"/>
      <c r="Q3015" s="111"/>
      <c r="R3015" s="111"/>
    </row>
    <row r="3016" spans="2:18" s="108" customFormat="1">
      <c r="B3016" s="109"/>
      <c r="C3016" s="110"/>
      <c r="D3016" s="109"/>
      <c r="E3016" s="109"/>
      <c r="F3016" s="97"/>
      <c r="G3016" s="109"/>
      <c r="H3016" s="109"/>
      <c r="I3016" s="97"/>
      <c r="J3016" s="97"/>
      <c r="K3016" s="83"/>
      <c r="L3016" s="111"/>
      <c r="M3016" s="111"/>
      <c r="N3016" s="111"/>
      <c r="O3016" s="111"/>
      <c r="P3016" s="111"/>
      <c r="Q3016" s="111"/>
      <c r="R3016" s="111"/>
    </row>
    <row r="3017" spans="2:18" s="108" customFormat="1">
      <c r="B3017" s="109"/>
      <c r="C3017" s="110"/>
      <c r="D3017" s="109"/>
      <c r="E3017" s="109"/>
      <c r="F3017" s="97"/>
      <c r="G3017" s="109"/>
      <c r="H3017" s="109"/>
      <c r="I3017" s="97"/>
      <c r="J3017" s="97"/>
      <c r="K3017" s="83"/>
      <c r="L3017" s="111"/>
      <c r="M3017" s="111"/>
      <c r="N3017" s="111"/>
      <c r="O3017" s="111"/>
      <c r="P3017" s="111"/>
      <c r="Q3017" s="111"/>
      <c r="R3017" s="111"/>
    </row>
    <row r="3018" spans="2:18" s="108" customFormat="1">
      <c r="B3018" s="109"/>
      <c r="C3018" s="110"/>
      <c r="D3018" s="109"/>
      <c r="E3018" s="109"/>
      <c r="F3018" s="97"/>
      <c r="G3018" s="109"/>
      <c r="H3018" s="109"/>
      <c r="I3018" s="97"/>
      <c r="J3018" s="97"/>
      <c r="K3018" s="83"/>
      <c r="L3018" s="111"/>
      <c r="M3018" s="111"/>
      <c r="N3018" s="111"/>
      <c r="O3018" s="111"/>
      <c r="P3018" s="111"/>
      <c r="Q3018" s="111"/>
      <c r="R3018" s="111"/>
    </row>
    <row r="3019" spans="2:18" s="108" customFormat="1">
      <c r="B3019" s="109"/>
      <c r="C3019" s="110"/>
      <c r="D3019" s="109"/>
      <c r="E3019" s="109"/>
      <c r="F3019" s="97"/>
      <c r="G3019" s="109"/>
      <c r="H3019" s="109"/>
      <c r="I3019" s="97"/>
      <c r="J3019" s="97"/>
      <c r="K3019" s="83"/>
      <c r="L3019" s="111"/>
      <c r="M3019" s="111"/>
      <c r="N3019" s="111"/>
      <c r="O3019" s="111"/>
      <c r="P3019" s="111"/>
      <c r="Q3019" s="111"/>
      <c r="R3019" s="111"/>
    </row>
    <row r="3020" spans="2:18" s="108" customFormat="1">
      <c r="B3020" s="109"/>
      <c r="C3020" s="110"/>
      <c r="D3020" s="109"/>
      <c r="E3020" s="109"/>
      <c r="F3020" s="97"/>
      <c r="G3020" s="109"/>
      <c r="H3020" s="109"/>
      <c r="I3020" s="97"/>
      <c r="J3020" s="97"/>
      <c r="K3020" s="83"/>
      <c r="L3020" s="111"/>
      <c r="M3020" s="111"/>
      <c r="N3020" s="111"/>
      <c r="O3020" s="111"/>
      <c r="P3020" s="111"/>
      <c r="Q3020" s="111"/>
      <c r="R3020" s="111"/>
    </row>
    <row r="3021" spans="2:18" s="108" customFormat="1">
      <c r="B3021" s="109"/>
      <c r="C3021" s="110"/>
      <c r="D3021" s="109"/>
      <c r="E3021" s="109"/>
      <c r="F3021" s="97"/>
      <c r="G3021" s="109"/>
      <c r="H3021" s="109"/>
      <c r="I3021" s="97"/>
      <c r="J3021" s="97"/>
      <c r="K3021" s="83"/>
      <c r="L3021" s="111"/>
      <c r="M3021" s="111"/>
      <c r="N3021" s="111"/>
      <c r="O3021" s="111"/>
      <c r="P3021" s="111"/>
      <c r="Q3021" s="111"/>
      <c r="R3021" s="111"/>
    </row>
    <row r="3022" spans="2:18" s="108" customFormat="1">
      <c r="B3022" s="109"/>
      <c r="C3022" s="110"/>
      <c r="D3022" s="109"/>
      <c r="E3022" s="109"/>
      <c r="F3022" s="97"/>
      <c r="G3022" s="109"/>
      <c r="H3022" s="109"/>
      <c r="I3022" s="97"/>
      <c r="J3022" s="97"/>
      <c r="K3022" s="83"/>
      <c r="L3022" s="111"/>
      <c r="M3022" s="111"/>
      <c r="N3022" s="111"/>
      <c r="O3022" s="111"/>
      <c r="P3022" s="111"/>
      <c r="Q3022" s="111"/>
      <c r="R3022" s="111"/>
    </row>
    <row r="3023" spans="2:18" s="108" customFormat="1">
      <c r="B3023" s="109"/>
      <c r="C3023" s="110"/>
      <c r="D3023" s="109"/>
      <c r="E3023" s="109"/>
      <c r="F3023" s="97"/>
      <c r="G3023" s="109"/>
      <c r="H3023" s="109"/>
      <c r="I3023" s="97"/>
      <c r="J3023" s="97"/>
      <c r="K3023" s="83"/>
      <c r="L3023" s="111"/>
      <c r="M3023" s="111"/>
      <c r="N3023" s="111"/>
      <c r="O3023" s="111"/>
      <c r="P3023" s="111"/>
      <c r="Q3023" s="111"/>
      <c r="R3023" s="111"/>
    </row>
    <row r="3024" spans="2:18" s="108" customFormat="1">
      <c r="B3024" s="109"/>
      <c r="C3024" s="110"/>
      <c r="D3024" s="109"/>
      <c r="E3024" s="109"/>
      <c r="F3024" s="97"/>
      <c r="G3024" s="109"/>
      <c r="H3024" s="109"/>
      <c r="I3024" s="97"/>
      <c r="J3024" s="97"/>
      <c r="K3024" s="83"/>
      <c r="L3024" s="111"/>
      <c r="M3024" s="111"/>
      <c r="N3024" s="111"/>
      <c r="O3024" s="111"/>
      <c r="P3024" s="111"/>
      <c r="Q3024" s="111"/>
      <c r="R3024" s="111"/>
    </row>
    <row r="3025" spans="2:18" s="108" customFormat="1">
      <c r="B3025" s="109"/>
      <c r="C3025" s="110"/>
      <c r="D3025" s="109"/>
      <c r="E3025" s="109"/>
      <c r="F3025" s="97"/>
      <c r="G3025" s="109"/>
      <c r="H3025" s="109"/>
      <c r="I3025" s="97"/>
      <c r="J3025" s="97"/>
      <c r="K3025" s="83"/>
      <c r="L3025" s="111"/>
      <c r="M3025" s="111"/>
      <c r="N3025" s="111"/>
      <c r="O3025" s="111"/>
      <c r="P3025" s="111"/>
      <c r="Q3025" s="111"/>
      <c r="R3025" s="111"/>
    </row>
    <row r="3026" spans="2:18" s="108" customFormat="1">
      <c r="B3026" s="109"/>
      <c r="C3026" s="110"/>
      <c r="D3026" s="109"/>
      <c r="E3026" s="109"/>
      <c r="F3026" s="97"/>
      <c r="G3026" s="109"/>
      <c r="H3026" s="109"/>
      <c r="I3026" s="97"/>
      <c r="J3026" s="97"/>
      <c r="K3026" s="83"/>
      <c r="L3026" s="111"/>
      <c r="M3026" s="111"/>
      <c r="N3026" s="111"/>
      <c r="O3026" s="111"/>
      <c r="P3026" s="111"/>
      <c r="Q3026" s="111"/>
      <c r="R3026" s="111"/>
    </row>
    <row r="3027" spans="2:18" s="108" customFormat="1">
      <c r="B3027" s="109"/>
      <c r="C3027" s="110"/>
      <c r="D3027" s="109"/>
      <c r="E3027" s="109"/>
      <c r="F3027" s="97"/>
      <c r="G3027" s="109"/>
      <c r="H3027" s="109"/>
      <c r="I3027" s="97"/>
      <c r="J3027" s="97"/>
      <c r="K3027" s="83"/>
      <c r="L3027" s="111"/>
      <c r="M3027" s="111"/>
      <c r="N3027" s="111"/>
      <c r="O3027" s="111"/>
      <c r="P3027" s="111"/>
      <c r="Q3027" s="111"/>
      <c r="R3027" s="111"/>
    </row>
    <row r="3028" spans="2:18" s="108" customFormat="1">
      <c r="B3028" s="109"/>
      <c r="C3028" s="110"/>
      <c r="D3028" s="109"/>
      <c r="E3028" s="109"/>
      <c r="F3028" s="97"/>
      <c r="G3028" s="109"/>
      <c r="H3028" s="109"/>
      <c r="I3028" s="97"/>
      <c r="J3028" s="97"/>
      <c r="K3028" s="83"/>
      <c r="L3028" s="111"/>
      <c r="M3028" s="111"/>
      <c r="N3028" s="111"/>
      <c r="O3028" s="111"/>
      <c r="P3028" s="111"/>
      <c r="Q3028" s="111"/>
      <c r="R3028" s="111"/>
    </row>
    <row r="3029" spans="2:18" s="108" customFormat="1">
      <c r="B3029" s="109"/>
      <c r="C3029" s="110"/>
      <c r="D3029" s="109"/>
      <c r="E3029" s="109"/>
      <c r="F3029" s="97"/>
      <c r="G3029" s="109"/>
      <c r="H3029" s="109"/>
      <c r="I3029" s="97"/>
      <c r="J3029" s="97"/>
      <c r="K3029" s="83"/>
      <c r="L3029" s="111"/>
      <c r="M3029" s="111"/>
      <c r="N3029" s="111"/>
      <c r="O3029" s="111"/>
      <c r="P3029" s="111"/>
      <c r="Q3029" s="111"/>
      <c r="R3029" s="111"/>
    </row>
    <row r="3030" spans="2:18" s="108" customFormat="1">
      <c r="B3030" s="109"/>
      <c r="C3030" s="110"/>
      <c r="D3030" s="109"/>
      <c r="E3030" s="109"/>
      <c r="F3030" s="97"/>
      <c r="G3030" s="109"/>
      <c r="H3030" s="109"/>
      <c r="I3030" s="97"/>
      <c r="J3030" s="97"/>
      <c r="K3030" s="83"/>
      <c r="L3030" s="111"/>
      <c r="M3030" s="111"/>
      <c r="N3030" s="111"/>
      <c r="O3030" s="111"/>
      <c r="P3030" s="111"/>
      <c r="Q3030" s="111"/>
      <c r="R3030" s="111"/>
    </row>
    <row r="3031" spans="2:18" s="108" customFormat="1">
      <c r="B3031" s="109"/>
      <c r="C3031" s="110"/>
      <c r="D3031" s="109"/>
      <c r="E3031" s="109"/>
      <c r="F3031" s="97"/>
      <c r="G3031" s="109"/>
      <c r="H3031" s="109"/>
      <c r="I3031" s="97"/>
      <c r="J3031" s="97"/>
      <c r="K3031" s="83"/>
      <c r="L3031" s="111"/>
      <c r="M3031" s="111"/>
      <c r="N3031" s="111"/>
      <c r="O3031" s="111"/>
      <c r="P3031" s="111"/>
      <c r="Q3031" s="111"/>
      <c r="R3031" s="111"/>
    </row>
    <row r="3032" spans="2:18" s="108" customFormat="1">
      <c r="B3032" s="109"/>
      <c r="C3032" s="110"/>
      <c r="D3032" s="109"/>
      <c r="E3032" s="109"/>
      <c r="F3032" s="97"/>
      <c r="G3032" s="109"/>
      <c r="H3032" s="109"/>
      <c r="I3032" s="97"/>
      <c r="J3032" s="97"/>
      <c r="K3032" s="83"/>
      <c r="L3032" s="111"/>
      <c r="M3032" s="111"/>
      <c r="N3032" s="111"/>
      <c r="O3032" s="111"/>
      <c r="P3032" s="111"/>
      <c r="Q3032" s="111"/>
      <c r="R3032" s="111"/>
    </row>
    <row r="3033" spans="2:18" s="108" customFormat="1">
      <c r="B3033" s="109"/>
      <c r="C3033" s="110"/>
      <c r="D3033" s="109"/>
      <c r="E3033" s="109"/>
      <c r="F3033" s="97"/>
      <c r="G3033" s="109"/>
      <c r="H3033" s="109"/>
      <c r="I3033" s="97"/>
      <c r="J3033" s="97"/>
      <c r="K3033" s="83"/>
      <c r="L3033" s="111"/>
      <c r="M3033" s="111"/>
      <c r="N3033" s="111"/>
      <c r="O3033" s="111"/>
      <c r="P3033" s="111"/>
      <c r="Q3033" s="111"/>
      <c r="R3033" s="111"/>
    </row>
    <row r="3034" spans="2:18" s="108" customFormat="1">
      <c r="B3034" s="109"/>
      <c r="C3034" s="110"/>
      <c r="D3034" s="109"/>
      <c r="E3034" s="109"/>
      <c r="F3034" s="97"/>
      <c r="G3034" s="109"/>
      <c r="H3034" s="109"/>
      <c r="I3034" s="97"/>
      <c r="J3034" s="97"/>
      <c r="K3034" s="83"/>
      <c r="L3034" s="111"/>
      <c r="M3034" s="111"/>
      <c r="N3034" s="111"/>
      <c r="O3034" s="111"/>
      <c r="P3034" s="111"/>
      <c r="Q3034" s="111"/>
      <c r="R3034" s="111"/>
    </row>
    <row r="3035" spans="2:18" s="108" customFormat="1">
      <c r="B3035" s="109"/>
      <c r="C3035" s="110"/>
      <c r="D3035" s="109"/>
      <c r="E3035" s="109"/>
      <c r="F3035" s="97"/>
      <c r="G3035" s="109"/>
      <c r="H3035" s="109"/>
      <c r="I3035" s="97"/>
      <c r="J3035" s="97"/>
      <c r="K3035" s="83"/>
      <c r="L3035" s="111"/>
      <c r="M3035" s="111"/>
      <c r="N3035" s="111"/>
      <c r="O3035" s="111"/>
      <c r="P3035" s="111"/>
      <c r="Q3035" s="111"/>
      <c r="R3035" s="111"/>
    </row>
    <row r="3036" spans="2:18" s="108" customFormat="1">
      <c r="B3036" s="109"/>
      <c r="C3036" s="110"/>
      <c r="D3036" s="109"/>
      <c r="E3036" s="109"/>
      <c r="F3036" s="97"/>
      <c r="G3036" s="109"/>
      <c r="H3036" s="109"/>
      <c r="I3036" s="97"/>
      <c r="J3036" s="97"/>
      <c r="K3036" s="83"/>
      <c r="L3036" s="111"/>
      <c r="M3036" s="111"/>
      <c r="N3036" s="111"/>
      <c r="O3036" s="111"/>
      <c r="P3036" s="111"/>
      <c r="Q3036" s="111"/>
      <c r="R3036" s="111"/>
    </row>
    <row r="3037" spans="2:18" s="108" customFormat="1">
      <c r="B3037" s="109"/>
      <c r="C3037" s="110"/>
      <c r="D3037" s="109"/>
      <c r="E3037" s="109"/>
      <c r="F3037" s="97"/>
      <c r="G3037" s="109"/>
      <c r="H3037" s="109"/>
      <c r="I3037" s="97"/>
      <c r="J3037" s="97"/>
      <c r="K3037" s="83"/>
      <c r="L3037" s="111"/>
      <c r="M3037" s="111"/>
      <c r="N3037" s="111"/>
      <c r="O3037" s="111"/>
      <c r="P3037" s="111"/>
      <c r="Q3037" s="111"/>
      <c r="R3037" s="111"/>
    </row>
    <row r="3038" spans="2:18" s="108" customFormat="1">
      <c r="B3038" s="109"/>
      <c r="C3038" s="110"/>
      <c r="D3038" s="109"/>
      <c r="E3038" s="109"/>
      <c r="F3038" s="97"/>
      <c r="G3038" s="109"/>
      <c r="H3038" s="109"/>
      <c r="I3038" s="97"/>
      <c r="J3038" s="97"/>
      <c r="K3038" s="83"/>
      <c r="L3038" s="111"/>
      <c r="M3038" s="111"/>
      <c r="N3038" s="111"/>
      <c r="O3038" s="111"/>
      <c r="P3038" s="111"/>
      <c r="Q3038" s="111"/>
      <c r="R3038" s="111"/>
    </row>
    <row r="3039" spans="2:18" s="108" customFormat="1">
      <c r="B3039" s="109"/>
      <c r="C3039" s="110"/>
      <c r="D3039" s="109"/>
      <c r="E3039" s="109"/>
      <c r="F3039" s="97"/>
      <c r="G3039" s="109"/>
      <c r="H3039" s="109"/>
      <c r="I3039" s="97"/>
      <c r="J3039" s="97"/>
      <c r="K3039" s="83"/>
      <c r="L3039" s="111"/>
      <c r="M3039" s="111"/>
      <c r="N3039" s="111"/>
      <c r="O3039" s="111"/>
      <c r="P3039" s="111"/>
      <c r="Q3039" s="111"/>
      <c r="R3039" s="111"/>
    </row>
    <row r="3040" spans="2:18" s="108" customFormat="1">
      <c r="B3040" s="109"/>
      <c r="C3040" s="110"/>
      <c r="D3040" s="109"/>
      <c r="E3040" s="109"/>
      <c r="F3040" s="97"/>
      <c r="G3040" s="109"/>
      <c r="H3040" s="109"/>
      <c r="I3040" s="97"/>
      <c r="J3040" s="97"/>
      <c r="K3040" s="83"/>
      <c r="L3040" s="111"/>
      <c r="M3040" s="111"/>
      <c r="N3040" s="111"/>
      <c r="O3040" s="111"/>
      <c r="P3040" s="111"/>
      <c r="Q3040" s="111"/>
      <c r="R3040" s="111"/>
    </row>
    <row r="3041" spans="2:18" s="108" customFormat="1">
      <c r="B3041" s="109"/>
      <c r="C3041" s="110"/>
      <c r="D3041" s="109"/>
      <c r="E3041" s="109"/>
      <c r="F3041" s="97"/>
      <c r="G3041" s="109"/>
      <c r="H3041" s="109"/>
      <c r="I3041" s="97"/>
      <c r="J3041" s="97"/>
      <c r="K3041" s="83"/>
      <c r="L3041" s="111"/>
      <c r="M3041" s="111"/>
      <c r="N3041" s="111"/>
      <c r="O3041" s="111"/>
      <c r="P3041" s="111"/>
      <c r="Q3041" s="111"/>
      <c r="R3041" s="111"/>
    </row>
    <row r="3042" spans="2:18" s="108" customFormat="1">
      <c r="B3042" s="109"/>
      <c r="C3042" s="110"/>
      <c r="D3042" s="109"/>
      <c r="E3042" s="109"/>
      <c r="F3042" s="97"/>
      <c r="G3042" s="109"/>
      <c r="H3042" s="109"/>
      <c r="I3042" s="97"/>
      <c r="J3042" s="97"/>
      <c r="K3042" s="83"/>
      <c r="L3042" s="111"/>
      <c r="M3042" s="111"/>
      <c r="N3042" s="111"/>
      <c r="O3042" s="111"/>
      <c r="P3042" s="111"/>
      <c r="Q3042" s="111"/>
      <c r="R3042" s="111"/>
    </row>
    <row r="3043" spans="2:18" s="108" customFormat="1">
      <c r="B3043" s="109"/>
      <c r="C3043" s="110"/>
      <c r="D3043" s="109"/>
      <c r="E3043" s="109"/>
      <c r="F3043" s="97"/>
      <c r="G3043" s="109"/>
      <c r="H3043" s="109"/>
      <c r="I3043" s="97"/>
      <c r="J3043" s="97"/>
      <c r="K3043" s="83"/>
      <c r="L3043" s="111"/>
      <c r="M3043" s="111"/>
      <c r="N3043" s="111"/>
      <c r="O3043" s="111"/>
      <c r="P3043" s="111"/>
      <c r="Q3043" s="111"/>
      <c r="R3043" s="111"/>
    </row>
    <row r="3044" spans="2:18" s="108" customFormat="1">
      <c r="B3044" s="109"/>
      <c r="C3044" s="110"/>
      <c r="D3044" s="109"/>
      <c r="E3044" s="109"/>
      <c r="F3044" s="97"/>
      <c r="G3044" s="109"/>
      <c r="H3044" s="109"/>
      <c r="I3044" s="97"/>
      <c r="J3044" s="97"/>
      <c r="K3044" s="83"/>
      <c r="L3044" s="111"/>
      <c r="M3044" s="111"/>
      <c r="N3044" s="111"/>
      <c r="O3044" s="111"/>
      <c r="P3044" s="111"/>
      <c r="Q3044" s="111"/>
      <c r="R3044" s="111"/>
    </row>
    <row r="3045" spans="2:18" s="108" customFormat="1">
      <c r="B3045" s="109"/>
      <c r="C3045" s="110"/>
      <c r="D3045" s="109"/>
      <c r="E3045" s="109"/>
      <c r="F3045" s="97"/>
      <c r="G3045" s="109"/>
      <c r="H3045" s="109"/>
      <c r="I3045" s="97"/>
      <c r="J3045" s="97"/>
      <c r="K3045" s="83"/>
      <c r="L3045" s="111"/>
      <c r="M3045" s="111"/>
      <c r="N3045" s="111"/>
      <c r="O3045" s="111"/>
      <c r="P3045" s="111"/>
      <c r="Q3045" s="111"/>
      <c r="R3045" s="111"/>
    </row>
    <row r="3046" spans="2:18" s="108" customFormat="1">
      <c r="B3046" s="109"/>
      <c r="C3046" s="110"/>
      <c r="D3046" s="109"/>
      <c r="E3046" s="109"/>
      <c r="F3046" s="97"/>
      <c r="G3046" s="109"/>
      <c r="H3046" s="109"/>
      <c r="I3046" s="97"/>
      <c r="J3046" s="97"/>
      <c r="K3046" s="83"/>
      <c r="L3046" s="111"/>
      <c r="M3046" s="111"/>
      <c r="N3046" s="111"/>
      <c r="O3046" s="111"/>
      <c r="P3046" s="111"/>
      <c r="Q3046" s="111"/>
      <c r="R3046" s="111"/>
    </row>
    <row r="3047" spans="2:18" s="108" customFormat="1">
      <c r="B3047" s="109"/>
      <c r="C3047" s="110"/>
      <c r="D3047" s="109"/>
      <c r="E3047" s="109"/>
      <c r="F3047" s="97"/>
      <c r="G3047" s="109"/>
      <c r="H3047" s="109"/>
      <c r="I3047" s="97"/>
      <c r="J3047" s="97"/>
      <c r="K3047" s="83"/>
      <c r="L3047" s="111"/>
      <c r="M3047" s="111"/>
      <c r="N3047" s="111"/>
      <c r="O3047" s="111"/>
      <c r="P3047" s="111"/>
      <c r="Q3047" s="111"/>
      <c r="R3047" s="111"/>
    </row>
    <row r="3048" spans="2:18" s="108" customFormat="1">
      <c r="B3048" s="109"/>
      <c r="C3048" s="110"/>
      <c r="D3048" s="109"/>
      <c r="E3048" s="109"/>
      <c r="F3048" s="97"/>
      <c r="G3048" s="109"/>
      <c r="H3048" s="109"/>
      <c r="I3048" s="97"/>
      <c r="J3048" s="97"/>
      <c r="K3048" s="83"/>
      <c r="L3048" s="111"/>
      <c r="M3048" s="111"/>
      <c r="N3048" s="111"/>
      <c r="O3048" s="111"/>
      <c r="P3048" s="111"/>
      <c r="Q3048" s="111"/>
      <c r="R3048" s="111"/>
    </row>
    <row r="3049" spans="2:18" s="108" customFormat="1">
      <c r="B3049" s="109"/>
      <c r="C3049" s="110"/>
      <c r="D3049" s="109"/>
      <c r="E3049" s="109"/>
      <c r="F3049" s="97"/>
      <c r="G3049" s="109"/>
      <c r="H3049" s="109"/>
      <c r="I3049" s="97"/>
      <c r="J3049" s="97"/>
      <c r="K3049" s="83"/>
      <c r="L3049" s="111"/>
      <c r="M3049" s="111"/>
      <c r="N3049" s="111"/>
      <c r="O3049" s="111"/>
      <c r="P3049" s="111"/>
      <c r="Q3049" s="111"/>
      <c r="R3049" s="111"/>
    </row>
    <row r="3050" spans="2:18" s="108" customFormat="1">
      <c r="B3050" s="109"/>
      <c r="C3050" s="110"/>
      <c r="D3050" s="109"/>
      <c r="E3050" s="109"/>
      <c r="F3050" s="97"/>
      <c r="G3050" s="109"/>
      <c r="H3050" s="109"/>
      <c r="I3050" s="97"/>
      <c r="J3050" s="97"/>
      <c r="K3050" s="83"/>
      <c r="L3050" s="111"/>
      <c r="M3050" s="111"/>
      <c r="N3050" s="111"/>
      <c r="O3050" s="111"/>
      <c r="P3050" s="111"/>
      <c r="Q3050" s="111"/>
      <c r="R3050" s="111"/>
    </row>
    <row r="3051" spans="2:18" s="108" customFormat="1">
      <c r="B3051" s="109"/>
      <c r="C3051" s="110"/>
      <c r="D3051" s="109"/>
      <c r="E3051" s="109"/>
      <c r="F3051" s="97"/>
      <c r="G3051" s="109"/>
      <c r="H3051" s="109"/>
      <c r="I3051" s="97"/>
      <c r="J3051" s="97"/>
      <c r="K3051" s="83"/>
      <c r="L3051" s="111"/>
      <c r="M3051" s="111"/>
      <c r="N3051" s="111"/>
      <c r="O3051" s="111"/>
      <c r="P3051" s="111"/>
      <c r="Q3051" s="111"/>
      <c r="R3051" s="111"/>
    </row>
    <row r="3052" spans="2:18" s="108" customFormat="1">
      <c r="B3052" s="109"/>
      <c r="C3052" s="110"/>
      <c r="D3052" s="109"/>
      <c r="E3052" s="109"/>
      <c r="F3052" s="97"/>
      <c r="G3052" s="109"/>
      <c r="H3052" s="109"/>
      <c r="I3052" s="97"/>
      <c r="J3052" s="97"/>
      <c r="K3052" s="83"/>
      <c r="L3052" s="111"/>
      <c r="M3052" s="111"/>
      <c r="N3052" s="111"/>
      <c r="O3052" s="111"/>
      <c r="P3052" s="111"/>
      <c r="Q3052" s="111"/>
      <c r="R3052" s="111"/>
    </row>
    <row r="3053" spans="2:18" s="108" customFormat="1">
      <c r="B3053" s="109"/>
      <c r="C3053" s="110"/>
      <c r="D3053" s="109"/>
      <c r="E3053" s="109"/>
      <c r="F3053" s="97"/>
      <c r="G3053" s="109"/>
      <c r="H3053" s="109"/>
      <c r="I3053" s="97"/>
      <c r="J3053" s="97"/>
      <c r="K3053" s="83"/>
      <c r="L3053" s="111"/>
      <c r="M3053" s="111"/>
      <c r="N3053" s="111"/>
      <c r="O3053" s="111"/>
      <c r="P3053" s="111"/>
      <c r="Q3053" s="111"/>
      <c r="R3053" s="111"/>
    </row>
    <row r="3054" spans="2:18" s="108" customFormat="1">
      <c r="B3054" s="109"/>
      <c r="C3054" s="110"/>
      <c r="D3054" s="109"/>
      <c r="E3054" s="109"/>
      <c r="F3054" s="97"/>
      <c r="G3054" s="109"/>
      <c r="H3054" s="109"/>
      <c r="I3054" s="97"/>
      <c r="J3054" s="97"/>
      <c r="K3054" s="83"/>
      <c r="L3054" s="111"/>
      <c r="M3054" s="111"/>
      <c r="N3054" s="111"/>
      <c r="O3054" s="111"/>
      <c r="P3054" s="111"/>
      <c r="Q3054" s="111"/>
      <c r="R3054" s="111"/>
    </row>
    <row r="3055" spans="2:18" s="108" customFormat="1">
      <c r="B3055" s="109"/>
      <c r="C3055" s="110"/>
      <c r="D3055" s="109"/>
      <c r="E3055" s="109"/>
      <c r="F3055" s="97"/>
      <c r="G3055" s="109"/>
      <c r="H3055" s="109"/>
      <c r="I3055" s="97"/>
      <c r="J3055" s="97"/>
      <c r="K3055" s="83"/>
      <c r="L3055" s="111"/>
      <c r="M3055" s="111"/>
      <c r="N3055" s="111"/>
      <c r="O3055" s="111"/>
      <c r="P3055" s="111"/>
      <c r="Q3055" s="111"/>
      <c r="R3055" s="111"/>
    </row>
    <row r="3056" spans="2:18" s="108" customFormat="1">
      <c r="B3056" s="109"/>
      <c r="C3056" s="110"/>
      <c r="D3056" s="109"/>
      <c r="E3056" s="109"/>
      <c r="F3056" s="97"/>
      <c r="G3056" s="109"/>
      <c r="H3056" s="109"/>
      <c r="I3056" s="97"/>
      <c r="J3056" s="97"/>
      <c r="K3056" s="83"/>
      <c r="L3056" s="111"/>
      <c r="M3056" s="111"/>
      <c r="N3056" s="111"/>
      <c r="O3056" s="111"/>
      <c r="P3056" s="111"/>
      <c r="Q3056" s="111"/>
      <c r="R3056" s="111"/>
    </row>
    <row r="3057" spans="2:18" s="108" customFormat="1">
      <c r="B3057" s="109"/>
      <c r="C3057" s="110"/>
      <c r="D3057" s="109"/>
      <c r="E3057" s="109"/>
      <c r="F3057" s="97"/>
      <c r="G3057" s="109"/>
      <c r="H3057" s="109"/>
      <c r="I3057" s="97"/>
      <c r="J3057" s="97"/>
      <c r="K3057" s="83"/>
      <c r="L3057" s="111"/>
      <c r="M3057" s="111"/>
      <c r="N3057" s="111"/>
      <c r="O3057" s="111"/>
      <c r="P3057" s="111"/>
      <c r="Q3057" s="111"/>
      <c r="R3057" s="111"/>
    </row>
    <row r="3058" spans="2:18" s="108" customFormat="1">
      <c r="B3058" s="109"/>
      <c r="C3058" s="110"/>
      <c r="D3058" s="109"/>
      <c r="E3058" s="109"/>
      <c r="F3058" s="97"/>
      <c r="G3058" s="109"/>
      <c r="H3058" s="109"/>
      <c r="I3058" s="97"/>
      <c r="J3058" s="97"/>
      <c r="K3058" s="83"/>
      <c r="L3058" s="111"/>
      <c r="M3058" s="111"/>
      <c r="N3058" s="111"/>
      <c r="O3058" s="111"/>
      <c r="P3058" s="111"/>
      <c r="Q3058" s="111"/>
      <c r="R3058" s="111"/>
    </row>
    <row r="3059" spans="2:18" s="108" customFormat="1">
      <c r="B3059" s="109"/>
      <c r="C3059" s="110"/>
      <c r="D3059" s="109"/>
      <c r="E3059" s="109"/>
      <c r="F3059" s="97"/>
      <c r="G3059" s="109"/>
      <c r="H3059" s="109"/>
      <c r="I3059" s="97"/>
      <c r="J3059" s="97"/>
      <c r="K3059" s="83"/>
      <c r="L3059" s="111"/>
      <c r="M3059" s="111"/>
      <c r="N3059" s="111"/>
      <c r="O3059" s="111"/>
      <c r="P3059" s="111"/>
      <c r="Q3059" s="111"/>
      <c r="R3059" s="111"/>
    </row>
    <row r="3060" spans="2:18" s="108" customFormat="1">
      <c r="B3060" s="109"/>
      <c r="C3060" s="110"/>
      <c r="D3060" s="109"/>
      <c r="E3060" s="109"/>
      <c r="F3060" s="97"/>
      <c r="G3060" s="109"/>
      <c r="H3060" s="109"/>
      <c r="I3060" s="97"/>
      <c r="J3060" s="97"/>
      <c r="K3060" s="83"/>
      <c r="L3060" s="111"/>
      <c r="M3060" s="111"/>
      <c r="N3060" s="111"/>
      <c r="O3060" s="111"/>
      <c r="P3060" s="111"/>
      <c r="Q3060" s="111"/>
      <c r="R3060" s="111"/>
    </row>
    <row r="3061" spans="2:18" s="108" customFormat="1">
      <c r="B3061" s="109"/>
      <c r="C3061" s="110"/>
      <c r="D3061" s="109"/>
      <c r="E3061" s="109"/>
      <c r="F3061" s="97"/>
      <c r="G3061" s="109"/>
      <c r="H3061" s="109"/>
      <c r="I3061" s="97"/>
      <c r="J3061" s="97"/>
      <c r="K3061" s="83"/>
      <c r="L3061" s="111"/>
      <c r="M3061" s="111"/>
      <c r="N3061" s="111"/>
      <c r="O3061" s="111"/>
      <c r="P3061" s="111"/>
      <c r="Q3061" s="111"/>
      <c r="R3061" s="111"/>
    </row>
    <row r="3062" spans="2:18" s="108" customFormat="1">
      <c r="B3062" s="109"/>
      <c r="C3062" s="110"/>
      <c r="D3062" s="109"/>
      <c r="E3062" s="109"/>
      <c r="F3062" s="97"/>
      <c r="G3062" s="109"/>
      <c r="H3062" s="109"/>
      <c r="I3062" s="97"/>
      <c r="J3062" s="97"/>
      <c r="K3062" s="83"/>
      <c r="L3062" s="111"/>
      <c r="M3062" s="111"/>
      <c r="N3062" s="111"/>
      <c r="O3062" s="111"/>
      <c r="P3062" s="111"/>
      <c r="Q3062" s="111"/>
      <c r="R3062" s="111"/>
    </row>
    <row r="3063" spans="2:18" s="108" customFormat="1">
      <c r="B3063" s="109"/>
      <c r="C3063" s="110"/>
      <c r="D3063" s="109"/>
      <c r="E3063" s="109"/>
      <c r="F3063" s="97"/>
      <c r="G3063" s="109"/>
      <c r="H3063" s="109"/>
      <c r="I3063" s="97"/>
      <c r="J3063" s="97"/>
      <c r="K3063" s="83"/>
      <c r="L3063" s="111"/>
      <c r="M3063" s="111"/>
      <c r="N3063" s="111"/>
      <c r="O3063" s="111"/>
      <c r="P3063" s="111"/>
      <c r="Q3063" s="111"/>
      <c r="R3063" s="111"/>
    </row>
    <row r="3064" spans="2:18" s="108" customFormat="1">
      <c r="B3064" s="109"/>
      <c r="C3064" s="110"/>
      <c r="D3064" s="109"/>
      <c r="E3064" s="109"/>
      <c r="F3064" s="97"/>
      <c r="G3064" s="109"/>
      <c r="H3064" s="109"/>
      <c r="I3064" s="97"/>
      <c r="J3064" s="97"/>
      <c r="K3064" s="83"/>
      <c r="L3064" s="111"/>
      <c r="M3064" s="111"/>
      <c r="N3064" s="111"/>
      <c r="O3064" s="111"/>
      <c r="P3064" s="111"/>
      <c r="Q3064" s="111"/>
      <c r="R3064" s="111"/>
    </row>
    <row r="3065" spans="2:18" s="108" customFormat="1">
      <c r="B3065" s="109"/>
      <c r="C3065" s="110"/>
      <c r="D3065" s="109"/>
      <c r="E3065" s="109"/>
      <c r="F3065" s="97"/>
      <c r="G3065" s="109"/>
      <c r="H3065" s="109"/>
      <c r="I3065" s="97"/>
      <c r="J3065" s="97"/>
      <c r="K3065" s="83"/>
      <c r="L3065" s="111"/>
      <c r="M3065" s="111"/>
      <c r="N3065" s="111"/>
      <c r="O3065" s="111"/>
      <c r="P3065" s="111"/>
      <c r="Q3065" s="111"/>
      <c r="R3065" s="111"/>
    </row>
    <row r="3066" spans="2:18" s="108" customFormat="1">
      <c r="B3066" s="109"/>
      <c r="C3066" s="110"/>
      <c r="D3066" s="109"/>
      <c r="E3066" s="109"/>
      <c r="F3066" s="97"/>
      <c r="G3066" s="109"/>
      <c r="H3066" s="109"/>
      <c r="I3066" s="97"/>
      <c r="J3066" s="97"/>
      <c r="K3066" s="83"/>
      <c r="L3066" s="111"/>
      <c r="M3066" s="111"/>
      <c r="N3066" s="111"/>
      <c r="O3066" s="111"/>
      <c r="P3066" s="111"/>
      <c r="Q3066" s="111"/>
      <c r="R3066" s="111"/>
    </row>
    <row r="3067" spans="2:18" s="108" customFormat="1">
      <c r="B3067" s="109"/>
      <c r="C3067" s="110"/>
      <c r="D3067" s="109"/>
      <c r="E3067" s="109"/>
      <c r="F3067" s="97"/>
      <c r="G3067" s="109"/>
      <c r="H3067" s="109"/>
      <c r="I3067" s="97"/>
      <c r="J3067" s="97"/>
      <c r="K3067" s="83"/>
      <c r="L3067" s="111"/>
      <c r="M3067" s="111"/>
      <c r="N3067" s="111"/>
      <c r="O3067" s="111"/>
      <c r="P3067" s="111"/>
      <c r="Q3067" s="111"/>
      <c r="R3067" s="111"/>
    </row>
    <row r="3068" spans="2:18" s="108" customFormat="1">
      <c r="B3068" s="109"/>
      <c r="C3068" s="110"/>
      <c r="D3068" s="109"/>
      <c r="E3068" s="109"/>
      <c r="F3068" s="97"/>
      <c r="G3068" s="109"/>
      <c r="H3068" s="109"/>
      <c r="I3068" s="97"/>
      <c r="J3068" s="97"/>
      <c r="K3068" s="83"/>
      <c r="L3068" s="111"/>
      <c r="M3068" s="111"/>
      <c r="N3068" s="111"/>
      <c r="O3068" s="111"/>
      <c r="P3068" s="111"/>
      <c r="Q3068" s="111"/>
      <c r="R3068" s="111"/>
    </row>
    <row r="3069" spans="2:18" s="108" customFormat="1">
      <c r="B3069" s="109"/>
      <c r="C3069" s="110"/>
      <c r="D3069" s="109"/>
      <c r="E3069" s="109"/>
      <c r="F3069" s="97"/>
      <c r="G3069" s="109"/>
      <c r="H3069" s="109"/>
      <c r="I3069" s="97"/>
      <c r="J3069" s="97"/>
      <c r="K3069" s="83"/>
      <c r="L3069" s="111"/>
      <c r="M3069" s="111"/>
      <c r="N3069" s="111"/>
      <c r="O3069" s="111"/>
      <c r="P3069" s="111"/>
      <c r="Q3069" s="111"/>
      <c r="R3069" s="111"/>
    </row>
    <row r="3070" spans="2:18" s="108" customFormat="1">
      <c r="B3070" s="109"/>
      <c r="C3070" s="110"/>
      <c r="D3070" s="109"/>
      <c r="E3070" s="109"/>
      <c r="F3070" s="97"/>
      <c r="G3070" s="109"/>
      <c r="H3070" s="109"/>
      <c r="I3070" s="97"/>
      <c r="J3070" s="97"/>
      <c r="K3070" s="83"/>
      <c r="L3070" s="111"/>
      <c r="M3070" s="111"/>
      <c r="N3070" s="111"/>
      <c r="O3070" s="111"/>
      <c r="P3070" s="111"/>
      <c r="Q3070" s="111"/>
      <c r="R3070" s="111"/>
    </row>
    <row r="3071" spans="2:18" s="108" customFormat="1">
      <c r="B3071" s="109"/>
      <c r="C3071" s="110"/>
      <c r="D3071" s="109"/>
      <c r="E3071" s="109"/>
      <c r="F3071" s="97"/>
      <c r="G3071" s="109"/>
      <c r="H3071" s="109"/>
      <c r="I3071" s="97"/>
      <c r="J3071" s="97"/>
      <c r="K3071" s="83"/>
      <c r="L3071" s="111"/>
      <c r="M3071" s="111"/>
      <c r="N3071" s="111"/>
      <c r="O3071" s="111"/>
      <c r="P3071" s="111"/>
      <c r="Q3071" s="111"/>
      <c r="R3071" s="111"/>
    </row>
    <row r="3072" spans="2:18" s="108" customFormat="1">
      <c r="B3072" s="109"/>
      <c r="C3072" s="110"/>
      <c r="D3072" s="109"/>
      <c r="E3072" s="109"/>
      <c r="F3072" s="97"/>
      <c r="G3072" s="109"/>
      <c r="H3072" s="109"/>
      <c r="I3072" s="97"/>
      <c r="J3072" s="97"/>
      <c r="K3072" s="83"/>
      <c r="L3072" s="111"/>
      <c r="M3072" s="111"/>
      <c r="N3072" s="111"/>
      <c r="O3072" s="111"/>
      <c r="P3072" s="111"/>
      <c r="Q3072" s="111"/>
      <c r="R3072" s="111"/>
    </row>
    <row r="3073" spans="2:18" s="108" customFormat="1">
      <c r="B3073" s="109"/>
      <c r="C3073" s="110"/>
      <c r="D3073" s="109"/>
      <c r="E3073" s="109"/>
      <c r="F3073" s="97"/>
      <c r="G3073" s="109"/>
      <c r="H3073" s="109"/>
      <c r="I3073" s="97"/>
      <c r="J3073" s="97"/>
      <c r="K3073" s="83"/>
      <c r="L3073" s="111"/>
      <c r="M3073" s="111"/>
      <c r="N3073" s="111"/>
      <c r="O3073" s="111"/>
      <c r="P3073" s="111"/>
      <c r="Q3073" s="111"/>
      <c r="R3073" s="111"/>
    </row>
    <row r="3074" spans="2:18" s="108" customFormat="1">
      <c r="B3074" s="109"/>
      <c r="C3074" s="110"/>
      <c r="D3074" s="109"/>
      <c r="E3074" s="109"/>
      <c r="F3074" s="97"/>
      <c r="G3074" s="109"/>
      <c r="H3074" s="109"/>
      <c r="I3074" s="97"/>
      <c r="J3074" s="97"/>
      <c r="K3074" s="83"/>
      <c r="L3074" s="111"/>
      <c r="M3074" s="111"/>
      <c r="N3074" s="111"/>
      <c r="O3074" s="111"/>
      <c r="P3074" s="111"/>
      <c r="Q3074" s="111"/>
      <c r="R3074" s="111"/>
    </row>
    <row r="3075" spans="2:18" s="108" customFormat="1">
      <c r="B3075" s="109"/>
      <c r="C3075" s="110"/>
      <c r="D3075" s="109"/>
      <c r="E3075" s="109"/>
      <c r="F3075" s="97"/>
      <c r="G3075" s="109"/>
      <c r="H3075" s="109"/>
      <c r="I3075" s="97"/>
      <c r="J3075" s="97"/>
      <c r="K3075" s="83"/>
      <c r="L3075" s="111"/>
      <c r="M3075" s="111"/>
      <c r="N3075" s="111"/>
      <c r="O3075" s="111"/>
      <c r="P3075" s="111"/>
      <c r="Q3075" s="111"/>
      <c r="R3075" s="111"/>
    </row>
    <row r="3076" spans="2:18" s="108" customFormat="1">
      <c r="B3076" s="109"/>
      <c r="C3076" s="110"/>
      <c r="D3076" s="109"/>
      <c r="E3076" s="109"/>
      <c r="F3076" s="97"/>
      <c r="G3076" s="109"/>
      <c r="H3076" s="109"/>
      <c r="I3076" s="97"/>
      <c r="J3076" s="97"/>
      <c r="K3076" s="83"/>
      <c r="L3076" s="111"/>
      <c r="M3076" s="111"/>
      <c r="N3076" s="111"/>
      <c r="O3076" s="111"/>
      <c r="P3076" s="111"/>
      <c r="Q3076" s="111"/>
      <c r="R3076" s="111"/>
    </row>
    <row r="3077" spans="2:18" s="108" customFormat="1">
      <c r="B3077" s="109"/>
      <c r="C3077" s="110"/>
      <c r="D3077" s="109"/>
      <c r="E3077" s="109"/>
      <c r="F3077" s="97"/>
      <c r="G3077" s="109"/>
      <c r="H3077" s="109"/>
      <c r="I3077" s="97"/>
      <c r="J3077" s="97"/>
      <c r="K3077" s="83"/>
      <c r="L3077" s="111"/>
      <c r="M3077" s="111"/>
      <c r="N3077" s="111"/>
      <c r="O3077" s="111"/>
      <c r="P3077" s="111"/>
      <c r="Q3077" s="111"/>
      <c r="R3077" s="111"/>
    </row>
    <row r="3078" spans="2:18" s="108" customFormat="1">
      <c r="B3078" s="109"/>
      <c r="C3078" s="110"/>
      <c r="D3078" s="109"/>
      <c r="E3078" s="109"/>
      <c r="F3078" s="97"/>
      <c r="G3078" s="109"/>
      <c r="H3078" s="109"/>
      <c r="I3078" s="97"/>
      <c r="J3078" s="97"/>
      <c r="K3078" s="83"/>
      <c r="L3078" s="111"/>
      <c r="M3078" s="111"/>
      <c r="N3078" s="111"/>
      <c r="O3078" s="111"/>
      <c r="P3078" s="111"/>
      <c r="Q3078" s="111"/>
      <c r="R3078" s="111"/>
    </row>
    <row r="3079" spans="2:18" s="108" customFormat="1">
      <c r="B3079" s="109"/>
      <c r="C3079" s="110"/>
      <c r="D3079" s="109"/>
      <c r="E3079" s="109"/>
      <c r="F3079" s="97"/>
      <c r="G3079" s="109"/>
      <c r="H3079" s="109"/>
      <c r="I3079" s="97"/>
      <c r="J3079" s="97"/>
      <c r="K3079" s="83"/>
      <c r="L3079" s="111"/>
      <c r="M3079" s="111"/>
      <c r="N3079" s="111"/>
      <c r="O3079" s="111"/>
      <c r="P3079" s="111"/>
      <c r="Q3079" s="111"/>
      <c r="R3079" s="111"/>
    </row>
    <row r="3080" spans="2:18" s="108" customFormat="1">
      <c r="B3080" s="109"/>
      <c r="C3080" s="110"/>
      <c r="D3080" s="109"/>
      <c r="E3080" s="109"/>
      <c r="F3080" s="97"/>
      <c r="G3080" s="109"/>
      <c r="H3080" s="109"/>
      <c r="I3080" s="97"/>
      <c r="J3080" s="97"/>
      <c r="K3080" s="83"/>
      <c r="L3080" s="111"/>
      <c r="M3080" s="111"/>
      <c r="N3080" s="111"/>
      <c r="O3080" s="111"/>
      <c r="P3080" s="111"/>
      <c r="Q3080" s="111"/>
      <c r="R3080" s="111"/>
    </row>
    <row r="3081" spans="2:18" s="108" customFormat="1">
      <c r="B3081" s="109"/>
      <c r="C3081" s="110"/>
      <c r="D3081" s="109"/>
      <c r="E3081" s="109"/>
      <c r="F3081" s="97"/>
      <c r="G3081" s="109"/>
      <c r="H3081" s="109"/>
      <c r="I3081" s="97"/>
      <c r="J3081" s="97"/>
      <c r="K3081" s="83"/>
      <c r="L3081" s="111"/>
      <c r="M3081" s="111"/>
      <c r="N3081" s="111"/>
      <c r="O3081" s="111"/>
      <c r="P3081" s="111"/>
      <c r="Q3081" s="111"/>
      <c r="R3081" s="111"/>
    </row>
    <row r="3082" spans="2:18" s="108" customFormat="1">
      <c r="B3082" s="109"/>
      <c r="C3082" s="110"/>
      <c r="D3082" s="109"/>
      <c r="E3082" s="109"/>
      <c r="F3082" s="97"/>
      <c r="G3082" s="109"/>
      <c r="H3082" s="109"/>
      <c r="I3082" s="97"/>
      <c r="J3082" s="97"/>
      <c r="K3082" s="83"/>
      <c r="L3082" s="111"/>
      <c r="M3082" s="111"/>
      <c r="N3082" s="111"/>
      <c r="O3082" s="111"/>
      <c r="P3082" s="111"/>
      <c r="Q3082" s="111"/>
      <c r="R3082" s="111"/>
    </row>
    <row r="3083" spans="2:18" s="108" customFormat="1">
      <c r="B3083" s="109"/>
      <c r="C3083" s="110"/>
      <c r="D3083" s="109"/>
      <c r="E3083" s="109"/>
      <c r="F3083" s="97"/>
      <c r="G3083" s="109"/>
      <c r="H3083" s="109"/>
      <c r="I3083" s="97"/>
      <c r="J3083" s="97"/>
      <c r="K3083" s="83"/>
      <c r="L3083" s="111"/>
      <c r="M3083" s="111"/>
      <c r="N3083" s="111"/>
      <c r="O3083" s="111"/>
      <c r="P3083" s="111"/>
      <c r="Q3083" s="111"/>
      <c r="R3083" s="111"/>
    </row>
    <row r="3084" spans="2:18" s="108" customFormat="1">
      <c r="B3084" s="109"/>
      <c r="C3084" s="110"/>
      <c r="D3084" s="109"/>
      <c r="E3084" s="109"/>
      <c r="F3084" s="97"/>
      <c r="G3084" s="109"/>
      <c r="H3084" s="109"/>
      <c r="I3084" s="97"/>
      <c r="J3084" s="97"/>
      <c r="K3084" s="83"/>
      <c r="L3084" s="111"/>
      <c r="M3084" s="111"/>
      <c r="N3084" s="111"/>
      <c r="O3084" s="111"/>
      <c r="P3084" s="111"/>
      <c r="Q3084" s="111"/>
      <c r="R3084" s="111"/>
    </row>
    <row r="3085" spans="2:18" s="108" customFormat="1">
      <c r="B3085" s="109"/>
      <c r="C3085" s="110"/>
      <c r="D3085" s="109"/>
      <c r="E3085" s="109"/>
      <c r="F3085" s="97"/>
      <c r="G3085" s="109"/>
      <c r="H3085" s="109"/>
      <c r="I3085" s="97"/>
      <c r="J3085" s="97"/>
      <c r="K3085" s="83"/>
      <c r="L3085" s="111"/>
      <c r="M3085" s="111"/>
      <c r="N3085" s="111"/>
      <c r="O3085" s="111"/>
      <c r="P3085" s="111"/>
      <c r="Q3085" s="111"/>
      <c r="R3085" s="111"/>
    </row>
    <row r="3086" spans="2:18" s="108" customFormat="1">
      <c r="B3086" s="109"/>
      <c r="C3086" s="110"/>
      <c r="D3086" s="109"/>
      <c r="E3086" s="109"/>
      <c r="F3086" s="97"/>
      <c r="G3086" s="109"/>
      <c r="H3086" s="109"/>
      <c r="I3086" s="97"/>
      <c r="J3086" s="97"/>
      <c r="K3086" s="83"/>
      <c r="L3086" s="111"/>
      <c r="M3086" s="111"/>
      <c r="N3086" s="111"/>
      <c r="O3086" s="111"/>
      <c r="P3086" s="111"/>
      <c r="Q3086" s="111"/>
      <c r="R3086" s="111"/>
    </row>
    <row r="3087" spans="2:18" s="108" customFormat="1">
      <c r="B3087" s="109"/>
      <c r="C3087" s="110"/>
      <c r="D3087" s="109"/>
      <c r="E3087" s="109"/>
      <c r="F3087" s="97"/>
      <c r="G3087" s="109"/>
      <c r="H3087" s="109"/>
      <c r="I3087" s="97"/>
      <c r="J3087" s="97"/>
      <c r="K3087" s="83"/>
      <c r="L3087" s="111"/>
      <c r="M3087" s="111"/>
      <c r="N3087" s="111"/>
      <c r="O3087" s="111"/>
      <c r="P3087" s="111"/>
      <c r="Q3087" s="111"/>
      <c r="R3087" s="111"/>
    </row>
    <row r="3088" spans="2:18" s="108" customFormat="1">
      <c r="B3088" s="109"/>
      <c r="C3088" s="110"/>
      <c r="D3088" s="109"/>
      <c r="E3088" s="109"/>
      <c r="F3088" s="97"/>
      <c r="G3088" s="109"/>
      <c r="H3088" s="109"/>
      <c r="I3088" s="97"/>
      <c r="J3088" s="97"/>
      <c r="K3088" s="83"/>
      <c r="L3088" s="111"/>
      <c r="M3088" s="111"/>
      <c r="N3088" s="111"/>
      <c r="O3088" s="111"/>
      <c r="P3088" s="111"/>
      <c r="Q3088" s="111"/>
      <c r="R3088" s="111"/>
    </row>
    <row r="3089" spans="2:18" s="108" customFormat="1">
      <c r="B3089" s="109"/>
      <c r="C3089" s="110"/>
      <c r="D3089" s="109"/>
      <c r="E3089" s="109"/>
      <c r="F3089" s="97"/>
      <c r="G3089" s="109"/>
      <c r="H3089" s="109"/>
      <c r="I3089" s="97"/>
      <c r="J3089" s="97"/>
      <c r="K3089" s="83"/>
      <c r="L3089" s="111"/>
      <c r="M3089" s="111"/>
      <c r="N3089" s="111"/>
      <c r="O3089" s="111"/>
      <c r="P3089" s="111"/>
      <c r="Q3089" s="111"/>
      <c r="R3089" s="111"/>
    </row>
    <row r="3090" spans="2:18" s="108" customFormat="1">
      <c r="B3090" s="109"/>
      <c r="C3090" s="110"/>
      <c r="D3090" s="109"/>
      <c r="E3090" s="109"/>
      <c r="F3090" s="97"/>
      <c r="G3090" s="109"/>
      <c r="H3090" s="109"/>
      <c r="I3090" s="97"/>
      <c r="J3090" s="97"/>
      <c r="K3090" s="83"/>
      <c r="L3090" s="111"/>
      <c r="M3090" s="111"/>
      <c r="N3090" s="111"/>
      <c r="O3090" s="111"/>
      <c r="P3090" s="111"/>
      <c r="Q3090" s="111"/>
      <c r="R3090" s="111"/>
    </row>
    <row r="3091" spans="2:18" s="108" customFormat="1">
      <c r="B3091" s="109"/>
      <c r="C3091" s="110"/>
      <c r="D3091" s="109"/>
      <c r="E3091" s="109"/>
      <c r="F3091" s="97"/>
      <c r="G3091" s="109"/>
      <c r="H3091" s="109"/>
      <c r="I3091" s="97"/>
      <c r="J3091" s="97"/>
      <c r="K3091" s="83"/>
      <c r="L3091" s="111"/>
      <c r="M3091" s="111"/>
      <c r="N3091" s="111"/>
      <c r="O3091" s="111"/>
      <c r="P3091" s="111"/>
      <c r="Q3091" s="111"/>
      <c r="R3091" s="111"/>
    </row>
    <row r="3092" spans="2:18" s="108" customFormat="1">
      <c r="B3092" s="109"/>
      <c r="C3092" s="110"/>
      <c r="D3092" s="109"/>
      <c r="E3092" s="109"/>
      <c r="F3092" s="97"/>
      <c r="G3092" s="109"/>
      <c r="H3092" s="109"/>
      <c r="I3092" s="97"/>
      <c r="J3092" s="97"/>
      <c r="K3092" s="83"/>
      <c r="L3092" s="111"/>
      <c r="M3092" s="111"/>
      <c r="N3092" s="111"/>
      <c r="O3092" s="111"/>
      <c r="P3092" s="111"/>
      <c r="Q3092" s="111"/>
      <c r="R3092" s="111"/>
    </row>
    <row r="3093" spans="2:18" s="108" customFormat="1">
      <c r="B3093" s="109"/>
      <c r="C3093" s="110"/>
      <c r="D3093" s="109"/>
      <c r="E3093" s="109"/>
      <c r="F3093" s="97"/>
      <c r="G3093" s="109"/>
      <c r="H3093" s="109"/>
      <c r="I3093" s="97"/>
      <c r="J3093" s="97"/>
      <c r="K3093" s="83"/>
      <c r="L3093" s="111"/>
      <c r="M3093" s="111"/>
      <c r="N3093" s="111"/>
      <c r="O3093" s="111"/>
      <c r="P3093" s="111"/>
      <c r="Q3093" s="111"/>
      <c r="R3093" s="111"/>
    </row>
    <row r="3094" spans="2:18" s="108" customFormat="1">
      <c r="B3094" s="109"/>
      <c r="C3094" s="110"/>
      <c r="D3094" s="109"/>
      <c r="E3094" s="109"/>
      <c r="F3094" s="97"/>
      <c r="G3094" s="109"/>
      <c r="H3094" s="109"/>
      <c r="I3094" s="97"/>
      <c r="J3094" s="97"/>
      <c r="K3094" s="83"/>
      <c r="L3094" s="111"/>
      <c r="M3094" s="111"/>
      <c r="N3094" s="111"/>
      <c r="O3094" s="111"/>
      <c r="P3094" s="111"/>
      <c r="Q3094" s="111"/>
      <c r="R3094" s="111"/>
    </row>
    <row r="3095" spans="2:18" s="108" customFormat="1">
      <c r="B3095" s="109"/>
      <c r="C3095" s="110"/>
      <c r="D3095" s="109"/>
      <c r="E3095" s="109"/>
      <c r="F3095" s="97"/>
      <c r="G3095" s="109"/>
      <c r="H3095" s="109"/>
      <c r="I3095" s="97"/>
      <c r="J3095" s="97"/>
      <c r="K3095" s="83"/>
      <c r="L3095" s="111"/>
      <c r="M3095" s="111"/>
      <c r="N3095" s="111"/>
      <c r="O3095" s="111"/>
      <c r="P3095" s="111"/>
      <c r="Q3095" s="111"/>
      <c r="R3095" s="111"/>
    </row>
    <row r="3096" spans="2:18" s="108" customFormat="1">
      <c r="B3096" s="109"/>
      <c r="C3096" s="110"/>
      <c r="D3096" s="109"/>
      <c r="E3096" s="109"/>
      <c r="F3096" s="97"/>
      <c r="G3096" s="109"/>
      <c r="H3096" s="109"/>
      <c r="I3096" s="97"/>
      <c r="J3096" s="97"/>
      <c r="K3096" s="83"/>
      <c r="L3096" s="111"/>
      <c r="M3096" s="111"/>
      <c r="N3096" s="111"/>
      <c r="O3096" s="111"/>
      <c r="P3096" s="111"/>
      <c r="Q3096" s="111"/>
      <c r="R3096" s="111"/>
    </row>
    <row r="3097" spans="2:18" s="108" customFormat="1">
      <c r="B3097" s="109"/>
      <c r="C3097" s="110"/>
      <c r="D3097" s="109"/>
      <c r="E3097" s="109"/>
      <c r="F3097" s="97"/>
      <c r="G3097" s="109"/>
      <c r="H3097" s="109"/>
      <c r="I3097" s="97"/>
      <c r="J3097" s="97"/>
      <c r="K3097" s="83"/>
      <c r="L3097" s="111"/>
      <c r="M3097" s="111"/>
      <c r="N3097" s="111"/>
      <c r="O3097" s="111"/>
      <c r="P3097" s="111"/>
      <c r="Q3097" s="111"/>
      <c r="R3097" s="111"/>
    </row>
    <row r="3098" spans="2:18" s="108" customFormat="1">
      <c r="B3098" s="109"/>
      <c r="C3098" s="110"/>
      <c r="D3098" s="109"/>
      <c r="E3098" s="109"/>
      <c r="F3098" s="97"/>
      <c r="G3098" s="109"/>
      <c r="H3098" s="109"/>
      <c r="I3098" s="97"/>
      <c r="J3098" s="97"/>
      <c r="K3098" s="83"/>
      <c r="L3098" s="111"/>
      <c r="M3098" s="111"/>
      <c r="N3098" s="111"/>
      <c r="O3098" s="111"/>
      <c r="P3098" s="111"/>
      <c r="Q3098" s="111"/>
      <c r="R3098" s="111"/>
    </row>
    <row r="3099" spans="2:18" s="108" customFormat="1">
      <c r="B3099" s="109"/>
      <c r="C3099" s="110"/>
      <c r="D3099" s="109"/>
      <c r="E3099" s="109"/>
      <c r="F3099" s="97"/>
      <c r="G3099" s="109"/>
      <c r="H3099" s="109"/>
      <c r="I3099" s="97"/>
      <c r="J3099" s="97"/>
      <c r="K3099" s="83"/>
      <c r="L3099" s="111"/>
      <c r="M3099" s="111"/>
      <c r="N3099" s="111"/>
      <c r="O3099" s="111"/>
      <c r="P3099" s="111"/>
      <c r="Q3099" s="111"/>
      <c r="R3099" s="111"/>
    </row>
    <row r="3100" spans="2:18" s="108" customFormat="1">
      <c r="B3100" s="109"/>
      <c r="C3100" s="110"/>
      <c r="D3100" s="109"/>
      <c r="E3100" s="109"/>
      <c r="F3100" s="97"/>
      <c r="G3100" s="109"/>
      <c r="H3100" s="109"/>
      <c r="I3100" s="97"/>
      <c r="J3100" s="97"/>
      <c r="K3100" s="83"/>
      <c r="L3100" s="111"/>
      <c r="M3100" s="111"/>
      <c r="N3100" s="111"/>
      <c r="O3100" s="111"/>
      <c r="P3100" s="111"/>
      <c r="Q3100" s="111"/>
      <c r="R3100" s="111"/>
    </row>
    <row r="3101" spans="2:18" s="108" customFormat="1">
      <c r="B3101" s="109"/>
      <c r="C3101" s="110"/>
      <c r="D3101" s="109"/>
      <c r="E3101" s="109"/>
      <c r="F3101" s="97"/>
      <c r="G3101" s="109"/>
      <c r="H3101" s="109"/>
      <c r="I3101" s="97"/>
      <c r="J3101" s="97"/>
      <c r="K3101" s="83"/>
      <c r="L3101" s="111"/>
      <c r="M3101" s="111"/>
      <c r="N3101" s="111"/>
      <c r="O3101" s="111"/>
      <c r="P3101" s="111"/>
      <c r="Q3101" s="111"/>
      <c r="R3101" s="111"/>
    </row>
    <row r="3102" spans="2:18" s="108" customFormat="1">
      <c r="B3102" s="109"/>
      <c r="C3102" s="110"/>
      <c r="D3102" s="109"/>
      <c r="E3102" s="109"/>
      <c r="F3102" s="97"/>
      <c r="G3102" s="109"/>
      <c r="H3102" s="109"/>
      <c r="I3102" s="97"/>
      <c r="J3102" s="97"/>
      <c r="K3102" s="83"/>
      <c r="L3102" s="111"/>
      <c r="M3102" s="111"/>
      <c r="N3102" s="111"/>
      <c r="O3102" s="111"/>
      <c r="P3102" s="111"/>
      <c r="Q3102" s="111"/>
      <c r="R3102" s="111"/>
    </row>
    <row r="3103" spans="2:18" s="108" customFormat="1">
      <c r="B3103" s="109"/>
      <c r="C3103" s="110"/>
      <c r="D3103" s="109"/>
      <c r="E3103" s="109"/>
      <c r="F3103" s="97"/>
      <c r="G3103" s="109"/>
      <c r="H3103" s="109"/>
      <c r="I3103" s="97"/>
      <c r="J3103" s="97"/>
      <c r="K3103" s="83"/>
      <c r="L3103" s="111"/>
      <c r="M3103" s="111"/>
      <c r="N3103" s="111"/>
      <c r="O3103" s="111"/>
      <c r="P3103" s="111"/>
      <c r="Q3103" s="111"/>
      <c r="R3103" s="111"/>
    </row>
    <row r="3104" spans="2:18" s="108" customFormat="1">
      <c r="B3104" s="109"/>
      <c r="C3104" s="110"/>
      <c r="D3104" s="109"/>
      <c r="E3104" s="109"/>
      <c r="F3104" s="97"/>
      <c r="G3104" s="109"/>
      <c r="H3104" s="109"/>
      <c r="I3104" s="97"/>
      <c r="J3104" s="97"/>
      <c r="K3104" s="83"/>
      <c r="L3104" s="111"/>
      <c r="M3104" s="111"/>
      <c r="N3104" s="111"/>
      <c r="O3104" s="111"/>
      <c r="P3104" s="111"/>
      <c r="Q3104" s="111"/>
      <c r="R3104" s="111"/>
    </row>
    <row r="3105" spans="2:18" s="108" customFormat="1">
      <c r="B3105" s="109"/>
      <c r="C3105" s="110"/>
      <c r="D3105" s="109"/>
      <c r="E3105" s="109"/>
      <c r="F3105" s="97"/>
      <c r="G3105" s="109"/>
      <c r="H3105" s="109"/>
      <c r="I3105" s="97"/>
      <c r="J3105" s="97"/>
      <c r="K3105" s="83"/>
      <c r="L3105" s="111"/>
      <c r="M3105" s="111"/>
      <c r="N3105" s="111"/>
      <c r="O3105" s="111"/>
      <c r="P3105" s="111"/>
      <c r="Q3105" s="111"/>
      <c r="R3105" s="111"/>
    </row>
    <row r="3106" spans="2:18" s="108" customFormat="1">
      <c r="B3106" s="109"/>
      <c r="C3106" s="110"/>
      <c r="D3106" s="109"/>
      <c r="E3106" s="109"/>
      <c r="F3106" s="97"/>
      <c r="G3106" s="109"/>
      <c r="H3106" s="109"/>
      <c r="I3106" s="97"/>
      <c r="J3106" s="97"/>
      <c r="K3106" s="83"/>
      <c r="L3106" s="111"/>
      <c r="M3106" s="111"/>
      <c r="N3106" s="111"/>
      <c r="O3106" s="111"/>
      <c r="P3106" s="111"/>
      <c r="Q3106" s="111"/>
      <c r="R3106" s="111"/>
    </row>
    <row r="3107" spans="2:18" s="108" customFormat="1">
      <c r="B3107" s="109"/>
      <c r="C3107" s="110"/>
      <c r="D3107" s="109"/>
      <c r="E3107" s="109"/>
      <c r="F3107" s="97"/>
      <c r="G3107" s="109"/>
      <c r="H3107" s="109"/>
      <c r="I3107" s="97"/>
      <c r="J3107" s="97"/>
      <c r="K3107" s="83"/>
      <c r="L3107" s="111"/>
      <c r="M3107" s="111"/>
      <c r="N3107" s="111"/>
      <c r="O3107" s="111"/>
      <c r="P3107" s="111"/>
      <c r="Q3107" s="111"/>
      <c r="R3107" s="111"/>
    </row>
    <row r="3108" spans="2:18" s="108" customFormat="1">
      <c r="B3108" s="109"/>
      <c r="C3108" s="110"/>
      <c r="D3108" s="109"/>
      <c r="E3108" s="109"/>
      <c r="F3108" s="97"/>
      <c r="G3108" s="109"/>
      <c r="H3108" s="109"/>
      <c r="I3108" s="97"/>
      <c r="J3108" s="97"/>
      <c r="K3108" s="83"/>
      <c r="L3108" s="111"/>
      <c r="M3108" s="111"/>
      <c r="N3108" s="111"/>
      <c r="O3108" s="111"/>
      <c r="P3108" s="111"/>
      <c r="Q3108" s="111"/>
      <c r="R3108" s="111"/>
    </row>
    <row r="3109" spans="2:18" s="108" customFormat="1">
      <c r="B3109" s="109"/>
      <c r="C3109" s="110"/>
      <c r="D3109" s="109"/>
      <c r="E3109" s="109"/>
      <c r="F3109" s="97"/>
      <c r="G3109" s="109"/>
      <c r="H3109" s="109"/>
      <c r="I3109" s="97"/>
      <c r="J3109" s="97"/>
      <c r="K3109" s="83"/>
      <c r="L3109" s="111"/>
      <c r="M3109" s="111"/>
      <c r="N3109" s="111"/>
      <c r="O3109" s="111"/>
      <c r="P3109" s="111"/>
      <c r="Q3109" s="111"/>
      <c r="R3109" s="111"/>
    </row>
    <row r="3110" spans="2:18" s="108" customFormat="1">
      <c r="B3110" s="109"/>
      <c r="C3110" s="110"/>
      <c r="D3110" s="109"/>
      <c r="E3110" s="109"/>
      <c r="F3110" s="97"/>
      <c r="G3110" s="109"/>
      <c r="H3110" s="109"/>
      <c r="I3110" s="97"/>
      <c r="J3110" s="97"/>
      <c r="K3110" s="83"/>
      <c r="L3110" s="111"/>
      <c r="M3110" s="111"/>
      <c r="N3110" s="111"/>
      <c r="O3110" s="111"/>
      <c r="P3110" s="111"/>
      <c r="Q3110" s="111"/>
      <c r="R3110" s="111"/>
    </row>
    <row r="3111" spans="2:18" s="108" customFormat="1">
      <c r="B3111" s="109"/>
      <c r="C3111" s="110"/>
      <c r="D3111" s="109"/>
      <c r="E3111" s="109"/>
      <c r="F3111" s="97"/>
      <c r="G3111" s="109"/>
      <c r="H3111" s="109"/>
      <c r="I3111" s="97"/>
      <c r="J3111" s="97"/>
      <c r="K3111" s="83"/>
      <c r="L3111" s="111"/>
      <c r="M3111" s="111"/>
      <c r="N3111" s="111"/>
      <c r="O3111" s="111"/>
      <c r="P3111" s="111"/>
      <c r="Q3111" s="111"/>
      <c r="R3111" s="111"/>
    </row>
    <row r="3112" spans="2:18" s="108" customFormat="1">
      <c r="B3112" s="109"/>
      <c r="C3112" s="110"/>
      <c r="D3112" s="109"/>
      <c r="E3112" s="109"/>
      <c r="F3112" s="97"/>
      <c r="G3112" s="109"/>
      <c r="H3112" s="109"/>
      <c r="I3112" s="97"/>
      <c r="J3112" s="97"/>
      <c r="K3112" s="83"/>
      <c r="L3112" s="111"/>
      <c r="M3112" s="111"/>
      <c r="N3112" s="111"/>
      <c r="O3112" s="111"/>
      <c r="P3112" s="111"/>
      <c r="Q3112" s="111"/>
      <c r="R3112" s="111"/>
    </row>
    <row r="3113" spans="2:18" s="108" customFormat="1">
      <c r="B3113" s="109"/>
      <c r="C3113" s="110"/>
      <c r="D3113" s="109"/>
      <c r="E3113" s="109"/>
      <c r="F3113" s="97"/>
      <c r="G3113" s="109"/>
      <c r="H3113" s="109"/>
      <c r="I3113" s="97"/>
      <c r="J3113" s="97"/>
      <c r="K3113" s="83"/>
      <c r="L3113" s="111"/>
      <c r="M3113" s="111"/>
      <c r="N3113" s="111"/>
      <c r="O3113" s="111"/>
      <c r="P3113" s="111"/>
      <c r="Q3113" s="111"/>
      <c r="R3113" s="111"/>
    </row>
    <row r="3114" spans="2:18" s="108" customFormat="1">
      <c r="B3114" s="109"/>
      <c r="C3114" s="110"/>
      <c r="D3114" s="109"/>
      <c r="E3114" s="109"/>
      <c r="F3114" s="97"/>
      <c r="G3114" s="109"/>
      <c r="H3114" s="109"/>
      <c r="I3114" s="97"/>
      <c r="J3114" s="97"/>
      <c r="K3114" s="83"/>
      <c r="L3114" s="111"/>
      <c r="M3114" s="111"/>
      <c r="N3114" s="111"/>
      <c r="O3114" s="111"/>
      <c r="P3114" s="111"/>
      <c r="Q3114" s="111"/>
      <c r="R3114" s="111"/>
    </row>
    <row r="3115" spans="2:18" s="108" customFormat="1">
      <c r="B3115" s="109"/>
      <c r="C3115" s="110"/>
      <c r="D3115" s="109"/>
      <c r="E3115" s="109"/>
      <c r="F3115" s="97"/>
      <c r="G3115" s="109"/>
      <c r="H3115" s="109"/>
      <c r="I3115" s="97"/>
      <c r="J3115" s="97"/>
      <c r="K3115" s="83"/>
      <c r="L3115" s="111"/>
      <c r="M3115" s="111"/>
      <c r="N3115" s="111"/>
      <c r="O3115" s="111"/>
      <c r="P3115" s="111"/>
      <c r="Q3115" s="111"/>
      <c r="R3115" s="111"/>
    </row>
    <row r="3116" spans="2:18" s="108" customFormat="1">
      <c r="B3116" s="109"/>
      <c r="C3116" s="110"/>
      <c r="D3116" s="109"/>
      <c r="E3116" s="109"/>
      <c r="F3116" s="97"/>
      <c r="G3116" s="109"/>
      <c r="H3116" s="109"/>
      <c r="I3116" s="97"/>
      <c r="J3116" s="97"/>
      <c r="K3116" s="83"/>
      <c r="L3116" s="111"/>
      <c r="M3116" s="111"/>
      <c r="N3116" s="111"/>
      <c r="O3116" s="111"/>
      <c r="P3116" s="111"/>
      <c r="Q3116" s="111"/>
      <c r="R3116" s="111"/>
    </row>
    <row r="3117" spans="2:18" s="108" customFormat="1">
      <c r="B3117" s="109"/>
      <c r="C3117" s="110"/>
      <c r="D3117" s="109"/>
      <c r="E3117" s="109"/>
      <c r="F3117" s="97"/>
      <c r="G3117" s="109"/>
      <c r="H3117" s="109"/>
      <c r="I3117" s="97"/>
      <c r="J3117" s="97"/>
      <c r="K3117" s="83"/>
      <c r="L3117" s="111"/>
      <c r="M3117" s="111"/>
      <c r="N3117" s="111"/>
      <c r="O3117" s="111"/>
      <c r="P3117" s="111"/>
      <c r="Q3117" s="111"/>
      <c r="R3117" s="111"/>
    </row>
    <row r="3118" spans="2:18" s="108" customFormat="1">
      <c r="B3118" s="109"/>
      <c r="C3118" s="110"/>
      <c r="D3118" s="109"/>
      <c r="E3118" s="109"/>
      <c r="F3118" s="97"/>
      <c r="G3118" s="109"/>
      <c r="H3118" s="109"/>
      <c r="I3118" s="97"/>
      <c r="J3118" s="97"/>
      <c r="K3118" s="83"/>
      <c r="L3118" s="111"/>
      <c r="M3118" s="111"/>
      <c r="N3118" s="111"/>
      <c r="O3118" s="111"/>
      <c r="P3118" s="111"/>
      <c r="Q3118" s="111"/>
      <c r="R3118" s="111"/>
    </row>
    <row r="3119" spans="2:18" s="108" customFormat="1">
      <c r="B3119" s="109"/>
      <c r="C3119" s="110"/>
      <c r="D3119" s="109"/>
      <c r="E3119" s="109"/>
      <c r="F3119" s="97"/>
      <c r="G3119" s="109"/>
      <c r="H3119" s="109"/>
      <c r="I3119" s="97"/>
      <c r="J3119" s="97"/>
      <c r="K3119" s="83"/>
      <c r="L3119" s="111"/>
      <c r="M3119" s="111"/>
      <c r="N3119" s="111"/>
      <c r="O3119" s="111"/>
      <c r="P3119" s="111"/>
      <c r="Q3119" s="111"/>
      <c r="R3119" s="111"/>
    </row>
    <row r="3120" spans="2:18" s="108" customFormat="1">
      <c r="B3120" s="109"/>
      <c r="C3120" s="110"/>
      <c r="D3120" s="109"/>
      <c r="E3120" s="109"/>
      <c r="F3120" s="97"/>
      <c r="G3120" s="109"/>
      <c r="H3120" s="109"/>
      <c r="I3120" s="97"/>
      <c r="J3120" s="97"/>
      <c r="K3120" s="83"/>
      <c r="L3120" s="111"/>
      <c r="M3120" s="111"/>
      <c r="N3120" s="111"/>
      <c r="O3120" s="111"/>
      <c r="P3120" s="111"/>
      <c r="Q3120" s="111"/>
      <c r="R3120" s="111"/>
    </row>
    <row r="3121" spans="2:18" s="108" customFormat="1">
      <c r="B3121" s="109"/>
      <c r="C3121" s="110"/>
      <c r="D3121" s="109"/>
      <c r="E3121" s="109"/>
      <c r="F3121" s="97"/>
      <c r="G3121" s="109"/>
      <c r="H3121" s="109"/>
      <c r="I3121" s="97"/>
      <c r="J3121" s="97"/>
      <c r="K3121" s="83"/>
      <c r="L3121" s="111"/>
      <c r="M3121" s="111"/>
      <c r="N3121" s="111"/>
      <c r="O3121" s="111"/>
      <c r="P3121" s="111"/>
      <c r="Q3121" s="111"/>
      <c r="R3121" s="111"/>
    </row>
    <row r="3122" spans="2:18" s="108" customFormat="1">
      <c r="B3122" s="109"/>
      <c r="C3122" s="110"/>
      <c r="D3122" s="109"/>
      <c r="E3122" s="109"/>
      <c r="F3122" s="97"/>
      <c r="G3122" s="109"/>
      <c r="H3122" s="109"/>
      <c r="I3122" s="97"/>
      <c r="J3122" s="97"/>
      <c r="K3122" s="83"/>
      <c r="L3122" s="111"/>
      <c r="M3122" s="111"/>
      <c r="N3122" s="111"/>
      <c r="O3122" s="111"/>
      <c r="P3122" s="111"/>
      <c r="Q3122" s="111"/>
      <c r="R3122" s="111"/>
    </row>
    <row r="3123" spans="2:18" s="108" customFormat="1">
      <c r="B3123" s="109"/>
      <c r="C3123" s="110"/>
      <c r="D3123" s="109"/>
      <c r="E3123" s="109"/>
      <c r="F3123" s="97"/>
      <c r="G3123" s="109"/>
      <c r="H3123" s="109"/>
      <c r="I3123" s="97"/>
      <c r="J3123" s="97"/>
      <c r="K3123" s="83"/>
      <c r="L3123" s="111"/>
      <c r="M3123" s="111"/>
      <c r="N3123" s="111"/>
      <c r="O3123" s="111"/>
      <c r="P3123" s="111"/>
      <c r="Q3123" s="111"/>
      <c r="R3123" s="111"/>
    </row>
    <row r="3124" spans="2:18" s="108" customFormat="1">
      <c r="B3124" s="109"/>
      <c r="C3124" s="110"/>
      <c r="D3124" s="109"/>
      <c r="E3124" s="109"/>
      <c r="F3124" s="97"/>
      <c r="G3124" s="109"/>
      <c r="H3124" s="109"/>
      <c r="I3124" s="97"/>
      <c r="J3124" s="97"/>
      <c r="K3124" s="83"/>
      <c r="L3124" s="111"/>
      <c r="M3124" s="111"/>
      <c r="N3124" s="111"/>
      <c r="O3124" s="111"/>
      <c r="P3124" s="111"/>
      <c r="Q3124" s="111"/>
      <c r="R3124" s="111"/>
    </row>
    <row r="3125" spans="2:18" s="108" customFormat="1">
      <c r="B3125" s="109"/>
      <c r="C3125" s="110"/>
      <c r="D3125" s="109"/>
      <c r="E3125" s="109"/>
      <c r="F3125" s="97"/>
      <c r="G3125" s="109"/>
      <c r="H3125" s="109"/>
      <c r="I3125" s="97"/>
      <c r="J3125" s="97"/>
      <c r="K3125" s="83"/>
      <c r="L3125" s="111"/>
      <c r="M3125" s="111"/>
      <c r="N3125" s="111"/>
      <c r="O3125" s="111"/>
      <c r="P3125" s="111"/>
      <c r="Q3125" s="111"/>
      <c r="R3125" s="111"/>
    </row>
    <row r="3126" spans="2:18" s="108" customFormat="1">
      <c r="B3126" s="109"/>
      <c r="C3126" s="110"/>
      <c r="D3126" s="109"/>
      <c r="E3126" s="109"/>
      <c r="F3126" s="97"/>
      <c r="G3126" s="109"/>
      <c r="H3126" s="109"/>
      <c r="I3126" s="97"/>
      <c r="J3126" s="97"/>
      <c r="K3126" s="83"/>
      <c r="L3126" s="111"/>
      <c r="M3126" s="111"/>
      <c r="N3126" s="111"/>
      <c r="O3126" s="111"/>
      <c r="P3126" s="111"/>
      <c r="Q3126" s="111"/>
      <c r="R3126" s="111"/>
    </row>
    <row r="3127" spans="2:18" s="108" customFormat="1">
      <c r="B3127" s="109"/>
      <c r="C3127" s="110"/>
      <c r="D3127" s="109"/>
      <c r="E3127" s="109"/>
      <c r="F3127" s="97"/>
      <c r="G3127" s="109"/>
      <c r="H3127" s="109"/>
      <c r="I3127" s="97"/>
      <c r="J3127" s="97"/>
      <c r="K3127" s="83"/>
      <c r="L3127" s="111"/>
      <c r="M3127" s="111"/>
      <c r="N3127" s="111"/>
      <c r="O3127" s="111"/>
      <c r="P3127" s="111"/>
      <c r="Q3127" s="111"/>
      <c r="R3127" s="111"/>
    </row>
    <row r="3128" spans="2:18" s="108" customFormat="1">
      <c r="B3128" s="109"/>
      <c r="C3128" s="110"/>
      <c r="D3128" s="109"/>
      <c r="E3128" s="109"/>
      <c r="F3128" s="97"/>
      <c r="G3128" s="109"/>
      <c r="H3128" s="109"/>
      <c r="I3128" s="97"/>
      <c r="J3128" s="97"/>
      <c r="K3128" s="83"/>
      <c r="L3128" s="111"/>
      <c r="M3128" s="111"/>
      <c r="N3128" s="111"/>
      <c r="O3128" s="111"/>
      <c r="P3128" s="111"/>
      <c r="Q3128" s="111"/>
      <c r="R3128" s="111"/>
    </row>
    <row r="3129" spans="2:18" s="108" customFormat="1">
      <c r="B3129" s="109"/>
      <c r="C3129" s="110"/>
      <c r="D3129" s="109"/>
      <c r="E3129" s="109"/>
      <c r="F3129" s="97"/>
      <c r="G3129" s="109"/>
      <c r="H3129" s="109"/>
      <c r="I3129" s="97"/>
      <c r="J3129" s="97"/>
      <c r="K3129" s="83"/>
      <c r="L3129" s="111"/>
      <c r="M3129" s="111"/>
      <c r="N3129" s="111"/>
      <c r="O3129" s="111"/>
      <c r="P3129" s="111"/>
      <c r="Q3129" s="111"/>
      <c r="R3129" s="111"/>
    </row>
    <row r="3130" spans="2:18" s="108" customFormat="1">
      <c r="B3130" s="109"/>
      <c r="C3130" s="110"/>
      <c r="D3130" s="109"/>
      <c r="E3130" s="109"/>
      <c r="F3130" s="97"/>
      <c r="G3130" s="109"/>
      <c r="H3130" s="109"/>
      <c r="I3130" s="97"/>
      <c r="J3130" s="97"/>
      <c r="K3130" s="83"/>
      <c r="L3130" s="111"/>
      <c r="M3130" s="111"/>
      <c r="N3130" s="111"/>
      <c r="O3130" s="111"/>
      <c r="P3130" s="111"/>
      <c r="Q3130" s="111"/>
      <c r="R3130" s="111"/>
    </row>
    <row r="3131" spans="2:18" s="108" customFormat="1">
      <c r="B3131" s="109"/>
      <c r="C3131" s="110"/>
      <c r="D3131" s="109"/>
      <c r="E3131" s="109"/>
      <c r="F3131" s="97"/>
      <c r="G3131" s="109"/>
      <c r="H3131" s="109"/>
      <c r="I3131" s="97"/>
      <c r="J3131" s="97"/>
      <c r="K3131" s="83"/>
      <c r="L3131" s="111"/>
      <c r="M3131" s="111"/>
      <c r="N3131" s="111"/>
      <c r="O3131" s="111"/>
      <c r="P3131" s="111"/>
      <c r="Q3131" s="111"/>
      <c r="R3131" s="111"/>
    </row>
    <row r="3132" spans="2:18" s="108" customFormat="1">
      <c r="B3132" s="109"/>
      <c r="C3132" s="110"/>
      <c r="D3132" s="109"/>
      <c r="E3132" s="109"/>
      <c r="F3132" s="97"/>
      <c r="G3132" s="109"/>
      <c r="H3132" s="109"/>
      <c r="I3132" s="97"/>
      <c r="J3132" s="97"/>
      <c r="K3132" s="83"/>
      <c r="L3132" s="111"/>
      <c r="M3132" s="111"/>
      <c r="N3132" s="111"/>
      <c r="O3132" s="111"/>
      <c r="P3132" s="111"/>
      <c r="Q3132" s="111"/>
      <c r="R3132" s="111"/>
    </row>
    <row r="3133" spans="2:18" s="108" customFormat="1">
      <c r="B3133" s="109"/>
      <c r="C3133" s="110"/>
      <c r="D3133" s="109"/>
      <c r="E3133" s="109"/>
      <c r="F3133" s="97"/>
      <c r="G3133" s="109"/>
      <c r="H3133" s="109"/>
      <c r="I3133" s="97"/>
      <c r="J3133" s="97"/>
      <c r="K3133" s="83"/>
      <c r="L3133" s="111"/>
      <c r="M3133" s="111"/>
      <c r="N3133" s="111"/>
      <c r="O3133" s="111"/>
      <c r="P3133" s="111"/>
      <c r="Q3133" s="111"/>
      <c r="R3133" s="111"/>
    </row>
    <row r="3134" spans="2:18" s="108" customFormat="1">
      <c r="B3134" s="109"/>
      <c r="C3134" s="110"/>
      <c r="D3134" s="109"/>
      <c r="E3134" s="109"/>
      <c r="F3134" s="97"/>
      <c r="G3134" s="109"/>
      <c r="H3134" s="109"/>
      <c r="I3134" s="97"/>
      <c r="J3134" s="97"/>
      <c r="K3134" s="83"/>
      <c r="L3134" s="111"/>
      <c r="M3134" s="111"/>
      <c r="N3134" s="111"/>
      <c r="O3134" s="111"/>
      <c r="P3134" s="111"/>
      <c r="Q3134" s="111"/>
      <c r="R3134" s="111"/>
    </row>
    <row r="3135" spans="2:18" s="108" customFormat="1">
      <c r="B3135" s="109"/>
      <c r="C3135" s="110"/>
      <c r="D3135" s="109"/>
      <c r="E3135" s="109"/>
      <c r="F3135" s="97"/>
      <c r="G3135" s="109"/>
      <c r="H3135" s="109"/>
      <c r="I3135" s="97"/>
      <c r="J3135" s="97"/>
      <c r="K3135" s="83"/>
      <c r="L3135" s="111"/>
      <c r="M3135" s="111"/>
      <c r="N3135" s="111"/>
      <c r="O3135" s="111"/>
      <c r="P3135" s="111"/>
      <c r="Q3135" s="111"/>
      <c r="R3135" s="111"/>
    </row>
    <row r="3136" spans="2:18" s="108" customFormat="1">
      <c r="B3136" s="109"/>
      <c r="C3136" s="110"/>
      <c r="D3136" s="109"/>
      <c r="E3136" s="109"/>
      <c r="F3136" s="97"/>
      <c r="G3136" s="109"/>
      <c r="H3136" s="109"/>
      <c r="I3136" s="97"/>
      <c r="J3136" s="97"/>
      <c r="K3136" s="83"/>
      <c r="L3136" s="111"/>
      <c r="M3136" s="111"/>
      <c r="N3136" s="111"/>
      <c r="O3136" s="111"/>
      <c r="P3136" s="111"/>
      <c r="Q3136" s="111"/>
      <c r="R3136" s="111"/>
    </row>
    <row r="3137" spans="2:18" s="108" customFormat="1">
      <c r="B3137" s="109"/>
      <c r="C3137" s="110"/>
      <c r="D3137" s="109"/>
      <c r="E3137" s="109"/>
      <c r="F3137" s="97"/>
      <c r="G3137" s="109"/>
      <c r="H3137" s="109"/>
      <c r="I3137" s="97"/>
      <c r="J3137" s="97"/>
      <c r="K3137" s="83"/>
      <c r="L3137" s="111"/>
      <c r="M3137" s="111"/>
      <c r="N3137" s="111"/>
      <c r="O3137" s="111"/>
      <c r="P3137" s="111"/>
      <c r="Q3137" s="111"/>
      <c r="R3137" s="111"/>
    </row>
    <row r="3138" spans="2:18" s="108" customFormat="1">
      <c r="B3138" s="109"/>
      <c r="C3138" s="110"/>
      <c r="D3138" s="109"/>
      <c r="E3138" s="109"/>
      <c r="F3138" s="97"/>
      <c r="G3138" s="109"/>
      <c r="H3138" s="109"/>
      <c r="I3138" s="97"/>
      <c r="J3138" s="97"/>
      <c r="K3138" s="83"/>
      <c r="L3138" s="111"/>
      <c r="M3138" s="111"/>
      <c r="N3138" s="111"/>
      <c r="O3138" s="111"/>
      <c r="P3138" s="111"/>
      <c r="Q3138" s="111"/>
      <c r="R3138" s="111"/>
    </row>
    <row r="3139" spans="2:18" s="108" customFormat="1">
      <c r="B3139" s="109"/>
      <c r="C3139" s="110"/>
      <c r="D3139" s="109"/>
      <c r="E3139" s="109"/>
      <c r="F3139" s="97"/>
      <c r="G3139" s="109"/>
      <c r="H3139" s="109"/>
      <c r="I3139" s="97"/>
      <c r="J3139" s="97"/>
      <c r="K3139" s="83"/>
      <c r="L3139" s="111"/>
      <c r="M3139" s="111"/>
      <c r="N3139" s="111"/>
      <c r="O3139" s="111"/>
      <c r="P3139" s="111"/>
      <c r="Q3139" s="111"/>
      <c r="R3139" s="111"/>
    </row>
    <row r="3140" spans="2:18" s="108" customFormat="1">
      <c r="B3140" s="109"/>
      <c r="C3140" s="110"/>
      <c r="D3140" s="109"/>
      <c r="E3140" s="109"/>
      <c r="F3140" s="97"/>
      <c r="G3140" s="109"/>
      <c r="H3140" s="109"/>
      <c r="I3140" s="97"/>
      <c r="J3140" s="97"/>
      <c r="K3140" s="83"/>
      <c r="L3140" s="111"/>
      <c r="M3140" s="111"/>
      <c r="N3140" s="111"/>
      <c r="O3140" s="111"/>
      <c r="P3140" s="111"/>
      <c r="Q3140" s="111"/>
      <c r="R3140" s="111"/>
    </row>
    <row r="3141" spans="2:18" s="108" customFormat="1">
      <c r="B3141" s="109"/>
      <c r="C3141" s="110"/>
      <c r="D3141" s="109"/>
      <c r="E3141" s="109"/>
      <c r="F3141" s="97"/>
      <c r="G3141" s="109"/>
      <c r="H3141" s="109"/>
      <c r="I3141" s="97"/>
      <c r="J3141" s="97"/>
      <c r="K3141" s="83"/>
      <c r="L3141" s="111"/>
      <c r="M3141" s="111"/>
      <c r="N3141" s="111"/>
      <c r="O3141" s="111"/>
      <c r="P3141" s="111"/>
      <c r="Q3141" s="111"/>
      <c r="R3141" s="111"/>
    </row>
    <row r="3142" spans="2:18" s="108" customFormat="1">
      <c r="B3142" s="109"/>
      <c r="C3142" s="110"/>
      <c r="D3142" s="109"/>
      <c r="E3142" s="109"/>
      <c r="F3142" s="97"/>
      <c r="G3142" s="109"/>
      <c r="H3142" s="109"/>
      <c r="I3142" s="97"/>
      <c r="J3142" s="97"/>
      <c r="K3142" s="83"/>
      <c r="L3142" s="111"/>
      <c r="M3142" s="111"/>
      <c r="N3142" s="111"/>
      <c r="O3142" s="111"/>
      <c r="P3142" s="111"/>
      <c r="Q3142" s="111"/>
      <c r="R3142" s="111"/>
    </row>
    <row r="3143" spans="2:18" s="108" customFormat="1">
      <c r="B3143" s="109"/>
      <c r="C3143" s="110"/>
      <c r="D3143" s="109"/>
      <c r="E3143" s="109"/>
      <c r="F3143" s="97"/>
      <c r="G3143" s="109"/>
      <c r="H3143" s="109"/>
      <c r="I3143" s="97"/>
      <c r="J3143" s="97"/>
      <c r="K3143" s="83"/>
      <c r="L3143" s="111"/>
      <c r="M3143" s="111"/>
      <c r="N3143" s="111"/>
      <c r="O3143" s="111"/>
      <c r="P3143" s="111"/>
      <c r="Q3143" s="111"/>
      <c r="R3143" s="111"/>
    </row>
    <row r="3144" spans="2:18" s="108" customFormat="1">
      <c r="B3144" s="109"/>
      <c r="C3144" s="110"/>
      <c r="D3144" s="109"/>
      <c r="E3144" s="109"/>
      <c r="F3144" s="97"/>
      <c r="G3144" s="109"/>
      <c r="H3144" s="109"/>
      <c r="I3144" s="97"/>
      <c r="J3144" s="97"/>
      <c r="K3144" s="83"/>
      <c r="L3144" s="111"/>
      <c r="M3144" s="111"/>
      <c r="N3144" s="111"/>
      <c r="O3144" s="111"/>
      <c r="P3144" s="111"/>
      <c r="Q3144" s="111"/>
      <c r="R3144" s="111"/>
    </row>
    <row r="3145" spans="2:18" s="108" customFormat="1">
      <c r="B3145" s="109"/>
      <c r="C3145" s="110"/>
      <c r="D3145" s="109"/>
      <c r="E3145" s="109"/>
      <c r="F3145" s="97"/>
      <c r="G3145" s="109"/>
      <c r="H3145" s="109"/>
      <c r="I3145" s="97"/>
      <c r="J3145" s="97"/>
      <c r="K3145" s="83"/>
      <c r="L3145" s="111"/>
      <c r="M3145" s="111"/>
      <c r="N3145" s="111"/>
      <c r="O3145" s="111"/>
      <c r="P3145" s="111"/>
      <c r="Q3145" s="111"/>
      <c r="R3145" s="111"/>
    </row>
    <row r="3146" spans="2:18" s="108" customFormat="1">
      <c r="B3146" s="109"/>
      <c r="C3146" s="110"/>
      <c r="D3146" s="109"/>
      <c r="E3146" s="109"/>
      <c r="F3146" s="97"/>
      <c r="G3146" s="109"/>
      <c r="H3146" s="109"/>
      <c r="I3146" s="97"/>
      <c r="J3146" s="97"/>
      <c r="K3146" s="83"/>
      <c r="L3146" s="111"/>
      <c r="M3146" s="111"/>
      <c r="N3146" s="111"/>
      <c r="O3146" s="111"/>
      <c r="P3146" s="111"/>
      <c r="Q3146" s="111"/>
      <c r="R3146" s="111"/>
    </row>
    <row r="3147" spans="2:18" s="108" customFormat="1">
      <c r="B3147" s="109"/>
      <c r="C3147" s="110"/>
      <c r="D3147" s="109"/>
      <c r="E3147" s="109"/>
      <c r="F3147" s="97"/>
      <c r="G3147" s="109"/>
      <c r="H3147" s="109"/>
      <c r="I3147" s="97"/>
      <c r="J3147" s="97"/>
      <c r="K3147" s="83"/>
      <c r="L3147" s="111"/>
      <c r="M3147" s="111"/>
      <c r="N3147" s="111"/>
      <c r="O3147" s="111"/>
      <c r="P3147" s="111"/>
      <c r="Q3147" s="111"/>
      <c r="R3147" s="111"/>
    </row>
    <row r="3148" spans="2:18" s="108" customFormat="1">
      <c r="B3148" s="109"/>
      <c r="C3148" s="110"/>
      <c r="D3148" s="109"/>
      <c r="E3148" s="109"/>
      <c r="F3148" s="97"/>
      <c r="G3148" s="109"/>
      <c r="H3148" s="109"/>
      <c r="I3148" s="97"/>
      <c r="J3148" s="97"/>
      <c r="K3148" s="83"/>
      <c r="L3148" s="111"/>
      <c r="M3148" s="111"/>
      <c r="N3148" s="111"/>
      <c r="O3148" s="111"/>
      <c r="P3148" s="111"/>
      <c r="Q3148" s="111"/>
      <c r="R3148" s="111"/>
    </row>
    <row r="3149" spans="2:18" s="108" customFormat="1">
      <c r="B3149" s="109"/>
      <c r="C3149" s="110"/>
      <c r="D3149" s="109"/>
      <c r="E3149" s="109"/>
      <c r="F3149" s="97"/>
      <c r="G3149" s="109"/>
      <c r="H3149" s="109"/>
      <c r="I3149" s="97"/>
      <c r="J3149" s="97"/>
      <c r="K3149" s="83"/>
      <c r="L3149" s="111"/>
      <c r="M3149" s="111"/>
      <c r="N3149" s="111"/>
      <c r="O3149" s="111"/>
      <c r="P3149" s="111"/>
      <c r="Q3149" s="111"/>
      <c r="R3149" s="111"/>
    </row>
    <row r="3150" spans="2:18" s="108" customFormat="1">
      <c r="B3150" s="109"/>
      <c r="C3150" s="110"/>
      <c r="D3150" s="109"/>
      <c r="E3150" s="109"/>
      <c r="F3150" s="97"/>
      <c r="G3150" s="109"/>
      <c r="H3150" s="109"/>
      <c r="I3150" s="97"/>
      <c r="J3150" s="97"/>
      <c r="K3150" s="83"/>
      <c r="L3150" s="111"/>
      <c r="M3150" s="111"/>
      <c r="N3150" s="111"/>
      <c r="O3150" s="111"/>
      <c r="P3150" s="111"/>
      <c r="Q3150" s="111"/>
      <c r="R3150" s="111"/>
    </row>
    <row r="3151" spans="2:18" s="108" customFormat="1">
      <c r="B3151" s="109"/>
      <c r="C3151" s="110"/>
      <c r="D3151" s="109"/>
      <c r="E3151" s="109"/>
      <c r="F3151" s="97"/>
      <c r="G3151" s="109"/>
      <c r="H3151" s="109"/>
      <c r="I3151" s="97"/>
      <c r="J3151" s="97"/>
      <c r="K3151" s="83"/>
      <c r="L3151" s="111"/>
      <c r="M3151" s="111"/>
      <c r="N3151" s="111"/>
      <c r="O3151" s="111"/>
      <c r="P3151" s="111"/>
      <c r="Q3151" s="111"/>
      <c r="R3151" s="111"/>
    </row>
    <row r="3152" spans="2:18" s="108" customFormat="1">
      <c r="B3152" s="109"/>
      <c r="C3152" s="110"/>
      <c r="D3152" s="109"/>
      <c r="E3152" s="109"/>
      <c r="F3152" s="97"/>
      <c r="G3152" s="109"/>
      <c r="H3152" s="109"/>
      <c r="I3152" s="97"/>
      <c r="J3152" s="97"/>
      <c r="K3152" s="83"/>
      <c r="L3152" s="111"/>
      <c r="M3152" s="111"/>
      <c r="N3152" s="111"/>
      <c r="O3152" s="111"/>
      <c r="P3152" s="111"/>
      <c r="Q3152" s="111"/>
      <c r="R3152" s="111"/>
    </row>
    <row r="3153" spans="2:18" s="108" customFormat="1">
      <c r="B3153" s="109"/>
      <c r="C3153" s="110"/>
      <c r="D3153" s="109"/>
      <c r="E3153" s="109"/>
      <c r="F3153" s="97"/>
      <c r="G3153" s="109"/>
      <c r="H3153" s="109"/>
      <c r="I3153" s="97"/>
      <c r="J3153" s="97"/>
      <c r="K3153" s="83"/>
      <c r="L3153" s="111"/>
      <c r="M3153" s="111"/>
      <c r="N3153" s="111"/>
      <c r="O3153" s="111"/>
      <c r="P3153" s="111"/>
      <c r="Q3153" s="111"/>
      <c r="R3153" s="111"/>
    </row>
    <row r="3154" spans="2:18" s="108" customFormat="1">
      <c r="B3154" s="109"/>
      <c r="C3154" s="110"/>
      <c r="D3154" s="109"/>
      <c r="E3154" s="109"/>
      <c r="F3154" s="97"/>
      <c r="G3154" s="109"/>
      <c r="H3154" s="109"/>
      <c r="I3154" s="97"/>
      <c r="J3154" s="97"/>
      <c r="K3154" s="83"/>
      <c r="L3154" s="111"/>
      <c r="M3154" s="111"/>
      <c r="N3154" s="111"/>
      <c r="O3154" s="111"/>
      <c r="P3154" s="111"/>
      <c r="Q3154" s="111"/>
      <c r="R3154" s="111"/>
    </row>
    <row r="3155" spans="2:18" s="108" customFormat="1">
      <c r="B3155" s="109"/>
      <c r="C3155" s="110"/>
      <c r="D3155" s="109"/>
      <c r="E3155" s="109"/>
      <c r="F3155" s="97"/>
      <c r="G3155" s="109"/>
      <c r="H3155" s="109"/>
      <c r="I3155" s="97"/>
      <c r="J3155" s="97"/>
      <c r="K3155" s="83"/>
      <c r="L3155" s="111"/>
      <c r="M3155" s="111"/>
      <c r="N3155" s="111"/>
      <c r="O3155" s="111"/>
      <c r="P3155" s="111"/>
      <c r="Q3155" s="111"/>
      <c r="R3155" s="111"/>
    </row>
    <row r="3156" spans="2:18" s="108" customFormat="1">
      <c r="B3156" s="109"/>
      <c r="C3156" s="110"/>
      <c r="D3156" s="109"/>
      <c r="E3156" s="109"/>
      <c r="F3156" s="97"/>
      <c r="G3156" s="109"/>
      <c r="H3156" s="109"/>
      <c r="I3156" s="97"/>
      <c r="J3156" s="97"/>
      <c r="K3156" s="83"/>
      <c r="L3156" s="111"/>
      <c r="M3156" s="111"/>
      <c r="N3156" s="111"/>
      <c r="O3156" s="111"/>
      <c r="P3156" s="111"/>
      <c r="Q3156" s="111"/>
      <c r="R3156" s="111"/>
    </row>
    <row r="3157" spans="2:18" s="108" customFormat="1">
      <c r="B3157" s="109"/>
      <c r="C3157" s="110"/>
      <c r="D3157" s="109"/>
      <c r="E3157" s="109"/>
      <c r="F3157" s="97"/>
      <c r="G3157" s="109"/>
      <c r="H3157" s="109"/>
      <c r="I3157" s="97"/>
      <c r="J3157" s="97"/>
      <c r="K3157" s="83"/>
      <c r="L3157" s="111"/>
      <c r="M3157" s="111"/>
      <c r="N3157" s="111"/>
      <c r="O3157" s="111"/>
      <c r="P3157" s="111"/>
      <c r="Q3157" s="111"/>
      <c r="R3157" s="111"/>
    </row>
    <row r="3158" spans="2:18" s="108" customFormat="1">
      <c r="B3158" s="109"/>
      <c r="C3158" s="110"/>
      <c r="D3158" s="109"/>
      <c r="E3158" s="109"/>
      <c r="F3158" s="97"/>
      <c r="G3158" s="109"/>
      <c r="H3158" s="109"/>
      <c r="I3158" s="97"/>
      <c r="J3158" s="97"/>
      <c r="K3158" s="83"/>
      <c r="L3158" s="111"/>
      <c r="M3158" s="111"/>
      <c r="N3158" s="111"/>
      <c r="O3158" s="111"/>
      <c r="P3158" s="111"/>
      <c r="Q3158" s="111"/>
      <c r="R3158" s="111"/>
    </row>
    <row r="3159" spans="2:18" s="108" customFormat="1">
      <c r="B3159" s="109"/>
      <c r="C3159" s="110"/>
      <c r="D3159" s="109"/>
      <c r="E3159" s="109"/>
      <c r="F3159" s="97"/>
      <c r="G3159" s="109"/>
      <c r="H3159" s="109"/>
      <c r="I3159" s="97"/>
      <c r="J3159" s="97"/>
      <c r="K3159" s="83"/>
      <c r="L3159" s="111"/>
      <c r="M3159" s="111"/>
      <c r="N3159" s="111"/>
      <c r="O3159" s="111"/>
      <c r="P3159" s="111"/>
      <c r="Q3159" s="111"/>
      <c r="R3159" s="111"/>
    </row>
    <row r="3160" spans="2:18" s="108" customFormat="1">
      <c r="B3160" s="109"/>
      <c r="C3160" s="110"/>
      <c r="D3160" s="109"/>
      <c r="E3160" s="109"/>
      <c r="F3160" s="97"/>
      <c r="G3160" s="109"/>
      <c r="H3160" s="109"/>
      <c r="I3160" s="97"/>
      <c r="J3160" s="97"/>
      <c r="K3160" s="83"/>
      <c r="L3160" s="111"/>
      <c r="M3160" s="111"/>
      <c r="N3160" s="111"/>
      <c r="O3160" s="111"/>
      <c r="P3160" s="111"/>
      <c r="Q3160" s="111"/>
      <c r="R3160" s="111"/>
    </row>
    <row r="3161" spans="2:18" s="108" customFormat="1">
      <c r="B3161" s="109"/>
      <c r="C3161" s="110"/>
      <c r="D3161" s="109"/>
      <c r="E3161" s="109"/>
      <c r="F3161" s="97"/>
      <c r="G3161" s="109"/>
      <c r="H3161" s="109"/>
      <c r="I3161" s="97"/>
      <c r="J3161" s="97"/>
      <c r="K3161" s="83"/>
      <c r="L3161" s="111"/>
      <c r="M3161" s="111"/>
      <c r="N3161" s="111"/>
      <c r="O3161" s="111"/>
      <c r="P3161" s="111"/>
      <c r="Q3161" s="111"/>
      <c r="R3161" s="111"/>
    </row>
    <row r="3162" spans="2:18" s="108" customFormat="1">
      <c r="B3162" s="109"/>
      <c r="C3162" s="110"/>
      <c r="D3162" s="109"/>
      <c r="E3162" s="109"/>
      <c r="F3162" s="97"/>
      <c r="G3162" s="109"/>
      <c r="H3162" s="109"/>
      <c r="I3162" s="97"/>
      <c r="J3162" s="97"/>
      <c r="K3162" s="83"/>
      <c r="L3162" s="111"/>
      <c r="M3162" s="111"/>
      <c r="N3162" s="111"/>
      <c r="O3162" s="111"/>
      <c r="P3162" s="111"/>
      <c r="Q3162" s="111"/>
      <c r="R3162" s="111"/>
    </row>
    <row r="3163" spans="2:18" s="108" customFormat="1">
      <c r="B3163" s="109"/>
      <c r="C3163" s="110"/>
      <c r="D3163" s="109"/>
      <c r="E3163" s="109"/>
      <c r="F3163" s="97"/>
      <c r="G3163" s="109"/>
      <c r="H3163" s="109"/>
      <c r="I3163" s="97"/>
      <c r="J3163" s="97"/>
      <c r="K3163" s="83"/>
      <c r="L3163" s="111"/>
      <c r="M3163" s="111"/>
      <c r="N3163" s="111"/>
      <c r="O3163" s="111"/>
      <c r="P3163" s="111"/>
      <c r="Q3163" s="111"/>
      <c r="R3163" s="111"/>
    </row>
    <row r="3164" spans="2:18" s="108" customFormat="1">
      <c r="B3164" s="109"/>
      <c r="C3164" s="110"/>
      <c r="D3164" s="109"/>
      <c r="E3164" s="109"/>
      <c r="F3164" s="97"/>
      <c r="G3164" s="109"/>
      <c r="H3164" s="109"/>
      <c r="I3164" s="97"/>
      <c r="J3164" s="97"/>
      <c r="K3164" s="83"/>
      <c r="L3164" s="111"/>
      <c r="M3164" s="111"/>
      <c r="N3164" s="111"/>
      <c r="O3164" s="111"/>
      <c r="P3164" s="111"/>
      <c r="Q3164" s="111"/>
      <c r="R3164" s="111"/>
    </row>
    <row r="3165" spans="2:18" s="108" customFormat="1">
      <c r="B3165" s="109"/>
      <c r="C3165" s="110"/>
      <c r="D3165" s="109"/>
      <c r="E3165" s="109"/>
      <c r="F3165" s="97"/>
      <c r="G3165" s="109"/>
      <c r="H3165" s="109"/>
      <c r="I3165" s="97"/>
      <c r="J3165" s="97"/>
      <c r="K3165" s="83"/>
      <c r="L3165" s="111"/>
      <c r="M3165" s="111"/>
      <c r="N3165" s="111"/>
      <c r="O3165" s="111"/>
      <c r="P3165" s="111"/>
      <c r="Q3165" s="111"/>
      <c r="R3165" s="111"/>
    </row>
    <row r="3166" spans="2:18" s="108" customFormat="1">
      <c r="B3166" s="109"/>
      <c r="C3166" s="110"/>
      <c r="D3166" s="109"/>
      <c r="E3166" s="109"/>
      <c r="F3166" s="97"/>
      <c r="G3166" s="109"/>
      <c r="H3166" s="109"/>
      <c r="I3166" s="97"/>
      <c r="J3166" s="97"/>
      <c r="K3166" s="83"/>
      <c r="L3166" s="111"/>
      <c r="M3166" s="111"/>
      <c r="N3166" s="111"/>
      <c r="O3166" s="111"/>
      <c r="P3166" s="111"/>
      <c r="Q3166" s="111"/>
      <c r="R3166" s="111"/>
    </row>
    <row r="3167" spans="2:18" s="108" customFormat="1">
      <c r="B3167" s="109"/>
      <c r="C3167" s="110"/>
      <c r="D3167" s="109"/>
      <c r="E3167" s="109"/>
      <c r="F3167" s="97"/>
      <c r="G3167" s="109"/>
      <c r="H3167" s="109"/>
      <c r="I3167" s="97"/>
      <c r="J3167" s="97"/>
      <c r="K3167" s="83"/>
      <c r="L3167" s="111"/>
      <c r="M3167" s="111"/>
      <c r="N3167" s="111"/>
      <c r="O3167" s="111"/>
      <c r="P3167" s="111"/>
      <c r="Q3167" s="111"/>
      <c r="R3167" s="111"/>
    </row>
    <row r="3168" spans="2:18" s="108" customFormat="1">
      <c r="B3168" s="109"/>
      <c r="C3168" s="110"/>
      <c r="D3168" s="109"/>
      <c r="E3168" s="109"/>
      <c r="F3168" s="97"/>
      <c r="G3168" s="109"/>
      <c r="H3168" s="109"/>
      <c r="I3168" s="97"/>
      <c r="J3168" s="97"/>
      <c r="K3168" s="83"/>
      <c r="L3168" s="111"/>
      <c r="M3168" s="111"/>
      <c r="N3168" s="111"/>
      <c r="O3168" s="111"/>
      <c r="P3168" s="111"/>
      <c r="Q3168" s="111"/>
      <c r="R3168" s="111"/>
    </row>
    <row r="3169" spans="2:18" s="108" customFormat="1">
      <c r="B3169" s="109"/>
      <c r="C3169" s="110"/>
      <c r="D3169" s="109"/>
      <c r="E3169" s="109"/>
      <c r="F3169" s="97"/>
      <c r="G3169" s="109"/>
      <c r="H3169" s="109"/>
      <c r="I3169" s="97"/>
      <c r="J3169" s="97"/>
      <c r="K3169" s="83"/>
      <c r="L3169" s="111"/>
      <c r="M3169" s="111"/>
      <c r="N3169" s="111"/>
      <c r="O3169" s="111"/>
      <c r="P3169" s="111"/>
      <c r="Q3169" s="111"/>
      <c r="R3169" s="111"/>
    </row>
    <row r="3170" spans="2:18" s="108" customFormat="1">
      <c r="B3170" s="109"/>
      <c r="C3170" s="110"/>
      <c r="D3170" s="109"/>
      <c r="E3170" s="109"/>
      <c r="F3170" s="97"/>
      <c r="G3170" s="109"/>
      <c r="H3170" s="109"/>
      <c r="I3170" s="97"/>
      <c r="J3170" s="97"/>
      <c r="K3170" s="83"/>
      <c r="L3170" s="111"/>
      <c r="M3170" s="111"/>
      <c r="N3170" s="111"/>
      <c r="O3170" s="111"/>
      <c r="P3170" s="111"/>
      <c r="Q3170" s="111"/>
      <c r="R3170" s="111"/>
    </row>
    <row r="3171" spans="2:18" s="108" customFormat="1">
      <c r="B3171" s="109"/>
      <c r="C3171" s="110"/>
      <c r="D3171" s="109"/>
      <c r="E3171" s="109"/>
      <c r="F3171" s="97"/>
      <c r="G3171" s="109"/>
      <c r="H3171" s="109"/>
      <c r="I3171" s="97"/>
      <c r="J3171" s="97"/>
      <c r="K3171" s="83"/>
      <c r="L3171" s="111"/>
      <c r="M3171" s="111"/>
      <c r="N3171" s="111"/>
      <c r="O3171" s="111"/>
      <c r="P3171" s="111"/>
      <c r="Q3171" s="111"/>
      <c r="R3171" s="111"/>
    </row>
    <row r="3172" spans="2:18" s="108" customFormat="1">
      <c r="B3172" s="109"/>
      <c r="C3172" s="110"/>
      <c r="D3172" s="109"/>
      <c r="E3172" s="109"/>
      <c r="F3172" s="97"/>
      <c r="G3172" s="109"/>
      <c r="H3172" s="109"/>
      <c r="I3172" s="97"/>
      <c r="J3172" s="97"/>
      <c r="K3172" s="83"/>
      <c r="L3172" s="111"/>
      <c r="M3172" s="111"/>
      <c r="N3172" s="111"/>
      <c r="O3172" s="111"/>
      <c r="P3172" s="111"/>
      <c r="Q3172" s="111"/>
      <c r="R3172" s="111"/>
    </row>
    <row r="3173" spans="2:18" s="108" customFormat="1">
      <c r="B3173" s="109"/>
      <c r="C3173" s="110"/>
      <c r="D3173" s="109"/>
      <c r="E3173" s="109"/>
      <c r="F3173" s="97"/>
      <c r="G3173" s="109"/>
      <c r="H3173" s="109"/>
      <c r="I3173" s="97"/>
      <c r="J3173" s="97"/>
      <c r="K3173" s="83"/>
      <c r="L3173" s="111"/>
      <c r="M3173" s="111"/>
      <c r="N3173" s="111"/>
      <c r="O3173" s="111"/>
      <c r="P3173" s="111"/>
      <c r="Q3173" s="111"/>
      <c r="R3173" s="111"/>
    </row>
    <row r="3174" spans="2:18" s="108" customFormat="1">
      <c r="B3174" s="109"/>
      <c r="C3174" s="110"/>
      <c r="D3174" s="109"/>
      <c r="E3174" s="109"/>
      <c r="F3174" s="97"/>
      <c r="G3174" s="109"/>
      <c r="H3174" s="109"/>
      <c r="I3174" s="97"/>
      <c r="J3174" s="97"/>
      <c r="K3174" s="83"/>
      <c r="L3174" s="111"/>
      <c r="M3174" s="111"/>
      <c r="N3174" s="111"/>
      <c r="O3174" s="111"/>
      <c r="P3174" s="111"/>
      <c r="Q3174" s="111"/>
      <c r="R3174" s="111"/>
    </row>
    <row r="3175" spans="2:18" s="108" customFormat="1">
      <c r="B3175" s="109"/>
      <c r="C3175" s="110"/>
      <c r="D3175" s="109"/>
      <c r="E3175" s="109"/>
      <c r="F3175" s="97"/>
      <c r="G3175" s="109"/>
      <c r="H3175" s="109"/>
      <c r="I3175" s="97"/>
      <c r="J3175" s="97"/>
      <c r="K3175" s="83"/>
      <c r="L3175" s="111"/>
      <c r="M3175" s="111"/>
      <c r="N3175" s="111"/>
      <c r="O3175" s="111"/>
      <c r="P3175" s="111"/>
      <c r="Q3175" s="111"/>
      <c r="R3175" s="111"/>
    </row>
    <row r="3176" spans="2:18" s="108" customFormat="1">
      <c r="B3176" s="109"/>
      <c r="C3176" s="110"/>
      <c r="D3176" s="109"/>
      <c r="E3176" s="109"/>
      <c r="F3176" s="97"/>
      <c r="G3176" s="109"/>
      <c r="H3176" s="109"/>
      <c r="I3176" s="97"/>
      <c r="J3176" s="97"/>
      <c r="K3176" s="83"/>
      <c r="L3176" s="111"/>
      <c r="M3176" s="111"/>
      <c r="N3176" s="111"/>
      <c r="O3176" s="111"/>
      <c r="P3176" s="111"/>
      <c r="Q3176" s="111"/>
      <c r="R3176" s="111"/>
    </row>
    <row r="3177" spans="2:18" s="108" customFormat="1">
      <c r="B3177" s="109"/>
      <c r="C3177" s="110"/>
      <c r="D3177" s="109"/>
      <c r="E3177" s="109"/>
      <c r="F3177" s="97"/>
      <c r="G3177" s="109"/>
      <c r="H3177" s="109"/>
      <c r="I3177" s="97"/>
      <c r="J3177" s="97"/>
      <c r="K3177" s="83"/>
      <c r="L3177" s="111"/>
      <c r="M3177" s="111"/>
      <c r="N3177" s="111"/>
      <c r="O3177" s="111"/>
      <c r="P3177" s="111"/>
      <c r="Q3177" s="111"/>
      <c r="R3177" s="111"/>
    </row>
    <row r="3178" spans="2:18" s="108" customFormat="1">
      <c r="B3178" s="109"/>
      <c r="C3178" s="110"/>
      <c r="D3178" s="109"/>
      <c r="E3178" s="109"/>
      <c r="F3178" s="97"/>
      <c r="G3178" s="109"/>
      <c r="H3178" s="109"/>
      <c r="I3178" s="97"/>
      <c r="J3178" s="97"/>
      <c r="K3178" s="83"/>
      <c r="L3178" s="111"/>
      <c r="M3178" s="111"/>
      <c r="N3178" s="111"/>
      <c r="O3178" s="111"/>
      <c r="P3178" s="111"/>
      <c r="Q3178" s="111"/>
      <c r="R3178" s="111"/>
    </row>
    <row r="3179" spans="2:18" s="108" customFormat="1">
      <c r="B3179" s="109"/>
      <c r="C3179" s="110"/>
      <c r="D3179" s="109"/>
      <c r="E3179" s="109"/>
      <c r="F3179" s="97"/>
      <c r="G3179" s="109"/>
      <c r="H3179" s="109"/>
      <c r="I3179" s="97"/>
      <c r="J3179" s="97"/>
      <c r="K3179" s="83"/>
      <c r="L3179" s="111"/>
      <c r="M3179" s="111"/>
      <c r="N3179" s="111"/>
      <c r="O3179" s="111"/>
      <c r="P3179" s="111"/>
      <c r="Q3179" s="111"/>
      <c r="R3179" s="111"/>
    </row>
    <row r="3180" spans="2:18" s="108" customFormat="1">
      <c r="B3180" s="109"/>
      <c r="C3180" s="110"/>
      <c r="D3180" s="109"/>
      <c r="E3180" s="109"/>
      <c r="F3180" s="97"/>
      <c r="G3180" s="109"/>
      <c r="H3180" s="109"/>
      <c r="I3180" s="97"/>
      <c r="J3180" s="97"/>
      <c r="K3180" s="83"/>
      <c r="L3180" s="111"/>
      <c r="M3180" s="111"/>
      <c r="N3180" s="111"/>
      <c r="O3180" s="111"/>
      <c r="P3180" s="111"/>
      <c r="Q3180" s="111"/>
      <c r="R3180" s="111"/>
    </row>
    <row r="3181" spans="2:18" s="108" customFormat="1">
      <c r="B3181" s="109"/>
      <c r="C3181" s="110"/>
      <c r="D3181" s="109"/>
      <c r="E3181" s="109"/>
      <c r="F3181" s="97"/>
      <c r="G3181" s="109"/>
      <c r="H3181" s="109"/>
      <c r="I3181" s="97"/>
      <c r="J3181" s="97"/>
      <c r="K3181" s="83"/>
      <c r="L3181" s="111"/>
      <c r="M3181" s="111"/>
      <c r="N3181" s="111"/>
      <c r="O3181" s="111"/>
      <c r="P3181" s="111"/>
      <c r="Q3181" s="111"/>
      <c r="R3181" s="111"/>
    </row>
    <row r="3182" spans="2:18" s="108" customFormat="1">
      <c r="B3182" s="109"/>
      <c r="C3182" s="110"/>
      <c r="D3182" s="109"/>
      <c r="E3182" s="109"/>
      <c r="F3182" s="97"/>
      <c r="G3182" s="109"/>
      <c r="H3182" s="109"/>
      <c r="I3182" s="97"/>
      <c r="J3182" s="97"/>
      <c r="K3182" s="83"/>
      <c r="L3182" s="111"/>
      <c r="M3182" s="111"/>
      <c r="N3182" s="111"/>
      <c r="O3182" s="111"/>
      <c r="P3182" s="111"/>
      <c r="Q3182" s="111"/>
      <c r="R3182" s="111"/>
    </row>
    <row r="3183" spans="2:18" s="108" customFormat="1">
      <c r="B3183" s="109"/>
      <c r="C3183" s="110"/>
      <c r="D3183" s="109"/>
      <c r="E3183" s="109"/>
      <c r="F3183" s="97"/>
      <c r="G3183" s="109"/>
      <c r="H3183" s="109"/>
      <c r="I3183" s="97"/>
      <c r="J3183" s="97"/>
      <c r="K3183" s="83"/>
      <c r="L3183" s="111"/>
      <c r="M3183" s="111"/>
      <c r="N3183" s="111"/>
      <c r="O3183" s="111"/>
      <c r="P3183" s="111"/>
      <c r="Q3183" s="111"/>
      <c r="R3183" s="111"/>
    </row>
    <row r="3184" spans="2:18" s="108" customFormat="1">
      <c r="B3184" s="109"/>
      <c r="C3184" s="110"/>
      <c r="D3184" s="109"/>
      <c r="E3184" s="109"/>
      <c r="F3184" s="97"/>
      <c r="G3184" s="109"/>
      <c r="H3184" s="109"/>
      <c r="I3184" s="97"/>
      <c r="J3184" s="97"/>
      <c r="K3184" s="83"/>
      <c r="L3184" s="111"/>
      <c r="M3184" s="111"/>
      <c r="N3184" s="111"/>
      <c r="O3184" s="111"/>
      <c r="P3184" s="111"/>
      <c r="Q3184" s="111"/>
      <c r="R3184" s="111"/>
    </row>
    <row r="3185" spans="2:18" s="108" customFormat="1">
      <c r="B3185" s="109"/>
      <c r="C3185" s="110"/>
      <c r="D3185" s="109"/>
      <c r="E3185" s="109"/>
      <c r="F3185" s="97"/>
      <c r="G3185" s="109"/>
      <c r="H3185" s="109"/>
      <c r="I3185" s="97"/>
      <c r="J3185" s="97"/>
      <c r="K3185" s="83"/>
      <c r="L3185" s="111"/>
      <c r="M3185" s="111"/>
      <c r="N3185" s="111"/>
      <c r="O3185" s="111"/>
      <c r="P3185" s="111"/>
      <c r="Q3185" s="111"/>
      <c r="R3185" s="111"/>
    </row>
    <row r="3186" spans="2:18" s="108" customFormat="1">
      <c r="B3186" s="109"/>
      <c r="C3186" s="110"/>
      <c r="D3186" s="109"/>
      <c r="E3186" s="109"/>
      <c r="F3186" s="97"/>
      <c r="G3186" s="109"/>
      <c r="H3186" s="109"/>
      <c r="I3186" s="97"/>
      <c r="J3186" s="97"/>
      <c r="K3186" s="83"/>
      <c r="L3186" s="111"/>
      <c r="M3186" s="111"/>
      <c r="N3186" s="111"/>
      <c r="O3186" s="111"/>
      <c r="P3186" s="111"/>
      <c r="Q3186" s="111"/>
      <c r="R3186" s="111"/>
    </row>
    <row r="3187" spans="2:18" s="108" customFormat="1">
      <c r="B3187" s="109"/>
      <c r="C3187" s="110"/>
      <c r="D3187" s="109"/>
      <c r="E3187" s="109"/>
      <c r="F3187" s="97"/>
      <c r="G3187" s="109"/>
      <c r="H3187" s="109"/>
      <c r="I3187" s="97"/>
      <c r="J3187" s="97"/>
      <c r="K3187" s="83"/>
      <c r="L3187" s="111"/>
      <c r="M3187" s="111"/>
      <c r="N3187" s="111"/>
      <c r="O3187" s="111"/>
      <c r="P3187" s="111"/>
      <c r="Q3187" s="111"/>
      <c r="R3187" s="111"/>
    </row>
    <row r="3188" spans="2:18" s="108" customFormat="1">
      <c r="B3188" s="109"/>
      <c r="C3188" s="110"/>
      <c r="D3188" s="109"/>
      <c r="E3188" s="109"/>
      <c r="F3188" s="97"/>
      <c r="G3188" s="109"/>
      <c r="H3188" s="109"/>
      <c r="I3188" s="97"/>
      <c r="J3188" s="97"/>
      <c r="K3188" s="83"/>
      <c r="L3188" s="111"/>
      <c r="M3188" s="111"/>
      <c r="N3188" s="111"/>
      <c r="O3188" s="111"/>
      <c r="P3188" s="111"/>
      <c r="Q3188" s="111"/>
      <c r="R3188" s="111"/>
    </row>
    <row r="3189" spans="2:18" s="108" customFormat="1">
      <c r="B3189" s="109"/>
      <c r="C3189" s="110"/>
      <c r="D3189" s="109"/>
      <c r="E3189" s="109"/>
      <c r="F3189" s="97"/>
      <c r="G3189" s="109"/>
      <c r="H3189" s="109"/>
      <c r="I3189" s="97"/>
      <c r="J3189" s="97"/>
      <c r="K3189" s="83"/>
      <c r="L3189" s="111"/>
      <c r="M3189" s="111"/>
      <c r="N3189" s="111"/>
      <c r="O3189" s="111"/>
      <c r="P3189" s="111"/>
      <c r="Q3189" s="111"/>
      <c r="R3189" s="111"/>
    </row>
    <row r="3190" spans="2:18" s="108" customFormat="1">
      <c r="B3190" s="109"/>
      <c r="C3190" s="110"/>
      <c r="D3190" s="109"/>
      <c r="E3190" s="109"/>
      <c r="F3190" s="97"/>
      <c r="G3190" s="109"/>
      <c r="H3190" s="109"/>
      <c r="I3190" s="97"/>
      <c r="J3190" s="97"/>
      <c r="K3190" s="83"/>
      <c r="L3190" s="111"/>
      <c r="M3190" s="111"/>
      <c r="N3190" s="111"/>
      <c r="O3190" s="111"/>
      <c r="P3190" s="111"/>
      <c r="Q3190" s="111"/>
      <c r="R3190" s="111"/>
    </row>
    <row r="3191" spans="2:18" s="108" customFormat="1">
      <c r="B3191" s="109"/>
      <c r="C3191" s="110"/>
      <c r="D3191" s="109"/>
      <c r="E3191" s="109"/>
      <c r="F3191" s="97"/>
      <c r="G3191" s="109"/>
      <c r="H3191" s="109"/>
      <c r="I3191" s="97"/>
      <c r="J3191" s="97"/>
      <c r="K3191" s="83"/>
      <c r="L3191" s="111"/>
      <c r="M3191" s="111"/>
      <c r="N3191" s="111"/>
      <c r="O3191" s="111"/>
      <c r="P3191" s="111"/>
      <c r="Q3191" s="111"/>
      <c r="R3191" s="111"/>
    </row>
    <row r="3192" spans="2:18" s="108" customFormat="1">
      <c r="B3192" s="109"/>
      <c r="C3192" s="110"/>
      <c r="D3192" s="109"/>
      <c r="E3192" s="109"/>
      <c r="F3192" s="97"/>
      <c r="G3192" s="109"/>
      <c r="H3192" s="109"/>
      <c r="I3192" s="97"/>
      <c r="J3192" s="97"/>
      <c r="K3192" s="83"/>
      <c r="L3192" s="111"/>
      <c r="M3192" s="111"/>
      <c r="N3192" s="111"/>
      <c r="O3192" s="111"/>
      <c r="P3192" s="111"/>
      <c r="Q3192" s="111"/>
      <c r="R3192" s="111"/>
    </row>
    <row r="3193" spans="2:18" s="108" customFormat="1">
      <c r="B3193" s="109"/>
      <c r="C3193" s="110"/>
      <c r="D3193" s="109"/>
      <c r="E3193" s="109"/>
      <c r="F3193" s="97"/>
      <c r="G3193" s="109"/>
      <c r="H3193" s="109"/>
      <c r="I3193" s="97"/>
      <c r="J3193" s="97"/>
      <c r="K3193" s="83"/>
      <c r="L3193" s="111"/>
      <c r="M3193" s="111"/>
      <c r="N3193" s="111"/>
      <c r="O3193" s="111"/>
      <c r="P3193" s="111"/>
      <c r="Q3193" s="111"/>
      <c r="R3193" s="111"/>
    </row>
    <row r="3194" spans="2:18" s="108" customFormat="1">
      <c r="B3194" s="109"/>
      <c r="C3194" s="110"/>
      <c r="D3194" s="109"/>
      <c r="E3194" s="109"/>
      <c r="F3194" s="97"/>
      <c r="G3194" s="109"/>
      <c r="H3194" s="109"/>
      <c r="I3194" s="97"/>
      <c r="J3194" s="97"/>
      <c r="K3194" s="83"/>
      <c r="L3194" s="111"/>
      <c r="M3194" s="111"/>
      <c r="N3194" s="111"/>
      <c r="O3194" s="111"/>
      <c r="P3194" s="111"/>
      <c r="Q3194" s="111"/>
      <c r="R3194" s="111"/>
    </row>
    <row r="3195" spans="2:18" s="108" customFormat="1">
      <c r="B3195" s="109"/>
      <c r="C3195" s="110"/>
      <c r="D3195" s="109"/>
      <c r="E3195" s="109"/>
      <c r="F3195" s="97"/>
      <c r="G3195" s="109"/>
      <c r="H3195" s="109"/>
      <c r="I3195" s="97"/>
      <c r="J3195" s="97"/>
      <c r="K3195" s="83"/>
      <c r="L3195" s="111"/>
      <c r="M3195" s="111"/>
      <c r="N3195" s="111"/>
      <c r="O3195" s="111"/>
      <c r="P3195" s="111"/>
      <c r="Q3195" s="111"/>
      <c r="R3195" s="111"/>
    </row>
    <row r="3196" spans="2:18" s="108" customFormat="1">
      <c r="B3196" s="109"/>
      <c r="C3196" s="110"/>
      <c r="D3196" s="109"/>
      <c r="E3196" s="109"/>
      <c r="F3196" s="97"/>
      <c r="G3196" s="109"/>
      <c r="H3196" s="109"/>
      <c r="I3196" s="97"/>
      <c r="J3196" s="97"/>
      <c r="K3196" s="83"/>
      <c r="L3196" s="111"/>
      <c r="M3196" s="111"/>
      <c r="N3196" s="111"/>
      <c r="O3196" s="111"/>
      <c r="P3196" s="111"/>
      <c r="Q3196" s="111"/>
      <c r="R3196" s="111"/>
    </row>
    <row r="3197" spans="2:18" s="108" customFormat="1">
      <c r="B3197" s="109"/>
      <c r="C3197" s="110"/>
      <c r="D3197" s="109"/>
      <c r="E3197" s="109"/>
      <c r="F3197" s="97"/>
      <c r="G3197" s="109"/>
      <c r="H3197" s="109"/>
      <c r="I3197" s="97"/>
      <c r="J3197" s="97"/>
      <c r="K3197" s="83"/>
      <c r="L3197" s="111"/>
      <c r="M3197" s="111"/>
      <c r="N3197" s="111"/>
      <c r="O3197" s="111"/>
      <c r="P3197" s="111"/>
      <c r="Q3197" s="111"/>
      <c r="R3197" s="111"/>
    </row>
    <row r="3198" spans="2:18" s="108" customFormat="1">
      <c r="B3198" s="109"/>
      <c r="C3198" s="110"/>
      <c r="D3198" s="109"/>
      <c r="E3198" s="109"/>
      <c r="F3198" s="97"/>
      <c r="G3198" s="109"/>
      <c r="H3198" s="109"/>
      <c r="I3198" s="97"/>
      <c r="J3198" s="97"/>
      <c r="K3198" s="83"/>
      <c r="L3198" s="111"/>
      <c r="M3198" s="111"/>
      <c r="N3198" s="111"/>
      <c r="O3198" s="111"/>
      <c r="P3198" s="111"/>
      <c r="Q3198" s="111"/>
      <c r="R3198" s="111"/>
    </row>
    <row r="3199" spans="2:18" s="108" customFormat="1">
      <c r="B3199" s="109"/>
      <c r="C3199" s="110"/>
      <c r="D3199" s="109"/>
      <c r="E3199" s="109"/>
      <c r="F3199" s="97"/>
      <c r="G3199" s="109"/>
      <c r="H3199" s="109"/>
      <c r="I3199" s="97"/>
      <c r="J3199" s="97"/>
      <c r="K3199" s="83"/>
      <c r="L3199" s="111"/>
      <c r="M3199" s="111"/>
      <c r="N3199" s="111"/>
      <c r="O3199" s="111"/>
      <c r="P3199" s="111"/>
      <c r="Q3199" s="111"/>
      <c r="R3199" s="111"/>
    </row>
    <row r="3200" spans="2:18" s="108" customFormat="1">
      <c r="B3200" s="109"/>
      <c r="C3200" s="110"/>
      <c r="D3200" s="109"/>
      <c r="E3200" s="109"/>
      <c r="F3200" s="97"/>
      <c r="G3200" s="109"/>
      <c r="H3200" s="109"/>
      <c r="I3200" s="97"/>
      <c r="J3200" s="97"/>
      <c r="K3200" s="83"/>
      <c r="L3200" s="111"/>
      <c r="M3200" s="111"/>
      <c r="N3200" s="111"/>
      <c r="O3200" s="111"/>
      <c r="P3200" s="111"/>
      <c r="Q3200" s="111"/>
      <c r="R3200" s="111"/>
    </row>
    <row r="3201" spans="2:18" s="108" customFormat="1">
      <c r="B3201" s="109"/>
      <c r="C3201" s="110"/>
      <c r="D3201" s="109"/>
      <c r="E3201" s="109"/>
      <c r="F3201" s="97"/>
      <c r="G3201" s="109"/>
      <c r="H3201" s="109"/>
      <c r="I3201" s="97"/>
      <c r="J3201" s="97"/>
      <c r="K3201" s="83"/>
      <c r="L3201" s="111"/>
      <c r="M3201" s="111"/>
      <c r="N3201" s="111"/>
      <c r="O3201" s="111"/>
      <c r="P3201" s="111"/>
      <c r="Q3201" s="111"/>
      <c r="R3201" s="111"/>
    </row>
    <row r="3202" spans="2:18" s="108" customFormat="1">
      <c r="B3202" s="109"/>
      <c r="C3202" s="110"/>
      <c r="D3202" s="109"/>
      <c r="E3202" s="109"/>
      <c r="F3202" s="97"/>
      <c r="G3202" s="109"/>
      <c r="H3202" s="109"/>
      <c r="I3202" s="97"/>
      <c r="J3202" s="97"/>
      <c r="K3202" s="83"/>
      <c r="L3202" s="111"/>
      <c r="M3202" s="111"/>
      <c r="N3202" s="111"/>
      <c r="O3202" s="111"/>
      <c r="P3202" s="111"/>
      <c r="Q3202" s="111"/>
      <c r="R3202" s="111"/>
    </row>
    <row r="3203" spans="2:18" s="108" customFormat="1">
      <c r="B3203" s="109"/>
      <c r="C3203" s="110"/>
      <c r="D3203" s="109"/>
      <c r="E3203" s="109"/>
      <c r="F3203" s="97"/>
      <c r="G3203" s="109"/>
      <c r="H3203" s="109"/>
      <c r="I3203" s="97"/>
      <c r="J3203" s="97"/>
      <c r="K3203" s="83"/>
      <c r="L3203" s="111"/>
      <c r="M3203" s="111"/>
      <c r="N3203" s="111"/>
      <c r="O3203" s="111"/>
      <c r="P3203" s="111"/>
      <c r="Q3203" s="111"/>
      <c r="R3203" s="111"/>
    </row>
    <row r="3204" spans="2:18" s="108" customFormat="1">
      <c r="B3204" s="109"/>
      <c r="C3204" s="110"/>
      <c r="D3204" s="109"/>
      <c r="E3204" s="109"/>
      <c r="F3204" s="97"/>
      <c r="G3204" s="109"/>
      <c r="H3204" s="109"/>
      <c r="I3204" s="97"/>
      <c r="J3204" s="97"/>
      <c r="K3204" s="83"/>
      <c r="L3204" s="111"/>
      <c r="M3204" s="111"/>
      <c r="N3204" s="111"/>
      <c r="O3204" s="111"/>
      <c r="P3204" s="111"/>
      <c r="Q3204" s="111"/>
      <c r="R3204" s="111"/>
    </row>
    <row r="3205" spans="2:18" s="108" customFormat="1">
      <c r="B3205" s="109"/>
      <c r="C3205" s="110"/>
      <c r="D3205" s="109"/>
      <c r="E3205" s="109"/>
      <c r="F3205" s="97"/>
      <c r="G3205" s="109"/>
      <c r="H3205" s="109"/>
      <c r="I3205" s="97"/>
      <c r="J3205" s="97"/>
      <c r="K3205" s="83"/>
      <c r="L3205" s="111"/>
      <c r="M3205" s="111"/>
      <c r="N3205" s="111"/>
      <c r="O3205" s="111"/>
      <c r="P3205" s="111"/>
      <c r="Q3205" s="111"/>
      <c r="R3205" s="111"/>
    </row>
    <row r="3206" spans="2:18" s="108" customFormat="1">
      <c r="B3206" s="109"/>
      <c r="C3206" s="110"/>
      <c r="D3206" s="109"/>
      <c r="E3206" s="109"/>
      <c r="F3206" s="97"/>
      <c r="G3206" s="109"/>
      <c r="H3206" s="109"/>
      <c r="I3206" s="97"/>
      <c r="J3206" s="97"/>
      <c r="K3206" s="83"/>
      <c r="L3206" s="111"/>
      <c r="M3206" s="111"/>
      <c r="N3206" s="111"/>
      <c r="O3206" s="111"/>
      <c r="P3206" s="111"/>
      <c r="Q3206" s="111"/>
      <c r="R3206" s="111"/>
    </row>
    <row r="3207" spans="2:18" s="108" customFormat="1">
      <c r="B3207" s="109"/>
      <c r="C3207" s="110"/>
      <c r="D3207" s="109"/>
      <c r="E3207" s="109"/>
      <c r="F3207" s="97"/>
      <c r="G3207" s="109"/>
      <c r="H3207" s="109"/>
      <c r="I3207" s="97"/>
      <c r="J3207" s="97"/>
      <c r="K3207" s="83"/>
      <c r="L3207" s="111"/>
      <c r="M3207" s="111"/>
      <c r="N3207" s="111"/>
      <c r="O3207" s="111"/>
      <c r="P3207" s="111"/>
      <c r="Q3207" s="111"/>
      <c r="R3207" s="111"/>
    </row>
    <row r="3208" spans="2:18" s="108" customFormat="1">
      <c r="B3208" s="109"/>
      <c r="C3208" s="110"/>
      <c r="D3208" s="109"/>
      <c r="E3208" s="109"/>
      <c r="F3208" s="97"/>
      <c r="G3208" s="109"/>
      <c r="H3208" s="109"/>
      <c r="I3208" s="97"/>
      <c r="J3208" s="97"/>
      <c r="K3208" s="83"/>
      <c r="L3208" s="111"/>
      <c r="M3208" s="111"/>
      <c r="N3208" s="111"/>
      <c r="O3208" s="111"/>
      <c r="P3208" s="111"/>
      <c r="Q3208" s="111"/>
      <c r="R3208" s="111"/>
    </row>
    <row r="3209" spans="2:18" s="108" customFormat="1">
      <c r="B3209" s="109"/>
      <c r="C3209" s="110"/>
      <c r="D3209" s="109"/>
      <c r="E3209" s="109"/>
      <c r="F3209" s="97"/>
      <c r="G3209" s="109"/>
      <c r="H3209" s="109"/>
      <c r="I3209" s="97"/>
      <c r="J3209" s="97"/>
      <c r="K3209" s="83"/>
      <c r="L3209" s="111"/>
      <c r="M3209" s="111"/>
      <c r="N3209" s="111"/>
      <c r="O3209" s="111"/>
      <c r="P3209" s="111"/>
      <c r="Q3209" s="111"/>
      <c r="R3209" s="111"/>
    </row>
    <row r="3210" spans="2:18" s="108" customFormat="1">
      <c r="B3210" s="109"/>
      <c r="C3210" s="110"/>
      <c r="D3210" s="109"/>
      <c r="E3210" s="109"/>
      <c r="F3210" s="97"/>
      <c r="G3210" s="109"/>
      <c r="H3210" s="109"/>
      <c r="I3210" s="97"/>
      <c r="J3210" s="97"/>
      <c r="K3210" s="83"/>
      <c r="L3210" s="111"/>
      <c r="M3210" s="111"/>
      <c r="N3210" s="111"/>
      <c r="O3210" s="111"/>
      <c r="P3210" s="111"/>
      <c r="Q3210" s="111"/>
      <c r="R3210" s="111"/>
    </row>
    <row r="3211" spans="2:18" s="108" customFormat="1">
      <c r="B3211" s="109"/>
      <c r="C3211" s="110"/>
      <c r="D3211" s="109"/>
      <c r="E3211" s="109"/>
      <c r="F3211" s="97"/>
      <c r="G3211" s="109"/>
      <c r="H3211" s="109"/>
      <c r="I3211" s="97"/>
      <c r="J3211" s="97"/>
      <c r="K3211" s="83"/>
      <c r="L3211" s="111"/>
      <c r="M3211" s="111"/>
      <c r="N3211" s="111"/>
      <c r="O3211" s="111"/>
      <c r="P3211" s="111"/>
      <c r="Q3211" s="111"/>
      <c r="R3211" s="111"/>
    </row>
    <row r="3212" spans="2:18" s="108" customFormat="1">
      <c r="B3212" s="109"/>
      <c r="C3212" s="110"/>
      <c r="D3212" s="109"/>
      <c r="E3212" s="109"/>
      <c r="F3212" s="97"/>
      <c r="G3212" s="109"/>
      <c r="H3212" s="109"/>
      <c r="I3212" s="97"/>
      <c r="J3212" s="97"/>
      <c r="K3212" s="83"/>
      <c r="L3212" s="111"/>
      <c r="M3212" s="111"/>
      <c r="N3212" s="111"/>
      <c r="O3212" s="111"/>
      <c r="P3212" s="111"/>
      <c r="Q3212" s="111"/>
      <c r="R3212" s="111"/>
    </row>
    <row r="3213" spans="2:18" s="108" customFormat="1">
      <c r="B3213" s="109"/>
      <c r="C3213" s="110"/>
      <c r="D3213" s="109"/>
      <c r="E3213" s="109"/>
      <c r="F3213" s="97"/>
      <c r="G3213" s="109"/>
      <c r="H3213" s="109"/>
      <c r="I3213" s="97"/>
      <c r="J3213" s="97"/>
      <c r="K3213" s="83"/>
      <c r="L3213" s="111"/>
      <c r="M3213" s="111"/>
      <c r="N3213" s="111"/>
      <c r="O3213" s="111"/>
      <c r="P3213" s="111"/>
      <c r="Q3213" s="111"/>
      <c r="R3213" s="111"/>
    </row>
    <row r="3214" spans="2:18" s="108" customFormat="1">
      <c r="B3214" s="109"/>
      <c r="C3214" s="110"/>
      <c r="D3214" s="109"/>
      <c r="E3214" s="109"/>
      <c r="F3214" s="97"/>
      <c r="G3214" s="109"/>
      <c r="H3214" s="109"/>
      <c r="I3214" s="97"/>
      <c r="J3214" s="97"/>
      <c r="K3214" s="83"/>
      <c r="L3214" s="111"/>
      <c r="M3214" s="111"/>
      <c r="N3214" s="111"/>
      <c r="O3214" s="111"/>
      <c r="P3214" s="111"/>
      <c r="Q3214" s="111"/>
      <c r="R3214" s="111"/>
    </row>
    <row r="3215" spans="2:18" s="108" customFormat="1">
      <c r="B3215" s="109"/>
      <c r="C3215" s="110"/>
      <c r="D3215" s="109"/>
      <c r="E3215" s="109"/>
      <c r="F3215" s="97"/>
      <c r="G3215" s="109"/>
      <c r="H3215" s="109"/>
      <c r="I3215" s="97"/>
      <c r="J3215" s="97"/>
      <c r="K3215" s="83"/>
      <c r="L3215" s="111"/>
      <c r="M3215" s="111"/>
      <c r="N3215" s="111"/>
      <c r="O3215" s="111"/>
      <c r="P3215" s="111"/>
      <c r="Q3215" s="111"/>
      <c r="R3215" s="111"/>
    </row>
    <row r="3216" spans="2:18" s="108" customFormat="1">
      <c r="B3216" s="109"/>
      <c r="C3216" s="110"/>
      <c r="D3216" s="109"/>
      <c r="E3216" s="109"/>
      <c r="F3216" s="97"/>
      <c r="G3216" s="109"/>
      <c r="H3216" s="109"/>
      <c r="I3216" s="97"/>
      <c r="J3216" s="97"/>
      <c r="K3216" s="83"/>
      <c r="L3216" s="111"/>
      <c r="M3216" s="111"/>
      <c r="N3216" s="111"/>
      <c r="O3216" s="111"/>
      <c r="P3216" s="111"/>
      <c r="Q3216" s="111"/>
      <c r="R3216" s="111"/>
    </row>
    <row r="3217" spans="2:18" s="108" customFormat="1">
      <c r="B3217" s="109"/>
      <c r="C3217" s="110"/>
      <c r="D3217" s="109"/>
      <c r="E3217" s="109"/>
      <c r="F3217" s="97"/>
      <c r="G3217" s="109"/>
      <c r="H3217" s="109"/>
      <c r="I3217" s="97"/>
      <c r="J3217" s="97"/>
      <c r="K3217" s="83"/>
      <c r="L3217" s="111"/>
      <c r="M3217" s="111"/>
      <c r="N3217" s="111"/>
      <c r="O3217" s="111"/>
      <c r="P3217" s="111"/>
      <c r="Q3217" s="111"/>
      <c r="R3217" s="111"/>
    </row>
    <row r="3218" spans="2:18" s="108" customFormat="1">
      <c r="B3218" s="109"/>
      <c r="C3218" s="110"/>
      <c r="D3218" s="109"/>
      <c r="E3218" s="109"/>
      <c r="F3218" s="97"/>
      <c r="G3218" s="109"/>
      <c r="H3218" s="109"/>
      <c r="I3218" s="97"/>
      <c r="J3218" s="97"/>
      <c r="K3218" s="83"/>
      <c r="L3218" s="111"/>
      <c r="M3218" s="111"/>
      <c r="N3218" s="111"/>
      <c r="O3218" s="111"/>
      <c r="P3218" s="111"/>
      <c r="Q3218" s="111"/>
      <c r="R3218" s="111"/>
    </row>
    <row r="3219" spans="2:18" s="108" customFormat="1">
      <c r="B3219" s="109"/>
      <c r="C3219" s="110"/>
      <c r="D3219" s="109"/>
      <c r="E3219" s="109"/>
      <c r="F3219" s="97"/>
      <c r="G3219" s="109"/>
      <c r="H3219" s="109"/>
      <c r="I3219" s="97"/>
      <c r="J3219" s="97"/>
      <c r="K3219" s="83"/>
      <c r="L3219" s="111"/>
      <c r="M3219" s="111"/>
      <c r="N3219" s="111"/>
      <c r="O3219" s="111"/>
      <c r="P3219" s="111"/>
      <c r="Q3219" s="111"/>
      <c r="R3219" s="111"/>
    </row>
    <row r="3220" spans="2:18" s="108" customFormat="1">
      <c r="B3220" s="109"/>
      <c r="C3220" s="110"/>
      <c r="D3220" s="109"/>
      <c r="E3220" s="109"/>
      <c r="F3220" s="97"/>
      <c r="G3220" s="109"/>
      <c r="H3220" s="109"/>
      <c r="I3220" s="97"/>
      <c r="J3220" s="97"/>
      <c r="K3220" s="83"/>
      <c r="L3220" s="111"/>
      <c r="M3220" s="111"/>
      <c r="N3220" s="111"/>
      <c r="O3220" s="111"/>
      <c r="P3220" s="111"/>
      <c r="Q3220" s="111"/>
      <c r="R3220" s="111"/>
    </row>
    <row r="3221" spans="2:18" s="108" customFormat="1">
      <c r="B3221" s="109"/>
      <c r="C3221" s="110"/>
      <c r="D3221" s="109"/>
      <c r="E3221" s="109"/>
      <c r="F3221" s="97"/>
      <c r="G3221" s="109"/>
      <c r="H3221" s="109"/>
      <c r="I3221" s="97"/>
      <c r="J3221" s="97"/>
      <c r="K3221" s="83"/>
      <c r="L3221" s="111"/>
      <c r="M3221" s="111"/>
      <c r="N3221" s="111"/>
      <c r="O3221" s="111"/>
      <c r="P3221" s="111"/>
      <c r="Q3221" s="111"/>
      <c r="R3221" s="111"/>
    </row>
    <row r="3222" spans="2:18" s="108" customFormat="1">
      <c r="B3222" s="109"/>
      <c r="C3222" s="110"/>
      <c r="D3222" s="109"/>
      <c r="E3222" s="109"/>
      <c r="F3222" s="97"/>
      <c r="G3222" s="109"/>
      <c r="H3222" s="109"/>
      <c r="I3222" s="97"/>
      <c r="J3222" s="97"/>
      <c r="K3222" s="83"/>
      <c r="L3222" s="111"/>
      <c r="M3222" s="111"/>
      <c r="N3222" s="111"/>
      <c r="O3222" s="111"/>
      <c r="P3222" s="111"/>
      <c r="Q3222" s="111"/>
      <c r="R3222" s="111"/>
    </row>
    <row r="3223" spans="2:18" s="108" customFormat="1">
      <c r="B3223" s="109"/>
      <c r="C3223" s="110"/>
      <c r="D3223" s="109"/>
      <c r="E3223" s="109"/>
      <c r="F3223" s="97"/>
      <c r="G3223" s="109"/>
      <c r="H3223" s="109"/>
      <c r="I3223" s="97"/>
      <c r="J3223" s="97"/>
      <c r="K3223" s="83"/>
      <c r="L3223" s="111"/>
      <c r="M3223" s="111"/>
      <c r="N3223" s="111"/>
      <c r="O3223" s="111"/>
      <c r="P3223" s="111"/>
      <c r="Q3223" s="111"/>
      <c r="R3223" s="111"/>
    </row>
    <row r="3224" spans="2:18" s="108" customFormat="1">
      <c r="B3224" s="109"/>
      <c r="C3224" s="110"/>
      <c r="D3224" s="109"/>
      <c r="E3224" s="109"/>
      <c r="F3224" s="97"/>
      <c r="G3224" s="109"/>
      <c r="H3224" s="109"/>
      <c r="I3224" s="97"/>
      <c r="J3224" s="97"/>
      <c r="K3224" s="83"/>
      <c r="L3224" s="111"/>
      <c r="M3224" s="111"/>
      <c r="N3224" s="111"/>
      <c r="O3224" s="111"/>
      <c r="P3224" s="111"/>
      <c r="Q3224" s="111"/>
      <c r="R3224" s="111"/>
    </row>
    <row r="3225" spans="2:18" s="108" customFormat="1">
      <c r="B3225" s="109"/>
      <c r="C3225" s="110"/>
      <c r="D3225" s="109"/>
      <c r="E3225" s="109"/>
      <c r="F3225" s="97"/>
      <c r="G3225" s="109"/>
      <c r="H3225" s="109"/>
      <c r="I3225" s="97"/>
      <c r="J3225" s="97"/>
      <c r="K3225" s="83"/>
      <c r="L3225" s="111"/>
      <c r="M3225" s="111"/>
      <c r="N3225" s="111"/>
      <c r="O3225" s="111"/>
      <c r="P3225" s="111"/>
      <c r="Q3225" s="111"/>
      <c r="R3225" s="111"/>
    </row>
    <row r="3226" spans="2:18" s="108" customFormat="1">
      <c r="B3226" s="109"/>
      <c r="C3226" s="110"/>
      <c r="D3226" s="109"/>
      <c r="E3226" s="109"/>
      <c r="F3226" s="97"/>
      <c r="G3226" s="109"/>
      <c r="H3226" s="109"/>
      <c r="I3226" s="97"/>
      <c r="J3226" s="97"/>
      <c r="K3226" s="83"/>
      <c r="L3226" s="111"/>
      <c r="M3226" s="111"/>
      <c r="N3226" s="111"/>
      <c r="O3226" s="111"/>
      <c r="P3226" s="111"/>
      <c r="Q3226" s="111"/>
      <c r="R3226" s="111"/>
    </row>
    <row r="3227" spans="2:18" s="108" customFormat="1">
      <c r="B3227" s="109"/>
      <c r="C3227" s="110"/>
      <c r="D3227" s="109"/>
      <c r="E3227" s="109"/>
      <c r="F3227" s="97"/>
      <c r="G3227" s="109"/>
      <c r="H3227" s="109"/>
      <c r="I3227" s="97"/>
      <c r="J3227" s="97"/>
      <c r="K3227" s="83"/>
      <c r="L3227" s="111"/>
      <c r="M3227" s="111"/>
      <c r="N3227" s="111"/>
      <c r="O3227" s="111"/>
      <c r="P3227" s="111"/>
      <c r="Q3227" s="111"/>
      <c r="R3227" s="111"/>
    </row>
    <row r="3228" spans="2:18" s="108" customFormat="1">
      <c r="B3228" s="109"/>
      <c r="C3228" s="110"/>
      <c r="D3228" s="109"/>
      <c r="E3228" s="109"/>
      <c r="F3228" s="97"/>
      <c r="G3228" s="109"/>
      <c r="H3228" s="109"/>
      <c r="I3228" s="97"/>
      <c r="J3228" s="97"/>
      <c r="K3228" s="83"/>
      <c r="L3228" s="111"/>
      <c r="M3228" s="111"/>
      <c r="N3228" s="111"/>
      <c r="O3228" s="111"/>
      <c r="P3228" s="111"/>
      <c r="Q3228" s="111"/>
      <c r="R3228" s="111"/>
    </row>
    <row r="3229" spans="2:18" s="108" customFormat="1">
      <c r="B3229" s="109"/>
      <c r="C3229" s="110"/>
      <c r="D3229" s="109"/>
      <c r="E3229" s="109"/>
      <c r="F3229" s="97"/>
      <c r="G3229" s="109"/>
      <c r="H3229" s="109"/>
      <c r="I3229" s="97"/>
      <c r="J3229" s="97"/>
      <c r="K3229" s="83"/>
      <c r="L3229" s="111"/>
      <c r="M3229" s="111"/>
      <c r="N3229" s="111"/>
      <c r="O3229" s="111"/>
      <c r="P3229" s="111"/>
      <c r="Q3229" s="111"/>
      <c r="R3229" s="111"/>
    </row>
    <row r="3230" spans="2:18" s="108" customFormat="1">
      <c r="B3230" s="109"/>
      <c r="C3230" s="110"/>
      <c r="D3230" s="109"/>
      <c r="E3230" s="109"/>
      <c r="F3230" s="97"/>
      <c r="G3230" s="109"/>
      <c r="H3230" s="109"/>
      <c r="I3230" s="97"/>
      <c r="J3230" s="97"/>
      <c r="K3230" s="83"/>
      <c r="L3230" s="111"/>
      <c r="M3230" s="111"/>
      <c r="N3230" s="111"/>
      <c r="O3230" s="111"/>
      <c r="P3230" s="111"/>
      <c r="Q3230" s="111"/>
      <c r="R3230" s="111"/>
    </row>
    <row r="3231" spans="2:18" s="108" customFormat="1">
      <c r="B3231" s="109"/>
      <c r="C3231" s="110"/>
      <c r="D3231" s="109"/>
      <c r="E3231" s="109"/>
      <c r="F3231" s="97"/>
      <c r="G3231" s="109"/>
      <c r="H3231" s="109"/>
      <c r="I3231" s="97"/>
      <c r="J3231" s="97"/>
      <c r="K3231" s="83"/>
      <c r="L3231" s="111"/>
      <c r="M3231" s="111"/>
      <c r="N3231" s="111"/>
      <c r="O3231" s="111"/>
      <c r="P3231" s="111"/>
      <c r="Q3231" s="111"/>
      <c r="R3231" s="111"/>
    </row>
    <row r="3232" spans="2:18" s="108" customFormat="1">
      <c r="B3232" s="109"/>
      <c r="C3232" s="110"/>
      <c r="D3232" s="109"/>
      <c r="E3232" s="109"/>
      <c r="F3232" s="97"/>
      <c r="G3232" s="109"/>
      <c r="H3232" s="109"/>
      <c r="I3232" s="97"/>
      <c r="J3232" s="97"/>
      <c r="K3232" s="83"/>
      <c r="L3232" s="111"/>
      <c r="M3232" s="111"/>
      <c r="N3232" s="111"/>
      <c r="O3232" s="111"/>
      <c r="P3232" s="111"/>
      <c r="Q3232" s="111"/>
      <c r="R3232" s="111"/>
    </row>
    <row r="3233" spans="2:18" s="108" customFormat="1">
      <c r="B3233" s="109"/>
      <c r="C3233" s="110"/>
      <c r="D3233" s="109"/>
      <c r="E3233" s="109"/>
      <c r="F3233" s="97"/>
      <c r="G3233" s="109"/>
      <c r="H3233" s="109"/>
      <c r="I3233" s="97"/>
      <c r="J3233" s="97"/>
      <c r="K3233" s="83"/>
      <c r="L3233" s="111"/>
      <c r="M3233" s="111"/>
      <c r="N3233" s="111"/>
      <c r="O3233" s="111"/>
      <c r="P3233" s="111"/>
      <c r="Q3233" s="111"/>
      <c r="R3233" s="111"/>
    </row>
    <row r="3234" spans="2:18" s="108" customFormat="1">
      <c r="B3234" s="109"/>
      <c r="C3234" s="110"/>
      <c r="D3234" s="109"/>
      <c r="E3234" s="109"/>
      <c r="F3234" s="97"/>
      <c r="G3234" s="109"/>
      <c r="H3234" s="109"/>
      <c r="I3234" s="97"/>
      <c r="J3234" s="97"/>
      <c r="K3234" s="83"/>
      <c r="L3234" s="111"/>
      <c r="M3234" s="111"/>
      <c r="N3234" s="111"/>
      <c r="O3234" s="111"/>
      <c r="P3234" s="111"/>
      <c r="Q3234" s="111"/>
      <c r="R3234" s="111"/>
    </row>
    <row r="3235" spans="2:18" s="108" customFormat="1">
      <c r="B3235" s="109"/>
      <c r="C3235" s="110"/>
      <c r="D3235" s="109"/>
      <c r="E3235" s="109"/>
      <c r="F3235" s="97"/>
      <c r="G3235" s="109"/>
      <c r="H3235" s="109"/>
      <c r="I3235" s="97"/>
      <c r="J3235" s="97"/>
      <c r="K3235" s="83"/>
      <c r="L3235" s="111"/>
      <c r="M3235" s="111"/>
      <c r="N3235" s="111"/>
      <c r="O3235" s="111"/>
      <c r="P3235" s="111"/>
      <c r="Q3235" s="111"/>
      <c r="R3235" s="111"/>
    </row>
    <row r="3236" spans="2:18" s="108" customFormat="1">
      <c r="B3236" s="109"/>
      <c r="C3236" s="110"/>
      <c r="D3236" s="109"/>
      <c r="E3236" s="109"/>
      <c r="F3236" s="97"/>
      <c r="G3236" s="109"/>
      <c r="H3236" s="109"/>
      <c r="I3236" s="97"/>
      <c r="J3236" s="97"/>
      <c r="K3236" s="83"/>
      <c r="L3236" s="111"/>
      <c r="M3236" s="111"/>
      <c r="N3236" s="111"/>
      <c r="O3236" s="111"/>
      <c r="P3236" s="111"/>
      <c r="Q3236" s="111"/>
      <c r="R3236" s="111"/>
    </row>
    <row r="3237" spans="2:18" s="108" customFormat="1">
      <c r="B3237" s="109"/>
      <c r="C3237" s="110"/>
      <c r="D3237" s="109"/>
      <c r="E3237" s="109"/>
      <c r="F3237" s="97"/>
      <c r="G3237" s="109"/>
      <c r="H3237" s="109"/>
      <c r="I3237" s="97"/>
      <c r="J3237" s="97"/>
      <c r="K3237" s="83"/>
      <c r="L3237" s="111"/>
      <c r="M3237" s="111"/>
      <c r="N3237" s="111"/>
      <c r="O3237" s="111"/>
      <c r="P3237" s="111"/>
      <c r="Q3237" s="111"/>
      <c r="R3237" s="111"/>
    </row>
    <row r="3238" spans="2:18" s="108" customFormat="1">
      <c r="B3238" s="109"/>
      <c r="C3238" s="110"/>
      <c r="D3238" s="109"/>
      <c r="E3238" s="109"/>
      <c r="F3238" s="97"/>
      <c r="G3238" s="109"/>
      <c r="H3238" s="109"/>
      <c r="I3238" s="97"/>
      <c r="J3238" s="97"/>
      <c r="K3238" s="83"/>
      <c r="L3238" s="111"/>
      <c r="M3238" s="111"/>
      <c r="N3238" s="111"/>
      <c r="O3238" s="111"/>
      <c r="P3238" s="111"/>
      <c r="Q3238" s="111"/>
      <c r="R3238" s="111"/>
    </row>
    <row r="3239" spans="2:18" s="108" customFormat="1">
      <c r="B3239" s="109"/>
      <c r="C3239" s="110"/>
      <c r="D3239" s="109"/>
      <c r="E3239" s="109"/>
      <c r="F3239" s="97"/>
      <c r="G3239" s="109"/>
      <c r="H3239" s="109"/>
      <c r="I3239" s="97"/>
      <c r="J3239" s="97"/>
      <c r="K3239" s="83"/>
      <c r="L3239" s="111"/>
      <c r="M3239" s="111"/>
      <c r="N3239" s="111"/>
      <c r="O3239" s="111"/>
      <c r="P3239" s="111"/>
      <c r="Q3239" s="111"/>
      <c r="R3239" s="111"/>
    </row>
    <row r="3240" spans="2:18" s="108" customFormat="1">
      <c r="B3240" s="109"/>
      <c r="C3240" s="110"/>
      <c r="D3240" s="109"/>
      <c r="E3240" s="109"/>
      <c r="F3240" s="97"/>
      <c r="G3240" s="109"/>
      <c r="H3240" s="109"/>
      <c r="I3240" s="97"/>
      <c r="J3240" s="97"/>
      <c r="K3240" s="83"/>
      <c r="L3240" s="111"/>
      <c r="M3240" s="111"/>
      <c r="N3240" s="111"/>
      <c r="O3240" s="111"/>
      <c r="P3240" s="111"/>
      <c r="Q3240" s="111"/>
      <c r="R3240" s="111"/>
    </row>
    <row r="3241" spans="2:18" s="108" customFormat="1">
      <c r="B3241" s="109"/>
      <c r="C3241" s="110"/>
      <c r="D3241" s="109"/>
      <c r="E3241" s="109"/>
      <c r="F3241" s="97"/>
      <c r="G3241" s="109"/>
      <c r="H3241" s="109"/>
      <c r="I3241" s="97"/>
      <c r="J3241" s="97"/>
      <c r="K3241" s="83"/>
      <c r="L3241" s="111"/>
      <c r="M3241" s="111"/>
      <c r="N3241" s="111"/>
      <c r="O3241" s="111"/>
      <c r="P3241" s="111"/>
      <c r="Q3241" s="111"/>
      <c r="R3241" s="111"/>
    </row>
    <row r="3242" spans="2:18" s="108" customFormat="1">
      <c r="B3242" s="109"/>
      <c r="C3242" s="110"/>
      <c r="D3242" s="109"/>
      <c r="E3242" s="109"/>
      <c r="F3242" s="97"/>
      <c r="G3242" s="109"/>
      <c r="H3242" s="109"/>
      <c r="I3242" s="97"/>
      <c r="J3242" s="97"/>
      <c r="K3242" s="83"/>
      <c r="L3242" s="111"/>
      <c r="M3242" s="111"/>
      <c r="N3242" s="111"/>
      <c r="O3242" s="111"/>
      <c r="P3242" s="111"/>
      <c r="Q3242" s="111"/>
      <c r="R3242" s="111"/>
    </row>
    <row r="3243" spans="2:18" s="108" customFormat="1">
      <c r="B3243" s="109"/>
      <c r="C3243" s="110"/>
      <c r="D3243" s="109"/>
      <c r="E3243" s="109"/>
      <c r="F3243" s="97"/>
      <c r="G3243" s="109"/>
      <c r="H3243" s="109"/>
      <c r="I3243" s="97"/>
      <c r="J3243" s="97"/>
      <c r="K3243" s="83"/>
      <c r="L3243" s="111"/>
      <c r="M3243" s="111"/>
      <c r="N3243" s="111"/>
      <c r="O3243" s="111"/>
      <c r="P3243" s="111"/>
      <c r="Q3243" s="111"/>
      <c r="R3243" s="111"/>
    </row>
    <row r="3244" spans="2:18" s="108" customFormat="1">
      <c r="B3244" s="109"/>
      <c r="C3244" s="110"/>
      <c r="D3244" s="109"/>
      <c r="E3244" s="109"/>
      <c r="F3244" s="97"/>
      <c r="G3244" s="109"/>
      <c r="H3244" s="109"/>
      <c r="I3244" s="97"/>
      <c r="J3244" s="97"/>
      <c r="K3244" s="83"/>
      <c r="L3244" s="111"/>
      <c r="M3244" s="111"/>
      <c r="N3244" s="111"/>
      <c r="O3244" s="111"/>
      <c r="P3244" s="111"/>
      <c r="Q3244" s="111"/>
      <c r="R3244" s="111"/>
    </row>
    <row r="3245" spans="2:18" s="108" customFormat="1">
      <c r="B3245" s="109"/>
      <c r="C3245" s="110"/>
      <c r="D3245" s="109"/>
      <c r="E3245" s="109"/>
      <c r="F3245" s="97"/>
      <c r="G3245" s="109"/>
      <c r="H3245" s="109"/>
      <c r="I3245" s="97"/>
      <c r="J3245" s="97"/>
      <c r="K3245" s="83"/>
      <c r="L3245" s="111"/>
      <c r="M3245" s="111"/>
      <c r="N3245" s="111"/>
      <c r="O3245" s="111"/>
      <c r="P3245" s="111"/>
      <c r="Q3245" s="111"/>
      <c r="R3245" s="111"/>
    </row>
    <row r="3246" spans="2:18" s="108" customFormat="1">
      <c r="B3246" s="109"/>
      <c r="C3246" s="110"/>
      <c r="D3246" s="109"/>
      <c r="E3246" s="109"/>
      <c r="F3246" s="97"/>
      <c r="G3246" s="109"/>
      <c r="H3246" s="109"/>
      <c r="I3246" s="97"/>
      <c r="J3246" s="97"/>
      <c r="K3246" s="83"/>
      <c r="L3246" s="111"/>
      <c r="M3246" s="111"/>
      <c r="N3246" s="111"/>
      <c r="O3246" s="111"/>
      <c r="P3246" s="111"/>
      <c r="Q3246" s="111"/>
      <c r="R3246" s="111"/>
    </row>
    <row r="3247" spans="2:18" s="108" customFormat="1">
      <c r="B3247" s="109"/>
      <c r="C3247" s="110"/>
      <c r="D3247" s="109"/>
      <c r="E3247" s="109"/>
      <c r="F3247" s="97"/>
      <c r="G3247" s="109"/>
      <c r="H3247" s="109"/>
      <c r="I3247" s="97"/>
      <c r="J3247" s="97"/>
      <c r="K3247" s="83"/>
      <c r="L3247" s="111"/>
      <c r="M3247" s="111"/>
      <c r="N3247" s="111"/>
      <c r="O3247" s="111"/>
      <c r="P3247" s="111"/>
      <c r="Q3247" s="111"/>
      <c r="R3247" s="111"/>
    </row>
    <row r="3248" spans="2:18" s="108" customFormat="1">
      <c r="B3248" s="109"/>
      <c r="C3248" s="110"/>
      <c r="D3248" s="109"/>
      <c r="E3248" s="109"/>
      <c r="F3248" s="97"/>
      <c r="G3248" s="109"/>
      <c r="H3248" s="109"/>
      <c r="I3248" s="97"/>
      <c r="J3248" s="97"/>
      <c r="K3248" s="83"/>
      <c r="L3248" s="111"/>
      <c r="M3248" s="111"/>
      <c r="N3248" s="111"/>
      <c r="O3248" s="111"/>
      <c r="P3248" s="111"/>
      <c r="Q3248" s="111"/>
      <c r="R3248" s="111"/>
    </row>
    <row r="3249" spans="2:18" s="108" customFormat="1">
      <c r="B3249" s="109"/>
      <c r="C3249" s="110"/>
      <c r="D3249" s="109"/>
      <c r="E3249" s="109"/>
      <c r="F3249" s="97"/>
      <c r="G3249" s="109"/>
      <c r="H3249" s="109"/>
      <c r="I3249" s="97"/>
      <c r="J3249" s="97"/>
      <c r="K3249" s="83"/>
      <c r="L3249" s="111"/>
      <c r="M3249" s="111"/>
      <c r="N3249" s="111"/>
      <c r="O3249" s="111"/>
      <c r="P3249" s="111"/>
      <c r="Q3249" s="111"/>
      <c r="R3249" s="111"/>
    </row>
    <row r="3250" spans="2:18" s="108" customFormat="1">
      <c r="B3250" s="109"/>
      <c r="C3250" s="110"/>
      <c r="D3250" s="109"/>
      <c r="E3250" s="109"/>
      <c r="F3250" s="97"/>
      <c r="G3250" s="109"/>
      <c r="H3250" s="109"/>
      <c r="I3250" s="97"/>
      <c r="J3250" s="97"/>
      <c r="K3250" s="83"/>
      <c r="L3250" s="111"/>
      <c r="M3250" s="111"/>
      <c r="N3250" s="111"/>
      <c r="O3250" s="111"/>
      <c r="P3250" s="111"/>
      <c r="Q3250" s="111"/>
      <c r="R3250" s="111"/>
    </row>
    <row r="3251" spans="2:18" s="108" customFormat="1">
      <c r="B3251" s="109"/>
      <c r="C3251" s="110"/>
      <c r="D3251" s="109"/>
      <c r="E3251" s="109"/>
      <c r="F3251" s="97"/>
      <c r="G3251" s="109"/>
      <c r="H3251" s="109"/>
      <c r="I3251" s="97"/>
      <c r="J3251" s="97"/>
      <c r="K3251" s="83"/>
      <c r="L3251" s="111"/>
      <c r="M3251" s="111"/>
      <c r="N3251" s="111"/>
      <c r="O3251" s="111"/>
      <c r="P3251" s="111"/>
      <c r="Q3251" s="111"/>
      <c r="R3251" s="111"/>
    </row>
    <row r="3252" spans="2:18" s="108" customFormat="1">
      <c r="B3252" s="109"/>
      <c r="C3252" s="110"/>
      <c r="D3252" s="109"/>
      <c r="E3252" s="109"/>
      <c r="F3252" s="97"/>
      <c r="G3252" s="109"/>
      <c r="H3252" s="109"/>
      <c r="I3252" s="97"/>
      <c r="J3252" s="97"/>
      <c r="K3252" s="83"/>
      <c r="L3252" s="111"/>
      <c r="M3252" s="111"/>
      <c r="N3252" s="111"/>
      <c r="O3252" s="111"/>
      <c r="P3252" s="111"/>
      <c r="Q3252" s="111"/>
      <c r="R3252" s="111"/>
    </row>
    <row r="3253" spans="2:18" s="108" customFormat="1">
      <c r="B3253" s="109"/>
      <c r="C3253" s="110"/>
      <c r="D3253" s="109"/>
      <c r="E3253" s="109"/>
      <c r="F3253" s="97"/>
      <c r="G3253" s="109"/>
      <c r="H3253" s="109"/>
      <c r="I3253" s="97"/>
      <c r="J3253" s="97"/>
      <c r="K3253" s="83"/>
      <c r="L3253" s="111"/>
      <c r="M3253" s="111"/>
      <c r="N3253" s="111"/>
      <c r="O3253" s="111"/>
      <c r="P3253" s="111"/>
      <c r="Q3253" s="111"/>
      <c r="R3253" s="111"/>
    </row>
    <row r="3254" spans="2:18" s="108" customFormat="1">
      <c r="B3254" s="109"/>
      <c r="C3254" s="110"/>
      <c r="D3254" s="109"/>
      <c r="E3254" s="109"/>
      <c r="F3254" s="97"/>
      <c r="G3254" s="109"/>
      <c r="H3254" s="109"/>
      <c r="I3254" s="97"/>
      <c r="J3254" s="97"/>
      <c r="K3254" s="83"/>
      <c r="L3254" s="111"/>
      <c r="M3254" s="111"/>
      <c r="N3254" s="111"/>
      <c r="O3254" s="111"/>
      <c r="P3254" s="111"/>
      <c r="Q3254" s="111"/>
      <c r="R3254" s="111"/>
    </row>
    <row r="3255" spans="2:18" s="108" customFormat="1">
      <c r="B3255" s="109"/>
      <c r="C3255" s="110"/>
      <c r="D3255" s="109"/>
      <c r="E3255" s="109"/>
      <c r="F3255" s="97"/>
      <c r="G3255" s="109"/>
      <c r="H3255" s="109"/>
      <c r="I3255" s="97"/>
      <c r="J3255" s="97"/>
      <c r="K3255" s="83"/>
      <c r="L3255" s="111"/>
      <c r="M3255" s="111"/>
      <c r="N3255" s="111"/>
      <c r="O3255" s="111"/>
      <c r="P3255" s="111"/>
      <c r="Q3255" s="111"/>
      <c r="R3255" s="111"/>
    </row>
    <row r="3256" spans="2:18" s="108" customFormat="1">
      <c r="B3256" s="109"/>
      <c r="C3256" s="110"/>
      <c r="D3256" s="109"/>
      <c r="E3256" s="109"/>
      <c r="F3256" s="97"/>
      <c r="G3256" s="109"/>
      <c r="H3256" s="109"/>
      <c r="I3256" s="97"/>
      <c r="J3256" s="97"/>
      <c r="K3256" s="83"/>
      <c r="L3256" s="111"/>
      <c r="M3256" s="111"/>
      <c r="N3256" s="111"/>
      <c r="O3256" s="111"/>
      <c r="P3256" s="111"/>
      <c r="Q3256" s="111"/>
      <c r="R3256" s="111"/>
    </row>
    <row r="3257" spans="2:18" s="108" customFormat="1">
      <c r="B3257" s="109"/>
      <c r="C3257" s="110"/>
      <c r="D3257" s="109"/>
      <c r="E3257" s="109"/>
      <c r="F3257" s="97"/>
      <c r="G3257" s="109"/>
      <c r="H3257" s="109"/>
      <c r="I3257" s="97"/>
      <c r="J3257" s="97"/>
      <c r="K3257" s="83"/>
      <c r="L3257" s="111"/>
      <c r="M3257" s="111"/>
      <c r="N3257" s="111"/>
      <c r="O3257" s="111"/>
      <c r="P3257" s="111"/>
      <c r="Q3257" s="111"/>
      <c r="R3257" s="111"/>
    </row>
    <row r="3258" spans="2:18" s="108" customFormat="1">
      <c r="B3258" s="109"/>
      <c r="C3258" s="110"/>
      <c r="D3258" s="109"/>
      <c r="E3258" s="109"/>
      <c r="F3258" s="97"/>
      <c r="G3258" s="109"/>
      <c r="H3258" s="109"/>
      <c r="I3258" s="97"/>
      <c r="J3258" s="97"/>
      <c r="K3258" s="83"/>
      <c r="L3258" s="111"/>
      <c r="M3258" s="111"/>
      <c r="N3258" s="111"/>
      <c r="O3258" s="111"/>
      <c r="P3258" s="111"/>
      <c r="Q3258" s="111"/>
      <c r="R3258" s="111"/>
    </row>
    <row r="3259" spans="2:18" s="108" customFormat="1">
      <c r="B3259" s="109"/>
      <c r="C3259" s="110"/>
      <c r="D3259" s="109"/>
      <c r="E3259" s="109"/>
      <c r="F3259" s="97"/>
      <c r="G3259" s="109"/>
      <c r="H3259" s="109"/>
      <c r="I3259" s="97"/>
      <c r="J3259" s="97"/>
      <c r="K3259" s="83"/>
      <c r="L3259" s="111"/>
      <c r="M3259" s="111"/>
      <c r="N3259" s="111"/>
      <c r="O3259" s="111"/>
      <c r="P3259" s="111"/>
      <c r="Q3259" s="111"/>
      <c r="R3259" s="111"/>
    </row>
    <row r="3260" spans="2:18" s="108" customFormat="1">
      <c r="B3260" s="109"/>
      <c r="C3260" s="110"/>
      <c r="D3260" s="109"/>
      <c r="E3260" s="109"/>
      <c r="F3260" s="97"/>
      <c r="G3260" s="109"/>
      <c r="H3260" s="109"/>
      <c r="I3260" s="97"/>
      <c r="J3260" s="97"/>
      <c r="K3260" s="83"/>
      <c r="L3260" s="111"/>
      <c r="M3260" s="111"/>
      <c r="N3260" s="111"/>
      <c r="O3260" s="111"/>
      <c r="P3260" s="111"/>
      <c r="Q3260" s="111"/>
      <c r="R3260" s="111"/>
    </row>
    <row r="3261" spans="2:18" s="108" customFormat="1">
      <c r="B3261" s="109"/>
      <c r="C3261" s="110"/>
      <c r="D3261" s="109"/>
      <c r="E3261" s="109"/>
      <c r="F3261" s="97"/>
      <c r="G3261" s="109"/>
      <c r="H3261" s="109"/>
      <c r="I3261" s="97"/>
      <c r="J3261" s="97"/>
      <c r="K3261" s="83"/>
      <c r="L3261" s="111"/>
      <c r="M3261" s="111"/>
      <c r="N3261" s="111"/>
      <c r="O3261" s="111"/>
      <c r="P3261" s="111"/>
      <c r="Q3261" s="111"/>
      <c r="R3261" s="111"/>
    </row>
    <row r="3262" spans="2:18" s="108" customFormat="1">
      <c r="B3262" s="109"/>
      <c r="C3262" s="110"/>
      <c r="D3262" s="109"/>
      <c r="E3262" s="109"/>
      <c r="F3262" s="97"/>
      <c r="G3262" s="109"/>
      <c r="H3262" s="109"/>
      <c r="I3262" s="97"/>
      <c r="J3262" s="97"/>
      <c r="K3262" s="83"/>
      <c r="L3262" s="111"/>
      <c r="M3262" s="111"/>
      <c r="N3262" s="111"/>
      <c r="O3262" s="111"/>
      <c r="P3262" s="111"/>
      <c r="Q3262" s="111"/>
      <c r="R3262" s="111"/>
    </row>
    <row r="3263" spans="2:18" s="108" customFormat="1">
      <c r="B3263" s="109"/>
      <c r="C3263" s="110"/>
      <c r="D3263" s="109"/>
      <c r="E3263" s="109"/>
      <c r="F3263" s="97"/>
      <c r="G3263" s="109"/>
      <c r="H3263" s="109"/>
      <c r="I3263" s="97"/>
      <c r="J3263" s="97"/>
      <c r="K3263" s="83"/>
      <c r="L3263" s="111"/>
      <c r="M3263" s="111"/>
      <c r="N3263" s="111"/>
      <c r="O3263" s="111"/>
      <c r="P3263" s="111"/>
      <c r="Q3263" s="111"/>
      <c r="R3263" s="111"/>
    </row>
    <row r="3264" spans="2:18" s="108" customFormat="1">
      <c r="B3264" s="109"/>
      <c r="C3264" s="110"/>
      <c r="D3264" s="109"/>
      <c r="E3264" s="109"/>
      <c r="F3264" s="97"/>
      <c r="G3264" s="109"/>
      <c r="H3264" s="109"/>
      <c r="I3264" s="97"/>
      <c r="J3264" s="97"/>
      <c r="K3264" s="83"/>
      <c r="L3264" s="111"/>
      <c r="M3264" s="111"/>
      <c r="N3264" s="111"/>
      <c r="O3264" s="111"/>
      <c r="P3264" s="111"/>
      <c r="Q3264" s="111"/>
      <c r="R3264" s="111"/>
    </row>
    <row r="3265" spans="2:18" s="108" customFormat="1">
      <c r="B3265" s="109"/>
      <c r="C3265" s="110"/>
      <c r="D3265" s="109"/>
      <c r="E3265" s="109"/>
      <c r="F3265" s="97"/>
      <c r="G3265" s="109"/>
      <c r="H3265" s="109"/>
      <c r="I3265" s="97"/>
      <c r="J3265" s="97"/>
      <c r="K3265" s="83"/>
      <c r="L3265" s="111"/>
      <c r="M3265" s="111"/>
      <c r="N3265" s="111"/>
      <c r="O3265" s="111"/>
      <c r="P3265" s="111"/>
      <c r="Q3265" s="111"/>
      <c r="R3265" s="111"/>
    </row>
    <row r="3266" spans="2:18" s="108" customFormat="1">
      <c r="B3266" s="109"/>
      <c r="C3266" s="110"/>
      <c r="D3266" s="109"/>
      <c r="E3266" s="109"/>
      <c r="F3266" s="97"/>
      <c r="G3266" s="109"/>
      <c r="H3266" s="109"/>
      <c r="I3266" s="97"/>
      <c r="J3266" s="97"/>
      <c r="K3266" s="83"/>
      <c r="L3266" s="111"/>
      <c r="M3266" s="111"/>
      <c r="N3266" s="111"/>
      <c r="O3266" s="111"/>
      <c r="P3266" s="111"/>
      <c r="Q3266" s="111"/>
      <c r="R3266" s="111"/>
    </row>
    <row r="3267" spans="2:18" s="108" customFormat="1">
      <c r="B3267" s="109"/>
      <c r="C3267" s="110"/>
      <c r="D3267" s="109"/>
      <c r="E3267" s="109"/>
      <c r="F3267" s="97"/>
      <c r="G3267" s="109"/>
      <c r="H3267" s="109"/>
      <c r="I3267" s="97"/>
      <c r="J3267" s="97"/>
      <c r="K3267" s="83"/>
      <c r="L3267" s="111"/>
      <c r="M3267" s="111"/>
      <c r="N3267" s="111"/>
      <c r="O3267" s="111"/>
      <c r="P3267" s="111"/>
      <c r="Q3267" s="111"/>
      <c r="R3267" s="111"/>
    </row>
    <row r="3268" spans="2:18" s="108" customFormat="1">
      <c r="B3268" s="109"/>
      <c r="C3268" s="110"/>
      <c r="D3268" s="109"/>
      <c r="E3268" s="109"/>
      <c r="F3268" s="97"/>
      <c r="G3268" s="109"/>
      <c r="H3268" s="109"/>
      <c r="I3268" s="97"/>
      <c r="J3268" s="97"/>
      <c r="K3268" s="83"/>
      <c r="L3268" s="111"/>
      <c r="M3268" s="111"/>
      <c r="N3268" s="111"/>
      <c r="O3268" s="111"/>
      <c r="P3268" s="111"/>
      <c r="Q3268" s="111"/>
      <c r="R3268" s="111"/>
    </row>
    <row r="3269" spans="2:18" s="108" customFormat="1">
      <c r="B3269" s="109"/>
      <c r="C3269" s="110"/>
      <c r="D3269" s="109"/>
      <c r="E3269" s="109"/>
      <c r="F3269" s="97"/>
      <c r="G3269" s="109"/>
      <c r="H3269" s="109"/>
      <c r="I3269" s="97"/>
      <c r="J3269" s="97"/>
      <c r="K3269" s="83"/>
      <c r="L3269" s="111"/>
      <c r="M3269" s="111"/>
      <c r="N3269" s="111"/>
      <c r="O3269" s="111"/>
      <c r="P3269" s="111"/>
      <c r="Q3269" s="111"/>
      <c r="R3269" s="111"/>
    </row>
    <row r="3270" spans="2:18" s="108" customFormat="1">
      <c r="B3270" s="109"/>
      <c r="C3270" s="110"/>
      <c r="D3270" s="109"/>
      <c r="E3270" s="109"/>
      <c r="F3270" s="97"/>
      <c r="G3270" s="109"/>
      <c r="H3270" s="109"/>
      <c r="I3270" s="97"/>
      <c r="J3270" s="97"/>
      <c r="K3270" s="83"/>
      <c r="L3270" s="111"/>
      <c r="M3270" s="111"/>
      <c r="N3270" s="111"/>
      <c r="O3270" s="111"/>
      <c r="P3270" s="111"/>
      <c r="Q3270" s="111"/>
      <c r="R3270" s="111"/>
    </row>
    <row r="3271" spans="2:18" s="108" customFormat="1">
      <c r="B3271" s="109"/>
      <c r="C3271" s="110"/>
      <c r="D3271" s="109"/>
      <c r="E3271" s="109"/>
      <c r="F3271" s="97"/>
      <c r="G3271" s="109"/>
      <c r="H3271" s="109"/>
      <c r="I3271" s="97"/>
      <c r="J3271" s="97"/>
      <c r="K3271" s="83"/>
      <c r="L3271" s="111"/>
      <c r="M3271" s="111"/>
      <c r="N3271" s="111"/>
      <c r="O3271" s="111"/>
      <c r="P3271" s="111"/>
      <c r="Q3271" s="111"/>
      <c r="R3271" s="111"/>
    </row>
    <row r="3272" spans="2:18" s="108" customFormat="1">
      <c r="B3272" s="109"/>
      <c r="C3272" s="110"/>
      <c r="D3272" s="109"/>
      <c r="E3272" s="109"/>
      <c r="F3272" s="97"/>
      <c r="G3272" s="109"/>
      <c r="H3272" s="109"/>
      <c r="I3272" s="97"/>
      <c r="J3272" s="97"/>
      <c r="K3272" s="83"/>
      <c r="L3272" s="111"/>
      <c r="M3272" s="111"/>
      <c r="N3272" s="111"/>
      <c r="O3272" s="111"/>
      <c r="P3272" s="111"/>
      <c r="Q3272" s="111"/>
      <c r="R3272" s="111"/>
    </row>
    <row r="3273" spans="2:18" s="108" customFormat="1">
      <c r="B3273" s="109"/>
      <c r="C3273" s="110"/>
      <c r="D3273" s="109"/>
      <c r="E3273" s="109"/>
      <c r="F3273" s="97"/>
      <c r="G3273" s="109"/>
      <c r="H3273" s="109"/>
      <c r="I3273" s="97"/>
      <c r="J3273" s="97"/>
      <c r="K3273" s="83"/>
      <c r="L3273" s="111"/>
      <c r="M3273" s="111"/>
      <c r="N3273" s="111"/>
      <c r="O3273" s="111"/>
      <c r="P3273" s="111"/>
      <c r="Q3273" s="111"/>
      <c r="R3273" s="111"/>
    </row>
    <row r="3274" spans="2:18" s="108" customFormat="1">
      <c r="B3274" s="109"/>
      <c r="C3274" s="110"/>
      <c r="D3274" s="109"/>
      <c r="E3274" s="109"/>
      <c r="F3274" s="97"/>
      <c r="G3274" s="109"/>
      <c r="H3274" s="109"/>
      <c r="I3274" s="97"/>
      <c r="J3274" s="97"/>
      <c r="K3274" s="83"/>
      <c r="L3274" s="111"/>
      <c r="M3274" s="111"/>
      <c r="N3274" s="111"/>
      <c r="O3274" s="111"/>
      <c r="P3274" s="111"/>
      <c r="Q3274" s="111"/>
      <c r="R3274" s="111"/>
    </row>
    <row r="3275" spans="2:18" s="108" customFormat="1">
      <c r="B3275" s="109"/>
      <c r="C3275" s="110"/>
      <c r="D3275" s="109"/>
      <c r="E3275" s="109"/>
      <c r="F3275" s="97"/>
      <c r="G3275" s="109"/>
      <c r="H3275" s="109"/>
      <c r="I3275" s="97"/>
      <c r="J3275" s="97"/>
      <c r="K3275" s="83"/>
      <c r="L3275" s="111"/>
      <c r="M3275" s="111"/>
      <c r="N3275" s="111"/>
      <c r="O3275" s="111"/>
      <c r="P3275" s="111"/>
      <c r="Q3275" s="111"/>
      <c r="R3275" s="111"/>
    </row>
    <row r="3276" spans="2:18" s="108" customFormat="1">
      <c r="B3276" s="109"/>
      <c r="C3276" s="110"/>
      <c r="D3276" s="109"/>
      <c r="E3276" s="109"/>
      <c r="F3276" s="97"/>
      <c r="G3276" s="109"/>
      <c r="H3276" s="109"/>
      <c r="I3276" s="97"/>
      <c r="J3276" s="97"/>
      <c r="K3276" s="83"/>
      <c r="L3276" s="111"/>
      <c r="M3276" s="111"/>
      <c r="N3276" s="111"/>
      <c r="O3276" s="111"/>
      <c r="P3276" s="111"/>
      <c r="Q3276" s="111"/>
      <c r="R3276" s="111"/>
    </row>
    <row r="3277" spans="2:18" s="108" customFormat="1">
      <c r="B3277" s="109"/>
      <c r="C3277" s="110"/>
      <c r="D3277" s="109"/>
      <c r="E3277" s="109"/>
      <c r="F3277" s="97"/>
      <c r="G3277" s="109"/>
      <c r="H3277" s="109"/>
      <c r="I3277" s="97"/>
      <c r="J3277" s="97"/>
      <c r="K3277" s="83"/>
      <c r="L3277" s="111"/>
      <c r="M3277" s="111"/>
      <c r="N3277" s="111"/>
      <c r="O3277" s="111"/>
      <c r="P3277" s="111"/>
      <c r="Q3277" s="111"/>
      <c r="R3277" s="111"/>
    </row>
    <row r="3278" spans="2:18" s="108" customFormat="1">
      <c r="B3278" s="109"/>
      <c r="C3278" s="110"/>
      <c r="D3278" s="109"/>
      <c r="E3278" s="109"/>
      <c r="F3278" s="97"/>
      <c r="G3278" s="109"/>
      <c r="H3278" s="109"/>
      <c r="I3278" s="97"/>
      <c r="J3278" s="97"/>
      <c r="K3278" s="83"/>
      <c r="L3278" s="111"/>
      <c r="M3278" s="111"/>
      <c r="N3278" s="111"/>
      <c r="O3278" s="111"/>
      <c r="P3278" s="111"/>
      <c r="Q3278" s="111"/>
      <c r="R3278" s="111"/>
    </row>
    <row r="3279" spans="2:18" s="108" customFormat="1">
      <c r="B3279" s="109"/>
      <c r="C3279" s="110"/>
      <c r="D3279" s="109"/>
      <c r="E3279" s="109"/>
      <c r="F3279" s="97"/>
      <c r="G3279" s="109"/>
      <c r="H3279" s="109"/>
      <c r="I3279" s="97"/>
      <c r="J3279" s="97"/>
      <c r="K3279" s="83"/>
      <c r="L3279" s="111"/>
      <c r="M3279" s="111"/>
      <c r="N3279" s="111"/>
      <c r="O3279" s="111"/>
      <c r="P3279" s="111"/>
      <c r="Q3279" s="111"/>
      <c r="R3279" s="111"/>
    </row>
    <row r="3280" spans="2:18" s="108" customFormat="1">
      <c r="B3280" s="109"/>
      <c r="C3280" s="110"/>
      <c r="D3280" s="109"/>
      <c r="E3280" s="109"/>
      <c r="F3280" s="97"/>
      <c r="G3280" s="109"/>
      <c r="H3280" s="109"/>
      <c r="I3280" s="97"/>
      <c r="J3280" s="97"/>
      <c r="K3280" s="83"/>
      <c r="L3280" s="111"/>
      <c r="M3280" s="111"/>
      <c r="N3280" s="111"/>
      <c r="O3280" s="111"/>
      <c r="P3280" s="111"/>
      <c r="Q3280" s="111"/>
      <c r="R3280" s="111"/>
    </row>
    <row r="3281" spans="2:18" s="108" customFormat="1">
      <c r="B3281" s="109"/>
      <c r="C3281" s="110"/>
      <c r="D3281" s="109"/>
      <c r="E3281" s="109"/>
      <c r="F3281" s="97"/>
      <c r="G3281" s="109"/>
      <c r="H3281" s="109"/>
      <c r="I3281" s="97"/>
      <c r="J3281" s="97"/>
      <c r="K3281" s="83"/>
      <c r="L3281" s="111"/>
      <c r="M3281" s="111"/>
      <c r="N3281" s="111"/>
      <c r="O3281" s="111"/>
      <c r="P3281" s="111"/>
      <c r="Q3281" s="111"/>
      <c r="R3281" s="111"/>
    </row>
    <row r="3282" spans="2:18" s="108" customFormat="1">
      <c r="B3282" s="109"/>
      <c r="C3282" s="110"/>
      <c r="D3282" s="109"/>
      <c r="E3282" s="109"/>
      <c r="F3282" s="97"/>
      <c r="G3282" s="109"/>
      <c r="H3282" s="109"/>
      <c r="I3282" s="97"/>
      <c r="J3282" s="97"/>
      <c r="K3282" s="83"/>
      <c r="L3282" s="111"/>
      <c r="M3282" s="111"/>
      <c r="N3282" s="111"/>
      <c r="O3282" s="111"/>
      <c r="P3282" s="111"/>
      <c r="Q3282" s="111"/>
      <c r="R3282" s="111"/>
    </row>
    <row r="3283" spans="2:18" s="108" customFormat="1">
      <c r="B3283" s="109"/>
      <c r="C3283" s="110"/>
      <c r="D3283" s="109"/>
      <c r="E3283" s="109"/>
      <c r="F3283" s="97"/>
      <c r="G3283" s="109"/>
      <c r="H3283" s="109"/>
      <c r="I3283" s="97"/>
      <c r="J3283" s="97"/>
      <c r="K3283" s="83"/>
      <c r="L3283" s="111"/>
      <c r="M3283" s="111"/>
      <c r="N3283" s="111"/>
      <c r="O3283" s="111"/>
      <c r="P3283" s="111"/>
      <c r="Q3283" s="111"/>
      <c r="R3283" s="111"/>
    </row>
    <row r="3284" spans="2:18" s="108" customFormat="1">
      <c r="B3284" s="109"/>
      <c r="C3284" s="110"/>
      <c r="D3284" s="109"/>
      <c r="E3284" s="109"/>
      <c r="F3284" s="97"/>
      <c r="G3284" s="109"/>
      <c r="H3284" s="109"/>
      <c r="I3284" s="97"/>
      <c r="J3284" s="97"/>
      <c r="K3284" s="83"/>
      <c r="L3284" s="111"/>
      <c r="M3284" s="111"/>
      <c r="N3284" s="111"/>
      <c r="O3284" s="111"/>
      <c r="P3284" s="111"/>
      <c r="Q3284" s="111"/>
      <c r="R3284" s="111"/>
    </row>
    <row r="3285" spans="2:18" s="108" customFormat="1">
      <c r="B3285" s="109"/>
      <c r="C3285" s="110"/>
      <c r="D3285" s="109"/>
      <c r="E3285" s="109"/>
      <c r="F3285" s="97"/>
      <c r="G3285" s="109"/>
      <c r="H3285" s="109"/>
      <c r="I3285" s="97"/>
      <c r="J3285" s="97"/>
      <c r="K3285" s="83"/>
      <c r="L3285" s="111"/>
      <c r="M3285" s="111"/>
      <c r="N3285" s="111"/>
      <c r="O3285" s="111"/>
      <c r="P3285" s="111"/>
      <c r="Q3285" s="111"/>
      <c r="R3285" s="111"/>
    </row>
    <row r="3286" spans="2:18" s="108" customFormat="1">
      <c r="B3286" s="109"/>
      <c r="C3286" s="110"/>
      <c r="D3286" s="109"/>
      <c r="E3286" s="109"/>
      <c r="F3286" s="97"/>
      <c r="G3286" s="109"/>
      <c r="H3286" s="109"/>
      <c r="I3286" s="97"/>
      <c r="J3286" s="97"/>
      <c r="K3286" s="83"/>
      <c r="L3286" s="111"/>
      <c r="M3286" s="111"/>
      <c r="N3286" s="111"/>
      <c r="O3286" s="111"/>
      <c r="P3286" s="111"/>
      <c r="Q3286" s="111"/>
      <c r="R3286" s="111"/>
    </row>
    <row r="3287" spans="2:18" s="108" customFormat="1">
      <c r="B3287" s="109"/>
      <c r="C3287" s="110"/>
      <c r="D3287" s="109"/>
      <c r="E3287" s="109"/>
      <c r="F3287" s="97"/>
      <c r="G3287" s="109"/>
      <c r="H3287" s="109"/>
      <c r="I3287" s="97"/>
      <c r="J3287" s="97"/>
      <c r="K3287" s="83"/>
      <c r="L3287" s="111"/>
      <c r="M3287" s="111"/>
      <c r="N3287" s="111"/>
      <c r="O3287" s="111"/>
      <c r="P3287" s="111"/>
      <c r="Q3287" s="111"/>
      <c r="R3287" s="111"/>
    </row>
    <row r="3288" spans="2:18" s="108" customFormat="1">
      <c r="B3288" s="109"/>
      <c r="C3288" s="110"/>
      <c r="D3288" s="109"/>
      <c r="E3288" s="109"/>
      <c r="F3288" s="97"/>
      <c r="G3288" s="109"/>
      <c r="H3288" s="109"/>
      <c r="I3288" s="97"/>
      <c r="J3288" s="97"/>
      <c r="K3288" s="83"/>
      <c r="L3288" s="111"/>
      <c r="M3288" s="111"/>
      <c r="N3288" s="111"/>
      <c r="O3288" s="111"/>
      <c r="P3288" s="111"/>
      <c r="Q3288" s="111"/>
      <c r="R3288" s="111"/>
    </row>
    <row r="3289" spans="2:18" s="108" customFormat="1">
      <c r="B3289" s="109"/>
      <c r="C3289" s="110"/>
      <c r="D3289" s="109"/>
      <c r="E3289" s="109"/>
      <c r="F3289" s="97"/>
      <c r="G3289" s="109"/>
      <c r="H3289" s="109"/>
      <c r="I3289" s="97"/>
      <c r="J3289" s="97"/>
      <c r="K3289" s="83"/>
      <c r="L3289" s="111"/>
      <c r="M3289" s="111"/>
      <c r="N3289" s="111"/>
      <c r="O3289" s="111"/>
      <c r="P3289" s="111"/>
      <c r="Q3289" s="111"/>
      <c r="R3289" s="111"/>
    </row>
    <row r="3290" spans="2:18" s="108" customFormat="1">
      <c r="B3290" s="109"/>
      <c r="C3290" s="110"/>
      <c r="D3290" s="109"/>
      <c r="E3290" s="109"/>
      <c r="F3290" s="97"/>
      <c r="G3290" s="109"/>
      <c r="H3290" s="109"/>
      <c r="I3290" s="97"/>
      <c r="J3290" s="97"/>
      <c r="K3290" s="83"/>
      <c r="L3290" s="111"/>
      <c r="M3290" s="111"/>
      <c r="N3290" s="111"/>
      <c r="O3290" s="111"/>
      <c r="P3290" s="111"/>
      <c r="Q3290" s="111"/>
      <c r="R3290" s="111"/>
    </row>
    <row r="3291" spans="2:18" s="108" customFormat="1">
      <c r="B3291" s="109"/>
      <c r="C3291" s="110"/>
      <c r="D3291" s="109"/>
      <c r="E3291" s="109"/>
      <c r="F3291" s="97"/>
      <c r="G3291" s="109"/>
      <c r="H3291" s="109"/>
      <c r="I3291" s="97"/>
      <c r="J3291" s="97"/>
      <c r="K3291" s="83"/>
      <c r="L3291" s="111"/>
      <c r="M3291" s="111"/>
      <c r="N3291" s="111"/>
      <c r="O3291" s="111"/>
      <c r="P3291" s="111"/>
      <c r="Q3291" s="111"/>
      <c r="R3291" s="111"/>
    </row>
    <row r="3292" spans="2:18" s="108" customFormat="1">
      <c r="B3292" s="109"/>
      <c r="C3292" s="110"/>
      <c r="D3292" s="109"/>
      <c r="E3292" s="109"/>
      <c r="F3292" s="97"/>
      <c r="G3292" s="109"/>
      <c r="H3292" s="109"/>
      <c r="I3292" s="97"/>
      <c r="J3292" s="97"/>
      <c r="K3292" s="83"/>
      <c r="L3292" s="111"/>
      <c r="M3292" s="111"/>
      <c r="N3292" s="111"/>
      <c r="O3292" s="111"/>
      <c r="P3292" s="111"/>
      <c r="Q3292" s="111"/>
      <c r="R3292" s="111"/>
    </row>
    <row r="3293" spans="2:18" s="108" customFormat="1">
      <c r="B3293" s="109"/>
      <c r="C3293" s="110"/>
      <c r="D3293" s="109"/>
      <c r="E3293" s="109"/>
      <c r="F3293" s="97"/>
      <c r="G3293" s="109"/>
      <c r="H3293" s="109"/>
      <c r="I3293" s="97"/>
      <c r="J3293" s="97"/>
      <c r="K3293" s="83"/>
      <c r="L3293" s="111"/>
      <c r="M3293" s="111"/>
      <c r="N3293" s="111"/>
      <c r="O3293" s="111"/>
      <c r="P3293" s="111"/>
      <c r="Q3293" s="111"/>
      <c r="R3293" s="111"/>
    </row>
    <row r="3294" spans="2:18" s="108" customFormat="1">
      <c r="B3294" s="109"/>
      <c r="C3294" s="110"/>
      <c r="D3294" s="109"/>
      <c r="E3294" s="109"/>
      <c r="F3294" s="97"/>
      <c r="G3294" s="109"/>
      <c r="H3294" s="109"/>
      <c r="I3294" s="97"/>
      <c r="J3294" s="97"/>
      <c r="K3294" s="83"/>
      <c r="L3294" s="111"/>
      <c r="M3294" s="111"/>
      <c r="N3294" s="111"/>
      <c r="O3294" s="111"/>
      <c r="P3294" s="111"/>
      <c r="Q3294" s="111"/>
      <c r="R3294" s="111"/>
    </row>
    <row r="3295" spans="2:18" s="108" customFormat="1">
      <c r="B3295" s="109"/>
      <c r="C3295" s="110"/>
      <c r="D3295" s="109"/>
      <c r="E3295" s="109"/>
      <c r="F3295" s="97"/>
      <c r="G3295" s="109"/>
      <c r="H3295" s="109"/>
      <c r="I3295" s="97"/>
      <c r="J3295" s="97"/>
      <c r="K3295" s="83"/>
      <c r="L3295" s="111"/>
      <c r="M3295" s="111"/>
      <c r="N3295" s="111"/>
      <c r="O3295" s="111"/>
      <c r="P3295" s="111"/>
      <c r="Q3295" s="111"/>
      <c r="R3295" s="111"/>
    </row>
    <row r="3296" spans="2:18" s="108" customFormat="1">
      <c r="B3296" s="109"/>
      <c r="C3296" s="110"/>
      <c r="D3296" s="109"/>
      <c r="E3296" s="109"/>
      <c r="F3296" s="97"/>
      <c r="G3296" s="109"/>
      <c r="H3296" s="109"/>
      <c r="I3296" s="97"/>
      <c r="J3296" s="97"/>
      <c r="K3296" s="83"/>
      <c r="L3296" s="111"/>
      <c r="M3296" s="111"/>
      <c r="N3296" s="111"/>
      <c r="O3296" s="111"/>
      <c r="P3296" s="111"/>
      <c r="Q3296" s="111"/>
      <c r="R3296" s="111"/>
    </row>
    <row r="3297" spans="2:18" s="108" customFormat="1">
      <c r="B3297" s="109"/>
      <c r="C3297" s="110"/>
      <c r="D3297" s="109"/>
      <c r="E3297" s="109"/>
      <c r="F3297" s="97"/>
      <c r="G3297" s="109"/>
      <c r="H3297" s="109"/>
      <c r="I3297" s="97"/>
      <c r="J3297" s="97"/>
      <c r="K3297" s="83"/>
      <c r="L3297" s="111"/>
      <c r="M3297" s="111"/>
      <c r="N3297" s="111"/>
      <c r="O3297" s="111"/>
      <c r="P3297" s="111"/>
      <c r="Q3297" s="111"/>
      <c r="R3297" s="111"/>
    </row>
    <row r="3298" spans="2:18" s="108" customFormat="1">
      <c r="B3298" s="109"/>
      <c r="C3298" s="110"/>
      <c r="D3298" s="109"/>
      <c r="E3298" s="109"/>
      <c r="F3298" s="97"/>
      <c r="G3298" s="109"/>
      <c r="H3298" s="109"/>
      <c r="I3298" s="97"/>
      <c r="J3298" s="97"/>
      <c r="K3298" s="83"/>
      <c r="L3298" s="111"/>
      <c r="M3298" s="111"/>
      <c r="N3298" s="111"/>
      <c r="O3298" s="111"/>
      <c r="P3298" s="111"/>
      <c r="Q3298" s="111"/>
      <c r="R3298" s="111"/>
    </row>
    <row r="3299" spans="2:18" s="108" customFormat="1">
      <c r="B3299" s="109"/>
      <c r="C3299" s="110"/>
      <c r="D3299" s="109"/>
      <c r="E3299" s="109"/>
      <c r="F3299" s="97"/>
      <c r="G3299" s="109"/>
      <c r="H3299" s="109"/>
      <c r="I3299" s="97"/>
      <c r="J3299" s="97"/>
      <c r="K3299" s="83"/>
      <c r="L3299" s="111"/>
      <c r="M3299" s="111"/>
      <c r="N3299" s="111"/>
      <c r="O3299" s="111"/>
      <c r="P3299" s="111"/>
      <c r="Q3299" s="111"/>
      <c r="R3299" s="111"/>
    </row>
    <row r="3300" spans="2:18" s="108" customFormat="1">
      <c r="B3300" s="109"/>
      <c r="C3300" s="110"/>
      <c r="D3300" s="109"/>
      <c r="E3300" s="109"/>
      <c r="F3300" s="97"/>
      <c r="G3300" s="109"/>
      <c r="H3300" s="109"/>
      <c r="I3300" s="97"/>
      <c r="J3300" s="97"/>
      <c r="K3300" s="83"/>
      <c r="L3300" s="111"/>
      <c r="M3300" s="111"/>
      <c r="N3300" s="111"/>
      <c r="O3300" s="111"/>
      <c r="P3300" s="111"/>
      <c r="Q3300" s="111"/>
      <c r="R3300" s="111"/>
    </row>
    <row r="3301" spans="2:18" s="108" customFormat="1">
      <c r="B3301" s="109"/>
      <c r="C3301" s="110"/>
      <c r="D3301" s="109"/>
      <c r="E3301" s="109"/>
      <c r="F3301" s="97"/>
      <c r="G3301" s="109"/>
      <c r="H3301" s="109"/>
      <c r="I3301" s="97"/>
      <c r="J3301" s="97"/>
      <c r="K3301" s="83"/>
      <c r="L3301" s="111"/>
      <c r="M3301" s="111"/>
      <c r="N3301" s="111"/>
      <c r="O3301" s="111"/>
      <c r="P3301" s="111"/>
      <c r="Q3301" s="111"/>
      <c r="R3301" s="111"/>
    </row>
    <row r="3302" spans="2:18" s="108" customFormat="1">
      <c r="B3302" s="109"/>
      <c r="C3302" s="110"/>
      <c r="D3302" s="109"/>
      <c r="E3302" s="109"/>
      <c r="F3302" s="97"/>
      <c r="G3302" s="109"/>
      <c r="H3302" s="109"/>
      <c r="I3302" s="97"/>
      <c r="J3302" s="97"/>
      <c r="K3302" s="83"/>
      <c r="L3302" s="111"/>
      <c r="M3302" s="111"/>
      <c r="N3302" s="111"/>
      <c r="O3302" s="111"/>
      <c r="P3302" s="111"/>
      <c r="Q3302" s="111"/>
      <c r="R3302" s="111"/>
    </row>
    <row r="3303" spans="2:18" s="108" customFormat="1">
      <c r="B3303" s="109"/>
      <c r="C3303" s="110"/>
      <c r="D3303" s="109"/>
      <c r="E3303" s="109"/>
      <c r="F3303" s="97"/>
      <c r="G3303" s="109"/>
      <c r="H3303" s="109"/>
      <c r="I3303" s="97"/>
      <c r="J3303" s="97"/>
      <c r="K3303" s="83"/>
      <c r="L3303" s="111"/>
      <c r="M3303" s="111"/>
      <c r="N3303" s="111"/>
      <c r="O3303" s="111"/>
      <c r="P3303" s="111"/>
      <c r="Q3303" s="111"/>
      <c r="R3303" s="111"/>
    </row>
    <row r="3304" spans="2:18" s="108" customFormat="1">
      <c r="B3304" s="109"/>
      <c r="C3304" s="110"/>
      <c r="D3304" s="109"/>
      <c r="E3304" s="109"/>
      <c r="F3304" s="97"/>
      <c r="G3304" s="109"/>
      <c r="H3304" s="109"/>
      <c r="I3304" s="97"/>
      <c r="J3304" s="97"/>
      <c r="K3304" s="83"/>
      <c r="L3304" s="111"/>
      <c r="M3304" s="111"/>
      <c r="N3304" s="111"/>
      <c r="O3304" s="111"/>
      <c r="P3304" s="111"/>
      <c r="Q3304" s="111"/>
      <c r="R3304" s="111"/>
    </row>
    <row r="3305" spans="2:18" s="108" customFormat="1">
      <c r="B3305" s="109"/>
      <c r="C3305" s="110"/>
      <c r="D3305" s="109"/>
      <c r="E3305" s="109"/>
      <c r="F3305" s="97"/>
      <c r="G3305" s="109"/>
      <c r="H3305" s="109"/>
      <c r="I3305" s="97"/>
      <c r="J3305" s="97"/>
      <c r="K3305" s="83"/>
      <c r="L3305" s="111"/>
      <c r="M3305" s="111"/>
      <c r="N3305" s="111"/>
      <c r="O3305" s="111"/>
      <c r="P3305" s="111"/>
      <c r="Q3305" s="111"/>
      <c r="R3305" s="111"/>
    </row>
    <row r="3306" spans="2:18" s="108" customFormat="1">
      <c r="B3306" s="109"/>
      <c r="C3306" s="110"/>
      <c r="D3306" s="109"/>
      <c r="E3306" s="109"/>
      <c r="F3306" s="97"/>
      <c r="G3306" s="109"/>
      <c r="H3306" s="109"/>
      <c r="I3306" s="97"/>
      <c r="J3306" s="97"/>
      <c r="K3306" s="83"/>
      <c r="L3306" s="111"/>
      <c r="M3306" s="111"/>
      <c r="N3306" s="111"/>
      <c r="O3306" s="111"/>
      <c r="P3306" s="111"/>
      <c r="Q3306" s="111"/>
      <c r="R3306" s="111"/>
    </row>
    <row r="3307" spans="2:18" s="108" customFormat="1">
      <c r="B3307" s="109"/>
      <c r="C3307" s="110"/>
      <c r="D3307" s="109"/>
      <c r="E3307" s="109"/>
      <c r="F3307" s="97"/>
      <c r="G3307" s="109"/>
      <c r="H3307" s="109"/>
      <c r="I3307" s="97"/>
      <c r="J3307" s="97"/>
      <c r="K3307" s="83"/>
      <c r="L3307" s="111"/>
      <c r="M3307" s="111"/>
      <c r="N3307" s="111"/>
      <c r="O3307" s="111"/>
      <c r="P3307" s="111"/>
      <c r="Q3307" s="111"/>
      <c r="R3307" s="111"/>
    </row>
    <row r="3308" spans="2:18" s="108" customFormat="1">
      <c r="B3308" s="109"/>
      <c r="C3308" s="110"/>
      <c r="D3308" s="109"/>
      <c r="E3308" s="109"/>
      <c r="F3308" s="97"/>
      <c r="G3308" s="109"/>
      <c r="H3308" s="109"/>
      <c r="I3308" s="97"/>
      <c r="J3308" s="97"/>
      <c r="K3308" s="83"/>
      <c r="L3308" s="111"/>
      <c r="M3308" s="111"/>
      <c r="N3308" s="111"/>
      <c r="O3308" s="111"/>
      <c r="P3308" s="111"/>
      <c r="Q3308" s="111"/>
      <c r="R3308" s="111"/>
    </row>
    <row r="3309" spans="2:18" s="108" customFormat="1">
      <c r="B3309" s="109"/>
      <c r="C3309" s="110"/>
      <c r="D3309" s="109"/>
      <c r="E3309" s="109"/>
      <c r="F3309" s="97"/>
      <c r="G3309" s="109"/>
      <c r="H3309" s="109"/>
      <c r="I3309" s="97"/>
      <c r="J3309" s="97"/>
      <c r="K3309" s="83"/>
      <c r="L3309" s="111"/>
      <c r="M3309" s="111"/>
      <c r="N3309" s="111"/>
      <c r="O3309" s="111"/>
      <c r="P3309" s="111"/>
      <c r="Q3309" s="111"/>
      <c r="R3309" s="111"/>
    </row>
    <row r="3310" spans="2:18" s="108" customFormat="1">
      <c r="B3310" s="109"/>
      <c r="C3310" s="110"/>
      <c r="D3310" s="109"/>
      <c r="E3310" s="109"/>
      <c r="F3310" s="97"/>
      <c r="G3310" s="109"/>
      <c r="H3310" s="109"/>
      <c r="I3310" s="97"/>
      <c r="J3310" s="97"/>
      <c r="K3310" s="83"/>
      <c r="L3310" s="111"/>
      <c r="M3310" s="111"/>
      <c r="N3310" s="111"/>
      <c r="O3310" s="111"/>
      <c r="P3310" s="111"/>
      <c r="Q3310" s="111"/>
      <c r="R3310" s="111"/>
    </row>
    <row r="3311" spans="2:18" s="108" customFormat="1">
      <c r="B3311" s="109"/>
      <c r="C3311" s="110"/>
      <c r="D3311" s="109"/>
      <c r="E3311" s="109"/>
      <c r="F3311" s="97"/>
      <c r="G3311" s="109"/>
      <c r="H3311" s="109"/>
      <c r="I3311" s="97"/>
      <c r="J3311" s="97"/>
      <c r="K3311" s="83"/>
      <c r="L3311" s="111"/>
      <c r="M3311" s="111"/>
      <c r="N3311" s="111"/>
      <c r="O3311" s="111"/>
      <c r="P3311" s="111"/>
      <c r="Q3311" s="111"/>
      <c r="R3311" s="111"/>
    </row>
    <row r="3312" spans="2:18" s="108" customFormat="1">
      <c r="B3312" s="109"/>
      <c r="C3312" s="110"/>
      <c r="D3312" s="109"/>
      <c r="E3312" s="109"/>
      <c r="F3312" s="97"/>
      <c r="G3312" s="109"/>
      <c r="H3312" s="109"/>
      <c r="I3312" s="97"/>
      <c r="J3312" s="97"/>
      <c r="K3312" s="83"/>
      <c r="L3312" s="111"/>
      <c r="M3312" s="111"/>
      <c r="N3312" s="111"/>
      <c r="O3312" s="111"/>
      <c r="P3312" s="111"/>
      <c r="Q3312" s="111"/>
      <c r="R3312" s="111"/>
    </row>
    <row r="3313" spans="2:18" s="108" customFormat="1">
      <c r="B3313" s="109"/>
      <c r="C3313" s="110"/>
      <c r="D3313" s="109"/>
      <c r="E3313" s="109"/>
      <c r="F3313" s="97"/>
      <c r="G3313" s="109"/>
      <c r="H3313" s="109"/>
      <c r="I3313" s="97"/>
      <c r="J3313" s="97"/>
      <c r="K3313" s="83"/>
      <c r="L3313" s="111"/>
      <c r="M3313" s="111"/>
      <c r="N3313" s="111"/>
      <c r="O3313" s="111"/>
      <c r="P3313" s="111"/>
      <c r="Q3313" s="111"/>
      <c r="R3313" s="111"/>
    </row>
    <row r="3314" spans="2:18" s="108" customFormat="1">
      <c r="B3314" s="109"/>
      <c r="C3314" s="110"/>
      <c r="D3314" s="109"/>
      <c r="E3314" s="109"/>
      <c r="F3314" s="97"/>
      <c r="G3314" s="109"/>
      <c r="H3314" s="109"/>
      <c r="I3314" s="97"/>
      <c r="J3314" s="97"/>
      <c r="K3314" s="83"/>
      <c r="L3314" s="111"/>
      <c r="M3314" s="111"/>
      <c r="N3314" s="111"/>
      <c r="O3314" s="111"/>
      <c r="P3314" s="111"/>
      <c r="Q3314" s="111"/>
      <c r="R3314" s="111"/>
    </row>
    <row r="3315" spans="2:18" s="108" customFormat="1">
      <c r="B3315" s="109"/>
      <c r="C3315" s="110"/>
      <c r="D3315" s="109"/>
      <c r="E3315" s="109"/>
      <c r="F3315" s="97"/>
      <c r="G3315" s="109"/>
      <c r="H3315" s="109"/>
      <c r="I3315" s="97"/>
      <c r="J3315" s="97"/>
      <c r="K3315" s="83"/>
      <c r="L3315" s="111"/>
      <c r="M3315" s="111"/>
      <c r="N3315" s="111"/>
      <c r="O3315" s="111"/>
      <c r="P3315" s="111"/>
      <c r="Q3315" s="111"/>
      <c r="R3315" s="111"/>
    </row>
    <row r="3316" spans="2:18" s="108" customFormat="1">
      <c r="B3316" s="109"/>
      <c r="C3316" s="110"/>
      <c r="D3316" s="109"/>
      <c r="E3316" s="109"/>
      <c r="F3316" s="97"/>
      <c r="G3316" s="109"/>
      <c r="H3316" s="109"/>
      <c r="I3316" s="97"/>
      <c r="J3316" s="97"/>
      <c r="K3316" s="83"/>
      <c r="L3316" s="111"/>
      <c r="M3316" s="111"/>
      <c r="N3316" s="111"/>
      <c r="O3316" s="111"/>
      <c r="P3316" s="111"/>
      <c r="Q3316" s="111"/>
      <c r="R3316" s="111"/>
    </row>
    <row r="3317" spans="2:18" s="108" customFormat="1">
      <c r="B3317" s="109"/>
      <c r="C3317" s="110"/>
      <c r="D3317" s="109"/>
      <c r="E3317" s="109"/>
      <c r="F3317" s="97"/>
      <c r="G3317" s="109"/>
      <c r="H3317" s="109"/>
      <c r="I3317" s="97"/>
      <c r="J3317" s="97"/>
      <c r="K3317" s="83"/>
      <c r="L3317" s="111"/>
      <c r="M3317" s="111"/>
      <c r="N3317" s="111"/>
      <c r="O3317" s="111"/>
      <c r="P3317" s="111"/>
      <c r="Q3317" s="111"/>
      <c r="R3317" s="111"/>
    </row>
    <row r="3318" spans="2:18" s="108" customFormat="1">
      <c r="B3318" s="109"/>
      <c r="C3318" s="110"/>
      <c r="D3318" s="109"/>
      <c r="E3318" s="109"/>
      <c r="F3318" s="97"/>
      <c r="G3318" s="109"/>
      <c r="H3318" s="109"/>
      <c r="I3318" s="97"/>
      <c r="J3318" s="97"/>
      <c r="K3318" s="83"/>
      <c r="L3318" s="111"/>
      <c r="M3318" s="111"/>
      <c r="N3318" s="111"/>
      <c r="O3318" s="111"/>
      <c r="P3318" s="111"/>
      <c r="Q3318" s="111"/>
      <c r="R3318" s="111"/>
    </row>
    <row r="3319" spans="2:18" s="108" customFormat="1">
      <c r="B3319" s="109"/>
      <c r="C3319" s="110"/>
      <c r="D3319" s="109"/>
      <c r="E3319" s="109"/>
      <c r="F3319" s="97"/>
      <c r="G3319" s="109"/>
      <c r="H3319" s="109"/>
      <c r="I3319" s="97"/>
      <c r="J3319" s="97"/>
      <c r="K3319" s="83"/>
      <c r="L3319" s="111"/>
      <c r="M3319" s="111"/>
      <c r="N3319" s="111"/>
      <c r="O3319" s="111"/>
      <c r="P3319" s="111"/>
      <c r="Q3319" s="111"/>
      <c r="R3319" s="111"/>
    </row>
    <row r="3320" spans="2:18" s="108" customFormat="1">
      <c r="B3320" s="109"/>
      <c r="C3320" s="110"/>
      <c r="D3320" s="109"/>
      <c r="E3320" s="109"/>
      <c r="F3320" s="97"/>
      <c r="G3320" s="109"/>
      <c r="H3320" s="109"/>
      <c r="I3320" s="97"/>
      <c r="J3320" s="97"/>
      <c r="K3320" s="83"/>
      <c r="L3320" s="111"/>
      <c r="M3320" s="111"/>
      <c r="N3320" s="111"/>
      <c r="O3320" s="111"/>
      <c r="P3320" s="111"/>
      <c r="Q3320" s="111"/>
      <c r="R3320" s="111"/>
    </row>
    <row r="3321" spans="2:18" s="108" customFormat="1">
      <c r="B3321" s="109"/>
      <c r="C3321" s="110"/>
      <c r="D3321" s="109"/>
      <c r="E3321" s="109"/>
      <c r="F3321" s="97"/>
      <c r="G3321" s="109"/>
      <c r="H3321" s="109"/>
      <c r="I3321" s="97"/>
      <c r="J3321" s="97"/>
      <c r="K3321" s="83"/>
      <c r="L3321" s="111"/>
      <c r="M3321" s="111"/>
      <c r="N3321" s="111"/>
      <c r="O3321" s="111"/>
      <c r="P3321" s="111"/>
      <c r="Q3321" s="111"/>
      <c r="R3321" s="111"/>
    </row>
    <row r="3322" spans="2:18" s="108" customFormat="1">
      <c r="B3322" s="109"/>
      <c r="C3322" s="110"/>
      <c r="D3322" s="109"/>
      <c r="E3322" s="109"/>
      <c r="F3322" s="97"/>
      <c r="G3322" s="109"/>
      <c r="H3322" s="109"/>
      <c r="I3322" s="97"/>
      <c r="J3322" s="97"/>
      <c r="K3322" s="83"/>
      <c r="L3322" s="111"/>
      <c r="M3322" s="111"/>
      <c r="N3322" s="111"/>
      <c r="O3322" s="111"/>
      <c r="P3322" s="111"/>
      <c r="Q3322" s="111"/>
      <c r="R3322" s="111"/>
    </row>
    <row r="3323" spans="2:18" s="108" customFormat="1">
      <c r="B3323" s="109"/>
      <c r="C3323" s="110"/>
      <c r="D3323" s="109"/>
      <c r="E3323" s="109"/>
      <c r="F3323" s="97"/>
      <c r="G3323" s="109"/>
      <c r="H3323" s="109"/>
      <c r="I3323" s="97"/>
      <c r="J3323" s="97"/>
      <c r="K3323" s="83"/>
      <c r="L3323" s="111"/>
      <c r="M3323" s="111"/>
      <c r="N3323" s="111"/>
      <c r="O3323" s="111"/>
      <c r="P3323" s="111"/>
      <c r="Q3323" s="111"/>
      <c r="R3323" s="111"/>
    </row>
    <row r="3324" spans="2:18" s="108" customFormat="1">
      <c r="B3324" s="109"/>
      <c r="C3324" s="110"/>
      <c r="D3324" s="109"/>
      <c r="E3324" s="109"/>
      <c r="F3324" s="97"/>
      <c r="G3324" s="109"/>
      <c r="H3324" s="109"/>
      <c r="I3324" s="97"/>
      <c r="J3324" s="97"/>
      <c r="K3324" s="83"/>
      <c r="L3324" s="111"/>
      <c r="M3324" s="111"/>
      <c r="N3324" s="111"/>
      <c r="O3324" s="111"/>
      <c r="P3324" s="111"/>
      <c r="Q3324" s="111"/>
      <c r="R3324" s="111"/>
    </row>
    <row r="3325" spans="2:18" s="108" customFormat="1">
      <c r="B3325" s="109"/>
      <c r="C3325" s="110"/>
      <c r="D3325" s="109"/>
      <c r="E3325" s="109"/>
      <c r="F3325" s="97"/>
      <c r="G3325" s="109"/>
      <c r="H3325" s="109"/>
      <c r="I3325" s="97"/>
      <c r="J3325" s="97"/>
      <c r="K3325" s="83"/>
      <c r="L3325" s="111"/>
      <c r="M3325" s="111"/>
      <c r="N3325" s="111"/>
      <c r="O3325" s="111"/>
      <c r="P3325" s="111"/>
      <c r="Q3325" s="111"/>
      <c r="R3325" s="111"/>
    </row>
    <row r="3326" spans="2:18" s="108" customFormat="1">
      <c r="B3326" s="109"/>
      <c r="C3326" s="110"/>
      <c r="D3326" s="109"/>
      <c r="E3326" s="109"/>
      <c r="F3326" s="97"/>
      <c r="G3326" s="109"/>
      <c r="H3326" s="109"/>
      <c r="I3326" s="97"/>
      <c r="J3326" s="97"/>
      <c r="K3326" s="83"/>
      <c r="L3326" s="111"/>
      <c r="M3326" s="111"/>
      <c r="N3326" s="111"/>
      <c r="O3326" s="111"/>
      <c r="P3326" s="111"/>
      <c r="Q3326" s="111"/>
      <c r="R3326" s="111"/>
    </row>
    <row r="3327" spans="2:18" s="108" customFormat="1">
      <c r="B3327" s="109"/>
      <c r="C3327" s="110"/>
      <c r="D3327" s="109"/>
      <c r="E3327" s="109"/>
      <c r="F3327" s="97"/>
      <c r="G3327" s="109"/>
      <c r="H3327" s="109"/>
      <c r="I3327" s="97"/>
      <c r="J3327" s="97"/>
      <c r="K3327" s="83"/>
      <c r="L3327" s="111"/>
      <c r="M3327" s="111"/>
      <c r="N3327" s="111"/>
      <c r="O3327" s="111"/>
      <c r="P3327" s="111"/>
      <c r="Q3327" s="111"/>
      <c r="R3327" s="111"/>
    </row>
    <row r="3328" spans="2:18" s="108" customFormat="1">
      <c r="B3328" s="109"/>
      <c r="C3328" s="110"/>
      <c r="D3328" s="109"/>
      <c r="E3328" s="109"/>
      <c r="F3328" s="97"/>
      <c r="G3328" s="109"/>
      <c r="H3328" s="109"/>
      <c r="I3328" s="97"/>
      <c r="J3328" s="97"/>
      <c r="K3328" s="83"/>
      <c r="L3328" s="111"/>
      <c r="M3328" s="111"/>
      <c r="N3328" s="111"/>
      <c r="O3328" s="111"/>
      <c r="P3328" s="111"/>
      <c r="Q3328" s="111"/>
      <c r="R3328" s="111"/>
    </row>
    <row r="3329" spans="2:18" s="108" customFormat="1">
      <c r="B3329" s="109"/>
      <c r="C3329" s="110"/>
      <c r="D3329" s="109"/>
      <c r="E3329" s="109"/>
      <c r="F3329" s="97"/>
      <c r="G3329" s="109"/>
      <c r="H3329" s="109"/>
      <c r="I3329" s="97"/>
      <c r="J3329" s="97"/>
      <c r="K3329" s="83"/>
      <c r="L3329" s="111"/>
      <c r="M3329" s="111"/>
      <c r="N3329" s="111"/>
      <c r="O3329" s="111"/>
      <c r="P3329" s="111"/>
      <c r="Q3329" s="111"/>
      <c r="R3329" s="111"/>
    </row>
    <row r="3330" spans="2:18" s="108" customFormat="1">
      <c r="B3330" s="109"/>
      <c r="C3330" s="110"/>
      <c r="D3330" s="109"/>
      <c r="E3330" s="109"/>
      <c r="F3330" s="97"/>
      <c r="G3330" s="109"/>
      <c r="H3330" s="109"/>
      <c r="I3330" s="97"/>
      <c r="J3330" s="97"/>
      <c r="K3330" s="83"/>
      <c r="L3330" s="111"/>
      <c r="M3330" s="111"/>
      <c r="N3330" s="111"/>
      <c r="O3330" s="111"/>
      <c r="P3330" s="111"/>
      <c r="Q3330" s="111"/>
      <c r="R3330" s="111"/>
    </row>
    <row r="3331" spans="2:18" s="108" customFormat="1">
      <c r="B3331" s="109"/>
      <c r="C3331" s="110"/>
      <c r="D3331" s="109"/>
      <c r="E3331" s="109"/>
      <c r="F3331" s="97"/>
      <c r="G3331" s="109"/>
      <c r="H3331" s="109"/>
      <c r="I3331" s="97"/>
      <c r="J3331" s="97"/>
      <c r="K3331" s="83"/>
      <c r="L3331" s="111"/>
      <c r="M3331" s="111"/>
      <c r="N3331" s="111"/>
      <c r="O3331" s="111"/>
      <c r="P3331" s="111"/>
      <c r="Q3331" s="111"/>
      <c r="R3331" s="111"/>
    </row>
    <row r="3332" spans="2:18" s="108" customFormat="1">
      <c r="B3332" s="109"/>
      <c r="C3332" s="110"/>
      <c r="D3332" s="109"/>
      <c r="E3332" s="109"/>
      <c r="F3332" s="97"/>
      <c r="G3332" s="109"/>
      <c r="H3332" s="109"/>
      <c r="I3332" s="97"/>
      <c r="J3332" s="97"/>
      <c r="K3332" s="83"/>
      <c r="L3332" s="111"/>
      <c r="M3332" s="111"/>
      <c r="N3332" s="111"/>
      <c r="O3332" s="111"/>
      <c r="P3332" s="111"/>
      <c r="Q3332" s="111"/>
      <c r="R3332" s="111"/>
    </row>
    <row r="3333" spans="2:18" s="108" customFormat="1">
      <c r="B3333" s="109"/>
      <c r="C3333" s="110"/>
      <c r="D3333" s="109"/>
      <c r="E3333" s="109"/>
      <c r="F3333" s="97"/>
      <c r="G3333" s="109"/>
      <c r="H3333" s="109"/>
      <c r="I3333" s="97"/>
      <c r="J3333" s="97"/>
      <c r="K3333" s="83"/>
      <c r="L3333" s="111"/>
      <c r="M3333" s="111"/>
      <c r="N3333" s="111"/>
      <c r="O3333" s="111"/>
      <c r="P3333" s="111"/>
      <c r="Q3333" s="111"/>
      <c r="R3333" s="111"/>
    </row>
    <row r="3334" spans="2:18" s="108" customFormat="1">
      <c r="B3334" s="109"/>
      <c r="C3334" s="110"/>
      <c r="D3334" s="109"/>
      <c r="E3334" s="109"/>
      <c r="F3334" s="97"/>
      <c r="G3334" s="109"/>
      <c r="H3334" s="109"/>
      <c r="I3334" s="97"/>
      <c r="J3334" s="97"/>
      <c r="K3334" s="83"/>
      <c r="L3334" s="111"/>
      <c r="M3334" s="111"/>
      <c r="N3334" s="111"/>
      <c r="O3334" s="111"/>
      <c r="P3334" s="111"/>
      <c r="Q3334" s="111"/>
      <c r="R3334" s="111"/>
    </row>
    <row r="3335" spans="2:18" s="108" customFormat="1">
      <c r="B3335" s="109"/>
      <c r="C3335" s="110"/>
      <c r="D3335" s="109"/>
      <c r="E3335" s="109"/>
      <c r="F3335" s="97"/>
      <c r="G3335" s="109"/>
      <c r="H3335" s="109"/>
      <c r="I3335" s="97"/>
      <c r="J3335" s="97"/>
      <c r="K3335" s="83"/>
      <c r="L3335" s="111"/>
      <c r="M3335" s="111"/>
      <c r="N3335" s="111"/>
      <c r="O3335" s="111"/>
      <c r="P3335" s="111"/>
      <c r="Q3335" s="111"/>
      <c r="R3335" s="111"/>
    </row>
    <row r="3336" spans="2:18" s="108" customFormat="1">
      <c r="B3336" s="109"/>
      <c r="C3336" s="110"/>
      <c r="D3336" s="109"/>
      <c r="E3336" s="109"/>
      <c r="F3336" s="97"/>
      <c r="G3336" s="109"/>
      <c r="H3336" s="109"/>
      <c r="I3336" s="97"/>
      <c r="J3336" s="97"/>
      <c r="K3336" s="83"/>
      <c r="L3336" s="111"/>
      <c r="M3336" s="111"/>
      <c r="N3336" s="111"/>
      <c r="O3336" s="111"/>
      <c r="P3336" s="111"/>
      <c r="Q3336" s="111"/>
      <c r="R3336" s="111"/>
    </row>
    <row r="3337" spans="2:18" s="108" customFormat="1">
      <c r="B3337" s="109"/>
      <c r="C3337" s="110"/>
      <c r="D3337" s="109"/>
      <c r="E3337" s="109"/>
      <c r="F3337" s="97"/>
      <c r="G3337" s="109"/>
      <c r="H3337" s="109"/>
      <c r="I3337" s="97"/>
      <c r="J3337" s="97"/>
      <c r="K3337" s="83"/>
      <c r="L3337" s="111"/>
      <c r="M3337" s="111"/>
      <c r="N3337" s="111"/>
      <c r="O3337" s="111"/>
      <c r="P3337" s="111"/>
      <c r="Q3337" s="111"/>
      <c r="R3337" s="111"/>
    </row>
    <row r="3338" spans="2:18" s="108" customFormat="1">
      <c r="B3338" s="109"/>
      <c r="C3338" s="110"/>
      <c r="D3338" s="109"/>
      <c r="E3338" s="109"/>
      <c r="F3338" s="97"/>
      <c r="G3338" s="109"/>
      <c r="H3338" s="109"/>
      <c r="I3338" s="97"/>
      <c r="J3338" s="97"/>
      <c r="K3338" s="83"/>
      <c r="L3338" s="111"/>
      <c r="M3338" s="111"/>
      <c r="N3338" s="111"/>
      <c r="O3338" s="111"/>
      <c r="P3338" s="111"/>
      <c r="Q3338" s="111"/>
      <c r="R3338" s="111"/>
    </row>
    <row r="3339" spans="2:18" s="108" customFormat="1">
      <c r="B3339" s="109"/>
      <c r="C3339" s="110"/>
      <c r="D3339" s="109"/>
      <c r="E3339" s="109"/>
      <c r="F3339" s="97"/>
      <c r="G3339" s="109"/>
      <c r="H3339" s="109"/>
      <c r="I3339" s="97"/>
      <c r="J3339" s="97"/>
      <c r="K3339" s="83"/>
      <c r="L3339" s="111"/>
      <c r="M3339" s="111"/>
      <c r="N3339" s="111"/>
      <c r="O3339" s="111"/>
      <c r="P3339" s="111"/>
      <c r="Q3339" s="111"/>
      <c r="R3339" s="111"/>
    </row>
    <row r="3340" spans="2:18" s="108" customFormat="1">
      <c r="B3340" s="109"/>
      <c r="C3340" s="110"/>
      <c r="D3340" s="109"/>
      <c r="E3340" s="109"/>
      <c r="F3340" s="97"/>
      <c r="G3340" s="109"/>
      <c r="H3340" s="109"/>
      <c r="I3340" s="97"/>
      <c r="J3340" s="97"/>
      <c r="K3340" s="83"/>
      <c r="L3340" s="111"/>
      <c r="M3340" s="111"/>
      <c r="N3340" s="111"/>
      <c r="O3340" s="111"/>
      <c r="P3340" s="111"/>
      <c r="Q3340" s="111"/>
      <c r="R3340" s="111"/>
    </row>
    <row r="3341" spans="2:18" s="108" customFormat="1">
      <c r="B3341" s="109"/>
      <c r="C3341" s="110"/>
      <c r="D3341" s="109"/>
      <c r="E3341" s="109"/>
      <c r="F3341" s="97"/>
      <c r="G3341" s="109"/>
      <c r="H3341" s="109"/>
      <c r="I3341" s="97"/>
      <c r="J3341" s="97"/>
      <c r="K3341" s="83"/>
      <c r="L3341" s="111"/>
      <c r="M3341" s="111"/>
      <c r="N3341" s="111"/>
      <c r="O3341" s="111"/>
      <c r="P3341" s="111"/>
      <c r="Q3341" s="111"/>
      <c r="R3341" s="111"/>
    </row>
    <row r="3342" spans="2:18" s="108" customFormat="1">
      <c r="B3342" s="109"/>
      <c r="C3342" s="110"/>
      <c r="D3342" s="109"/>
      <c r="E3342" s="109"/>
      <c r="F3342" s="97"/>
      <c r="G3342" s="109"/>
      <c r="H3342" s="109"/>
      <c r="I3342" s="97"/>
      <c r="J3342" s="97"/>
      <c r="K3342" s="83"/>
      <c r="L3342" s="111"/>
      <c r="M3342" s="111"/>
      <c r="N3342" s="111"/>
      <c r="O3342" s="111"/>
      <c r="P3342" s="111"/>
      <c r="Q3342" s="111"/>
      <c r="R3342" s="111"/>
    </row>
    <row r="3343" spans="2:18" s="108" customFormat="1">
      <c r="B3343" s="109"/>
      <c r="C3343" s="110"/>
      <c r="D3343" s="109"/>
      <c r="E3343" s="109"/>
      <c r="F3343" s="97"/>
      <c r="G3343" s="109"/>
      <c r="H3343" s="109"/>
      <c r="I3343" s="97"/>
      <c r="J3343" s="97"/>
      <c r="K3343" s="83"/>
      <c r="L3343" s="111"/>
      <c r="M3343" s="111"/>
      <c r="N3343" s="111"/>
      <c r="O3343" s="111"/>
      <c r="P3343" s="111"/>
      <c r="Q3343" s="111"/>
      <c r="R3343" s="111"/>
    </row>
    <row r="3344" spans="2:18" s="108" customFormat="1">
      <c r="B3344" s="109"/>
      <c r="C3344" s="110"/>
      <c r="D3344" s="109"/>
      <c r="E3344" s="109"/>
      <c r="F3344" s="97"/>
      <c r="G3344" s="109"/>
      <c r="H3344" s="109"/>
      <c r="I3344" s="97"/>
      <c r="J3344" s="97"/>
      <c r="K3344" s="83"/>
      <c r="L3344" s="111"/>
      <c r="M3344" s="111"/>
      <c r="N3344" s="111"/>
      <c r="O3344" s="111"/>
      <c r="P3344" s="111"/>
      <c r="Q3344" s="111"/>
      <c r="R3344" s="111"/>
    </row>
    <row r="3345" spans="2:18" s="108" customFormat="1">
      <c r="B3345" s="109"/>
      <c r="C3345" s="110"/>
      <c r="D3345" s="109"/>
      <c r="E3345" s="109"/>
      <c r="F3345" s="97"/>
      <c r="G3345" s="109"/>
      <c r="H3345" s="109"/>
      <c r="I3345" s="97"/>
      <c r="J3345" s="97"/>
      <c r="K3345" s="83"/>
      <c r="L3345" s="111"/>
      <c r="M3345" s="111"/>
      <c r="N3345" s="111"/>
      <c r="O3345" s="111"/>
      <c r="P3345" s="111"/>
      <c r="Q3345" s="111"/>
      <c r="R3345" s="111"/>
    </row>
    <row r="3346" spans="2:18" s="108" customFormat="1">
      <c r="B3346" s="109"/>
      <c r="C3346" s="110"/>
      <c r="D3346" s="109"/>
      <c r="E3346" s="109"/>
      <c r="F3346" s="97"/>
      <c r="G3346" s="109"/>
      <c r="H3346" s="109"/>
      <c r="I3346" s="97"/>
      <c r="J3346" s="97"/>
      <c r="K3346" s="83"/>
      <c r="L3346" s="111"/>
      <c r="M3346" s="111"/>
      <c r="N3346" s="111"/>
      <c r="O3346" s="111"/>
      <c r="P3346" s="111"/>
      <c r="Q3346" s="111"/>
      <c r="R3346" s="111"/>
    </row>
    <row r="3347" spans="2:18" s="108" customFormat="1">
      <c r="B3347" s="109"/>
      <c r="C3347" s="110"/>
      <c r="D3347" s="109"/>
      <c r="E3347" s="109"/>
      <c r="F3347" s="97"/>
      <c r="G3347" s="109"/>
      <c r="H3347" s="109"/>
      <c r="I3347" s="97"/>
      <c r="J3347" s="97"/>
      <c r="K3347" s="83"/>
      <c r="L3347" s="111"/>
      <c r="M3347" s="111"/>
      <c r="N3347" s="111"/>
      <c r="O3347" s="111"/>
      <c r="P3347" s="111"/>
      <c r="Q3347" s="111"/>
      <c r="R3347" s="111"/>
    </row>
    <row r="3348" spans="2:18" s="108" customFormat="1">
      <c r="B3348" s="109"/>
      <c r="C3348" s="110"/>
      <c r="D3348" s="109"/>
      <c r="E3348" s="109"/>
      <c r="F3348" s="97"/>
      <c r="G3348" s="109"/>
      <c r="H3348" s="109"/>
      <c r="I3348" s="97"/>
      <c r="J3348" s="97"/>
      <c r="K3348" s="83"/>
      <c r="L3348" s="111"/>
      <c r="M3348" s="111"/>
      <c r="N3348" s="111"/>
      <c r="O3348" s="111"/>
      <c r="P3348" s="111"/>
      <c r="Q3348" s="111"/>
      <c r="R3348" s="111"/>
    </row>
    <row r="3349" spans="2:18" s="108" customFormat="1">
      <c r="B3349" s="109"/>
      <c r="C3349" s="110"/>
      <c r="D3349" s="109"/>
      <c r="E3349" s="109"/>
      <c r="F3349" s="97"/>
      <c r="G3349" s="109"/>
      <c r="H3349" s="109"/>
      <c r="I3349" s="97"/>
      <c r="J3349" s="97"/>
      <c r="K3349" s="83"/>
      <c r="L3349" s="111"/>
      <c r="M3349" s="111"/>
      <c r="N3349" s="111"/>
      <c r="O3349" s="111"/>
      <c r="P3349" s="111"/>
      <c r="Q3349" s="111"/>
      <c r="R3349" s="111"/>
    </row>
    <row r="3350" spans="2:18" s="108" customFormat="1">
      <c r="B3350" s="109"/>
      <c r="C3350" s="110"/>
      <c r="D3350" s="109"/>
      <c r="E3350" s="109"/>
      <c r="F3350" s="97"/>
      <c r="G3350" s="109"/>
      <c r="H3350" s="109"/>
      <c r="I3350" s="97"/>
      <c r="J3350" s="97"/>
      <c r="K3350" s="83"/>
      <c r="L3350" s="111"/>
      <c r="M3350" s="111"/>
      <c r="N3350" s="111"/>
      <c r="O3350" s="111"/>
      <c r="P3350" s="111"/>
      <c r="Q3350" s="111"/>
      <c r="R3350" s="111"/>
    </row>
    <row r="3351" spans="2:18" s="108" customFormat="1">
      <c r="B3351" s="109"/>
      <c r="C3351" s="110"/>
      <c r="D3351" s="109"/>
      <c r="E3351" s="109"/>
      <c r="F3351" s="97"/>
      <c r="G3351" s="109"/>
      <c r="H3351" s="109"/>
      <c r="I3351" s="97"/>
      <c r="J3351" s="97"/>
      <c r="K3351" s="83"/>
      <c r="L3351" s="111"/>
      <c r="M3351" s="111"/>
      <c r="N3351" s="111"/>
      <c r="O3351" s="111"/>
      <c r="P3351" s="111"/>
      <c r="Q3351" s="111"/>
      <c r="R3351" s="111"/>
    </row>
    <row r="3352" spans="2:18" s="108" customFormat="1">
      <c r="B3352" s="109"/>
      <c r="C3352" s="110"/>
      <c r="D3352" s="109"/>
      <c r="E3352" s="109"/>
      <c r="F3352" s="97"/>
      <c r="G3352" s="109"/>
      <c r="H3352" s="109"/>
      <c r="I3352" s="97"/>
      <c r="J3352" s="97"/>
      <c r="K3352" s="83"/>
      <c r="L3352" s="111"/>
      <c r="M3352" s="111"/>
      <c r="N3352" s="111"/>
      <c r="O3352" s="111"/>
      <c r="P3352" s="111"/>
      <c r="Q3352" s="111"/>
      <c r="R3352" s="111"/>
    </row>
    <row r="3353" spans="2:18" s="108" customFormat="1">
      <c r="B3353" s="109"/>
      <c r="C3353" s="110"/>
      <c r="D3353" s="109"/>
      <c r="E3353" s="109"/>
      <c r="F3353" s="97"/>
      <c r="G3353" s="109"/>
      <c r="H3353" s="109"/>
      <c r="I3353" s="97"/>
      <c r="J3353" s="97"/>
      <c r="K3353" s="83"/>
      <c r="L3353" s="111"/>
      <c r="M3353" s="111"/>
      <c r="N3353" s="111"/>
      <c r="O3353" s="111"/>
      <c r="P3353" s="111"/>
      <c r="Q3353" s="111"/>
      <c r="R3353" s="111"/>
    </row>
    <row r="3354" spans="2:18" s="108" customFormat="1">
      <c r="B3354" s="109"/>
      <c r="C3354" s="110"/>
      <c r="D3354" s="109"/>
      <c r="E3354" s="109"/>
      <c r="F3354" s="97"/>
      <c r="G3354" s="109"/>
      <c r="H3354" s="109"/>
      <c r="I3354" s="97"/>
      <c r="J3354" s="97"/>
      <c r="K3354" s="83"/>
      <c r="L3354" s="111"/>
      <c r="M3354" s="111"/>
      <c r="N3354" s="111"/>
      <c r="O3354" s="111"/>
      <c r="P3354" s="111"/>
      <c r="Q3354" s="111"/>
      <c r="R3354" s="111"/>
    </row>
    <row r="3355" spans="2:18" s="108" customFormat="1">
      <c r="B3355" s="109"/>
      <c r="C3355" s="110"/>
      <c r="D3355" s="109"/>
      <c r="E3355" s="109"/>
      <c r="F3355" s="97"/>
      <c r="G3355" s="109"/>
      <c r="H3355" s="109"/>
      <c r="I3355" s="97"/>
      <c r="J3355" s="97"/>
      <c r="K3355" s="83"/>
      <c r="L3355" s="111"/>
      <c r="M3355" s="111"/>
      <c r="N3355" s="111"/>
      <c r="O3355" s="111"/>
      <c r="P3355" s="111"/>
      <c r="Q3355" s="111"/>
      <c r="R3355" s="111"/>
    </row>
    <row r="3356" spans="2:18" s="108" customFormat="1">
      <c r="B3356" s="109"/>
      <c r="C3356" s="110"/>
      <c r="D3356" s="109"/>
      <c r="E3356" s="109"/>
      <c r="F3356" s="97"/>
      <c r="G3356" s="109"/>
      <c r="H3356" s="109"/>
      <c r="I3356" s="97"/>
      <c r="J3356" s="97"/>
      <c r="K3356" s="83"/>
      <c r="L3356" s="111"/>
      <c r="M3356" s="111"/>
      <c r="N3356" s="111"/>
      <c r="O3356" s="111"/>
      <c r="P3356" s="111"/>
      <c r="Q3356" s="111"/>
      <c r="R3356" s="111"/>
    </row>
    <row r="3357" spans="2:18" s="108" customFormat="1">
      <c r="B3357" s="109"/>
      <c r="C3357" s="110"/>
      <c r="D3357" s="109"/>
      <c r="E3357" s="109"/>
      <c r="F3357" s="97"/>
      <c r="G3357" s="109"/>
      <c r="H3357" s="109"/>
      <c r="I3357" s="97"/>
      <c r="J3357" s="97"/>
      <c r="K3357" s="83"/>
      <c r="L3357" s="111"/>
      <c r="M3357" s="111"/>
      <c r="N3357" s="111"/>
      <c r="O3357" s="111"/>
      <c r="P3357" s="111"/>
      <c r="Q3357" s="111"/>
      <c r="R3357" s="111"/>
    </row>
    <row r="3358" spans="2:18" s="108" customFormat="1">
      <c r="B3358" s="109"/>
      <c r="C3358" s="110"/>
      <c r="D3358" s="109"/>
      <c r="E3358" s="109"/>
      <c r="F3358" s="97"/>
      <c r="G3358" s="109"/>
      <c r="H3358" s="109"/>
      <c r="I3358" s="97"/>
      <c r="J3358" s="97"/>
      <c r="K3358" s="83"/>
      <c r="L3358" s="111"/>
      <c r="M3358" s="111"/>
      <c r="N3358" s="111"/>
      <c r="O3358" s="111"/>
      <c r="P3358" s="111"/>
      <c r="Q3358" s="111"/>
      <c r="R3358" s="111"/>
    </row>
    <row r="3359" spans="2:18" s="108" customFormat="1">
      <c r="B3359" s="109"/>
      <c r="C3359" s="110"/>
      <c r="D3359" s="109"/>
      <c r="E3359" s="109"/>
      <c r="F3359" s="97"/>
      <c r="G3359" s="109"/>
      <c r="H3359" s="109"/>
      <c r="I3359" s="97"/>
      <c r="J3359" s="97"/>
      <c r="K3359" s="83"/>
      <c r="L3359" s="111"/>
      <c r="M3359" s="111"/>
      <c r="N3359" s="111"/>
      <c r="O3359" s="111"/>
      <c r="P3359" s="111"/>
      <c r="Q3359" s="111"/>
      <c r="R3359" s="111"/>
    </row>
    <row r="3360" spans="2:18" s="108" customFormat="1">
      <c r="B3360" s="109"/>
      <c r="C3360" s="110"/>
      <c r="D3360" s="109"/>
      <c r="E3360" s="109"/>
      <c r="F3360" s="97"/>
      <c r="G3360" s="109"/>
      <c r="H3360" s="109"/>
      <c r="I3360" s="97"/>
      <c r="J3360" s="97"/>
      <c r="K3360" s="83"/>
      <c r="L3360" s="111"/>
      <c r="M3360" s="111"/>
      <c r="N3360" s="111"/>
      <c r="O3360" s="111"/>
      <c r="P3360" s="111"/>
      <c r="Q3360" s="111"/>
      <c r="R3360" s="111"/>
    </row>
    <row r="3361" spans="2:18" s="108" customFormat="1">
      <c r="B3361" s="109"/>
      <c r="C3361" s="110"/>
      <c r="D3361" s="109"/>
      <c r="E3361" s="109"/>
      <c r="F3361" s="97"/>
      <c r="G3361" s="109"/>
      <c r="H3361" s="109"/>
      <c r="I3361" s="97"/>
      <c r="J3361" s="97"/>
      <c r="K3361" s="83"/>
      <c r="L3361" s="111"/>
      <c r="M3361" s="111"/>
      <c r="N3361" s="111"/>
      <c r="O3361" s="111"/>
      <c r="P3361" s="111"/>
      <c r="Q3361" s="111"/>
      <c r="R3361" s="111"/>
    </row>
    <row r="3362" spans="2:18" s="108" customFormat="1">
      <c r="B3362" s="109"/>
      <c r="C3362" s="110"/>
      <c r="D3362" s="109"/>
      <c r="E3362" s="109"/>
      <c r="F3362" s="97"/>
      <c r="G3362" s="109"/>
      <c r="H3362" s="109"/>
      <c r="I3362" s="97"/>
      <c r="J3362" s="97"/>
      <c r="K3362" s="83"/>
      <c r="L3362" s="111"/>
      <c r="M3362" s="111"/>
      <c r="N3362" s="111"/>
      <c r="O3362" s="111"/>
      <c r="P3362" s="111"/>
      <c r="Q3362" s="111"/>
      <c r="R3362" s="111"/>
    </row>
    <row r="3363" spans="2:18" s="108" customFormat="1">
      <c r="B3363" s="109"/>
      <c r="C3363" s="110"/>
      <c r="D3363" s="109"/>
      <c r="E3363" s="109"/>
      <c r="F3363" s="97"/>
      <c r="G3363" s="109"/>
      <c r="H3363" s="109"/>
      <c r="I3363" s="97"/>
      <c r="J3363" s="97"/>
      <c r="K3363" s="83"/>
      <c r="L3363" s="111"/>
      <c r="M3363" s="111"/>
      <c r="N3363" s="111"/>
      <c r="O3363" s="111"/>
      <c r="P3363" s="111"/>
      <c r="Q3363" s="111"/>
      <c r="R3363" s="111"/>
    </row>
    <row r="3364" spans="2:18" s="108" customFormat="1">
      <c r="B3364" s="109"/>
      <c r="C3364" s="110"/>
      <c r="D3364" s="109"/>
      <c r="E3364" s="109"/>
      <c r="F3364" s="97"/>
      <c r="G3364" s="109"/>
      <c r="H3364" s="109"/>
      <c r="I3364" s="97"/>
      <c r="J3364" s="97"/>
      <c r="K3364" s="83"/>
      <c r="L3364" s="111"/>
      <c r="M3364" s="111"/>
      <c r="N3364" s="111"/>
      <c r="O3364" s="111"/>
      <c r="P3364" s="111"/>
      <c r="Q3364" s="111"/>
      <c r="R3364" s="111"/>
    </row>
    <row r="3365" spans="2:18" s="108" customFormat="1">
      <c r="B3365" s="109"/>
      <c r="C3365" s="110"/>
      <c r="D3365" s="109"/>
      <c r="E3365" s="109"/>
      <c r="F3365" s="97"/>
      <c r="G3365" s="109"/>
      <c r="H3365" s="109"/>
      <c r="I3365" s="97"/>
      <c r="J3365" s="97"/>
      <c r="K3365" s="83"/>
      <c r="L3365" s="111"/>
      <c r="M3365" s="111"/>
      <c r="N3365" s="111"/>
      <c r="O3365" s="111"/>
      <c r="P3365" s="111"/>
      <c r="Q3365" s="111"/>
      <c r="R3365" s="111"/>
    </row>
    <row r="3366" spans="2:18" s="108" customFormat="1">
      <c r="B3366" s="109"/>
      <c r="C3366" s="110"/>
      <c r="D3366" s="109"/>
      <c r="E3366" s="109"/>
      <c r="F3366" s="97"/>
      <c r="G3366" s="109"/>
      <c r="H3366" s="109"/>
      <c r="I3366" s="97"/>
      <c r="J3366" s="97"/>
      <c r="K3366" s="83"/>
      <c r="L3366" s="111"/>
      <c r="M3366" s="111"/>
      <c r="N3366" s="111"/>
      <c r="O3366" s="111"/>
      <c r="P3366" s="111"/>
      <c r="Q3366" s="111"/>
      <c r="R3366" s="111"/>
    </row>
    <row r="3367" spans="2:18" s="108" customFormat="1">
      <c r="B3367" s="109"/>
      <c r="C3367" s="110"/>
      <c r="D3367" s="109"/>
      <c r="E3367" s="109"/>
      <c r="F3367" s="97"/>
      <c r="G3367" s="109"/>
      <c r="H3367" s="109"/>
      <c r="I3367" s="97"/>
      <c r="J3367" s="97"/>
      <c r="K3367" s="83"/>
      <c r="L3367" s="111"/>
      <c r="M3367" s="111"/>
      <c r="N3367" s="111"/>
      <c r="O3367" s="111"/>
      <c r="P3367" s="111"/>
      <c r="Q3367" s="111"/>
      <c r="R3367" s="111"/>
    </row>
    <row r="3368" spans="2:18" s="108" customFormat="1">
      <c r="B3368" s="109"/>
      <c r="C3368" s="110"/>
      <c r="D3368" s="109"/>
      <c r="E3368" s="109"/>
      <c r="F3368" s="97"/>
      <c r="G3368" s="109"/>
      <c r="H3368" s="109"/>
      <c r="I3368" s="97"/>
      <c r="J3368" s="97"/>
      <c r="K3368" s="83"/>
      <c r="L3368" s="111"/>
      <c r="M3368" s="111"/>
      <c r="N3368" s="111"/>
      <c r="O3368" s="111"/>
      <c r="P3368" s="111"/>
      <c r="Q3368" s="111"/>
      <c r="R3368" s="111"/>
    </row>
    <row r="3369" spans="2:18" s="108" customFormat="1">
      <c r="B3369" s="109"/>
      <c r="C3369" s="110"/>
      <c r="D3369" s="109"/>
      <c r="E3369" s="109"/>
      <c r="F3369" s="97"/>
      <c r="G3369" s="109"/>
      <c r="H3369" s="109"/>
      <c r="I3369" s="97"/>
      <c r="J3369" s="97"/>
      <c r="K3369" s="83"/>
      <c r="L3369" s="111"/>
      <c r="M3369" s="111"/>
      <c r="N3369" s="111"/>
      <c r="O3369" s="111"/>
      <c r="P3369" s="111"/>
      <c r="Q3369" s="111"/>
      <c r="R3369" s="111"/>
    </row>
    <row r="3370" spans="2:18" s="108" customFormat="1">
      <c r="B3370" s="109"/>
      <c r="C3370" s="110"/>
      <c r="D3370" s="109"/>
      <c r="E3370" s="109"/>
      <c r="F3370" s="97"/>
      <c r="G3370" s="109"/>
      <c r="H3370" s="109"/>
      <c r="I3370" s="97"/>
      <c r="J3370" s="97"/>
      <c r="K3370" s="83"/>
      <c r="L3370" s="111"/>
      <c r="M3370" s="111"/>
      <c r="N3370" s="111"/>
      <c r="O3370" s="111"/>
      <c r="P3370" s="111"/>
      <c r="Q3370" s="111"/>
      <c r="R3370" s="111"/>
    </row>
    <row r="3371" spans="2:18" s="108" customFormat="1">
      <c r="B3371" s="109"/>
      <c r="C3371" s="110"/>
      <c r="D3371" s="109"/>
      <c r="E3371" s="109"/>
      <c r="F3371" s="97"/>
      <c r="G3371" s="109"/>
      <c r="H3371" s="109"/>
      <c r="I3371" s="97"/>
      <c r="J3371" s="97"/>
      <c r="K3371" s="83"/>
      <c r="L3371" s="111"/>
      <c r="M3371" s="111"/>
      <c r="N3371" s="111"/>
      <c r="O3371" s="111"/>
      <c r="P3371" s="111"/>
      <c r="Q3371" s="111"/>
      <c r="R3371" s="111"/>
    </row>
    <row r="3372" spans="2:18" s="108" customFormat="1">
      <c r="B3372" s="109"/>
      <c r="C3372" s="110"/>
      <c r="D3372" s="109"/>
      <c r="E3372" s="109"/>
      <c r="F3372" s="97"/>
      <c r="G3372" s="109"/>
      <c r="H3372" s="109"/>
      <c r="I3372" s="97"/>
      <c r="J3372" s="97"/>
      <c r="K3372" s="83"/>
      <c r="L3372" s="111"/>
      <c r="M3372" s="111"/>
      <c r="N3372" s="111"/>
      <c r="O3372" s="111"/>
      <c r="P3372" s="111"/>
      <c r="Q3372" s="111"/>
      <c r="R3372" s="111"/>
    </row>
    <row r="3373" spans="2:18" s="108" customFormat="1">
      <c r="B3373" s="109"/>
      <c r="C3373" s="110"/>
      <c r="D3373" s="109"/>
      <c r="E3373" s="109"/>
      <c r="F3373" s="97"/>
      <c r="G3373" s="109"/>
      <c r="H3373" s="109"/>
      <c r="I3373" s="97"/>
      <c r="J3373" s="97"/>
      <c r="K3373" s="83"/>
      <c r="L3373" s="111"/>
      <c r="M3373" s="111"/>
      <c r="N3373" s="111"/>
      <c r="O3373" s="111"/>
      <c r="P3373" s="111"/>
      <c r="Q3373" s="111"/>
      <c r="R3373" s="111"/>
    </row>
    <row r="3374" spans="2:18" s="108" customFormat="1">
      <c r="B3374" s="109"/>
      <c r="C3374" s="110"/>
      <c r="D3374" s="109"/>
      <c r="E3374" s="109"/>
      <c r="F3374" s="97"/>
      <c r="G3374" s="109"/>
      <c r="H3374" s="109"/>
      <c r="I3374" s="97"/>
      <c r="J3374" s="97"/>
      <c r="K3374" s="83"/>
      <c r="L3374" s="111"/>
      <c r="M3374" s="111"/>
      <c r="N3374" s="111"/>
      <c r="O3374" s="111"/>
      <c r="P3374" s="111"/>
      <c r="Q3374" s="111"/>
      <c r="R3374" s="111"/>
    </row>
    <row r="3375" spans="2:18" s="108" customFormat="1">
      <c r="B3375" s="109"/>
      <c r="C3375" s="110"/>
      <c r="D3375" s="109"/>
      <c r="E3375" s="109"/>
      <c r="F3375" s="97"/>
      <c r="G3375" s="109"/>
      <c r="H3375" s="109"/>
      <c r="I3375" s="97"/>
      <c r="J3375" s="97"/>
      <c r="K3375" s="83"/>
      <c r="L3375" s="111"/>
      <c r="M3375" s="111"/>
      <c r="N3375" s="111"/>
      <c r="O3375" s="111"/>
      <c r="P3375" s="111"/>
      <c r="Q3375" s="111"/>
      <c r="R3375" s="111"/>
    </row>
    <row r="3376" spans="2:18" s="108" customFormat="1">
      <c r="B3376" s="109"/>
      <c r="C3376" s="110"/>
      <c r="D3376" s="109"/>
      <c r="E3376" s="109"/>
      <c r="F3376" s="97"/>
      <c r="G3376" s="109"/>
      <c r="H3376" s="109"/>
      <c r="I3376" s="97"/>
      <c r="J3376" s="97"/>
      <c r="K3376" s="83"/>
      <c r="L3376" s="111"/>
      <c r="M3376" s="111"/>
      <c r="N3376" s="111"/>
      <c r="O3376" s="111"/>
      <c r="P3376" s="111"/>
      <c r="Q3376" s="111"/>
      <c r="R3376" s="111"/>
    </row>
    <row r="3377" spans="2:18" s="108" customFormat="1">
      <c r="B3377" s="109"/>
      <c r="C3377" s="110"/>
      <c r="D3377" s="109"/>
      <c r="E3377" s="109"/>
      <c r="F3377" s="97"/>
      <c r="G3377" s="109"/>
      <c r="H3377" s="109"/>
      <c r="I3377" s="97"/>
      <c r="J3377" s="97"/>
      <c r="K3377" s="83"/>
      <c r="L3377" s="111"/>
      <c r="M3377" s="111"/>
      <c r="N3377" s="111"/>
      <c r="O3377" s="111"/>
      <c r="P3377" s="111"/>
      <c r="Q3377" s="111"/>
      <c r="R3377" s="111"/>
    </row>
    <row r="3378" spans="2:18" s="108" customFormat="1">
      <c r="B3378" s="109"/>
      <c r="C3378" s="110"/>
      <c r="D3378" s="109"/>
      <c r="E3378" s="109"/>
      <c r="F3378" s="97"/>
      <c r="G3378" s="109"/>
      <c r="H3378" s="109"/>
      <c r="I3378" s="97"/>
      <c r="J3378" s="97"/>
      <c r="K3378" s="83"/>
      <c r="L3378" s="111"/>
      <c r="M3378" s="111"/>
      <c r="N3378" s="111"/>
      <c r="O3378" s="111"/>
      <c r="P3378" s="111"/>
      <c r="Q3378" s="111"/>
      <c r="R3378" s="111"/>
    </row>
    <row r="3379" spans="2:18" s="108" customFormat="1">
      <c r="B3379" s="109"/>
      <c r="C3379" s="110"/>
      <c r="D3379" s="109"/>
      <c r="E3379" s="109"/>
      <c r="F3379" s="97"/>
      <c r="G3379" s="109"/>
      <c r="H3379" s="109"/>
      <c r="I3379" s="97"/>
      <c r="J3379" s="97"/>
      <c r="K3379" s="83"/>
      <c r="L3379" s="111"/>
      <c r="M3379" s="111"/>
      <c r="N3379" s="111"/>
      <c r="O3379" s="111"/>
      <c r="P3379" s="111"/>
      <c r="Q3379" s="111"/>
      <c r="R3379" s="111"/>
    </row>
    <row r="3380" spans="2:18" s="108" customFormat="1">
      <c r="B3380" s="109"/>
      <c r="C3380" s="110"/>
      <c r="D3380" s="109"/>
      <c r="E3380" s="109"/>
      <c r="F3380" s="97"/>
      <c r="G3380" s="109"/>
      <c r="H3380" s="109"/>
      <c r="I3380" s="97"/>
      <c r="J3380" s="97"/>
      <c r="K3380" s="83"/>
      <c r="L3380" s="111"/>
      <c r="M3380" s="111"/>
      <c r="N3380" s="111"/>
      <c r="O3380" s="111"/>
      <c r="P3380" s="111"/>
      <c r="Q3380" s="111"/>
      <c r="R3380" s="111"/>
    </row>
    <row r="3381" spans="2:18" s="108" customFormat="1">
      <c r="B3381" s="109"/>
      <c r="C3381" s="110"/>
      <c r="D3381" s="109"/>
      <c r="E3381" s="109"/>
      <c r="F3381" s="97"/>
      <c r="G3381" s="109"/>
      <c r="H3381" s="109"/>
      <c r="I3381" s="97"/>
      <c r="J3381" s="97"/>
      <c r="K3381" s="83"/>
      <c r="L3381" s="111"/>
      <c r="M3381" s="111"/>
      <c r="N3381" s="111"/>
      <c r="O3381" s="111"/>
      <c r="P3381" s="111"/>
      <c r="Q3381" s="111"/>
      <c r="R3381" s="111"/>
    </row>
    <row r="3382" spans="2:18" s="108" customFormat="1">
      <c r="B3382" s="109"/>
      <c r="C3382" s="110"/>
      <c r="D3382" s="109"/>
      <c r="E3382" s="109"/>
      <c r="F3382" s="97"/>
      <c r="G3382" s="109"/>
      <c r="H3382" s="109"/>
      <c r="I3382" s="97"/>
      <c r="J3382" s="97"/>
      <c r="K3382" s="83"/>
      <c r="L3382" s="111"/>
      <c r="M3382" s="111"/>
      <c r="N3382" s="111"/>
      <c r="O3382" s="111"/>
      <c r="P3382" s="111"/>
      <c r="Q3382" s="111"/>
      <c r="R3382" s="111"/>
    </row>
    <row r="3383" spans="2:18" s="108" customFormat="1">
      <c r="B3383" s="109"/>
      <c r="C3383" s="110"/>
      <c r="D3383" s="109"/>
      <c r="E3383" s="109"/>
      <c r="F3383" s="97"/>
      <c r="G3383" s="109"/>
      <c r="H3383" s="109"/>
      <c r="I3383" s="97"/>
      <c r="J3383" s="97"/>
      <c r="K3383" s="83"/>
      <c r="L3383" s="111"/>
      <c r="M3383" s="111"/>
      <c r="N3383" s="111"/>
      <c r="O3383" s="111"/>
      <c r="P3383" s="111"/>
      <c r="Q3383" s="111"/>
      <c r="R3383" s="111"/>
    </row>
    <row r="3384" spans="2:18" s="108" customFormat="1">
      <c r="B3384" s="109"/>
      <c r="C3384" s="110"/>
      <c r="D3384" s="109"/>
      <c r="E3384" s="109"/>
      <c r="F3384" s="97"/>
      <c r="G3384" s="109"/>
      <c r="H3384" s="109"/>
      <c r="I3384" s="97"/>
      <c r="J3384" s="97"/>
      <c r="K3384" s="83"/>
      <c r="L3384" s="111"/>
      <c r="M3384" s="111"/>
      <c r="N3384" s="111"/>
      <c r="O3384" s="111"/>
      <c r="P3384" s="111"/>
      <c r="Q3384" s="111"/>
      <c r="R3384" s="111"/>
    </row>
    <row r="3385" spans="2:18" s="108" customFormat="1">
      <c r="B3385" s="109"/>
      <c r="C3385" s="110"/>
      <c r="D3385" s="109"/>
      <c r="E3385" s="109"/>
      <c r="F3385" s="97"/>
      <c r="G3385" s="109"/>
      <c r="H3385" s="109"/>
      <c r="I3385" s="97"/>
      <c r="J3385" s="97"/>
      <c r="K3385" s="83"/>
      <c r="L3385" s="111"/>
      <c r="M3385" s="111"/>
      <c r="N3385" s="111"/>
      <c r="O3385" s="111"/>
      <c r="P3385" s="111"/>
      <c r="Q3385" s="111"/>
      <c r="R3385" s="111"/>
    </row>
    <row r="3386" spans="2:18" s="108" customFormat="1">
      <c r="B3386" s="109"/>
      <c r="C3386" s="110"/>
      <c r="D3386" s="109"/>
      <c r="E3386" s="109"/>
      <c r="F3386" s="97"/>
      <c r="G3386" s="109"/>
      <c r="H3386" s="109"/>
      <c r="I3386" s="97"/>
      <c r="J3386" s="97"/>
      <c r="K3386" s="83"/>
      <c r="L3386" s="111"/>
      <c r="M3386" s="111"/>
      <c r="N3386" s="111"/>
      <c r="O3386" s="111"/>
      <c r="P3386" s="111"/>
      <c r="Q3386" s="111"/>
      <c r="R3386" s="111"/>
    </row>
    <row r="3387" spans="2:18" s="108" customFormat="1">
      <c r="B3387" s="109"/>
      <c r="C3387" s="110"/>
      <c r="D3387" s="109"/>
      <c r="E3387" s="109"/>
      <c r="F3387" s="97"/>
      <c r="G3387" s="109"/>
      <c r="H3387" s="109"/>
      <c r="I3387" s="97"/>
      <c r="J3387" s="97"/>
      <c r="K3387" s="83"/>
      <c r="L3387" s="111"/>
      <c r="M3387" s="111"/>
      <c r="N3387" s="111"/>
      <c r="O3387" s="111"/>
      <c r="P3387" s="111"/>
      <c r="Q3387" s="111"/>
      <c r="R3387" s="111"/>
    </row>
    <row r="3388" spans="2:18" s="108" customFormat="1">
      <c r="B3388" s="109"/>
      <c r="C3388" s="110"/>
      <c r="D3388" s="109"/>
      <c r="E3388" s="109"/>
      <c r="F3388" s="97"/>
      <c r="G3388" s="109"/>
      <c r="H3388" s="109"/>
      <c r="I3388" s="97"/>
      <c r="J3388" s="97"/>
      <c r="K3388" s="83"/>
      <c r="L3388" s="111"/>
      <c r="M3388" s="111"/>
      <c r="N3388" s="111"/>
      <c r="O3388" s="111"/>
      <c r="P3388" s="111"/>
      <c r="Q3388" s="111"/>
      <c r="R3388" s="111"/>
    </row>
    <row r="3389" spans="2:18" s="108" customFormat="1">
      <c r="B3389" s="109"/>
      <c r="C3389" s="110"/>
      <c r="D3389" s="109"/>
      <c r="E3389" s="109"/>
      <c r="F3389" s="97"/>
      <c r="G3389" s="109"/>
      <c r="H3389" s="109"/>
      <c r="I3389" s="97"/>
      <c r="J3389" s="97"/>
      <c r="K3389" s="83"/>
      <c r="L3389" s="111"/>
      <c r="M3389" s="111"/>
      <c r="N3389" s="111"/>
      <c r="O3389" s="111"/>
      <c r="P3389" s="111"/>
      <c r="Q3389" s="111"/>
      <c r="R3389" s="111"/>
    </row>
    <row r="3390" spans="2:18" s="108" customFormat="1">
      <c r="B3390" s="109"/>
      <c r="C3390" s="110"/>
      <c r="D3390" s="109"/>
      <c r="E3390" s="109"/>
      <c r="F3390" s="97"/>
      <c r="G3390" s="109"/>
      <c r="H3390" s="109"/>
      <c r="I3390" s="97"/>
      <c r="J3390" s="97"/>
      <c r="K3390" s="83"/>
      <c r="L3390" s="111"/>
      <c r="M3390" s="111"/>
      <c r="N3390" s="111"/>
      <c r="O3390" s="111"/>
      <c r="P3390" s="111"/>
      <c r="Q3390" s="111"/>
      <c r="R3390" s="111"/>
    </row>
    <row r="3391" spans="2:18" s="108" customFormat="1">
      <c r="B3391" s="109"/>
      <c r="C3391" s="110"/>
      <c r="D3391" s="109"/>
      <c r="E3391" s="109"/>
      <c r="F3391" s="97"/>
      <c r="G3391" s="109"/>
      <c r="H3391" s="109"/>
      <c r="I3391" s="97"/>
      <c r="J3391" s="97"/>
      <c r="K3391" s="83"/>
      <c r="L3391" s="111"/>
      <c r="M3391" s="111"/>
      <c r="N3391" s="111"/>
      <c r="O3391" s="111"/>
      <c r="P3391" s="111"/>
      <c r="Q3391" s="111"/>
      <c r="R3391" s="111"/>
    </row>
    <row r="3392" spans="2:18" s="108" customFormat="1">
      <c r="B3392" s="109"/>
      <c r="C3392" s="110"/>
      <c r="D3392" s="109"/>
      <c r="E3392" s="109"/>
      <c r="F3392" s="97"/>
      <c r="G3392" s="109"/>
      <c r="H3392" s="109"/>
      <c r="I3392" s="97"/>
      <c r="J3392" s="97"/>
      <c r="K3392" s="83"/>
      <c r="L3392" s="111"/>
      <c r="M3392" s="111"/>
      <c r="N3392" s="111"/>
      <c r="O3392" s="111"/>
      <c r="P3392" s="111"/>
      <c r="Q3392" s="111"/>
      <c r="R3392" s="111"/>
    </row>
    <row r="3393" spans="2:18" s="108" customFormat="1">
      <c r="B3393" s="109"/>
      <c r="C3393" s="110"/>
      <c r="D3393" s="109"/>
      <c r="E3393" s="109"/>
      <c r="F3393" s="97"/>
      <c r="G3393" s="109"/>
      <c r="H3393" s="109"/>
      <c r="I3393" s="97"/>
      <c r="J3393" s="97"/>
      <c r="K3393" s="83"/>
      <c r="L3393" s="111"/>
      <c r="M3393" s="111"/>
      <c r="N3393" s="111"/>
      <c r="O3393" s="111"/>
      <c r="P3393" s="111"/>
      <c r="Q3393" s="111"/>
      <c r="R3393" s="111"/>
    </row>
    <row r="3394" spans="2:18" s="108" customFormat="1">
      <c r="B3394" s="109"/>
      <c r="C3394" s="110"/>
      <c r="D3394" s="109"/>
      <c r="E3394" s="109"/>
      <c r="F3394" s="97"/>
      <c r="G3394" s="109"/>
      <c r="H3394" s="109"/>
      <c r="I3394" s="97"/>
      <c r="J3394" s="97"/>
      <c r="K3394" s="83"/>
      <c r="L3394" s="111"/>
      <c r="M3394" s="111"/>
      <c r="N3394" s="111"/>
      <c r="O3394" s="111"/>
      <c r="P3394" s="111"/>
      <c r="Q3394" s="111"/>
      <c r="R3394" s="111"/>
    </row>
    <row r="3395" spans="2:18" s="108" customFormat="1">
      <c r="B3395" s="109"/>
      <c r="C3395" s="110"/>
      <c r="D3395" s="109"/>
      <c r="E3395" s="109"/>
      <c r="F3395" s="97"/>
      <c r="G3395" s="109"/>
      <c r="H3395" s="109"/>
      <c r="I3395" s="97"/>
      <c r="J3395" s="97"/>
      <c r="K3395" s="83"/>
      <c r="L3395" s="111"/>
      <c r="M3395" s="111"/>
      <c r="N3395" s="111"/>
      <c r="O3395" s="111"/>
      <c r="P3395" s="111"/>
      <c r="Q3395" s="111"/>
      <c r="R3395" s="111"/>
    </row>
    <row r="3396" spans="2:18" s="108" customFormat="1">
      <c r="B3396" s="109"/>
      <c r="C3396" s="110"/>
      <c r="D3396" s="109"/>
      <c r="E3396" s="109"/>
      <c r="F3396" s="97"/>
      <c r="G3396" s="109"/>
      <c r="H3396" s="109"/>
      <c r="I3396" s="97"/>
      <c r="J3396" s="97"/>
      <c r="K3396" s="83"/>
      <c r="L3396" s="111"/>
      <c r="M3396" s="111"/>
      <c r="N3396" s="111"/>
      <c r="O3396" s="111"/>
      <c r="P3396" s="111"/>
      <c r="Q3396" s="111"/>
      <c r="R3396" s="111"/>
    </row>
    <row r="3397" spans="2:18" s="108" customFormat="1">
      <c r="B3397" s="109"/>
      <c r="C3397" s="110"/>
      <c r="D3397" s="109"/>
      <c r="E3397" s="109"/>
      <c r="F3397" s="97"/>
      <c r="G3397" s="109"/>
      <c r="H3397" s="109"/>
      <c r="I3397" s="97"/>
      <c r="J3397" s="97"/>
      <c r="K3397" s="83"/>
      <c r="L3397" s="111"/>
      <c r="M3397" s="111"/>
      <c r="N3397" s="111"/>
      <c r="O3397" s="111"/>
      <c r="P3397" s="111"/>
      <c r="Q3397" s="111"/>
      <c r="R3397" s="111"/>
    </row>
    <row r="3398" spans="2:18" s="108" customFormat="1">
      <c r="B3398" s="109"/>
      <c r="C3398" s="110"/>
      <c r="D3398" s="109"/>
      <c r="E3398" s="109"/>
      <c r="F3398" s="97"/>
      <c r="G3398" s="109"/>
      <c r="H3398" s="109"/>
      <c r="I3398" s="97"/>
      <c r="J3398" s="97"/>
      <c r="K3398" s="83"/>
      <c r="L3398" s="111"/>
      <c r="M3398" s="111"/>
      <c r="N3398" s="111"/>
      <c r="O3398" s="111"/>
      <c r="P3398" s="111"/>
      <c r="Q3398" s="111"/>
      <c r="R3398" s="111"/>
    </row>
    <row r="3399" spans="2:18" s="108" customFormat="1">
      <c r="B3399" s="109"/>
      <c r="C3399" s="110"/>
      <c r="D3399" s="109"/>
      <c r="E3399" s="109"/>
      <c r="F3399" s="97"/>
      <c r="G3399" s="109"/>
      <c r="H3399" s="109"/>
      <c r="I3399" s="97"/>
      <c r="J3399" s="97"/>
      <c r="K3399" s="83"/>
      <c r="L3399" s="111"/>
      <c r="M3399" s="111"/>
      <c r="N3399" s="111"/>
      <c r="O3399" s="111"/>
      <c r="P3399" s="111"/>
      <c r="Q3399" s="111"/>
      <c r="R3399" s="111"/>
    </row>
    <row r="3400" spans="2:18" s="108" customFormat="1">
      <c r="B3400" s="109"/>
      <c r="C3400" s="110"/>
      <c r="D3400" s="109"/>
      <c r="E3400" s="109"/>
      <c r="F3400" s="97"/>
      <c r="G3400" s="109"/>
      <c r="H3400" s="109"/>
      <c r="I3400" s="97"/>
      <c r="J3400" s="97"/>
      <c r="K3400" s="83"/>
      <c r="L3400" s="111"/>
      <c r="M3400" s="111"/>
      <c r="N3400" s="111"/>
      <c r="O3400" s="111"/>
      <c r="P3400" s="111"/>
      <c r="Q3400" s="111"/>
      <c r="R3400" s="111"/>
    </row>
    <row r="3401" spans="2:18" s="108" customFormat="1">
      <c r="B3401" s="109"/>
      <c r="C3401" s="110"/>
      <c r="D3401" s="109"/>
      <c r="E3401" s="109"/>
      <c r="F3401" s="97"/>
      <c r="G3401" s="109"/>
      <c r="H3401" s="109"/>
      <c r="I3401" s="97"/>
      <c r="J3401" s="97"/>
      <c r="K3401" s="83"/>
      <c r="L3401" s="111"/>
      <c r="M3401" s="111"/>
      <c r="N3401" s="111"/>
      <c r="O3401" s="111"/>
      <c r="P3401" s="111"/>
      <c r="Q3401" s="111"/>
      <c r="R3401" s="111"/>
    </row>
    <row r="3402" spans="2:18" s="108" customFormat="1">
      <c r="B3402" s="109"/>
      <c r="C3402" s="110"/>
      <c r="D3402" s="109"/>
      <c r="E3402" s="109"/>
      <c r="F3402" s="97"/>
      <c r="G3402" s="109"/>
      <c r="H3402" s="109"/>
      <c r="I3402" s="97"/>
      <c r="J3402" s="97"/>
      <c r="K3402" s="83"/>
      <c r="L3402" s="111"/>
      <c r="M3402" s="111"/>
      <c r="N3402" s="111"/>
      <c r="O3402" s="111"/>
      <c r="P3402" s="111"/>
      <c r="Q3402" s="111"/>
      <c r="R3402" s="111"/>
    </row>
    <row r="3403" spans="2:18" s="108" customFormat="1">
      <c r="B3403" s="109"/>
      <c r="C3403" s="110"/>
      <c r="D3403" s="109"/>
      <c r="E3403" s="109"/>
      <c r="F3403" s="97"/>
      <c r="G3403" s="109"/>
      <c r="H3403" s="109"/>
      <c r="I3403" s="97"/>
      <c r="J3403" s="97"/>
      <c r="K3403" s="83"/>
      <c r="L3403" s="111"/>
      <c r="M3403" s="111"/>
      <c r="N3403" s="111"/>
      <c r="O3403" s="111"/>
      <c r="P3403" s="111"/>
      <c r="Q3403" s="111"/>
      <c r="R3403" s="111"/>
    </row>
    <row r="3404" spans="2:18" s="108" customFormat="1">
      <c r="B3404" s="109"/>
      <c r="C3404" s="110"/>
      <c r="D3404" s="109"/>
      <c r="E3404" s="109"/>
      <c r="F3404" s="97"/>
      <c r="G3404" s="109"/>
      <c r="H3404" s="109"/>
      <c r="I3404" s="97"/>
      <c r="J3404" s="97"/>
      <c r="K3404" s="83"/>
      <c r="L3404" s="111"/>
      <c r="M3404" s="111"/>
      <c r="N3404" s="111"/>
      <c r="O3404" s="111"/>
      <c r="P3404" s="111"/>
      <c r="Q3404" s="111"/>
      <c r="R3404" s="111"/>
    </row>
    <row r="3405" spans="2:18" s="108" customFormat="1">
      <c r="B3405" s="109"/>
      <c r="C3405" s="110"/>
      <c r="D3405" s="109"/>
      <c r="E3405" s="109"/>
      <c r="F3405" s="97"/>
      <c r="G3405" s="109"/>
      <c r="H3405" s="109"/>
      <c r="I3405" s="97"/>
      <c r="J3405" s="97"/>
      <c r="K3405" s="83"/>
      <c r="L3405" s="111"/>
      <c r="M3405" s="111"/>
      <c r="N3405" s="111"/>
      <c r="O3405" s="111"/>
      <c r="P3405" s="111"/>
      <c r="Q3405" s="111"/>
      <c r="R3405" s="111"/>
    </row>
    <row r="3406" spans="2:18" s="108" customFormat="1">
      <c r="B3406" s="109"/>
      <c r="C3406" s="110"/>
      <c r="D3406" s="109"/>
      <c r="E3406" s="109"/>
      <c r="F3406" s="97"/>
      <c r="G3406" s="109"/>
      <c r="H3406" s="109"/>
      <c r="I3406" s="97"/>
      <c r="J3406" s="97"/>
      <c r="K3406" s="83"/>
      <c r="L3406" s="111"/>
      <c r="M3406" s="111"/>
      <c r="N3406" s="111"/>
      <c r="O3406" s="111"/>
      <c r="P3406" s="111"/>
      <c r="Q3406" s="111"/>
      <c r="R3406" s="111"/>
    </row>
    <row r="3407" spans="2:18" s="108" customFormat="1">
      <c r="B3407" s="109"/>
      <c r="C3407" s="110"/>
      <c r="D3407" s="109"/>
      <c r="E3407" s="109"/>
      <c r="F3407" s="97"/>
      <c r="G3407" s="109"/>
      <c r="H3407" s="109"/>
      <c r="I3407" s="97"/>
      <c r="J3407" s="97"/>
      <c r="K3407" s="83"/>
      <c r="L3407" s="111"/>
      <c r="M3407" s="111"/>
      <c r="N3407" s="111"/>
      <c r="O3407" s="111"/>
      <c r="P3407" s="111"/>
      <c r="Q3407" s="111"/>
      <c r="R3407" s="111"/>
    </row>
    <row r="3408" spans="2:18" s="108" customFormat="1">
      <c r="B3408" s="109"/>
      <c r="C3408" s="110"/>
      <c r="D3408" s="109"/>
      <c r="E3408" s="109"/>
      <c r="F3408" s="97"/>
      <c r="G3408" s="109"/>
      <c r="H3408" s="109"/>
      <c r="I3408" s="97"/>
      <c r="J3408" s="97"/>
      <c r="K3408" s="83"/>
      <c r="L3408" s="111"/>
      <c r="M3408" s="111"/>
      <c r="N3408" s="111"/>
      <c r="O3408" s="111"/>
      <c r="P3408" s="111"/>
      <c r="Q3408" s="111"/>
      <c r="R3408" s="111"/>
    </row>
    <row r="3409" spans="2:18" s="108" customFormat="1">
      <c r="B3409" s="109"/>
      <c r="C3409" s="110"/>
      <c r="D3409" s="109"/>
      <c r="E3409" s="109"/>
      <c r="F3409" s="97"/>
      <c r="G3409" s="109"/>
      <c r="H3409" s="109"/>
      <c r="I3409" s="97"/>
      <c r="J3409" s="97"/>
      <c r="K3409" s="83"/>
      <c r="L3409" s="111"/>
      <c r="M3409" s="111"/>
      <c r="N3409" s="111"/>
      <c r="O3409" s="111"/>
      <c r="P3409" s="111"/>
      <c r="Q3409" s="111"/>
      <c r="R3409" s="111"/>
    </row>
    <row r="3410" spans="2:18" s="108" customFormat="1">
      <c r="B3410" s="109"/>
      <c r="C3410" s="110"/>
      <c r="D3410" s="109"/>
      <c r="E3410" s="109"/>
      <c r="F3410" s="97"/>
      <c r="G3410" s="109"/>
      <c r="H3410" s="109"/>
      <c r="I3410" s="97"/>
      <c r="J3410" s="97"/>
      <c r="K3410" s="83"/>
      <c r="L3410" s="111"/>
      <c r="M3410" s="111"/>
      <c r="N3410" s="111"/>
      <c r="O3410" s="111"/>
      <c r="P3410" s="111"/>
      <c r="Q3410" s="111"/>
      <c r="R3410" s="111"/>
    </row>
    <row r="3411" spans="2:18" s="108" customFormat="1">
      <c r="B3411" s="109"/>
      <c r="C3411" s="110"/>
      <c r="D3411" s="109"/>
      <c r="E3411" s="109"/>
      <c r="F3411" s="97"/>
      <c r="G3411" s="109"/>
      <c r="H3411" s="109"/>
      <c r="I3411" s="97"/>
      <c r="J3411" s="97"/>
      <c r="K3411" s="83"/>
      <c r="L3411" s="111"/>
      <c r="M3411" s="111"/>
      <c r="N3411" s="111"/>
      <c r="O3411" s="111"/>
      <c r="P3411" s="111"/>
      <c r="Q3411" s="111"/>
      <c r="R3411" s="111"/>
    </row>
    <row r="3412" spans="2:18" s="108" customFormat="1">
      <c r="B3412" s="109"/>
      <c r="C3412" s="110"/>
      <c r="D3412" s="109"/>
      <c r="E3412" s="109"/>
      <c r="F3412" s="97"/>
      <c r="G3412" s="109"/>
      <c r="H3412" s="109"/>
      <c r="I3412" s="97"/>
      <c r="J3412" s="97"/>
      <c r="K3412" s="83"/>
      <c r="L3412" s="111"/>
      <c r="M3412" s="111"/>
      <c r="N3412" s="111"/>
      <c r="O3412" s="111"/>
      <c r="P3412" s="111"/>
      <c r="Q3412" s="111"/>
      <c r="R3412" s="111"/>
    </row>
    <row r="3413" spans="2:18" s="108" customFormat="1">
      <c r="B3413" s="109"/>
      <c r="C3413" s="110"/>
      <c r="D3413" s="109"/>
      <c r="E3413" s="109"/>
      <c r="F3413" s="97"/>
      <c r="G3413" s="109"/>
      <c r="H3413" s="109"/>
      <c r="I3413" s="97"/>
      <c r="J3413" s="97"/>
      <c r="K3413" s="83"/>
      <c r="L3413" s="111"/>
      <c r="M3413" s="111"/>
      <c r="N3413" s="111"/>
      <c r="O3413" s="111"/>
      <c r="P3413" s="111"/>
      <c r="Q3413" s="111"/>
      <c r="R3413" s="111"/>
    </row>
    <row r="3414" spans="2:18" s="108" customFormat="1">
      <c r="B3414" s="109"/>
      <c r="C3414" s="110"/>
      <c r="D3414" s="109"/>
      <c r="E3414" s="109"/>
      <c r="F3414" s="97"/>
      <c r="G3414" s="109"/>
      <c r="H3414" s="109"/>
      <c r="I3414" s="97"/>
      <c r="J3414" s="97"/>
      <c r="K3414" s="83"/>
      <c r="L3414" s="111"/>
      <c r="M3414" s="111"/>
      <c r="N3414" s="111"/>
      <c r="O3414" s="111"/>
      <c r="P3414" s="111"/>
      <c r="Q3414" s="111"/>
      <c r="R3414" s="111"/>
    </row>
    <row r="3415" spans="2:18" s="108" customFormat="1">
      <c r="B3415" s="109"/>
      <c r="C3415" s="110"/>
      <c r="D3415" s="109"/>
      <c r="E3415" s="109"/>
      <c r="F3415" s="97"/>
      <c r="G3415" s="109"/>
      <c r="H3415" s="109"/>
      <c r="I3415" s="97"/>
      <c r="J3415" s="97"/>
      <c r="K3415" s="83"/>
      <c r="L3415" s="111"/>
      <c r="M3415" s="111"/>
      <c r="N3415" s="111"/>
      <c r="O3415" s="111"/>
      <c r="P3415" s="111"/>
      <c r="Q3415" s="111"/>
      <c r="R3415" s="111"/>
    </row>
    <row r="3416" spans="2:18" s="108" customFormat="1">
      <c r="B3416" s="109"/>
      <c r="C3416" s="110"/>
      <c r="D3416" s="109"/>
      <c r="E3416" s="109"/>
      <c r="F3416" s="97"/>
      <c r="G3416" s="109"/>
      <c r="H3416" s="109"/>
      <c r="I3416" s="97"/>
      <c r="J3416" s="97"/>
      <c r="K3416" s="83"/>
      <c r="L3416" s="111"/>
      <c r="M3416" s="111"/>
      <c r="N3416" s="111"/>
      <c r="O3416" s="111"/>
      <c r="P3416" s="111"/>
      <c r="Q3416" s="111"/>
      <c r="R3416" s="111"/>
    </row>
    <row r="3417" spans="2:18" s="108" customFormat="1">
      <c r="B3417" s="109"/>
      <c r="C3417" s="110"/>
      <c r="D3417" s="109"/>
      <c r="E3417" s="109"/>
      <c r="F3417" s="97"/>
      <c r="G3417" s="109"/>
      <c r="H3417" s="109"/>
      <c r="I3417" s="97"/>
      <c r="J3417" s="97"/>
      <c r="K3417" s="83"/>
      <c r="L3417" s="111"/>
      <c r="M3417" s="111"/>
      <c r="N3417" s="111"/>
      <c r="O3417" s="111"/>
      <c r="P3417" s="111"/>
      <c r="Q3417" s="111"/>
      <c r="R3417" s="111"/>
    </row>
    <row r="3418" spans="2:18" s="108" customFormat="1">
      <c r="B3418" s="109"/>
      <c r="C3418" s="110"/>
      <c r="D3418" s="109"/>
      <c r="E3418" s="109"/>
      <c r="F3418" s="97"/>
      <c r="G3418" s="109"/>
      <c r="H3418" s="109"/>
      <c r="I3418" s="97"/>
      <c r="J3418" s="97"/>
      <c r="K3418" s="83"/>
      <c r="L3418" s="111"/>
      <c r="M3418" s="111"/>
      <c r="N3418" s="111"/>
      <c r="O3418" s="111"/>
      <c r="P3418" s="111"/>
      <c r="Q3418" s="111"/>
      <c r="R3418" s="111"/>
    </row>
    <row r="3419" spans="2:18" s="108" customFormat="1">
      <c r="B3419" s="109"/>
      <c r="C3419" s="110"/>
      <c r="D3419" s="109"/>
      <c r="E3419" s="109"/>
      <c r="F3419" s="97"/>
      <c r="G3419" s="109"/>
      <c r="H3419" s="109"/>
      <c r="I3419" s="97"/>
      <c r="J3419" s="97"/>
      <c r="K3419" s="83"/>
      <c r="L3419" s="111"/>
      <c r="M3419" s="111"/>
      <c r="N3419" s="111"/>
      <c r="O3419" s="111"/>
      <c r="P3419" s="111"/>
      <c r="Q3419" s="111"/>
      <c r="R3419" s="111"/>
    </row>
    <row r="3420" spans="2:18" s="108" customFormat="1">
      <c r="B3420" s="109"/>
      <c r="C3420" s="110"/>
      <c r="D3420" s="109"/>
      <c r="E3420" s="109"/>
      <c r="F3420" s="97"/>
      <c r="G3420" s="109"/>
      <c r="H3420" s="109"/>
      <c r="I3420" s="97"/>
      <c r="J3420" s="97"/>
      <c r="K3420" s="83"/>
      <c r="L3420" s="111"/>
      <c r="M3420" s="111"/>
      <c r="N3420" s="111"/>
      <c r="O3420" s="111"/>
      <c r="P3420" s="111"/>
      <c r="Q3420" s="111"/>
      <c r="R3420" s="111"/>
    </row>
    <row r="3421" spans="2:18" s="108" customFormat="1">
      <c r="B3421" s="109"/>
      <c r="C3421" s="110"/>
      <c r="D3421" s="109"/>
      <c r="E3421" s="109"/>
      <c r="F3421" s="97"/>
      <c r="G3421" s="109"/>
      <c r="H3421" s="109"/>
      <c r="I3421" s="97"/>
      <c r="J3421" s="97"/>
      <c r="K3421" s="83"/>
      <c r="L3421" s="111"/>
      <c r="M3421" s="111"/>
      <c r="N3421" s="111"/>
      <c r="O3421" s="111"/>
      <c r="P3421" s="111"/>
      <c r="Q3421" s="111"/>
      <c r="R3421" s="111"/>
    </row>
    <row r="3422" spans="2:18" s="108" customFormat="1">
      <c r="B3422" s="109"/>
      <c r="C3422" s="110"/>
      <c r="D3422" s="109"/>
      <c r="E3422" s="109"/>
      <c r="F3422" s="97"/>
      <c r="G3422" s="109"/>
      <c r="H3422" s="109"/>
      <c r="I3422" s="97"/>
      <c r="J3422" s="97"/>
      <c r="K3422" s="83"/>
      <c r="L3422" s="111"/>
      <c r="M3422" s="111"/>
      <c r="N3422" s="111"/>
      <c r="O3422" s="111"/>
      <c r="P3422" s="111"/>
      <c r="Q3422" s="111"/>
      <c r="R3422" s="111"/>
    </row>
    <row r="3423" spans="2:18" s="108" customFormat="1">
      <c r="B3423" s="109"/>
      <c r="C3423" s="110"/>
      <c r="D3423" s="109"/>
      <c r="E3423" s="109"/>
      <c r="F3423" s="97"/>
      <c r="G3423" s="109"/>
      <c r="H3423" s="109"/>
      <c r="I3423" s="97"/>
      <c r="J3423" s="97"/>
      <c r="K3423" s="83"/>
      <c r="L3423" s="111"/>
      <c r="M3423" s="111"/>
      <c r="N3423" s="111"/>
      <c r="O3423" s="111"/>
      <c r="P3423" s="111"/>
      <c r="Q3423" s="111"/>
      <c r="R3423" s="111"/>
    </row>
    <row r="3424" spans="2:18" s="108" customFormat="1">
      <c r="B3424" s="109"/>
      <c r="C3424" s="110"/>
      <c r="D3424" s="109"/>
      <c r="E3424" s="109"/>
      <c r="F3424" s="97"/>
      <c r="G3424" s="109"/>
      <c r="H3424" s="109"/>
      <c r="I3424" s="97"/>
      <c r="J3424" s="97"/>
      <c r="K3424" s="83"/>
      <c r="L3424" s="111"/>
      <c r="M3424" s="111"/>
      <c r="N3424" s="111"/>
      <c r="O3424" s="111"/>
      <c r="P3424" s="111"/>
      <c r="Q3424" s="111"/>
      <c r="R3424" s="111"/>
    </row>
    <row r="3425" spans="2:18" s="108" customFormat="1">
      <c r="B3425" s="109"/>
      <c r="C3425" s="110"/>
      <c r="D3425" s="109"/>
      <c r="E3425" s="109"/>
      <c r="F3425" s="97"/>
      <c r="G3425" s="109"/>
      <c r="H3425" s="109"/>
      <c r="I3425" s="97"/>
      <c r="J3425" s="97"/>
      <c r="K3425" s="83"/>
      <c r="L3425" s="111"/>
      <c r="M3425" s="111"/>
      <c r="N3425" s="111"/>
      <c r="O3425" s="111"/>
      <c r="P3425" s="111"/>
      <c r="Q3425" s="111"/>
      <c r="R3425" s="111"/>
    </row>
    <row r="3426" spans="2:18" s="108" customFormat="1">
      <c r="B3426" s="109"/>
      <c r="C3426" s="110"/>
      <c r="D3426" s="109"/>
      <c r="E3426" s="109"/>
      <c r="F3426" s="97"/>
      <c r="G3426" s="109"/>
      <c r="H3426" s="109"/>
      <c r="I3426" s="97"/>
      <c r="J3426" s="97"/>
      <c r="K3426" s="83"/>
      <c r="L3426" s="111"/>
      <c r="M3426" s="111"/>
      <c r="N3426" s="111"/>
      <c r="O3426" s="111"/>
      <c r="P3426" s="111"/>
      <c r="Q3426" s="111"/>
      <c r="R3426" s="111"/>
    </row>
    <row r="3427" spans="2:18" s="108" customFormat="1">
      <c r="B3427" s="109"/>
      <c r="C3427" s="110"/>
      <c r="D3427" s="109"/>
      <c r="E3427" s="109"/>
      <c r="F3427" s="97"/>
      <c r="G3427" s="109"/>
      <c r="H3427" s="109"/>
      <c r="I3427" s="97"/>
      <c r="J3427" s="97"/>
      <c r="K3427" s="83"/>
      <c r="L3427" s="111"/>
      <c r="M3427" s="111"/>
      <c r="N3427" s="111"/>
      <c r="O3427" s="111"/>
      <c r="P3427" s="111"/>
      <c r="Q3427" s="111"/>
      <c r="R3427" s="111"/>
    </row>
    <row r="3428" spans="2:18" s="108" customFormat="1">
      <c r="B3428" s="109"/>
      <c r="C3428" s="110"/>
      <c r="D3428" s="109"/>
      <c r="E3428" s="109"/>
      <c r="F3428" s="97"/>
      <c r="G3428" s="109"/>
      <c r="H3428" s="109"/>
      <c r="I3428" s="97"/>
      <c r="J3428" s="97"/>
      <c r="K3428" s="83"/>
      <c r="L3428" s="111"/>
      <c r="M3428" s="111"/>
      <c r="N3428" s="111"/>
      <c r="O3428" s="111"/>
      <c r="P3428" s="111"/>
      <c r="Q3428" s="111"/>
      <c r="R3428" s="111"/>
    </row>
    <row r="3429" spans="2:18" s="108" customFormat="1">
      <c r="B3429" s="109"/>
      <c r="C3429" s="110"/>
      <c r="D3429" s="109"/>
      <c r="E3429" s="109"/>
      <c r="F3429" s="97"/>
      <c r="G3429" s="109"/>
      <c r="H3429" s="109"/>
      <c r="I3429" s="97"/>
      <c r="J3429" s="97"/>
      <c r="K3429" s="83"/>
      <c r="L3429" s="111"/>
      <c r="M3429" s="111"/>
      <c r="N3429" s="111"/>
      <c r="O3429" s="111"/>
      <c r="P3429" s="111"/>
      <c r="Q3429" s="111"/>
      <c r="R3429" s="111"/>
    </row>
    <row r="3430" spans="2:18" s="108" customFormat="1">
      <c r="B3430" s="109"/>
      <c r="C3430" s="110"/>
      <c r="D3430" s="109"/>
      <c r="E3430" s="109"/>
      <c r="F3430" s="97"/>
      <c r="G3430" s="109"/>
      <c r="H3430" s="109"/>
      <c r="I3430" s="97"/>
      <c r="J3430" s="97"/>
      <c r="K3430" s="83"/>
      <c r="L3430" s="111"/>
      <c r="M3430" s="111"/>
      <c r="N3430" s="111"/>
      <c r="O3430" s="111"/>
      <c r="P3430" s="111"/>
      <c r="Q3430" s="111"/>
      <c r="R3430" s="111"/>
    </row>
    <row r="3431" spans="2:18" s="108" customFormat="1">
      <c r="B3431" s="109"/>
      <c r="C3431" s="110"/>
      <c r="D3431" s="109"/>
      <c r="E3431" s="109"/>
      <c r="F3431" s="97"/>
      <c r="G3431" s="109"/>
      <c r="H3431" s="109"/>
      <c r="I3431" s="97"/>
      <c r="J3431" s="97"/>
      <c r="K3431" s="83"/>
      <c r="L3431" s="111"/>
      <c r="M3431" s="111"/>
      <c r="N3431" s="111"/>
      <c r="O3431" s="111"/>
      <c r="P3431" s="111"/>
      <c r="Q3431" s="111"/>
      <c r="R3431" s="111"/>
    </row>
    <row r="3432" spans="2:18" s="108" customFormat="1">
      <c r="B3432" s="109"/>
      <c r="C3432" s="110"/>
      <c r="D3432" s="109"/>
      <c r="E3432" s="109"/>
      <c r="F3432" s="97"/>
      <c r="G3432" s="109"/>
      <c r="H3432" s="109"/>
      <c r="I3432" s="97"/>
      <c r="J3432" s="97"/>
      <c r="K3432" s="83"/>
      <c r="L3432" s="111"/>
      <c r="M3432" s="111"/>
      <c r="N3432" s="111"/>
      <c r="O3432" s="111"/>
      <c r="P3432" s="111"/>
      <c r="Q3432" s="111"/>
      <c r="R3432" s="111"/>
    </row>
    <row r="3433" spans="2:18" s="108" customFormat="1">
      <c r="B3433" s="109"/>
      <c r="C3433" s="110"/>
      <c r="D3433" s="109"/>
      <c r="E3433" s="109"/>
      <c r="F3433" s="97"/>
      <c r="G3433" s="109"/>
      <c r="H3433" s="109"/>
      <c r="I3433" s="97"/>
      <c r="J3433" s="97"/>
      <c r="K3433" s="83"/>
      <c r="L3433" s="111"/>
      <c r="M3433" s="111"/>
      <c r="N3433" s="111"/>
      <c r="O3433" s="111"/>
      <c r="P3433" s="111"/>
      <c r="Q3433" s="111"/>
      <c r="R3433" s="111"/>
    </row>
    <row r="3434" spans="2:18" s="108" customFormat="1">
      <c r="B3434" s="109"/>
      <c r="C3434" s="110"/>
      <c r="D3434" s="109"/>
      <c r="E3434" s="109"/>
      <c r="F3434" s="97"/>
      <c r="G3434" s="109"/>
      <c r="H3434" s="109"/>
      <c r="I3434" s="97"/>
      <c r="J3434" s="97"/>
      <c r="K3434" s="83"/>
      <c r="L3434" s="111"/>
      <c r="M3434" s="111"/>
      <c r="N3434" s="111"/>
      <c r="O3434" s="111"/>
      <c r="P3434" s="111"/>
      <c r="Q3434" s="111"/>
      <c r="R3434" s="111"/>
    </row>
    <row r="3435" spans="2:18" s="108" customFormat="1">
      <c r="B3435" s="109"/>
      <c r="C3435" s="110"/>
      <c r="D3435" s="109"/>
      <c r="E3435" s="109"/>
      <c r="F3435" s="97"/>
      <c r="G3435" s="109"/>
      <c r="H3435" s="109"/>
      <c r="I3435" s="97"/>
      <c r="J3435" s="97"/>
      <c r="K3435" s="83"/>
      <c r="L3435" s="111"/>
      <c r="M3435" s="111"/>
      <c r="N3435" s="111"/>
      <c r="O3435" s="111"/>
      <c r="P3435" s="111"/>
      <c r="Q3435" s="111"/>
      <c r="R3435" s="111"/>
    </row>
    <row r="3436" spans="2:18" s="108" customFormat="1">
      <c r="B3436" s="109"/>
      <c r="C3436" s="110"/>
      <c r="D3436" s="109"/>
      <c r="E3436" s="109"/>
      <c r="F3436" s="97"/>
      <c r="G3436" s="109"/>
      <c r="H3436" s="109"/>
      <c r="I3436" s="97"/>
      <c r="J3436" s="97"/>
      <c r="K3436" s="83"/>
      <c r="L3436" s="111"/>
      <c r="M3436" s="111"/>
      <c r="N3436" s="111"/>
      <c r="O3436" s="111"/>
      <c r="P3436" s="111"/>
      <c r="Q3436" s="111"/>
      <c r="R3436" s="111"/>
    </row>
    <row r="3437" spans="2:18" s="108" customFormat="1">
      <c r="B3437" s="109"/>
      <c r="C3437" s="110"/>
      <c r="D3437" s="109"/>
      <c r="E3437" s="109"/>
      <c r="F3437" s="97"/>
      <c r="G3437" s="109"/>
      <c r="H3437" s="109"/>
      <c r="I3437" s="97"/>
      <c r="J3437" s="97"/>
      <c r="K3437" s="83"/>
      <c r="L3437" s="111"/>
      <c r="M3437" s="111"/>
      <c r="N3437" s="111"/>
      <c r="O3437" s="111"/>
      <c r="P3437" s="111"/>
      <c r="Q3437" s="111"/>
      <c r="R3437" s="111"/>
    </row>
    <row r="3438" spans="2:18" s="108" customFormat="1">
      <c r="B3438" s="109"/>
      <c r="C3438" s="110"/>
      <c r="D3438" s="109"/>
      <c r="E3438" s="109"/>
      <c r="F3438" s="97"/>
      <c r="G3438" s="109"/>
      <c r="H3438" s="109"/>
      <c r="I3438" s="97"/>
      <c r="J3438" s="97"/>
      <c r="K3438" s="83"/>
      <c r="L3438" s="111"/>
      <c r="M3438" s="111"/>
      <c r="N3438" s="111"/>
      <c r="O3438" s="111"/>
      <c r="P3438" s="111"/>
      <c r="Q3438" s="111"/>
      <c r="R3438" s="111"/>
    </row>
    <row r="3439" spans="2:18" s="108" customFormat="1">
      <c r="B3439" s="109"/>
      <c r="C3439" s="110"/>
      <c r="D3439" s="109"/>
      <c r="E3439" s="109"/>
      <c r="F3439" s="97"/>
      <c r="G3439" s="109"/>
      <c r="H3439" s="109"/>
      <c r="I3439" s="97"/>
      <c r="J3439" s="97"/>
      <c r="K3439" s="83"/>
      <c r="L3439" s="111"/>
      <c r="M3439" s="111"/>
      <c r="N3439" s="111"/>
      <c r="O3439" s="111"/>
      <c r="P3439" s="111"/>
      <c r="Q3439" s="111"/>
      <c r="R3439" s="111"/>
    </row>
    <row r="3440" spans="2:18" s="108" customFormat="1">
      <c r="B3440" s="109"/>
      <c r="C3440" s="110"/>
      <c r="D3440" s="109"/>
      <c r="E3440" s="109"/>
      <c r="F3440" s="97"/>
      <c r="G3440" s="109"/>
      <c r="H3440" s="109"/>
      <c r="I3440" s="97"/>
      <c r="J3440" s="97"/>
      <c r="K3440" s="83"/>
      <c r="L3440" s="111"/>
      <c r="M3440" s="111"/>
      <c r="N3440" s="111"/>
      <c r="O3440" s="111"/>
      <c r="P3440" s="111"/>
      <c r="Q3440" s="111"/>
      <c r="R3440" s="111"/>
    </row>
    <row r="3441" spans="2:18" s="108" customFormat="1">
      <c r="B3441" s="109"/>
      <c r="C3441" s="110"/>
      <c r="D3441" s="109"/>
      <c r="E3441" s="109"/>
      <c r="F3441" s="97"/>
      <c r="G3441" s="109"/>
      <c r="H3441" s="109"/>
      <c r="I3441" s="97"/>
      <c r="J3441" s="97"/>
      <c r="K3441" s="83"/>
      <c r="L3441" s="111"/>
      <c r="M3441" s="111"/>
      <c r="N3441" s="111"/>
      <c r="O3441" s="111"/>
      <c r="P3441" s="111"/>
      <c r="Q3441" s="111"/>
      <c r="R3441" s="111"/>
    </row>
    <row r="3442" spans="2:18" s="108" customFormat="1">
      <c r="B3442" s="109"/>
      <c r="C3442" s="110"/>
      <c r="D3442" s="109"/>
      <c r="E3442" s="109"/>
      <c r="F3442" s="97"/>
      <c r="G3442" s="109"/>
      <c r="H3442" s="109"/>
      <c r="I3442" s="97"/>
      <c r="J3442" s="97"/>
      <c r="K3442" s="83"/>
      <c r="L3442" s="111"/>
      <c r="M3442" s="111"/>
      <c r="N3442" s="111"/>
      <c r="O3442" s="111"/>
      <c r="P3442" s="111"/>
      <c r="Q3442" s="111"/>
      <c r="R3442" s="111"/>
    </row>
    <row r="3443" spans="2:18" s="108" customFormat="1">
      <c r="B3443" s="109"/>
      <c r="C3443" s="110"/>
      <c r="D3443" s="109"/>
      <c r="E3443" s="109"/>
      <c r="F3443" s="97"/>
      <c r="G3443" s="109"/>
      <c r="H3443" s="109"/>
      <c r="I3443" s="97"/>
      <c r="J3443" s="97"/>
      <c r="K3443" s="83"/>
      <c r="L3443" s="111"/>
      <c r="M3443" s="111"/>
      <c r="N3443" s="111"/>
      <c r="O3443" s="111"/>
      <c r="P3443" s="111"/>
      <c r="Q3443" s="111"/>
      <c r="R3443" s="111"/>
    </row>
    <row r="3444" spans="2:18" s="108" customFormat="1">
      <c r="B3444" s="109"/>
      <c r="C3444" s="110"/>
      <c r="D3444" s="109"/>
      <c r="E3444" s="109"/>
      <c r="F3444" s="97"/>
      <c r="G3444" s="109"/>
      <c r="H3444" s="109"/>
      <c r="I3444" s="97"/>
      <c r="J3444" s="97"/>
      <c r="K3444" s="83"/>
      <c r="L3444" s="111"/>
      <c r="M3444" s="111"/>
      <c r="N3444" s="111"/>
      <c r="O3444" s="111"/>
      <c r="P3444" s="111"/>
      <c r="Q3444" s="111"/>
      <c r="R3444" s="111"/>
    </row>
    <row r="3445" spans="2:18" s="108" customFormat="1">
      <c r="B3445" s="109"/>
      <c r="C3445" s="110"/>
      <c r="D3445" s="109"/>
      <c r="E3445" s="109"/>
      <c r="F3445" s="97"/>
      <c r="G3445" s="109"/>
      <c r="H3445" s="109"/>
      <c r="I3445" s="97"/>
      <c r="J3445" s="97"/>
      <c r="K3445" s="83"/>
      <c r="L3445" s="111"/>
      <c r="M3445" s="111"/>
      <c r="N3445" s="111"/>
      <c r="O3445" s="111"/>
      <c r="P3445" s="111"/>
      <c r="Q3445" s="111"/>
      <c r="R3445" s="111"/>
    </row>
    <row r="3446" spans="2:18" s="108" customFormat="1">
      <c r="B3446" s="109"/>
      <c r="C3446" s="110"/>
      <c r="D3446" s="109"/>
      <c r="E3446" s="109"/>
      <c r="F3446" s="97"/>
      <c r="G3446" s="109"/>
      <c r="H3446" s="109"/>
      <c r="I3446" s="97"/>
      <c r="J3446" s="97"/>
      <c r="K3446" s="83"/>
      <c r="L3446" s="111"/>
      <c r="M3446" s="111"/>
      <c r="N3446" s="111"/>
      <c r="O3446" s="111"/>
      <c r="P3446" s="111"/>
      <c r="Q3446" s="111"/>
      <c r="R3446" s="111"/>
    </row>
    <row r="3447" spans="2:18" s="108" customFormat="1">
      <c r="B3447" s="109"/>
      <c r="C3447" s="110"/>
      <c r="D3447" s="109"/>
      <c r="E3447" s="109"/>
      <c r="F3447" s="97"/>
      <c r="G3447" s="109"/>
      <c r="H3447" s="109"/>
      <c r="I3447" s="97"/>
      <c r="J3447" s="97"/>
      <c r="K3447" s="83"/>
      <c r="L3447" s="111"/>
      <c r="M3447" s="111"/>
      <c r="N3447" s="111"/>
      <c r="O3447" s="111"/>
      <c r="P3447" s="111"/>
      <c r="Q3447" s="111"/>
      <c r="R3447" s="111"/>
    </row>
    <row r="3448" spans="2:18" s="108" customFormat="1">
      <c r="B3448" s="109"/>
      <c r="C3448" s="110"/>
      <c r="D3448" s="109"/>
      <c r="E3448" s="109"/>
      <c r="F3448" s="97"/>
      <c r="G3448" s="109"/>
      <c r="H3448" s="109"/>
      <c r="I3448" s="97"/>
      <c r="J3448" s="97"/>
      <c r="K3448" s="83"/>
      <c r="L3448" s="111"/>
      <c r="M3448" s="111"/>
      <c r="N3448" s="111"/>
      <c r="O3448" s="111"/>
      <c r="P3448" s="111"/>
      <c r="Q3448" s="111"/>
      <c r="R3448" s="111"/>
    </row>
    <row r="3449" spans="2:18" s="108" customFormat="1">
      <c r="B3449" s="109"/>
      <c r="C3449" s="110"/>
      <c r="D3449" s="109"/>
      <c r="E3449" s="109"/>
      <c r="F3449" s="97"/>
      <c r="G3449" s="109"/>
      <c r="H3449" s="109"/>
      <c r="I3449" s="97"/>
      <c r="J3449" s="97"/>
      <c r="K3449" s="83"/>
      <c r="L3449" s="111"/>
      <c r="M3449" s="111"/>
      <c r="N3449" s="111"/>
      <c r="O3449" s="111"/>
      <c r="P3449" s="111"/>
      <c r="Q3449" s="111"/>
      <c r="R3449" s="111"/>
    </row>
    <row r="3450" spans="2:18" s="108" customFormat="1">
      <c r="B3450" s="109"/>
      <c r="C3450" s="110"/>
      <c r="D3450" s="109"/>
      <c r="E3450" s="109"/>
      <c r="F3450" s="97"/>
      <c r="G3450" s="109"/>
      <c r="H3450" s="109"/>
      <c r="I3450" s="97"/>
      <c r="J3450" s="97"/>
      <c r="K3450" s="83"/>
      <c r="L3450" s="111"/>
      <c r="M3450" s="111"/>
      <c r="N3450" s="111"/>
      <c r="O3450" s="111"/>
      <c r="P3450" s="111"/>
      <c r="Q3450" s="111"/>
      <c r="R3450" s="111"/>
    </row>
    <row r="3451" spans="2:18" s="108" customFormat="1">
      <c r="B3451" s="109"/>
      <c r="C3451" s="110"/>
      <c r="D3451" s="109"/>
      <c r="E3451" s="109"/>
      <c r="F3451" s="97"/>
      <c r="G3451" s="109"/>
      <c r="H3451" s="109"/>
      <c r="I3451" s="97"/>
      <c r="J3451" s="97"/>
      <c r="K3451" s="83"/>
      <c r="L3451" s="111"/>
      <c r="M3451" s="111"/>
      <c r="N3451" s="111"/>
      <c r="O3451" s="111"/>
      <c r="P3451" s="111"/>
      <c r="Q3451" s="111"/>
      <c r="R3451" s="111"/>
    </row>
    <row r="3452" spans="2:18" s="108" customFormat="1">
      <c r="B3452" s="109"/>
      <c r="C3452" s="110"/>
      <c r="D3452" s="109"/>
      <c r="E3452" s="109"/>
      <c r="F3452" s="97"/>
      <c r="G3452" s="109"/>
      <c r="H3452" s="109"/>
      <c r="I3452" s="97"/>
      <c r="J3452" s="97"/>
      <c r="K3452" s="83"/>
      <c r="L3452" s="111"/>
      <c r="M3452" s="111"/>
      <c r="N3452" s="111"/>
      <c r="O3452" s="111"/>
      <c r="P3452" s="111"/>
      <c r="Q3452" s="111"/>
      <c r="R3452" s="111"/>
    </row>
    <row r="3453" spans="2:18" s="108" customFormat="1">
      <c r="B3453" s="109"/>
      <c r="C3453" s="110"/>
      <c r="D3453" s="109"/>
      <c r="E3453" s="109"/>
      <c r="F3453" s="97"/>
      <c r="G3453" s="109"/>
      <c r="H3453" s="109"/>
      <c r="I3453" s="97"/>
      <c r="J3453" s="97"/>
      <c r="K3453" s="83"/>
      <c r="L3453" s="111"/>
      <c r="M3453" s="111"/>
      <c r="N3453" s="111"/>
      <c r="O3453" s="111"/>
      <c r="P3453" s="111"/>
      <c r="Q3453" s="111"/>
      <c r="R3453" s="111"/>
    </row>
    <row r="3454" spans="2:18" s="108" customFormat="1">
      <c r="B3454" s="109"/>
      <c r="C3454" s="110"/>
      <c r="D3454" s="109"/>
      <c r="E3454" s="109"/>
      <c r="F3454" s="97"/>
      <c r="G3454" s="109"/>
      <c r="H3454" s="109"/>
      <c r="I3454" s="97"/>
      <c r="J3454" s="97"/>
      <c r="K3454" s="83"/>
      <c r="L3454" s="111"/>
      <c r="M3454" s="111"/>
      <c r="N3454" s="111"/>
      <c r="O3454" s="111"/>
      <c r="P3454" s="111"/>
      <c r="Q3454" s="111"/>
      <c r="R3454" s="111"/>
    </row>
    <row r="3455" spans="2:18" s="108" customFormat="1">
      <c r="B3455" s="109"/>
      <c r="C3455" s="110"/>
      <c r="D3455" s="109"/>
      <c r="E3455" s="109"/>
      <c r="F3455" s="97"/>
      <c r="G3455" s="109"/>
      <c r="H3455" s="109"/>
      <c r="I3455" s="97"/>
      <c r="J3455" s="97"/>
      <c r="K3455" s="83"/>
      <c r="L3455" s="111"/>
      <c r="M3455" s="111"/>
      <c r="N3455" s="111"/>
      <c r="O3455" s="111"/>
      <c r="P3455" s="111"/>
      <c r="Q3455" s="111"/>
      <c r="R3455" s="111"/>
    </row>
    <row r="3456" spans="2:18" s="108" customFormat="1">
      <c r="B3456" s="109"/>
      <c r="C3456" s="110"/>
      <c r="D3456" s="109"/>
      <c r="E3456" s="109"/>
      <c r="F3456" s="97"/>
      <c r="G3456" s="109"/>
      <c r="H3456" s="109"/>
      <c r="I3456" s="97"/>
      <c r="J3456" s="97"/>
      <c r="K3456" s="83"/>
      <c r="L3456" s="111"/>
      <c r="M3456" s="111"/>
      <c r="N3456" s="111"/>
      <c r="O3456" s="111"/>
      <c r="P3456" s="111"/>
      <c r="Q3456" s="111"/>
      <c r="R3456" s="111"/>
    </row>
    <row r="3457" spans="2:18" s="108" customFormat="1">
      <c r="B3457" s="109"/>
      <c r="C3457" s="110"/>
      <c r="D3457" s="109"/>
      <c r="E3457" s="109"/>
      <c r="F3457" s="97"/>
      <c r="G3457" s="109"/>
      <c r="H3457" s="109"/>
      <c r="I3457" s="97"/>
      <c r="J3457" s="97"/>
      <c r="K3457" s="83"/>
      <c r="L3457" s="111"/>
      <c r="M3457" s="111"/>
      <c r="N3457" s="111"/>
      <c r="O3457" s="111"/>
      <c r="P3457" s="111"/>
      <c r="Q3457" s="111"/>
      <c r="R3457" s="111"/>
    </row>
    <row r="3458" spans="2:18" s="108" customFormat="1">
      <c r="B3458" s="109"/>
      <c r="C3458" s="110"/>
      <c r="D3458" s="109"/>
      <c r="E3458" s="109"/>
      <c r="F3458" s="97"/>
      <c r="G3458" s="109"/>
      <c r="H3458" s="109"/>
      <c r="I3458" s="97"/>
      <c r="J3458" s="97"/>
      <c r="K3458" s="83"/>
      <c r="L3458" s="111"/>
      <c r="M3458" s="111"/>
      <c r="N3458" s="111"/>
      <c r="O3458" s="111"/>
      <c r="P3458" s="111"/>
      <c r="Q3458" s="111"/>
      <c r="R3458" s="111"/>
    </row>
    <row r="3459" spans="2:18" s="108" customFormat="1">
      <c r="B3459" s="109"/>
      <c r="C3459" s="110"/>
      <c r="D3459" s="109"/>
      <c r="E3459" s="109"/>
      <c r="F3459" s="97"/>
      <c r="G3459" s="109"/>
      <c r="H3459" s="109"/>
      <c r="I3459" s="97"/>
      <c r="J3459" s="97"/>
      <c r="K3459" s="83"/>
      <c r="L3459" s="111"/>
      <c r="M3459" s="111"/>
      <c r="N3459" s="111"/>
      <c r="O3459" s="111"/>
      <c r="P3459" s="111"/>
      <c r="Q3459" s="111"/>
      <c r="R3459" s="111"/>
    </row>
    <row r="3460" spans="2:18" s="108" customFormat="1">
      <c r="B3460" s="109"/>
      <c r="C3460" s="110"/>
      <c r="D3460" s="109"/>
      <c r="E3460" s="109"/>
      <c r="F3460" s="97"/>
      <c r="G3460" s="109"/>
      <c r="H3460" s="109"/>
      <c r="I3460" s="97"/>
      <c r="J3460" s="97"/>
      <c r="K3460" s="83"/>
      <c r="L3460" s="111"/>
      <c r="M3460" s="111"/>
      <c r="N3460" s="111"/>
      <c r="O3460" s="111"/>
      <c r="P3460" s="111"/>
      <c r="Q3460" s="111"/>
      <c r="R3460" s="111"/>
    </row>
    <row r="3461" spans="2:18" s="108" customFormat="1">
      <c r="B3461" s="109"/>
      <c r="C3461" s="110"/>
      <c r="D3461" s="109"/>
      <c r="E3461" s="109"/>
      <c r="F3461" s="97"/>
      <c r="G3461" s="109"/>
      <c r="H3461" s="109"/>
      <c r="I3461" s="97"/>
      <c r="J3461" s="97"/>
      <c r="K3461" s="83"/>
      <c r="L3461" s="111"/>
      <c r="M3461" s="111"/>
      <c r="N3461" s="111"/>
      <c r="O3461" s="111"/>
      <c r="P3461" s="111"/>
      <c r="Q3461" s="111"/>
      <c r="R3461" s="111"/>
    </row>
    <row r="3462" spans="2:18" s="108" customFormat="1">
      <c r="B3462" s="109"/>
      <c r="C3462" s="110"/>
      <c r="D3462" s="109"/>
      <c r="E3462" s="109"/>
      <c r="F3462" s="97"/>
      <c r="G3462" s="109"/>
      <c r="H3462" s="109"/>
      <c r="I3462" s="97"/>
      <c r="J3462" s="97"/>
      <c r="K3462" s="83"/>
      <c r="L3462" s="111"/>
      <c r="M3462" s="111"/>
      <c r="N3462" s="111"/>
      <c r="O3462" s="111"/>
      <c r="P3462" s="111"/>
      <c r="Q3462" s="111"/>
      <c r="R3462" s="111"/>
    </row>
    <row r="3463" spans="2:18" s="108" customFormat="1">
      <c r="B3463" s="109"/>
      <c r="C3463" s="110"/>
      <c r="D3463" s="109"/>
      <c r="E3463" s="109"/>
      <c r="F3463" s="97"/>
      <c r="G3463" s="109"/>
      <c r="H3463" s="109"/>
      <c r="I3463" s="97"/>
      <c r="J3463" s="97"/>
      <c r="K3463" s="83"/>
      <c r="L3463" s="111"/>
      <c r="M3463" s="111"/>
      <c r="N3463" s="111"/>
      <c r="O3463" s="111"/>
      <c r="P3463" s="111"/>
      <c r="Q3463" s="111"/>
      <c r="R3463" s="111"/>
    </row>
    <row r="3464" spans="2:18" s="108" customFormat="1">
      <c r="B3464" s="109"/>
      <c r="C3464" s="110"/>
      <c r="D3464" s="109"/>
      <c r="E3464" s="109"/>
      <c r="F3464" s="97"/>
      <c r="G3464" s="109"/>
      <c r="H3464" s="109"/>
      <c r="I3464" s="97"/>
      <c r="J3464" s="97"/>
      <c r="K3464" s="83"/>
      <c r="L3464" s="111"/>
      <c r="M3464" s="111"/>
      <c r="N3464" s="111"/>
      <c r="O3464" s="111"/>
      <c r="P3464" s="111"/>
      <c r="Q3464" s="111"/>
      <c r="R3464" s="111"/>
    </row>
    <row r="3465" spans="2:18" s="108" customFormat="1">
      <c r="B3465" s="109"/>
      <c r="C3465" s="110"/>
      <c r="D3465" s="109"/>
      <c r="E3465" s="109"/>
      <c r="F3465" s="97"/>
      <c r="G3465" s="109"/>
      <c r="H3465" s="109"/>
      <c r="I3465" s="97"/>
      <c r="J3465" s="97"/>
      <c r="K3465" s="83"/>
      <c r="L3465" s="111"/>
      <c r="M3465" s="111"/>
      <c r="N3465" s="111"/>
      <c r="O3465" s="111"/>
      <c r="P3465" s="111"/>
      <c r="Q3465" s="111"/>
      <c r="R3465" s="111"/>
    </row>
    <row r="3466" spans="2:18" s="108" customFormat="1">
      <c r="B3466" s="109"/>
      <c r="C3466" s="110"/>
      <c r="D3466" s="109"/>
      <c r="E3466" s="109"/>
      <c r="F3466" s="97"/>
      <c r="G3466" s="109"/>
      <c r="H3466" s="109"/>
      <c r="I3466" s="97"/>
      <c r="J3466" s="97"/>
      <c r="K3466" s="83"/>
      <c r="L3466" s="111"/>
      <c r="M3466" s="111"/>
      <c r="N3466" s="111"/>
      <c r="O3466" s="111"/>
      <c r="P3466" s="111"/>
      <c r="Q3466" s="111"/>
      <c r="R3466" s="111"/>
    </row>
    <row r="3467" spans="2:18" s="108" customFormat="1">
      <c r="B3467" s="109"/>
      <c r="C3467" s="110"/>
      <c r="D3467" s="109"/>
      <c r="E3467" s="109"/>
      <c r="F3467" s="97"/>
      <c r="G3467" s="109"/>
      <c r="H3467" s="109"/>
      <c r="I3467" s="97"/>
      <c r="J3467" s="97"/>
      <c r="K3467" s="83"/>
      <c r="L3467" s="111"/>
      <c r="M3467" s="111"/>
      <c r="N3467" s="111"/>
      <c r="O3467" s="111"/>
      <c r="P3467" s="111"/>
      <c r="Q3467" s="111"/>
      <c r="R3467" s="111"/>
    </row>
    <row r="3468" spans="2:18" s="108" customFormat="1">
      <c r="B3468" s="109"/>
      <c r="C3468" s="110"/>
      <c r="D3468" s="109"/>
      <c r="E3468" s="109"/>
      <c r="F3468" s="97"/>
      <c r="G3468" s="109"/>
      <c r="H3468" s="109"/>
      <c r="I3468" s="97"/>
      <c r="J3468" s="97"/>
      <c r="K3468" s="83"/>
      <c r="L3468" s="111"/>
      <c r="M3468" s="111"/>
      <c r="N3468" s="111"/>
      <c r="O3468" s="111"/>
      <c r="P3468" s="111"/>
      <c r="Q3468" s="111"/>
      <c r="R3468" s="111"/>
    </row>
    <row r="3469" spans="2:18" s="108" customFormat="1">
      <c r="B3469" s="109"/>
      <c r="C3469" s="110"/>
      <c r="D3469" s="109"/>
      <c r="E3469" s="109"/>
      <c r="F3469" s="97"/>
      <c r="G3469" s="109"/>
      <c r="H3469" s="109"/>
      <c r="I3469" s="97"/>
      <c r="J3469" s="97"/>
      <c r="K3469" s="83"/>
      <c r="L3469" s="111"/>
      <c r="M3469" s="111"/>
      <c r="N3469" s="111"/>
      <c r="O3469" s="111"/>
      <c r="P3469" s="111"/>
      <c r="Q3469" s="111"/>
      <c r="R3469" s="111"/>
    </row>
    <row r="3470" spans="2:18" s="108" customFormat="1">
      <c r="B3470" s="109"/>
      <c r="C3470" s="110"/>
      <c r="D3470" s="109"/>
      <c r="E3470" s="109"/>
      <c r="F3470" s="97"/>
      <c r="G3470" s="109"/>
      <c r="H3470" s="109"/>
      <c r="I3470" s="97"/>
      <c r="J3470" s="97"/>
      <c r="K3470" s="83"/>
      <c r="L3470" s="111"/>
      <c r="M3470" s="111"/>
      <c r="N3470" s="111"/>
      <c r="O3470" s="111"/>
      <c r="P3470" s="111"/>
      <c r="Q3470" s="111"/>
      <c r="R3470" s="111"/>
    </row>
    <row r="3471" spans="2:18" s="108" customFormat="1">
      <c r="B3471" s="109"/>
      <c r="C3471" s="110"/>
      <c r="D3471" s="109"/>
      <c r="E3471" s="109"/>
      <c r="F3471" s="97"/>
      <c r="G3471" s="109"/>
      <c r="H3471" s="109"/>
      <c r="I3471" s="97"/>
      <c r="J3471" s="97"/>
      <c r="K3471" s="83"/>
      <c r="L3471" s="111"/>
      <c r="M3471" s="111"/>
      <c r="N3471" s="111"/>
      <c r="O3471" s="111"/>
      <c r="P3471" s="111"/>
      <c r="Q3471" s="111"/>
      <c r="R3471" s="111"/>
    </row>
    <row r="3472" spans="2:18" s="108" customFormat="1">
      <c r="B3472" s="109"/>
      <c r="C3472" s="110"/>
      <c r="D3472" s="109"/>
      <c r="E3472" s="109"/>
      <c r="F3472" s="97"/>
      <c r="G3472" s="109"/>
      <c r="H3472" s="109"/>
      <c r="I3472" s="97"/>
      <c r="J3472" s="97"/>
      <c r="K3472" s="83"/>
      <c r="L3472" s="111"/>
      <c r="M3472" s="111"/>
      <c r="N3472" s="111"/>
      <c r="O3472" s="111"/>
      <c r="P3472" s="111"/>
      <c r="Q3472" s="111"/>
      <c r="R3472" s="111"/>
    </row>
    <row r="3473" spans="2:18" s="108" customFormat="1">
      <c r="B3473" s="109"/>
      <c r="C3473" s="110"/>
      <c r="D3473" s="109"/>
      <c r="E3473" s="109"/>
      <c r="F3473" s="97"/>
      <c r="G3473" s="109"/>
      <c r="H3473" s="109"/>
      <c r="I3473" s="97"/>
      <c r="J3473" s="97"/>
      <c r="K3473" s="83"/>
      <c r="L3473" s="111"/>
      <c r="M3473" s="111"/>
      <c r="N3473" s="111"/>
      <c r="O3473" s="111"/>
      <c r="P3473" s="111"/>
      <c r="Q3473" s="111"/>
      <c r="R3473" s="111"/>
    </row>
    <row r="3474" spans="2:18" s="108" customFormat="1">
      <c r="B3474" s="109"/>
      <c r="C3474" s="110"/>
      <c r="D3474" s="109"/>
      <c r="E3474" s="109"/>
      <c r="F3474" s="97"/>
      <c r="G3474" s="109"/>
      <c r="H3474" s="109"/>
      <c r="I3474" s="97"/>
      <c r="J3474" s="97"/>
      <c r="K3474" s="83"/>
      <c r="L3474" s="111"/>
      <c r="M3474" s="111"/>
      <c r="N3474" s="111"/>
      <c r="O3474" s="111"/>
      <c r="P3474" s="111"/>
      <c r="Q3474" s="111"/>
      <c r="R3474" s="111"/>
    </row>
    <row r="3475" spans="2:18" s="108" customFormat="1">
      <c r="B3475" s="109"/>
      <c r="C3475" s="110"/>
      <c r="D3475" s="109"/>
      <c r="E3475" s="109"/>
      <c r="F3475" s="97"/>
      <c r="G3475" s="109"/>
      <c r="H3475" s="109"/>
      <c r="I3475" s="97"/>
      <c r="J3475" s="97"/>
      <c r="K3475" s="83"/>
      <c r="L3475" s="111"/>
      <c r="M3475" s="111"/>
      <c r="N3475" s="111"/>
      <c r="O3475" s="111"/>
      <c r="P3475" s="111"/>
      <c r="Q3475" s="111"/>
      <c r="R3475" s="111"/>
    </row>
    <row r="3476" spans="2:18" s="108" customFormat="1">
      <c r="B3476" s="109"/>
      <c r="C3476" s="110"/>
      <c r="D3476" s="109"/>
      <c r="E3476" s="109"/>
      <c r="F3476" s="97"/>
      <c r="G3476" s="109"/>
      <c r="H3476" s="109"/>
      <c r="I3476" s="97"/>
      <c r="J3476" s="97"/>
      <c r="K3476" s="83"/>
      <c r="L3476" s="111"/>
      <c r="M3476" s="111"/>
      <c r="N3476" s="111"/>
      <c r="O3476" s="111"/>
      <c r="P3476" s="111"/>
      <c r="Q3476" s="111"/>
      <c r="R3476" s="111"/>
    </row>
    <row r="3477" spans="2:18" s="108" customFormat="1">
      <c r="B3477" s="109"/>
      <c r="C3477" s="110"/>
      <c r="D3477" s="109"/>
      <c r="E3477" s="109"/>
      <c r="F3477" s="97"/>
      <c r="G3477" s="109"/>
      <c r="H3477" s="109"/>
      <c r="I3477" s="97"/>
      <c r="J3477" s="97"/>
      <c r="K3477" s="83"/>
      <c r="L3477" s="111"/>
      <c r="M3477" s="111"/>
      <c r="N3477" s="111"/>
      <c r="O3477" s="111"/>
      <c r="P3477" s="111"/>
      <c r="Q3477" s="111"/>
      <c r="R3477" s="111"/>
    </row>
    <row r="3478" spans="2:18" s="108" customFormat="1">
      <c r="B3478" s="109"/>
      <c r="C3478" s="110"/>
      <c r="D3478" s="109"/>
      <c r="E3478" s="109"/>
      <c r="F3478" s="97"/>
      <c r="G3478" s="109"/>
      <c r="H3478" s="109"/>
      <c r="I3478" s="97"/>
      <c r="J3478" s="97"/>
      <c r="K3478" s="83"/>
      <c r="L3478" s="111"/>
      <c r="M3478" s="111"/>
      <c r="N3478" s="111"/>
      <c r="O3478" s="111"/>
      <c r="P3478" s="111"/>
      <c r="Q3478" s="111"/>
      <c r="R3478" s="111"/>
    </row>
    <row r="3479" spans="2:18" s="108" customFormat="1">
      <c r="B3479" s="109"/>
      <c r="C3479" s="110"/>
      <c r="D3479" s="109"/>
      <c r="E3479" s="109"/>
      <c r="F3479" s="97"/>
      <c r="G3479" s="109"/>
      <c r="H3479" s="109"/>
      <c r="I3479" s="97"/>
      <c r="J3479" s="97"/>
      <c r="K3479" s="83"/>
      <c r="L3479" s="111"/>
      <c r="M3479" s="111"/>
      <c r="N3479" s="111"/>
      <c r="O3479" s="111"/>
      <c r="P3479" s="111"/>
      <c r="Q3479" s="111"/>
      <c r="R3479" s="111"/>
    </row>
    <row r="3480" spans="2:18" s="108" customFormat="1">
      <c r="B3480" s="109"/>
      <c r="C3480" s="110"/>
      <c r="D3480" s="109"/>
      <c r="E3480" s="109"/>
      <c r="F3480" s="97"/>
      <c r="G3480" s="109"/>
      <c r="H3480" s="109"/>
      <c r="I3480" s="97"/>
      <c r="J3480" s="97"/>
      <c r="K3480" s="83"/>
      <c r="L3480" s="111"/>
      <c r="M3480" s="111"/>
      <c r="N3480" s="111"/>
      <c r="O3480" s="111"/>
      <c r="P3480" s="111"/>
      <c r="Q3480" s="111"/>
      <c r="R3480" s="111"/>
    </row>
    <row r="3481" spans="2:18" s="108" customFormat="1">
      <c r="B3481" s="109"/>
      <c r="C3481" s="110"/>
      <c r="D3481" s="109"/>
      <c r="E3481" s="109"/>
      <c r="F3481" s="97"/>
      <c r="G3481" s="109"/>
      <c r="H3481" s="109"/>
      <c r="I3481" s="97"/>
      <c r="J3481" s="97"/>
      <c r="K3481" s="83"/>
      <c r="L3481" s="111"/>
      <c r="M3481" s="111"/>
      <c r="N3481" s="111"/>
      <c r="O3481" s="111"/>
      <c r="P3481" s="111"/>
      <c r="Q3481" s="111"/>
      <c r="R3481" s="111"/>
    </row>
    <row r="3482" spans="2:18" s="108" customFormat="1">
      <c r="B3482" s="109"/>
      <c r="C3482" s="110"/>
      <c r="D3482" s="109"/>
      <c r="E3482" s="109"/>
      <c r="F3482" s="97"/>
      <c r="G3482" s="109"/>
      <c r="H3482" s="109"/>
      <c r="I3482" s="97"/>
      <c r="J3482" s="97"/>
      <c r="K3482" s="83"/>
      <c r="L3482" s="111"/>
      <c r="M3482" s="111"/>
      <c r="N3482" s="111"/>
      <c r="O3482" s="111"/>
      <c r="P3482" s="111"/>
      <c r="Q3482" s="111"/>
      <c r="R3482" s="111"/>
    </row>
    <row r="3483" spans="2:18" s="108" customFormat="1">
      <c r="B3483" s="109"/>
      <c r="C3483" s="110"/>
      <c r="D3483" s="109"/>
      <c r="E3483" s="109"/>
      <c r="F3483" s="97"/>
      <c r="G3483" s="109"/>
      <c r="H3483" s="109"/>
      <c r="I3483" s="97"/>
      <c r="J3483" s="97"/>
      <c r="K3483" s="83"/>
      <c r="L3483" s="111"/>
      <c r="M3483" s="111"/>
      <c r="N3483" s="111"/>
      <c r="O3483" s="111"/>
      <c r="P3483" s="111"/>
      <c r="Q3483" s="111"/>
      <c r="R3483" s="111"/>
    </row>
    <row r="3484" spans="2:18" s="108" customFormat="1">
      <c r="B3484" s="109"/>
      <c r="C3484" s="110"/>
      <c r="D3484" s="109"/>
      <c r="E3484" s="109"/>
      <c r="F3484" s="97"/>
      <c r="G3484" s="109"/>
      <c r="H3484" s="109"/>
      <c r="I3484" s="97"/>
      <c r="J3484" s="97"/>
      <c r="K3484" s="83"/>
      <c r="L3484" s="111"/>
      <c r="M3484" s="111"/>
      <c r="N3484" s="111"/>
      <c r="O3484" s="111"/>
      <c r="P3484" s="111"/>
      <c r="Q3484" s="111"/>
      <c r="R3484" s="111"/>
    </row>
    <row r="3485" spans="2:18" s="108" customFormat="1">
      <c r="B3485" s="109"/>
      <c r="C3485" s="110"/>
      <c r="D3485" s="109"/>
      <c r="E3485" s="109"/>
      <c r="F3485" s="97"/>
      <c r="G3485" s="109"/>
      <c r="H3485" s="109"/>
      <c r="I3485" s="97"/>
      <c r="J3485" s="97"/>
      <c r="K3485" s="83"/>
      <c r="L3485" s="111"/>
      <c r="M3485" s="111"/>
      <c r="N3485" s="111"/>
      <c r="O3485" s="111"/>
      <c r="P3485" s="111"/>
      <c r="Q3485" s="111"/>
      <c r="R3485" s="111"/>
    </row>
    <row r="3486" spans="2:18" s="108" customFormat="1">
      <c r="B3486" s="109"/>
      <c r="C3486" s="110"/>
      <c r="D3486" s="109"/>
      <c r="E3486" s="109"/>
      <c r="F3486" s="97"/>
      <c r="G3486" s="109"/>
      <c r="H3486" s="109"/>
      <c r="I3486" s="97"/>
      <c r="J3486" s="97"/>
      <c r="K3486" s="83"/>
      <c r="L3486" s="111"/>
      <c r="M3486" s="111"/>
      <c r="N3486" s="111"/>
      <c r="O3486" s="111"/>
      <c r="P3486" s="111"/>
      <c r="Q3486" s="111"/>
      <c r="R3486" s="111"/>
    </row>
    <row r="3487" spans="2:18" s="108" customFormat="1">
      <c r="B3487" s="109"/>
      <c r="C3487" s="110"/>
      <c r="D3487" s="109"/>
      <c r="E3487" s="109"/>
      <c r="F3487" s="97"/>
      <c r="G3487" s="109"/>
      <c r="H3487" s="109"/>
      <c r="I3487" s="97"/>
      <c r="J3487" s="97"/>
      <c r="K3487" s="83"/>
      <c r="L3487" s="111"/>
      <c r="M3487" s="111"/>
      <c r="N3487" s="111"/>
      <c r="O3487" s="111"/>
      <c r="P3487" s="111"/>
      <c r="Q3487" s="111"/>
      <c r="R3487" s="111"/>
    </row>
    <row r="3488" spans="2:18" s="108" customFormat="1">
      <c r="B3488" s="109"/>
      <c r="C3488" s="110"/>
      <c r="D3488" s="109"/>
      <c r="E3488" s="109"/>
      <c r="F3488" s="97"/>
      <c r="G3488" s="109"/>
      <c r="H3488" s="109"/>
      <c r="I3488" s="97"/>
      <c r="J3488" s="97"/>
      <c r="K3488" s="83"/>
      <c r="L3488" s="111"/>
      <c r="M3488" s="111"/>
      <c r="N3488" s="111"/>
      <c r="O3488" s="111"/>
      <c r="P3488" s="111"/>
      <c r="Q3488" s="111"/>
      <c r="R3488" s="111"/>
    </row>
    <row r="3489" spans="2:18" s="108" customFormat="1">
      <c r="B3489" s="109"/>
      <c r="C3489" s="110"/>
      <c r="D3489" s="109"/>
      <c r="E3489" s="109"/>
      <c r="F3489" s="97"/>
      <c r="G3489" s="109"/>
      <c r="H3489" s="109"/>
      <c r="I3489" s="97"/>
      <c r="J3489" s="97"/>
      <c r="K3489" s="83"/>
      <c r="L3489" s="111"/>
      <c r="M3489" s="111"/>
      <c r="N3489" s="111"/>
      <c r="O3489" s="111"/>
      <c r="P3489" s="111"/>
      <c r="Q3489" s="111"/>
      <c r="R3489" s="111"/>
    </row>
    <row r="3490" spans="2:18" s="108" customFormat="1">
      <c r="B3490" s="109"/>
      <c r="C3490" s="110"/>
      <c r="D3490" s="109"/>
      <c r="E3490" s="109"/>
      <c r="F3490" s="97"/>
      <c r="G3490" s="109"/>
      <c r="H3490" s="109"/>
      <c r="I3490" s="97"/>
      <c r="J3490" s="97"/>
      <c r="K3490" s="83"/>
      <c r="L3490" s="111"/>
      <c r="M3490" s="111"/>
      <c r="N3490" s="111"/>
      <c r="O3490" s="111"/>
      <c r="P3490" s="111"/>
      <c r="Q3490" s="111"/>
      <c r="R3490" s="111"/>
    </row>
    <row r="3491" spans="2:18" s="108" customFormat="1">
      <c r="B3491" s="109"/>
      <c r="C3491" s="110"/>
      <c r="D3491" s="109"/>
      <c r="E3491" s="109"/>
      <c r="F3491" s="97"/>
      <c r="G3491" s="109"/>
      <c r="H3491" s="109"/>
      <c r="I3491" s="97"/>
      <c r="J3491" s="97"/>
      <c r="K3491" s="83"/>
      <c r="L3491" s="111"/>
      <c r="M3491" s="111"/>
      <c r="N3491" s="111"/>
      <c r="O3491" s="111"/>
      <c r="P3491" s="111"/>
      <c r="Q3491" s="111"/>
      <c r="R3491" s="111"/>
    </row>
    <row r="3492" spans="2:18" s="108" customFormat="1">
      <c r="B3492" s="109"/>
      <c r="C3492" s="110"/>
      <c r="D3492" s="109"/>
      <c r="E3492" s="109"/>
      <c r="F3492" s="97"/>
      <c r="G3492" s="109"/>
      <c r="H3492" s="109"/>
      <c r="I3492" s="97"/>
      <c r="J3492" s="97"/>
      <c r="K3492" s="83"/>
      <c r="L3492" s="111"/>
      <c r="M3492" s="111"/>
      <c r="N3492" s="111"/>
      <c r="O3492" s="111"/>
      <c r="P3492" s="111"/>
      <c r="Q3492" s="111"/>
      <c r="R3492" s="111"/>
    </row>
    <row r="3493" spans="2:18" s="108" customFormat="1">
      <c r="B3493" s="109"/>
      <c r="C3493" s="110"/>
      <c r="D3493" s="109"/>
      <c r="E3493" s="109"/>
      <c r="F3493" s="97"/>
      <c r="G3493" s="109"/>
      <c r="H3493" s="109"/>
      <c r="I3493" s="97"/>
      <c r="J3493" s="97"/>
      <c r="K3493" s="83"/>
      <c r="L3493" s="111"/>
      <c r="M3493" s="111"/>
      <c r="N3493" s="111"/>
      <c r="O3493" s="111"/>
      <c r="P3493" s="111"/>
      <c r="Q3493" s="111"/>
      <c r="R3493" s="111"/>
    </row>
    <row r="3494" spans="2:18" s="108" customFormat="1">
      <c r="B3494" s="109"/>
      <c r="C3494" s="110"/>
      <c r="D3494" s="109"/>
      <c r="E3494" s="109"/>
      <c r="F3494" s="97"/>
      <c r="G3494" s="109"/>
      <c r="H3494" s="109"/>
      <c r="I3494" s="97"/>
      <c r="J3494" s="97"/>
      <c r="K3494" s="83"/>
      <c r="L3494" s="111"/>
      <c r="M3494" s="111"/>
      <c r="N3494" s="111"/>
      <c r="O3494" s="111"/>
      <c r="P3494" s="111"/>
      <c r="Q3494" s="111"/>
      <c r="R3494" s="111"/>
    </row>
    <row r="3495" spans="2:18" s="108" customFormat="1">
      <c r="B3495" s="109"/>
      <c r="C3495" s="110"/>
      <c r="D3495" s="109"/>
      <c r="E3495" s="109"/>
      <c r="F3495" s="97"/>
      <c r="G3495" s="109"/>
      <c r="H3495" s="109"/>
      <c r="I3495" s="97"/>
      <c r="J3495" s="97"/>
      <c r="K3495" s="83"/>
      <c r="L3495" s="111"/>
      <c r="M3495" s="111"/>
      <c r="N3495" s="111"/>
      <c r="O3495" s="111"/>
      <c r="P3495" s="111"/>
      <c r="Q3495" s="111"/>
      <c r="R3495" s="111"/>
    </row>
    <row r="3496" spans="2:18" s="108" customFormat="1">
      <c r="B3496" s="109"/>
      <c r="C3496" s="110"/>
      <c r="D3496" s="109"/>
      <c r="E3496" s="109"/>
      <c r="F3496" s="97"/>
      <c r="G3496" s="109"/>
      <c r="H3496" s="109"/>
      <c r="I3496" s="97"/>
      <c r="J3496" s="97"/>
      <c r="K3496" s="83"/>
      <c r="L3496" s="111"/>
      <c r="M3496" s="111"/>
      <c r="N3496" s="111"/>
      <c r="O3496" s="111"/>
      <c r="P3496" s="111"/>
      <c r="Q3496" s="111"/>
      <c r="R3496" s="111"/>
    </row>
    <row r="3497" spans="2:18" s="108" customFormat="1">
      <c r="B3497" s="109"/>
      <c r="C3497" s="110"/>
      <c r="D3497" s="109"/>
      <c r="E3497" s="109"/>
      <c r="F3497" s="97"/>
      <c r="G3497" s="109"/>
      <c r="H3497" s="109"/>
      <c r="I3497" s="97"/>
      <c r="J3497" s="97"/>
      <c r="K3497" s="83"/>
      <c r="L3497" s="111"/>
      <c r="M3497" s="111"/>
      <c r="N3497" s="111"/>
      <c r="O3497" s="111"/>
      <c r="P3497" s="111"/>
      <c r="Q3497" s="111"/>
      <c r="R3497" s="111"/>
    </row>
    <row r="3498" spans="2:18" s="108" customFormat="1">
      <c r="B3498" s="109"/>
      <c r="C3498" s="110"/>
      <c r="D3498" s="109"/>
      <c r="E3498" s="109"/>
      <c r="F3498" s="97"/>
      <c r="G3498" s="109"/>
      <c r="H3498" s="109"/>
      <c r="I3498" s="97"/>
      <c r="J3498" s="97"/>
      <c r="K3498" s="83"/>
      <c r="L3498" s="111"/>
      <c r="M3498" s="111"/>
      <c r="N3498" s="111"/>
      <c r="O3498" s="111"/>
      <c r="P3498" s="111"/>
      <c r="Q3498" s="111"/>
      <c r="R3498" s="111"/>
    </row>
    <row r="3499" spans="2:18" s="108" customFormat="1">
      <c r="B3499" s="109"/>
      <c r="C3499" s="110"/>
      <c r="D3499" s="109"/>
      <c r="E3499" s="109"/>
      <c r="F3499" s="97"/>
      <c r="G3499" s="109"/>
      <c r="H3499" s="109"/>
      <c r="I3499" s="97"/>
      <c r="J3499" s="97"/>
      <c r="K3499" s="83"/>
      <c r="L3499" s="111"/>
      <c r="M3499" s="111"/>
      <c r="N3499" s="111"/>
      <c r="O3499" s="111"/>
      <c r="P3499" s="111"/>
      <c r="Q3499" s="111"/>
      <c r="R3499" s="111"/>
    </row>
    <row r="3500" spans="2:18" s="108" customFormat="1">
      <c r="B3500" s="109"/>
      <c r="C3500" s="110"/>
      <c r="D3500" s="109"/>
      <c r="E3500" s="109"/>
      <c r="F3500" s="97"/>
      <c r="G3500" s="109"/>
      <c r="H3500" s="109"/>
      <c r="I3500" s="97"/>
      <c r="J3500" s="97"/>
      <c r="K3500" s="83"/>
      <c r="L3500" s="111"/>
      <c r="M3500" s="111"/>
      <c r="N3500" s="111"/>
      <c r="O3500" s="111"/>
      <c r="P3500" s="111"/>
      <c r="Q3500" s="111"/>
      <c r="R3500" s="111"/>
    </row>
    <row r="3501" spans="2:18" s="108" customFormat="1">
      <c r="B3501" s="109"/>
      <c r="C3501" s="110"/>
      <c r="D3501" s="109"/>
      <c r="E3501" s="109"/>
      <c r="F3501" s="97"/>
      <c r="G3501" s="109"/>
      <c r="H3501" s="109"/>
      <c r="I3501" s="97"/>
      <c r="J3501" s="97"/>
      <c r="K3501" s="83"/>
      <c r="L3501" s="111"/>
      <c r="M3501" s="111"/>
      <c r="N3501" s="111"/>
      <c r="O3501" s="111"/>
      <c r="P3501" s="111"/>
      <c r="Q3501" s="111"/>
      <c r="R3501" s="111"/>
    </row>
    <row r="3502" spans="2:18" s="108" customFormat="1">
      <c r="B3502" s="109"/>
      <c r="C3502" s="110"/>
      <c r="D3502" s="109"/>
      <c r="E3502" s="109"/>
      <c r="F3502" s="97"/>
      <c r="G3502" s="109"/>
      <c r="H3502" s="109"/>
      <c r="I3502" s="97"/>
      <c r="J3502" s="97"/>
      <c r="K3502" s="83"/>
      <c r="L3502" s="111"/>
      <c r="M3502" s="111"/>
      <c r="N3502" s="111"/>
      <c r="O3502" s="111"/>
      <c r="P3502" s="111"/>
      <c r="Q3502" s="111"/>
      <c r="R3502" s="111"/>
    </row>
    <row r="3503" spans="2:18" s="108" customFormat="1">
      <c r="B3503" s="109"/>
      <c r="C3503" s="110"/>
      <c r="D3503" s="109"/>
      <c r="E3503" s="109"/>
      <c r="F3503" s="97"/>
      <c r="G3503" s="109"/>
      <c r="H3503" s="109"/>
      <c r="I3503" s="97"/>
      <c r="J3503" s="97"/>
      <c r="K3503" s="83"/>
      <c r="L3503" s="111"/>
      <c r="M3503" s="111"/>
      <c r="N3503" s="111"/>
      <c r="O3503" s="111"/>
      <c r="P3503" s="111"/>
      <c r="Q3503" s="111"/>
      <c r="R3503" s="111"/>
    </row>
    <row r="3504" spans="2:18" s="108" customFormat="1">
      <c r="B3504" s="109"/>
      <c r="C3504" s="110"/>
      <c r="D3504" s="109"/>
      <c r="E3504" s="109"/>
      <c r="F3504" s="97"/>
      <c r="G3504" s="109"/>
      <c r="H3504" s="109"/>
      <c r="I3504" s="97"/>
      <c r="J3504" s="97"/>
      <c r="K3504" s="83"/>
      <c r="L3504" s="111"/>
      <c r="M3504" s="111"/>
      <c r="N3504" s="111"/>
      <c r="O3504" s="111"/>
      <c r="P3504" s="111"/>
      <c r="Q3504" s="111"/>
      <c r="R3504" s="111"/>
    </row>
    <row r="3505" spans="2:18" s="108" customFormat="1">
      <c r="B3505" s="109"/>
      <c r="C3505" s="110"/>
      <c r="D3505" s="109"/>
      <c r="E3505" s="109"/>
      <c r="F3505" s="97"/>
      <c r="G3505" s="109"/>
      <c r="H3505" s="109"/>
      <c r="I3505" s="97"/>
      <c r="J3505" s="97"/>
      <c r="K3505" s="83"/>
      <c r="L3505" s="111"/>
      <c r="M3505" s="111"/>
      <c r="N3505" s="111"/>
      <c r="O3505" s="111"/>
      <c r="P3505" s="111"/>
      <c r="Q3505" s="111"/>
      <c r="R3505" s="111"/>
    </row>
    <row r="3506" spans="2:18" s="108" customFormat="1">
      <c r="B3506" s="109"/>
      <c r="C3506" s="110"/>
      <c r="D3506" s="109"/>
      <c r="E3506" s="109"/>
      <c r="F3506" s="97"/>
      <c r="G3506" s="109"/>
      <c r="H3506" s="109"/>
      <c r="I3506" s="97"/>
      <c r="J3506" s="97"/>
      <c r="K3506" s="83"/>
      <c r="L3506" s="111"/>
      <c r="M3506" s="111"/>
      <c r="N3506" s="111"/>
      <c r="O3506" s="111"/>
      <c r="P3506" s="111"/>
      <c r="Q3506" s="111"/>
      <c r="R3506" s="111"/>
    </row>
    <row r="3507" spans="2:18" s="108" customFormat="1">
      <c r="B3507" s="109"/>
      <c r="C3507" s="110"/>
      <c r="D3507" s="109"/>
      <c r="E3507" s="109"/>
      <c r="F3507" s="97"/>
      <c r="G3507" s="109"/>
      <c r="H3507" s="109"/>
      <c r="I3507" s="97"/>
      <c r="J3507" s="97"/>
      <c r="K3507" s="83"/>
      <c r="L3507" s="111"/>
      <c r="M3507" s="111"/>
      <c r="N3507" s="111"/>
      <c r="O3507" s="111"/>
      <c r="P3507" s="111"/>
      <c r="Q3507" s="111"/>
      <c r="R3507" s="111"/>
    </row>
    <row r="3508" spans="2:18" s="108" customFormat="1">
      <c r="B3508" s="109"/>
      <c r="C3508" s="110"/>
      <c r="D3508" s="109"/>
      <c r="E3508" s="109"/>
      <c r="F3508" s="97"/>
      <c r="G3508" s="109"/>
      <c r="H3508" s="109"/>
      <c r="I3508" s="97"/>
      <c r="J3508" s="97"/>
      <c r="K3508" s="83"/>
      <c r="L3508" s="111"/>
      <c r="M3508" s="111"/>
      <c r="N3508" s="111"/>
      <c r="O3508" s="111"/>
      <c r="P3508" s="111"/>
      <c r="Q3508" s="111"/>
      <c r="R3508" s="111"/>
    </row>
    <row r="3509" spans="2:18" s="108" customFormat="1">
      <c r="B3509" s="109"/>
      <c r="C3509" s="110"/>
      <c r="D3509" s="109"/>
      <c r="E3509" s="109"/>
      <c r="F3509" s="97"/>
      <c r="G3509" s="109"/>
      <c r="H3509" s="109"/>
      <c r="I3509" s="97"/>
      <c r="J3509" s="97"/>
      <c r="K3509" s="83"/>
      <c r="L3509" s="111"/>
      <c r="M3509" s="111"/>
      <c r="N3509" s="111"/>
      <c r="O3509" s="111"/>
      <c r="P3509" s="111"/>
      <c r="Q3509" s="111"/>
      <c r="R3509" s="111"/>
    </row>
    <row r="3510" spans="2:18" s="108" customFormat="1">
      <c r="B3510" s="109"/>
      <c r="C3510" s="110"/>
      <c r="D3510" s="109"/>
      <c r="E3510" s="109"/>
      <c r="F3510" s="97"/>
      <c r="G3510" s="109"/>
      <c r="H3510" s="109"/>
      <c r="I3510" s="97"/>
      <c r="J3510" s="97"/>
      <c r="K3510" s="83"/>
      <c r="L3510" s="111"/>
      <c r="M3510" s="111"/>
      <c r="N3510" s="111"/>
      <c r="O3510" s="111"/>
      <c r="P3510" s="111"/>
      <c r="Q3510" s="111"/>
      <c r="R3510" s="111"/>
    </row>
    <row r="3511" spans="2:18" s="108" customFormat="1">
      <c r="B3511" s="109"/>
      <c r="C3511" s="110"/>
      <c r="D3511" s="109"/>
      <c r="E3511" s="109"/>
      <c r="F3511" s="97"/>
      <c r="G3511" s="109"/>
      <c r="H3511" s="109"/>
      <c r="I3511" s="97"/>
      <c r="J3511" s="97"/>
      <c r="K3511" s="83"/>
      <c r="L3511" s="111"/>
      <c r="M3511" s="111"/>
      <c r="N3511" s="111"/>
      <c r="O3511" s="111"/>
      <c r="P3511" s="111"/>
      <c r="Q3511" s="111"/>
      <c r="R3511" s="111"/>
    </row>
    <row r="3512" spans="2:18" s="108" customFormat="1">
      <c r="B3512" s="109"/>
      <c r="C3512" s="110"/>
      <c r="D3512" s="109"/>
      <c r="E3512" s="109"/>
      <c r="F3512" s="97"/>
      <c r="G3512" s="109"/>
      <c r="H3512" s="109"/>
      <c r="I3512" s="97"/>
      <c r="J3512" s="97"/>
      <c r="K3512" s="83"/>
      <c r="L3512" s="111"/>
      <c r="M3512" s="111"/>
      <c r="N3512" s="111"/>
      <c r="O3512" s="111"/>
      <c r="P3512" s="111"/>
      <c r="Q3512" s="111"/>
      <c r="R3512" s="111"/>
    </row>
    <row r="3513" spans="2:18" s="108" customFormat="1">
      <c r="B3513" s="109"/>
      <c r="C3513" s="110"/>
      <c r="D3513" s="109"/>
      <c r="E3513" s="109"/>
      <c r="F3513" s="97"/>
      <c r="G3513" s="109"/>
      <c r="H3513" s="109"/>
      <c r="I3513" s="97"/>
      <c r="J3513" s="97"/>
      <c r="K3513" s="83"/>
      <c r="L3513" s="111"/>
      <c r="M3513" s="111"/>
      <c r="N3513" s="111"/>
      <c r="O3513" s="111"/>
      <c r="P3513" s="111"/>
      <c r="Q3513" s="111"/>
      <c r="R3513" s="111"/>
    </row>
    <row r="3514" spans="2:18" s="108" customFormat="1">
      <c r="B3514" s="109"/>
      <c r="C3514" s="110"/>
      <c r="D3514" s="109"/>
      <c r="E3514" s="109"/>
      <c r="F3514" s="97"/>
      <c r="G3514" s="109"/>
      <c r="H3514" s="109"/>
      <c r="I3514" s="97"/>
      <c r="J3514" s="97"/>
      <c r="K3514" s="83"/>
      <c r="L3514" s="111"/>
      <c r="M3514" s="111"/>
      <c r="N3514" s="111"/>
      <c r="O3514" s="111"/>
      <c r="P3514" s="111"/>
      <c r="Q3514" s="111"/>
      <c r="R3514" s="111"/>
    </row>
    <row r="3515" spans="2:18" s="108" customFormat="1">
      <c r="B3515" s="109"/>
      <c r="C3515" s="110"/>
      <c r="D3515" s="109"/>
      <c r="E3515" s="109"/>
      <c r="F3515" s="97"/>
      <c r="G3515" s="109"/>
      <c r="H3515" s="109"/>
      <c r="I3515" s="97"/>
      <c r="J3515" s="97"/>
      <c r="K3515" s="83"/>
      <c r="L3515" s="111"/>
      <c r="M3515" s="111"/>
      <c r="N3515" s="111"/>
      <c r="O3515" s="111"/>
      <c r="P3515" s="111"/>
      <c r="Q3515" s="111"/>
      <c r="R3515" s="111"/>
    </row>
    <row r="3516" spans="2:18" s="108" customFormat="1">
      <c r="B3516" s="109"/>
      <c r="C3516" s="110"/>
      <c r="D3516" s="109"/>
      <c r="E3516" s="109"/>
      <c r="F3516" s="97"/>
      <c r="G3516" s="109"/>
      <c r="H3516" s="109"/>
      <c r="I3516" s="97"/>
      <c r="J3516" s="97"/>
      <c r="K3516" s="83"/>
      <c r="L3516" s="111"/>
      <c r="M3516" s="111"/>
      <c r="N3516" s="111"/>
      <c r="O3516" s="111"/>
      <c r="P3516" s="111"/>
      <c r="Q3516" s="111"/>
      <c r="R3516" s="111"/>
    </row>
    <row r="3517" spans="2:18" s="108" customFormat="1">
      <c r="B3517" s="109"/>
      <c r="C3517" s="110"/>
      <c r="D3517" s="109"/>
      <c r="E3517" s="109"/>
      <c r="F3517" s="97"/>
      <c r="G3517" s="109"/>
      <c r="H3517" s="109"/>
      <c r="I3517" s="97"/>
      <c r="J3517" s="97"/>
      <c r="K3517" s="83"/>
      <c r="L3517" s="111"/>
      <c r="M3517" s="111"/>
      <c r="N3517" s="111"/>
      <c r="O3517" s="111"/>
      <c r="P3517" s="111"/>
      <c r="Q3517" s="111"/>
      <c r="R3517" s="111"/>
    </row>
    <row r="3518" spans="2:18" s="108" customFormat="1">
      <c r="B3518" s="109"/>
      <c r="C3518" s="110"/>
      <c r="D3518" s="109"/>
      <c r="E3518" s="109"/>
      <c r="F3518" s="97"/>
      <c r="G3518" s="109"/>
      <c r="H3518" s="109"/>
      <c r="I3518" s="97"/>
      <c r="J3518" s="97"/>
      <c r="K3518" s="83"/>
      <c r="L3518" s="111"/>
      <c r="M3518" s="111"/>
      <c r="N3518" s="111"/>
      <c r="O3518" s="111"/>
      <c r="P3518" s="111"/>
      <c r="Q3518" s="111"/>
      <c r="R3518" s="111"/>
    </row>
    <row r="3519" spans="2:18" s="108" customFormat="1">
      <c r="B3519" s="109"/>
      <c r="C3519" s="110"/>
      <c r="D3519" s="109"/>
      <c r="E3519" s="109"/>
      <c r="F3519" s="97"/>
      <c r="G3519" s="109"/>
      <c r="H3519" s="109"/>
      <c r="I3519" s="97"/>
      <c r="J3519" s="97"/>
      <c r="K3519" s="83"/>
      <c r="L3519" s="111"/>
      <c r="M3519" s="111"/>
      <c r="N3519" s="111"/>
      <c r="O3519" s="111"/>
      <c r="P3519" s="111"/>
      <c r="Q3519" s="111"/>
      <c r="R3519" s="111"/>
    </row>
    <row r="3520" spans="2:18" s="108" customFormat="1">
      <c r="B3520" s="109"/>
      <c r="C3520" s="110"/>
      <c r="D3520" s="109"/>
      <c r="E3520" s="109"/>
      <c r="F3520" s="97"/>
      <c r="G3520" s="109"/>
      <c r="H3520" s="109"/>
      <c r="I3520" s="97"/>
      <c r="J3520" s="97"/>
      <c r="K3520" s="83"/>
      <c r="L3520" s="111"/>
      <c r="M3520" s="111"/>
      <c r="N3520" s="111"/>
      <c r="O3520" s="111"/>
      <c r="P3520" s="111"/>
      <c r="Q3520" s="111"/>
      <c r="R3520" s="111"/>
    </row>
    <row r="3521" spans="2:18" s="108" customFormat="1">
      <c r="B3521" s="109"/>
      <c r="C3521" s="110"/>
      <c r="D3521" s="109"/>
      <c r="E3521" s="109"/>
      <c r="F3521" s="97"/>
      <c r="G3521" s="109"/>
      <c r="H3521" s="109"/>
      <c r="I3521" s="97"/>
      <c r="J3521" s="97"/>
      <c r="K3521" s="83"/>
      <c r="L3521" s="111"/>
      <c r="M3521" s="111"/>
      <c r="N3521" s="111"/>
      <c r="O3521" s="111"/>
      <c r="P3521" s="111"/>
      <c r="Q3521" s="111"/>
      <c r="R3521" s="111"/>
    </row>
    <row r="3522" spans="2:18" s="108" customFormat="1">
      <c r="B3522" s="109"/>
      <c r="C3522" s="110"/>
      <c r="D3522" s="109"/>
      <c r="E3522" s="109"/>
      <c r="F3522" s="97"/>
      <c r="G3522" s="109"/>
      <c r="H3522" s="109"/>
      <c r="I3522" s="97"/>
      <c r="J3522" s="97"/>
      <c r="K3522" s="83"/>
      <c r="L3522" s="111"/>
      <c r="M3522" s="111"/>
      <c r="N3522" s="111"/>
      <c r="O3522" s="111"/>
      <c r="P3522" s="111"/>
      <c r="Q3522" s="111"/>
      <c r="R3522" s="111"/>
    </row>
    <row r="3523" spans="2:18" s="108" customFormat="1">
      <c r="B3523" s="109"/>
      <c r="C3523" s="110"/>
      <c r="D3523" s="109"/>
      <c r="E3523" s="109"/>
      <c r="F3523" s="97"/>
      <c r="G3523" s="109"/>
      <c r="H3523" s="109"/>
      <c r="I3523" s="97"/>
      <c r="J3523" s="97"/>
      <c r="K3523" s="83"/>
      <c r="L3523" s="111"/>
      <c r="M3523" s="111"/>
      <c r="N3523" s="111"/>
      <c r="O3523" s="111"/>
      <c r="P3523" s="111"/>
      <c r="Q3523" s="111"/>
      <c r="R3523" s="111"/>
    </row>
    <row r="3524" spans="2:18" s="108" customFormat="1">
      <c r="B3524" s="109"/>
      <c r="C3524" s="110"/>
      <c r="D3524" s="109"/>
      <c r="E3524" s="109"/>
      <c r="F3524" s="97"/>
      <c r="G3524" s="109"/>
      <c r="H3524" s="109"/>
      <c r="I3524" s="97"/>
      <c r="J3524" s="97"/>
      <c r="K3524" s="83"/>
      <c r="L3524" s="111"/>
      <c r="M3524" s="111"/>
      <c r="N3524" s="111"/>
      <c r="O3524" s="111"/>
      <c r="P3524" s="111"/>
      <c r="Q3524" s="111"/>
      <c r="R3524" s="111"/>
    </row>
    <row r="3525" spans="2:18" s="108" customFormat="1">
      <c r="B3525" s="109"/>
      <c r="C3525" s="110"/>
      <c r="D3525" s="109"/>
      <c r="E3525" s="109"/>
      <c r="F3525" s="97"/>
      <c r="G3525" s="109"/>
      <c r="H3525" s="109"/>
      <c r="I3525" s="97"/>
      <c r="J3525" s="97"/>
      <c r="K3525" s="83"/>
      <c r="L3525" s="111"/>
      <c r="M3525" s="111"/>
      <c r="N3525" s="111"/>
      <c r="O3525" s="111"/>
      <c r="P3525" s="111"/>
      <c r="Q3525" s="111"/>
      <c r="R3525" s="111"/>
    </row>
    <row r="3526" spans="2:18" s="108" customFormat="1">
      <c r="B3526" s="109"/>
      <c r="C3526" s="110"/>
      <c r="D3526" s="109"/>
      <c r="E3526" s="109"/>
      <c r="F3526" s="97"/>
      <c r="G3526" s="109"/>
      <c r="H3526" s="109"/>
      <c r="I3526" s="97"/>
      <c r="J3526" s="97"/>
      <c r="K3526" s="83"/>
      <c r="L3526" s="111"/>
      <c r="M3526" s="111"/>
      <c r="N3526" s="111"/>
      <c r="O3526" s="111"/>
      <c r="P3526" s="111"/>
      <c r="Q3526" s="111"/>
      <c r="R3526" s="111"/>
    </row>
    <row r="3527" spans="2:18" s="108" customFormat="1">
      <c r="B3527" s="109"/>
      <c r="C3527" s="110"/>
      <c r="D3527" s="109"/>
      <c r="E3527" s="109"/>
      <c r="F3527" s="97"/>
      <c r="G3527" s="109"/>
      <c r="H3527" s="109"/>
      <c r="I3527" s="97"/>
      <c r="J3527" s="97"/>
      <c r="K3527" s="83"/>
      <c r="L3527" s="111"/>
      <c r="M3527" s="111"/>
      <c r="N3527" s="111"/>
      <c r="O3527" s="111"/>
      <c r="P3527" s="111"/>
      <c r="Q3527" s="111"/>
      <c r="R3527" s="111"/>
    </row>
    <row r="3528" spans="2:18" s="108" customFormat="1">
      <c r="B3528" s="109"/>
      <c r="C3528" s="110"/>
      <c r="D3528" s="109"/>
      <c r="E3528" s="109"/>
      <c r="F3528" s="97"/>
      <c r="G3528" s="109"/>
      <c r="H3528" s="109"/>
      <c r="I3528" s="97"/>
      <c r="J3528" s="97"/>
      <c r="K3528" s="83"/>
      <c r="L3528" s="111"/>
      <c r="M3528" s="111"/>
      <c r="N3528" s="111"/>
      <c r="O3528" s="111"/>
      <c r="P3528" s="111"/>
      <c r="Q3528" s="111"/>
      <c r="R3528" s="111"/>
    </row>
    <row r="3529" spans="2:18" s="108" customFormat="1">
      <c r="B3529" s="109"/>
      <c r="C3529" s="110"/>
      <c r="D3529" s="109"/>
      <c r="E3529" s="109"/>
      <c r="F3529" s="97"/>
      <c r="G3529" s="109"/>
      <c r="H3529" s="109"/>
      <c r="I3529" s="97"/>
      <c r="J3529" s="97"/>
      <c r="K3529" s="83"/>
      <c r="L3529" s="111"/>
      <c r="M3529" s="111"/>
      <c r="N3529" s="111"/>
      <c r="O3529" s="111"/>
      <c r="P3529" s="111"/>
      <c r="Q3529" s="111"/>
      <c r="R3529" s="111"/>
    </row>
    <row r="3530" spans="2:18" s="108" customFormat="1">
      <c r="B3530" s="109"/>
      <c r="C3530" s="110"/>
      <c r="D3530" s="109"/>
      <c r="E3530" s="109"/>
      <c r="F3530" s="97"/>
      <c r="G3530" s="109"/>
      <c r="H3530" s="109"/>
      <c r="I3530" s="97"/>
      <c r="J3530" s="97"/>
      <c r="K3530" s="83"/>
      <c r="L3530" s="111"/>
      <c r="M3530" s="111"/>
      <c r="N3530" s="111"/>
      <c r="O3530" s="111"/>
      <c r="P3530" s="111"/>
      <c r="Q3530" s="111"/>
      <c r="R3530" s="111"/>
    </row>
    <row r="3531" spans="2:18" s="108" customFormat="1">
      <c r="B3531" s="109"/>
      <c r="C3531" s="110"/>
      <c r="D3531" s="109"/>
      <c r="E3531" s="109"/>
      <c r="F3531" s="97"/>
      <c r="G3531" s="109"/>
      <c r="H3531" s="109"/>
      <c r="I3531" s="97"/>
      <c r="J3531" s="97"/>
      <c r="K3531" s="83"/>
      <c r="L3531" s="111"/>
      <c r="M3531" s="111"/>
      <c r="N3531" s="111"/>
      <c r="O3531" s="111"/>
      <c r="P3531" s="111"/>
      <c r="Q3531" s="111"/>
      <c r="R3531" s="111"/>
    </row>
    <row r="3532" spans="2:18" s="108" customFormat="1">
      <c r="B3532" s="109"/>
      <c r="C3532" s="110"/>
      <c r="D3532" s="109"/>
      <c r="E3532" s="109"/>
      <c r="F3532" s="97"/>
      <c r="G3532" s="109"/>
      <c r="H3532" s="109"/>
      <c r="I3532" s="97"/>
      <c r="J3532" s="97"/>
      <c r="K3532" s="83"/>
      <c r="L3532" s="111"/>
      <c r="M3532" s="111"/>
      <c r="N3532" s="111"/>
      <c r="O3532" s="111"/>
      <c r="P3532" s="111"/>
      <c r="Q3532" s="111"/>
      <c r="R3532" s="111"/>
    </row>
    <row r="3533" spans="2:18" s="108" customFormat="1">
      <c r="B3533" s="109"/>
      <c r="C3533" s="110"/>
      <c r="D3533" s="109"/>
      <c r="E3533" s="109"/>
      <c r="F3533" s="97"/>
      <c r="G3533" s="109"/>
      <c r="H3533" s="109"/>
      <c r="I3533" s="97"/>
      <c r="J3533" s="97"/>
      <c r="K3533" s="83"/>
      <c r="L3533" s="111"/>
      <c r="M3533" s="111"/>
      <c r="N3533" s="111"/>
      <c r="O3533" s="111"/>
      <c r="P3533" s="111"/>
      <c r="Q3533" s="111"/>
      <c r="R3533" s="111"/>
    </row>
    <row r="3534" spans="2:18" s="108" customFormat="1">
      <c r="B3534" s="109"/>
      <c r="C3534" s="110"/>
      <c r="D3534" s="109"/>
      <c r="E3534" s="109"/>
      <c r="F3534" s="97"/>
      <c r="G3534" s="109"/>
      <c r="H3534" s="109"/>
      <c r="I3534" s="97"/>
      <c r="J3534" s="97"/>
      <c r="K3534" s="83"/>
      <c r="L3534" s="111"/>
      <c r="M3534" s="111"/>
      <c r="N3534" s="111"/>
      <c r="O3534" s="111"/>
      <c r="P3534" s="111"/>
      <c r="Q3534" s="111"/>
      <c r="R3534" s="111"/>
    </row>
    <row r="3535" spans="2:18" s="108" customFormat="1">
      <c r="B3535" s="109"/>
      <c r="C3535" s="110"/>
      <c r="D3535" s="109"/>
      <c r="E3535" s="109"/>
      <c r="F3535" s="97"/>
      <c r="G3535" s="109"/>
      <c r="H3535" s="109"/>
      <c r="I3535" s="97"/>
      <c r="J3535" s="97"/>
      <c r="K3535" s="83"/>
      <c r="L3535" s="111"/>
      <c r="M3535" s="111"/>
      <c r="N3535" s="111"/>
      <c r="O3535" s="111"/>
      <c r="P3535" s="111"/>
      <c r="Q3535" s="111"/>
      <c r="R3535" s="111"/>
    </row>
    <row r="3536" spans="2:18" s="108" customFormat="1">
      <c r="B3536" s="109"/>
      <c r="C3536" s="110"/>
      <c r="D3536" s="109"/>
      <c r="E3536" s="109"/>
      <c r="F3536" s="97"/>
      <c r="G3536" s="109"/>
      <c r="H3536" s="109"/>
      <c r="I3536" s="97"/>
      <c r="J3536" s="97"/>
      <c r="K3536" s="83"/>
      <c r="L3536" s="111"/>
      <c r="M3536" s="111"/>
      <c r="N3536" s="111"/>
      <c r="O3536" s="111"/>
      <c r="P3536" s="111"/>
      <c r="Q3536" s="111"/>
      <c r="R3536" s="111"/>
    </row>
    <row r="3537" spans="2:18" s="108" customFormat="1">
      <c r="B3537" s="109"/>
      <c r="C3537" s="110"/>
      <c r="D3537" s="109"/>
      <c r="E3537" s="109"/>
      <c r="F3537" s="97"/>
      <c r="G3537" s="109"/>
      <c r="H3537" s="109"/>
      <c r="I3537" s="97"/>
      <c r="J3537" s="97"/>
      <c r="K3537" s="83"/>
      <c r="L3537" s="111"/>
      <c r="M3537" s="111"/>
      <c r="N3537" s="111"/>
      <c r="O3537" s="111"/>
      <c r="P3537" s="111"/>
      <c r="Q3537" s="111"/>
      <c r="R3537" s="111"/>
    </row>
    <row r="3538" spans="2:18" s="108" customFormat="1">
      <c r="B3538" s="109"/>
      <c r="C3538" s="110"/>
      <c r="D3538" s="109"/>
      <c r="E3538" s="109"/>
      <c r="F3538" s="97"/>
      <c r="G3538" s="109"/>
      <c r="H3538" s="109"/>
      <c r="I3538" s="97"/>
      <c r="J3538" s="97"/>
      <c r="K3538" s="83"/>
      <c r="L3538" s="111"/>
      <c r="M3538" s="111"/>
      <c r="N3538" s="111"/>
      <c r="O3538" s="111"/>
      <c r="P3538" s="111"/>
      <c r="Q3538" s="111"/>
      <c r="R3538" s="111"/>
    </row>
    <row r="3539" spans="2:18" s="108" customFormat="1">
      <c r="B3539" s="109"/>
      <c r="C3539" s="110"/>
      <c r="D3539" s="109"/>
      <c r="E3539" s="109"/>
      <c r="F3539" s="97"/>
      <c r="G3539" s="109"/>
      <c r="H3539" s="109"/>
      <c r="I3539" s="97"/>
      <c r="J3539" s="97"/>
      <c r="K3539" s="83"/>
      <c r="L3539" s="111"/>
      <c r="M3539" s="111"/>
      <c r="N3539" s="111"/>
      <c r="O3539" s="111"/>
      <c r="P3539" s="111"/>
      <c r="Q3539" s="111"/>
      <c r="R3539" s="111"/>
    </row>
    <row r="3540" spans="2:18" s="108" customFormat="1">
      <c r="B3540" s="109"/>
      <c r="C3540" s="110"/>
      <c r="D3540" s="109"/>
      <c r="E3540" s="109"/>
      <c r="F3540" s="97"/>
      <c r="G3540" s="109"/>
      <c r="H3540" s="109"/>
      <c r="I3540" s="97"/>
      <c r="J3540" s="97"/>
      <c r="K3540" s="83"/>
      <c r="L3540" s="111"/>
      <c r="M3540" s="111"/>
      <c r="N3540" s="111"/>
      <c r="O3540" s="111"/>
      <c r="P3540" s="111"/>
      <c r="Q3540" s="111"/>
      <c r="R3540" s="111"/>
    </row>
    <row r="3541" spans="2:18" s="108" customFormat="1">
      <c r="B3541" s="109"/>
      <c r="C3541" s="110"/>
      <c r="D3541" s="109"/>
      <c r="E3541" s="109"/>
      <c r="F3541" s="97"/>
      <c r="G3541" s="109"/>
      <c r="H3541" s="109"/>
      <c r="I3541" s="97"/>
      <c r="J3541" s="97"/>
      <c r="K3541" s="83"/>
      <c r="L3541" s="111"/>
      <c r="M3541" s="111"/>
      <c r="N3541" s="111"/>
      <c r="O3541" s="111"/>
      <c r="P3541" s="111"/>
      <c r="Q3541" s="111"/>
      <c r="R3541" s="111"/>
    </row>
    <row r="3542" spans="2:18" s="108" customFormat="1">
      <c r="B3542" s="109"/>
      <c r="C3542" s="110"/>
      <c r="D3542" s="109"/>
      <c r="E3542" s="109"/>
      <c r="F3542" s="97"/>
      <c r="G3542" s="109"/>
      <c r="H3542" s="109"/>
      <c r="I3542" s="97"/>
      <c r="J3542" s="97"/>
      <c r="K3542" s="83"/>
      <c r="L3542" s="111"/>
      <c r="M3542" s="111"/>
      <c r="N3542" s="111"/>
      <c r="O3542" s="111"/>
      <c r="P3542" s="111"/>
      <c r="Q3542" s="111"/>
      <c r="R3542" s="111"/>
    </row>
    <row r="3543" spans="2:18" s="108" customFormat="1">
      <c r="B3543" s="109"/>
      <c r="C3543" s="110"/>
      <c r="D3543" s="109"/>
      <c r="E3543" s="109"/>
      <c r="F3543" s="97"/>
      <c r="G3543" s="109"/>
      <c r="H3543" s="109"/>
      <c r="I3543" s="97"/>
      <c r="J3543" s="97"/>
      <c r="K3543" s="83"/>
      <c r="L3543" s="111"/>
      <c r="M3543" s="111"/>
      <c r="N3543" s="111"/>
      <c r="O3543" s="111"/>
      <c r="P3543" s="111"/>
      <c r="Q3543" s="111"/>
      <c r="R3543" s="111"/>
    </row>
    <row r="3544" spans="2:18" s="108" customFormat="1">
      <c r="B3544" s="109"/>
      <c r="C3544" s="110"/>
      <c r="D3544" s="109"/>
      <c r="E3544" s="109"/>
      <c r="F3544" s="97"/>
      <c r="G3544" s="109"/>
      <c r="H3544" s="109"/>
      <c r="I3544" s="97"/>
      <c r="J3544" s="97"/>
      <c r="K3544" s="83"/>
      <c r="L3544" s="111"/>
      <c r="M3544" s="111"/>
      <c r="N3544" s="111"/>
      <c r="O3544" s="111"/>
      <c r="P3544" s="111"/>
      <c r="Q3544" s="111"/>
      <c r="R3544" s="111"/>
    </row>
    <row r="3545" spans="2:18" s="108" customFormat="1">
      <c r="B3545" s="109"/>
      <c r="C3545" s="110"/>
      <c r="D3545" s="109"/>
      <c r="E3545" s="109"/>
      <c r="F3545" s="97"/>
      <c r="G3545" s="109"/>
      <c r="H3545" s="109"/>
      <c r="I3545" s="97"/>
      <c r="J3545" s="97"/>
      <c r="K3545" s="83"/>
      <c r="L3545" s="111"/>
      <c r="M3545" s="111"/>
      <c r="N3545" s="111"/>
      <c r="O3545" s="111"/>
      <c r="P3545" s="111"/>
      <c r="Q3545" s="111"/>
      <c r="R3545" s="111"/>
    </row>
    <row r="3546" spans="2:18">
      <c r="N3546" s="111"/>
    </row>
  </sheetData>
  <sheetProtection selectLockedCells="1"/>
  <mergeCells count="7">
    <mergeCell ref="O1:P1"/>
    <mergeCell ref="B1:B2"/>
    <mergeCell ref="C1:E1"/>
    <mergeCell ref="F1:F2"/>
    <mergeCell ref="K1:K2"/>
    <mergeCell ref="L1:M1"/>
    <mergeCell ref="N1:N2"/>
  </mergeCells>
  <pageMargins left="0.75" right="0.75" top="1" bottom="1" header="0" footer="0"/>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9"/>
  <dimension ref="A1:AEB93"/>
  <sheetViews>
    <sheetView showGridLines="0" workbookViewId="0">
      <pane xSplit="1" ySplit="3" topLeftCell="B34" activePane="bottomRight" state="frozenSplit"/>
      <selection activeCell="C45" sqref="C45"/>
      <selection pane="topRight" activeCell="C45" sqref="C45"/>
      <selection pane="bottomLeft" activeCell="C45" sqref="C45"/>
      <selection pane="bottomRight" activeCell="E51" sqref="E51:E69"/>
    </sheetView>
  </sheetViews>
  <sheetFormatPr defaultColWidth="11.453125" defaultRowHeight="13"/>
  <cols>
    <col min="1" max="2" width="14.453125" style="33" customWidth="1"/>
    <col min="3" max="3" width="12.54296875" style="36" bestFit="1" customWidth="1"/>
    <col min="4" max="4" width="12.54296875" style="37" bestFit="1" customWidth="1"/>
    <col min="5" max="5" width="12.54296875" style="37" customWidth="1"/>
    <col min="6" max="6" width="11.81640625" style="37" bestFit="1" customWidth="1"/>
    <col min="7" max="7" width="15.1796875" style="35" customWidth="1"/>
    <col min="8" max="8" width="11.453125" style="9"/>
    <col min="9" max="9" width="12.26953125" style="9" bestFit="1" customWidth="1"/>
    <col min="10" max="12" width="11.453125" style="9"/>
    <col min="13" max="804" width="0" style="9" hidden="1" customWidth="1"/>
    <col min="805" max="16384" width="11.453125" style="9"/>
  </cols>
  <sheetData>
    <row r="1" spans="1:808" ht="30.75" customHeight="1" thickBot="1">
      <c r="H1" s="9" t="s">
        <v>109</v>
      </c>
      <c r="P1" s="9" t="s">
        <v>108</v>
      </c>
      <c r="ADZ1" s="232"/>
    </row>
    <row r="2" spans="1:808" ht="14" thickTop="1" thickBot="1">
      <c r="A2" s="6"/>
      <c r="B2" s="739"/>
      <c r="C2" s="735"/>
      <c r="D2" s="735"/>
      <c r="E2" s="736"/>
      <c r="F2" s="736"/>
      <c r="G2" s="736"/>
      <c r="H2" s="739"/>
      <c r="I2" s="735"/>
      <c r="J2" s="735"/>
      <c r="K2" s="736"/>
      <c r="L2" s="736"/>
      <c r="M2" s="736"/>
    </row>
    <row r="3" spans="1:808" ht="14" thickTop="1" thickBot="1">
      <c r="A3" s="10" t="s">
        <v>14</v>
      </c>
      <c r="B3" s="12" t="s">
        <v>16</v>
      </c>
      <c r="C3" s="13" t="s">
        <v>13</v>
      </c>
      <c r="D3" s="7" t="s">
        <v>17</v>
      </c>
      <c r="E3" s="11" t="s">
        <v>15</v>
      </c>
      <c r="F3" s="7" t="s">
        <v>18</v>
      </c>
      <c r="G3" s="14" t="s">
        <v>19</v>
      </c>
      <c r="H3" s="13" t="s">
        <v>13</v>
      </c>
      <c r="I3" s="7" t="s">
        <v>17</v>
      </c>
      <c r="J3" s="11" t="s">
        <v>15</v>
      </c>
      <c r="K3" s="7" t="s">
        <v>18</v>
      </c>
      <c r="L3" s="14" t="s">
        <v>19</v>
      </c>
      <c r="M3" s="14"/>
      <c r="AEA3" s="232" t="s">
        <v>13</v>
      </c>
      <c r="AEB3" s="232" t="s">
        <v>15</v>
      </c>
    </row>
    <row r="4" spans="1:808" ht="14" thickTop="1" thickBot="1">
      <c r="A4" s="18">
        <v>1</v>
      </c>
      <c r="B4" s="20">
        <f>IF(F4="","",('choose m.p.'!D3-'choose m.p.'!B3)/'choose m.p.'!B3)</f>
        <v>0</v>
      </c>
      <c r="C4" s="21">
        <f>IF(F4="","",'choose m.p.'!D3)</f>
        <v>50</v>
      </c>
      <c r="D4" s="22"/>
      <c r="E4" s="20">
        <f>IF(F4="","",'choose m.p.'!G3/100)</f>
        <v>0.02</v>
      </c>
      <c r="F4" s="28">
        <f>IF('choose m.p.'!I3="","",'choose m.p.'!I3/100)</f>
        <v>0.02</v>
      </c>
      <c r="G4" s="20">
        <f>IF(F4="","",'choose m.p.'!H3/100)</f>
        <v>0</v>
      </c>
      <c r="H4" s="21">
        <f>IF(K4="","",'choose m.p. (endogenous policy)'!D3)</f>
        <v>50</v>
      </c>
      <c r="I4" s="21"/>
      <c r="J4" s="20">
        <f>IF(K4="","",'choose m.p. (endogenous policy)'!G3/100)</f>
        <v>0.02</v>
      </c>
      <c r="K4" s="20">
        <f>IF('choose m.p.'!I3="","",'choose m.p. (endogenous policy)'!I3/100)</f>
        <v>0.04</v>
      </c>
      <c r="L4" s="28">
        <f>IF(K4="","",'choose m.p. (endogenous policy)'!H3/100)</f>
        <v>0.02</v>
      </c>
      <c r="M4" s="20"/>
      <c r="AEA4" s="9">
        <f>IF(E4="","",IF(E4&gt;100,0,C4))</f>
        <v>50</v>
      </c>
      <c r="AEB4" s="9">
        <f>IF(E4="","",IF(E4&gt;100,0,E4))</f>
        <v>0.02</v>
      </c>
    </row>
    <row r="5" spans="1:808" ht="14" thickTop="1" thickBot="1">
      <c r="A5" s="18">
        <v>2</v>
      </c>
      <c r="B5" s="20">
        <f>IF(F5="","",('choose m.p.'!D4-'choose m.p.'!B4)/'choose m.p.'!B4)</f>
        <v>0.03</v>
      </c>
      <c r="C5" s="21">
        <f>IF(F5="","",'choose m.p.'!D4)</f>
        <v>51.5</v>
      </c>
      <c r="D5" s="27">
        <f>IF(F5="","",C5/C4-1)</f>
        <v>3.0000000000000027E-2</v>
      </c>
      <c r="E5" s="20">
        <f>IF(F5="","",'choose m.p.'!G4/100)</f>
        <v>3.5000000000000003E-2</v>
      </c>
      <c r="F5" s="28">
        <f>IF('choose m.p.'!I4="","",'choose m.p.'!I4/100)</f>
        <v>0.02</v>
      </c>
      <c r="G5" s="20">
        <f>IF(F5="","",'choose m.p.'!H4/100)</f>
        <v>-1.4999999999999999E-2</v>
      </c>
      <c r="H5" s="21">
        <f>IF(K5="","",'choose m.p. (endogenous policy)'!D4)</f>
        <v>50</v>
      </c>
      <c r="I5" s="225">
        <f>IF(F5="","",H5/H4-1)</f>
        <v>0</v>
      </c>
      <c r="J5" s="20">
        <f>IF(K5="","",'choose m.p. (endogenous policy)'!G4/100)</f>
        <v>0.02</v>
      </c>
      <c r="K5" s="20">
        <f>IF('choose m.p.'!I4="","",'choose m.p. (endogenous policy)'!I4/100)</f>
        <v>0.04</v>
      </c>
      <c r="L5" s="28">
        <f>IF(K5="","",'choose m.p. (endogenous policy)'!H4/100)</f>
        <v>0.02</v>
      </c>
      <c r="M5" s="20"/>
      <c r="AEA5" s="9">
        <f t="shared" ref="AEA5:AEA23" si="0">IF(E5="","",IF(E5&gt;100,0,C5))</f>
        <v>51.5</v>
      </c>
      <c r="AEB5" s="9">
        <f t="shared" ref="AEB5:AEB23" si="1">IF(E5="","",IF(E5&gt;100,0,E5))</f>
        <v>3.5000000000000003E-2</v>
      </c>
    </row>
    <row r="6" spans="1:808" ht="14" thickTop="1" thickBot="1">
      <c r="A6" s="18">
        <v>3</v>
      </c>
      <c r="B6" s="20">
        <f>IF(F6="","",('choose m.p.'!D5-'choose m.p.'!B5)/'choose m.p.'!B5)</f>
        <v>5.2499999999999998E-2</v>
      </c>
      <c r="C6" s="21">
        <f>IF(F6="","",'choose m.p.'!D5)</f>
        <v>52.625</v>
      </c>
      <c r="D6" s="27">
        <f t="shared" ref="D6:D23" si="2">IF(F6="","",C6/C5-1)</f>
        <v>2.1844660194174859E-2</v>
      </c>
      <c r="E6" s="20">
        <f>IF(F6="","",'choose m.p.'!G5/100)</f>
        <v>6.1249999999999999E-2</v>
      </c>
      <c r="F6" s="28">
        <f>IF('choose m.p.'!I5="","",'choose m.p.'!I5/100)</f>
        <v>0.02</v>
      </c>
      <c r="G6" s="20">
        <f>IF(F6="","",'choose m.p.'!H5/100)</f>
        <v>-4.1250000000000002E-2</v>
      </c>
      <c r="H6" s="21">
        <f>IF(K6="","",'choose m.p. (endogenous policy)'!D5)</f>
        <v>50</v>
      </c>
      <c r="I6" s="225">
        <f t="shared" ref="I6:I23" si="3">IF(F6="","",H6/H5-1)</f>
        <v>0</v>
      </c>
      <c r="J6" s="20">
        <f>IF(K6="","",'choose m.p. (endogenous policy)'!G5/100)</f>
        <v>0.02</v>
      </c>
      <c r="K6" s="20">
        <f>IF('choose m.p.'!I5="","",'choose m.p. (endogenous policy)'!I5/100)</f>
        <v>0.04</v>
      </c>
      <c r="L6" s="28">
        <f>IF(K6="","",'choose m.p. (endogenous policy)'!H5/100)</f>
        <v>0.02</v>
      </c>
      <c r="M6" s="20"/>
      <c r="AEA6" s="9">
        <f t="shared" si="0"/>
        <v>52.625</v>
      </c>
      <c r="AEB6" s="9">
        <f t="shared" si="1"/>
        <v>6.1249999999999999E-2</v>
      </c>
    </row>
    <row r="7" spans="1:808" ht="14" thickTop="1" thickBot="1">
      <c r="A7" s="18">
        <v>4</v>
      </c>
      <c r="B7" s="20">
        <f>IF(F7="","",('choose m.p.'!D6-'choose m.p.'!B6)/'choose m.p.'!B6)</f>
        <v>9.1874999999999998E-2</v>
      </c>
      <c r="C7" s="21">
        <f>IF(F7="","",'choose m.p.'!D6)</f>
        <v>54.59375</v>
      </c>
      <c r="D7" s="27">
        <f t="shared" si="2"/>
        <v>3.7410926365795794E-2</v>
      </c>
      <c r="E7" s="20">
        <f>IF(F7="","",'choose m.p.'!G6/100)</f>
        <v>0.1071875</v>
      </c>
      <c r="F7" s="28">
        <f>IF('choose m.p.'!I6="","",'choose m.p.'!I6/100)</f>
        <v>0.02</v>
      </c>
      <c r="G7" s="20">
        <f>IF(F7="","",'choose m.p.'!H6/100)</f>
        <v>-8.7187500000000001E-2</v>
      </c>
      <c r="H7" s="21">
        <f>IF(K7="","",'choose m.p. (endogenous policy)'!D6)</f>
        <v>50</v>
      </c>
      <c r="I7" s="225">
        <f t="shared" si="3"/>
        <v>0</v>
      </c>
      <c r="J7" s="20">
        <f>IF(K7="","",'choose m.p. (endogenous policy)'!G6/100)</f>
        <v>0.02</v>
      </c>
      <c r="K7" s="20">
        <f>IF('choose m.p.'!I6="","",'choose m.p. (endogenous policy)'!I6/100)</f>
        <v>0.04</v>
      </c>
      <c r="L7" s="28">
        <f>IF(K7="","",'choose m.p. (endogenous policy)'!H6/100)</f>
        <v>0.02</v>
      </c>
      <c r="M7" s="20"/>
      <c r="AEA7" s="9">
        <f t="shared" si="0"/>
        <v>54.59375</v>
      </c>
      <c r="AEB7" s="9">
        <f t="shared" si="1"/>
        <v>0.1071875</v>
      </c>
    </row>
    <row r="8" spans="1:808" ht="14" thickTop="1" thickBot="1">
      <c r="A8" s="18">
        <v>5</v>
      </c>
      <c r="B8" s="20">
        <f>IF(F8="","",('choose m.p.'!D7-'choose m.p.'!B7)/'choose m.p.'!B7)</f>
        <v>0.13594350961538465</v>
      </c>
      <c r="C8" s="21">
        <f>IF(F8="","",'choose m.p.'!D7)</f>
        <v>59.069062500000001</v>
      </c>
      <c r="D8" s="27">
        <f t="shared" si="2"/>
        <v>8.1974813966800175E-2</v>
      </c>
      <c r="E8" s="20">
        <f>IF(F8="","",'choose m.p.'!G7/100)</f>
        <v>0.177878125</v>
      </c>
      <c r="F8" s="28">
        <f>IF('choose m.p.'!I7="","",'choose m.p.'!I7/100)</f>
        <v>0.02</v>
      </c>
      <c r="G8" s="20">
        <f>IF(F8="","",'choose m.p.'!H7/100)</f>
        <v>-0.15787812500000001</v>
      </c>
      <c r="H8" s="21">
        <f>IF(K8="","",'choose m.p. (endogenous policy)'!D7)</f>
        <v>50</v>
      </c>
      <c r="I8" s="225">
        <f t="shared" si="3"/>
        <v>0</v>
      </c>
      <c r="J8" s="20">
        <f>IF(K8="","",'choose m.p. (endogenous policy)'!G7/100)</f>
        <v>5.0000000000000001E-3</v>
      </c>
      <c r="K8" s="20">
        <f>IF('choose m.p.'!I7="","",'choose m.p. (endogenous policy)'!I7/100)</f>
        <v>0</v>
      </c>
      <c r="L8" s="28">
        <f>IF(K8="","",'choose m.p. (endogenous policy)'!H7/100)</f>
        <v>-5.0000000000000001E-3</v>
      </c>
      <c r="M8" s="20"/>
      <c r="AEA8" s="9">
        <f t="shared" si="0"/>
        <v>59.069062500000001</v>
      </c>
      <c r="AEB8" s="9">
        <f t="shared" si="1"/>
        <v>0.177878125</v>
      </c>
    </row>
    <row r="9" spans="1:808" ht="14" thickTop="1" thickBot="1">
      <c r="A9" s="18">
        <v>6</v>
      </c>
      <c r="B9" s="20">
        <f>IF(F9="","",('choose m.p.'!D8-'choose m.p.'!B8)/'choose m.p.'!B8)</f>
        <v>0.2668171875</v>
      </c>
      <c r="C9" s="21">
        <f>IF(F9="","",'choose m.p.'!D8)</f>
        <v>63.340859375000001</v>
      </c>
      <c r="D9" s="27">
        <f t="shared" si="2"/>
        <v>7.2318684167367531E-2</v>
      </c>
      <c r="E9" s="20">
        <f>IF(F9="","",'choose m.p.'!G8/100)</f>
        <v>0.31128671875000002</v>
      </c>
      <c r="F9" s="28">
        <f>IF('choose m.p.'!I8="","",'choose m.p.'!I8/100)</f>
        <v>0.02</v>
      </c>
      <c r="G9" s="20">
        <f>IF(F9="","",'choose m.p.'!H8/100)</f>
        <v>-0.29128671875000001</v>
      </c>
      <c r="H9" s="21">
        <f>IF(K9="","",'choose m.p. (endogenous policy)'!D8)</f>
        <v>51.875</v>
      </c>
      <c r="I9" s="225">
        <f t="shared" si="3"/>
        <v>3.7500000000000089E-2</v>
      </c>
      <c r="J9" s="20">
        <f>IF(K9="","",'choose m.p. (endogenous policy)'!G8/100)</f>
        <v>2.375E-2</v>
      </c>
      <c r="K9" s="20">
        <f>IF('choose m.p.'!I8="","",'choose m.p. (endogenous policy)'!I8/100)</f>
        <v>4.697373796582472E-2</v>
      </c>
      <c r="L9" s="28">
        <f>IF(K9="","",'choose m.p. (endogenous policy)'!H8/100)</f>
        <v>2.3223737965824717E-2</v>
      </c>
      <c r="M9" s="20"/>
      <c r="AEA9" s="9">
        <f t="shared" si="0"/>
        <v>63.340859375000001</v>
      </c>
      <c r="AEB9" s="9">
        <f t="shared" si="1"/>
        <v>0.31128671875000002</v>
      </c>
    </row>
    <row r="10" spans="1:808" ht="14" thickTop="1" thickBot="1">
      <c r="A10" s="18">
        <v>7</v>
      </c>
      <c r="B10" s="20">
        <f>IF(F10="","",('choose m.p.'!D9-'choose m.p.'!B9)/'choose m.p.'!B9)</f>
        <v>0.46693007812500015</v>
      </c>
      <c r="C10" s="21">
        <f>IF(F10="","",'choose m.p.'!D9)</f>
        <v>73.346503906250007</v>
      </c>
      <c r="D10" s="27">
        <f t="shared" si="2"/>
        <v>0.15796508967478795</v>
      </c>
      <c r="E10" s="20">
        <f>IF(F10="","",'choose m.p.'!G9/100)</f>
        <v>0.54475175781250007</v>
      </c>
      <c r="F10" s="28">
        <f>IF('choose m.p.'!I9="","",'choose m.p.'!I9/100)</f>
        <v>0.02</v>
      </c>
      <c r="G10" s="20">
        <f>IF(F10="","",'choose m.p.'!H9/100)</f>
        <v>-0.52475175781250005</v>
      </c>
      <c r="H10" s="21">
        <f>IF(K10="","",'choose m.p. (endogenous policy)'!D9)</f>
        <v>49.758219652563149</v>
      </c>
      <c r="I10" s="225">
        <f t="shared" si="3"/>
        <v>-4.0805404287939329E-2</v>
      </c>
      <c r="J10" s="20">
        <f>IF(K10="","",'choose m.p. (endogenous policy)'!G9/100)</f>
        <v>2.1332196525631487E-2</v>
      </c>
      <c r="K10" s="20">
        <f>IF('choose m.p.'!I9="","",'choose m.p. (endogenous policy)'!I9/100)</f>
        <v>4.2477437196996294E-2</v>
      </c>
      <c r="L10" s="28">
        <f>IF(K10="","",'choose m.p. (endogenous policy)'!H9/100)</f>
        <v>2.1145240671364807E-2</v>
      </c>
      <c r="M10" s="20"/>
      <c r="AEA10" s="9">
        <f t="shared" si="0"/>
        <v>73.346503906250007</v>
      </c>
      <c r="AEB10" s="9">
        <f t="shared" si="1"/>
        <v>0.54475175781250007</v>
      </c>
    </row>
    <row r="11" spans="1:808" ht="14" thickTop="1" thickBot="1">
      <c r="A11" s="18">
        <v>8</v>
      </c>
      <c r="B11" s="20">
        <f>IF(F11="","",('choose m.p.'!D10-'choose m.p.'!B10)/'choose m.p.'!B10)</f>
        <v>0.81712763671874999</v>
      </c>
      <c r="C11" s="21">
        <f>IF(F11="","",'choose m.p.'!D10)</f>
        <v>90.856381835937498</v>
      </c>
      <c r="D11" s="27">
        <f t="shared" si="2"/>
        <v>0.23872818740029178</v>
      </c>
      <c r="E11" s="20">
        <f>IF(F11="","",'choose m.p.'!G10/100)</f>
        <v>0.95331557617187512</v>
      </c>
      <c r="F11" s="28">
        <f>IF('choose m.p.'!I10="","",'choose m.p.'!I10/100)</f>
        <v>0.02</v>
      </c>
      <c r="G11" s="20">
        <f>IF(F11="","",'choose m.p.'!H10/100)</f>
        <v>-0.93331557617187511</v>
      </c>
      <c r="H11" s="21">
        <f>IF(K11="","",'choose m.p. (endogenous policy)'!D10)</f>
        <v>49.914106949647639</v>
      </c>
      <c r="I11" s="225">
        <f t="shared" si="3"/>
        <v>3.1328953924190106E-3</v>
      </c>
      <c r="J11" s="20">
        <f>IF(K11="","",'choose m.p. (endogenous policy)'!G10/100)</f>
        <v>2.0473266022107878E-2</v>
      </c>
      <c r="K11" s="20">
        <f>IF('choose m.p.'!I10="","",'choose m.p. (endogenous policy)'!I10/100)</f>
        <v>4.088011552701562E-2</v>
      </c>
      <c r="L11" s="28">
        <f>IF(K11="","",'choose m.p. (endogenous policy)'!H10/100)</f>
        <v>2.0406849504907738E-2</v>
      </c>
      <c r="M11" s="20"/>
      <c r="AEA11" s="9">
        <f t="shared" si="0"/>
        <v>90.856381835937498</v>
      </c>
      <c r="AEB11" s="9">
        <f t="shared" si="1"/>
        <v>0.95331557617187512</v>
      </c>
    </row>
    <row r="12" spans="1:808" ht="14" thickTop="1" thickBot="1">
      <c r="A12" s="18">
        <v>9</v>
      </c>
      <c r="B12" s="20" t="str">
        <f>IF(F12="","",('choose m.p.'!D11-'choose m.p.'!B11)/'choose m.p.'!B11)</f>
        <v/>
      </c>
      <c r="C12" s="21" t="str">
        <f>IF(F12="","",'choose m.p.'!D11)</f>
        <v/>
      </c>
      <c r="D12" s="27" t="str">
        <f t="shared" si="2"/>
        <v/>
      </c>
      <c r="E12" s="20" t="str">
        <f>IF(F12="","",'choose m.p.'!G11/100)</f>
        <v/>
      </c>
      <c r="F12" s="28" t="str">
        <f>IF('choose m.p.'!I11="","",'choose m.p.'!I11/100)</f>
        <v/>
      </c>
      <c r="G12" s="20" t="str">
        <f>IF(F12="","",'choose m.p.'!H11/100)</f>
        <v/>
      </c>
      <c r="H12" s="21" t="str">
        <f>IF(K12="","",'choose m.p. (endogenous policy)'!D11)</f>
        <v/>
      </c>
      <c r="I12" s="225" t="str">
        <f t="shared" si="3"/>
        <v/>
      </c>
      <c r="J12" s="20" t="str">
        <f>IF(K12="","",'choose m.p. (endogenous policy)'!G11/100)</f>
        <v/>
      </c>
      <c r="K12" s="20" t="str">
        <f>IF('choose m.p.'!I11="","",'choose m.p. (endogenous policy)'!I11/100)</f>
        <v/>
      </c>
      <c r="L12" s="28" t="str">
        <f>IF(K12="","",'choose m.p. (endogenous policy)'!H11/100)</f>
        <v/>
      </c>
      <c r="M12" s="20"/>
      <c r="AEA12" s="9" t="str">
        <f t="shared" si="0"/>
        <v/>
      </c>
      <c r="AEB12" s="9" t="str">
        <f t="shared" si="1"/>
        <v/>
      </c>
    </row>
    <row r="13" spans="1:808" ht="14" thickTop="1" thickBot="1">
      <c r="A13" s="18">
        <v>10</v>
      </c>
      <c r="B13" s="20" t="str">
        <f>IF(F13="","",('choose m.p.'!D12-'choose m.p.'!B12)/'choose m.p.'!B12)</f>
        <v/>
      </c>
      <c r="C13" s="21" t="str">
        <f>IF(F13="","",'choose m.p.'!D12)</f>
        <v/>
      </c>
      <c r="D13" s="27" t="str">
        <f t="shared" si="2"/>
        <v/>
      </c>
      <c r="E13" s="20" t="str">
        <f>IF(F13="","",'choose m.p.'!G12/100)</f>
        <v/>
      </c>
      <c r="F13" s="28" t="str">
        <f>IF('choose m.p.'!I12="","",'choose m.p.'!I12/100)</f>
        <v/>
      </c>
      <c r="G13" s="20" t="str">
        <f>IF(F13="","",'choose m.p.'!H12/100)</f>
        <v/>
      </c>
      <c r="H13" s="21" t="str">
        <f>IF(K13="","",'choose m.p. (endogenous policy)'!D12)</f>
        <v/>
      </c>
      <c r="I13" s="225" t="str">
        <f t="shared" si="3"/>
        <v/>
      </c>
      <c r="J13" s="20" t="str">
        <f>IF(K13="","",'choose m.p. (endogenous policy)'!G12/100)</f>
        <v/>
      </c>
      <c r="K13" s="20" t="str">
        <f>IF('choose m.p.'!I12="","",'choose m.p. (endogenous policy)'!I12/100)</f>
        <v/>
      </c>
      <c r="L13" s="28" t="str">
        <f>IF(K13="","",'choose m.p. (endogenous policy)'!H12/100)</f>
        <v/>
      </c>
      <c r="M13" s="20"/>
      <c r="AEA13" s="9" t="str">
        <f t="shared" si="0"/>
        <v/>
      </c>
      <c r="AEB13" s="9" t="str">
        <f t="shared" si="1"/>
        <v/>
      </c>
    </row>
    <row r="14" spans="1:808" ht="14" thickTop="1" thickBot="1">
      <c r="A14" s="18">
        <v>11</v>
      </c>
      <c r="B14" s="20" t="str">
        <f>IF(F14="","",('choose m.p.'!D13-'choose m.p.'!B13)/'choose m.p.'!B13)</f>
        <v/>
      </c>
      <c r="C14" s="21" t="str">
        <f>IF(F14="","",'choose m.p.'!D13)</f>
        <v/>
      </c>
      <c r="D14" s="27" t="str">
        <f t="shared" si="2"/>
        <v/>
      </c>
      <c r="E14" s="20" t="str">
        <f>IF(F14="","",'choose m.p.'!G13/100)</f>
        <v/>
      </c>
      <c r="F14" s="28" t="str">
        <f>IF('choose m.p.'!I13="","",'choose m.p.'!I13/100)</f>
        <v/>
      </c>
      <c r="G14" s="20" t="str">
        <f>IF(F14="","",'choose m.p.'!H13/100)</f>
        <v/>
      </c>
      <c r="H14" s="21" t="str">
        <f>IF(K14="","",'choose m.p. (endogenous policy)'!D13)</f>
        <v/>
      </c>
      <c r="I14" s="225" t="str">
        <f t="shared" si="3"/>
        <v/>
      </c>
      <c r="J14" s="20" t="str">
        <f>IF(K14="","",'choose m.p. (endogenous policy)'!G13/100)</f>
        <v/>
      </c>
      <c r="K14" s="20" t="str">
        <f>IF('choose m.p.'!I13="","",'choose m.p. (endogenous policy)'!I13/100)</f>
        <v/>
      </c>
      <c r="L14" s="28" t="str">
        <f>IF(K14="","",'choose m.p. (endogenous policy)'!H13/100)</f>
        <v/>
      </c>
      <c r="M14" s="20"/>
      <c r="AEA14" s="9" t="str">
        <f t="shared" si="0"/>
        <v/>
      </c>
      <c r="AEB14" s="9" t="str">
        <f t="shared" si="1"/>
        <v/>
      </c>
    </row>
    <row r="15" spans="1:808" ht="14" thickTop="1" thickBot="1">
      <c r="A15" s="18">
        <v>12</v>
      </c>
      <c r="B15" s="20" t="str">
        <f>IF(F15="","",('choose m.p.'!D14-'choose m.p.'!B14)/'choose m.p.'!B14)</f>
        <v/>
      </c>
      <c r="C15" s="21" t="str">
        <f>IF(F15="","",'choose m.p.'!D14)</f>
        <v/>
      </c>
      <c r="D15" s="27" t="str">
        <f t="shared" si="2"/>
        <v/>
      </c>
      <c r="E15" s="20" t="str">
        <f>IF(F15="","",'choose m.p.'!G14/100)</f>
        <v/>
      </c>
      <c r="F15" s="28" t="str">
        <f>IF('choose m.p.'!I14="","",'choose m.p.'!I14/100)</f>
        <v/>
      </c>
      <c r="G15" s="20" t="str">
        <f>IF(F15="","",'choose m.p.'!H14/100)</f>
        <v/>
      </c>
      <c r="H15" s="21" t="str">
        <f>IF(K15="","",'choose m.p. (endogenous policy)'!D14)</f>
        <v/>
      </c>
      <c r="I15" s="225" t="str">
        <f t="shared" si="3"/>
        <v/>
      </c>
      <c r="J15" s="20" t="str">
        <f>IF(K15="","",'choose m.p. (endogenous policy)'!G14/100)</f>
        <v/>
      </c>
      <c r="K15" s="20" t="str">
        <f>IF('choose m.p.'!I14="","",'choose m.p. (endogenous policy)'!I14/100)</f>
        <v/>
      </c>
      <c r="L15" s="28" t="str">
        <f>IF(K15="","",'choose m.p. (endogenous policy)'!H14/100)</f>
        <v/>
      </c>
      <c r="M15" s="20"/>
      <c r="AEA15" s="9" t="str">
        <f t="shared" si="0"/>
        <v/>
      </c>
      <c r="AEB15" s="9" t="str">
        <f t="shared" si="1"/>
        <v/>
      </c>
    </row>
    <row r="16" spans="1:808" ht="14" thickTop="1" thickBot="1">
      <c r="A16" s="18">
        <v>13</v>
      </c>
      <c r="B16" s="20" t="str">
        <f>IF(F16="","",('choose m.p.'!D15-'choose m.p.'!B15)/'choose m.p.'!B15)</f>
        <v/>
      </c>
      <c r="C16" s="21" t="str">
        <f>IF(F16="","",'choose m.p.'!D15)</f>
        <v/>
      </c>
      <c r="D16" s="27" t="str">
        <f t="shared" si="2"/>
        <v/>
      </c>
      <c r="E16" s="20" t="str">
        <f>IF(F16="","",'choose m.p.'!G15/100)</f>
        <v/>
      </c>
      <c r="F16" s="28" t="str">
        <f>IF('choose m.p.'!I15="","",'choose m.p.'!I15/100)</f>
        <v/>
      </c>
      <c r="G16" s="20" t="str">
        <f>IF(F16="","",'choose m.p.'!H15/100)</f>
        <v/>
      </c>
      <c r="H16" s="21" t="str">
        <f>IF(K16="","",'choose m.p. (endogenous policy)'!D15)</f>
        <v/>
      </c>
      <c r="I16" s="225" t="str">
        <f t="shared" si="3"/>
        <v/>
      </c>
      <c r="J16" s="20" t="str">
        <f>IF(K16="","",'choose m.p. (endogenous policy)'!G15/100)</f>
        <v/>
      </c>
      <c r="K16" s="20" t="str">
        <f>IF('choose m.p.'!I15="","",'choose m.p. (endogenous policy)'!I15/100)</f>
        <v/>
      </c>
      <c r="L16" s="28" t="str">
        <f>IF(K16="","",'choose m.p. (endogenous policy)'!H15/100)</f>
        <v/>
      </c>
      <c r="M16" s="20"/>
      <c r="AEA16" s="9" t="str">
        <f t="shared" si="0"/>
        <v/>
      </c>
      <c r="AEB16" s="9" t="str">
        <f t="shared" si="1"/>
        <v/>
      </c>
    </row>
    <row r="17" spans="1:808" ht="14" thickTop="1" thickBot="1">
      <c r="A17" s="18">
        <v>14</v>
      </c>
      <c r="B17" s="20" t="str">
        <f>IF(F17="","",('choose m.p.'!D16-'choose m.p.'!B16)/'choose m.p.'!B16)</f>
        <v/>
      </c>
      <c r="C17" s="21" t="str">
        <f>IF(F17="","",'choose m.p.'!D16)</f>
        <v/>
      </c>
      <c r="D17" s="27" t="str">
        <f t="shared" si="2"/>
        <v/>
      </c>
      <c r="E17" s="20" t="str">
        <f>IF(F17="","",'choose m.p.'!G16/100)</f>
        <v/>
      </c>
      <c r="F17" s="28" t="str">
        <f>IF('choose m.p.'!I16="","",'choose m.p.'!I16/100)</f>
        <v/>
      </c>
      <c r="G17" s="20" t="str">
        <f>IF(F17="","",'choose m.p.'!H16/100)</f>
        <v/>
      </c>
      <c r="H17" s="21" t="str">
        <f>IF(K17="","",'choose m.p. (endogenous policy)'!D16)</f>
        <v/>
      </c>
      <c r="I17" s="225" t="str">
        <f t="shared" si="3"/>
        <v/>
      </c>
      <c r="J17" s="20" t="str">
        <f>IF(K17="","",'choose m.p. (endogenous policy)'!G16/100)</f>
        <v/>
      </c>
      <c r="K17" s="20" t="str">
        <f>IF('choose m.p.'!I16="","",'choose m.p. (endogenous policy)'!I16/100)</f>
        <v/>
      </c>
      <c r="L17" s="28" t="str">
        <f>IF(K17="","",'choose m.p. (endogenous policy)'!H16/100)</f>
        <v/>
      </c>
      <c r="M17" s="20"/>
      <c r="AEA17" s="9" t="str">
        <f t="shared" si="0"/>
        <v/>
      </c>
      <c r="AEB17" s="9" t="str">
        <f t="shared" si="1"/>
        <v/>
      </c>
    </row>
    <row r="18" spans="1:808" ht="14" thickTop="1" thickBot="1">
      <c r="A18" s="18">
        <v>15</v>
      </c>
      <c r="B18" s="20" t="str">
        <f>IF(F18="","",('choose m.p.'!D17-'choose m.p.'!B17)/'choose m.p.'!B17)</f>
        <v/>
      </c>
      <c r="C18" s="21" t="str">
        <f>IF(F18="","",'choose m.p.'!D17)</f>
        <v/>
      </c>
      <c r="D18" s="27" t="str">
        <f t="shared" si="2"/>
        <v/>
      </c>
      <c r="E18" s="20" t="str">
        <f>IF(F18="","",'choose m.p.'!G17/100)</f>
        <v/>
      </c>
      <c r="F18" s="28" t="str">
        <f>IF('choose m.p.'!I17="","",'choose m.p.'!I17/100)</f>
        <v/>
      </c>
      <c r="G18" s="20" t="str">
        <f>IF(F18="","",'choose m.p.'!H17/100)</f>
        <v/>
      </c>
      <c r="H18" s="21" t="str">
        <f>IF(K18="","",'choose m.p. (endogenous policy)'!D17)</f>
        <v/>
      </c>
      <c r="I18" s="225" t="str">
        <f t="shared" si="3"/>
        <v/>
      </c>
      <c r="J18" s="20" t="str">
        <f>IF(K18="","",'choose m.p. (endogenous policy)'!G17/100)</f>
        <v/>
      </c>
      <c r="K18" s="20" t="str">
        <f>IF('choose m.p.'!I17="","",'choose m.p. (endogenous policy)'!I17/100)</f>
        <v/>
      </c>
      <c r="L18" s="28" t="str">
        <f>IF(K18="","",'choose m.p. (endogenous policy)'!H17/100)</f>
        <v/>
      </c>
      <c r="M18" s="20"/>
      <c r="AEA18" s="9" t="str">
        <f t="shared" si="0"/>
        <v/>
      </c>
      <c r="AEB18" s="9" t="str">
        <f t="shared" si="1"/>
        <v/>
      </c>
    </row>
    <row r="19" spans="1:808" ht="14" thickTop="1" thickBot="1">
      <c r="A19" s="18">
        <v>16</v>
      </c>
      <c r="B19" s="20" t="str">
        <f>IF(F19="","",('choose m.p.'!D18-'choose m.p.'!B18)/'choose m.p.'!B18)</f>
        <v/>
      </c>
      <c r="C19" s="21" t="str">
        <f>IF(F19="","",'choose m.p.'!D18)</f>
        <v/>
      </c>
      <c r="D19" s="27" t="str">
        <f t="shared" si="2"/>
        <v/>
      </c>
      <c r="E19" s="20" t="str">
        <f>IF(F19="","",'choose m.p.'!G18/100)</f>
        <v/>
      </c>
      <c r="F19" s="28" t="str">
        <f>IF('choose m.p.'!I18="","",'choose m.p.'!I18/100)</f>
        <v/>
      </c>
      <c r="G19" s="20" t="str">
        <f>IF(F19="","",'choose m.p.'!H18/100)</f>
        <v/>
      </c>
      <c r="H19" s="21" t="str">
        <f>IF(K19="","",'choose m.p. (endogenous policy)'!D18)</f>
        <v/>
      </c>
      <c r="I19" s="225" t="str">
        <f t="shared" si="3"/>
        <v/>
      </c>
      <c r="J19" s="20" t="str">
        <f>IF(K19="","",'choose m.p. (endogenous policy)'!G18/100)</f>
        <v/>
      </c>
      <c r="K19" s="20" t="str">
        <f>IF('choose m.p.'!I18="","",'choose m.p. (endogenous policy)'!I18/100)</f>
        <v/>
      </c>
      <c r="L19" s="28" t="str">
        <f>IF(K19="","",'choose m.p. (endogenous policy)'!H18/100)</f>
        <v/>
      </c>
      <c r="M19" s="20"/>
      <c r="AEA19" s="9" t="str">
        <f>IF(E19="","",IF(E19&gt;100,0,C19))</f>
        <v/>
      </c>
      <c r="AEB19" s="9" t="str">
        <f t="shared" si="1"/>
        <v/>
      </c>
    </row>
    <row r="20" spans="1:808" ht="14" thickTop="1" thickBot="1">
      <c r="A20" s="18">
        <v>17</v>
      </c>
      <c r="B20" s="20" t="str">
        <f>IF(F20="","",('choose m.p.'!D19-'choose m.p.'!B19)/'choose m.p.'!B19)</f>
        <v/>
      </c>
      <c r="C20" s="21" t="str">
        <f>IF(F20="","",'choose m.p.'!D19)</f>
        <v/>
      </c>
      <c r="D20" s="27" t="str">
        <f t="shared" si="2"/>
        <v/>
      </c>
      <c r="E20" s="20" t="str">
        <f>IF(F20="","",'choose m.p.'!G19/100)</f>
        <v/>
      </c>
      <c r="F20" s="28" t="str">
        <f>IF('choose m.p.'!I19="","",'choose m.p.'!I19/100)</f>
        <v/>
      </c>
      <c r="G20" s="20" t="str">
        <f>IF(F20="","",'choose m.p.'!H19/100)</f>
        <v/>
      </c>
      <c r="H20" s="21" t="str">
        <f>IF(K20="","",'choose m.p. (endogenous policy)'!D19)</f>
        <v/>
      </c>
      <c r="I20" s="225" t="str">
        <f t="shared" si="3"/>
        <v/>
      </c>
      <c r="J20" s="20" t="str">
        <f>IF(K20="","",'choose m.p. (endogenous policy)'!G19/100)</f>
        <v/>
      </c>
      <c r="K20" s="20" t="str">
        <f>IF('choose m.p.'!I19="","",'choose m.p. (endogenous policy)'!I19/100)</f>
        <v/>
      </c>
      <c r="L20" s="28" t="str">
        <f>IF(K20="","",'choose m.p. (endogenous policy)'!H19/100)</f>
        <v/>
      </c>
      <c r="M20" s="20"/>
      <c r="AEA20" s="9" t="str">
        <f t="shared" si="0"/>
        <v/>
      </c>
      <c r="AEB20" s="9" t="str">
        <f t="shared" si="1"/>
        <v/>
      </c>
    </row>
    <row r="21" spans="1:808" ht="14" thickTop="1" thickBot="1">
      <c r="A21" s="18">
        <v>18</v>
      </c>
      <c r="B21" s="20" t="str">
        <f>IF(F21="","",('choose m.p.'!D20-'choose m.p.'!B20)/'choose m.p.'!B20)</f>
        <v/>
      </c>
      <c r="C21" s="21" t="str">
        <f>IF(F21="","",'choose m.p.'!D20)</f>
        <v/>
      </c>
      <c r="D21" s="27" t="str">
        <f t="shared" si="2"/>
        <v/>
      </c>
      <c r="E21" s="20" t="str">
        <f>IF(F21="","",'choose m.p.'!G20/100)</f>
        <v/>
      </c>
      <c r="F21" s="28" t="str">
        <f>IF('choose m.p.'!I20="","",'choose m.p.'!I20/100)</f>
        <v/>
      </c>
      <c r="G21" s="20" t="str">
        <f>IF(F21="","",'choose m.p.'!H20/100)</f>
        <v/>
      </c>
      <c r="H21" s="21" t="str">
        <f>IF(K21="","",'choose m.p. (endogenous policy)'!D20)</f>
        <v/>
      </c>
      <c r="I21" s="225" t="str">
        <f t="shared" si="3"/>
        <v/>
      </c>
      <c r="J21" s="20" t="str">
        <f>IF(K21="","",'choose m.p. (endogenous policy)'!G20/100)</f>
        <v/>
      </c>
      <c r="K21" s="20" t="str">
        <f>IF('choose m.p.'!I20="","",'choose m.p. (endogenous policy)'!I20/100)</f>
        <v/>
      </c>
      <c r="L21" s="28" t="str">
        <f>IF(K21="","",'choose m.p. (endogenous policy)'!H20/100)</f>
        <v/>
      </c>
      <c r="M21" s="20"/>
      <c r="AEA21" s="9" t="str">
        <f t="shared" si="0"/>
        <v/>
      </c>
      <c r="AEB21" s="9" t="str">
        <f t="shared" si="1"/>
        <v/>
      </c>
    </row>
    <row r="22" spans="1:808" ht="14" thickTop="1" thickBot="1">
      <c r="A22" s="18">
        <v>19</v>
      </c>
      <c r="B22" s="20" t="str">
        <f>IF(F22="","",('choose m.p.'!D21-'choose m.p.'!B21)/'choose m.p.'!B21)</f>
        <v/>
      </c>
      <c r="C22" s="21" t="str">
        <f>IF(F22="","",'choose m.p.'!D21)</f>
        <v/>
      </c>
      <c r="D22" s="27" t="str">
        <f t="shared" si="2"/>
        <v/>
      </c>
      <c r="E22" s="20" t="str">
        <f>IF(F22="","",'choose m.p.'!G21/100)</f>
        <v/>
      </c>
      <c r="F22" s="28" t="str">
        <f>IF('choose m.p.'!I21="","",'choose m.p.'!I21/100)</f>
        <v/>
      </c>
      <c r="G22" s="20" t="str">
        <f>IF(F22="","",'choose m.p.'!H21/100)</f>
        <v/>
      </c>
      <c r="H22" s="21" t="str">
        <f>IF(K22="","",'choose m.p. (endogenous policy)'!D21)</f>
        <v/>
      </c>
      <c r="I22" s="225" t="str">
        <f t="shared" si="3"/>
        <v/>
      </c>
      <c r="J22" s="20" t="str">
        <f>IF(K22="","",'choose m.p. (endogenous policy)'!G21/100)</f>
        <v/>
      </c>
      <c r="K22" s="20" t="str">
        <f>IF('choose m.p.'!I21="","",'choose m.p. (endogenous policy)'!I21/100)</f>
        <v/>
      </c>
      <c r="L22" s="28" t="str">
        <f>IF(K22="","",'choose m.p. (endogenous policy)'!H21/100)</f>
        <v/>
      </c>
      <c r="M22" s="20"/>
      <c r="AEA22" s="9" t="str">
        <f t="shared" si="0"/>
        <v/>
      </c>
      <c r="AEB22" s="9" t="str">
        <f t="shared" si="1"/>
        <v/>
      </c>
    </row>
    <row r="23" spans="1:808" ht="14" thickTop="1" thickBot="1">
      <c r="A23" s="18">
        <v>20</v>
      </c>
      <c r="B23" s="20" t="str">
        <f>IF(F23="","",('choose m.p.'!D22-'choose m.p.'!B22)/'choose m.p.'!B22)</f>
        <v/>
      </c>
      <c r="C23" s="21" t="str">
        <f>IF(F23="","",'choose m.p.'!D22)</f>
        <v/>
      </c>
      <c r="D23" s="27" t="str">
        <f t="shared" si="2"/>
        <v/>
      </c>
      <c r="E23" s="20" t="str">
        <f>IF(F23="","",'choose m.p.'!G22/100)</f>
        <v/>
      </c>
      <c r="F23" s="28" t="str">
        <f>IF('choose m.p.'!I22="","",'choose m.p.'!I22/100)</f>
        <v/>
      </c>
      <c r="G23" s="20" t="str">
        <f>IF(F23="","",'choose m.p.'!H22/100)</f>
        <v/>
      </c>
      <c r="H23" s="21" t="str">
        <f>IF(K23="","",'choose m.p. (endogenous policy)'!D22)</f>
        <v/>
      </c>
      <c r="I23" s="225" t="str">
        <f t="shared" si="3"/>
        <v/>
      </c>
      <c r="J23" s="20" t="str">
        <f>IF(K23="","",'choose m.p. (endogenous policy)'!G22/100)</f>
        <v/>
      </c>
      <c r="K23" s="20" t="str">
        <f>IF('choose m.p.'!I22="","",'choose m.p. (endogenous policy)'!I22/100)</f>
        <v/>
      </c>
      <c r="L23" s="28" t="str">
        <f>IF(K23="","",'choose m.p. (endogenous policy)'!H22/100)</f>
        <v/>
      </c>
      <c r="M23" s="20"/>
      <c r="AEA23" s="9" t="str">
        <f t="shared" si="0"/>
        <v/>
      </c>
      <c r="AEB23" s="9" t="str">
        <f t="shared" si="1"/>
        <v/>
      </c>
    </row>
    <row r="24" spans="1:808" ht="13.5" thickTop="1">
      <c r="E24" s="219"/>
      <c r="F24" s="220"/>
    </row>
    <row r="25" spans="1:808">
      <c r="C25" s="400">
        <f>SUM(C26:C44)</f>
        <v>93.331557617187514</v>
      </c>
      <c r="D25" s="401" t="s">
        <v>199</v>
      </c>
      <c r="E25" s="402">
        <f>SUM(E26:E44)</f>
        <v>205.06696777343751</v>
      </c>
      <c r="F25" s="403"/>
      <c r="H25" s="407">
        <f>SUM(H26:H44)</f>
        <v>4.7326602210787883E-2</v>
      </c>
      <c r="I25" s="408"/>
      <c r="J25" s="409">
        <f>SUM(J27:J44)</f>
        <v>-0.94445374522606329</v>
      </c>
      <c r="K25" s="408"/>
      <c r="L25" s="408"/>
    </row>
    <row r="26" spans="1:808">
      <c r="C26" s="404">
        <f>IF(E4="","",(AEA4-'choose m.p.'!B3))</f>
        <v>0</v>
      </c>
      <c r="D26" s="390">
        <f>IF('choose m.p.'!L3="",IF('choose m.p.'!M3="",'beta estimation(inputs)'!C26,""),"")</f>
        <v>0</v>
      </c>
      <c r="E26" s="405">
        <f>IF(E4="","",(AEB4*100-'input own m.p.'!$K$16)*'input own m.p.'!$K$10)</f>
        <v>0</v>
      </c>
      <c r="F26" s="391">
        <f>IF('choose m.p.'!L3="",IF('choose m.p.'!M3="",'beta estimation(inputs)'!E26,""),"")</f>
        <v>0</v>
      </c>
      <c r="H26" s="408">
        <f>IF(E4="","",('choose m.p. (endogenous policy)'!D3-'choose m.p. (endogenous policy)'!B3))</f>
        <v>0</v>
      </c>
      <c r="I26" s="408">
        <f>IF('choose m.p.'!L3="",IF('choose m.p.'!M3="",'beta estimation(inputs)'!H26,""),"")</f>
        <v>0</v>
      </c>
      <c r="J26" s="409">
        <f>IF(E4="","",(J4*100-'input own m.p.'!$K$16))</f>
        <v>0</v>
      </c>
      <c r="K26" s="408">
        <f>J26*'input own m.p.'!$K$10</f>
        <v>0</v>
      </c>
      <c r="L26" s="408">
        <f>IF('choose m.p.'!L3="",IF('choose m.p.'!M3="",'beta estimation(inputs)'!K26,""),"")</f>
        <v>0</v>
      </c>
    </row>
    <row r="27" spans="1:808">
      <c r="C27" s="404">
        <f>IF(E5="","",(AEA5-'choose m.p.'!B4))</f>
        <v>1.5</v>
      </c>
      <c r="D27" s="390">
        <f>IF('choose m.p.'!L4="",IF('choose m.p.'!M4="",'beta estimation(inputs)'!C27,""),"")</f>
        <v>1.5</v>
      </c>
      <c r="E27" s="405">
        <f>IF(E5="","",(AEB5*100-'input own m.p.'!$K$16)*'input own m.p.'!$K$10)</f>
        <v>1.5000000000000004</v>
      </c>
      <c r="F27" s="391">
        <f>IF('choose m.p.'!L4="",IF('choose m.p.'!M4="",'beta estimation(inputs)'!E27,""),"")</f>
        <v>1.5000000000000004</v>
      </c>
      <c r="H27" s="408">
        <f>IF(E5="","",('choose m.p. (endogenous policy)'!D4-'choose m.p. (endogenous policy)'!B4))</f>
        <v>0</v>
      </c>
      <c r="I27" s="408">
        <f>IF('choose m.p.'!L4="",IF('choose m.p.'!M4="",'beta estimation(inputs)'!H27,""),"")</f>
        <v>0</v>
      </c>
      <c r="J27" s="409">
        <f>IF(E5="","",(J5*100-'input own m.p.'!$K$16))</f>
        <v>0</v>
      </c>
      <c r="K27" s="408">
        <f>J27*'input own m.p.'!$K$10</f>
        <v>0</v>
      </c>
      <c r="L27" s="408">
        <f>IF('choose m.p.'!L4="",IF('choose m.p.'!M4="",'beta estimation(inputs)'!K27,""),"")</f>
        <v>0</v>
      </c>
    </row>
    <row r="28" spans="1:808">
      <c r="C28" s="404">
        <f>IF(E6="","",(AEA6-'choose m.p.'!B5))</f>
        <v>2.625</v>
      </c>
      <c r="D28" s="390" t="str">
        <f>IF('choose m.p.'!L5="",IF('choose m.p.'!M5="",'beta estimation(inputs)'!C28,""),"")</f>
        <v/>
      </c>
      <c r="E28" s="405">
        <f>IF(E6="","",(AEB6*100-'input own m.p.'!$K$16)*'input own m.p.'!$K$10)</f>
        <v>4.125</v>
      </c>
      <c r="F28" s="391" t="str">
        <f>IF('choose m.p.'!L5="",IF('choose m.p.'!M5="",'beta estimation(inputs)'!E28,""),"")</f>
        <v/>
      </c>
      <c r="H28" s="408">
        <f>IF(E6="","",('choose m.p. (endogenous policy)'!D5-'choose m.p. (endogenous policy)'!B5))</f>
        <v>0</v>
      </c>
      <c r="I28" s="408" t="str">
        <f>IF('choose m.p.'!L5="",IF('choose m.p.'!M5="",'beta estimation(inputs)'!H28,""),"")</f>
        <v/>
      </c>
      <c r="J28" s="409">
        <f>IF(E6="","",(J6*100-'input own m.p.'!$K$16))</f>
        <v>0</v>
      </c>
      <c r="K28" s="408">
        <f>J28*'input own m.p.'!$K$10</f>
        <v>0</v>
      </c>
      <c r="L28" s="408" t="str">
        <f>IF('choose m.p.'!L5="",IF('choose m.p.'!M5="",'beta estimation(inputs)'!K28,""),"")</f>
        <v/>
      </c>
    </row>
    <row r="29" spans="1:808">
      <c r="C29" s="404">
        <f>IF(E7="","",(AEA7-'choose m.p.'!B6))</f>
        <v>4.59375</v>
      </c>
      <c r="D29" s="390">
        <f>IF('choose m.p.'!L6="",IF('choose m.p.'!M6="",'beta estimation(inputs)'!C29,""),"")</f>
        <v>4.59375</v>
      </c>
      <c r="E29" s="405">
        <f>IF(E7="","",(AEB7*100-'input own m.p.'!$K$16)*'input own m.p.'!$K$10)</f>
        <v>8.71875</v>
      </c>
      <c r="F29" s="391">
        <f>IF('choose m.p.'!L6="",IF('choose m.p.'!M6="",'beta estimation(inputs)'!E29,""),"")</f>
        <v>8.71875</v>
      </c>
      <c r="H29" s="408">
        <f>IF(E7="","",('choose m.p. (endogenous policy)'!D6-'choose m.p. (endogenous policy)'!B6))</f>
        <v>0</v>
      </c>
      <c r="I29" s="408">
        <f>IF('choose m.p.'!L6="",IF('choose m.p.'!M6="",'beta estimation(inputs)'!H29,""),"")</f>
        <v>0</v>
      </c>
      <c r="J29" s="409">
        <f>IF(E7="","",(J7*100-'input own m.p.'!$K$16))</f>
        <v>0</v>
      </c>
      <c r="K29" s="408">
        <f>J29*'input own m.p.'!$K$10</f>
        <v>0</v>
      </c>
      <c r="L29" s="408">
        <f>IF('choose m.p.'!L6="",IF('choose m.p.'!M6="",'beta estimation(inputs)'!K29,""),"")</f>
        <v>0</v>
      </c>
    </row>
    <row r="30" spans="1:808">
      <c r="C30" s="404">
        <f>IF(E8="","",(AEA8-'choose m.p.'!B7))</f>
        <v>7.0690625000000011</v>
      </c>
      <c r="D30" s="390" t="str">
        <f>IF('choose m.p.'!L7="",IF('choose m.p.'!M7="",'beta estimation(inputs)'!C30,""),"")</f>
        <v/>
      </c>
      <c r="E30" s="405">
        <f>IF(E8="","",(AEB8*100-'input own m.p.'!$K$16)*'input own m.p.'!$K$10)</f>
        <v>15.787812500000001</v>
      </c>
      <c r="F30" s="391" t="str">
        <f>IF('choose m.p.'!L7="",IF('choose m.p.'!M7="",'beta estimation(inputs)'!E30,""),"")</f>
        <v/>
      </c>
      <c r="H30" s="408">
        <f>IF(E8="","",('choose m.p. (endogenous policy)'!D7-'choose m.p. (endogenous policy)'!B7))</f>
        <v>-1.5</v>
      </c>
      <c r="I30" s="408" t="str">
        <f>IF('choose m.p.'!L7="",IF('choose m.p.'!M7="",'beta estimation(inputs)'!H30,""),"")</f>
        <v/>
      </c>
      <c r="J30" s="409">
        <f>IF(E8="","",(J8*100-'input own m.p.'!$K$16))</f>
        <v>-1.5</v>
      </c>
      <c r="K30" s="408">
        <f>J30*'input own m.p.'!$K$10</f>
        <v>-1.5</v>
      </c>
      <c r="L30" s="408" t="str">
        <f>IF('choose m.p.'!L7="",IF('choose m.p.'!M7="",'beta estimation(inputs)'!K30,""),"")</f>
        <v/>
      </c>
    </row>
    <row r="31" spans="1:808">
      <c r="C31" s="404">
        <f>IF(E9="","",(AEA9-'choose m.p.'!B8))</f>
        <v>13.340859375000001</v>
      </c>
      <c r="D31" s="390">
        <f>IF('choose m.p.'!L8="",IF('choose m.p.'!M8="",'beta estimation(inputs)'!C31,""),"")</f>
        <v>13.340859375000001</v>
      </c>
      <c r="E31" s="405">
        <f>IF(E9="","",(AEB9*100-'input own m.p.'!$K$16)*'input own m.p.'!$K$10)</f>
        <v>29.128671875000002</v>
      </c>
      <c r="F31" s="391">
        <f>IF('choose m.p.'!L8="",IF('choose m.p.'!M8="",'beta estimation(inputs)'!E31,""),"")</f>
        <v>29.128671875000002</v>
      </c>
      <c r="H31" s="408">
        <f>IF(E9="","",('choose m.p. (endogenous policy)'!D8-'choose m.p. (endogenous policy)'!B8))</f>
        <v>1.875</v>
      </c>
      <c r="I31" s="408">
        <f>IF('choose m.p.'!L8="",IF('choose m.p.'!M8="",'beta estimation(inputs)'!H31,""),"")</f>
        <v>1.875</v>
      </c>
      <c r="J31" s="409">
        <f>IF(E9="","",(J9*100-'input own m.p.'!$K$16))</f>
        <v>0.375</v>
      </c>
      <c r="K31" s="408">
        <f>J31*'input own m.p.'!$K$10</f>
        <v>0.375</v>
      </c>
      <c r="L31" s="408">
        <f>IF('choose m.p.'!L8="",IF('choose m.p.'!M8="",'beta estimation(inputs)'!K31,""),"")</f>
        <v>0.375</v>
      </c>
    </row>
    <row r="32" spans="1:808">
      <c r="C32" s="404">
        <f>IF(E10="","",(AEA10-'choose m.p.'!B9))</f>
        <v>23.346503906250007</v>
      </c>
      <c r="D32" s="390">
        <f>IF('choose m.p.'!L9="",IF('choose m.p.'!M9="",'beta estimation(inputs)'!C32,""),"")</f>
        <v>23.346503906250007</v>
      </c>
      <c r="E32" s="405">
        <f>IF(E10="","",(AEB10*100-'input own m.p.'!$K$16)*'input own m.p.'!$K$10)</f>
        <v>52.475175781250009</v>
      </c>
      <c r="F32" s="391">
        <f>IF('choose m.p.'!L9="",IF('choose m.p.'!M9="",'beta estimation(inputs)'!E32,""),"")</f>
        <v>52.475175781250009</v>
      </c>
      <c r="H32" s="408">
        <f>IF(E10="","",('choose m.p. (endogenous policy)'!D9-'choose m.p. (endogenous policy)'!B9))</f>
        <v>-0.24178034743685117</v>
      </c>
      <c r="I32" s="408">
        <f>IF('choose m.p.'!L9="",IF('choose m.p.'!M9="",'beta estimation(inputs)'!H32,""),"")</f>
        <v>-0.24178034743685117</v>
      </c>
      <c r="J32" s="409">
        <f>IF(E10="","",(J10*100-'input own m.p.'!$K$16))</f>
        <v>0.13321965256314883</v>
      </c>
      <c r="K32" s="408">
        <f>J32*'input own m.p.'!$K$10</f>
        <v>0.13321965256314883</v>
      </c>
      <c r="L32" s="408">
        <f>IF('choose m.p.'!L9="",IF('choose m.p.'!M9="",'beta estimation(inputs)'!K32,""),"")</f>
        <v>0.13321965256314883</v>
      </c>
    </row>
    <row r="33" spans="2:12">
      <c r="C33" s="404">
        <f>IF(E11="","",(AEA11-'choose m.p.'!B10))</f>
        <v>40.856381835937498</v>
      </c>
      <c r="D33" s="390" t="str">
        <f>IF('choose m.p.'!L10="",IF('choose m.p.'!M10="",'beta estimation(inputs)'!C33,""),"")</f>
        <v/>
      </c>
      <c r="E33" s="405">
        <f>IF(E11="","",(AEB11*100-'input own m.p.'!$K$16)*'input own m.p.'!$K$10)</f>
        <v>93.331557617187514</v>
      </c>
      <c r="F33" s="391" t="str">
        <f>IF('choose m.p.'!L10="",IF('choose m.p.'!M10="",'beta estimation(inputs)'!E33,""),"")</f>
        <v/>
      </c>
      <c r="H33" s="408">
        <f>IF(E11="","",('choose m.p. (endogenous policy)'!D10-'choose m.p. (endogenous policy)'!B10))</f>
        <v>-8.5893050352360945E-2</v>
      </c>
      <c r="I33" s="408" t="str">
        <f>IF('choose m.p.'!L10="",IF('choose m.p.'!M10="",'beta estimation(inputs)'!H33,""),"")</f>
        <v/>
      </c>
      <c r="J33" s="409">
        <f>IF(E11="","",(J11*100-'input own m.p.'!$K$16))</f>
        <v>4.7326602210787883E-2</v>
      </c>
      <c r="K33" s="408">
        <f>J33*'input own m.p.'!$K$10</f>
        <v>4.7326602210787883E-2</v>
      </c>
      <c r="L33" s="408" t="str">
        <f>IF('choose m.p.'!L10="",IF('choose m.p.'!M10="",'beta estimation(inputs)'!K33,""),"")</f>
        <v/>
      </c>
    </row>
    <row r="34" spans="2:12">
      <c r="B34" s="33" t="str">
        <f>IFERROR(LINEST(D26:D44,F26:F44,FALSE),"")</f>
        <v/>
      </c>
      <c r="C34" s="404" t="str">
        <f>IF(E12="","",(AEA12-'choose m.p.'!B11))</f>
        <v/>
      </c>
      <c r="D34" s="390" t="str">
        <f>IF('choose m.p.'!L11="",IF('choose m.p.'!M11="",'beta estimation(inputs)'!C34,""),"")</f>
        <v/>
      </c>
      <c r="E34" s="405" t="str">
        <f>IF(E12="","",(AEB12*100-'input own m.p.'!$K$16)*'input own m.p.'!$K$10)</f>
        <v/>
      </c>
      <c r="F34" s="391" t="str">
        <f>IF('choose m.p.'!L11="",IF('choose m.p.'!M11="",'beta estimation(inputs)'!E34,""),"")</f>
        <v/>
      </c>
      <c r="H34" s="408" t="str">
        <f>IF(E12="","",('choose m.p. (endogenous policy)'!D11-'choose m.p. (endogenous policy)'!B11))</f>
        <v/>
      </c>
      <c r="I34" s="408" t="str">
        <f>IF('choose m.p.'!L11="",IF('choose m.p.'!M11="",'beta estimation(inputs)'!H34,""),"")</f>
        <v/>
      </c>
      <c r="J34" s="409" t="str">
        <f>IF(E12="","",(J12*100-'input own m.p.'!$K$16))</f>
        <v/>
      </c>
      <c r="K34" s="408" t="e">
        <f>J34*'input own m.p.'!$K$10</f>
        <v>#VALUE!</v>
      </c>
      <c r="L34" s="408" t="e">
        <f>IF('choose m.p.'!L11="",IF('choose m.p.'!M11="",'beta estimation(inputs)'!K34,""),"")</f>
        <v>#VALUE!</v>
      </c>
    </row>
    <row r="35" spans="2:12">
      <c r="C35" s="404" t="str">
        <f>IF(E13="","",(AEA13-'choose m.p.'!B12))</f>
        <v/>
      </c>
      <c r="D35" s="390" t="str">
        <f>IF('choose m.p.'!L12="",IF('choose m.p.'!M12="",'beta estimation(inputs)'!C35,""),"")</f>
        <v/>
      </c>
      <c r="E35" s="405" t="str">
        <f>IF(E13="","",(AEB13*100-'input own m.p.'!$K$16)*'input own m.p.'!$K$10)</f>
        <v/>
      </c>
      <c r="F35" s="391" t="str">
        <f>IF('choose m.p.'!L12="",IF('choose m.p.'!M12="",'beta estimation(inputs)'!E35,""),"")</f>
        <v/>
      </c>
      <c r="H35" s="408" t="str">
        <f>IF(E13="","",('choose m.p. (endogenous policy)'!D12-'choose m.p. (endogenous policy)'!B12))</f>
        <v/>
      </c>
      <c r="I35" s="408" t="str">
        <f>IF('choose m.p.'!L12="",IF('choose m.p.'!M12="",'beta estimation(inputs)'!H35,""),"")</f>
        <v/>
      </c>
      <c r="J35" s="409" t="str">
        <f>IF(E13="","",(J13*100-'input own m.p.'!$K$16))</f>
        <v/>
      </c>
      <c r="K35" s="408" t="e">
        <f>J35*'input own m.p.'!$K$10</f>
        <v>#VALUE!</v>
      </c>
      <c r="L35" s="408" t="str">
        <f>IF('choose m.p.'!L12="",IF('choose m.p.'!M12="",'beta estimation(inputs)'!K35,""),"")</f>
        <v/>
      </c>
    </row>
    <row r="36" spans="2:12">
      <c r="C36" s="404" t="str">
        <f>IF(E14="","",(AEA14-'choose m.p.'!B13))</f>
        <v/>
      </c>
      <c r="D36" s="390" t="str">
        <f>IF('choose m.p.'!L13="",IF('choose m.p.'!M13="",'beta estimation(inputs)'!C36,""),"")</f>
        <v/>
      </c>
      <c r="E36" s="405" t="str">
        <f>IF(E14="","",(AEB14*100-'input own m.p.'!$K$16)*'input own m.p.'!$K$10)</f>
        <v/>
      </c>
      <c r="F36" s="391" t="str">
        <f>IF('choose m.p.'!L13="",IF('choose m.p.'!M13="",'beta estimation(inputs)'!E36,""),"")</f>
        <v/>
      </c>
      <c r="H36" s="408" t="str">
        <f>IF(E14="","",('choose m.p. (endogenous policy)'!D13-'choose m.p. (endogenous policy)'!B13))</f>
        <v/>
      </c>
      <c r="I36" s="408" t="str">
        <f>IF('choose m.p.'!L13="",IF('choose m.p.'!M13="",'beta estimation(inputs)'!H36,""),"")</f>
        <v/>
      </c>
      <c r="J36" s="409" t="str">
        <f>IF(E14="","",(J14*100-'input own m.p.'!$K$16))</f>
        <v/>
      </c>
      <c r="K36" s="408" t="e">
        <f>J36*'input own m.p.'!$K$10</f>
        <v>#VALUE!</v>
      </c>
      <c r="L36" s="408" t="e">
        <f>IF('choose m.p.'!L13="",IF('choose m.p.'!M13="",'beta estimation(inputs)'!K36,""),"")</f>
        <v>#VALUE!</v>
      </c>
    </row>
    <row r="37" spans="2:12">
      <c r="C37" s="404" t="str">
        <f>IF(E15="","",(AEA15-'choose m.p.'!B14))</f>
        <v/>
      </c>
      <c r="D37" s="390" t="str">
        <f>IF('choose m.p.'!L14="",IF('choose m.p.'!M14="",'beta estimation(inputs)'!C37,""),"")</f>
        <v/>
      </c>
      <c r="E37" s="405" t="str">
        <f>IF(E15="","",(AEB15*100-'input own m.p.'!$K$16)*'input own m.p.'!$K$10)</f>
        <v/>
      </c>
      <c r="F37" s="391" t="str">
        <f>IF('choose m.p.'!L14="",IF('choose m.p.'!M14="",'beta estimation(inputs)'!E37,""),"")</f>
        <v/>
      </c>
      <c r="H37" s="408" t="str">
        <f>IF(E15="","",('choose m.p. (endogenous policy)'!D14-'choose m.p. (endogenous policy)'!B14))</f>
        <v/>
      </c>
      <c r="I37" s="408" t="str">
        <f>IF('choose m.p.'!L14="",IF('choose m.p.'!M14="",'beta estimation(inputs)'!H37,""),"")</f>
        <v/>
      </c>
      <c r="J37" s="409" t="str">
        <f>IF(E15="","",(J15*100-'input own m.p.'!$K$16))</f>
        <v/>
      </c>
      <c r="K37" s="408" t="e">
        <f>J37*'input own m.p.'!$K$10</f>
        <v>#VALUE!</v>
      </c>
      <c r="L37" s="408" t="e">
        <f>IF('choose m.p.'!L14="",IF('choose m.p.'!M14="",'beta estimation(inputs)'!K37,""),"")</f>
        <v>#VALUE!</v>
      </c>
    </row>
    <row r="38" spans="2:12">
      <c r="C38" s="404" t="str">
        <f>IF(E16="","",(AEA16-'choose m.p.'!B15))</f>
        <v/>
      </c>
      <c r="D38" s="390" t="str">
        <f>IF('choose m.p.'!L15="",IF('choose m.p.'!M15="",'beta estimation(inputs)'!C38,""),"")</f>
        <v/>
      </c>
      <c r="E38" s="405" t="str">
        <f>IF(E16="","",(AEB16*100-'input own m.p.'!$K$16)*'input own m.p.'!$K$10)</f>
        <v/>
      </c>
      <c r="F38" s="391" t="str">
        <f>IF('choose m.p.'!L15="",IF('choose m.p.'!M15="",'beta estimation(inputs)'!E38,""),"")</f>
        <v/>
      </c>
      <c r="H38" s="408" t="str">
        <f>IF(E16="","",('choose m.p. (endogenous policy)'!D15-'choose m.p. (endogenous policy)'!B15))</f>
        <v/>
      </c>
      <c r="I38" s="408" t="str">
        <f>IF('choose m.p.'!L15="",IF('choose m.p.'!M15="",'beta estimation(inputs)'!H38,""),"")</f>
        <v/>
      </c>
      <c r="J38" s="409" t="str">
        <f>IF(E16="","",(J16*100-'input own m.p.'!$K$16))</f>
        <v/>
      </c>
      <c r="K38" s="408" t="e">
        <f>J38*'input own m.p.'!$K$10</f>
        <v>#VALUE!</v>
      </c>
      <c r="L38" s="408" t="str">
        <f>IF('choose m.p.'!L15="",IF('choose m.p.'!M15="",'beta estimation(inputs)'!K38,""),"")</f>
        <v/>
      </c>
    </row>
    <row r="39" spans="2:12">
      <c r="C39" s="404" t="str">
        <f>IF(E17="","",(AEA17-'choose m.p.'!B16))</f>
        <v/>
      </c>
      <c r="D39" s="390" t="str">
        <f>IF('choose m.p.'!L16="",IF('choose m.p.'!M16="",'beta estimation(inputs)'!C39,""),"")</f>
        <v/>
      </c>
      <c r="E39" s="405" t="str">
        <f>IF(E17="","",(AEB17*100-'input own m.p.'!$K$16)*'input own m.p.'!$K$10)</f>
        <v/>
      </c>
      <c r="F39" s="391" t="str">
        <f>IF('choose m.p.'!L16="",IF('choose m.p.'!M16="",'beta estimation(inputs)'!E39,""),"")</f>
        <v/>
      </c>
      <c r="H39" s="408" t="str">
        <f>IF(E17="","",('choose m.p. (endogenous policy)'!D16-'choose m.p. (endogenous policy)'!B16))</f>
        <v/>
      </c>
      <c r="I39" s="408" t="str">
        <f>IF('choose m.p.'!L16="",IF('choose m.p.'!M16="",'beta estimation(inputs)'!H39,""),"")</f>
        <v/>
      </c>
      <c r="J39" s="409" t="str">
        <f>IF(E17="","",(J17*100-'input own m.p.'!$K$16))</f>
        <v/>
      </c>
      <c r="K39" s="408" t="e">
        <f>J39*'input own m.p.'!$K$10</f>
        <v>#VALUE!</v>
      </c>
      <c r="L39" s="408" t="e">
        <f>IF('choose m.p.'!L16="",IF('choose m.p.'!M16="",'beta estimation(inputs)'!K39,""),"")</f>
        <v>#VALUE!</v>
      </c>
    </row>
    <row r="40" spans="2:12">
      <c r="C40" s="404" t="str">
        <f>IF(E18="","",(AEA18-'choose m.p.'!B17))</f>
        <v/>
      </c>
      <c r="D40" s="390" t="str">
        <f>IF('choose m.p.'!L17="",IF('choose m.p.'!M17="",'beta estimation(inputs)'!C40,""),"")</f>
        <v/>
      </c>
      <c r="E40" s="405" t="str">
        <f>IF(E18="","",(AEB18*100-'input own m.p.'!$K$16)*'input own m.p.'!$K$10)</f>
        <v/>
      </c>
      <c r="F40" s="391" t="str">
        <f>IF('choose m.p.'!L17="",IF('choose m.p.'!M17="",'beta estimation(inputs)'!E40,""),"")</f>
        <v/>
      </c>
      <c r="H40" s="408" t="str">
        <f>IF(E18="","",('choose m.p. (endogenous policy)'!D17-'choose m.p. (endogenous policy)'!B17))</f>
        <v/>
      </c>
      <c r="I40" s="408" t="str">
        <f>IF('choose m.p.'!L17="",IF('choose m.p.'!M17="",'beta estimation(inputs)'!H40,""),"")</f>
        <v/>
      </c>
      <c r="J40" s="409" t="str">
        <f>IF(E18="","",(J18*100-'input own m.p.'!$K$16))</f>
        <v/>
      </c>
      <c r="K40" s="408" t="e">
        <f>J40*'input own m.p.'!$K$10</f>
        <v>#VALUE!</v>
      </c>
      <c r="L40" s="408" t="e">
        <f>IF('choose m.p.'!L17="",IF('choose m.p.'!M17="",'beta estimation(inputs)'!K40,""),"")</f>
        <v>#VALUE!</v>
      </c>
    </row>
    <row r="41" spans="2:12">
      <c r="C41" s="404" t="str">
        <f>IF(E19="","",(AEA19-'choose m.p.'!B18))</f>
        <v/>
      </c>
      <c r="D41" s="390" t="str">
        <f>IF('choose m.p.'!L18="",IF('choose m.p.'!M18="",'beta estimation(inputs)'!C41,""),"")</f>
        <v/>
      </c>
      <c r="E41" s="405" t="str">
        <f>IF(E19="","",(AEB19*100-'input own m.p.'!$K$16)*'input own m.p.'!$K$10)</f>
        <v/>
      </c>
      <c r="F41" s="391" t="str">
        <f>IF('choose m.p.'!L18="",IF('choose m.p.'!M18="",'beta estimation(inputs)'!E41,""),"")</f>
        <v/>
      </c>
      <c r="H41" s="408" t="str">
        <f>IF(E19="","",('choose m.p. (endogenous policy)'!D18-'choose m.p. (endogenous policy)'!B18))</f>
        <v/>
      </c>
      <c r="I41" s="408" t="str">
        <f>IF('choose m.p.'!L18="",IF('choose m.p.'!M18="",'beta estimation(inputs)'!H41,""),"")</f>
        <v/>
      </c>
      <c r="J41" s="409" t="str">
        <f>IF(E19="","",(J19*100-'input own m.p.'!$K$16))</f>
        <v/>
      </c>
      <c r="K41" s="408" t="e">
        <f>J41*'input own m.p.'!$K$10</f>
        <v>#VALUE!</v>
      </c>
      <c r="L41" s="408" t="e">
        <f>IF('choose m.p.'!L18="",IF('choose m.p.'!M18="",'beta estimation(inputs)'!K41,""),"")</f>
        <v>#VALUE!</v>
      </c>
    </row>
    <row r="42" spans="2:12">
      <c r="C42" s="404" t="str">
        <f>IF(E20="","",(AEA20-'choose m.p.'!B19))</f>
        <v/>
      </c>
      <c r="D42" s="390" t="str">
        <f>IF('choose m.p.'!L19="",IF('choose m.p.'!M19="",'beta estimation(inputs)'!C42,""),"")</f>
        <v/>
      </c>
      <c r="E42" s="405" t="str">
        <f>IF(E20="","",(AEB20*100-'input own m.p.'!$K$16)*'input own m.p.'!$K$10)</f>
        <v/>
      </c>
      <c r="F42" s="391" t="str">
        <f>IF('choose m.p.'!L19="",IF('choose m.p.'!M19="",'beta estimation(inputs)'!E42,""),"")</f>
        <v/>
      </c>
      <c r="H42" s="408" t="str">
        <f>IF(E20="","",('choose m.p. (endogenous policy)'!D19-'choose m.p. (endogenous policy)'!B19))</f>
        <v/>
      </c>
      <c r="I42" s="408" t="str">
        <f>IF('choose m.p.'!L19="",IF('choose m.p.'!M19="",'beta estimation(inputs)'!H42,""),"")</f>
        <v/>
      </c>
      <c r="J42" s="409" t="str">
        <f>IF(E20="","",(J20*100-'input own m.p.'!$K$16))</f>
        <v/>
      </c>
      <c r="K42" s="408" t="e">
        <f>J42*'input own m.p.'!$K$10</f>
        <v>#VALUE!</v>
      </c>
      <c r="L42" s="408" t="e">
        <f>IF('choose m.p.'!L19="",IF('choose m.p.'!M19="",'beta estimation(inputs)'!K42,""),"")</f>
        <v>#VALUE!</v>
      </c>
    </row>
    <row r="43" spans="2:12">
      <c r="C43" s="404" t="str">
        <f>IF(E21="","",(AEA21-'choose m.p.'!B20))</f>
        <v/>
      </c>
      <c r="D43" s="390" t="str">
        <f>IF('choose m.p.'!L20="",IF('choose m.p.'!M20="",'beta estimation(inputs)'!C43,""),"")</f>
        <v/>
      </c>
      <c r="E43" s="405" t="str">
        <f>IF(E21="","",(AEB21*100-'input own m.p.'!$K$16)*'input own m.p.'!$K$10)</f>
        <v/>
      </c>
      <c r="F43" s="391" t="str">
        <f>IF('choose m.p.'!L20="",IF('choose m.p.'!M20="",'beta estimation(inputs)'!E43,""),"")</f>
        <v/>
      </c>
      <c r="H43" s="408" t="str">
        <f>IF(E21="","",('choose m.p. (endogenous policy)'!D20-'choose m.p. (endogenous policy)'!B20))</f>
        <v/>
      </c>
      <c r="I43" s="408" t="str">
        <f>IF('choose m.p.'!L20="",IF('choose m.p.'!M20="",'beta estimation(inputs)'!H43,""),"")</f>
        <v/>
      </c>
      <c r="J43" s="409" t="str">
        <f>IF(E21="","",(J21*100-'input own m.p.'!$K$16))</f>
        <v/>
      </c>
      <c r="K43" s="408" t="e">
        <f>J43*'input own m.p.'!$K$10</f>
        <v>#VALUE!</v>
      </c>
      <c r="L43" s="408" t="str">
        <f>IF('choose m.p.'!L20="",IF('choose m.p.'!M20="",'beta estimation(inputs)'!K43,""),"")</f>
        <v/>
      </c>
    </row>
    <row r="44" spans="2:12">
      <c r="C44" s="392" t="str">
        <f>IF(E22="","",(AEA22-'choose m.p.'!B21))</f>
        <v/>
      </c>
      <c r="D44" s="406" t="str">
        <f>IF('choose m.p.'!L21="",IF('choose m.p.'!M21="",'beta estimation(inputs)'!C44,""),"")</f>
        <v/>
      </c>
      <c r="E44" s="393" t="str">
        <f>IF(E22="","",(AEB22*100-'input own m.p.'!$K$16)*'input own m.p.'!$K$10)</f>
        <v/>
      </c>
      <c r="F44" s="394" t="str">
        <f>IF('choose m.p.'!L21="",IF('choose m.p.'!M21="",'beta estimation(inputs)'!E44,""),"")</f>
        <v/>
      </c>
      <c r="H44" s="408" t="str">
        <f>IF(E22="","",('choose m.p. (endogenous policy)'!D21-'choose m.p. (endogenous policy)'!B21))</f>
        <v/>
      </c>
      <c r="I44" s="408" t="str">
        <f>IF('choose m.p.'!L21="",IF('choose m.p.'!M21="",'beta estimation(inputs)'!H44,""),"")</f>
        <v/>
      </c>
      <c r="J44" s="409" t="str">
        <f>IF(E22="","",(J22*100-'input own m.p.'!$K$16))</f>
        <v/>
      </c>
      <c r="K44" s="408" t="e">
        <f>J44*'input own m.p.'!$K$10</f>
        <v>#VALUE!</v>
      </c>
      <c r="L44" s="408" t="str">
        <f>IF('choose m.p.'!L21="",IF('choose m.p.'!M21="",'beta estimation(inputs)'!K44,""),"")</f>
        <v/>
      </c>
    </row>
    <row r="45" spans="2:12">
      <c r="H45" s="408"/>
      <c r="I45" s="408"/>
      <c r="J45" s="408"/>
      <c r="K45" s="408"/>
      <c r="L45" s="408"/>
    </row>
    <row r="47" spans="2:12">
      <c r="C47" s="379" t="s">
        <v>201</v>
      </c>
      <c r="D47" s="380" t="s">
        <v>188</v>
      </c>
      <c r="E47" s="381" t="s">
        <v>12</v>
      </c>
    </row>
    <row r="48" spans="2:12">
      <c r="C48" s="382">
        <f>0</f>
        <v>0</v>
      </c>
      <c r="D48" s="383"/>
      <c r="E48" s="384"/>
      <c r="F48" s="253"/>
      <c r="G48" s="252"/>
    </row>
    <row r="49" spans="2:9">
      <c r="C49" s="385"/>
      <c r="D49" s="255"/>
      <c r="E49" s="386"/>
      <c r="F49" s="252"/>
      <c r="G49" s="254"/>
    </row>
    <row r="50" spans="2:9">
      <c r="C50" s="387" t="s">
        <v>201</v>
      </c>
      <c r="D50" s="388" t="s">
        <v>188</v>
      </c>
      <c r="E50" s="389" t="s">
        <v>12</v>
      </c>
      <c r="F50"/>
      <c r="G50"/>
      <c r="H50"/>
      <c r="I50" s="395">
        <f t="array" aca="1" ref="I50:I54" ca="1">LINEST(gdpestlin,inflacionestlin,FALSE,TRUE)</f>
        <v>0</v>
      </c>
    </row>
    <row r="51" spans="2:9">
      <c r="C51" s="385">
        <f>COUNTBLANK(D51)</f>
        <v>0</v>
      </c>
      <c r="D51" s="390">
        <v>0</v>
      </c>
      <c r="E51" s="391">
        <v>0</v>
      </c>
      <c r="F51"/>
      <c r="G51"/>
      <c r="H51"/>
      <c r="I51" s="395">
        <f ca="1"/>
        <v>0</v>
      </c>
    </row>
    <row r="52" spans="2:9">
      <c r="C52" s="385">
        <f t="shared" ref="C52:C69" si="4">COUNTBLANK(D52)</f>
        <v>0</v>
      </c>
      <c r="D52" s="390">
        <v>0</v>
      </c>
      <c r="E52" s="391">
        <v>0</v>
      </c>
      <c r="F52"/>
      <c r="G52"/>
      <c r="H52"/>
      <c r="I52" s="395">
        <f ca="1"/>
        <v>1</v>
      </c>
    </row>
    <row r="53" spans="2:9">
      <c r="C53" s="385">
        <f t="shared" si="4"/>
        <v>1</v>
      </c>
      <c r="D53" s="390" t="s">
        <v>200</v>
      </c>
      <c r="E53" s="391" t="s">
        <v>200</v>
      </c>
      <c r="F53"/>
      <c r="G53"/>
      <c r="H53"/>
      <c r="I53" s="395" t="e">
        <f ca="1"/>
        <v>#NUM!</v>
      </c>
    </row>
    <row r="54" spans="2:9">
      <c r="C54" s="385">
        <f t="shared" si="4"/>
        <v>0</v>
      </c>
      <c r="D54" s="390">
        <v>1.5</v>
      </c>
      <c r="E54" s="391">
        <v>-0.5</v>
      </c>
      <c r="F54"/>
      <c r="G54"/>
      <c r="H54"/>
      <c r="I54" s="395">
        <f ca="1"/>
        <v>0</v>
      </c>
    </row>
    <row r="55" spans="2:9">
      <c r="C55" s="385">
        <f t="shared" si="4"/>
        <v>1</v>
      </c>
      <c r="D55" s="390" t="s">
        <v>200</v>
      </c>
      <c r="E55" s="391" t="s">
        <v>200</v>
      </c>
      <c r="F55"/>
      <c r="G55"/>
      <c r="H55"/>
    </row>
    <row r="56" spans="2:9">
      <c r="C56" s="385">
        <f t="shared" si="4"/>
        <v>1</v>
      </c>
      <c r="D56" s="390" t="s">
        <v>200</v>
      </c>
      <c r="E56" s="391" t="s">
        <v>200</v>
      </c>
      <c r="F56"/>
      <c r="G56"/>
      <c r="H56"/>
    </row>
    <row r="57" spans="2:9">
      <c r="C57" s="385">
        <f t="shared" si="4"/>
        <v>1</v>
      </c>
      <c r="D57" s="390" t="s">
        <v>200</v>
      </c>
      <c r="E57" s="391" t="s">
        <v>200</v>
      </c>
      <c r="F57"/>
      <c r="G57"/>
      <c r="H57"/>
    </row>
    <row r="58" spans="2:9">
      <c r="C58" s="385">
        <f t="shared" si="4"/>
        <v>0</v>
      </c>
      <c r="D58" s="390">
        <v>0.34987499999999017</v>
      </c>
      <c r="E58" s="391">
        <v>1.6374999999975159E-2</v>
      </c>
      <c r="F58"/>
      <c r="G58"/>
      <c r="H58"/>
    </row>
    <row r="59" spans="2:9">
      <c r="B59" s="253"/>
      <c r="C59" s="385">
        <f t="shared" si="4"/>
        <v>0</v>
      </c>
      <c r="D59" s="390">
        <v>-2.5218750000021828E-2</v>
      </c>
      <c r="E59" s="391">
        <v>-8.8437500000468905E-3</v>
      </c>
      <c r="F59"/>
      <c r="G59"/>
      <c r="H59"/>
    </row>
    <row r="60" spans="2:9">
      <c r="B60" s="253"/>
      <c r="C60" s="385">
        <f t="shared" si="4"/>
        <v>0</v>
      </c>
      <c r="D60" s="390">
        <v>1.5867187499964075E-2</v>
      </c>
      <c r="E60" s="391">
        <v>7.0234374999174065E-3</v>
      </c>
      <c r="F60"/>
      <c r="G60"/>
      <c r="H60"/>
    </row>
    <row r="61" spans="2:9">
      <c r="C61" s="385">
        <f t="shared" si="4"/>
        <v>1</v>
      </c>
      <c r="D61" s="390" t="s">
        <v>200</v>
      </c>
      <c r="E61" s="391" t="s">
        <v>200</v>
      </c>
      <c r="F61"/>
      <c r="G61"/>
      <c r="H61"/>
    </row>
    <row r="62" spans="2:9">
      <c r="C62" s="385">
        <f t="shared" si="4"/>
        <v>0</v>
      </c>
      <c r="D62" s="390">
        <v>-0.38265673828136215</v>
      </c>
      <c r="E62" s="391">
        <v>0.10713427734349068</v>
      </c>
      <c r="F62"/>
      <c r="G62"/>
      <c r="H62"/>
    </row>
    <row r="63" spans="2:9">
      <c r="C63" s="385">
        <f t="shared" si="4"/>
        <v>0</v>
      </c>
      <c r="D63" s="390">
        <v>-6.9649291992384121E-2</v>
      </c>
      <c r="E63" s="391">
        <v>3.7484985351106559E-2</v>
      </c>
      <c r="F63"/>
      <c r="G63"/>
      <c r="H63"/>
    </row>
    <row r="64" spans="2:9">
      <c r="C64" s="385">
        <f t="shared" si="4"/>
        <v>1</v>
      </c>
      <c r="D64" s="390" t="s">
        <v>200</v>
      </c>
      <c r="E64" s="391" t="s">
        <v>200</v>
      </c>
      <c r="F64" s="385"/>
      <c r="G64" s="390"/>
      <c r="H64" s="391"/>
    </row>
    <row r="65" spans="3:11">
      <c r="C65" s="385">
        <f t="shared" si="4"/>
        <v>0</v>
      </c>
      <c r="D65" s="390">
        <v>-0.51059569610655586</v>
      </c>
      <c r="E65" s="391">
        <v>0.50861004241803442</v>
      </c>
      <c r="F65" s="385"/>
      <c r="G65" s="390"/>
      <c r="H65" s="391"/>
    </row>
    <row r="66" spans="3:11">
      <c r="C66" s="385">
        <f t="shared" si="4"/>
        <v>0</v>
      </c>
      <c r="D66" s="390">
        <v>-0.21854246818647738</v>
      </c>
      <c r="E66" s="391">
        <v>0.29006757423155705</v>
      </c>
      <c r="F66" s="385"/>
      <c r="G66" s="390"/>
      <c r="H66" s="391"/>
      <c r="I66" s="253"/>
      <c r="J66" s="95"/>
      <c r="K66" s="426"/>
    </row>
    <row r="67" spans="3:11">
      <c r="C67" s="385">
        <f t="shared" si="4"/>
        <v>0</v>
      </c>
      <c r="D67" s="390">
        <v>-0.11994931932633079</v>
      </c>
      <c r="E67" s="391">
        <v>0.17011825490522625</v>
      </c>
      <c r="F67" s="385"/>
      <c r="G67" s="390"/>
      <c r="H67" s="391"/>
      <c r="I67" s="252"/>
      <c r="J67" s="252"/>
      <c r="K67" s="37"/>
    </row>
    <row r="68" spans="3:11">
      <c r="C68" s="385">
        <f t="shared" si="4"/>
        <v>1</v>
      </c>
      <c r="D68" s="390" t="s">
        <v>200</v>
      </c>
      <c r="E68" s="391" t="s">
        <v>200</v>
      </c>
      <c r="F68" s="385"/>
      <c r="G68" s="390"/>
      <c r="H68" s="391"/>
    </row>
    <row r="69" spans="3:11">
      <c r="C69" s="385">
        <f t="shared" si="4"/>
        <v>0</v>
      </c>
      <c r="D69" s="390">
        <v>-0.43964593075204306</v>
      </c>
      <c r="E69" s="391">
        <v>0.17415949491189764</v>
      </c>
      <c r="F69" s="385"/>
      <c r="G69" s="390"/>
      <c r="H69" s="391"/>
    </row>
    <row r="70" spans="3:11">
      <c r="C70" s="392"/>
      <c r="D70" s="393"/>
      <c r="E70" s="394"/>
      <c r="F70" s="397"/>
      <c r="G70" s="398"/>
      <c r="H70" s="399"/>
    </row>
    <row r="74" spans="3:11">
      <c r="E74" s="37">
        <f>D51*E51</f>
        <v>0</v>
      </c>
    </row>
    <row r="75" spans="3:11">
      <c r="E75" s="37">
        <f t="shared" ref="E75:E92" si="5">D52*E52</f>
        <v>0</v>
      </c>
    </row>
    <row r="76" spans="3:11">
      <c r="E76" s="37" t="e">
        <f t="shared" si="5"/>
        <v>#VALUE!</v>
      </c>
    </row>
    <row r="77" spans="3:11">
      <c r="E77" s="37">
        <f t="shared" si="5"/>
        <v>-0.75</v>
      </c>
    </row>
    <row r="78" spans="3:11">
      <c r="E78" s="37" t="e">
        <f t="shared" si="5"/>
        <v>#VALUE!</v>
      </c>
    </row>
    <row r="79" spans="3:11">
      <c r="E79" s="37" t="e">
        <f t="shared" si="5"/>
        <v>#VALUE!</v>
      </c>
    </row>
    <row r="80" spans="3:11">
      <c r="E80" s="37" t="e">
        <f t="shared" si="5"/>
        <v>#VALUE!</v>
      </c>
    </row>
    <row r="81" spans="5:5">
      <c r="E81" s="37">
        <f t="shared" si="5"/>
        <v>5.7292031249911481E-3</v>
      </c>
    </row>
    <row r="82" spans="5:5">
      <c r="E82" s="37">
        <f t="shared" si="5"/>
        <v>2.2302832031387556E-4</v>
      </c>
    </row>
    <row r="83" spans="5:5">
      <c r="E83" s="37">
        <f t="shared" si="5"/>
        <v>1.1144219970546841E-4</v>
      </c>
    </row>
    <row r="84" spans="5:5">
      <c r="E84" s="37" t="e">
        <f t="shared" si="5"/>
        <v>#VALUE!</v>
      </c>
    </row>
    <row r="85" spans="5:5">
      <c r="E85" s="37">
        <f t="shared" si="5"/>
        <v>-4.0995653126390981E-2</v>
      </c>
    </row>
    <row r="86" spans="5:5">
      <c r="E86" s="37">
        <f t="shared" si="5"/>
        <v>-2.6108026900494622E-3</v>
      </c>
    </row>
    <row r="87" spans="5:5">
      <c r="E87" s="37" t="e">
        <f t="shared" si="5"/>
        <v>#VALUE!</v>
      </c>
    </row>
    <row r="88" spans="5:5">
      <c r="E88" s="37">
        <f t="shared" si="5"/>
        <v>-0.25969409865522119</v>
      </c>
    </row>
    <row r="89" spans="5:5">
      <c r="E89" s="37">
        <f t="shared" si="5"/>
        <v>-6.3392083613428726E-2</v>
      </c>
    </row>
    <row r="90" spans="5:5">
      <c r="E90" s="37">
        <f t="shared" si="5"/>
        <v>-2.0405568880865123E-2</v>
      </c>
    </row>
    <row r="91" spans="5:5">
      <c r="E91" s="37" t="e">
        <f t="shared" si="5"/>
        <v>#VALUE!</v>
      </c>
    </row>
    <row r="92" spans="5:5">
      <c r="E92" s="37">
        <f t="shared" si="5"/>
        <v>-7.6568513239846939E-2</v>
      </c>
    </row>
    <row r="93" spans="5:5">
      <c r="E93" s="37">
        <f>COUNTIF(E74:E92,"&gt;0")</f>
        <v>3</v>
      </c>
    </row>
  </sheetData>
  <mergeCells count="2">
    <mergeCell ref="B2:G2"/>
    <mergeCell ref="H2:M2"/>
  </mergeCells>
  <pageMargins left="0.75" right="0.75" top="1" bottom="1" header="0" footer="0"/>
  <pageSetup paperSize="9" orientation="portrait" horizontalDpi="4294967295" verticalDpi="300"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20"/>
  <dimension ref="A1:R69"/>
  <sheetViews>
    <sheetView showGridLines="0" showRowColHeaders="0" zoomScale="97" zoomScaleNormal="97" workbookViewId="0">
      <selection activeCell="K5" sqref="K5"/>
    </sheetView>
  </sheetViews>
  <sheetFormatPr defaultColWidth="10.90625" defaultRowHeight="12.5"/>
  <cols>
    <col min="1" max="1" width="5.54296875" style="258" customWidth="1"/>
    <col min="4" max="4" width="12.26953125" bestFit="1" customWidth="1"/>
    <col min="5" max="5" width="15.7265625" bestFit="1" customWidth="1"/>
    <col min="7" max="7" width="5.81640625" style="258" customWidth="1"/>
    <col min="8" max="8" width="4.453125" customWidth="1"/>
    <col min="9" max="9" width="4.81640625" customWidth="1"/>
    <col min="10" max="10" width="23.26953125" customWidth="1"/>
    <col min="11" max="11" width="20.1796875" customWidth="1"/>
    <col min="12" max="12" width="20.81640625" customWidth="1"/>
  </cols>
  <sheetData>
    <row r="1" spans="1:18" ht="6.75" customHeight="1">
      <c r="A1" s="244"/>
      <c r="B1" s="244"/>
      <c r="C1" s="244"/>
      <c r="D1" s="244"/>
      <c r="E1" s="244"/>
      <c r="F1" s="244"/>
      <c r="G1" s="244"/>
      <c r="H1" s="248"/>
      <c r="I1" s="245"/>
      <c r="J1" s="245"/>
      <c r="K1" s="245"/>
      <c r="L1" s="245"/>
      <c r="M1" s="245"/>
      <c r="N1" s="245"/>
      <c r="O1" s="245"/>
      <c r="P1" s="245"/>
      <c r="Q1" s="245"/>
      <c r="R1" s="245"/>
    </row>
    <row r="2" spans="1:18" ht="41.25" customHeight="1">
      <c r="A2" s="244"/>
      <c r="B2" s="788" t="s">
        <v>195</v>
      </c>
      <c r="C2" s="586"/>
      <c r="D2" s="586"/>
      <c r="E2" s="586"/>
      <c r="F2" s="586"/>
      <c r="G2" s="244"/>
      <c r="H2" s="249"/>
      <c r="I2" s="246"/>
      <c r="J2" s="781" t="s">
        <v>204</v>
      </c>
      <c r="K2" s="782"/>
      <c r="L2" s="782"/>
      <c r="M2" s="245"/>
      <c r="N2" s="245"/>
      <c r="O2" s="245"/>
      <c r="P2" s="245"/>
      <c r="Q2" s="245"/>
      <c r="R2" s="245"/>
    </row>
    <row r="3" spans="1:18" ht="9" customHeight="1" thickBot="1">
      <c r="A3" s="777" t="s">
        <v>224</v>
      </c>
      <c r="B3" s="244"/>
      <c r="C3" s="244"/>
      <c r="D3" s="244"/>
      <c r="E3" s="244"/>
      <c r="F3" s="244"/>
      <c r="G3" s="244"/>
      <c r="H3" s="248"/>
      <c r="I3" s="245"/>
      <c r="J3" s="247"/>
      <c r="K3" s="245"/>
      <c r="L3" s="245"/>
      <c r="M3" s="245"/>
      <c r="N3" s="245"/>
      <c r="O3" s="245"/>
      <c r="P3" s="245"/>
      <c r="Q3" s="245"/>
      <c r="R3" s="245"/>
    </row>
    <row r="4" spans="1:18" ht="18.5" thickTop="1" thickBot="1">
      <c r="A4" s="777"/>
      <c r="B4" s="244"/>
      <c r="C4" s="787" t="s">
        <v>197</v>
      </c>
      <c r="D4" s="787"/>
      <c r="E4" s="783">
        <f ca="1">IF(COUNTIF('beta estimation(inputs)'!F26:F44,0)=19,"infinite",-'beta estimation(inputs)'!I50/'input own m.p.'!K10)</f>
        <v>0</v>
      </c>
      <c r="F4" s="244"/>
      <c r="G4" s="244"/>
      <c r="H4" s="248"/>
      <c r="I4" s="245"/>
      <c r="J4" s="245"/>
      <c r="K4" s="259" t="s">
        <v>203</v>
      </c>
      <c r="L4" s="259" t="s">
        <v>207</v>
      </c>
      <c r="M4" s="245"/>
      <c r="N4" s="245"/>
      <c r="O4" s="245"/>
      <c r="P4" s="245"/>
      <c r="Q4" s="245"/>
      <c r="R4" s="245"/>
    </row>
    <row r="5" spans="1:18" ht="19" thickTop="1" thickBot="1">
      <c r="A5" s="777"/>
      <c r="B5" s="244"/>
      <c r="C5" s="787"/>
      <c r="D5" s="787"/>
      <c r="E5" s="784"/>
      <c r="F5" s="244"/>
      <c r="G5" s="244"/>
      <c r="H5" s="248"/>
      <c r="I5" s="245"/>
      <c r="J5" s="242" t="s">
        <v>202</v>
      </c>
      <c r="K5" s="425">
        <v>1.8149</v>
      </c>
      <c r="L5" s="425">
        <v>1.8149</v>
      </c>
      <c r="M5" s="245"/>
      <c r="N5" s="245"/>
      <c r="O5" s="245"/>
      <c r="P5" s="245"/>
      <c r="Q5" s="245"/>
      <c r="R5" s="245"/>
    </row>
    <row r="6" spans="1:18" ht="19.5" customHeight="1" thickTop="1" thickBot="1">
      <c r="A6" s="777"/>
      <c r="B6" s="244"/>
      <c r="C6" s="787" t="s">
        <v>196</v>
      </c>
      <c r="D6" s="787"/>
      <c r="E6" s="785">
        <f ca="1">'beta estimation(inputs)'!I52</f>
        <v>1</v>
      </c>
      <c r="F6" s="244"/>
      <c r="G6" s="244"/>
      <c r="H6" s="248"/>
      <c r="I6" s="245"/>
      <c r="J6" s="245"/>
      <c r="K6" s="245"/>
      <c r="L6" s="245"/>
      <c r="M6" s="245"/>
      <c r="N6" s="245"/>
      <c r="O6" s="245"/>
      <c r="P6" s="245"/>
      <c r="Q6" s="245"/>
      <c r="R6" s="245"/>
    </row>
    <row r="7" spans="1:18" ht="18.5" thickTop="1" thickBot="1">
      <c r="A7" s="777"/>
      <c r="B7" s="244"/>
      <c r="C7" s="787"/>
      <c r="D7" s="787"/>
      <c r="E7" s="786"/>
      <c r="F7" s="244"/>
      <c r="G7" s="244"/>
      <c r="H7" s="248"/>
      <c r="I7" s="245"/>
      <c r="J7" s="245"/>
      <c r="K7" s="259" t="s">
        <v>194</v>
      </c>
      <c r="L7" s="259" t="s">
        <v>205</v>
      </c>
      <c r="M7" s="245"/>
      <c r="N7" s="245"/>
      <c r="O7" s="245"/>
      <c r="P7" s="245"/>
      <c r="Q7" s="245"/>
      <c r="R7" s="245"/>
    </row>
    <row r="8" spans="1:18" ht="18.5" thickTop="1" thickBot="1">
      <c r="A8" s="777"/>
      <c r="B8" s="244"/>
      <c r="C8" s="244"/>
      <c r="D8" s="244"/>
      <c r="E8" s="244"/>
      <c r="F8" s="244"/>
      <c r="G8" s="244"/>
      <c r="H8" s="248"/>
      <c r="I8" s="245"/>
      <c r="J8" s="243" t="s">
        <v>193</v>
      </c>
      <c r="K8" s="460">
        <f>'loss level(inputs)'!D25</f>
        <v>746.39031257057229</v>
      </c>
      <c r="L8" s="460">
        <f>IF(L5="","",'loss level(inputs)'!I25)</f>
        <v>3.5740827364066843</v>
      </c>
      <c r="M8" s="245"/>
      <c r="N8" s="245"/>
      <c r="O8" s="245"/>
      <c r="P8" s="245"/>
      <c r="Q8" s="245"/>
      <c r="R8" s="245"/>
    </row>
    <row r="9" spans="1:18" ht="20.25" customHeight="1" thickTop="1" thickBot="1">
      <c r="A9" s="777"/>
      <c r="B9" s="244"/>
      <c r="C9" s="778" t="str">
        <f ca="1">IF(E4&lt;0,"Your estimated beta is negative! Either you may have got the sign wrong for the monetary policy response or you may have overreacted.",IF(0.2&gt;E6,CONCATENATE("Your goodness of fit is too low. You do not seem to follow a systematic policy, at least one that can be approximated by an MR",". It might also be the case that some outliers are distorting the result (because of policy mistakes or because of reaching the zero bound for the nominal interest rate)."),IF(AND(0.5&gt;E6,E6&gt;=0.2),"Your goodness of fit is low but you seem to be following some systematic behavior in setting your policy.",IF(AND(0.95&gt;=E6,E6&gt;=0.5),"Your fit is good. It seems that you are trying to apply the monetary rule as explained in the book.",IF(AND(0.95&lt;=E6,E6&lt;=1),"Your policy exactly fits a monetary rule with the estimated beta shown above. Confess, you are using the interest rate rule formula to calculate your policy choice!",IF(COUNTIF('beta estimation(inputs)'!D26:D44,0)=19,"You have followed very systematically the simple rule to avoid any output gap and, therefore, your beta is zero. The fit is excellent but cannot be calculated by the computer.",""))))))</f>
        <v>Your policy exactly fits a monetary rule with the estimated beta shown above. Confess, you are using the interest rate rule formula to calculate your policy choice!</v>
      </c>
      <c r="D9" s="778"/>
      <c r="E9" s="778"/>
      <c r="F9" s="244"/>
      <c r="G9" s="244"/>
      <c r="H9" s="248"/>
      <c r="I9" s="245"/>
      <c r="J9" s="243" t="s">
        <v>192</v>
      </c>
      <c r="K9" s="460">
        <f>'loss level(inputs)'!F25</f>
        <v>3680.3902000370035</v>
      </c>
      <c r="L9" s="460">
        <f>IF(L5="","",'loss level(inputs)'!K25)</f>
        <v>0.15837247582904609</v>
      </c>
      <c r="M9" s="245"/>
      <c r="N9" s="245"/>
      <c r="O9" s="245"/>
      <c r="P9" s="245"/>
      <c r="Q9" s="245"/>
      <c r="R9" s="245"/>
    </row>
    <row r="10" spans="1:18" ht="18.5" thickTop="1" thickBot="1">
      <c r="A10" s="777"/>
      <c r="B10" s="244"/>
      <c r="C10" s="778"/>
      <c r="D10" s="778"/>
      <c r="E10" s="778"/>
      <c r="F10" s="244"/>
      <c r="G10" s="244"/>
      <c r="H10" s="248"/>
      <c r="I10" s="245"/>
      <c r="J10" s="250" t="s">
        <v>206</v>
      </c>
      <c r="K10" s="461">
        <f>IF(K5="","",(1/(1+$K$5))*K8+($K$5/(1+$K$5))*K9)</f>
        <v>2638.0796783607698</v>
      </c>
      <c r="L10" s="461">
        <f>IF(L5="","",(1/(1+$K$5))*L8+($K$5/(1+$K$5))*L9)</f>
        <v>1.3718117669504495</v>
      </c>
      <c r="M10" s="245"/>
      <c r="N10" s="245"/>
      <c r="O10" s="245"/>
      <c r="P10" s="245"/>
      <c r="Q10" s="245"/>
      <c r="R10" s="245"/>
    </row>
    <row r="11" spans="1:18" ht="12.75" customHeight="1" thickTop="1">
      <c r="A11" s="777"/>
      <c r="B11" s="244"/>
      <c r="C11" s="778"/>
      <c r="D11" s="778"/>
      <c r="E11" s="778"/>
      <c r="F11" s="244"/>
      <c r="G11" s="244"/>
      <c r="H11" s="248"/>
      <c r="I11" s="245"/>
      <c r="J11" s="245"/>
      <c r="K11" s="245"/>
      <c r="L11" s="245"/>
      <c r="M11" s="245"/>
      <c r="N11" s="245"/>
      <c r="O11" s="245"/>
      <c r="P11" s="245"/>
      <c r="Q11" s="245"/>
      <c r="R11" s="245"/>
    </row>
    <row r="12" spans="1:18" ht="12.75" customHeight="1">
      <c r="A12" s="777"/>
      <c r="B12" s="244"/>
      <c r="C12" s="778"/>
      <c r="D12" s="778"/>
      <c r="E12" s="778"/>
      <c r="F12" s="244"/>
      <c r="G12" s="244"/>
      <c r="H12" s="248"/>
      <c r="I12" s="245"/>
      <c r="J12" s="789" t="str">
        <f>IF(C18&gt;0,"You have used fiscal policy. This blurs the comparison since the automated central bank cannot apply fiscal stimulus.",IF(AND(C19&lt;0.0001,K10&lt;L10),"Oops! The comparison of society's loss is strange. Do you want to know why? ",""))</f>
        <v/>
      </c>
      <c r="K12" s="790"/>
      <c r="L12" s="245"/>
      <c r="M12" s="245"/>
      <c r="N12" s="245"/>
      <c r="O12" s="245"/>
      <c r="P12" s="245"/>
      <c r="Q12" s="245"/>
      <c r="R12" s="245"/>
    </row>
    <row r="13" spans="1:18" ht="12.75" customHeight="1">
      <c r="A13" s="777"/>
      <c r="B13" s="244"/>
      <c r="C13" s="778"/>
      <c r="D13" s="778"/>
      <c r="E13" s="778"/>
      <c r="F13" s="244"/>
      <c r="G13" s="244"/>
      <c r="H13" s="248"/>
      <c r="I13" s="245"/>
      <c r="J13" s="790"/>
      <c r="K13" s="790"/>
      <c r="L13" s="245"/>
      <c r="M13" s="245"/>
      <c r="N13" s="245"/>
      <c r="O13" s="245"/>
      <c r="P13" s="245"/>
      <c r="Q13" s="245"/>
      <c r="R13" s="245"/>
    </row>
    <row r="14" spans="1:18" ht="12.75" customHeight="1">
      <c r="A14" s="777"/>
      <c r="B14" s="244"/>
      <c r="C14" s="778"/>
      <c r="D14" s="778"/>
      <c r="E14" s="778"/>
      <c r="F14" s="244"/>
      <c r="G14" s="244"/>
      <c r="H14" s="248"/>
      <c r="I14" s="245"/>
      <c r="J14" s="790"/>
      <c r="K14" s="790"/>
      <c r="L14" s="245"/>
      <c r="M14" s="245"/>
      <c r="N14" s="245"/>
      <c r="O14" s="245"/>
      <c r="P14" s="245"/>
      <c r="Q14" s="245"/>
      <c r="R14" s="245"/>
    </row>
    <row r="15" spans="1:18" ht="12.75" customHeight="1">
      <c r="A15" s="777"/>
      <c r="B15" s="244"/>
      <c r="C15" s="778"/>
      <c r="D15" s="778"/>
      <c r="E15" s="778"/>
      <c r="F15" s="244"/>
      <c r="G15" s="244"/>
      <c r="H15" s="248"/>
      <c r="I15" s="245"/>
      <c r="J15" s="245"/>
      <c r="K15" s="245"/>
      <c r="L15" s="245"/>
      <c r="M15" s="245"/>
      <c r="N15" s="245"/>
      <c r="O15" s="245"/>
      <c r="P15" s="245"/>
      <c r="Q15" s="245"/>
      <c r="R15" s="245"/>
    </row>
    <row r="16" spans="1:18" ht="12.75" customHeight="1">
      <c r="A16" s="777"/>
      <c r="B16" s="244"/>
      <c r="C16" s="244"/>
      <c r="D16" s="244"/>
      <c r="E16" s="244"/>
      <c r="F16" s="244"/>
      <c r="G16" s="244"/>
      <c r="H16" s="248"/>
      <c r="I16" s="245"/>
      <c r="J16" s="245"/>
      <c r="K16" s="245"/>
      <c r="L16" s="245"/>
      <c r="M16" s="245"/>
      <c r="N16" s="245"/>
      <c r="O16" s="245"/>
      <c r="P16" s="245"/>
      <c r="Q16" s="245"/>
      <c r="R16" s="245"/>
    </row>
    <row r="17" spans="1:18">
      <c r="A17" s="777"/>
      <c r="B17" s="244"/>
      <c r="C17" s="244"/>
      <c r="D17" s="244"/>
      <c r="E17" s="244"/>
      <c r="F17" s="244"/>
      <c r="G17" s="244"/>
      <c r="H17" s="248"/>
      <c r="I17" s="245"/>
      <c r="J17" s="245"/>
      <c r="K17" s="245"/>
      <c r="L17" s="245"/>
      <c r="M17" s="245"/>
      <c r="N17" s="245"/>
      <c r="O17" s="245"/>
      <c r="P17" s="245"/>
      <c r="Q17" s="245"/>
      <c r="R17" s="245"/>
    </row>
    <row r="18" spans="1:18">
      <c r="A18" s="777"/>
      <c r="B18" s="244"/>
      <c r="C18" s="260">
        <f>'choose m.p.'!F25</f>
        <v>0</v>
      </c>
      <c r="D18" s="244">
        <f>'beta estimation(inputs)'!E93</f>
        <v>3</v>
      </c>
      <c r="E18" s="260">
        <f>'choose m.p. (endogenous policy)'!I45</f>
        <v>1</v>
      </c>
      <c r="F18" s="244"/>
      <c r="G18" s="244"/>
      <c r="H18" s="248"/>
      <c r="I18" s="245"/>
      <c r="J18" s="245"/>
      <c r="K18" s="245"/>
      <c r="L18" s="245"/>
      <c r="M18" s="245"/>
      <c r="N18" s="245"/>
      <c r="O18" s="245"/>
      <c r="P18" s="245"/>
      <c r="Q18" s="245"/>
      <c r="R18" s="245"/>
    </row>
    <row r="19" spans="1:18">
      <c r="A19" s="777"/>
      <c r="B19" s="244"/>
      <c r="C19" s="244">
        <f>ABS(K5-L5)</f>
        <v>0</v>
      </c>
      <c r="D19" s="244"/>
      <c r="E19" s="244"/>
      <c r="F19" s="244"/>
      <c r="G19" s="244"/>
      <c r="H19" s="248"/>
      <c r="I19" s="245"/>
      <c r="J19" s="245"/>
      <c r="K19" s="245"/>
      <c r="L19" s="245"/>
      <c r="M19" s="245"/>
      <c r="N19" s="245"/>
      <c r="O19" s="245"/>
      <c r="P19" s="245"/>
      <c r="Q19" s="245"/>
      <c r="R19" s="245"/>
    </row>
    <row r="20" spans="1:18">
      <c r="A20" s="777"/>
      <c r="B20" s="244"/>
      <c r="C20" s="244"/>
      <c r="D20" s="244"/>
      <c r="E20" s="244"/>
      <c r="F20" s="244"/>
      <c r="G20" s="244"/>
      <c r="H20" s="248"/>
      <c r="I20" s="245"/>
      <c r="J20" s="245"/>
      <c r="K20" s="245"/>
      <c r="L20" s="452"/>
      <c r="M20" s="245"/>
      <c r="N20" s="245"/>
      <c r="O20" s="245"/>
      <c r="P20" s="245"/>
      <c r="Q20" s="245"/>
      <c r="R20" s="245"/>
    </row>
    <row r="21" spans="1:18">
      <c r="A21" s="777"/>
      <c r="B21" s="244"/>
      <c r="C21" s="244"/>
      <c r="D21" s="244"/>
      <c r="E21" s="244"/>
      <c r="F21" s="244"/>
      <c r="G21" s="244"/>
      <c r="H21" s="248"/>
      <c r="I21" s="245"/>
      <c r="J21" s="245"/>
      <c r="K21" s="245"/>
      <c r="L21" s="245"/>
      <c r="M21" s="245"/>
      <c r="N21" s="245"/>
      <c r="O21" s="245"/>
      <c r="P21" s="245"/>
      <c r="Q21" s="245"/>
      <c r="R21" s="245"/>
    </row>
    <row r="22" spans="1:18">
      <c r="A22" s="777"/>
      <c r="B22" s="244"/>
      <c r="C22" s="244"/>
      <c r="D22" s="244"/>
      <c r="E22" s="244"/>
      <c r="F22" s="244"/>
      <c r="G22" s="244"/>
      <c r="H22" s="248"/>
      <c r="I22" s="245"/>
      <c r="J22" s="245"/>
      <c r="K22" s="245"/>
      <c r="L22" s="245"/>
      <c r="M22" s="245"/>
      <c r="N22" s="245"/>
      <c r="O22" s="245"/>
      <c r="P22" s="245"/>
      <c r="Q22" s="245"/>
      <c r="R22" s="245"/>
    </row>
    <row r="23" spans="1:18">
      <c r="A23" s="777"/>
      <c r="B23" s="244"/>
      <c r="C23" s="244"/>
      <c r="D23" s="244"/>
      <c r="E23" s="244"/>
      <c r="F23" s="244"/>
      <c r="G23" s="244"/>
      <c r="H23" s="248"/>
      <c r="I23" s="245"/>
      <c r="J23" s="245"/>
      <c r="K23" s="245"/>
      <c r="L23" s="245"/>
      <c r="M23" s="245"/>
      <c r="N23" s="245"/>
      <c r="O23" s="245"/>
      <c r="P23" s="245"/>
      <c r="Q23" s="245"/>
      <c r="R23" s="245"/>
    </row>
    <row r="24" spans="1:18">
      <c r="A24" s="777"/>
      <c r="B24" s="244"/>
      <c r="C24" s="244"/>
      <c r="D24" s="244"/>
      <c r="E24" s="244"/>
      <c r="F24" s="244"/>
      <c r="G24" s="244"/>
      <c r="H24" s="248"/>
      <c r="I24" s="245"/>
      <c r="J24" s="245"/>
      <c r="K24" s="245"/>
      <c r="L24" s="245"/>
      <c r="M24" s="245"/>
      <c r="N24" s="245"/>
      <c r="O24" s="245"/>
      <c r="P24" s="245"/>
      <c r="Q24" s="245"/>
      <c r="R24" s="245"/>
    </row>
    <row r="25" spans="1:18">
      <c r="A25" s="777"/>
      <c r="B25" s="244"/>
      <c r="C25" s="244"/>
      <c r="D25" s="244"/>
      <c r="E25" s="244"/>
      <c r="F25" s="244"/>
      <c r="G25" s="244"/>
      <c r="H25" s="248"/>
      <c r="I25" s="245"/>
      <c r="J25" s="245"/>
      <c r="K25" s="245"/>
      <c r="L25" s="245"/>
      <c r="M25" s="245"/>
      <c r="N25" s="245"/>
      <c r="O25" s="245"/>
      <c r="P25" s="245"/>
      <c r="Q25" s="245"/>
      <c r="R25" s="245"/>
    </row>
    <row r="26" spans="1:18">
      <c r="A26" s="244"/>
      <c r="B26" s="244"/>
      <c r="C26" s="244"/>
      <c r="D26" s="244"/>
      <c r="E26" s="244"/>
      <c r="F26" s="244"/>
      <c r="G26" s="244"/>
      <c r="H26" s="248"/>
      <c r="I26" s="245"/>
      <c r="J26" s="245"/>
      <c r="K26" s="245"/>
      <c r="L26" s="245"/>
      <c r="M26" s="245"/>
      <c r="N26" s="245"/>
      <c r="O26" s="245"/>
      <c r="P26" s="245"/>
      <c r="Q26" s="245"/>
      <c r="R26" s="245"/>
    </row>
    <row r="27" spans="1:18">
      <c r="A27" s="244"/>
      <c r="B27" s="244"/>
      <c r="C27" s="244"/>
      <c r="D27" s="244"/>
      <c r="E27" s="244"/>
      <c r="F27" s="244"/>
      <c r="G27" s="244"/>
      <c r="H27" s="248"/>
      <c r="I27" s="245"/>
      <c r="J27" s="245"/>
      <c r="K27" s="245"/>
      <c r="L27" s="245"/>
      <c r="M27" s="245"/>
      <c r="N27" s="245"/>
      <c r="O27" s="245"/>
      <c r="P27" s="245"/>
      <c r="Q27" s="245"/>
      <c r="R27" s="245"/>
    </row>
    <row r="28" spans="1:18">
      <c r="A28" s="244"/>
      <c r="B28" s="244"/>
      <c r="C28" s="244"/>
      <c r="D28" s="244"/>
      <c r="E28" s="244"/>
      <c r="F28" s="244"/>
      <c r="G28" s="244"/>
      <c r="H28" s="248"/>
      <c r="I28" s="245"/>
      <c r="J28" s="245"/>
      <c r="K28" s="245"/>
      <c r="L28" s="245"/>
      <c r="M28" s="245"/>
      <c r="N28" s="245"/>
      <c r="O28" s="245"/>
      <c r="P28" s="245"/>
      <c r="Q28" s="245"/>
      <c r="R28" s="245"/>
    </row>
    <row r="29" spans="1:18">
      <c r="A29" s="244"/>
      <c r="B29" s="244"/>
      <c r="C29" s="244"/>
      <c r="D29" s="244"/>
      <c r="E29" s="244"/>
      <c r="F29" s="244"/>
      <c r="G29" s="244"/>
      <c r="H29" s="248"/>
      <c r="I29" s="245"/>
      <c r="J29" s="245"/>
      <c r="K29" s="245"/>
      <c r="L29" s="245"/>
      <c r="M29" s="245"/>
      <c r="N29" s="245"/>
      <c r="O29" s="245"/>
      <c r="P29" s="245"/>
      <c r="Q29" s="245"/>
      <c r="R29" s="245"/>
    </row>
    <row r="30" spans="1:18">
      <c r="A30" s="244"/>
      <c r="B30" s="244"/>
      <c r="C30" s="244"/>
      <c r="D30" s="244"/>
      <c r="E30" s="244"/>
      <c r="F30" s="244"/>
      <c r="G30" s="244"/>
      <c r="H30" s="248"/>
      <c r="I30" s="245"/>
      <c r="J30" s="245"/>
      <c r="K30" s="245"/>
      <c r="L30" s="245"/>
      <c r="M30" s="245"/>
      <c r="N30" s="245"/>
      <c r="O30" s="245"/>
      <c r="P30" s="245"/>
      <c r="Q30" s="245"/>
      <c r="R30" s="245"/>
    </row>
    <row r="31" spans="1:18" ht="24.75" customHeight="1">
      <c r="A31" s="244"/>
      <c r="B31" s="779" t="str">
        <f>IF('beta estimation(inputs)'!E93&gt;0,CONCATENATE("Points in the NE or SW quadrants imply either that you have got the sign wrong for monetary policy (for instance, you have  produced a positive output gap when there was excess inflation)"," or you have overreacted  (for instance, you have made inflation fall below the target due to a too large negative gap caused by increasing the interest rate too much). This could even produce a negative estimated beta (a MR with positive slope)."),"")</f>
        <v>Points in the NE or SW quadrants imply either that you have got the sign wrong for monetary policy (for instance, you have  produced a positive output gap when there was excess inflation) or you have overreacted  (for instance, you have made inflation fall below the target due to a too large negative gap caused by increasing the interest rate too much). This could even produce a negative estimated beta (a MR with positive slope).</v>
      </c>
      <c r="C31" s="780"/>
      <c r="D31" s="780"/>
      <c r="E31" s="780"/>
      <c r="F31" s="780"/>
      <c r="G31" s="244"/>
      <c r="H31" s="248"/>
      <c r="I31" s="245"/>
      <c r="J31" s="245"/>
      <c r="K31" s="245"/>
      <c r="L31" s="245"/>
      <c r="M31" s="245"/>
      <c r="N31" s="245"/>
      <c r="O31" s="245"/>
      <c r="P31" s="245"/>
      <c r="Q31" s="245"/>
      <c r="R31" s="245"/>
    </row>
    <row r="32" spans="1:18">
      <c r="A32" s="244"/>
      <c r="B32" s="780"/>
      <c r="C32" s="780"/>
      <c r="D32" s="780"/>
      <c r="E32" s="780"/>
      <c r="F32" s="780"/>
      <c r="G32" s="244"/>
      <c r="H32" s="248"/>
      <c r="I32" s="245"/>
      <c r="J32" s="245"/>
      <c r="K32" s="245"/>
      <c r="L32" s="245"/>
      <c r="M32" s="245"/>
      <c r="N32" s="245"/>
      <c r="O32" s="245"/>
      <c r="P32" s="245"/>
      <c r="Q32" s="245"/>
      <c r="R32" s="245"/>
    </row>
    <row r="33" spans="1:18" ht="17.25" customHeight="1">
      <c r="A33" s="244"/>
      <c r="B33" s="780"/>
      <c r="C33" s="780"/>
      <c r="D33" s="780"/>
      <c r="E33" s="780"/>
      <c r="F33" s="780"/>
      <c r="G33" s="244"/>
      <c r="H33" s="248"/>
      <c r="I33" s="245"/>
      <c r="J33" s="245"/>
      <c r="K33" s="245"/>
      <c r="L33" s="245"/>
      <c r="M33" s="245"/>
      <c r="N33" s="245"/>
      <c r="O33" s="245"/>
      <c r="P33" s="245"/>
      <c r="Q33" s="245"/>
      <c r="R33" s="245"/>
    </row>
    <row r="34" spans="1:18" ht="21.75" customHeight="1">
      <c r="A34" s="244"/>
      <c r="B34" s="780"/>
      <c r="C34" s="780"/>
      <c r="D34" s="780"/>
      <c r="E34" s="780"/>
      <c r="F34" s="780"/>
      <c r="G34" s="244"/>
      <c r="H34" s="248"/>
      <c r="I34" s="245"/>
      <c r="J34" s="245"/>
      <c r="K34" s="245"/>
      <c r="L34" s="245"/>
      <c r="M34" s="245"/>
      <c r="N34" s="245"/>
      <c r="O34" s="245"/>
      <c r="P34" s="245"/>
      <c r="Q34" s="245"/>
      <c r="R34" s="245"/>
    </row>
    <row r="35" spans="1:18">
      <c r="A35" s="244"/>
      <c r="B35" s="244"/>
      <c r="C35" s="244"/>
      <c r="D35" s="244"/>
      <c r="E35" s="244"/>
      <c r="F35" s="244"/>
      <c r="G35" s="244"/>
      <c r="H35" s="248"/>
      <c r="I35" s="245"/>
      <c r="J35" s="245"/>
      <c r="K35" s="245"/>
      <c r="L35" s="245"/>
      <c r="M35" s="245"/>
      <c r="N35" s="245"/>
      <c r="O35" s="245"/>
      <c r="P35" s="245"/>
      <c r="Q35" s="245"/>
      <c r="R35" s="245"/>
    </row>
    <row r="36" spans="1:18">
      <c r="A36" s="244"/>
      <c r="B36" s="244"/>
      <c r="C36" s="244"/>
      <c r="D36" s="244"/>
      <c r="E36" s="244"/>
      <c r="F36" s="244"/>
      <c r="G36" s="244"/>
      <c r="H36" s="248"/>
      <c r="I36" s="245"/>
      <c r="J36" s="245"/>
      <c r="K36" s="245"/>
      <c r="L36" s="245"/>
      <c r="M36" s="245"/>
      <c r="N36" s="245"/>
      <c r="O36" s="245"/>
      <c r="P36" s="245"/>
      <c r="Q36" s="245"/>
      <c r="R36" s="245"/>
    </row>
    <row r="37" spans="1:18">
      <c r="A37" s="244"/>
      <c r="B37" s="244"/>
      <c r="C37" s="244"/>
      <c r="D37" s="244"/>
      <c r="E37" s="244"/>
      <c r="F37" s="244"/>
      <c r="G37" s="244"/>
      <c r="H37" s="248"/>
      <c r="I37" s="245"/>
      <c r="J37" s="245"/>
      <c r="K37" s="245"/>
      <c r="L37" s="245"/>
      <c r="M37" s="245"/>
      <c r="N37" s="245"/>
      <c r="O37" s="245"/>
      <c r="P37" s="245"/>
      <c r="Q37" s="245"/>
      <c r="R37" s="245"/>
    </row>
    <row r="38" spans="1:18">
      <c r="A38" s="244"/>
      <c r="B38" s="244"/>
      <c r="C38" s="244"/>
      <c r="D38" s="244"/>
      <c r="E38" s="244"/>
      <c r="F38" s="244"/>
      <c r="G38" s="244"/>
      <c r="H38" s="248"/>
      <c r="I38" s="245"/>
      <c r="J38" s="245"/>
      <c r="K38" s="245"/>
      <c r="L38" s="245"/>
      <c r="M38" s="245"/>
      <c r="N38" s="245"/>
      <c r="O38" s="245"/>
      <c r="P38" s="245"/>
      <c r="Q38" s="245"/>
      <c r="R38" s="245"/>
    </row>
    <row r="39" spans="1:18">
      <c r="A39" s="244"/>
      <c r="B39" s="244"/>
      <c r="C39" s="244"/>
      <c r="D39" s="244"/>
      <c r="E39" s="244"/>
      <c r="F39" s="244"/>
      <c r="G39" s="244"/>
      <c r="H39" s="248"/>
      <c r="I39" s="245"/>
      <c r="J39" s="245"/>
      <c r="K39" s="245"/>
      <c r="L39" s="245"/>
      <c r="M39" s="245"/>
      <c r="N39" s="245"/>
      <c r="O39" s="245"/>
      <c r="P39" s="245"/>
      <c r="Q39" s="245"/>
      <c r="R39" s="245"/>
    </row>
    <row r="40" spans="1:18">
      <c r="A40" s="244"/>
      <c r="B40" s="244"/>
      <c r="C40" s="244"/>
      <c r="D40" s="244"/>
      <c r="E40" s="244"/>
      <c r="F40" s="244"/>
      <c r="G40" s="244"/>
      <c r="H40" s="248"/>
      <c r="I40" s="245"/>
      <c r="J40" s="245"/>
      <c r="K40" s="245"/>
      <c r="L40" s="245"/>
      <c r="M40" s="245"/>
      <c r="N40" s="245"/>
      <c r="O40" s="245"/>
      <c r="P40" s="245"/>
      <c r="Q40" s="245"/>
      <c r="R40" s="245"/>
    </row>
    <row r="41" spans="1:18">
      <c r="A41" s="244"/>
      <c r="B41" s="244"/>
      <c r="C41" s="244"/>
      <c r="D41" s="244"/>
      <c r="E41" s="244"/>
      <c r="F41" s="244"/>
      <c r="G41" s="244"/>
      <c r="H41" s="248"/>
      <c r="I41" s="245"/>
      <c r="J41" s="245"/>
      <c r="K41" s="245"/>
      <c r="L41" s="245"/>
      <c r="M41" s="245"/>
      <c r="N41" s="245"/>
      <c r="O41" s="245"/>
      <c r="P41" s="245"/>
      <c r="Q41" s="245"/>
      <c r="R41" s="245"/>
    </row>
    <row r="42" spans="1:18">
      <c r="A42" s="244"/>
      <c r="B42" s="244"/>
      <c r="C42" s="244"/>
      <c r="D42" s="244"/>
      <c r="E42" s="244"/>
      <c r="F42" s="244"/>
      <c r="G42" s="244"/>
      <c r="H42" s="248"/>
      <c r="I42" s="245"/>
      <c r="J42" s="245"/>
      <c r="K42" s="245"/>
      <c r="L42" s="245"/>
      <c r="M42" s="245"/>
      <c r="N42" s="245"/>
      <c r="O42" s="245"/>
      <c r="P42" s="245"/>
      <c r="Q42" s="245"/>
      <c r="R42" s="245"/>
    </row>
    <row r="43" spans="1:18">
      <c r="A43" s="244"/>
      <c r="B43" s="244"/>
      <c r="C43" s="244"/>
      <c r="D43" s="244"/>
      <c r="E43" s="244"/>
      <c r="F43" s="244"/>
      <c r="G43" s="244"/>
      <c r="H43" s="248"/>
      <c r="I43" s="245"/>
      <c r="J43" s="245"/>
      <c r="K43" s="245"/>
      <c r="L43" s="245"/>
      <c r="M43" s="245"/>
      <c r="N43" s="245"/>
      <c r="O43" s="245"/>
      <c r="P43" s="245"/>
      <c r="Q43" s="245"/>
      <c r="R43" s="245"/>
    </row>
    <row r="44" spans="1:18">
      <c r="A44" s="244"/>
      <c r="B44" s="244"/>
      <c r="C44" s="244"/>
      <c r="D44" s="244"/>
      <c r="E44" s="244"/>
      <c r="F44" s="244"/>
      <c r="G44" s="244"/>
      <c r="H44" s="248"/>
      <c r="I44" s="245"/>
      <c r="J44" s="245"/>
      <c r="K44" s="245"/>
      <c r="L44" s="245"/>
      <c r="M44" s="245"/>
      <c r="N44" s="245"/>
      <c r="O44" s="245"/>
      <c r="P44" s="245"/>
      <c r="Q44" s="245"/>
      <c r="R44" s="245"/>
    </row>
    <row r="45" spans="1:18">
      <c r="A45" s="244"/>
      <c r="B45" s="244"/>
      <c r="C45" s="244"/>
      <c r="D45" s="244"/>
      <c r="E45" s="244"/>
      <c r="F45" s="244"/>
      <c r="G45" s="244"/>
      <c r="H45" s="248"/>
      <c r="I45" s="245"/>
      <c r="J45" s="245"/>
      <c r="K45" s="245"/>
      <c r="L45" s="245"/>
      <c r="M45" s="245"/>
      <c r="N45" s="245"/>
      <c r="O45" s="245"/>
      <c r="P45" s="245"/>
      <c r="Q45" s="245"/>
      <c r="R45" s="245"/>
    </row>
    <row r="46" spans="1:18">
      <c r="A46" s="244"/>
      <c r="B46" s="244"/>
      <c r="C46" s="244"/>
      <c r="D46" s="244"/>
      <c r="E46" s="244"/>
      <c r="F46" s="244"/>
      <c r="G46" s="244"/>
      <c r="H46" s="248"/>
      <c r="I46" s="245"/>
      <c r="J46" s="245"/>
      <c r="K46" s="245"/>
      <c r="L46" s="245"/>
      <c r="M46" s="245"/>
      <c r="N46" s="245"/>
      <c r="O46" s="245"/>
      <c r="P46" s="245"/>
      <c r="Q46" s="245"/>
      <c r="R46" s="245"/>
    </row>
    <row r="47" spans="1:18">
      <c r="A47" s="244"/>
      <c r="B47" s="244"/>
      <c r="C47" s="244"/>
      <c r="D47" s="244"/>
      <c r="E47" s="244"/>
      <c r="F47" s="244"/>
      <c r="G47" s="244"/>
      <c r="H47" s="248"/>
      <c r="I47" s="245"/>
      <c r="J47" s="245"/>
      <c r="K47" s="245"/>
      <c r="L47" s="245"/>
      <c r="M47" s="245"/>
      <c r="N47" s="245"/>
      <c r="O47" s="245"/>
      <c r="P47" s="245"/>
      <c r="Q47" s="245"/>
      <c r="R47" s="245"/>
    </row>
    <row r="48" spans="1:18">
      <c r="A48" s="244"/>
      <c r="B48" s="244"/>
      <c r="C48" s="244"/>
      <c r="D48" s="244"/>
      <c r="E48" s="244"/>
      <c r="F48" s="244"/>
      <c r="G48" s="244"/>
      <c r="H48" s="248"/>
      <c r="I48" s="245"/>
      <c r="J48" s="245"/>
      <c r="K48" s="245"/>
      <c r="L48" s="245"/>
      <c r="M48" s="245"/>
      <c r="N48" s="245"/>
      <c r="O48" s="245"/>
      <c r="P48" s="245"/>
      <c r="Q48" s="245"/>
      <c r="R48" s="245"/>
    </row>
    <row r="49" spans="1:18">
      <c r="A49" s="244"/>
      <c r="B49" s="244"/>
      <c r="C49" s="244"/>
      <c r="D49" s="244"/>
      <c r="E49" s="244"/>
      <c r="F49" s="244"/>
      <c r="G49" s="244"/>
      <c r="H49" s="248"/>
      <c r="I49" s="245"/>
      <c r="J49" s="245"/>
      <c r="K49" s="245"/>
      <c r="L49" s="245"/>
      <c r="M49" s="245"/>
      <c r="N49" s="245"/>
      <c r="O49" s="245"/>
      <c r="P49" s="245"/>
      <c r="Q49" s="245"/>
      <c r="R49" s="245"/>
    </row>
    <row r="50" spans="1:18">
      <c r="A50" s="244"/>
      <c r="B50" s="244"/>
      <c r="C50" s="244"/>
      <c r="D50" s="244"/>
      <c r="E50" s="244"/>
      <c r="F50" s="244"/>
      <c r="G50" s="244"/>
      <c r="H50" s="248"/>
      <c r="I50" s="245"/>
      <c r="J50" s="245"/>
      <c r="K50" s="245"/>
      <c r="L50" s="245"/>
      <c r="M50" s="245"/>
      <c r="N50" s="245"/>
      <c r="O50" s="245"/>
      <c r="P50" s="245"/>
      <c r="Q50" s="245"/>
      <c r="R50" s="245"/>
    </row>
    <row r="51" spans="1:18">
      <c r="A51" s="244"/>
      <c r="B51" s="244"/>
      <c r="C51" s="244"/>
      <c r="D51" s="244"/>
      <c r="E51" s="244"/>
      <c r="F51" s="244"/>
      <c r="G51" s="244"/>
      <c r="H51" s="248"/>
      <c r="I51" s="245"/>
      <c r="J51" s="245"/>
      <c r="K51" s="245"/>
      <c r="L51" s="245"/>
      <c r="M51" s="245"/>
      <c r="N51" s="245"/>
      <c r="O51" s="245"/>
      <c r="P51" s="245"/>
      <c r="Q51" s="245"/>
      <c r="R51" s="245"/>
    </row>
    <row r="52" spans="1:18">
      <c r="A52" s="244"/>
      <c r="B52" s="244"/>
      <c r="C52" s="244"/>
      <c r="D52" s="244"/>
      <c r="E52" s="244"/>
      <c r="F52" s="244"/>
      <c r="G52" s="244"/>
      <c r="H52" s="248"/>
      <c r="I52" s="245"/>
      <c r="J52" s="245"/>
      <c r="K52" s="245"/>
      <c r="L52" s="245"/>
      <c r="M52" s="245"/>
      <c r="N52" s="245"/>
      <c r="O52" s="245"/>
      <c r="P52" s="245"/>
      <c r="Q52" s="245"/>
      <c r="R52" s="245"/>
    </row>
    <row r="53" spans="1:18">
      <c r="A53" s="244"/>
      <c r="B53" s="244"/>
      <c r="C53" s="244"/>
      <c r="D53" s="244"/>
      <c r="E53" s="244"/>
      <c r="F53" s="244"/>
      <c r="G53" s="244"/>
      <c r="H53" s="248"/>
      <c r="I53" s="245"/>
      <c r="J53" s="245"/>
      <c r="K53" s="245"/>
      <c r="L53" s="245"/>
      <c r="M53" s="245"/>
      <c r="N53" s="245"/>
      <c r="O53" s="245"/>
      <c r="P53" s="245"/>
      <c r="Q53" s="245"/>
      <c r="R53" s="245"/>
    </row>
    <row r="54" spans="1:18">
      <c r="A54" s="244"/>
      <c r="B54" s="244"/>
      <c r="C54" s="244"/>
      <c r="D54" s="244"/>
      <c r="E54" s="244"/>
      <c r="F54" s="244"/>
      <c r="G54" s="244"/>
      <c r="H54" s="248"/>
      <c r="I54" s="245"/>
      <c r="J54" s="245"/>
      <c r="K54" s="245"/>
      <c r="L54" s="245"/>
      <c r="M54" s="245"/>
      <c r="N54" s="245"/>
      <c r="O54" s="245"/>
      <c r="P54" s="245"/>
      <c r="Q54" s="245"/>
      <c r="R54" s="245"/>
    </row>
    <row r="55" spans="1:18">
      <c r="A55" s="244"/>
      <c r="B55" s="244"/>
      <c r="C55" s="244"/>
      <c r="D55" s="244"/>
      <c r="E55" s="244"/>
      <c r="F55" s="244"/>
      <c r="G55" s="244"/>
      <c r="H55" s="248"/>
      <c r="I55" s="245"/>
      <c r="J55" s="245"/>
      <c r="K55" s="245"/>
      <c r="L55" s="245"/>
      <c r="M55" s="245"/>
      <c r="N55" s="245"/>
      <c r="O55" s="245"/>
      <c r="P55" s="245"/>
      <c r="Q55" s="245"/>
      <c r="R55" s="245"/>
    </row>
    <row r="56" spans="1:18">
      <c r="F56" s="258"/>
      <c r="H56" s="258"/>
    </row>
    <row r="57" spans="1:18">
      <c r="F57" s="258"/>
      <c r="H57" s="258"/>
    </row>
    <row r="58" spans="1:18">
      <c r="F58" s="258"/>
      <c r="H58" s="258"/>
    </row>
    <row r="59" spans="1:18">
      <c r="F59" s="258"/>
      <c r="H59" s="258"/>
    </row>
    <row r="60" spans="1:18">
      <c r="F60" s="258"/>
      <c r="H60" s="258"/>
    </row>
    <row r="61" spans="1:18">
      <c r="F61" s="258"/>
      <c r="H61" s="258"/>
    </row>
    <row r="62" spans="1:18">
      <c r="F62" s="258"/>
      <c r="H62" s="258"/>
    </row>
    <row r="63" spans="1:18">
      <c r="F63" s="257"/>
    </row>
    <row r="64" spans="1:18">
      <c r="F64" s="257"/>
    </row>
    <row r="65" spans="6:6">
      <c r="F65" s="257"/>
    </row>
    <row r="66" spans="6:6">
      <c r="F66" s="257"/>
    </row>
    <row r="67" spans="6:6">
      <c r="F67" s="257"/>
    </row>
    <row r="68" spans="6:6">
      <c r="F68" s="257"/>
    </row>
    <row r="69" spans="6:6">
      <c r="F69" s="257"/>
    </row>
  </sheetData>
  <sheetProtection selectLockedCells="1"/>
  <mergeCells count="10">
    <mergeCell ref="A3:A25"/>
    <mergeCell ref="C9:E15"/>
    <mergeCell ref="B31:F34"/>
    <mergeCell ref="J2:L2"/>
    <mergeCell ref="E4:E5"/>
    <mergeCell ref="E6:E7"/>
    <mergeCell ref="C4:D5"/>
    <mergeCell ref="C6:D7"/>
    <mergeCell ref="B2:F2"/>
    <mergeCell ref="J12:K14"/>
  </mergeCells>
  <conditionalFormatting sqref="J12">
    <cfRule type="expression" dxfId="3" priority="1">
      <formula>AND($C$18=0,$C$19&lt;0.0001,$K$10&lt;$L$10)</formula>
    </cfRule>
    <cfRule type="expression" dxfId="2" priority="3">
      <formula>C18&gt;0</formula>
    </cfRule>
  </conditionalFormatting>
  <conditionalFormatting sqref="B31:D34">
    <cfRule type="expression" dxfId="1" priority="2">
      <formula>D18&lt;&gt;0</formula>
    </cfRule>
  </conditionalFormatting>
  <conditionalFormatting sqref="E31:F34">
    <cfRule type="expression" dxfId="0" priority="61">
      <formula>H18&lt;&gt;0</formula>
    </cfRule>
  </conditionalFormatting>
  <pageMargins left="0.7" right="0.7" top="0.75" bottom="0.75" header="0.3" footer="0.3"/>
  <cellWatches>
    <cellWatch r="C9"/>
  </cellWatches>
  <drawing r:id="rId1"/>
  <legacyDrawing r:id="rId2"/>
  <mc:AlternateContent xmlns:mc="http://schemas.openxmlformats.org/markup-compatibility/2006">
    <mc:Choice Requires="x14">
      <controls>
        <mc:AlternateContent xmlns:mc="http://schemas.openxmlformats.org/markup-compatibility/2006">
          <mc:Choice Requires="x14">
            <control shapeId="55313" r:id="rId3" name="Button 17">
              <controlPr defaultSize="0" print="0" autoFill="0" autoPict="0" macro="[0]!yes">
                <anchor moveWithCells="1" sizeWithCells="1">
                  <from>
                    <xdr:col>11</xdr:col>
                    <xdr:colOff>50800</xdr:colOff>
                    <xdr:row>11</xdr:row>
                    <xdr:rowOff>0</xdr:rowOff>
                  </from>
                  <to>
                    <xdr:col>11</xdr:col>
                    <xdr:colOff>488950</xdr:colOff>
                    <xdr:row>13</xdr:row>
                    <xdr:rowOff>146050</xdr:rowOff>
                  </to>
                </anchor>
              </controlPr>
            </control>
          </mc:Choice>
        </mc:AlternateContent>
        <mc:AlternateContent xmlns:mc="http://schemas.openxmlformats.org/markup-compatibility/2006">
          <mc:Choice Requires="x14">
            <control shapeId="55315" r:id="rId4" name="Button 19">
              <controlPr defaultSize="0" print="0" autoFill="0" autoPict="0" macro="[0]!back">
                <anchor moveWithCells="1" sizeWithCells="1">
                  <from>
                    <xdr:col>6</xdr:col>
                    <xdr:colOff>222250</xdr:colOff>
                    <xdr:row>5</xdr:row>
                    <xdr:rowOff>69850</xdr:rowOff>
                  </from>
                  <to>
                    <xdr:col>8</xdr:col>
                    <xdr:colOff>171450</xdr:colOff>
                    <xdr:row>6</xdr:row>
                    <xdr:rowOff>228600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8"/>
  <dimension ref="A1:AEB44"/>
  <sheetViews>
    <sheetView showGridLines="0" workbookViewId="0">
      <pane xSplit="1" ySplit="3" topLeftCell="B4" activePane="bottomRight" state="frozenSplit"/>
      <selection activeCell="C45" sqref="C45"/>
      <selection pane="topRight" activeCell="C45" sqref="C45"/>
      <selection pane="bottomLeft" activeCell="C45" sqref="C45"/>
      <selection pane="bottomRight" activeCell="F36" sqref="F36"/>
    </sheetView>
  </sheetViews>
  <sheetFormatPr defaultColWidth="11.453125" defaultRowHeight="13"/>
  <cols>
    <col min="1" max="2" width="14.453125" style="33" customWidth="1"/>
    <col min="3" max="3" width="12.54296875" style="36" bestFit="1" customWidth="1"/>
    <col min="4" max="4" width="12.54296875" style="37" bestFit="1" customWidth="1"/>
    <col min="5" max="5" width="12.54296875" style="37" customWidth="1"/>
    <col min="6" max="6" width="11.81640625" style="37" bestFit="1" customWidth="1"/>
    <col min="7" max="7" width="15.1796875" style="35" customWidth="1"/>
    <col min="8" max="12" width="11.453125" style="9"/>
    <col min="13" max="804" width="0" style="9" hidden="1" customWidth="1"/>
    <col min="805" max="16384" width="11.453125" style="9"/>
  </cols>
  <sheetData>
    <row r="1" spans="1:808" ht="30.75" customHeight="1" thickBot="1">
      <c r="H1" s="9" t="s">
        <v>109</v>
      </c>
      <c r="P1" s="9" t="s">
        <v>108</v>
      </c>
    </row>
    <row r="2" spans="1:808" ht="14" thickTop="1" thickBot="1">
      <c r="A2" s="6"/>
      <c r="B2" s="739"/>
      <c r="C2" s="735"/>
      <c r="D2" s="735"/>
      <c r="E2" s="736"/>
      <c r="F2" s="736"/>
      <c r="G2" s="736"/>
      <c r="H2" s="739"/>
      <c r="I2" s="735"/>
      <c r="J2" s="735"/>
      <c r="K2" s="736"/>
      <c r="L2" s="736"/>
      <c r="M2" s="736"/>
    </row>
    <row r="3" spans="1:808" ht="14" thickTop="1" thickBot="1">
      <c r="A3" s="10" t="s">
        <v>14</v>
      </c>
      <c r="B3" s="12" t="s">
        <v>16</v>
      </c>
      <c r="C3" s="13" t="s">
        <v>13</v>
      </c>
      <c r="D3" s="7" t="s">
        <v>17</v>
      </c>
      <c r="E3" s="11" t="s">
        <v>15</v>
      </c>
      <c r="F3" s="7" t="s">
        <v>18</v>
      </c>
      <c r="G3" s="14" t="s">
        <v>19</v>
      </c>
      <c r="H3" s="13" t="s">
        <v>13</v>
      </c>
      <c r="I3" s="7" t="s">
        <v>17</v>
      </c>
      <c r="J3" s="11" t="s">
        <v>15</v>
      </c>
      <c r="K3" s="7" t="s">
        <v>18</v>
      </c>
      <c r="L3" s="14" t="s">
        <v>19</v>
      </c>
      <c r="M3" s="14"/>
      <c r="AEA3" s="423" t="s">
        <v>13</v>
      </c>
      <c r="AEB3" s="424" t="s">
        <v>15</v>
      </c>
    </row>
    <row r="4" spans="1:808" ht="14" thickTop="1" thickBot="1">
      <c r="A4" s="18">
        <v>1</v>
      </c>
      <c r="B4" s="20">
        <f>IF(F4="","",('choose m.p.'!D3-'choose m.p.'!B3)/'choose m.p.'!B3)</f>
        <v>0</v>
      </c>
      <c r="C4" s="21">
        <f>IF(F4="","",'choose m.p.'!D3)</f>
        <v>50</v>
      </c>
      <c r="D4" s="22"/>
      <c r="E4" s="20">
        <f>IF(F4="","",'choose m.p.'!G3/100)</f>
        <v>0.02</v>
      </c>
      <c r="F4" s="28">
        <f>IF('choose m.p.'!I3="","",'choose m.p.'!I3/100)</f>
        <v>0.02</v>
      </c>
      <c r="G4" s="20">
        <f>IF(F4="","",'choose m.p.'!H3/100)</f>
        <v>0</v>
      </c>
      <c r="H4" s="21">
        <f>IF(K4="","",'choose m.p. (endogenous policy)'!D3)</f>
        <v>50</v>
      </c>
      <c r="I4" s="21"/>
      <c r="J4" s="20">
        <f>IF(K4="","",'choose m.p. (endogenous policy)'!G3/100)</f>
        <v>0.02</v>
      </c>
      <c r="K4" s="20">
        <f>IF('choose m.p.'!I3="","",'choose m.p. (endogenous policy)'!I3/100)</f>
        <v>0.04</v>
      </c>
      <c r="L4" s="28">
        <f>IF(K4="","",'choose m.p. (endogenous policy)'!H3/100)</f>
        <v>0.02</v>
      </c>
      <c r="M4" s="20"/>
      <c r="AEA4" s="416">
        <f>IF(E4="","",IF(E4&gt;100,0,C4))</f>
        <v>50</v>
      </c>
      <c r="AEB4" s="396">
        <f>IF(E4="","",IF(E4&gt;100,0,E4))</f>
        <v>0.02</v>
      </c>
    </row>
    <row r="5" spans="1:808" ht="14" thickTop="1" thickBot="1">
      <c r="A5" s="18">
        <v>2</v>
      </c>
      <c r="B5" s="20">
        <f>IF(F5="","",('choose m.p.'!D4-'choose m.p.'!B4)/'choose m.p.'!B4)</f>
        <v>0.03</v>
      </c>
      <c r="C5" s="21">
        <f>IF(F5="","",'choose m.p.'!D4)</f>
        <v>51.5</v>
      </c>
      <c r="D5" s="27">
        <f>IF(F5="","",C5/C4-1)</f>
        <v>3.0000000000000027E-2</v>
      </c>
      <c r="E5" s="20">
        <f>IF(F5="","",'choose m.p.'!G4/100)</f>
        <v>3.5000000000000003E-2</v>
      </c>
      <c r="F5" s="28">
        <f>IF('choose m.p.'!I4="","",'choose m.p.'!I4/100)</f>
        <v>0.02</v>
      </c>
      <c r="G5" s="20">
        <f>IF(F5="","",'choose m.p.'!H4/100)</f>
        <v>-1.4999999999999999E-2</v>
      </c>
      <c r="H5" s="21">
        <f>IF(K5="","",'choose m.p. (endogenous policy)'!D4)</f>
        <v>50</v>
      </c>
      <c r="I5" s="225">
        <f>IF(F5="","",H5/H4-1)</f>
        <v>0</v>
      </c>
      <c r="J5" s="20">
        <f>IF(K5="","",'choose m.p. (endogenous policy)'!G4/100)</f>
        <v>0.02</v>
      </c>
      <c r="K5" s="20">
        <f>IF('choose m.p.'!I4="","",'choose m.p. (endogenous policy)'!I4/100)</f>
        <v>0.04</v>
      </c>
      <c r="L5" s="28">
        <f>IF(K5="","",'choose m.p. (endogenous policy)'!H4/100)</f>
        <v>0.02</v>
      </c>
      <c r="M5" s="20"/>
      <c r="AEA5" s="416">
        <f t="shared" ref="AEA5:AEA23" si="0">IF(E5="","",IF(E5&gt;100,0,C5))</f>
        <v>51.5</v>
      </c>
      <c r="AEB5" s="396">
        <f t="shared" ref="AEB5:AEB23" si="1">IF(E5="","",IF(E5&gt;100,0,E5))</f>
        <v>3.5000000000000003E-2</v>
      </c>
    </row>
    <row r="6" spans="1:808" ht="14" thickTop="1" thickBot="1">
      <c r="A6" s="18">
        <v>3</v>
      </c>
      <c r="B6" s="20">
        <f>IF(F6="","",('choose m.p.'!D5-'choose m.p.'!B5)/'choose m.p.'!B5)</f>
        <v>5.2499999999999998E-2</v>
      </c>
      <c r="C6" s="21">
        <f>IF(F6="","",'choose m.p.'!D5)</f>
        <v>52.625</v>
      </c>
      <c r="D6" s="27">
        <f t="shared" ref="D6:D23" si="2">IF(F6="","",C6/C5-1)</f>
        <v>2.1844660194174859E-2</v>
      </c>
      <c r="E6" s="20">
        <f>IF(F6="","",'choose m.p.'!G5/100)</f>
        <v>6.1249999999999999E-2</v>
      </c>
      <c r="F6" s="28">
        <f>IF('choose m.p.'!I5="","",'choose m.p.'!I5/100)</f>
        <v>0.02</v>
      </c>
      <c r="G6" s="20">
        <f>IF(F6="","",'choose m.p.'!H5/100)</f>
        <v>-4.1250000000000002E-2</v>
      </c>
      <c r="H6" s="21">
        <f>IF(K6="","",'choose m.p. (endogenous policy)'!D5)</f>
        <v>50</v>
      </c>
      <c r="I6" s="225">
        <f t="shared" ref="I6:I23" si="3">IF(F6="","",H6/H5-1)</f>
        <v>0</v>
      </c>
      <c r="J6" s="20">
        <f>IF(K6="","",'choose m.p. (endogenous policy)'!G5/100)</f>
        <v>0.02</v>
      </c>
      <c r="K6" s="20">
        <f>IF('choose m.p.'!I5="","",'choose m.p. (endogenous policy)'!I5/100)</f>
        <v>0.04</v>
      </c>
      <c r="L6" s="28">
        <f>IF(K6="","",'choose m.p. (endogenous policy)'!H5/100)</f>
        <v>0.02</v>
      </c>
      <c r="M6" s="20"/>
      <c r="AEA6" s="416">
        <f t="shared" si="0"/>
        <v>52.625</v>
      </c>
      <c r="AEB6" s="396">
        <f t="shared" si="1"/>
        <v>6.1249999999999999E-2</v>
      </c>
    </row>
    <row r="7" spans="1:808" ht="14" thickTop="1" thickBot="1">
      <c r="A7" s="18">
        <v>4</v>
      </c>
      <c r="B7" s="20">
        <f>IF(F7="","",('choose m.p.'!D6-'choose m.p.'!B6)/'choose m.p.'!B6)</f>
        <v>9.1874999999999998E-2</v>
      </c>
      <c r="C7" s="21">
        <f>IF(F7="","",'choose m.p.'!D6)</f>
        <v>54.59375</v>
      </c>
      <c r="D7" s="27">
        <f t="shared" si="2"/>
        <v>3.7410926365795794E-2</v>
      </c>
      <c r="E7" s="20">
        <f>IF(F7="","",'choose m.p.'!G6/100)</f>
        <v>0.1071875</v>
      </c>
      <c r="F7" s="28">
        <f>IF('choose m.p.'!I6="","",'choose m.p.'!I6/100)</f>
        <v>0.02</v>
      </c>
      <c r="G7" s="20">
        <f>IF(F7="","",'choose m.p.'!H6/100)</f>
        <v>-8.7187500000000001E-2</v>
      </c>
      <c r="H7" s="21">
        <f>IF(K7="","",'choose m.p. (endogenous policy)'!D6)</f>
        <v>50</v>
      </c>
      <c r="I7" s="225">
        <f t="shared" si="3"/>
        <v>0</v>
      </c>
      <c r="J7" s="20">
        <f>IF(K7="","",'choose m.p. (endogenous policy)'!G6/100)</f>
        <v>0.02</v>
      </c>
      <c r="K7" s="20">
        <f>IF('choose m.p.'!I6="","",'choose m.p. (endogenous policy)'!I6/100)</f>
        <v>0.04</v>
      </c>
      <c r="L7" s="28">
        <f>IF(K7="","",'choose m.p. (endogenous policy)'!H6/100)</f>
        <v>0.02</v>
      </c>
      <c r="M7" s="20"/>
      <c r="AEA7" s="416">
        <f t="shared" si="0"/>
        <v>54.59375</v>
      </c>
      <c r="AEB7" s="396">
        <f t="shared" si="1"/>
        <v>0.1071875</v>
      </c>
    </row>
    <row r="8" spans="1:808" ht="14" thickTop="1" thickBot="1">
      <c r="A8" s="18">
        <v>5</v>
      </c>
      <c r="B8" s="20">
        <f>IF(F8="","",('choose m.p.'!D7-'choose m.p.'!B7)/'choose m.p.'!B7)</f>
        <v>0.13594350961538465</v>
      </c>
      <c r="C8" s="21">
        <f>IF(F8="","",'choose m.p.'!D7)</f>
        <v>59.069062500000001</v>
      </c>
      <c r="D8" s="27">
        <f t="shared" si="2"/>
        <v>8.1974813966800175E-2</v>
      </c>
      <c r="E8" s="20">
        <f>IF(F8="","",'choose m.p.'!G7/100)</f>
        <v>0.177878125</v>
      </c>
      <c r="F8" s="28">
        <f>IF('choose m.p.'!I7="","",'choose m.p.'!I7/100)</f>
        <v>0.02</v>
      </c>
      <c r="G8" s="20">
        <f>IF(F8="","",'choose m.p.'!H7/100)</f>
        <v>-0.15787812500000001</v>
      </c>
      <c r="H8" s="21">
        <f>IF(K8="","",'choose m.p. (endogenous policy)'!D7)</f>
        <v>50</v>
      </c>
      <c r="I8" s="225">
        <f t="shared" si="3"/>
        <v>0</v>
      </c>
      <c r="J8" s="20">
        <f>IF(K8="","",'choose m.p. (endogenous policy)'!G7/100)</f>
        <v>5.0000000000000001E-3</v>
      </c>
      <c r="K8" s="20">
        <f>IF('choose m.p.'!I7="","",'choose m.p. (endogenous policy)'!I7/100)</f>
        <v>0</v>
      </c>
      <c r="L8" s="28">
        <f>IF(K8="","",'choose m.p. (endogenous policy)'!H7/100)</f>
        <v>-5.0000000000000001E-3</v>
      </c>
      <c r="M8" s="20"/>
      <c r="AEA8" s="416">
        <f t="shared" si="0"/>
        <v>59.069062500000001</v>
      </c>
      <c r="AEB8" s="396">
        <f t="shared" si="1"/>
        <v>0.177878125</v>
      </c>
    </row>
    <row r="9" spans="1:808" ht="14" thickTop="1" thickBot="1">
      <c r="A9" s="18">
        <v>6</v>
      </c>
      <c r="B9" s="20">
        <f>IF(F9="","",('choose m.p.'!D8-'choose m.p.'!B8)/'choose m.p.'!B8)</f>
        <v>0.2668171875</v>
      </c>
      <c r="C9" s="21">
        <f>IF(F9="","",'choose m.p.'!D8)</f>
        <v>63.340859375000001</v>
      </c>
      <c r="D9" s="27">
        <f t="shared" si="2"/>
        <v>7.2318684167367531E-2</v>
      </c>
      <c r="E9" s="20">
        <f>IF(F9="","",'choose m.p.'!G8/100)</f>
        <v>0.31128671875000002</v>
      </c>
      <c r="F9" s="28">
        <f>IF('choose m.p.'!I8="","",'choose m.p.'!I8/100)</f>
        <v>0.02</v>
      </c>
      <c r="G9" s="20">
        <f>IF(F9="","",'choose m.p.'!H8/100)</f>
        <v>-0.29128671875000001</v>
      </c>
      <c r="H9" s="21">
        <f>IF(K9="","",'choose m.p. (endogenous policy)'!D8)</f>
        <v>51.875</v>
      </c>
      <c r="I9" s="225">
        <f t="shared" si="3"/>
        <v>3.7500000000000089E-2</v>
      </c>
      <c r="J9" s="20">
        <f>IF(K9="","",'choose m.p. (endogenous policy)'!G8/100)</f>
        <v>2.375E-2</v>
      </c>
      <c r="K9" s="20">
        <f>IF('choose m.p.'!I8="","",'choose m.p. (endogenous policy)'!I8/100)</f>
        <v>4.697373796582472E-2</v>
      </c>
      <c r="L9" s="28">
        <f>IF(K9="","",'choose m.p. (endogenous policy)'!H8/100)</f>
        <v>2.3223737965824717E-2</v>
      </c>
      <c r="M9" s="20"/>
      <c r="AEA9" s="416">
        <f t="shared" si="0"/>
        <v>63.340859375000001</v>
      </c>
      <c r="AEB9" s="396">
        <f t="shared" si="1"/>
        <v>0.31128671875000002</v>
      </c>
    </row>
    <row r="10" spans="1:808" ht="14" thickTop="1" thickBot="1">
      <c r="A10" s="18">
        <v>7</v>
      </c>
      <c r="B10" s="20">
        <f>IF(F10="","",('choose m.p.'!D9-'choose m.p.'!B9)/'choose m.p.'!B9)</f>
        <v>0.46693007812500015</v>
      </c>
      <c r="C10" s="21">
        <f>IF(F10="","",'choose m.p.'!D9)</f>
        <v>73.346503906250007</v>
      </c>
      <c r="D10" s="27">
        <f t="shared" si="2"/>
        <v>0.15796508967478795</v>
      </c>
      <c r="E10" s="20">
        <f>IF(F10="","",'choose m.p.'!G9/100)</f>
        <v>0.54475175781250007</v>
      </c>
      <c r="F10" s="28">
        <f>IF('choose m.p.'!I9="","",'choose m.p.'!I9/100)</f>
        <v>0.02</v>
      </c>
      <c r="G10" s="20">
        <f>IF(F10="","",'choose m.p.'!H9/100)</f>
        <v>-0.52475175781250005</v>
      </c>
      <c r="H10" s="21">
        <f>IF(K10="","",'choose m.p. (endogenous policy)'!D9)</f>
        <v>49.758219652563149</v>
      </c>
      <c r="I10" s="225">
        <f t="shared" si="3"/>
        <v>-4.0805404287939329E-2</v>
      </c>
      <c r="J10" s="20">
        <f>IF(K10="","",'choose m.p. (endogenous policy)'!G9/100)</f>
        <v>2.1332196525631487E-2</v>
      </c>
      <c r="K10" s="20">
        <f>IF('choose m.p.'!I9="","",'choose m.p. (endogenous policy)'!I9/100)</f>
        <v>4.2477437196996294E-2</v>
      </c>
      <c r="L10" s="28">
        <f>IF(K10="","",'choose m.p. (endogenous policy)'!H9/100)</f>
        <v>2.1145240671364807E-2</v>
      </c>
      <c r="M10" s="20"/>
      <c r="AEA10" s="416">
        <f t="shared" si="0"/>
        <v>73.346503906250007</v>
      </c>
      <c r="AEB10" s="396">
        <f t="shared" si="1"/>
        <v>0.54475175781250007</v>
      </c>
    </row>
    <row r="11" spans="1:808" ht="14" thickTop="1" thickBot="1">
      <c r="A11" s="18">
        <v>8</v>
      </c>
      <c r="B11" s="20">
        <f>IF(F11="","",('choose m.p.'!D10-'choose m.p.'!B10)/'choose m.p.'!B10)</f>
        <v>0.81712763671874999</v>
      </c>
      <c r="C11" s="21">
        <f>IF(F11="","",'choose m.p.'!D10)</f>
        <v>90.856381835937498</v>
      </c>
      <c r="D11" s="27">
        <f t="shared" si="2"/>
        <v>0.23872818740029178</v>
      </c>
      <c r="E11" s="20">
        <f>IF(F11="","",'choose m.p.'!G10/100)</f>
        <v>0.95331557617187512</v>
      </c>
      <c r="F11" s="28">
        <f>IF('choose m.p.'!I10="","",'choose m.p.'!I10/100)</f>
        <v>0.02</v>
      </c>
      <c r="G11" s="20">
        <f>IF(F11="","",'choose m.p.'!H10/100)</f>
        <v>-0.93331557617187511</v>
      </c>
      <c r="H11" s="21">
        <f>IF(K11="","",'choose m.p. (endogenous policy)'!D10)</f>
        <v>49.914106949647639</v>
      </c>
      <c r="I11" s="225">
        <f t="shared" si="3"/>
        <v>3.1328953924190106E-3</v>
      </c>
      <c r="J11" s="20">
        <f>IF(K11="","",'choose m.p. (endogenous policy)'!G10/100)</f>
        <v>2.0473266022107878E-2</v>
      </c>
      <c r="K11" s="20">
        <f>IF('choose m.p.'!I10="","",'choose m.p. (endogenous policy)'!I10/100)</f>
        <v>4.088011552701562E-2</v>
      </c>
      <c r="L11" s="28">
        <f>IF(K11="","",'choose m.p. (endogenous policy)'!H10/100)</f>
        <v>2.0406849504907738E-2</v>
      </c>
      <c r="M11" s="20"/>
      <c r="AEA11" s="416">
        <f t="shared" si="0"/>
        <v>90.856381835937498</v>
      </c>
      <c r="AEB11" s="396">
        <f t="shared" si="1"/>
        <v>0.95331557617187512</v>
      </c>
    </row>
    <row r="12" spans="1:808" ht="14" thickTop="1" thickBot="1">
      <c r="A12" s="18">
        <v>9</v>
      </c>
      <c r="B12" s="20" t="str">
        <f>IF(F12="","",('choose m.p.'!D11-'choose m.p.'!B11)/'choose m.p.'!B11)</f>
        <v/>
      </c>
      <c r="C12" s="21" t="str">
        <f>IF(F12="","",'choose m.p.'!D11)</f>
        <v/>
      </c>
      <c r="D12" s="27" t="str">
        <f t="shared" si="2"/>
        <v/>
      </c>
      <c r="E12" s="20" t="str">
        <f>IF(F12="","",'choose m.p.'!G11/100)</f>
        <v/>
      </c>
      <c r="F12" s="28" t="str">
        <f>IF('choose m.p.'!I11="","",'choose m.p.'!I11/100)</f>
        <v/>
      </c>
      <c r="G12" s="20" t="str">
        <f>IF(F12="","",'choose m.p.'!H11/100)</f>
        <v/>
      </c>
      <c r="H12" s="21" t="str">
        <f>IF(K12="","",'choose m.p. (endogenous policy)'!D11)</f>
        <v/>
      </c>
      <c r="I12" s="225" t="str">
        <f t="shared" si="3"/>
        <v/>
      </c>
      <c r="J12" s="20" t="str">
        <f>IF(K12="","",'choose m.p. (endogenous policy)'!G11/100)</f>
        <v/>
      </c>
      <c r="K12" s="20" t="str">
        <f>IF('choose m.p.'!I11="","",'choose m.p. (endogenous policy)'!I11/100)</f>
        <v/>
      </c>
      <c r="L12" s="28" t="str">
        <f>IF(K12="","",'choose m.p. (endogenous policy)'!H11/100)</f>
        <v/>
      </c>
      <c r="M12" s="20"/>
      <c r="AEA12" s="416" t="str">
        <f t="shared" si="0"/>
        <v/>
      </c>
      <c r="AEB12" s="396" t="str">
        <f t="shared" si="1"/>
        <v/>
      </c>
    </row>
    <row r="13" spans="1:808" ht="14" thickTop="1" thickBot="1">
      <c r="A13" s="18">
        <v>10</v>
      </c>
      <c r="B13" s="20" t="str">
        <f>IF(F13="","",('choose m.p.'!D12-'choose m.p.'!B12)/'choose m.p.'!B12)</f>
        <v/>
      </c>
      <c r="C13" s="21" t="str">
        <f>IF(F13="","",'choose m.p.'!D12)</f>
        <v/>
      </c>
      <c r="D13" s="27" t="str">
        <f t="shared" si="2"/>
        <v/>
      </c>
      <c r="E13" s="20" t="str">
        <f>IF(F13="","",'choose m.p.'!G12/100)</f>
        <v/>
      </c>
      <c r="F13" s="28" t="str">
        <f>IF('choose m.p.'!I12="","",'choose m.p.'!I12/100)</f>
        <v/>
      </c>
      <c r="G13" s="20" t="str">
        <f>IF(F13="","",'choose m.p.'!H12/100)</f>
        <v/>
      </c>
      <c r="H13" s="21" t="str">
        <f>IF(K13="","",'choose m.p. (endogenous policy)'!D12)</f>
        <v/>
      </c>
      <c r="I13" s="225" t="str">
        <f t="shared" si="3"/>
        <v/>
      </c>
      <c r="J13" s="20" t="str">
        <f>IF(K13="","",'choose m.p. (endogenous policy)'!G12/100)</f>
        <v/>
      </c>
      <c r="K13" s="20" t="str">
        <f>IF('choose m.p.'!I12="","",'choose m.p. (endogenous policy)'!I12/100)</f>
        <v/>
      </c>
      <c r="L13" s="28" t="str">
        <f>IF(K13="","",'choose m.p. (endogenous policy)'!H12/100)</f>
        <v/>
      </c>
      <c r="M13" s="20"/>
      <c r="AEA13" s="416" t="str">
        <f t="shared" si="0"/>
        <v/>
      </c>
      <c r="AEB13" s="396" t="str">
        <f t="shared" si="1"/>
        <v/>
      </c>
    </row>
    <row r="14" spans="1:808" ht="14" thickTop="1" thickBot="1">
      <c r="A14" s="18">
        <v>11</v>
      </c>
      <c r="B14" s="20" t="str">
        <f>IF(F14="","",('choose m.p.'!D13-'choose m.p.'!B13)/'choose m.p.'!B13)</f>
        <v/>
      </c>
      <c r="C14" s="21" t="str">
        <f>IF(F14="","",'choose m.p.'!D13)</f>
        <v/>
      </c>
      <c r="D14" s="27" t="str">
        <f t="shared" si="2"/>
        <v/>
      </c>
      <c r="E14" s="20" t="str">
        <f>IF(F14="","",'choose m.p.'!G13/100)</f>
        <v/>
      </c>
      <c r="F14" s="28" t="str">
        <f>IF('choose m.p.'!I13="","",'choose m.p.'!I13/100)</f>
        <v/>
      </c>
      <c r="G14" s="20" t="str">
        <f>IF(F14="","",'choose m.p.'!H13/100)</f>
        <v/>
      </c>
      <c r="H14" s="21" t="str">
        <f>IF(K14="","",'choose m.p. (endogenous policy)'!D13)</f>
        <v/>
      </c>
      <c r="I14" s="225" t="str">
        <f t="shared" si="3"/>
        <v/>
      </c>
      <c r="J14" s="20" t="str">
        <f>IF(K14="","",'choose m.p. (endogenous policy)'!G13/100)</f>
        <v/>
      </c>
      <c r="K14" s="20" t="str">
        <f>IF('choose m.p.'!I13="","",'choose m.p. (endogenous policy)'!I13/100)</f>
        <v/>
      </c>
      <c r="L14" s="28" t="str">
        <f>IF(K14="","",'choose m.p. (endogenous policy)'!H13/100)</f>
        <v/>
      </c>
      <c r="M14" s="20"/>
      <c r="AEA14" s="416" t="str">
        <f t="shared" si="0"/>
        <v/>
      </c>
      <c r="AEB14" s="396" t="str">
        <f t="shared" si="1"/>
        <v/>
      </c>
    </row>
    <row r="15" spans="1:808" ht="14" thickTop="1" thickBot="1">
      <c r="A15" s="18">
        <v>12</v>
      </c>
      <c r="B15" s="20" t="str">
        <f>IF(F15="","",('choose m.p.'!D14-'choose m.p.'!B14)/'choose m.p.'!B14)</f>
        <v/>
      </c>
      <c r="C15" s="21" t="str">
        <f>IF(F15="","",'choose m.p.'!D14)</f>
        <v/>
      </c>
      <c r="D15" s="27" t="str">
        <f t="shared" si="2"/>
        <v/>
      </c>
      <c r="E15" s="20" t="str">
        <f>IF(F15="","",'choose m.p.'!G14/100)</f>
        <v/>
      </c>
      <c r="F15" s="28" t="str">
        <f>IF('choose m.p.'!I14="","",'choose m.p.'!I14/100)</f>
        <v/>
      </c>
      <c r="G15" s="20" t="str">
        <f>IF(F15="","",'choose m.p.'!H14/100)</f>
        <v/>
      </c>
      <c r="H15" s="21" t="str">
        <f>IF(K15="","",'choose m.p. (endogenous policy)'!D14)</f>
        <v/>
      </c>
      <c r="I15" s="225" t="str">
        <f t="shared" si="3"/>
        <v/>
      </c>
      <c r="J15" s="20" t="str">
        <f>IF(K15="","",'choose m.p. (endogenous policy)'!G14/100)</f>
        <v/>
      </c>
      <c r="K15" s="20" t="str">
        <f>IF('choose m.p.'!I14="","",'choose m.p. (endogenous policy)'!I14/100)</f>
        <v/>
      </c>
      <c r="L15" s="28" t="str">
        <f>IF(K15="","",'choose m.p. (endogenous policy)'!H14/100)</f>
        <v/>
      </c>
      <c r="M15" s="20"/>
      <c r="AEA15" s="416" t="str">
        <f t="shared" si="0"/>
        <v/>
      </c>
      <c r="AEB15" s="396" t="str">
        <f t="shared" si="1"/>
        <v/>
      </c>
    </row>
    <row r="16" spans="1:808" ht="14" thickTop="1" thickBot="1">
      <c r="A16" s="18">
        <v>13</v>
      </c>
      <c r="B16" s="20" t="str">
        <f>IF(F16="","",('choose m.p.'!D15-'choose m.p.'!B15)/'choose m.p.'!B15)</f>
        <v/>
      </c>
      <c r="C16" s="21" t="str">
        <f>IF(F16="","",'choose m.p.'!D15)</f>
        <v/>
      </c>
      <c r="D16" s="27" t="str">
        <f t="shared" si="2"/>
        <v/>
      </c>
      <c r="E16" s="20" t="str">
        <f>IF(F16="","",'choose m.p.'!G15/100)</f>
        <v/>
      </c>
      <c r="F16" s="28" t="str">
        <f>IF('choose m.p.'!I15="","",'choose m.p.'!I15/100)</f>
        <v/>
      </c>
      <c r="G16" s="20" t="str">
        <f>IF(F16="","",'choose m.p.'!H15/100)</f>
        <v/>
      </c>
      <c r="H16" s="21" t="str">
        <f>IF(K16="","",'choose m.p. (endogenous policy)'!D15)</f>
        <v/>
      </c>
      <c r="I16" s="225" t="str">
        <f t="shared" si="3"/>
        <v/>
      </c>
      <c r="J16" s="20" t="str">
        <f>IF(K16="","",'choose m.p. (endogenous policy)'!G15/100)</f>
        <v/>
      </c>
      <c r="K16" s="20" t="str">
        <f>IF('choose m.p.'!I15="","",'choose m.p. (endogenous policy)'!I15/100)</f>
        <v/>
      </c>
      <c r="L16" s="28" t="str">
        <f>IF(K16="","",'choose m.p. (endogenous policy)'!H15/100)</f>
        <v/>
      </c>
      <c r="M16" s="20"/>
      <c r="AEA16" s="416" t="str">
        <f t="shared" si="0"/>
        <v/>
      </c>
      <c r="AEB16" s="396" t="str">
        <f t="shared" si="1"/>
        <v/>
      </c>
    </row>
    <row r="17" spans="1:808" ht="14" thickTop="1" thickBot="1">
      <c r="A17" s="18">
        <v>14</v>
      </c>
      <c r="B17" s="20" t="str">
        <f>IF(F17="","",('choose m.p.'!D16-'choose m.p.'!B16)/'choose m.p.'!B16)</f>
        <v/>
      </c>
      <c r="C17" s="21" t="str">
        <f>IF(F17="","",'choose m.p.'!D16)</f>
        <v/>
      </c>
      <c r="D17" s="27" t="str">
        <f t="shared" si="2"/>
        <v/>
      </c>
      <c r="E17" s="20" t="str">
        <f>IF(F17="","",'choose m.p.'!G16/100)</f>
        <v/>
      </c>
      <c r="F17" s="28" t="str">
        <f>IF('choose m.p.'!I16="","",'choose m.p.'!I16/100)</f>
        <v/>
      </c>
      <c r="G17" s="20" t="str">
        <f>IF(F17="","",'choose m.p.'!H16/100)</f>
        <v/>
      </c>
      <c r="H17" s="21" t="str">
        <f>IF(K17="","",'choose m.p. (endogenous policy)'!D16)</f>
        <v/>
      </c>
      <c r="I17" s="225" t="str">
        <f t="shared" si="3"/>
        <v/>
      </c>
      <c r="J17" s="20" t="str">
        <f>IF(K17="","",'choose m.p. (endogenous policy)'!G16/100)</f>
        <v/>
      </c>
      <c r="K17" s="20" t="str">
        <f>IF('choose m.p.'!I16="","",'choose m.p. (endogenous policy)'!I16/100)</f>
        <v/>
      </c>
      <c r="L17" s="28" t="str">
        <f>IF(K17="","",'choose m.p. (endogenous policy)'!H16/100)</f>
        <v/>
      </c>
      <c r="M17" s="20"/>
      <c r="AEA17" s="416" t="str">
        <f t="shared" si="0"/>
        <v/>
      </c>
      <c r="AEB17" s="396" t="str">
        <f t="shared" si="1"/>
        <v/>
      </c>
    </row>
    <row r="18" spans="1:808" ht="14" thickTop="1" thickBot="1">
      <c r="A18" s="18">
        <v>15</v>
      </c>
      <c r="B18" s="20" t="str">
        <f>IF(F18="","",('choose m.p.'!D17-'choose m.p.'!B17)/'choose m.p.'!B17)</f>
        <v/>
      </c>
      <c r="C18" s="21" t="str">
        <f>IF(F18="","",'choose m.p.'!D17)</f>
        <v/>
      </c>
      <c r="D18" s="27" t="str">
        <f t="shared" si="2"/>
        <v/>
      </c>
      <c r="E18" s="20" t="str">
        <f>IF(F18="","",'choose m.p.'!G17/100)</f>
        <v/>
      </c>
      <c r="F18" s="28" t="str">
        <f>IF('choose m.p.'!I17="","",'choose m.p.'!I17/100)</f>
        <v/>
      </c>
      <c r="G18" s="20" t="str">
        <f>IF(F18="","",'choose m.p.'!H17/100)</f>
        <v/>
      </c>
      <c r="H18" s="21" t="str">
        <f>IF(K18="","",'choose m.p. (endogenous policy)'!D17)</f>
        <v/>
      </c>
      <c r="I18" s="225" t="str">
        <f t="shared" si="3"/>
        <v/>
      </c>
      <c r="J18" s="20" t="str">
        <f>IF(K18="","",'choose m.p. (endogenous policy)'!G17/100)</f>
        <v/>
      </c>
      <c r="K18" s="20" t="str">
        <f>IF('choose m.p.'!I17="","",'choose m.p. (endogenous policy)'!I17/100)</f>
        <v/>
      </c>
      <c r="L18" s="28" t="str">
        <f>IF(K18="","",'choose m.p. (endogenous policy)'!H17/100)</f>
        <v/>
      </c>
      <c r="M18" s="20"/>
      <c r="AEA18" s="416" t="str">
        <f t="shared" si="0"/>
        <v/>
      </c>
      <c r="AEB18" s="396" t="str">
        <f t="shared" si="1"/>
        <v/>
      </c>
    </row>
    <row r="19" spans="1:808" ht="14" thickTop="1" thickBot="1">
      <c r="A19" s="18">
        <v>16</v>
      </c>
      <c r="B19" s="20" t="str">
        <f>IF(F19="","",('choose m.p.'!D18-'choose m.p.'!B18)/'choose m.p.'!B18)</f>
        <v/>
      </c>
      <c r="C19" s="21" t="str">
        <f>IF(F19="","",'choose m.p.'!D18)</f>
        <v/>
      </c>
      <c r="D19" s="27" t="str">
        <f t="shared" si="2"/>
        <v/>
      </c>
      <c r="E19" s="20" t="str">
        <f>IF(F19="","",'choose m.p.'!G18/100)</f>
        <v/>
      </c>
      <c r="F19" s="28" t="str">
        <f>IF('choose m.p.'!I18="","",'choose m.p.'!I18/100)</f>
        <v/>
      </c>
      <c r="G19" s="20" t="str">
        <f>IF(F19="","",'choose m.p.'!H18/100)</f>
        <v/>
      </c>
      <c r="H19" s="21" t="str">
        <f>IF(K19="","",'choose m.p. (endogenous policy)'!D18)</f>
        <v/>
      </c>
      <c r="I19" s="225" t="str">
        <f t="shared" si="3"/>
        <v/>
      </c>
      <c r="J19" s="20" t="str">
        <f>IF(K19="","",'choose m.p. (endogenous policy)'!G18/100)</f>
        <v/>
      </c>
      <c r="K19" s="20" t="str">
        <f>IF('choose m.p.'!I18="","",'choose m.p. (endogenous policy)'!I18/100)</f>
        <v/>
      </c>
      <c r="L19" s="28" t="str">
        <f>IF(K19="","",'choose m.p. (endogenous policy)'!H18/100)</f>
        <v/>
      </c>
      <c r="M19" s="20"/>
      <c r="AEA19" s="416" t="str">
        <f>IF(E19="","",IF(E19&gt;100,0,C19))</f>
        <v/>
      </c>
      <c r="AEB19" s="396" t="str">
        <f t="shared" si="1"/>
        <v/>
      </c>
    </row>
    <row r="20" spans="1:808" ht="14" thickTop="1" thickBot="1">
      <c r="A20" s="18">
        <v>17</v>
      </c>
      <c r="B20" s="20" t="str">
        <f>IF(F20="","",('choose m.p.'!D19-'choose m.p.'!B19)/'choose m.p.'!B19)</f>
        <v/>
      </c>
      <c r="C20" s="21" t="str">
        <f>IF(F20="","",'choose m.p.'!D19)</f>
        <v/>
      </c>
      <c r="D20" s="27" t="str">
        <f t="shared" si="2"/>
        <v/>
      </c>
      <c r="E20" s="20" t="str">
        <f>IF(F20="","",'choose m.p.'!G19/100)</f>
        <v/>
      </c>
      <c r="F20" s="28" t="str">
        <f>IF('choose m.p.'!I19="","",'choose m.p.'!I19/100)</f>
        <v/>
      </c>
      <c r="G20" s="20" t="str">
        <f>IF(F20="","",'choose m.p.'!H19/100)</f>
        <v/>
      </c>
      <c r="H20" s="21" t="str">
        <f>IF(K20="","",'choose m.p. (endogenous policy)'!D19)</f>
        <v/>
      </c>
      <c r="I20" s="225" t="str">
        <f t="shared" si="3"/>
        <v/>
      </c>
      <c r="J20" s="20" t="str">
        <f>IF(K20="","",'choose m.p. (endogenous policy)'!G19/100)</f>
        <v/>
      </c>
      <c r="K20" s="20" t="str">
        <f>IF('choose m.p.'!I19="","",'choose m.p. (endogenous policy)'!I19/100)</f>
        <v/>
      </c>
      <c r="L20" s="28" t="str">
        <f>IF(K20="","",'choose m.p. (endogenous policy)'!H19/100)</f>
        <v/>
      </c>
      <c r="M20" s="20"/>
      <c r="AEA20" s="416" t="str">
        <f t="shared" si="0"/>
        <v/>
      </c>
      <c r="AEB20" s="396" t="str">
        <f t="shared" si="1"/>
        <v/>
      </c>
    </row>
    <row r="21" spans="1:808" ht="14" thickTop="1" thickBot="1">
      <c r="A21" s="18">
        <v>18</v>
      </c>
      <c r="B21" s="20" t="str">
        <f>IF(F21="","",('choose m.p.'!D20-'choose m.p.'!B20)/'choose m.p.'!B20)</f>
        <v/>
      </c>
      <c r="C21" s="21" t="str">
        <f>IF(F21="","",'choose m.p.'!D20)</f>
        <v/>
      </c>
      <c r="D21" s="27" t="str">
        <f t="shared" si="2"/>
        <v/>
      </c>
      <c r="E21" s="20" t="str">
        <f>IF(F21="","",'choose m.p.'!G20/100)</f>
        <v/>
      </c>
      <c r="F21" s="28" t="str">
        <f>IF('choose m.p.'!I20="","",'choose m.p.'!I20/100)</f>
        <v/>
      </c>
      <c r="G21" s="20" t="str">
        <f>IF(F21="","",'choose m.p.'!H20/100)</f>
        <v/>
      </c>
      <c r="H21" s="21" t="str">
        <f>IF(K21="","",'choose m.p. (endogenous policy)'!D20)</f>
        <v/>
      </c>
      <c r="I21" s="225" t="str">
        <f t="shared" si="3"/>
        <v/>
      </c>
      <c r="J21" s="20" t="str">
        <f>IF(K21="","",'choose m.p. (endogenous policy)'!G20/100)</f>
        <v/>
      </c>
      <c r="K21" s="20" t="str">
        <f>IF('choose m.p.'!I20="","",'choose m.p. (endogenous policy)'!I20/100)</f>
        <v/>
      </c>
      <c r="L21" s="28" t="str">
        <f>IF(K21="","",'choose m.p. (endogenous policy)'!H20/100)</f>
        <v/>
      </c>
      <c r="M21" s="20"/>
      <c r="AEA21" s="416" t="str">
        <f t="shared" si="0"/>
        <v/>
      </c>
      <c r="AEB21" s="396" t="str">
        <f t="shared" si="1"/>
        <v/>
      </c>
    </row>
    <row r="22" spans="1:808" ht="14" thickTop="1" thickBot="1">
      <c r="A22" s="18">
        <v>19</v>
      </c>
      <c r="B22" s="20" t="str">
        <f>IF(F22="","",('choose m.p.'!D21-'choose m.p.'!B21)/'choose m.p.'!B21)</f>
        <v/>
      </c>
      <c r="C22" s="21" t="str">
        <f>IF(F22="","",'choose m.p.'!D21)</f>
        <v/>
      </c>
      <c r="D22" s="27" t="str">
        <f t="shared" si="2"/>
        <v/>
      </c>
      <c r="E22" s="20" t="str">
        <f>IF(F22="","",'choose m.p.'!G21/100)</f>
        <v/>
      </c>
      <c r="F22" s="28" t="str">
        <f>IF('choose m.p.'!I21="","",'choose m.p.'!I21/100)</f>
        <v/>
      </c>
      <c r="G22" s="20" t="str">
        <f>IF(F22="","",'choose m.p.'!H21/100)</f>
        <v/>
      </c>
      <c r="H22" s="21" t="str">
        <f>IF(K22="","",'choose m.p. (endogenous policy)'!D21)</f>
        <v/>
      </c>
      <c r="I22" s="225" t="str">
        <f t="shared" si="3"/>
        <v/>
      </c>
      <c r="J22" s="20" t="str">
        <f>IF(K22="","",'choose m.p. (endogenous policy)'!G21/100)</f>
        <v/>
      </c>
      <c r="K22" s="20" t="str">
        <f>IF('choose m.p.'!I21="","",'choose m.p. (endogenous policy)'!I21/100)</f>
        <v/>
      </c>
      <c r="L22" s="28" t="str">
        <f>IF(K22="","",'choose m.p. (endogenous policy)'!H21/100)</f>
        <v/>
      </c>
      <c r="M22" s="20"/>
      <c r="AEA22" s="416" t="str">
        <f t="shared" si="0"/>
        <v/>
      </c>
      <c r="AEB22" s="396" t="str">
        <f t="shared" si="1"/>
        <v/>
      </c>
    </row>
    <row r="23" spans="1:808" ht="14" thickTop="1" thickBot="1">
      <c r="A23" s="18">
        <v>20</v>
      </c>
      <c r="B23" s="20" t="str">
        <f>IF(F23="","",('choose m.p.'!D22-'choose m.p.'!B22)/'choose m.p.'!B22)</f>
        <v/>
      </c>
      <c r="C23" s="21" t="str">
        <f>IF(F23="","",'choose m.p.'!D22)</f>
        <v/>
      </c>
      <c r="D23" s="27" t="str">
        <f t="shared" si="2"/>
        <v/>
      </c>
      <c r="E23" s="20" t="str">
        <f>IF(F23="","",'choose m.p.'!G22/100)</f>
        <v/>
      </c>
      <c r="F23" s="28" t="str">
        <f>IF('choose m.p.'!I22="","",'choose m.p.'!I22/100)</f>
        <v/>
      </c>
      <c r="G23" s="20" t="str">
        <f>IF(F23="","",'choose m.p.'!H22/100)</f>
        <v/>
      </c>
      <c r="H23" s="21" t="str">
        <f>IF(K23="","",'choose m.p. (endogenous policy)'!D22)</f>
        <v/>
      </c>
      <c r="I23" s="225" t="str">
        <f t="shared" si="3"/>
        <v/>
      </c>
      <c r="J23" s="20" t="str">
        <f>IF(K23="","",'choose m.p. (endogenous policy)'!G22/100)</f>
        <v/>
      </c>
      <c r="K23" s="20" t="str">
        <f>IF('choose m.p.'!I22="","",'choose m.p. (endogenous policy)'!I22/100)</f>
        <v/>
      </c>
      <c r="L23" s="28" t="str">
        <f>IF(K23="","",'choose m.p. (endogenous policy)'!H22/100)</f>
        <v/>
      </c>
      <c r="M23" s="20"/>
      <c r="AEA23" s="419" t="str">
        <f t="shared" si="0"/>
        <v/>
      </c>
      <c r="AEB23" s="399" t="str">
        <f t="shared" si="1"/>
        <v/>
      </c>
    </row>
    <row r="24" spans="1:808" ht="13.5" thickTop="1">
      <c r="E24" s="219"/>
      <c r="F24" s="220"/>
    </row>
    <row r="25" spans="1:808">
      <c r="C25" s="410"/>
      <c r="D25" s="411">
        <f>SUM(D26:D44)</f>
        <v>746.39031257057229</v>
      </c>
      <c r="E25" s="412"/>
      <c r="F25" s="413">
        <f>SUM(F26:F44)</f>
        <v>3680.3902000370035</v>
      </c>
      <c r="H25" s="420"/>
      <c r="I25" s="421">
        <f>SUM(I26:I44)</f>
        <v>3.5740827364066843</v>
      </c>
      <c r="J25" s="412"/>
      <c r="K25" s="422">
        <f>SUM(K26:K44)</f>
        <v>0.15837247582904609</v>
      </c>
    </row>
    <row r="26" spans="1:808">
      <c r="C26" s="404">
        <f>IF(E4="","",(AEA4-'choose m.p.'!B3)^2)</f>
        <v>0</v>
      </c>
      <c r="D26" s="405">
        <f>IF('choose m.p.'!L3="",IF('choose m.p.'!M3="",'loss level(inputs)'!C26,0),)</f>
        <v>0</v>
      </c>
      <c r="E26" s="405">
        <f>IF(E4="","",(AEB4*100-'input own m.p.'!$K$16)^2)</f>
        <v>0</v>
      </c>
      <c r="F26" s="391">
        <f>IF('choose m.p.'!L3="",IF('choose m.p.'!M3="",'loss level(inputs)'!E26,0),)</f>
        <v>0</v>
      </c>
      <c r="H26" s="416">
        <f>IF(E4="","",('choose m.p. (endogenous policy)'!D3-'choose m.p. (endogenous policy)'!B3)^2)</f>
        <v>0</v>
      </c>
      <c r="I26" s="405">
        <f>IF('choose m.p.'!L3="",IF('choose m.p.'!M3="",'loss level(inputs)'!H26,0),)</f>
        <v>0</v>
      </c>
      <c r="J26" s="405">
        <f>IF(E4="","",(J4*100-'input own m.p.'!$K$16)^2)</f>
        <v>0</v>
      </c>
      <c r="K26" s="396">
        <f>IF('choose m.p.'!L3="",IF('choose m.p.'!M3="",'loss level(inputs)'!J26,0),)</f>
        <v>0</v>
      </c>
    </row>
    <row r="27" spans="1:808">
      <c r="C27" s="404">
        <f>IF(E5="","",(AEA5-'choose m.p.'!B4)^2)</f>
        <v>2.25</v>
      </c>
      <c r="D27" s="405">
        <f>IF('choose m.p.'!L4="",IF('choose m.p.'!M4="",'loss level(inputs)'!C27,0),)</f>
        <v>2.25</v>
      </c>
      <c r="E27" s="405">
        <f>IF(E5="","",(AEB5*100-'input own m.p.'!$K$16)^2)</f>
        <v>2.2500000000000013</v>
      </c>
      <c r="F27" s="391">
        <f>IF('choose m.p.'!L4="",IF('choose m.p.'!M4="",'loss level(inputs)'!E27,0),)</f>
        <v>2.2500000000000013</v>
      </c>
      <c r="H27" s="416">
        <f>IF(E5="","",('choose m.p. (endogenous policy)'!D4-'choose m.p. (endogenous policy)'!B4)^2)</f>
        <v>0</v>
      </c>
      <c r="I27" s="405">
        <f>IF('choose m.p.'!L4="",IF('choose m.p.'!M4="",'loss level(inputs)'!H27,0),)</f>
        <v>0</v>
      </c>
      <c r="J27" s="405">
        <f>IF(E5="","",(J5*100-'input own m.p.'!$K$16)^2)</f>
        <v>0</v>
      </c>
      <c r="K27" s="396">
        <f>IF('choose m.p.'!L4="",IF('choose m.p.'!M4="",'loss level(inputs)'!J27,0),)</f>
        <v>0</v>
      </c>
    </row>
    <row r="28" spans="1:808">
      <c r="C28" s="404">
        <f>IF(E6="","",(AEA6-'choose m.p.'!B5)^2)</f>
        <v>6.890625</v>
      </c>
      <c r="D28" s="405">
        <f>IF('choose m.p.'!L5="",IF('choose m.p.'!M5="",'loss level(inputs)'!C28,0),)</f>
        <v>0</v>
      </c>
      <c r="E28" s="405">
        <f>IF(E6="","",(AEB6*100-'input own m.p.'!$K$16)^2)</f>
        <v>17.015625</v>
      </c>
      <c r="F28" s="391">
        <f>IF('choose m.p.'!L5="",IF('choose m.p.'!M5="",'loss level(inputs)'!E28,0),)</f>
        <v>0</v>
      </c>
      <c r="H28" s="416">
        <f>IF(E6="","",('choose m.p. (endogenous policy)'!D5-'choose m.p. (endogenous policy)'!B5)^2)</f>
        <v>0</v>
      </c>
      <c r="I28" s="405">
        <f>IF('choose m.p.'!L5="",IF('choose m.p.'!M5="",'loss level(inputs)'!H28,0),)</f>
        <v>0</v>
      </c>
      <c r="J28" s="405">
        <f>IF(E6="","",(J6*100-'input own m.p.'!$K$16)^2)</f>
        <v>0</v>
      </c>
      <c r="K28" s="396">
        <f>IF('choose m.p.'!L5="",IF('choose m.p.'!M5="",'loss level(inputs)'!J28,0),)</f>
        <v>0</v>
      </c>
    </row>
    <row r="29" spans="1:808">
      <c r="C29" s="404">
        <f>IF(E7="","",(AEA7-'choose m.p.'!B6)^2)</f>
        <v>21.1025390625</v>
      </c>
      <c r="D29" s="405">
        <f>IF('choose m.p.'!L6="",IF('choose m.p.'!M6="",'loss level(inputs)'!C29,0),)</f>
        <v>21.1025390625</v>
      </c>
      <c r="E29" s="405">
        <f>IF(E7="","",(AEB7*100-'input own m.p.'!$K$16)^2)</f>
        <v>76.0166015625</v>
      </c>
      <c r="F29" s="391">
        <f>IF('choose m.p.'!L6="",IF('choose m.p.'!M6="",'loss level(inputs)'!E29,0),)</f>
        <v>76.0166015625</v>
      </c>
      <c r="H29" s="416">
        <f>IF(E7="","",('choose m.p. (endogenous policy)'!D6-'choose m.p. (endogenous policy)'!B6)^2)</f>
        <v>0</v>
      </c>
      <c r="I29" s="405">
        <f>IF('choose m.p.'!L6="",IF('choose m.p.'!M6="",'loss level(inputs)'!H29,0),)</f>
        <v>0</v>
      </c>
      <c r="J29" s="405">
        <f>IF(E7="","",(J7*100-'input own m.p.'!$K$16)^2)</f>
        <v>0</v>
      </c>
      <c r="K29" s="396">
        <f>IF('choose m.p.'!L6="",IF('choose m.p.'!M6="",'loss level(inputs)'!J29,0),)</f>
        <v>0</v>
      </c>
    </row>
    <row r="30" spans="1:808">
      <c r="C30" s="404">
        <f>IF(E8="","",(AEA8-'choose m.p.'!B7)^2)</f>
        <v>49.971644628906269</v>
      </c>
      <c r="D30" s="405">
        <f>IF('choose m.p.'!L7="",IF('choose m.p.'!M7="",'loss level(inputs)'!C30,0),)</f>
        <v>0</v>
      </c>
      <c r="E30" s="405">
        <f>IF(E8="","",(AEB8*100-'input own m.p.'!$K$16)^2)</f>
        <v>249.25502353515628</v>
      </c>
      <c r="F30" s="391">
        <f>IF('choose m.p.'!L7="",IF('choose m.p.'!M7="",'loss level(inputs)'!E30,0),)</f>
        <v>0</v>
      </c>
      <c r="H30" s="416">
        <f>IF(E8="","",('choose m.p. (endogenous policy)'!D7-'choose m.p. (endogenous policy)'!B7)^2)</f>
        <v>2.25</v>
      </c>
      <c r="I30" s="405">
        <f>IF('choose m.p.'!L7="",IF('choose m.p.'!M7="",'loss level(inputs)'!H30,0),)</f>
        <v>0</v>
      </c>
      <c r="J30" s="405">
        <f>IF(E8="","",(J8*100-'input own m.p.'!$K$16)^2)</f>
        <v>2.25</v>
      </c>
      <c r="K30" s="396">
        <f>IF('choose m.p.'!L7="",IF('choose m.p.'!M7="",'loss level(inputs)'!J30,0),)</f>
        <v>0</v>
      </c>
    </row>
    <row r="31" spans="1:808">
      <c r="C31" s="404">
        <f>IF(E9="","",(AEA9-'choose m.p.'!B8)^2)</f>
        <v>177.97852886352541</v>
      </c>
      <c r="D31" s="405">
        <f>IF('choose m.p.'!L8="",IF('choose m.p.'!M8="",'loss level(inputs)'!C31,0),)</f>
        <v>177.97852886352541</v>
      </c>
      <c r="E31" s="405">
        <f>IF(E9="","",(AEB9*100-'input own m.p.'!$K$16)^2)</f>
        <v>848.4795252014161</v>
      </c>
      <c r="F31" s="391">
        <f>IF('choose m.p.'!L8="",IF('choose m.p.'!M8="",'loss level(inputs)'!E31,0),)</f>
        <v>848.4795252014161</v>
      </c>
      <c r="H31" s="416">
        <f>IF(E9="","",('choose m.p. (endogenous policy)'!D8-'choose m.p. (endogenous policy)'!B8)^2)</f>
        <v>3.515625</v>
      </c>
      <c r="I31" s="405">
        <f>IF('choose m.p.'!L8="",IF('choose m.p.'!M8="",'loss level(inputs)'!H31,0),)</f>
        <v>3.515625</v>
      </c>
      <c r="J31" s="405">
        <f>IF(E9="","",(J9*100-'input own m.p.'!$K$16)^2)</f>
        <v>0.140625</v>
      </c>
      <c r="K31" s="396">
        <f>IF('choose m.p.'!L8="",IF('choose m.p.'!M8="",'loss level(inputs)'!J31,0),)</f>
        <v>0.140625</v>
      </c>
    </row>
    <row r="32" spans="1:808">
      <c r="C32" s="404">
        <f>IF(E10="","",(AEA10-'choose m.p.'!B9)^2)</f>
        <v>545.05924464454688</v>
      </c>
      <c r="D32" s="405">
        <f>IF('choose m.p.'!L9="",IF('choose m.p.'!M9="",'loss level(inputs)'!C32,0),)</f>
        <v>545.05924464454688</v>
      </c>
      <c r="E32" s="405">
        <f>IF(E10="","",(AEB10*100-'input own m.p.'!$K$16)^2)</f>
        <v>2753.6440732730875</v>
      </c>
      <c r="F32" s="391">
        <f>IF('choose m.p.'!L9="",IF('choose m.p.'!M9="",'loss level(inputs)'!E32,0),)</f>
        <v>2753.6440732730875</v>
      </c>
      <c r="H32" s="416">
        <f>IF(E10="","",('choose m.p. (endogenous policy)'!D9-'choose m.p. (endogenous policy)'!B9)^2)</f>
        <v>5.8457736406684467E-2</v>
      </c>
      <c r="I32" s="405">
        <f>IF('choose m.p.'!L9="",IF('choose m.p.'!M9="",'loss level(inputs)'!H32,0),)</f>
        <v>5.8457736406684467E-2</v>
      </c>
      <c r="J32" s="405">
        <f>IF(E10="","",(J10*100-'input own m.p.'!$K$16)^2)</f>
        <v>1.7747475829046087E-2</v>
      </c>
      <c r="K32" s="396">
        <f>IF('choose m.p.'!L9="",IF('choose m.p.'!M9="",'loss level(inputs)'!J32,0),)</f>
        <v>1.7747475829046087E-2</v>
      </c>
    </row>
    <row r="33" spans="3:11">
      <c r="C33" s="404">
        <f>IF(E11="","",(AEA11-'choose m.p.'!B10)^2)</f>
        <v>1669.2439367239235</v>
      </c>
      <c r="D33" s="405">
        <f>IF('choose m.p.'!L10="",IF('choose m.p.'!M10="",'loss level(inputs)'!C33,0),)</f>
        <v>0</v>
      </c>
      <c r="E33" s="405">
        <f>IF(E11="","",(AEB11*100-'input own m.p.'!$K$16)^2)</f>
        <v>8710.7796472503924</v>
      </c>
      <c r="F33" s="391">
        <f>IF('choose m.p.'!L10="",IF('choose m.p.'!M10="",'loss level(inputs)'!E33,0),)</f>
        <v>0</v>
      </c>
      <c r="H33" s="416">
        <f>IF(E11="","",('choose m.p. (endogenous policy)'!D10-'choose m.p. (endogenous policy)'!B10)^2)</f>
        <v>7.3776160988332125E-3</v>
      </c>
      <c r="I33" s="405">
        <f>IF('choose m.p.'!L10="",IF('choose m.p.'!M10="",'loss level(inputs)'!H33,0),)</f>
        <v>0</v>
      </c>
      <c r="J33" s="405">
        <f>IF(E11="","",(J11*100-'input own m.p.'!$K$16)^2)</f>
        <v>2.2398072768181525E-3</v>
      </c>
      <c r="K33" s="396">
        <f>IF('choose m.p.'!L10="",IF('choose m.p.'!M10="",'loss level(inputs)'!J33,0),)</f>
        <v>0</v>
      </c>
    </row>
    <row r="34" spans="3:11">
      <c r="C34" s="404" t="str">
        <f>IF(E12="","",(AEA12-'choose m.p.'!B11)^2)</f>
        <v/>
      </c>
      <c r="D34" s="405" t="str">
        <f>IF('choose m.p.'!L11="",IF('choose m.p.'!M11="",'loss level(inputs)'!C34,0),)</f>
        <v/>
      </c>
      <c r="E34" s="405" t="str">
        <f>IF(E12="","",(AEB12*100-'input own m.p.'!$K$16)^2)</f>
        <v/>
      </c>
      <c r="F34" s="391" t="str">
        <f>IF('choose m.p.'!L11="",IF('choose m.p.'!M11="",'loss level(inputs)'!E34,0),)</f>
        <v/>
      </c>
      <c r="H34" s="416" t="str">
        <f>IF(E12="","",('choose m.p. (endogenous policy)'!D11-'choose m.p. (endogenous policy)'!B11)^2)</f>
        <v/>
      </c>
      <c r="I34" s="405" t="str">
        <f>IF('choose m.p.'!L11="",IF('choose m.p.'!M11="",'loss level(inputs)'!H34,0),)</f>
        <v/>
      </c>
      <c r="J34" s="405" t="str">
        <f>IF(E12="","",(J12*100-'input own m.p.'!$K$16)^2)</f>
        <v/>
      </c>
      <c r="K34" s="396" t="str">
        <f>IF('choose m.p.'!L11="",IF('choose m.p.'!M11="",'loss level(inputs)'!J34,0),)</f>
        <v/>
      </c>
    </row>
    <row r="35" spans="3:11">
      <c r="C35" s="404" t="str">
        <f>IF(E13="","",(AEA13-'choose m.p.'!B12)^2)</f>
        <v/>
      </c>
      <c r="D35" s="414">
        <f>IF('choose m.p.'!L12="",IF('choose m.p.'!M12="",'loss level(inputs)'!C35,0),)</f>
        <v>0</v>
      </c>
      <c r="E35" s="405" t="str">
        <f>IF(E13="","",(AEB13*100-'input own m.p.'!$K$16)^2)</f>
        <v/>
      </c>
      <c r="F35" s="415">
        <f>IF('choose m.p.'!L12="",IF('choose m.p.'!M12="",'loss level(inputs)'!E35,0),)</f>
        <v>0</v>
      </c>
      <c r="G35" s="256"/>
      <c r="H35" s="417" t="str">
        <f>IF(E13="","",('choose m.p. (endogenous policy)'!D12-'choose m.p. (endogenous policy)'!B12)^2)</f>
        <v/>
      </c>
      <c r="I35" s="414">
        <f>IF('choose m.p.'!L12="",IF('choose m.p.'!M12="",'loss level(inputs)'!H35,0),)</f>
        <v>0</v>
      </c>
      <c r="J35" s="405" t="str">
        <f>IF(E13="","",(J13*100-'input own m.p.'!$K$16)^2)</f>
        <v/>
      </c>
      <c r="K35" s="418">
        <f>IF('choose m.p.'!L12="",IF('choose m.p.'!M12="",'loss level(inputs)'!J35,0),)</f>
        <v>0</v>
      </c>
    </row>
    <row r="36" spans="3:11">
      <c r="C36" s="404" t="str">
        <f>IF(E14="","",(AEA14-'choose m.p.'!B13)^2)</f>
        <v/>
      </c>
      <c r="D36" s="405" t="str">
        <f>IF('choose m.p.'!L13="",IF('choose m.p.'!M13="",'loss level(inputs)'!C36,0),)</f>
        <v/>
      </c>
      <c r="E36" s="405" t="str">
        <f>IF(E14="","",(AEB14*100-'input own m.p.'!$K$16)^2)</f>
        <v/>
      </c>
      <c r="F36" s="391" t="str">
        <f>IF('choose m.p.'!L13="",IF('choose m.p.'!M13="",'loss level(inputs)'!E36,0),)</f>
        <v/>
      </c>
      <c r="H36" s="416" t="str">
        <f>IF(E14="","",('choose m.p. (endogenous policy)'!D13-'choose m.p. (endogenous policy)'!B13)^2)</f>
        <v/>
      </c>
      <c r="I36" s="405" t="str">
        <f>IF('choose m.p.'!L13="",IF('choose m.p.'!M13="",'loss level(inputs)'!H36,0),)</f>
        <v/>
      </c>
      <c r="J36" s="405" t="str">
        <f>IF(E14="","",(J14*100-'input own m.p.'!$K$16)^2)</f>
        <v/>
      </c>
      <c r="K36" s="396" t="str">
        <f>IF('choose m.p.'!L13="",IF('choose m.p.'!M13="",'loss level(inputs)'!J36,0),)</f>
        <v/>
      </c>
    </row>
    <row r="37" spans="3:11">
      <c r="C37" s="404" t="str">
        <f>IF(E15="","",(AEA15-'choose m.p.'!B14)^2)</f>
        <v/>
      </c>
      <c r="D37" s="405" t="str">
        <f>IF('choose m.p.'!L14="",IF('choose m.p.'!M14="",'loss level(inputs)'!C37,0),)</f>
        <v/>
      </c>
      <c r="E37" s="405" t="str">
        <f>IF(E15="","",(AEB15*100-'input own m.p.'!$K$16)^2)</f>
        <v/>
      </c>
      <c r="F37" s="391" t="str">
        <f>IF('choose m.p.'!L14="",IF('choose m.p.'!M14="",'loss level(inputs)'!E37,0),)</f>
        <v/>
      </c>
      <c r="H37" s="416" t="str">
        <f>IF(E15="","",('choose m.p. (endogenous policy)'!D14-'choose m.p. (endogenous policy)'!B14)^2)</f>
        <v/>
      </c>
      <c r="I37" s="405" t="str">
        <f>IF('choose m.p.'!L14="",IF('choose m.p.'!M14="",'loss level(inputs)'!H37,0),)</f>
        <v/>
      </c>
      <c r="J37" s="405" t="str">
        <f>IF(E15="","",(J15*100-'input own m.p.'!$K$16)^2)</f>
        <v/>
      </c>
      <c r="K37" s="396" t="str">
        <f>IF('choose m.p.'!L14="",IF('choose m.p.'!M14="",'loss level(inputs)'!J37,0),)</f>
        <v/>
      </c>
    </row>
    <row r="38" spans="3:11">
      <c r="C38" s="404" t="str">
        <f>IF(E16="","",(AEA16-'choose m.p.'!B15)^2)</f>
        <v/>
      </c>
      <c r="D38" s="405">
        <f>IF('choose m.p.'!L15="",IF('choose m.p.'!M15="",'loss level(inputs)'!C38,0),)</f>
        <v>0</v>
      </c>
      <c r="E38" s="405" t="str">
        <f>IF(E16="","",(AEB16*100-'input own m.p.'!$K$16)^2)</f>
        <v/>
      </c>
      <c r="F38" s="391">
        <f>IF('choose m.p.'!L15="",IF('choose m.p.'!M15="",'loss level(inputs)'!E38,0),)</f>
        <v>0</v>
      </c>
      <c r="H38" s="416" t="str">
        <f>IF(E16="","",('choose m.p. (endogenous policy)'!D15-'choose m.p. (endogenous policy)'!B15)^2)</f>
        <v/>
      </c>
      <c r="I38" s="405">
        <f>IF('choose m.p.'!L15="",IF('choose m.p.'!M15="",'loss level(inputs)'!H38,0),)</f>
        <v>0</v>
      </c>
      <c r="J38" s="405" t="str">
        <f>IF(E16="","",(J16*100-'input own m.p.'!$K$16)^2)</f>
        <v/>
      </c>
      <c r="K38" s="396">
        <f>IF('choose m.p.'!L15="",IF('choose m.p.'!M15="",'loss level(inputs)'!J38,0),)</f>
        <v>0</v>
      </c>
    </row>
    <row r="39" spans="3:11">
      <c r="C39" s="404" t="str">
        <f>IF(E17="","",(AEA17-'choose m.p.'!B16)^2)</f>
        <v/>
      </c>
      <c r="D39" s="405" t="str">
        <f>IF('choose m.p.'!L16="",IF('choose m.p.'!M16="",'loss level(inputs)'!C39,0),)</f>
        <v/>
      </c>
      <c r="E39" s="405" t="str">
        <f>IF(E17="","",(AEB17*100-'input own m.p.'!$K$16)^2)</f>
        <v/>
      </c>
      <c r="F39" s="391" t="str">
        <f>IF('choose m.p.'!L16="",IF('choose m.p.'!M16="",'loss level(inputs)'!E39,0),)</f>
        <v/>
      </c>
      <c r="H39" s="416" t="str">
        <f>IF(E17="","",('choose m.p. (endogenous policy)'!D16-'choose m.p. (endogenous policy)'!B16)^2)</f>
        <v/>
      </c>
      <c r="I39" s="405" t="str">
        <f>IF('choose m.p.'!L16="",IF('choose m.p.'!M16="",'loss level(inputs)'!H39,0),)</f>
        <v/>
      </c>
      <c r="J39" s="405" t="str">
        <f>IF(E17="","",(J17*100-'input own m.p.'!$K$16)^2)</f>
        <v/>
      </c>
      <c r="K39" s="396" t="str">
        <f>IF('choose m.p.'!L16="",IF('choose m.p.'!M16="",'loss level(inputs)'!J39,0),)</f>
        <v/>
      </c>
    </row>
    <row r="40" spans="3:11">
      <c r="C40" s="404" t="str">
        <f>IF(E18="","",(AEA18-'choose m.p.'!B17)^2)</f>
        <v/>
      </c>
      <c r="D40" s="405" t="str">
        <f>IF('choose m.p.'!L17="",IF('choose m.p.'!M17="",'loss level(inputs)'!C40,0),)</f>
        <v/>
      </c>
      <c r="E40" s="405" t="str">
        <f>IF(E18="","",(AEB18*100-'input own m.p.'!$K$16)^2)</f>
        <v/>
      </c>
      <c r="F40" s="391" t="str">
        <f>IF('choose m.p.'!L17="",IF('choose m.p.'!M17="",'loss level(inputs)'!E40,0),)</f>
        <v/>
      </c>
      <c r="H40" s="416" t="str">
        <f>IF(E18="","",('choose m.p. (endogenous policy)'!D17-'choose m.p. (endogenous policy)'!B17)^2)</f>
        <v/>
      </c>
      <c r="I40" s="405" t="str">
        <f>IF('choose m.p.'!L17="",IF('choose m.p.'!M17="",'loss level(inputs)'!H40,0),)</f>
        <v/>
      </c>
      <c r="J40" s="405" t="str">
        <f>IF(E18="","",(J18*100-'input own m.p.'!$K$16)^2)</f>
        <v/>
      </c>
      <c r="K40" s="396" t="str">
        <f>IF('choose m.p.'!L17="",IF('choose m.p.'!M17="",'loss level(inputs)'!J40,0),)</f>
        <v/>
      </c>
    </row>
    <row r="41" spans="3:11">
      <c r="C41" s="404" t="str">
        <f>IF(E19="","",(AEA19-'choose m.p.'!B18)^2)</f>
        <v/>
      </c>
      <c r="D41" s="405" t="str">
        <f>IF('choose m.p.'!L18="",IF('choose m.p.'!M18="",'loss level(inputs)'!C41,0),)</f>
        <v/>
      </c>
      <c r="E41" s="405" t="str">
        <f>IF(E19="","",(AEB19*100-'input own m.p.'!$K$16)^2)</f>
        <v/>
      </c>
      <c r="F41" s="391" t="str">
        <f>IF('choose m.p.'!L18="",IF('choose m.p.'!M18="",'loss level(inputs)'!E41,0),)</f>
        <v/>
      </c>
      <c r="H41" s="416" t="str">
        <f>IF(E19="","",('choose m.p. (endogenous policy)'!D18-'choose m.p. (endogenous policy)'!B18)^2)</f>
        <v/>
      </c>
      <c r="I41" s="405" t="str">
        <f>IF('choose m.p.'!L18="",IF('choose m.p.'!M18="",'loss level(inputs)'!H41,0),)</f>
        <v/>
      </c>
      <c r="J41" s="405" t="str">
        <f>IF(E19="","",(J19*100-'input own m.p.'!$K$16)^2)</f>
        <v/>
      </c>
      <c r="K41" s="396" t="str">
        <f>IF('choose m.p.'!L18="",IF('choose m.p.'!M18="",'loss level(inputs)'!J41,0),)</f>
        <v/>
      </c>
    </row>
    <row r="42" spans="3:11">
      <c r="C42" s="404" t="str">
        <f>IF(E20="","",(AEA20-'choose m.p.'!B19)^2)</f>
        <v/>
      </c>
      <c r="D42" s="405" t="str">
        <f>IF('choose m.p.'!L19="",IF('choose m.p.'!M19="",'loss level(inputs)'!C42,0),)</f>
        <v/>
      </c>
      <c r="E42" s="405" t="str">
        <f>IF(E20="","",(AEB20*100-'input own m.p.'!$K$16)^2)</f>
        <v/>
      </c>
      <c r="F42" s="391" t="str">
        <f>IF('choose m.p.'!L19="",IF('choose m.p.'!M19="",'loss level(inputs)'!E42,0),)</f>
        <v/>
      </c>
      <c r="H42" s="416" t="str">
        <f>IF(E20="","",('choose m.p. (endogenous policy)'!D19-'choose m.p. (endogenous policy)'!B19)^2)</f>
        <v/>
      </c>
      <c r="I42" s="405" t="str">
        <f>IF('choose m.p.'!L19="",IF('choose m.p.'!M19="",'loss level(inputs)'!H42,0),)</f>
        <v/>
      </c>
      <c r="J42" s="405" t="str">
        <f>IF(E20="","",(J20*100-'input own m.p.'!$K$16)^2)</f>
        <v/>
      </c>
      <c r="K42" s="396" t="str">
        <f>IF('choose m.p.'!L19="",IF('choose m.p.'!M19="",'loss level(inputs)'!J42,0),)</f>
        <v/>
      </c>
    </row>
    <row r="43" spans="3:11">
      <c r="C43" s="404" t="str">
        <f>IF(E21="","",(AEA21-'choose m.p.'!B20)^2)</f>
        <v/>
      </c>
      <c r="D43" s="405">
        <f>IF('choose m.p.'!L20="",IF('choose m.p.'!M20="",'loss level(inputs)'!C43,0),)</f>
        <v>0</v>
      </c>
      <c r="E43" s="405" t="str">
        <f>IF(E21="","",(AEB21*100-'input own m.p.'!$K$16)^2)</f>
        <v/>
      </c>
      <c r="F43" s="391">
        <f>IF('choose m.p.'!L20="",IF('choose m.p.'!M20="",'loss level(inputs)'!E43,0),)</f>
        <v>0</v>
      </c>
      <c r="H43" s="416" t="str">
        <f>IF(E21="","",('choose m.p. (endogenous policy)'!D20-'choose m.p. (endogenous policy)'!B20)^2)</f>
        <v/>
      </c>
      <c r="I43" s="405">
        <f>IF('choose m.p.'!L20="",IF('choose m.p.'!M20="",'loss level(inputs)'!H43,0),)</f>
        <v>0</v>
      </c>
      <c r="J43" s="405" t="str">
        <f>IF(E21="","",(J21*100-'input own m.p.'!$K$16)^2)</f>
        <v/>
      </c>
      <c r="K43" s="396">
        <f>IF('choose m.p.'!L20="",IF('choose m.p.'!M20="",'loss level(inputs)'!J43,0),)</f>
        <v>0</v>
      </c>
    </row>
    <row r="44" spans="3:11">
      <c r="C44" s="392" t="str">
        <f>IF(E22="","",(AEA22-'choose m.p.'!B21)^2)</f>
        <v/>
      </c>
      <c r="D44" s="393">
        <f>IF('choose m.p.'!L21="",IF('choose m.p.'!M21="",'loss level(inputs)'!C44,0),)</f>
        <v>0</v>
      </c>
      <c r="E44" s="393" t="str">
        <f>IF(E22="","",(AEB22*100-'input own m.p.'!$K$16)^2)</f>
        <v/>
      </c>
      <c r="F44" s="394">
        <f>IF('choose m.p.'!L21="",IF('choose m.p.'!M21="",'loss level(inputs)'!E44,0),)</f>
        <v>0</v>
      </c>
      <c r="H44" s="419" t="str">
        <f>IF(E22="","",('choose m.p. (endogenous policy)'!D21-'choose m.p. (endogenous policy)'!B21)^2)</f>
        <v/>
      </c>
      <c r="I44" s="393">
        <f>IF('choose m.p.'!L21="",IF('choose m.p.'!M21="",'loss level(inputs)'!H44,0),)</f>
        <v>0</v>
      </c>
      <c r="J44" s="393" t="str">
        <f>IF(E22="","",(J22*100-'input own m.p.'!$K$16)^2)</f>
        <v/>
      </c>
      <c r="K44" s="399">
        <f>IF('choose m.p.'!L21="",IF('choose m.p.'!M21="",'loss level(inputs)'!J44,0),)</f>
        <v>0</v>
      </c>
    </row>
  </sheetData>
  <mergeCells count="2">
    <mergeCell ref="B2:G2"/>
    <mergeCell ref="H2:M2"/>
  </mergeCells>
  <pageMargins left="0.75" right="0.75" top="1" bottom="1" header="0" footer="0"/>
  <pageSetup paperSize="9" orientation="portrait" horizontalDpi="4294967295" verticalDpi="300"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6"/>
  <dimension ref="P1:BY50"/>
  <sheetViews>
    <sheetView showGridLines="0" showRowColHeaders="0" zoomScaleNormal="100" workbookViewId="0"/>
  </sheetViews>
  <sheetFormatPr defaultColWidth="11.453125" defaultRowHeight="12.5"/>
  <cols>
    <col min="1" max="13" width="11.453125" style="1"/>
    <col min="14" max="14" width="18" style="1" customWidth="1"/>
    <col min="15" max="16" width="11.453125" style="1"/>
    <col min="17" max="76" width="10.7265625" style="1" customWidth="1"/>
    <col min="77" max="16384" width="11.453125" style="1"/>
  </cols>
  <sheetData>
    <row r="1" spans="16:77" ht="15.5" thickTop="1">
      <c r="P1" s="310"/>
      <c r="Q1" s="794"/>
      <c r="R1" s="795"/>
      <c r="S1" s="795"/>
      <c r="T1" s="795"/>
      <c r="U1" s="795"/>
      <c r="V1" s="795"/>
      <c r="W1" s="795"/>
      <c r="X1" s="795"/>
      <c r="Y1" s="795"/>
      <c r="Z1" s="795"/>
      <c r="AA1" s="795"/>
      <c r="AB1" s="795"/>
      <c r="AC1" s="795"/>
      <c r="AD1" s="795"/>
      <c r="AE1" s="796"/>
      <c r="AF1" s="797"/>
      <c r="AG1" s="798"/>
      <c r="AH1" s="798"/>
      <c r="AI1" s="798"/>
      <c r="AJ1" s="798"/>
      <c r="AK1" s="798"/>
      <c r="AL1" s="798"/>
      <c r="AM1" s="798"/>
      <c r="AN1" s="798"/>
      <c r="AO1" s="798"/>
      <c r="AP1" s="798"/>
      <c r="AQ1" s="798"/>
      <c r="AR1" s="798"/>
      <c r="AS1" s="798"/>
      <c r="AT1" s="799"/>
      <c r="AU1" s="800"/>
      <c r="AV1" s="801"/>
      <c r="AW1" s="801"/>
      <c r="AX1" s="801"/>
      <c r="AY1" s="801"/>
      <c r="AZ1" s="801"/>
      <c r="BA1" s="801"/>
      <c r="BB1" s="801"/>
      <c r="BC1" s="801"/>
      <c r="BD1" s="801"/>
      <c r="BE1" s="801"/>
      <c r="BF1" s="801"/>
      <c r="BG1" s="801"/>
      <c r="BH1" s="801"/>
      <c r="BI1" s="802"/>
      <c r="BJ1" s="791"/>
      <c r="BK1" s="792"/>
      <c r="BL1" s="792"/>
      <c r="BM1" s="792"/>
      <c r="BN1" s="792"/>
      <c r="BO1" s="792"/>
      <c r="BP1" s="792"/>
      <c r="BQ1" s="792"/>
      <c r="BR1" s="792"/>
      <c r="BS1" s="792"/>
      <c r="BT1" s="792"/>
      <c r="BU1" s="792"/>
      <c r="BV1" s="792"/>
      <c r="BW1" s="792"/>
      <c r="BX1" s="793"/>
    </row>
    <row r="2" spans="16:77" ht="13">
      <c r="P2" s="311" t="s">
        <v>107</v>
      </c>
      <c r="Q2" s="313" t="s">
        <v>13</v>
      </c>
      <c r="R2" s="314" t="s">
        <v>112</v>
      </c>
      <c r="S2" s="315" t="s">
        <v>12</v>
      </c>
      <c r="T2" s="314" t="s">
        <v>113</v>
      </c>
      <c r="U2" s="314" t="s">
        <v>114</v>
      </c>
      <c r="V2" s="314" t="s">
        <v>115</v>
      </c>
      <c r="W2" s="314" t="s">
        <v>116</v>
      </c>
      <c r="X2" s="314" t="s">
        <v>117</v>
      </c>
      <c r="Y2" s="314" t="s">
        <v>218</v>
      </c>
      <c r="Z2" s="314" t="s">
        <v>219</v>
      </c>
      <c r="AA2" s="314" t="s">
        <v>161</v>
      </c>
      <c r="AB2" s="314" t="s">
        <v>220</v>
      </c>
      <c r="AC2" s="314" t="s">
        <v>147</v>
      </c>
      <c r="AD2" s="314" t="s">
        <v>221</v>
      </c>
      <c r="AE2" s="316" t="s">
        <v>148</v>
      </c>
      <c r="AF2" s="317" t="s">
        <v>13</v>
      </c>
      <c r="AG2" s="318" t="s">
        <v>112</v>
      </c>
      <c r="AH2" s="319" t="s">
        <v>12</v>
      </c>
      <c r="AI2" s="318" t="s">
        <v>113</v>
      </c>
      <c r="AJ2" s="318" t="s">
        <v>114</v>
      </c>
      <c r="AK2" s="318" t="s">
        <v>115</v>
      </c>
      <c r="AL2" s="318" t="s">
        <v>116</v>
      </c>
      <c r="AM2" s="318" t="s">
        <v>117</v>
      </c>
      <c r="AN2" s="318" t="s">
        <v>218</v>
      </c>
      <c r="AO2" s="318" t="s">
        <v>219</v>
      </c>
      <c r="AP2" s="318" t="s">
        <v>161</v>
      </c>
      <c r="AQ2" s="318" t="s">
        <v>220</v>
      </c>
      <c r="AR2" s="318" t="s">
        <v>147</v>
      </c>
      <c r="AS2" s="318" t="s">
        <v>221</v>
      </c>
      <c r="AT2" s="320" t="s">
        <v>148</v>
      </c>
      <c r="AU2" s="321" t="s">
        <v>13</v>
      </c>
      <c r="AV2" s="322" t="s">
        <v>112</v>
      </c>
      <c r="AW2" s="323" t="s">
        <v>12</v>
      </c>
      <c r="AX2" s="322" t="s">
        <v>113</v>
      </c>
      <c r="AY2" s="322" t="s">
        <v>114</v>
      </c>
      <c r="AZ2" s="322" t="s">
        <v>115</v>
      </c>
      <c r="BA2" s="322" t="s">
        <v>116</v>
      </c>
      <c r="BB2" s="322" t="s">
        <v>117</v>
      </c>
      <c r="BC2" s="322" t="s">
        <v>218</v>
      </c>
      <c r="BD2" s="322" t="s">
        <v>219</v>
      </c>
      <c r="BE2" s="322" t="s">
        <v>161</v>
      </c>
      <c r="BF2" s="322" t="s">
        <v>220</v>
      </c>
      <c r="BG2" s="322" t="s">
        <v>147</v>
      </c>
      <c r="BH2" s="322" t="s">
        <v>221</v>
      </c>
      <c r="BI2" s="324" t="s">
        <v>148</v>
      </c>
      <c r="BJ2" s="325" t="s">
        <v>13</v>
      </c>
      <c r="BK2" s="326" t="s">
        <v>112</v>
      </c>
      <c r="BL2" s="326" t="s">
        <v>12</v>
      </c>
      <c r="BM2" s="326" t="s">
        <v>113</v>
      </c>
      <c r="BN2" s="326" t="s">
        <v>114</v>
      </c>
      <c r="BO2" s="326" t="s">
        <v>115</v>
      </c>
      <c r="BP2" s="326" t="s">
        <v>116</v>
      </c>
      <c r="BQ2" s="326" t="s">
        <v>117</v>
      </c>
      <c r="BR2" s="326" t="s">
        <v>218</v>
      </c>
      <c r="BS2" s="326" t="s">
        <v>219</v>
      </c>
      <c r="BT2" s="326" t="s">
        <v>161</v>
      </c>
      <c r="BU2" s="326" t="s">
        <v>220</v>
      </c>
      <c r="BV2" s="326" t="s">
        <v>147</v>
      </c>
      <c r="BW2" s="326" t="s">
        <v>221</v>
      </c>
      <c r="BX2" s="327" t="s">
        <v>148</v>
      </c>
    </row>
    <row r="3" spans="16:77" ht="13">
      <c r="P3" s="311">
        <v>1</v>
      </c>
      <c r="Q3" s="328"/>
      <c r="R3" s="314"/>
      <c r="S3" s="329"/>
      <c r="T3" s="329"/>
      <c r="U3" s="329"/>
      <c r="V3" s="329"/>
      <c r="W3" s="329"/>
      <c r="X3" s="329"/>
      <c r="Y3" s="329"/>
      <c r="Z3" s="329"/>
      <c r="AA3" s="435"/>
      <c r="AB3" s="435"/>
      <c r="AC3" s="329"/>
      <c r="AD3" s="329"/>
      <c r="AE3" s="330"/>
      <c r="AF3" s="331"/>
      <c r="AG3" s="318"/>
      <c r="AH3" s="332"/>
      <c r="AI3" s="332"/>
      <c r="AJ3" s="332"/>
      <c r="AK3" s="332"/>
      <c r="AL3" s="332"/>
      <c r="AM3" s="332"/>
      <c r="AN3" s="332"/>
      <c r="AO3" s="332"/>
      <c r="AP3" s="437"/>
      <c r="AQ3" s="437"/>
      <c r="AR3" s="332"/>
      <c r="AS3" s="332"/>
      <c r="AT3" s="333"/>
      <c r="AU3" s="334"/>
      <c r="AV3" s="322"/>
      <c r="AW3" s="335"/>
      <c r="AX3" s="335"/>
      <c r="AY3" s="335"/>
      <c r="AZ3" s="335"/>
      <c r="BA3" s="335"/>
      <c r="BB3" s="335"/>
      <c r="BC3" s="335"/>
      <c r="BD3" s="335"/>
      <c r="BE3" s="439"/>
      <c r="BF3" s="439"/>
      <c r="BG3" s="335"/>
      <c r="BH3" s="335"/>
      <c r="BI3" s="336"/>
      <c r="BJ3" s="337"/>
      <c r="BK3" s="326"/>
      <c r="BL3" s="338"/>
      <c r="BM3" s="338"/>
      <c r="BN3" s="338"/>
      <c r="BO3" s="338"/>
      <c r="BP3" s="338"/>
      <c r="BQ3" s="338"/>
      <c r="BR3" s="338"/>
      <c r="BS3" s="338"/>
      <c r="BT3" s="441"/>
      <c r="BU3" s="441"/>
      <c r="BV3" s="338"/>
      <c r="BW3" s="338"/>
      <c r="BX3" s="339"/>
    </row>
    <row r="4" spans="16:77" ht="13">
      <c r="P4" s="311">
        <v>2</v>
      </c>
      <c r="Q4" s="328"/>
      <c r="R4" s="329"/>
      <c r="S4" s="329"/>
      <c r="T4" s="329"/>
      <c r="U4" s="329"/>
      <c r="V4" s="329"/>
      <c r="W4" s="329"/>
      <c r="X4" s="329"/>
      <c r="Y4" s="329"/>
      <c r="Z4" s="329"/>
      <c r="AA4" s="435"/>
      <c r="AB4" s="435"/>
      <c r="AC4" s="329"/>
      <c r="AD4" s="329"/>
      <c r="AE4" s="330"/>
      <c r="AF4" s="331"/>
      <c r="AG4" s="332"/>
      <c r="AH4" s="332"/>
      <c r="AI4" s="332"/>
      <c r="AJ4" s="332"/>
      <c r="AK4" s="332"/>
      <c r="AL4" s="332"/>
      <c r="AM4" s="332"/>
      <c r="AN4" s="332"/>
      <c r="AO4" s="332"/>
      <c r="AP4" s="437"/>
      <c r="AQ4" s="437"/>
      <c r="AR4" s="332"/>
      <c r="AS4" s="332"/>
      <c r="AT4" s="333"/>
      <c r="AU4" s="334"/>
      <c r="AV4" s="335"/>
      <c r="AW4" s="335"/>
      <c r="AX4" s="335"/>
      <c r="AY4" s="335"/>
      <c r="AZ4" s="335"/>
      <c r="BA4" s="335"/>
      <c r="BB4" s="335"/>
      <c r="BC4" s="335"/>
      <c r="BD4" s="335"/>
      <c r="BE4" s="439"/>
      <c r="BF4" s="439"/>
      <c r="BG4" s="335"/>
      <c r="BH4" s="335"/>
      <c r="BI4" s="336"/>
      <c r="BJ4" s="337"/>
      <c r="BK4" s="338"/>
      <c r="BL4" s="338"/>
      <c r="BM4" s="338"/>
      <c r="BN4" s="338"/>
      <c r="BO4" s="338"/>
      <c r="BP4" s="338"/>
      <c r="BQ4" s="338"/>
      <c r="BR4" s="338"/>
      <c r="BS4" s="338"/>
      <c r="BT4" s="441"/>
      <c r="BU4" s="441"/>
      <c r="BV4" s="338"/>
      <c r="BW4" s="338"/>
      <c r="BX4" s="339"/>
    </row>
    <row r="5" spans="16:77" ht="13">
      <c r="P5" s="311">
        <v>3</v>
      </c>
      <c r="Q5" s="328"/>
      <c r="R5" s="329"/>
      <c r="S5" s="329"/>
      <c r="T5" s="329"/>
      <c r="U5" s="329"/>
      <c r="V5" s="329"/>
      <c r="W5" s="329"/>
      <c r="X5" s="329"/>
      <c r="Y5" s="329"/>
      <c r="Z5" s="329"/>
      <c r="AA5" s="435"/>
      <c r="AB5" s="435"/>
      <c r="AC5" s="329"/>
      <c r="AD5" s="329"/>
      <c r="AE5" s="330"/>
      <c r="AF5" s="331"/>
      <c r="AG5" s="332"/>
      <c r="AH5" s="332"/>
      <c r="AI5" s="332"/>
      <c r="AJ5" s="332"/>
      <c r="AK5" s="332"/>
      <c r="AL5" s="332"/>
      <c r="AM5" s="332"/>
      <c r="AN5" s="332"/>
      <c r="AO5" s="332"/>
      <c r="AP5" s="437"/>
      <c r="AQ5" s="437"/>
      <c r="AR5" s="332"/>
      <c r="AS5" s="332"/>
      <c r="AT5" s="333"/>
      <c r="AU5" s="334"/>
      <c r="AV5" s="335"/>
      <c r="AW5" s="335"/>
      <c r="AX5" s="335"/>
      <c r="AY5" s="335"/>
      <c r="AZ5" s="335"/>
      <c r="BA5" s="335"/>
      <c r="BB5" s="335"/>
      <c r="BC5" s="335"/>
      <c r="BD5" s="335"/>
      <c r="BE5" s="439"/>
      <c r="BF5" s="439"/>
      <c r="BG5" s="335"/>
      <c r="BH5" s="335"/>
      <c r="BI5" s="336"/>
      <c r="BJ5" s="337"/>
      <c r="BK5" s="338"/>
      <c r="BL5" s="338"/>
      <c r="BM5" s="338"/>
      <c r="BN5" s="338"/>
      <c r="BO5" s="338"/>
      <c r="BP5" s="338"/>
      <c r="BQ5" s="338"/>
      <c r="BR5" s="338"/>
      <c r="BS5" s="338"/>
      <c r="BT5" s="441"/>
      <c r="BU5" s="441"/>
      <c r="BV5" s="338"/>
      <c r="BW5" s="338"/>
      <c r="BX5" s="339"/>
    </row>
    <row r="6" spans="16:77" ht="13">
      <c r="P6" s="311">
        <v>4</v>
      </c>
      <c r="Q6" s="328"/>
      <c r="R6" s="329"/>
      <c r="S6" s="329"/>
      <c r="T6" s="329"/>
      <c r="U6" s="329"/>
      <c r="V6" s="329"/>
      <c r="W6" s="329"/>
      <c r="X6" s="329"/>
      <c r="Y6" s="329"/>
      <c r="Z6" s="329"/>
      <c r="AA6" s="435"/>
      <c r="AB6" s="435"/>
      <c r="AC6" s="329"/>
      <c r="AD6" s="329"/>
      <c r="AE6" s="330"/>
      <c r="AF6" s="331"/>
      <c r="AG6" s="332"/>
      <c r="AH6" s="332"/>
      <c r="AI6" s="332"/>
      <c r="AJ6" s="332"/>
      <c r="AK6" s="332"/>
      <c r="AL6" s="332"/>
      <c r="AM6" s="332"/>
      <c r="AN6" s="332"/>
      <c r="AO6" s="332"/>
      <c r="AP6" s="437"/>
      <c r="AQ6" s="437"/>
      <c r="AR6" s="332"/>
      <c r="AS6" s="332"/>
      <c r="AT6" s="333"/>
      <c r="AU6" s="334"/>
      <c r="AV6" s="335"/>
      <c r="AW6" s="335"/>
      <c r="AX6" s="335"/>
      <c r="AY6" s="335"/>
      <c r="AZ6" s="335"/>
      <c r="BA6" s="335"/>
      <c r="BB6" s="335"/>
      <c r="BC6" s="335"/>
      <c r="BD6" s="335"/>
      <c r="BE6" s="439"/>
      <c r="BF6" s="439"/>
      <c r="BG6" s="335"/>
      <c r="BH6" s="335"/>
      <c r="BI6" s="336"/>
      <c r="BJ6" s="337"/>
      <c r="BK6" s="338"/>
      <c r="BL6" s="338"/>
      <c r="BM6" s="338"/>
      <c r="BN6" s="338"/>
      <c r="BO6" s="338"/>
      <c r="BP6" s="338"/>
      <c r="BQ6" s="338"/>
      <c r="BR6" s="338"/>
      <c r="BS6" s="338"/>
      <c r="BT6" s="441"/>
      <c r="BU6" s="441"/>
      <c r="BV6" s="338"/>
      <c r="BW6" s="338"/>
      <c r="BX6" s="339"/>
    </row>
    <row r="7" spans="16:77" ht="13">
      <c r="P7" s="311">
        <v>5</v>
      </c>
      <c r="Q7" s="328"/>
      <c r="R7" s="329"/>
      <c r="S7" s="329"/>
      <c r="T7" s="329"/>
      <c r="U7" s="329"/>
      <c r="V7" s="329"/>
      <c r="W7" s="329"/>
      <c r="X7" s="329"/>
      <c r="Y7" s="329"/>
      <c r="Z7" s="329"/>
      <c r="AA7" s="435"/>
      <c r="AB7" s="435"/>
      <c r="AC7" s="329"/>
      <c r="AD7" s="329"/>
      <c r="AE7" s="330"/>
      <c r="AF7" s="331"/>
      <c r="AG7" s="332"/>
      <c r="AH7" s="332"/>
      <c r="AI7" s="332"/>
      <c r="AJ7" s="332"/>
      <c r="AK7" s="332"/>
      <c r="AL7" s="332"/>
      <c r="AM7" s="332"/>
      <c r="AN7" s="332"/>
      <c r="AO7" s="332"/>
      <c r="AP7" s="437"/>
      <c r="AQ7" s="437"/>
      <c r="AR7" s="332"/>
      <c r="AS7" s="332"/>
      <c r="AT7" s="333"/>
      <c r="AU7" s="334"/>
      <c r="AV7" s="335"/>
      <c r="AW7" s="335"/>
      <c r="AX7" s="335"/>
      <c r="AY7" s="335"/>
      <c r="AZ7" s="335"/>
      <c r="BA7" s="335"/>
      <c r="BB7" s="335"/>
      <c r="BC7" s="335"/>
      <c r="BD7" s="335"/>
      <c r="BE7" s="439"/>
      <c r="BF7" s="439"/>
      <c r="BG7" s="335"/>
      <c r="BH7" s="335"/>
      <c r="BI7" s="336"/>
      <c r="BJ7" s="337"/>
      <c r="BK7" s="338"/>
      <c r="BL7" s="338"/>
      <c r="BM7" s="338"/>
      <c r="BN7" s="338"/>
      <c r="BO7" s="338"/>
      <c r="BP7" s="338"/>
      <c r="BQ7" s="338"/>
      <c r="BR7" s="338"/>
      <c r="BS7" s="338"/>
      <c r="BT7" s="441"/>
      <c r="BU7" s="441"/>
      <c r="BV7" s="338"/>
      <c r="BW7" s="338"/>
      <c r="BX7" s="339"/>
    </row>
    <row r="8" spans="16:77" ht="13">
      <c r="P8" s="311">
        <v>6</v>
      </c>
      <c r="Q8" s="328"/>
      <c r="R8" s="329"/>
      <c r="S8" s="329"/>
      <c r="T8" s="329"/>
      <c r="U8" s="329"/>
      <c r="V8" s="329"/>
      <c r="W8" s="329"/>
      <c r="X8" s="329"/>
      <c r="Y8" s="329"/>
      <c r="Z8" s="329"/>
      <c r="AA8" s="435"/>
      <c r="AB8" s="435"/>
      <c r="AC8" s="329"/>
      <c r="AD8" s="329"/>
      <c r="AE8" s="330"/>
      <c r="AF8" s="331"/>
      <c r="AG8" s="332"/>
      <c r="AH8" s="332"/>
      <c r="AI8" s="332"/>
      <c r="AJ8" s="332"/>
      <c r="AK8" s="332"/>
      <c r="AL8" s="332"/>
      <c r="AM8" s="332"/>
      <c r="AN8" s="332"/>
      <c r="AO8" s="332"/>
      <c r="AP8" s="437"/>
      <c r="AQ8" s="437"/>
      <c r="AR8" s="332"/>
      <c r="AS8" s="332"/>
      <c r="AT8" s="333"/>
      <c r="AU8" s="334"/>
      <c r="AV8" s="335"/>
      <c r="AW8" s="335"/>
      <c r="AX8" s="335"/>
      <c r="AY8" s="335"/>
      <c r="AZ8" s="335"/>
      <c r="BA8" s="335"/>
      <c r="BB8" s="335"/>
      <c r="BC8" s="335"/>
      <c r="BD8" s="335"/>
      <c r="BE8" s="439"/>
      <c r="BF8" s="439"/>
      <c r="BG8" s="335"/>
      <c r="BH8" s="335"/>
      <c r="BI8" s="336"/>
      <c r="BJ8" s="337"/>
      <c r="BK8" s="338"/>
      <c r="BL8" s="338"/>
      <c r="BM8" s="338"/>
      <c r="BN8" s="338"/>
      <c r="BO8" s="338"/>
      <c r="BP8" s="338"/>
      <c r="BQ8" s="338"/>
      <c r="BR8" s="338"/>
      <c r="BS8" s="338"/>
      <c r="BT8" s="441"/>
      <c r="BU8" s="441"/>
      <c r="BV8" s="338"/>
      <c r="BW8" s="338"/>
      <c r="BX8" s="339"/>
    </row>
    <row r="9" spans="16:77" ht="13">
      <c r="P9" s="311">
        <v>7</v>
      </c>
      <c r="Q9" s="328"/>
      <c r="R9" s="329"/>
      <c r="S9" s="329"/>
      <c r="T9" s="329"/>
      <c r="U9" s="329"/>
      <c r="V9" s="329"/>
      <c r="W9" s="329"/>
      <c r="X9" s="329"/>
      <c r="Y9" s="329"/>
      <c r="Z9" s="329"/>
      <c r="AA9" s="435"/>
      <c r="AB9" s="435"/>
      <c r="AC9" s="329"/>
      <c r="AD9" s="329"/>
      <c r="AE9" s="330"/>
      <c r="AF9" s="331"/>
      <c r="AG9" s="332"/>
      <c r="AH9" s="332"/>
      <c r="AI9" s="332"/>
      <c r="AJ9" s="332"/>
      <c r="AK9" s="332"/>
      <c r="AL9" s="332"/>
      <c r="AM9" s="332"/>
      <c r="AN9" s="332"/>
      <c r="AO9" s="332"/>
      <c r="AP9" s="437"/>
      <c r="AQ9" s="437"/>
      <c r="AR9" s="332"/>
      <c r="AS9" s="332"/>
      <c r="AT9" s="333"/>
      <c r="AU9" s="334"/>
      <c r="AV9" s="335"/>
      <c r="AW9" s="335"/>
      <c r="AX9" s="335"/>
      <c r="AY9" s="335"/>
      <c r="AZ9" s="335"/>
      <c r="BA9" s="335"/>
      <c r="BB9" s="335"/>
      <c r="BC9" s="335"/>
      <c r="BD9" s="335"/>
      <c r="BE9" s="439"/>
      <c r="BF9" s="439"/>
      <c r="BG9" s="335"/>
      <c r="BH9" s="335"/>
      <c r="BI9" s="336"/>
      <c r="BJ9" s="337"/>
      <c r="BK9" s="338"/>
      <c r="BL9" s="338"/>
      <c r="BM9" s="338"/>
      <c r="BN9" s="338"/>
      <c r="BO9" s="338"/>
      <c r="BP9" s="338"/>
      <c r="BQ9" s="338"/>
      <c r="BR9" s="338"/>
      <c r="BS9" s="338"/>
      <c r="BT9" s="441"/>
      <c r="BU9" s="441"/>
      <c r="BV9" s="338"/>
      <c r="BW9" s="338"/>
      <c r="BX9" s="339"/>
      <c r="BY9" s="312"/>
    </row>
    <row r="10" spans="16:77" ht="13">
      <c r="P10" s="311">
        <v>8</v>
      </c>
      <c r="Q10" s="328"/>
      <c r="R10" s="329"/>
      <c r="S10" s="329"/>
      <c r="T10" s="329"/>
      <c r="U10" s="329"/>
      <c r="V10" s="329"/>
      <c r="W10" s="329"/>
      <c r="X10" s="329"/>
      <c r="Y10" s="329"/>
      <c r="Z10" s="329"/>
      <c r="AA10" s="435"/>
      <c r="AB10" s="435"/>
      <c r="AC10" s="329"/>
      <c r="AD10" s="329"/>
      <c r="AE10" s="330"/>
      <c r="AF10" s="331"/>
      <c r="AG10" s="332"/>
      <c r="AH10" s="332"/>
      <c r="AI10" s="332"/>
      <c r="AJ10" s="332"/>
      <c r="AK10" s="332"/>
      <c r="AL10" s="332"/>
      <c r="AM10" s="332"/>
      <c r="AN10" s="332"/>
      <c r="AO10" s="332"/>
      <c r="AP10" s="437"/>
      <c r="AQ10" s="437"/>
      <c r="AR10" s="332"/>
      <c r="AS10" s="332"/>
      <c r="AT10" s="333"/>
      <c r="AU10" s="334"/>
      <c r="AV10" s="335"/>
      <c r="AW10" s="335"/>
      <c r="AX10" s="335"/>
      <c r="AY10" s="335"/>
      <c r="AZ10" s="335"/>
      <c r="BA10" s="335"/>
      <c r="BB10" s="335"/>
      <c r="BC10" s="335"/>
      <c r="BD10" s="335"/>
      <c r="BE10" s="439"/>
      <c r="BF10" s="439"/>
      <c r="BG10" s="335"/>
      <c r="BH10" s="335"/>
      <c r="BI10" s="336"/>
      <c r="BJ10" s="337"/>
      <c r="BK10" s="338"/>
      <c r="BL10" s="338"/>
      <c r="BM10" s="338"/>
      <c r="BN10" s="338"/>
      <c r="BO10" s="338"/>
      <c r="BP10" s="338"/>
      <c r="BQ10" s="338"/>
      <c r="BR10" s="338"/>
      <c r="BS10" s="338"/>
      <c r="BT10" s="441"/>
      <c r="BU10" s="441"/>
      <c r="BV10" s="338"/>
      <c r="BW10" s="338"/>
      <c r="BX10" s="339"/>
    </row>
    <row r="11" spans="16:77" ht="13">
      <c r="P11" s="311">
        <v>9</v>
      </c>
      <c r="Q11" s="328"/>
      <c r="R11" s="329"/>
      <c r="S11" s="329"/>
      <c r="T11" s="329"/>
      <c r="U11" s="329"/>
      <c r="V11" s="329"/>
      <c r="W11" s="329"/>
      <c r="X11" s="329"/>
      <c r="Y11" s="329"/>
      <c r="Z11" s="329"/>
      <c r="AA11" s="435"/>
      <c r="AB11" s="435"/>
      <c r="AC11" s="329"/>
      <c r="AD11" s="329"/>
      <c r="AE11" s="330"/>
      <c r="AF11" s="331"/>
      <c r="AG11" s="332"/>
      <c r="AH11" s="332"/>
      <c r="AI11" s="332"/>
      <c r="AJ11" s="332"/>
      <c r="AK11" s="332"/>
      <c r="AL11" s="332"/>
      <c r="AM11" s="332"/>
      <c r="AN11" s="332"/>
      <c r="AO11" s="332"/>
      <c r="AP11" s="437"/>
      <c r="AQ11" s="437"/>
      <c r="AR11" s="332"/>
      <c r="AS11" s="332"/>
      <c r="AT11" s="333"/>
      <c r="AU11" s="334"/>
      <c r="AV11" s="335"/>
      <c r="AW11" s="335"/>
      <c r="AX11" s="335"/>
      <c r="AY11" s="335"/>
      <c r="AZ11" s="335"/>
      <c r="BA11" s="335"/>
      <c r="BB11" s="335"/>
      <c r="BC11" s="335"/>
      <c r="BD11" s="335"/>
      <c r="BE11" s="439"/>
      <c r="BF11" s="439"/>
      <c r="BG11" s="335"/>
      <c r="BH11" s="335"/>
      <c r="BI11" s="336"/>
      <c r="BJ11" s="337"/>
      <c r="BK11" s="338"/>
      <c r="BL11" s="338"/>
      <c r="BM11" s="338"/>
      <c r="BN11" s="338"/>
      <c r="BO11" s="338"/>
      <c r="BP11" s="338"/>
      <c r="BQ11" s="338"/>
      <c r="BR11" s="338"/>
      <c r="BS11" s="338"/>
      <c r="BT11" s="441"/>
      <c r="BU11" s="441"/>
      <c r="BV11" s="338"/>
      <c r="BW11" s="338"/>
      <c r="BX11" s="339"/>
    </row>
    <row r="12" spans="16:77" ht="13">
      <c r="P12" s="311">
        <v>10</v>
      </c>
      <c r="Q12" s="328"/>
      <c r="R12" s="329"/>
      <c r="S12" s="329"/>
      <c r="T12" s="329"/>
      <c r="U12" s="329"/>
      <c r="V12" s="329"/>
      <c r="W12" s="329"/>
      <c r="X12" s="329"/>
      <c r="Y12" s="329"/>
      <c r="Z12" s="329"/>
      <c r="AA12" s="435"/>
      <c r="AB12" s="435"/>
      <c r="AC12" s="329"/>
      <c r="AD12" s="329"/>
      <c r="AE12" s="330"/>
      <c r="AF12" s="331"/>
      <c r="AG12" s="332"/>
      <c r="AH12" s="332"/>
      <c r="AI12" s="332"/>
      <c r="AJ12" s="332"/>
      <c r="AK12" s="332"/>
      <c r="AL12" s="332"/>
      <c r="AM12" s="332"/>
      <c r="AN12" s="332"/>
      <c r="AO12" s="332"/>
      <c r="AP12" s="437"/>
      <c r="AQ12" s="437"/>
      <c r="AR12" s="332"/>
      <c r="AS12" s="332"/>
      <c r="AT12" s="333"/>
      <c r="AU12" s="334"/>
      <c r="AV12" s="335"/>
      <c r="AW12" s="335"/>
      <c r="AX12" s="335"/>
      <c r="AY12" s="335"/>
      <c r="AZ12" s="335"/>
      <c r="BA12" s="335"/>
      <c r="BB12" s="335"/>
      <c r="BC12" s="335"/>
      <c r="BD12" s="335"/>
      <c r="BE12" s="439"/>
      <c r="BF12" s="439"/>
      <c r="BG12" s="335"/>
      <c r="BH12" s="335"/>
      <c r="BI12" s="336"/>
      <c r="BJ12" s="337"/>
      <c r="BK12" s="338"/>
      <c r="BL12" s="338"/>
      <c r="BM12" s="338"/>
      <c r="BN12" s="338"/>
      <c r="BO12" s="338"/>
      <c r="BP12" s="338"/>
      <c r="BQ12" s="338"/>
      <c r="BR12" s="338"/>
      <c r="BS12" s="338"/>
      <c r="BT12" s="441"/>
      <c r="BU12" s="441"/>
      <c r="BV12" s="338"/>
      <c r="BW12" s="338"/>
      <c r="BX12" s="339"/>
    </row>
    <row r="13" spans="16:77" ht="13">
      <c r="P13" s="311">
        <v>11</v>
      </c>
      <c r="Q13" s="328"/>
      <c r="R13" s="329"/>
      <c r="S13" s="329"/>
      <c r="T13" s="329"/>
      <c r="U13" s="329"/>
      <c r="V13" s="329"/>
      <c r="W13" s="329"/>
      <c r="X13" s="329"/>
      <c r="Y13" s="329"/>
      <c r="Z13" s="329"/>
      <c r="AA13" s="435"/>
      <c r="AB13" s="435"/>
      <c r="AC13" s="329"/>
      <c r="AD13" s="329"/>
      <c r="AE13" s="330"/>
      <c r="AF13" s="331"/>
      <c r="AG13" s="332"/>
      <c r="AH13" s="332"/>
      <c r="AI13" s="332"/>
      <c r="AJ13" s="332"/>
      <c r="AK13" s="332"/>
      <c r="AL13" s="332"/>
      <c r="AM13" s="332"/>
      <c r="AN13" s="332"/>
      <c r="AO13" s="332"/>
      <c r="AP13" s="437"/>
      <c r="AQ13" s="437"/>
      <c r="AR13" s="332"/>
      <c r="AS13" s="332"/>
      <c r="AT13" s="333"/>
      <c r="AU13" s="334"/>
      <c r="AV13" s="335"/>
      <c r="AW13" s="335"/>
      <c r="AX13" s="335"/>
      <c r="AY13" s="335"/>
      <c r="AZ13" s="335"/>
      <c r="BA13" s="335"/>
      <c r="BB13" s="335"/>
      <c r="BC13" s="335"/>
      <c r="BD13" s="335"/>
      <c r="BE13" s="439"/>
      <c r="BF13" s="439"/>
      <c r="BG13" s="335"/>
      <c r="BH13" s="335"/>
      <c r="BI13" s="336"/>
      <c r="BJ13" s="337"/>
      <c r="BK13" s="338"/>
      <c r="BL13" s="338"/>
      <c r="BM13" s="338"/>
      <c r="BN13" s="338"/>
      <c r="BO13" s="338"/>
      <c r="BP13" s="338"/>
      <c r="BQ13" s="338"/>
      <c r="BR13" s="338"/>
      <c r="BS13" s="338"/>
      <c r="BT13" s="441"/>
      <c r="BU13" s="441"/>
      <c r="BV13" s="338"/>
      <c r="BW13" s="338"/>
      <c r="BX13" s="339"/>
    </row>
    <row r="14" spans="16:77" ht="13">
      <c r="P14" s="311">
        <v>12</v>
      </c>
      <c r="Q14" s="328"/>
      <c r="R14" s="329"/>
      <c r="S14" s="329"/>
      <c r="T14" s="329"/>
      <c r="U14" s="329"/>
      <c r="V14" s="329"/>
      <c r="W14" s="329"/>
      <c r="X14" s="329"/>
      <c r="Y14" s="329"/>
      <c r="Z14" s="329"/>
      <c r="AA14" s="435"/>
      <c r="AB14" s="435"/>
      <c r="AC14" s="329"/>
      <c r="AD14" s="329"/>
      <c r="AE14" s="330"/>
      <c r="AF14" s="331"/>
      <c r="AG14" s="332"/>
      <c r="AH14" s="332"/>
      <c r="AI14" s="332"/>
      <c r="AJ14" s="332"/>
      <c r="AK14" s="332"/>
      <c r="AL14" s="332"/>
      <c r="AM14" s="332"/>
      <c r="AN14" s="332"/>
      <c r="AO14" s="332"/>
      <c r="AP14" s="437"/>
      <c r="AQ14" s="437"/>
      <c r="AR14" s="332"/>
      <c r="AS14" s="332"/>
      <c r="AT14" s="333"/>
      <c r="AU14" s="334"/>
      <c r="AV14" s="335"/>
      <c r="AW14" s="335"/>
      <c r="AX14" s="335"/>
      <c r="AY14" s="335"/>
      <c r="AZ14" s="335"/>
      <c r="BA14" s="335"/>
      <c r="BB14" s="335"/>
      <c r="BC14" s="335"/>
      <c r="BD14" s="335"/>
      <c r="BE14" s="439"/>
      <c r="BF14" s="439"/>
      <c r="BG14" s="335"/>
      <c r="BH14" s="335"/>
      <c r="BI14" s="336"/>
      <c r="BJ14" s="337"/>
      <c r="BK14" s="338"/>
      <c r="BL14" s="338"/>
      <c r="BM14" s="338"/>
      <c r="BN14" s="338"/>
      <c r="BO14" s="338"/>
      <c r="BP14" s="338"/>
      <c r="BQ14" s="338"/>
      <c r="BR14" s="338"/>
      <c r="BS14" s="338"/>
      <c r="BT14" s="441"/>
      <c r="BU14" s="441"/>
      <c r="BV14" s="338"/>
      <c r="BW14" s="338"/>
      <c r="BX14" s="339"/>
    </row>
    <row r="15" spans="16:77" ht="13">
      <c r="P15" s="311">
        <v>13</v>
      </c>
      <c r="Q15" s="328"/>
      <c r="R15" s="329"/>
      <c r="S15" s="329"/>
      <c r="T15" s="329"/>
      <c r="U15" s="329"/>
      <c r="V15" s="329"/>
      <c r="W15" s="329"/>
      <c r="X15" s="329"/>
      <c r="Y15" s="329"/>
      <c r="Z15" s="329"/>
      <c r="AA15" s="435"/>
      <c r="AB15" s="435"/>
      <c r="AC15" s="329"/>
      <c r="AD15" s="329"/>
      <c r="AE15" s="330"/>
      <c r="AF15" s="331"/>
      <c r="AG15" s="332"/>
      <c r="AH15" s="332"/>
      <c r="AI15" s="332"/>
      <c r="AJ15" s="332"/>
      <c r="AK15" s="332"/>
      <c r="AL15" s="332"/>
      <c r="AM15" s="332"/>
      <c r="AN15" s="332"/>
      <c r="AO15" s="332"/>
      <c r="AP15" s="437"/>
      <c r="AQ15" s="437"/>
      <c r="AR15" s="332"/>
      <c r="AS15" s="332"/>
      <c r="AT15" s="333"/>
      <c r="AU15" s="334"/>
      <c r="AV15" s="335"/>
      <c r="AW15" s="335"/>
      <c r="AX15" s="335"/>
      <c r="AY15" s="335"/>
      <c r="AZ15" s="335"/>
      <c r="BA15" s="335"/>
      <c r="BB15" s="335"/>
      <c r="BC15" s="335"/>
      <c r="BD15" s="335"/>
      <c r="BE15" s="439"/>
      <c r="BF15" s="439"/>
      <c r="BG15" s="335"/>
      <c r="BH15" s="335"/>
      <c r="BI15" s="336"/>
      <c r="BJ15" s="337"/>
      <c r="BK15" s="338"/>
      <c r="BL15" s="338"/>
      <c r="BM15" s="338"/>
      <c r="BN15" s="338"/>
      <c r="BO15" s="338"/>
      <c r="BP15" s="338"/>
      <c r="BQ15" s="338"/>
      <c r="BR15" s="338"/>
      <c r="BS15" s="338"/>
      <c r="BT15" s="441"/>
      <c r="BU15" s="441"/>
      <c r="BV15" s="338"/>
      <c r="BW15" s="338"/>
      <c r="BX15" s="339"/>
    </row>
    <row r="16" spans="16:77" ht="13">
      <c r="P16" s="311">
        <v>14</v>
      </c>
      <c r="Q16" s="328"/>
      <c r="R16" s="329"/>
      <c r="S16" s="329"/>
      <c r="T16" s="329"/>
      <c r="U16" s="329"/>
      <c r="V16" s="329"/>
      <c r="W16" s="329"/>
      <c r="X16" s="329"/>
      <c r="Y16" s="329"/>
      <c r="Z16" s="329"/>
      <c r="AA16" s="435"/>
      <c r="AB16" s="435"/>
      <c r="AC16" s="329"/>
      <c r="AD16" s="329"/>
      <c r="AE16" s="330"/>
      <c r="AF16" s="331"/>
      <c r="AG16" s="332"/>
      <c r="AH16" s="332"/>
      <c r="AI16" s="332"/>
      <c r="AJ16" s="332"/>
      <c r="AK16" s="332"/>
      <c r="AL16" s="332"/>
      <c r="AM16" s="332"/>
      <c r="AN16" s="332"/>
      <c r="AO16" s="332"/>
      <c r="AP16" s="437"/>
      <c r="AQ16" s="437"/>
      <c r="AR16" s="332"/>
      <c r="AS16" s="332"/>
      <c r="AT16" s="333"/>
      <c r="AU16" s="334"/>
      <c r="AV16" s="335"/>
      <c r="AW16" s="335"/>
      <c r="AX16" s="335"/>
      <c r="AY16" s="335"/>
      <c r="AZ16" s="335"/>
      <c r="BA16" s="335"/>
      <c r="BB16" s="335"/>
      <c r="BC16" s="335"/>
      <c r="BD16" s="335"/>
      <c r="BE16" s="439"/>
      <c r="BF16" s="439"/>
      <c r="BG16" s="335"/>
      <c r="BH16" s="335"/>
      <c r="BI16" s="336"/>
      <c r="BJ16" s="337"/>
      <c r="BK16" s="338"/>
      <c r="BL16" s="338"/>
      <c r="BM16" s="338"/>
      <c r="BN16" s="338"/>
      <c r="BO16" s="338"/>
      <c r="BP16" s="338"/>
      <c r="BQ16" s="338"/>
      <c r="BR16" s="338"/>
      <c r="BS16" s="338"/>
      <c r="BT16" s="441"/>
      <c r="BU16" s="441"/>
      <c r="BV16" s="338"/>
      <c r="BW16" s="338"/>
      <c r="BX16" s="339"/>
    </row>
    <row r="17" spans="16:76" ht="13">
      <c r="P17" s="311">
        <v>15</v>
      </c>
      <c r="Q17" s="328"/>
      <c r="R17" s="329"/>
      <c r="S17" s="329"/>
      <c r="T17" s="329"/>
      <c r="U17" s="329"/>
      <c r="V17" s="329"/>
      <c r="W17" s="329"/>
      <c r="X17" s="329"/>
      <c r="Y17" s="329"/>
      <c r="Z17" s="329"/>
      <c r="AA17" s="435"/>
      <c r="AB17" s="435"/>
      <c r="AC17" s="329"/>
      <c r="AD17" s="329"/>
      <c r="AE17" s="330"/>
      <c r="AF17" s="331"/>
      <c r="AG17" s="332"/>
      <c r="AH17" s="332"/>
      <c r="AI17" s="332"/>
      <c r="AJ17" s="332"/>
      <c r="AK17" s="332"/>
      <c r="AL17" s="332"/>
      <c r="AM17" s="332"/>
      <c r="AN17" s="332"/>
      <c r="AO17" s="332"/>
      <c r="AP17" s="437"/>
      <c r="AQ17" s="437"/>
      <c r="AR17" s="332"/>
      <c r="AS17" s="332"/>
      <c r="AT17" s="333"/>
      <c r="AU17" s="334"/>
      <c r="AV17" s="335"/>
      <c r="AW17" s="335"/>
      <c r="AX17" s="335"/>
      <c r="AY17" s="335"/>
      <c r="AZ17" s="335"/>
      <c r="BA17" s="335"/>
      <c r="BB17" s="335"/>
      <c r="BC17" s="335"/>
      <c r="BD17" s="335"/>
      <c r="BE17" s="439"/>
      <c r="BF17" s="439"/>
      <c r="BG17" s="335"/>
      <c r="BH17" s="335"/>
      <c r="BI17" s="336"/>
      <c r="BJ17" s="337"/>
      <c r="BK17" s="338"/>
      <c r="BL17" s="338"/>
      <c r="BM17" s="338"/>
      <c r="BN17" s="338"/>
      <c r="BO17" s="338"/>
      <c r="BP17" s="338"/>
      <c r="BQ17" s="338"/>
      <c r="BR17" s="338"/>
      <c r="BS17" s="338"/>
      <c r="BT17" s="441"/>
      <c r="BU17" s="441"/>
      <c r="BV17" s="338"/>
      <c r="BW17" s="338"/>
      <c r="BX17" s="339"/>
    </row>
    <row r="18" spans="16:76" ht="13">
      <c r="P18" s="311">
        <v>16</v>
      </c>
      <c r="Q18" s="328"/>
      <c r="R18" s="329"/>
      <c r="S18" s="329"/>
      <c r="T18" s="329"/>
      <c r="U18" s="329"/>
      <c r="V18" s="329"/>
      <c r="W18" s="329"/>
      <c r="X18" s="329"/>
      <c r="Y18" s="329"/>
      <c r="Z18" s="329"/>
      <c r="AA18" s="435"/>
      <c r="AB18" s="435"/>
      <c r="AC18" s="329"/>
      <c r="AD18" s="329"/>
      <c r="AE18" s="330"/>
      <c r="AF18" s="331"/>
      <c r="AG18" s="332"/>
      <c r="AH18" s="332"/>
      <c r="AI18" s="332"/>
      <c r="AJ18" s="332"/>
      <c r="AK18" s="332"/>
      <c r="AL18" s="332"/>
      <c r="AM18" s="332"/>
      <c r="AN18" s="332"/>
      <c r="AO18" s="332"/>
      <c r="AP18" s="437"/>
      <c r="AQ18" s="437"/>
      <c r="AR18" s="332"/>
      <c r="AS18" s="332"/>
      <c r="AT18" s="333"/>
      <c r="AU18" s="334"/>
      <c r="AV18" s="335"/>
      <c r="AW18" s="335"/>
      <c r="AX18" s="335"/>
      <c r="AY18" s="335"/>
      <c r="AZ18" s="335"/>
      <c r="BA18" s="335"/>
      <c r="BB18" s="335"/>
      <c r="BC18" s="335"/>
      <c r="BD18" s="335"/>
      <c r="BE18" s="439"/>
      <c r="BF18" s="439"/>
      <c r="BG18" s="335"/>
      <c r="BH18" s="335"/>
      <c r="BI18" s="336"/>
      <c r="BJ18" s="337"/>
      <c r="BK18" s="338"/>
      <c r="BL18" s="338"/>
      <c r="BM18" s="338"/>
      <c r="BN18" s="338"/>
      <c r="BO18" s="338"/>
      <c r="BP18" s="338"/>
      <c r="BQ18" s="338"/>
      <c r="BR18" s="338"/>
      <c r="BS18" s="338"/>
      <c r="BT18" s="441"/>
      <c r="BU18" s="441"/>
      <c r="BV18" s="338"/>
      <c r="BW18" s="338"/>
      <c r="BX18" s="339"/>
    </row>
    <row r="19" spans="16:76" ht="13">
      <c r="P19" s="311">
        <v>17</v>
      </c>
      <c r="Q19" s="328"/>
      <c r="R19" s="329"/>
      <c r="S19" s="329"/>
      <c r="T19" s="329"/>
      <c r="U19" s="329"/>
      <c r="V19" s="329"/>
      <c r="W19" s="329"/>
      <c r="X19" s="329"/>
      <c r="Y19" s="329"/>
      <c r="Z19" s="329"/>
      <c r="AA19" s="435"/>
      <c r="AB19" s="435"/>
      <c r="AC19" s="329"/>
      <c r="AD19" s="329"/>
      <c r="AE19" s="330"/>
      <c r="AF19" s="331"/>
      <c r="AG19" s="332"/>
      <c r="AH19" s="332"/>
      <c r="AI19" s="332"/>
      <c r="AJ19" s="332"/>
      <c r="AK19" s="332"/>
      <c r="AL19" s="332"/>
      <c r="AM19" s="332"/>
      <c r="AN19" s="332"/>
      <c r="AO19" s="332"/>
      <c r="AP19" s="437"/>
      <c r="AQ19" s="437"/>
      <c r="AR19" s="332"/>
      <c r="AS19" s="332"/>
      <c r="AT19" s="333"/>
      <c r="AU19" s="334"/>
      <c r="AV19" s="335"/>
      <c r="AW19" s="335"/>
      <c r="AX19" s="335"/>
      <c r="AY19" s="335"/>
      <c r="AZ19" s="335"/>
      <c r="BA19" s="335"/>
      <c r="BB19" s="335"/>
      <c r="BC19" s="335"/>
      <c r="BD19" s="335"/>
      <c r="BE19" s="439"/>
      <c r="BF19" s="439"/>
      <c r="BG19" s="335"/>
      <c r="BH19" s="335"/>
      <c r="BI19" s="336"/>
      <c r="BJ19" s="337"/>
      <c r="BK19" s="338"/>
      <c r="BL19" s="338"/>
      <c r="BM19" s="338"/>
      <c r="BN19" s="338"/>
      <c r="BO19" s="338"/>
      <c r="BP19" s="338"/>
      <c r="BQ19" s="338"/>
      <c r="BR19" s="338"/>
      <c r="BS19" s="338"/>
      <c r="BT19" s="441"/>
      <c r="BU19" s="441"/>
      <c r="BV19" s="338"/>
      <c r="BW19" s="338"/>
      <c r="BX19" s="339"/>
    </row>
    <row r="20" spans="16:76" ht="13">
      <c r="P20" s="311">
        <v>18</v>
      </c>
      <c r="Q20" s="328"/>
      <c r="R20" s="329"/>
      <c r="S20" s="329"/>
      <c r="T20" s="329"/>
      <c r="U20" s="329"/>
      <c r="V20" s="329"/>
      <c r="W20" s="329"/>
      <c r="X20" s="329"/>
      <c r="Y20" s="329"/>
      <c r="Z20" s="329"/>
      <c r="AA20" s="435"/>
      <c r="AB20" s="435"/>
      <c r="AC20" s="329"/>
      <c r="AD20" s="329"/>
      <c r="AE20" s="330"/>
      <c r="AF20" s="331"/>
      <c r="AG20" s="332"/>
      <c r="AH20" s="332"/>
      <c r="AI20" s="332"/>
      <c r="AJ20" s="332"/>
      <c r="AK20" s="332"/>
      <c r="AL20" s="332"/>
      <c r="AM20" s="332"/>
      <c r="AN20" s="332"/>
      <c r="AO20" s="332"/>
      <c r="AP20" s="437"/>
      <c r="AQ20" s="437"/>
      <c r="AR20" s="332"/>
      <c r="AS20" s="332"/>
      <c r="AT20" s="333"/>
      <c r="AU20" s="334"/>
      <c r="AV20" s="335"/>
      <c r="AW20" s="335"/>
      <c r="AX20" s="335"/>
      <c r="AY20" s="335"/>
      <c r="AZ20" s="335"/>
      <c r="BA20" s="335"/>
      <c r="BB20" s="335"/>
      <c r="BC20" s="335"/>
      <c r="BD20" s="335"/>
      <c r="BE20" s="439"/>
      <c r="BF20" s="439"/>
      <c r="BG20" s="335"/>
      <c r="BH20" s="335"/>
      <c r="BI20" s="336"/>
      <c r="BJ20" s="337"/>
      <c r="BK20" s="338"/>
      <c r="BL20" s="338"/>
      <c r="BM20" s="338"/>
      <c r="BN20" s="338"/>
      <c r="BO20" s="338"/>
      <c r="BP20" s="338"/>
      <c r="BQ20" s="338"/>
      <c r="BR20" s="338"/>
      <c r="BS20" s="338"/>
      <c r="BT20" s="441"/>
      <c r="BU20" s="441"/>
      <c r="BV20" s="338"/>
      <c r="BW20" s="338"/>
      <c r="BX20" s="339"/>
    </row>
    <row r="21" spans="16:76" ht="13">
      <c r="P21" s="311">
        <v>19</v>
      </c>
      <c r="Q21" s="328"/>
      <c r="R21" s="329"/>
      <c r="S21" s="329"/>
      <c r="T21" s="329"/>
      <c r="U21" s="329"/>
      <c r="V21" s="329"/>
      <c r="W21" s="329"/>
      <c r="X21" s="329"/>
      <c r="Y21" s="329"/>
      <c r="Z21" s="329"/>
      <c r="AA21" s="435"/>
      <c r="AB21" s="435"/>
      <c r="AC21" s="329"/>
      <c r="AD21" s="329"/>
      <c r="AE21" s="330"/>
      <c r="AF21" s="331"/>
      <c r="AG21" s="332"/>
      <c r="AH21" s="332"/>
      <c r="AI21" s="332"/>
      <c r="AJ21" s="332"/>
      <c r="AK21" s="332"/>
      <c r="AL21" s="332"/>
      <c r="AM21" s="332"/>
      <c r="AN21" s="332"/>
      <c r="AO21" s="332"/>
      <c r="AP21" s="437"/>
      <c r="AQ21" s="437"/>
      <c r="AR21" s="332"/>
      <c r="AS21" s="332"/>
      <c r="AT21" s="333"/>
      <c r="AU21" s="334"/>
      <c r="AV21" s="335"/>
      <c r="AW21" s="335"/>
      <c r="AX21" s="335"/>
      <c r="AY21" s="335"/>
      <c r="AZ21" s="335"/>
      <c r="BA21" s="335"/>
      <c r="BB21" s="335"/>
      <c r="BC21" s="335"/>
      <c r="BD21" s="335"/>
      <c r="BE21" s="439"/>
      <c r="BF21" s="439"/>
      <c r="BG21" s="335"/>
      <c r="BH21" s="335"/>
      <c r="BI21" s="336"/>
      <c r="BJ21" s="337"/>
      <c r="BK21" s="338"/>
      <c r="BL21" s="338"/>
      <c r="BM21" s="338"/>
      <c r="BN21" s="338"/>
      <c r="BO21" s="338"/>
      <c r="BP21" s="338"/>
      <c r="BQ21" s="338"/>
      <c r="BR21" s="338"/>
      <c r="BS21" s="338"/>
      <c r="BT21" s="441"/>
      <c r="BU21" s="441"/>
      <c r="BV21" s="338"/>
      <c r="BW21" s="338"/>
      <c r="BX21" s="339"/>
    </row>
    <row r="22" spans="16:76" ht="13.5" thickBot="1">
      <c r="P22" s="311">
        <v>20</v>
      </c>
      <c r="Q22" s="340"/>
      <c r="R22" s="341"/>
      <c r="S22" s="341"/>
      <c r="T22" s="341"/>
      <c r="U22" s="341"/>
      <c r="V22" s="341"/>
      <c r="W22" s="341"/>
      <c r="X22" s="341"/>
      <c r="Y22" s="341"/>
      <c r="Z22" s="341"/>
      <c r="AA22" s="436"/>
      <c r="AB22" s="436"/>
      <c r="AC22" s="341"/>
      <c r="AD22" s="341"/>
      <c r="AE22" s="342"/>
      <c r="AF22" s="343"/>
      <c r="AG22" s="344"/>
      <c r="AH22" s="344"/>
      <c r="AI22" s="344"/>
      <c r="AJ22" s="344"/>
      <c r="AK22" s="344"/>
      <c r="AL22" s="344"/>
      <c r="AM22" s="344"/>
      <c r="AN22" s="344"/>
      <c r="AO22" s="344"/>
      <c r="AP22" s="438"/>
      <c r="AQ22" s="438"/>
      <c r="AR22" s="344"/>
      <c r="AS22" s="344"/>
      <c r="AT22" s="345"/>
      <c r="AU22" s="346"/>
      <c r="AV22" s="347"/>
      <c r="AW22" s="347"/>
      <c r="AX22" s="347"/>
      <c r="AY22" s="347"/>
      <c r="AZ22" s="347"/>
      <c r="BA22" s="347"/>
      <c r="BB22" s="347"/>
      <c r="BC22" s="347"/>
      <c r="BD22" s="347"/>
      <c r="BE22" s="440"/>
      <c r="BF22" s="440"/>
      <c r="BG22" s="347"/>
      <c r="BH22" s="347"/>
      <c r="BI22" s="348"/>
      <c r="BJ22" s="349"/>
      <c r="BK22" s="350"/>
      <c r="BL22" s="350"/>
      <c r="BM22" s="350"/>
      <c r="BN22" s="350"/>
      <c r="BO22" s="350"/>
      <c r="BP22" s="350"/>
      <c r="BQ22" s="350"/>
      <c r="BR22" s="350"/>
      <c r="BS22" s="350"/>
      <c r="BT22" s="442"/>
      <c r="BU22" s="442"/>
      <c r="BV22" s="350"/>
      <c r="BW22" s="350"/>
      <c r="BX22" s="351"/>
    </row>
    <row r="23" spans="16:76" ht="13" thickTop="1"/>
    <row r="25" spans="16:76">
      <c r="Q25" s="151"/>
    </row>
    <row r="31" spans="16:76">
      <c r="U31" s="157"/>
      <c r="V31" s="152"/>
    </row>
    <row r="32" spans="16:76">
      <c r="U32" s="157"/>
      <c r="V32" s="151"/>
    </row>
    <row r="33" spans="21:22">
      <c r="U33" s="157"/>
      <c r="V33" s="151"/>
    </row>
    <row r="34" spans="21:22">
      <c r="U34" s="157"/>
      <c r="V34" s="151"/>
    </row>
    <row r="35" spans="21:22">
      <c r="U35" s="157"/>
      <c r="V35" s="151"/>
    </row>
    <row r="36" spans="21:22">
      <c r="U36" s="157"/>
      <c r="V36" s="151"/>
    </row>
    <row r="37" spans="21:22">
      <c r="U37" s="157"/>
      <c r="V37" s="151"/>
    </row>
    <row r="38" spans="21:22">
      <c r="U38" s="157"/>
      <c r="V38" s="151"/>
    </row>
    <row r="39" spans="21:22">
      <c r="U39" s="157"/>
      <c r="V39" s="151"/>
    </row>
    <row r="40" spans="21:22">
      <c r="U40" s="157"/>
      <c r="V40" s="151"/>
    </row>
    <row r="41" spans="21:22">
      <c r="U41" s="157"/>
      <c r="V41" s="151"/>
    </row>
    <row r="42" spans="21:22">
      <c r="U42" s="157"/>
      <c r="V42" s="151"/>
    </row>
    <row r="43" spans="21:22">
      <c r="U43" s="157"/>
      <c r="V43" s="151"/>
    </row>
    <row r="44" spans="21:22">
      <c r="U44" s="157"/>
      <c r="V44" s="151"/>
    </row>
    <row r="45" spans="21:22">
      <c r="U45" s="157"/>
      <c r="V45" s="151"/>
    </row>
    <row r="46" spans="21:22">
      <c r="U46" s="157"/>
      <c r="V46" s="151"/>
    </row>
    <row r="47" spans="21:22">
      <c r="U47" s="157"/>
      <c r="V47" s="151"/>
    </row>
    <row r="48" spans="21:22">
      <c r="U48" s="157"/>
      <c r="V48" s="151"/>
    </row>
    <row r="49" spans="21:22">
      <c r="U49" s="157"/>
      <c r="V49" s="151"/>
    </row>
    <row r="50" spans="21:22">
      <c r="U50" s="157"/>
      <c r="V50" s="151"/>
    </row>
  </sheetData>
  <mergeCells count="4">
    <mergeCell ref="BJ1:BX1"/>
    <mergeCell ref="Q1:AE1"/>
    <mergeCell ref="AF1:AT1"/>
    <mergeCell ref="AU1:BI1"/>
  </mergeCells>
  <phoneticPr fontId="3" type="noConversion"/>
  <pageMargins left="0.74803149606299213" right="0.74803149606299213" top="0.98425196850393704" bottom="0.98425196850393704" header="0" footer="0"/>
  <pageSetup paperSize="9" scale="65" orientation="landscape" horizontalDpi="300" verticalDpi="300" r:id="rId1"/>
  <headerFooter alignWithMargins="0"/>
  <rowBreaks count="2" manualBreakCount="2">
    <brk id="39" max="16383" man="1"/>
    <brk id="78"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22530" r:id="rId4" name="Button 2">
              <controlPr defaultSize="0" print="0" autoFill="0" autoPict="0" macro="[0]!Módulo4.Reset">
                <anchor moveWithCells="1" sizeWithCells="1">
                  <from>
                    <xdr:col>0</xdr:col>
                    <xdr:colOff>95250</xdr:colOff>
                    <xdr:row>3</xdr:row>
                    <xdr:rowOff>165100</xdr:rowOff>
                  </from>
                  <to>
                    <xdr:col>1</xdr:col>
                    <xdr:colOff>209550</xdr:colOff>
                    <xdr:row>6</xdr:row>
                    <xdr:rowOff>152400</xdr:rowOff>
                  </to>
                </anchor>
              </controlPr>
            </control>
          </mc:Choice>
        </mc:AlternateContent>
        <mc:AlternateContent xmlns:mc="http://schemas.openxmlformats.org/markup-compatibility/2006">
          <mc:Choice Requires="x14">
            <control shapeId="22533" r:id="rId5" name="Button 5">
              <controlPr defaultSize="0" print="0" autoFill="0" autoPict="0" macro="[0]!go_main_page">
                <anchor moveWithCells="1" sizeWithCells="1">
                  <from>
                    <xdr:col>0</xdr:col>
                    <xdr:colOff>95250</xdr:colOff>
                    <xdr:row>0</xdr:row>
                    <xdr:rowOff>76200</xdr:rowOff>
                  </from>
                  <to>
                    <xdr:col>1</xdr:col>
                    <xdr:colOff>209550</xdr:colOff>
                    <xdr:row>3</xdr:row>
                    <xdr:rowOff>19050</xdr:rowOff>
                  </to>
                </anchor>
              </controlPr>
            </control>
          </mc:Choice>
        </mc:AlternateContent>
        <mc:AlternateContent xmlns:mc="http://schemas.openxmlformats.org/markup-compatibility/2006">
          <mc:Choice Requires="x14">
            <control shapeId="22552" r:id="rId6" name="Button 24">
              <controlPr defaultSize="0" print="0" autoFill="0" autoPict="0" macro="[0]!Control_axis_compare">
                <anchor moveWithCells="1" sizeWithCells="1">
                  <from>
                    <xdr:col>0</xdr:col>
                    <xdr:colOff>95250</xdr:colOff>
                    <xdr:row>7</xdr:row>
                    <xdr:rowOff>127000</xdr:rowOff>
                  </from>
                  <to>
                    <xdr:col>1</xdr:col>
                    <xdr:colOff>209550</xdr:colOff>
                    <xdr:row>10</xdr:row>
                    <xdr:rowOff>114300</xdr:rowOff>
                  </to>
                </anchor>
              </controlPr>
            </control>
          </mc:Choice>
        </mc:AlternateContent>
        <mc:AlternateContent xmlns:mc="http://schemas.openxmlformats.org/markup-compatibility/2006">
          <mc:Choice Requires="x14">
            <control shapeId="22555" r:id="rId7" name="Button 27">
              <controlPr defaultSize="0" print="0" autoFill="0" autoPict="0" macro="[0]!Print_compare_results">
                <anchor moveWithCells="1" sizeWithCells="1">
                  <from>
                    <xdr:col>0</xdr:col>
                    <xdr:colOff>95250</xdr:colOff>
                    <xdr:row>11</xdr:row>
                    <xdr:rowOff>95250</xdr:rowOff>
                  </from>
                  <to>
                    <xdr:col>1</xdr:col>
                    <xdr:colOff>209550</xdr:colOff>
                    <xdr:row>14</xdr:row>
                    <xdr:rowOff>88900</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11"/>
  <dimension ref="A1"/>
  <sheetViews>
    <sheetView showRowColHeaders="0" topLeftCell="B2" workbookViewId="0">
      <selection activeCell="H19" sqref="H19"/>
    </sheetView>
  </sheetViews>
  <sheetFormatPr defaultColWidth="11.453125" defaultRowHeight="12.5"/>
  <cols>
    <col min="1" max="16384" width="11.453125" style="1"/>
  </cols>
  <sheetData/>
  <phoneticPr fontId="3" type="noConversion"/>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11</vt:i4>
      </vt:variant>
    </vt:vector>
  </HeadingPairs>
  <TitlesOfParts>
    <vt:vector size="32" baseType="lpstr">
      <vt:lpstr>main page</vt:lpstr>
      <vt:lpstr>public finance</vt:lpstr>
      <vt:lpstr>controls</vt:lpstr>
      <vt:lpstr>normal case</vt:lpstr>
      <vt:lpstr>exchange rates</vt:lpstr>
      <vt:lpstr>external balance</vt:lpstr>
      <vt:lpstr>gráficos PC, MR, IS</vt:lpstr>
      <vt:lpstr>inflation, income and inter-2</vt:lpstr>
      <vt:lpstr>inflation, income and interest</vt:lpstr>
      <vt:lpstr>hystere</vt:lpstr>
      <vt:lpstr>delay in perception</vt:lpstr>
      <vt:lpstr>figures on public finance</vt:lpstr>
      <vt:lpstr>numerical results</vt:lpstr>
      <vt:lpstr>input own m.p.</vt:lpstr>
      <vt:lpstr>choose m.p.</vt:lpstr>
      <vt:lpstr>choose m.p. (endogenous policy)</vt:lpstr>
      <vt:lpstr>beta estimation(inputs)</vt:lpstr>
      <vt:lpstr>loss level and beta es(outputs)</vt:lpstr>
      <vt:lpstr>loss level(inputs)</vt:lpstr>
      <vt:lpstr>compare results</vt:lpstr>
      <vt:lpstr>Hoja1</vt:lpstr>
      <vt:lpstr>'beta estimation(inputs)'!Criteria</vt:lpstr>
      <vt:lpstr>'beta estimation(inputs)'!Extract</vt:lpstr>
      <vt:lpstr>juanito</vt:lpstr>
      <vt:lpstr>ole</vt:lpstr>
      <vt:lpstr>pepito</vt:lpstr>
      <vt:lpstr>periodo_final</vt:lpstr>
      <vt:lpstr>periodo_final_2</vt:lpstr>
      <vt:lpstr>'compare results'!Print_Area</vt:lpstr>
      <vt:lpstr>'input own m.p.'!Print_Area</vt:lpstr>
      <vt:lpstr>TrueFalseRange</vt:lpstr>
      <vt:lpstr>TrueFalseRange2</vt:lpstr>
    </vt:vector>
  </TitlesOfParts>
  <Company>Universitat de les Illes Balears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 Lozano</dc:creator>
  <cp:lastModifiedBy>Javier Boncompte</cp:lastModifiedBy>
  <cp:lastPrinted>2017-04-06T10:38:01Z</cp:lastPrinted>
  <dcterms:created xsi:type="dcterms:W3CDTF">2006-11-28T09:25:07Z</dcterms:created>
  <dcterms:modified xsi:type="dcterms:W3CDTF">2022-06-23T10:41:05Z</dcterms:modified>
</cp:coreProperties>
</file>